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charts/chartEx1.xml" ContentType="application/vnd.ms-office.chartex+xml"/>
  <Override PartName="/xl/charts/style2.xml" ContentType="application/vnd.ms-office.chartstyle+xml"/>
  <Override PartName="/xl/charts/colors2.xml" ContentType="application/vnd.ms-office.chartcolorstyle+xml"/>
  <Override PartName="/xl/charts/chartEx2.xml" ContentType="application/vnd.ms-office.chartex+xml"/>
  <Override PartName="/xl/charts/style3.xml" ContentType="application/vnd.ms-office.chartstyle+xml"/>
  <Override PartName="/xl/charts/colors3.xml" ContentType="application/vnd.ms-office.chartcolorstyle+xml"/>
  <Override PartName="/xl/charts/chartEx3.xml" ContentType="application/vnd.ms-office.chartex+xml"/>
  <Override PartName="/xl/charts/style4.xml" ContentType="application/vnd.ms-office.chartstyle+xml"/>
  <Override PartName="/xl/charts/colors4.xml" ContentType="application/vnd.ms-office.chartcolorstyle+xml"/>
  <Override PartName="/xl/charts/chartEx4.xml" ContentType="application/vnd.ms-office.chartex+xml"/>
  <Override PartName="/xl/charts/style5.xml" ContentType="application/vnd.ms-office.chartstyle+xml"/>
  <Override PartName="/xl/charts/colors5.xml" ContentType="application/vnd.ms-office.chartcolorstyle+xml"/>
  <Override PartName="/xl/charts/chartEx5.xml" ContentType="application/vnd.ms-office.chartex+xml"/>
  <Override PartName="/xl/charts/style6.xml" ContentType="application/vnd.ms-office.chartstyle+xml"/>
  <Override PartName="/xl/charts/colors6.xml" ContentType="application/vnd.ms-office.chartcolorstyle+xml"/>
  <Override PartName="/xl/charts/chartEx6.xml" ContentType="application/vnd.ms-office.chartex+xml"/>
  <Override PartName="/xl/charts/style7.xml" ContentType="application/vnd.ms-office.chartstyle+xml"/>
  <Override PartName="/xl/charts/colors7.xml" ContentType="application/vnd.ms-office.chartcolorstyle+xml"/>
  <Override PartName="/xl/charts/chartEx7.xml" ContentType="application/vnd.ms-office.chartex+xml"/>
  <Override PartName="/xl/charts/style8.xml" ContentType="application/vnd.ms-office.chartstyle+xml"/>
  <Override PartName="/xl/charts/colors8.xml" ContentType="application/vnd.ms-office.chartcolorstyle+xml"/>
  <Override PartName="/xl/charts/chartEx8.xml" ContentType="application/vnd.ms-office.chartex+xml"/>
  <Override PartName="/xl/charts/style9.xml" ContentType="application/vnd.ms-office.chartstyle+xml"/>
  <Override PartName="/xl/charts/colors9.xml" ContentType="application/vnd.ms-office.chartcolorstyle+xml"/>
  <Override PartName="/xl/charts/chartEx9.xml" ContentType="application/vnd.ms-office.chartex+xml"/>
  <Override PartName="/xl/charts/style10.xml" ContentType="application/vnd.ms-office.chartstyle+xml"/>
  <Override PartName="/xl/charts/colors10.xml" ContentType="application/vnd.ms-office.chartcolorstyle+xml"/>
  <Override PartName="/xl/charts/chartEx10.xml" ContentType="application/vnd.ms-office.chartex+xml"/>
  <Override PartName="/xl/charts/style11.xml" ContentType="application/vnd.ms-office.chartstyle+xml"/>
  <Override PartName="/xl/charts/colors11.xml" ContentType="application/vnd.ms-office.chartcolorstyle+xml"/>
  <Override PartName="/xl/charts/chartEx11.xml" ContentType="application/vnd.ms-office.chartex+xml"/>
  <Override PartName="/xl/charts/style12.xml" ContentType="application/vnd.ms-office.chartstyle+xml"/>
  <Override PartName="/xl/charts/colors12.xml" ContentType="application/vnd.ms-office.chartcolorstyle+xml"/>
  <Override PartName="/xl/charts/chartEx12.xml" ContentType="application/vnd.ms-office.chartex+xml"/>
  <Override PartName="/xl/charts/style13.xml" ContentType="application/vnd.ms-office.chartstyle+xml"/>
  <Override PartName="/xl/charts/colors13.xml" ContentType="application/vnd.ms-office.chartcolorstyle+xml"/>
  <Override PartName="/xl/charts/chartEx13.xml" ContentType="application/vnd.ms-office.chartex+xml"/>
  <Override PartName="/xl/charts/style14.xml" ContentType="application/vnd.ms-office.chartstyle+xml"/>
  <Override PartName="/xl/charts/colors14.xml" ContentType="application/vnd.ms-office.chartcolorstyle+xml"/>
  <Override PartName="/xl/charts/chartEx14.xml" ContentType="application/vnd.ms-office.chartex+xml"/>
  <Override PartName="/xl/charts/style15.xml" ContentType="application/vnd.ms-office.chartstyle+xml"/>
  <Override PartName="/xl/charts/colors15.xml" ContentType="application/vnd.ms-office.chartcolorstyle+xml"/>
  <Override PartName="/xl/charts/chartEx15.xml" ContentType="application/vnd.ms-office.chartex+xml"/>
  <Override PartName="/xl/charts/style16.xml" ContentType="application/vnd.ms-office.chartstyle+xml"/>
  <Override PartName="/xl/charts/colors16.xml" ContentType="application/vnd.ms-office.chartcolorstyle+xml"/>
  <Override PartName="/xl/charts/chartEx16.xml" ContentType="application/vnd.ms-office.chartex+xml"/>
  <Override PartName="/xl/charts/style17.xml" ContentType="application/vnd.ms-office.chartstyle+xml"/>
  <Override PartName="/xl/charts/colors17.xml" ContentType="application/vnd.ms-office.chartcolorstyle+xml"/>
  <Override PartName="/xl/drawings/drawing4.xml" ContentType="application/vnd.openxmlformats-officedocument.drawing+xml"/>
  <Override PartName="/xl/charts/chartEx17.xml" ContentType="application/vnd.ms-office.chartex+xml"/>
  <Override PartName="/xl/charts/style18.xml" ContentType="application/vnd.ms-office.chartstyle+xml"/>
  <Override PartName="/xl/charts/colors18.xml" ContentType="application/vnd.ms-office.chartcolorstyle+xml"/>
  <Override PartName="/xl/charts/chartEx18.xml" ContentType="application/vnd.ms-office.chartex+xml"/>
  <Override PartName="/xl/charts/style19.xml" ContentType="application/vnd.ms-office.chartstyle+xml"/>
  <Override PartName="/xl/charts/colors19.xml" ContentType="application/vnd.ms-office.chartcolorstyle+xml"/>
  <Override PartName="/xl/charts/chartEx19.xml" ContentType="application/vnd.ms-office.chartex+xml"/>
  <Override PartName="/xl/charts/style20.xml" ContentType="application/vnd.ms-office.chartstyle+xml"/>
  <Override PartName="/xl/charts/colors20.xml" ContentType="application/vnd.ms-office.chartcolorstyle+xml"/>
  <Override PartName="/xl/charts/chartEx20.xml" ContentType="application/vnd.ms-office.chartex+xml"/>
  <Override PartName="/xl/charts/style21.xml" ContentType="application/vnd.ms-office.chartstyle+xml"/>
  <Override PartName="/xl/charts/colors21.xml" ContentType="application/vnd.ms-office.chartcolorstyle+xml"/>
  <Override PartName="/xl/charts/chartEx21.xml" ContentType="application/vnd.ms-office.chartex+xml"/>
  <Override PartName="/xl/charts/style22.xml" ContentType="application/vnd.ms-office.chartstyle+xml"/>
  <Override PartName="/xl/charts/colors22.xml" ContentType="application/vnd.ms-office.chartcolorstyle+xml"/>
  <Override PartName="/xl/charts/chartEx22.xml" ContentType="application/vnd.ms-office.chartex+xml"/>
  <Override PartName="/xl/charts/style23.xml" ContentType="application/vnd.ms-office.chartstyle+xml"/>
  <Override PartName="/xl/charts/colors23.xml" ContentType="application/vnd.ms-office.chartcolorstyle+xml"/>
  <Override PartName="/xl/charts/chartEx23.xml" ContentType="application/vnd.ms-office.chartex+xml"/>
  <Override PartName="/xl/charts/style24.xml" ContentType="application/vnd.ms-office.chartstyle+xml"/>
  <Override PartName="/xl/charts/colors24.xml" ContentType="application/vnd.ms-office.chartcolorstyle+xml"/>
  <Override PartName="/xl/charts/chartEx24.xml" ContentType="application/vnd.ms-office.chartex+xml"/>
  <Override PartName="/xl/charts/style25.xml" ContentType="application/vnd.ms-office.chartstyle+xml"/>
  <Override PartName="/xl/charts/colors25.xml" ContentType="application/vnd.ms-office.chartcolorstyle+xml"/>
  <Override PartName="/xl/drawings/drawing5.xml" ContentType="application/vnd.openxmlformats-officedocument.drawing+xml"/>
  <Override PartName="/xl/charts/chart2.xml" ContentType="application/vnd.openxmlformats-officedocument.drawingml.chart+xml"/>
  <Override PartName="/xl/charts/style26.xml" ContentType="application/vnd.ms-office.chartstyle+xml"/>
  <Override PartName="/xl/charts/colors26.xml" ContentType="application/vnd.ms-office.chartcolorstyle+xml"/>
  <Override PartName="/xl/charts/chartEx25.xml" ContentType="application/vnd.ms-office.chartex+xml"/>
  <Override PartName="/xl/charts/style27.xml" ContentType="application/vnd.ms-office.chartstyle+xml"/>
  <Override PartName="/xl/charts/colors27.xml" ContentType="application/vnd.ms-office.chartcolorstyle+xml"/>
  <Override PartName="/xl/charts/chartEx26.xml" ContentType="application/vnd.ms-office.chartex+xml"/>
  <Override PartName="/xl/charts/style28.xml" ContentType="application/vnd.ms-office.chartstyle+xml"/>
  <Override PartName="/xl/charts/colors28.xml" ContentType="application/vnd.ms-office.chartcolorstyle+xml"/>
  <Override PartName="/xl/charts/chart3.xml" ContentType="application/vnd.openxmlformats-officedocument.drawingml.chart+xml"/>
  <Override PartName="/xl/charts/style29.xml" ContentType="application/vnd.ms-office.chartstyle+xml"/>
  <Override PartName="/xl/charts/colors29.xml" ContentType="application/vnd.ms-office.chartcolorstyle+xml"/>
  <Override PartName="/xl/charts/chartEx27.xml" ContentType="application/vnd.ms-office.chartex+xml"/>
  <Override PartName="/xl/charts/style30.xml" ContentType="application/vnd.ms-office.chartstyle+xml"/>
  <Override PartName="/xl/charts/colors30.xml" ContentType="application/vnd.ms-office.chartcolorstyle+xml"/>
  <Override PartName="/xl/charts/chartEx28.xml" ContentType="application/vnd.ms-office.chartex+xml"/>
  <Override PartName="/xl/charts/style31.xml" ContentType="application/vnd.ms-office.chartstyle+xml"/>
  <Override PartName="/xl/charts/colors31.xml" ContentType="application/vnd.ms-office.chartcolorstyle+xml"/>
  <Override PartName="/xl/charts/chart4.xml" ContentType="application/vnd.openxmlformats-officedocument.drawingml.chart+xml"/>
  <Override PartName="/xl/charts/style32.xml" ContentType="application/vnd.ms-office.chartstyle+xml"/>
  <Override PartName="/xl/charts/colors32.xml" ContentType="application/vnd.ms-office.chartcolorstyle+xml"/>
  <Override PartName="/xl/charts/chartEx29.xml" ContentType="application/vnd.ms-office.chartex+xml"/>
  <Override PartName="/xl/charts/style33.xml" ContentType="application/vnd.ms-office.chartstyle+xml"/>
  <Override PartName="/xl/charts/colors33.xml" ContentType="application/vnd.ms-office.chartcolorstyle+xml"/>
  <Override PartName="/xl/charts/chartEx30.xml" ContentType="application/vnd.ms-office.chartex+xml"/>
  <Override PartName="/xl/charts/style34.xml" ContentType="application/vnd.ms-office.chartstyle+xml"/>
  <Override PartName="/xl/charts/colors34.xml" ContentType="application/vnd.ms-office.chartcolorstyle+xml"/>
  <Override PartName="/xl/charts/chart5.xml" ContentType="application/vnd.openxmlformats-officedocument.drawingml.chart+xml"/>
  <Override PartName="/xl/charts/style35.xml" ContentType="application/vnd.ms-office.chartstyle+xml"/>
  <Override PartName="/xl/charts/colors35.xml" ContentType="application/vnd.ms-office.chartcolorstyle+xml"/>
  <Override PartName="/xl/charts/chartEx31.xml" ContentType="application/vnd.ms-office.chartex+xml"/>
  <Override PartName="/xl/charts/style36.xml" ContentType="application/vnd.ms-office.chartstyle+xml"/>
  <Override PartName="/xl/charts/colors36.xml" ContentType="application/vnd.ms-office.chartcolorstyle+xml"/>
  <Override PartName="/xl/charts/chartEx32.xml" ContentType="application/vnd.ms-office.chartex+xml"/>
  <Override PartName="/xl/charts/style37.xml" ContentType="application/vnd.ms-office.chartstyle+xml"/>
  <Override PartName="/xl/charts/colors37.xml" ContentType="application/vnd.ms-office.chartcolorstyle+xml"/>
  <Override PartName="/xl/charts/chartEx33.xml" ContentType="application/vnd.ms-office.chartex+xml"/>
  <Override PartName="/xl/charts/style38.xml" ContentType="application/vnd.ms-office.chartstyle+xml"/>
  <Override PartName="/xl/charts/colors38.xml" ContentType="application/vnd.ms-office.chartcolorstyle+xml"/>
  <Override PartName="/xl/charts/chartEx34.xml" ContentType="application/vnd.ms-office.chartex+xml"/>
  <Override PartName="/xl/charts/style39.xml" ContentType="application/vnd.ms-office.chartstyle+xml"/>
  <Override PartName="/xl/charts/colors39.xml" ContentType="application/vnd.ms-office.chartcolorstyle+xml"/>
  <Override PartName="/xl/charts/chartEx35.xml" ContentType="application/vnd.ms-office.chartex+xml"/>
  <Override PartName="/xl/charts/style40.xml" ContentType="application/vnd.ms-office.chartstyle+xml"/>
  <Override PartName="/xl/charts/colors40.xml" ContentType="application/vnd.ms-office.chartcolorstyle+xml"/>
  <Override PartName="/xl/charts/chartEx36.xml" ContentType="application/vnd.ms-office.chartex+xml"/>
  <Override PartName="/xl/charts/style41.xml" ContentType="application/vnd.ms-office.chartstyle+xml"/>
  <Override PartName="/xl/charts/colors41.xml" ContentType="application/vnd.ms-office.chartcolorstyle+xml"/>
  <Override PartName="/xl/charts/chartEx37.xml" ContentType="application/vnd.ms-office.chartex+xml"/>
  <Override PartName="/xl/charts/style42.xml" ContentType="application/vnd.ms-office.chartstyle+xml"/>
  <Override PartName="/xl/charts/colors42.xml" ContentType="application/vnd.ms-office.chartcolorstyle+xml"/>
  <Override PartName="/xl/charts/chartEx38.xml" ContentType="application/vnd.ms-office.chartex+xml"/>
  <Override PartName="/xl/charts/style43.xml" ContentType="application/vnd.ms-office.chartstyle+xml"/>
  <Override PartName="/xl/charts/colors43.xml" ContentType="application/vnd.ms-office.chartcolorstyle+xml"/>
  <Override PartName="/xl/charts/chart6.xml" ContentType="application/vnd.openxmlformats-officedocument.drawingml.chart+xml"/>
  <Override PartName="/xl/charts/style44.xml" ContentType="application/vnd.ms-office.chartstyle+xml"/>
  <Override PartName="/xl/charts/colors44.xml" ContentType="application/vnd.ms-office.chartcolorstyle+xml"/>
  <Override PartName="/xl/charts/chart7.xml" ContentType="application/vnd.openxmlformats-officedocument.drawingml.chart+xml"/>
  <Override PartName="/xl/charts/style45.xml" ContentType="application/vnd.ms-office.chartstyle+xml"/>
  <Override PartName="/xl/charts/colors45.xml" ContentType="application/vnd.ms-office.chartcolorstyle+xml"/>
  <Override PartName="/xl/charts/chart8.xml" ContentType="application/vnd.openxmlformats-officedocument.drawingml.chart+xml"/>
  <Override PartName="/xl/charts/style46.xml" ContentType="application/vnd.ms-office.chartstyle+xml"/>
  <Override PartName="/xl/charts/colors46.xml" ContentType="application/vnd.ms-office.chartcolorstyle+xml"/>
  <Override PartName="/xl/charts/chartEx39.xml" ContentType="application/vnd.ms-office.chartex+xml"/>
  <Override PartName="/xl/charts/style47.xml" ContentType="application/vnd.ms-office.chartstyle+xml"/>
  <Override PartName="/xl/charts/colors47.xml" ContentType="application/vnd.ms-office.chartcolorstyle+xml"/>
  <Override PartName="/xl/charts/chartEx40.xml" ContentType="application/vnd.ms-office.chartex+xml"/>
  <Override PartName="/xl/charts/style48.xml" ContentType="application/vnd.ms-office.chartstyle+xml"/>
  <Override PartName="/xl/charts/colors48.xml" ContentType="application/vnd.ms-office.chartcolorstyle+xml"/>
  <Override PartName="/xl/charts/chart9.xml" ContentType="application/vnd.openxmlformats-officedocument.drawingml.chart+xml"/>
  <Override PartName="/xl/charts/style49.xml" ContentType="application/vnd.ms-office.chartstyle+xml"/>
  <Override PartName="/xl/charts/colors49.xml" ContentType="application/vnd.ms-office.chartcolorstyle+xml"/>
  <Override PartName="/xl/charts/chartEx41.xml" ContentType="application/vnd.ms-office.chartex+xml"/>
  <Override PartName="/xl/charts/style50.xml" ContentType="application/vnd.ms-office.chartstyle+xml"/>
  <Override PartName="/xl/charts/colors50.xml" ContentType="application/vnd.ms-office.chartcolorstyle+xml"/>
  <Override PartName="/xl/charts/chartEx42.xml" ContentType="application/vnd.ms-office.chartex+xml"/>
  <Override PartName="/xl/charts/style51.xml" ContentType="application/vnd.ms-office.chartstyle+xml"/>
  <Override PartName="/xl/charts/colors51.xml" ContentType="application/vnd.ms-office.chartcolorstyle+xml"/>
  <Override PartName="/xl/charts/chartEx43.xml" ContentType="application/vnd.ms-office.chartex+xml"/>
  <Override PartName="/xl/charts/style52.xml" ContentType="application/vnd.ms-office.chartstyle+xml"/>
  <Override PartName="/xl/charts/colors52.xml" ContentType="application/vnd.ms-office.chartcolorstyle+xml"/>
  <Override PartName="/xl/charts/chartEx44.xml" ContentType="application/vnd.ms-office.chartex+xml"/>
  <Override PartName="/xl/charts/style53.xml" ContentType="application/vnd.ms-office.chartstyle+xml"/>
  <Override PartName="/xl/charts/colors53.xml" ContentType="application/vnd.ms-office.chartcolorstyle+xml"/>
  <Override PartName="/xl/charts/chartEx45.xml" ContentType="application/vnd.ms-office.chartex+xml"/>
  <Override PartName="/xl/charts/style54.xml" ContentType="application/vnd.ms-office.chartstyle+xml"/>
  <Override PartName="/xl/charts/colors54.xml" ContentType="application/vnd.ms-office.chartcolorstyle+xml"/>
  <Override PartName="/xl/charts/chartEx46.xml" ContentType="application/vnd.ms-office.chartex+xml"/>
  <Override PartName="/xl/charts/style55.xml" ContentType="application/vnd.ms-office.chartstyle+xml"/>
  <Override PartName="/xl/charts/colors55.xml" ContentType="application/vnd.ms-office.chartcolorstyle+xml"/>
  <Override PartName="/xl/drawings/drawing6.xml" ContentType="application/vnd.openxmlformats-officedocument.drawing+xml"/>
  <Override PartName="/xl/charts/chart10.xml" ContentType="application/vnd.openxmlformats-officedocument.drawingml.chart+xml"/>
  <Override PartName="/xl/charts/style56.xml" ContentType="application/vnd.ms-office.chartstyle+xml"/>
  <Override PartName="/xl/charts/colors56.xml" ContentType="application/vnd.ms-office.chartcolorstyle+xml"/>
  <Override PartName="/xl/charts/chart11.xml" ContentType="application/vnd.openxmlformats-officedocument.drawingml.chart+xml"/>
  <Override PartName="/xl/charts/style57.xml" ContentType="application/vnd.ms-office.chartstyle+xml"/>
  <Override PartName="/xl/charts/colors57.xml" ContentType="application/vnd.ms-office.chartcolorstyle+xml"/>
  <Override PartName="/xl/charts/chart12.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7.xml" ContentType="application/vnd.openxmlformats-officedocument.drawing+xml"/>
  <Override PartName="/xl/charts/chart13.xml" ContentType="application/vnd.openxmlformats-officedocument.drawingml.chart+xml"/>
  <Override PartName="/xl/charts/style59.xml" ContentType="application/vnd.ms-office.chartstyle+xml"/>
  <Override PartName="/xl/charts/colors59.xml" ContentType="application/vnd.ms-office.chartcolorstyle+xml"/>
  <Override PartName="/xl/charts/chart14.xml" ContentType="application/vnd.openxmlformats-officedocument.drawingml.chart+xml"/>
  <Override PartName="/xl/charts/style60.xml" ContentType="application/vnd.ms-office.chartstyle+xml"/>
  <Override PartName="/xl/charts/colors60.xml" ContentType="application/vnd.ms-office.chartcolorstyle+xml"/>
  <Override PartName="/xl/charts/chart15.xml" ContentType="application/vnd.openxmlformats-officedocument.drawingml.chart+xml"/>
  <Override PartName="/xl/charts/style61.xml" ContentType="application/vnd.ms-office.chartstyle+xml"/>
  <Override PartName="/xl/charts/colors61.xml" ContentType="application/vnd.ms-office.chartcolorstyle+xml"/>
  <Override PartName="/xl/charts/chartEx47.xml" ContentType="application/vnd.ms-office.chartex+xml"/>
  <Override PartName="/xl/charts/style62.xml" ContentType="application/vnd.ms-office.chartstyle+xml"/>
  <Override PartName="/xl/charts/colors62.xml" ContentType="application/vnd.ms-office.chartcolorstyle+xml"/>
  <Override PartName="/xl/charts/chartEx48.xml" ContentType="application/vnd.ms-office.chartex+xml"/>
  <Override PartName="/xl/charts/style63.xml" ContentType="application/vnd.ms-office.chartstyle+xml"/>
  <Override PartName="/xl/charts/colors63.xml" ContentType="application/vnd.ms-office.chartcolorstyle+xml"/>
  <Override PartName="/xl/charts/chartEx49.xml" ContentType="application/vnd.ms-office.chartex+xml"/>
  <Override PartName="/xl/charts/style64.xml" ContentType="application/vnd.ms-office.chartstyle+xml"/>
  <Override PartName="/xl/charts/colors64.xml" ContentType="application/vnd.ms-office.chartcolorstyle+xml"/>
  <Override PartName="/xl/charts/chartEx50.xml" ContentType="application/vnd.ms-office.chartex+xml"/>
  <Override PartName="/xl/charts/style65.xml" ContentType="application/vnd.ms-office.chartstyle+xml"/>
  <Override PartName="/xl/charts/colors65.xml" ContentType="application/vnd.ms-office.chartcolorstyle+xml"/>
  <Override PartName="/xl/charts/chartEx51.xml" ContentType="application/vnd.ms-office.chartex+xml"/>
  <Override PartName="/xl/charts/style66.xml" ContentType="application/vnd.ms-office.chartstyle+xml"/>
  <Override PartName="/xl/charts/colors66.xml" ContentType="application/vnd.ms-office.chartcolorstyle+xml"/>
  <Override PartName="/xl/charts/chart16.xml" ContentType="application/vnd.openxmlformats-officedocument.drawingml.chart+xml"/>
  <Override PartName="/xl/charts/style67.xml" ContentType="application/vnd.ms-office.chartstyle+xml"/>
  <Override PartName="/xl/charts/colors67.xml" ContentType="application/vnd.ms-office.chartcolorstyle+xml"/>
  <Override PartName="/xl/charts/chart17.xml" ContentType="application/vnd.openxmlformats-officedocument.drawingml.chart+xml"/>
  <Override PartName="/xl/charts/style68.xml" ContentType="application/vnd.ms-office.chartstyle+xml"/>
  <Override PartName="/xl/charts/colors68.xml" ContentType="application/vnd.ms-office.chartcolorstyle+xml"/>
  <Override PartName="/xl/charts/chart18.xml" ContentType="application/vnd.openxmlformats-officedocument.drawingml.chart+xml"/>
  <Override PartName="/xl/charts/style69.xml" ContentType="application/vnd.ms-office.chartstyle+xml"/>
  <Override PartName="/xl/charts/colors69.xml" ContentType="application/vnd.ms-office.chartcolorstyle+xml"/>
  <Override PartName="/xl/charts/chartEx52.xml" ContentType="application/vnd.ms-office.chartex+xml"/>
  <Override PartName="/xl/charts/style70.xml" ContentType="application/vnd.ms-office.chartstyle+xml"/>
  <Override PartName="/xl/charts/colors70.xml" ContentType="application/vnd.ms-office.chartcolorstyle+xml"/>
  <Override PartName="/xl/charts/chartEx53.xml" ContentType="application/vnd.ms-office.chartex+xml"/>
  <Override PartName="/xl/charts/style71.xml" ContentType="application/vnd.ms-office.chartstyle+xml"/>
  <Override PartName="/xl/charts/colors71.xml" ContentType="application/vnd.ms-office.chartcolorstyle+xml"/>
  <Override PartName="/xl/charts/chartEx54.xml" ContentType="application/vnd.ms-office.chartex+xml"/>
  <Override PartName="/xl/charts/style72.xml" ContentType="application/vnd.ms-office.chartstyle+xml"/>
  <Override PartName="/xl/charts/colors72.xml" ContentType="application/vnd.ms-office.chartcolorstyle+xml"/>
  <Override PartName="/xl/charts/chartEx55.xml" ContentType="application/vnd.ms-office.chartex+xml"/>
  <Override PartName="/xl/charts/style73.xml" ContentType="application/vnd.ms-office.chartstyle+xml"/>
  <Override PartName="/xl/charts/colors73.xml" ContentType="application/vnd.ms-office.chartcolorstyle+xml"/>
  <Override PartName="/xl/charts/chartEx56.xml" ContentType="application/vnd.ms-office.chartex+xml"/>
  <Override PartName="/xl/charts/style74.xml" ContentType="application/vnd.ms-office.chartstyle+xml"/>
  <Override PartName="/xl/charts/colors74.xml" ContentType="application/vnd.ms-office.chartcolorstyle+xml"/>
  <Override PartName="/xl/charts/chart19.xml" ContentType="application/vnd.openxmlformats-officedocument.drawingml.chart+xml"/>
  <Override PartName="/xl/charts/style75.xml" ContentType="application/vnd.ms-office.chartstyle+xml"/>
  <Override PartName="/xl/charts/colors75.xml" ContentType="application/vnd.ms-office.chartcolorstyle+xml"/>
  <Override PartName="/xl/charts/chart20.xml" ContentType="application/vnd.openxmlformats-officedocument.drawingml.chart+xml"/>
  <Override PartName="/xl/charts/style76.xml" ContentType="application/vnd.ms-office.chartstyle+xml"/>
  <Override PartName="/xl/charts/colors76.xml" ContentType="application/vnd.ms-office.chartcolorstyle+xml"/>
  <Override PartName="/xl/charts/chart21.xml" ContentType="application/vnd.openxmlformats-officedocument.drawingml.chart+xml"/>
  <Override PartName="/xl/charts/style77.xml" ContentType="application/vnd.ms-office.chartstyle+xml"/>
  <Override PartName="/xl/charts/colors77.xml" ContentType="application/vnd.ms-office.chartcolorstyle+xml"/>
  <Override PartName="/xl/charts/chartEx57.xml" ContentType="application/vnd.ms-office.chartex+xml"/>
  <Override PartName="/xl/charts/style78.xml" ContentType="application/vnd.ms-office.chartstyle+xml"/>
  <Override PartName="/xl/charts/colors78.xml" ContentType="application/vnd.ms-office.chartcolorstyle+xml"/>
  <Override PartName="/xl/charts/chartEx58.xml" ContentType="application/vnd.ms-office.chartex+xml"/>
  <Override PartName="/xl/charts/style79.xml" ContentType="application/vnd.ms-office.chartstyle+xml"/>
  <Override PartName="/xl/charts/colors79.xml" ContentType="application/vnd.ms-office.chartcolorstyle+xml"/>
  <Override PartName="/xl/charts/chartEx59.xml" ContentType="application/vnd.ms-office.chartex+xml"/>
  <Override PartName="/xl/charts/style80.xml" ContentType="application/vnd.ms-office.chartstyle+xml"/>
  <Override PartName="/xl/charts/colors80.xml" ContentType="application/vnd.ms-office.chartcolorstyle+xml"/>
  <Override PartName="/xl/charts/chartEx60.xml" ContentType="application/vnd.ms-office.chartex+xml"/>
  <Override PartName="/xl/charts/style81.xml" ContentType="application/vnd.ms-office.chartstyle+xml"/>
  <Override PartName="/xl/charts/colors81.xml" ContentType="application/vnd.ms-office.chartcolorstyle+xml"/>
  <Override PartName="/xl/charts/chartEx61.xml" ContentType="application/vnd.ms-office.chartex+xml"/>
  <Override PartName="/xl/charts/style82.xml" ContentType="application/vnd.ms-office.chartstyle+xml"/>
  <Override PartName="/xl/charts/colors82.xml" ContentType="application/vnd.ms-office.chartcolorstyle+xml"/>
  <Override PartName="/xl/charts/chart22.xml" ContentType="application/vnd.openxmlformats-officedocument.drawingml.chart+xml"/>
  <Override PartName="/xl/charts/style83.xml" ContentType="application/vnd.ms-office.chartstyle+xml"/>
  <Override PartName="/xl/charts/colors83.xml" ContentType="application/vnd.ms-office.chartcolorstyle+xml"/>
  <Override PartName="/xl/charts/chart23.xml" ContentType="application/vnd.openxmlformats-officedocument.drawingml.chart+xml"/>
  <Override PartName="/xl/charts/style84.xml" ContentType="application/vnd.ms-office.chartstyle+xml"/>
  <Override PartName="/xl/charts/colors84.xml" ContentType="application/vnd.ms-office.chartcolorstyle+xml"/>
  <Override PartName="/xl/charts/chart24.xml" ContentType="application/vnd.openxmlformats-officedocument.drawingml.chart+xml"/>
  <Override PartName="/xl/charts/style85.xml" ContentType="application/vnd.ms-office.chartstyle+xml"/>
  <Override PartName="/xl/charts/colors85.xml" ContentType="application/vnd.ms-office.chartcolorstyle+xml"/>
  <Override PartName="/xl/charts/chartEx62.xml" ContentType="application/vnd.ms-office.chartex+xml"/>
  <Override PartName="/xl/charts/style86.xml" ContentType="application/vnd.ms-office.chartstyle+xml"/>
  <Override PartName="/xl/charts/colors86.xml" ContentType="application/vnd.ms-office.chartcolorstyle+xml"/>
  <Override PartName="/xl/charts/chartEx63.xml" ContentType="application/vnd.ms-office.chartex+xml"/>
  <Override PartName="/xl/charts/style87.xml" ContentType="application/vnd.ms-office.chartstyle+xml"/>
  <Override PartName="/xl/charts/colors87.xml" ContentType="application/vnd.ms-office.chartcolorstyle+xml"/>
  <Override PartName="/xl/charts/chartEx64.xml" ContentType="application/vnd.ms-office.chartex+xml"/>
  <Override PartName="/xl/charts/style88.xml" ContentType="application/vnd.ms-office.chartstyle+xml"/>
  <Override PartName="/xl/charts/colors88.xml" ContentType="application/vnd.ms-office.chartcolorstyle+xml"/>
  <Override PartName="/xl/charts/chartEx65.xml" ContentType="application/vnd.ms-office.chartex+xml"/>
  <Override PartName="/xl/charts/style89.xml" ContentType="application/vnd.ms-office.chartstyle+xml"/>
  <Override PartName="/xl/charts/colors89.xml" ContentType="application/vnd.ms-office.chartcolorstyle+xml"/>
  <Override PartName="/xl/charts/chartEx66.xml" ContentType="application/vnd.ms-office.chartex+xml"/>
  <Override PartName="/xl/charts/style90.xml" ContentType="application/vnd.ms-office.chartstyle+xml"/>
  <Override PartName="/xl/charts/colors90.xml" ContentType="application/vnd.ms-office.chartcolorstyle+xml"/>
  <Override PartName="/xl/charts/chartEx67.xml" ContentType="application/vnd.ms-office.chartex+xml"/>
  <Override PartName="/xl/charts/style91.xml" ContentType="application/vnd.ms-office.chartstyle+xml"/>
  <Override PartName="/xl/charts/colors91.xml" ContentType="application/vnd.ms-office.chartcolorstyle+xml"/>
  <Override PartName="/xl/charts/chartEx68.xml" ContentType="application/vnd.ms-office.chartex+xml"/>
  <Override PartName="/xl/charts/style92.xml" ContentType="application/vnd.ms-office.chartstyle+xml"/>
  <Override PartName="/xl/charts/colors92.xml" ContentType="application/vnd.ms-office.chartcolorstyle+xml"/>
  <Override PartName="/xl/charts/chartEx69.xml" ContentType="application/vnd.ms-office.chartex+xml"/>
  <Override PartName="/xl/charts/style93.xml" ContentType="application/vnd.ms-office.chartstyle+xml"/>
  <Override PartName="/xl/charts/colors93.xml" ContentType="application/vnd.ms-office.chartcolorstyle+xml"/>
  <Override PartName="/xl/charts/chartEx70.xml" ContentType="application/vnd.ms-office.chartex+xml"/>
  <Override PartName="/xl/charts/style94.xml" ContentType="application/vnd.ms-office.chartstyle+xml"/>
  <Override PartName="/xl/charts/colors94.xml" ContentType="application/vnd.ms-office.chartcolorstyle+xml"/>
  <Override PartName="/xl/charts/chartEx71.xml" ContentType="application/vnd.ms-office.chartex+xml"/>
  <Override PartName="/xl/charts/style95.xml" ContentType="application/vnd.ms-office.chartstyle+xml"/>
  <Override PartName="/xl/charts/colors95.xml" ContentType="application/vnd.ms-office.chartcolorstyle+xml"/>
  <Override PartName="/xl/charts/chart25.xml" ContentType="application/vnd.openxmlformats-officedocument.drawingml.chart+xml"/>
  <Override PartName="/xl/charts/style96.xml" ContentType="application/vnd.ms-office.chartstyle+xml"/>
  <Override PartName="/xl/charts/colors96.xml" ContentType="application/vnd.ms-office.chartcolorstyle+xml"/>
  <Override PartName="/xl/charts/chart26.xml" ContentType="application/vnd.openxmlformats-officedocument.drawingml.chart+xml"/>
  <Override PartName="/xl/charts/style97.xml" ContentType="application/vnd.ms-office.chartstyle+xml"/>
  <Override PartName="/xl/charts/colors97.xml" ContentType="application/vnd.ms-office.chartcolorstyle+xml"/>
  <Override PartName="/xl/charts/chart27.xml" ContentType="application/vnd.openxmlformats-officedocument.drawingml.chart+xml"/>
  <Override PartName="/xl/charts/style98.xml" ContentType="application/vnd.ms-office.chartstyle+xml"/>
  <Override PartName="/xl/charts/colors98.xml" ContentType="application/vnd.ms-office.chartcolorstyle+xml"/>
  <Override PartName="/xl/charts/chartEx72.xml" ContentType="application/vnd.ms-office.chartex+xml"/>
  <Override PartName="/xl/charts/style99.xml" ContentType="application/vnd.ms-office.chartstyle+xml"/>
  <Override PartName="/xl/charts/colors99.xml" ContentType="application/vnd.ms-office.chartcolorstyle+xml"/>
  <Override PartName="/xl/charts/chartEx73.xml" ContentType="application/vnd.ms-office.chartex+xml"/>
  <Override PartName="/xl/charts/style100.xml" ContentType="application/vnd.ms-office.chartstyle+xml"/>
  <Override PartName="/xl/charts/colors100.xml" ContentType="application/vnd.ms-office.chartcolorstyle+xml"/>
  <Override PartName="/xl/charts/chartEx74.xml" ContentType="application/vnd.ms-office.chartex+xml"/>
  <Override PartName="/xl/charts/style101.xml" ContentType="application/vnd.ms-office.chartstyle+xml"/>
  <Override PartName="/xl/charts/colors101.xml" ContentType="application/vnd.ms-office.chartcolorstyle+xml"/>
  <Override PartName="/xl/charts/chartEx75.xml" ContentType="application/vnd.ms-office.chartex+xml"/>
  <Override PartName="/xl/charts/style102.xml" ContentType="application/vnd.ms-office.chartstyle+xml"/>
  <Override PartName="/xl/charts/colors102.xml" ContentType="application/vnd.ms-office.chartcolorstyle+xml"/>
  <Override PartName="/xl/charts/chartEx76.xml" ContentType="application/vnd.ms-office.chartex+xml"/>
  <Override PartName="/xl/charts/style103.xml" ContentType="application/vnd.ms-office.chartstyle+xml"/>
  <Override PartName="/xl/charts/colors103.xml" ContentType="application/vnd.ms-office.chartcolorstyle+xml"/>
  <Override PartName="/xl/charts/chart28.xml" ContentType="application/vnd.openxmlformats-officedocument.drawingml.chart+xml"/>
  <Override PartName="/xl/charts/style104.xml" ContentType="application/vnd.ms-office.chartstyle+xml"/>
  <Override PartName="/xl/charts/colors104.xml" ContentType="application/vnd.ms-office.chartcolorstyle+xml"/>
  <Override PartName="/xl/charts/chart29.xml" ContentType="application/vnd.openxmlformats-officedocument.drawingml.chart+xml"/>
  <Override PartName="/xl/charts/style105.xml" ContentType="application/vnd.ms-office.chartstyle+xml"/>
  <Override PartName="/xl/charts/colors105.xml" ContentType="application/vnd.ms-office.chartcolorstyle+xml"/>
  <Override PartName="/xl/charts/chart30.xml" ContentType="application/vnd.openxmlformats-officedocument.drawingml.chart+xml"/>
  <Override PartName="/xl/charts/style106.xml" ContentType="application/vnd.ms-office.chartstyle+xml"/>
  <Override PartName="/xl/charts/colors106.xml" ContentType="application/vnd.ms-office.chartcolorstyle+xml"/>
  <Override PartName="/xl/charts/chartEx77.xml" ContentType="application/vnd.ms-office.chartex+xml"/>
  <Override PartName="/xl/charts/style107.xml" ContentType="application/vnd.ms-office.chartstyle+xml"/>
  <Override PartName="/xl/charts/colors107.xml" ContentType="application/vnd.ms-office.chartcolorstyle+xml"/>
  <Override PartName="/xl/charts/chartEx78.xml" ContentType="application/vnd.ms-office.chartex+xml"/>
  <Override PartName="/xl/charts/style108.xml" ContentType="application/vnd.ms-office.chartstyle+xml"/>
  <Override PartName="/xl/charts/colors108.xml" ContentType="application/vnd.ms-office.chartcolorstyle+xml"/>
  <Override PartName="/xl/charts/chartEx79.xml" ContentType="application/vnd.ms-office.chartex+xml"/>
  <Override PartName="/xl/charts/style109.xml" ContentType="application/vnd.ms-office.chartstyle+xml"/>
  <Override PartName="/xl/charts/colors109.xml" ContentType="application/vnd.ms-office.chartcolorstyle+xml"/>
  <Override PartName="/xl/charts/chartEx80.xml" ContentType="application/vnd.ms-office.chartex+xml"/>
  <Override PartName="/xl/charts/style110.xml" ContentType="application/vnd.ms-office.chartstyle+xml"/>
  <Override PartName="/xl/charts/colors110.xml" ContentType="application/vnd.ms-office.chartcolorstyle+xml"/>
  <Override PartName="/xl/charts/chartEx81.xml" ContentType="application/vnd.ms-office.chartex+xml"/>
  <Override PartName="/xl/charts/style111.xml" ContentType="application/vnd.ms-office.chartstyle+xml"/>
  <Override PartName="/xl/charts/colors111.xml" ContentType="application/vnd.ms-office.chartcolorstyle+xml"/>
  <Override PartName="/xl/charts/chart31.xml" ContentType="application/vnd.openxmlformats-officedocument.drawingml.chart+xml"/>
  <Override PartName="/xl/charts/style112.xml" ContentType="application/vnd.ms-office.chartstyle+xml"/>
  <Override PartName="/xl/charts/colors112.xml" ContentType="application/vnd.ms-office.chartcolorstyle+xml"/>
  <Override PartName="/xl/charts/chart32.xml" ContentType="application/vnd.openxmlformats-officedocument.drawingml.chart+xml"/>
  <Override PartName="/xl/charts/style113.xml" ContentType="application/vnd.ms-office.chartstyle+xml"/>
  <Override PartName="/xl/charts/colors113.xml" ContentType="application/vnd.ms-office.chartcolorstyle+xml"/>
  <Override PartName="/xl/charts/chart33.xml" ContentType="application/vnd.openxmlformats-officedocument.drawingml.chart+xml"/>
  <Override PartName="/xl/charts/style114.xml" ContentType="application/vnd.ms-office.chartstyle+xml"/>
  <Override PartName="/xl/charts/colors114.xml" ContentType="application/vnd.ms-office.chartcolorstyle+xml"/>
  <Override PartName="/xl/charts/chartEx82.xml" ContentType="application/vnd.ms-office.chartex+xml"/>
  <Override PartName="/xl/charts/style115.xml" ContentType="application/vnd.ms-office.chartstyle+xml"/>
  <Override PartName="/xl/charts/colors115.xml" ContentType="application/vnd.ms-office.chartcolorstyle+xml"/>
  <Override PartName="/xl/charts/chartEx83.xml" ContentType="application/vnd.ms-office.chartex+xml"/>
  <Override PartName="/xl/charts/style116.xml" ContentType="application/vnd.ms-office.chartstyle+xml"/>
  <Override PartName="/xl/charts/colors116.xml" ContentType="application/vnd.ms-office.chartcolorstyle+xml"/>
  <Override PartName="/xl/charts/chartEx84.xml" ContentType="application/vnd.ms-office.chartex+xml"/>
  <Override PartName="/xl/charts/style117.xml" ContentType="application/vnd.ms-office.chartstyle+xml"/>
  <Override PartName="/xl/charts/colors117.xml" ContentType="application/vnd.ms-office.chartcolorstyle+xml"/>
  <Override PartName="/xl/charts/chartEx85.xml" ContentType="application/vnd.ms-office.chartex+xml"/>
  <Override PartName="/xl/charts/style118.xml" ContentType="application/vnd.ms-office.chartstyle+xml"/>
  <Override PartName="/xl/charts/colors118.xml" ContentType="application/vnd.ms-office.chartcolorstyle+xml"/>
  <Override PartName="/xl/charts/chartEx86.xml" ContentType="application/vnd.ms-office.chartex+xml"/>
  <Override PartName="/xl/charts/style119.xml" ContentType="application/vnd.ms-office.chartstyle+xml"/>
  <Override PartName="/xl/charts/colors119.xml" ContentType="application/vnd.ms-office.chartcolorstyle+xml"/>
  <Override PartName="/xl/charts/chart34.xml" ContentType="application/vnd.openxmlformats-officedocument.drawingml.chart+xml"/>
  <Override PartName="/xl/charts/style120.xml" ContentType="application/vnd.ms-office.chartstyle+xml"/>
  <Override PartName="/xl/charts/colors120.xml" ContentType="application/vnd.ms-office.chartcolorstyle+xml"/>
  <Override PartName="/xl/charts/chart35.xml" ContentType="application/vnd.openxmlformats-officedocument.drawingml.chart+xml"/>
  <Override PartName="/xl/charts/style121.xml" ContentType="application/vnd.ms-office.chartstyle+xml"/>
  <Override PartName="/xl/charts/colors121.xml" ContentType="application/vnd.ms-office.chartcolorstyle+xml"/>
  <Override PartName="/xl/charts/chart36.xml" ContentType="application/vnd.openxmlformats-officedocument.drawingml.chart+xml"/>
  <Override PartName="/xl/charts/style122.xml" ContentType="application/vnd.ms-office.chartstyle+xml"/>
  <Override PartName="/xl/charts/colors122.xml" ContentType="application/vnd.ms-office.chartcolorstyle+xml"/>
  <Override PartName="/xl/charts/chartEx87.xml" ContentType="application/vnd.ms-office.chartex+xml"/>
  <Override PartName="/xl/charts/style123.xml" ContentType="application/vnd.ms-office.chartstyle+xml"/>
  <Override PartName="/xl/charts/colors123.xml" ContentType="application/vnd.ms-office.chartcolorstyle+xml"/>
  <Override PartName="/xl/charts/chartEx88.xml" ContentType="application/vnd.ms-office.chartex+xml"/>
  <Override PartName="/xl/charts/style124.xml" ContentType="application/vnd.ms-office.chartstyle+xml"/>
  <Override PartName="/xl/charts/colors124.xml" ContentType="application/vnd.ms-office.chartcolorstyle+xml"/>
  <Override PartName="/xl/charts/chartEx89.xml" ContentType="application/vnd.ms-office.chartex+xml"/>
  <Override PartName="/xl/charts/style125.xml" ContentType="application/vnd.ms-office.chartstyle+xml"/>
  <Override PartName="/xl/charts/colors125.xml" ContentType="application/vnd.ms-office.chartcolorstyle+xml"/>
  <Override PartName="/xl/charts/chartEx90.xml" ContentType="application/vnd.ms-office.chartex+xml"/>
  <Override PartName="/xl/charts/style126.xml" ContentType="application/vnd.ms-office.chartstyle+xml"/>
  <Override PartName="/xl/charts/colors126.xml" ContentType="application/vnd.ms-office.chartcolorstyle+xml"/>
  <Override PartName="/xl/charts/chartEx91.xml" ContentType="application/vnd.ms-office.chartex+xml"/>
  <Override PartName="/xl/charts/style127.xml" ContentType="application/vnd.ms-office.chartstyle+xml"/>
  <Override PartName="/xl/charts/colors127.xml" ContentType="application/vnd.ms-office.chartcolorstyle+xml"/>
  <Override PartName="/xl/charts/chartEx92.xml" ContentType="application/vnd.ms-office.chartex+xml"/>
  <Override PartName="/xl/charts/style128.xml" ContentType="application/vnd.ms-office.chartstyle+xml"/>
  <Override PartName="/xl/charts/colors128.xml" ContentType="application/vnd.ms-office.chartcolorstyle+xml"/>
  <Override PartName="/xl/charts/chartEx93.xml" ContentType="application/vnd.ms-office.chartex+xml"/>
  <Override PartName="/xl/charts/style129.xml" ContentType="application/vnd.ms-office.chartstyle+xml"/>
  <Override PartName="/xl/charts/colors129.xml" ContentType="application/vnd.ms-office.chartcolorstyle+xml"/>
  <Override PartName="/xl/charts/chartEx94.xml" ContentType="application/vnd.ms-office.chartex+xml"/>
  <Override PartName="/xl/charts/style130.xml" ContentType="application/vnd.ms-office.chartstyle+xml"/>
  <Override PartName="/xl/charts/colors130.xml" ContentType="application/vnd.ms-office.chartcolorstyle+xml"/>
  <Override PartName="/xl/charts/chartEx95.xml" ContentType="application/vnd.ms-office.chartex+xml"/>
  <Override PartName="/xl/charts/style131.xml" ContentType="application/vnd.ms-office.chartstyle+xml"/>
  <Override PartName="/xl/charts/colors131.xml" ContentType="application/vnd.ms-office.chartcolorstyle+xml"/>
  <Override PartName="/xl/charts/chartEx96.xml" ContentType="application/vnd.ms-office.chartex+xml"/>
  <Override PartName="/xl/charts/style132.xml" ContentType="application/vnd.ms-office.chartstyle+xml"/>
  <Override PartName="/xl/charts/colors132.xml" ContentType="application/vnd.ms-office.chartcolorstyle+xml"/>
  <Override PartName="/xl/charts/chartEx97.xml" ContentType="application/vnd.ms-office.chartex+xml"/>
  <Override PartName="/xl/charts/style133.xml" ContentType="application/vnd.ms-office.chartstyle+xml"/>
  <Override PartName="/xl/charts/colors133.xml" ContentType="application/vnd.ms-office.chartcolorstyle+xml"/>
  <Override PartName="/xl/charts/chartEx98.xml" ContentType="application/vnd.ms-office.chartex+xml"/>
  <Override PartName="/xl/charts/style134.xml" ContentType="application/vnd.ms-office.chartstyle+xml"/>
  <Override PartName="/xl/charts/colors134.xml" ContentType="application/vnd.ms-office.chartcolorstyle+xml"/>
  <Override PartName="/xl/charts/chartEx99.xml" ContentType="application/vnd.ms-office.chartex+xml"/>
  <Override PartName="/xl/charts/style135.xml" ContentType="application/vnd.ms-office.chartstyle+xml"/>
  <Override PartName="/xl/charts/colors135.xml" ContentType="application/vnd.ms-office.chartcolorstyle+xml"/>
  <Override PartName="/xl/charts/chartEx100.xml" ContentType="application/vnd.ms-office.chartex+xml"/>
  <Override PartName="/xl/charts/style136.xml" ContentType="application/vnd.ms-office.chartstyle+xml"/>
  <Override PartName="/xl/charts/colors136.xml" ContentType="application/vnd.ms-office.chartcolorstyle+xml"/>
  <Override PartName="/xl/charts/chartEx101.xml" ContentType="application/vnd.ms-office.chartex+xml"/>
  <Override PartName="/xl/charts/style137.xml" ContentType="application/vnd.ms-office.chartstyle+xml"/>
  <Override PartName="/xl/charts/colors137.xml" ContentType="application/vnd.ms-office.chartcolorstyle+xml"/>
  <Override PartName="/xl/drawings/drawing8.xml" ContentType="application/vnd.openxmlformats-officedocument.drawing+xml"/>
  <Override PartName="/xl/charts/chartEx102.xml" ContentType="application/vnd.ms-office.chartex+xml"/>
  <Override PartName="/xl/charts/style138.xml" ContentType="application/vnd.ms-office.chartstyle+xml"/>
  <Override PartName="/xl/charts/colors138.xml" ContentType="application/vnd.ms-office.chartcolorstyle+xml"/>
  <Override PartName="/xl/charts/chartEx103.xml" ContentType="application/vnd.ms-office.chartex+xml"/>
  <Override PartName="/xl/charts/style139.xml" ContentType="application/vnd.ms-office.chartstyle+xml"/>
  <Override PartName="/xl/charts/colors139.xml" ContentType="application/vnd.ms-office.chartcolorstyle+xml"/>
  <Override PartName="/xl/charts/chartEx104.xml" ContentType="application/vnd.ms-office.chartex+xml"/>
  <Override PartName="/xl/charts/style140.xml" ContentType="application/vnd.ms-office.chartstyle+xml"/>
  <Override PartName="/xl/charts/colors140.xml" ContentType="application/vnd.ms-office.chartcolorstyle+xml"/>
  <Override PartName="/xl/charts/chartEx105.xml" ContentType="application/vnd.ms-office.chartex+xml"/>
  <Override PartName="/xl/charts/style141.xml" ContentType="application/vnd.ms-office.chartstyle+xml"/>
  <Override PartName="/xl/charts/colors141.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defaultThemeVersion="166925"/>
  <mc:AlternateContent xmlns:mc="http://schemas.openxmlformats.org/markup-compatibility/2006">
    <mc:Choice Requires="x15">
      <x15ac:absPath xmlns:x15ac="http://schemas.microsoft.com/office/spreadsheetml/2010/11/ac" url="D:\Zhang\EPA\R6 Cl2 Burn Study\Data Analysis\"/>
    </mc:Choice>
  </mc:AlternateContent>
  <xr:revisionPtr revIDLastSave="0" documentId="13_ncr:1_{019532CE-61E1-4998-B58C-934AB8869AA2}" xr6:coauthVersionLast="47" xr6:coauthVersionMax="47" xr10:uidLastSave="{00000000-0000-0000-0000-000000000000}"/>
  <bookViews>
    <workbookView xWindow="-121" yWindow="-121" windowWidth="23476" windowHeight="12851" firstSheet="5" activeTab="10" xr2:uid="{CABD7D8B-AAFB-4363-B037-8E28516A9705}"/>
  </bookViews>
  <sheets>
    <sheet name="Readme" sheetId="1" r:id="rId1"/>
    <sheet name="Core_Data" sheetId="14" r:id="rId2"/>
    <sheet name="qPCR_Physicochemical" sheetId="25" r:id="rId3"/>
    <sheet name="CCA_Raw_Data" sheetId="26" r:id="rId4"/>
    <sheet name="CCA_Map" sheetId="27" r:id="rId5"/>
    <sheet name="Distances_Sites" sheetId="11" r:id="rId6"/>
    <sheet name="qPCR_Managed" sheetId="12" r:id="rId7"/>
    <sheet name="qPCR_Unique" sheetId="15" r:id="rId8"/>
    <sheet name="qPCR_Periods" sheetId="22" r:id="rId9"/>
    <sheet name="qPCR_2nd_3rd_Managed" sheetId="33" r:id="rId10"/>
    <sheet name="qPCR_Compared" sheetId="34" r:id="rId11"/>
    <sheet name="Fig._OPs-Sites" sheetId="23" r:id="rId12"/>
    <sheet name="Fig._DWDS_PP" sheetId="21" r:id="rId13"/>
    <sheet name="OPs_ANOVA" sheetId="20" r:id="rId14"/>
    <sheet name="Fig._OPs-Time" sheetId="19" r:id="rId15"/>
    <sheet name="Physicochemical_Managed" sheetId="13" r:id="rId16"/>
    <sheet name="Physicochemical_Sorted" sheetId="28" r:id="rId17"/>
    <sheet name="Fig._Chlorine_vs._N&amp;P" sheetId="24" r:id="rId18"/>
    <sheet name="Sampling_Events" sheetId="18" r:id="rId19"/>
    <sheet name="Physicochemical_ANOVA" sheetId="17" r:id="rId20"/>
    <sheet name="Fig._Physicochem.-Time" sheetId="16" r:id="rId21"/>
    <sheet name="Fig._Physicochem.-Sites" sheetId="29" r:id="rId22"/>
    <sheet name="qPCR_Raw" sheetId="2" r:id="rId23"/>
    <sheet name="qPCR_2nd_Run" sheetId="31" r:id="rId24"/>
    <sheet name="qPCR_3rd_Run" sheetId="32" r:id="rId25"/>
    <sheet name="EP" sheetId="3" r:id="rId26"/>
    <sheet name="SPI" sheetId="5" r:id="rId27"/>
    <sheet name="SPO" sheetId="4" r:id="rId28"/>
    <sheet name="MRT" sheetId="6" r:id="rId29"/>
    <sheet name="RN" sheetId="7" r:id="rId30"/>
    <sheet name="RU" sheetId="8" r:id="rId31"/>
    <sheet name="RL" sheetId="9" r:id="rId32"/>
    <sheet name="RS" sheetId="10" r:id="rId33"/>
  </sheets>
  <definedNames>
    <definedName name="_xlnm._FilterDatabase" localSheetId="23" hidden="1">qPCR_2nd_Run!$A$1:$AL$1</definedName>
    <definedName name="_xlnm._FilterDatabase" localSheetId="22" hidden="1">qPCR_Raw!$A$1:$AL$1</definedName>
    <definedName name="_xlchart.v1.0" hidden="1">qPCR_Unique!$F$3:$F$60</definedName>
    <definedName name="_xlchart.v1.1" hidden="1">qPCR_Unique!$K$1</definedName>
    <definedName name="_xlchart.v1.10" hidden="1">qPCR_Unique!$X$3:$X$60</definedName>
    <definedName name="_xlchart.v1.100" hidden="1">qPCR_Periods!$I$64:$I$86</definedName>
    <definedName name="_xlchart.v1.101" hidden="1">qPCR_Periods!$F$3:$F$18</definedName>
    <definedName name="_xlchart.v1.102" hidden="1">qPCR_Periods!$K$1</definedName>
    <definedName name="_xlchart.v1.103" hidden="1">qPCR_Periods!$L$3:$L$18</definedName>
    <definedName name="_xlchart.v1.104" hidden="1">qPCR_Periods!$N$1</definedName>
    <definedName name="_xlchart.v1.105" hidden="1">qPCR_Periods!$O$3:$O$18</definedName>
    <definedName name="_xlchart.v1.106" hidden="1">qPCR_Periods!$Q$1</definedName>
    <definedName name="_xlchart.v1.107" hidden="1">qPCR_Periods!$R$3:$R$18</definedName>
    <definedName name="_xlchart.v1.108" hidden="1">qPCR_Periods!$T$1</definedName>
    <definedName name="_xlchart.v1.109" hidden="1">qPCR_Periods!$U$3:$U$18</definedName>
    <definedName name="_xlchart.v1.11" hidden="1">qPCR_Periods!$F$42:$F$63</definedName>
    <definedName name="_xlchart.v1.110" hidden="1">qPCR_Periods!$W$1</definedName>
    <definedName name="_xlchart.v1.111" hidden="1">qPCR_Periods!$X$3:$X$18</definedName>
    <definedName name="_xlchart.v1.112" hidden="1">qPCR_Periods!$K$1</definedName>
    <definedName name="_xlchart.v1.113" hidden="1">qPCR_Periods!$L$42:$L$86</definedName>
    <definedName name="_xlchart.v1.114" hidden="1">qPCR_Periods!$N$1</definedName>
    <definedName name="_xlchart.v1.115" hidden="1">qPCR_Periods!$O$42:$O$86</definedName>
    <definedName name="_xlchart.v1.116" hidden="1">qPCR_Periods!$Q$1</definedName>
    <definedName name="_xlchart.v1.117" hidden="1">qPCR_Periods!$R$42:$R$86</definedName>
    <definedName name="_xlchart.v1.118" hidden="1">qPCR_Periods!$T$1</definedName>
    <definedName name="_xlchart.v1.119" hidden="1">qPCR_Periods!$U$42:$U$86</definedName>
    <definedName name="_xlchart.v1.12" hidden="1">qPCR_Periods!$K$1</definedName>
    <definedName name="_xlchart.v1.120" hidden="1">qPCR_Periods!$W$1</definedName>
    <definedName name="_xlchart.v1.121" hidden="1">qPCR_Periods!$X$42:$X$86</definedName>
    <definedName name="_xlchart.v1.122" hidden="1">qPCR_Periods!$Z$42:$Z$86</definedName>
    <definedName name="_xlchart.v1.123" hidden="1">qPCR_Unique!$K$1</definedName>
    <definedName name="_xlchart.v1.124" hidden="1">qPCR_Unique!$L$3:$L$118</definedName>
    <definedName name="_xlchart.v1.125" hidden="1">qPCR_Unique!$N$1</definedName>
    <definedName name="_xlchart.v1.126" hidden="1">qPCR_Unique!$O$3:$O$118</definedName>
    <definedName name="_xlchart.v1.127" hidden="1">qPCR_Unique!$Q$1</definedName>
    <definedName name="_xlchart.v1.128" hidden="1">qPCR_Unique!$R$3:$R$118</definedName>
    <definedName name="_xlchart.v1.129" hidden="1">qPCR_Unique!$T$1</definedName>
    <definedName name="_xlchart.v1.13" hidden="1">qPCR_Periods!$L$42:$L$63</definedName>
    <definedName name="_xlchart.v1.130" hidden="1">qPCR_Unique!$U$3:$U$118</definedName>
    <definedName name="_xlchart.v1.131" hidden="1">qPCR_Unique!$W$1</definedName>
    <definedName name="_xlchart.v1.132" hidden="1">qPCR_Unique!$X$3:$X$118</definedName>
    <definedName name="_xlchart.v1.133" hidden="1">qPCR_Unique!$Z$3:$Z$118</definedName>
    <definedName name="_xlchart.v1.134" hidden="1">qPCR_Periods!$H$1</definedName>
    <definedName name="_xlchart.v1.135" hidden="1">qPCR_Periods!$I$42:$I$86</definedName>
    <definedName name="_xlchart.v1.136" hidden="1">qPCR_Periods!$Z$42:$Z$86</definedName>
    <definedName name="_xlchart.v1.137" hidden="1">qPCR_Periods!$K$1</definedName>
    <definedName name="_xlchart.v1.138" hidden="1">qPCR_Periods!$L$3:$L$33</definedName>
    <definedName name="_xlchart.v1.139" hidden="1">qPCR_Periods!$N$1</definedName>
    <definedName name="_xlchart.v1.14" hidden="1">qPCR_Periods!$N$1</definedName>
    <definedName name="_xlchart.v1.140" hidden="1">qPCR_Periods!$O$3:$O$33</definedName>
    <definedName name="_xlchart.v1.141" hidden="1">qPCR_Periods!$Q$1</definedName>
    <definedName name="_xlchart.v1.142" hidden="1">qPCR_Periods!$R$3:$R$33</definedName>
    <definedName name="_xlchart.v1.143" hidden="1">qPCR_Periods!$T$1</definedName>
    <definedName name="_xlchart.v1.144" hidden="1">qPCR_Periods!$U$3:$U$33</definedName>
    <definedName name="_xlchart.v1.145" hidden="1">qPCR_Periods!$W$1</definedName>
    <definedName name="_xlchart.v1.146" hidden="1">qPCR_Periods!$X$3:$X$33</definedName>
    <definedName name="_xlchart.v1.147" hidden="1">qPCR_Periods!$Z$3:$Z$33</definedName>
    <definedName name="_xlchart.v1.148" hidden="1">(qPCR_Unique!$I$3:$I$19,qPCR_Unique!$AA$20,qPCR_Unique!$I$21:$I$118)</definedName>
    <definedName name="_xlchart.v1.149" hidden="1">qPCR_Unique!$H$1</definedName>
    <definedName name="_xlchart.v1.15" hidden="1">qPCR_Periods!$O$42:$O$63</definedName>
    <definedName name="_xlchart.v1.150" hidden="1">qPCR_Unique!$Z$3:$Z$118</definedName>
    <definedName name="_xlchart.v1.151" hidden="1">(qPCR_Periods!$I$3:$I$8,qPCR_Periods!$AB$9,qPCR_Periods!$I$10:$I$33)</definedName>
    <definedName name="_xlchart.v1.152" hidden="1">qPCR_Periods!$H$1</definedName>
    <definedName name="_xlchart.v1.153" hidden="1">qPCR_Periods!$Z$3:$Z$33</definedName>
    <definedName name="_xlchart.v1.154" hidden="1">qPCR_Periods!$K$1</definedName>
    <definedName name="_xlchart.v1.155" hidden="1">qPCR_Periods!$L$102:$L$141</definedName>
    <definedName name="_xlchart.v1.156" hidden="1">qPCR_Periods!$N$1</definedName>
    <definedName name="_xlchart.v1.157" hidden="1">qPCR_Periods!$O$102:$O$141</definedName>
    <definedName name="_xlchart.v1.158" hidden="1">qPCR_Periods!$Q$1</definedName>
    <definedName name="_xlchart.v1.159" hidden="1">qPCR_Periods!$R$102:$R$141</definedName>
    <definedName name="_xlchart.v1.16" hidden="1">qPCR_Periods!$Q$1</definedName>
    <definedName name="_xlchart.v1.160" hidden="1">qPCR_Periods!$T$1</definedName>
    <definedName name="_xlchart.v1.161" hidden="1">qPCR_Periods!$U$102:$U$141</definedName>
    <definedName name="_xlchart.v1.162" hidden="1">qPCR_Periods!$W$1</definedName>
    <definedName name="_xlchart.v1.163" hidden="1">qPCR_Periods!$X$102:$X$141</definedName>
    <definedName name="_xlchart.v1.164" hidden="1">qPCR_Periods!$Z$102:$Z$141</definedName>
    <definedName name="_xlchart.v1.165" hidden="1">qPCR_Periods!$H$1</definedName>
    <definedName name="_xlchart.v1.166" hidden="1">qPCR_Periods!$I$102:$I$141</definedName>
    <definedName name="_xlchart.v1.167" hidden="1">qPCR_Periods!$Z$102:$Z$141</definedName>
    <definedName name="_xlchart.v1.168" hidden="1">(qPCR_Unique!$I$3:$I$19,qPCR_Unique!$AA$20,qPCR_Unique!$I$21:$I$118)</definedName>
    <definedName name="_xlchart.v1.169" hidden="1">qPCR_Unique!$H$1</definedName>
    <definedName name="_xlchart.v1.17" hidden="1">qPCR_Periods!$R$42:$R$63</definedName>
    <definedName name="_xlchart.v1.170" hidden="1">qPCR_Unique!$Y$3:$Y$118</definedName>
    <definedName name="_xlchart.v1.171" hidden="1">qPCR_Unique!$H$1</definedName>
    <definedName name="_xlchart.v1.172" hidden="1">qPCR_Unique!$I$3:$I$17</definedName>
    <definedName name="_xlchart.v1.173" hidden="1">qPCR_Unique!$Y$3:$Y$17</definedName>
    <definedName name="_xlchart.v1.174" hidden="1">qPCR_Unique!$H$1</definedName>
    <definedName name="_xlchart.v1.175" hidden="1">qPCR_Unique!$I$32:$I$45</definedName>
    <definedName name="_xlchart.v1.176" hidden="1">qPCR_Unique!$Y$32:$Y$45</definedName>
    <definedName name="_xlchart.v1.177" hidden="1">qPCR_Unique!$K$1</definedName>
    <definedName name="_xlchart.v1.178" hidden="1">qPCR_Unique!$L$3:$L$17</definedName>
    <definedName name="_xlchart.v1.179" hidden="1">qPCR_Unique!$N$1</definedName>
    <definedName name="_xlchart.v1.18" hidden="1">qPCR_Periods!$T$1</definedName>
    <definedName name="_xlchart.v1.180" hidden="1">qPCR_Unique!$O$3:$O$17</definedName>
    <definedName name="_xlchart.v1.181" hidden="1">qPCR_Unique!$Q$1</definedName>
    <definedName name="_xlchart.v1.182" hidden="1">qPCR_Unique!$R$3:$R$17</definedName>
    <definedName name="_xlchart.v1.183" hidden="1">qPCR_Unique!$T$1</definedName>
    <definedName name="_xlchart.v1.184" hidden="1">qPCR_Unique!$U$3:$U$17</definedName>
    <definedName name="_xlchart.v1.185" hidden="1">qPCR_Unique!$W$1</definedName>
    <definedName name="_xlchart.v1.186" hidden="1">qPCR_Unique!$X$3:$X$17</definedName>
    <definedName name="_xlchart.v1.187" hidden="1">qPCR_Unique!$Y$3:$Y$17</definedName>
    <definedName name="_xlchart.v1.188" hidden="1">qPCR_Unique!$H$1</definedName>
    <definedName name="_xlchart.v1.189" hidden="1">qPCR_Unique!$I$76:$I$90</definedName>
    <definedName name="_xlchart.v1.19" hidden="1">qPCR_Periods!$U$42:$U$63</definedName>
    <definedName name="_xlchart.v1.190" hidden="1">qPCR_Unique!$Y$76:$Y$90</definedName>
    <definedName name="_xlchart.v1.191" hidden="1">qPCR_Unique!$K$1</definedName>
    <definedName name="_xlchart.v1.192" hidden="1">qPCR_Unique!$L$32:$L$45</definedName>
    <definedName name="_xlchart.v1.193" hidden="1">qPCR_Unique!$N$1</definedName>
    <definedName name="_xlchart.v1.194" hidden="1">qPCR_Unique!$O$32:$O$45</definedName>
    <definedName name="_xlchart.v1.195" hidden="1">qPCR_Unique!$Q$1</definedName>
    <definedName name="_xlchart.v1.196" hidden="1">qPCR_Unique!$R$32:$R$45</definedName>
    <definedName name="_xlchart.v1.197" hidden="1">qPCR_Unique!$T$1</definedName>
    <definedName name="_xlchart.v1.198" hidden="1">qPCR_Unique!$U$32:$U$45</definedName>
    <definedName name="_xlchart.v1.199" hidden="1">qPCR_Unique!$W$1</definedName>
    <definedName name="_xlchart.v1.2" hidden="1">qPCR_Unique!$L$3:$L$60</definedName>
    <definedName name="_xlchart.v1.20" hidden="1">qPCR_Periods!$W$1</definedName>
    <definedName name="_xlchart.v1.200" hidden="1">qPCR_Unique!$X$32:$X$45</definedName>
    <definedName name="_xlchart.v1.201" hidden="1">qPCR_Unique!$Y$32:$Y$45</definedName>
    <definedName name="_xlchart.v1.202" hidden="1">qPCR_Unique!$K$1</definedName>
    <definedName name="_xlchart.v1.203" hidden="1">qPCR_Unique!$L$61:$L$75</definedName>
    <definedName name="_xlchart.v1.204" hidden="1">qPCR_Unique!$N$1</definedName>
    <definedName name="_xlchart.v1.205" hidden="1">qPCR_Unique!$O$61:$O$75</definedName>
    <definedName name="_xlchart.v1.206" hidden="1">qPCR_Unique!$Q$1</definedName>
    <definedName name="_xlchart.v1.207" hidden="1">qPCR_Unique!$R$61:$R$75</definedName>
    <definedName name="_xlchart.v1.208" hidden="1">qPCR_Unique!$T$1</definedName>
    <definedName name="_xlchart.v1.209" hidden="1">qPCR_Unique!$U$61:$U$75</definedName>
    <definedName name="_xlchart.v1.21" hidden="1">qPCR_Periods!$X$42:$X$63</definedName>
    <definedName name="_xlchart.v1.210" hidden="1">qPCR_Unique!$W$1</definedName>
    <definedName name="_xlchart.v1.211" hidden="1">qPCR_Unique!$X$61:$X$75</definedName>
    <definedName name="_xlchart.v1.212" hidden="1">qPCR_Unique!$Y$61:$Y$75</definedName>
    <definedName name="_xlchart.v1.213" hidden="1">qPCR_Unique!$H$1</definedName>
    <definedName name="_xlchart.v1.214" hidden="1">qPCR_Unique!$I$61:$I$75</definedName>
    <definedName name="_xlchart.v1.215" hidden="1">qPCR_Unique!$Y$61:$Y$75</definedName>
    <definedName name="_xlchart.v1.216" hidden="1">qPCR_Unique!$K$1</definedName>
    <definedName name="_xlchart.v1.217" hidden="1">qPCR_Unique!$L$76:$L$90</definedName>
    <definedName name="_xlchart.v1.218" hidden="1">qPCR_Unique!$N$1</definedName>
    <definedName name="_xlchart.v1.219" hidden="1">qPCR_Unique!$O$76:$O$90</definedName>
    <definedName name="_xlchart.v1.22" hidden="1">qPCR_Unique!$F$61:$F$118</definedName>
    <definedName name="_xlchart.v1.220" hidden="1">qPCR_Unique!$Q$1</definedName>
    <definedName name="_xlchart.v1.221" hidden="1">qPCR_Unique!$R$76:$R$90</definedName>
    <definedName name="_xlchart.v1.222" hidden="1">qPCR_Unique!$T$1</definedName>
    <definedName name="_xlchart.v1.223" hidden="1">qPCR_Unique!$U$76:$U$90</definedName>
    <definedName name="_xlchart.v1.224" hidden="1">qPCR_Unique!$W$1</definedName>
    <definedName name="_xlchart.v1.225" hidden="1">qPCR_Unique!$X$76:$X$90</definedName>
    <definedName name="_xlchart.v1.226" hidden="1">qPCR_Unique!$Y$76:$Y$90</definedName>
    <definedName name="_xlchart.v1.227" hidden="1">qPCR_Unique!$K$1</definedName>
    <definedName name="_xlchart.v1.228" hidden="1">qPCR_Unique!$L$46:$L$60</definedName>
    <definedName name="_xlchart.v1.229" hidden="1">qPCR_Unique!$N$1</definedName>
    <definedName name="_xlchart.v1.23" hidden="1">qPCR_Unique!$H$1</definedName>
    <definedName name="_xlchart.v1.230" hidden="1">qPCR_Unique!$O$46:$O$60</definedName>
    <definedName name="_xlchart.v1.231" hidden="1">qPCR_Unique!$Q$1</definedName>
    <definedName name="_xlchart.v1.232" hidden="1">qPCR_Unique!$R$46:$R$60</definedName>
    <definedName name="_xlchart.v1.233" hidden="1">qPCR_Unique!$T$1</definedName>
    <definedName name="_xlchart.v1.234" hidden="1">qPCR_Unique!$U$46:$U$60</definedName>
    <definedName name="_xlchart.v1.235" hidden="1">qPCR_Unique!$W$1</definedName>
    <definedName name="_xlchart.v1.236" hidden="1">qPCR_Unique!$X$46:$X$60</definedName>
    <definedName name="_xlchart.v1.237" hidden="1">qPCR_Unique!$Y$46:$Y$60</definedName>
    <definedName name="_xlchart.v1.238" hidden="1">qPCR_Unique!$K$1</definedName>
    <definedName name="_xlchart.v1.239" hidden="1">qPCR_Unique!$L$91:$L$104</definedName>
    <definedName name="_xlchart.v1.24" hidden="1">qPCR_Unique!$I$61:$I$118</definedName>
    <definedName name="_xlchart.v1.240" hidden="1">qPCR_Unique!$N$1</definedName>
    <definedName name="_xlchart.v1.241" hidden="1">qPCR_Unique!$O$91:$O$104</definedName>
    <definedName name="_xlchart.v1.242" hidden="1">qPCR_Unique!$Q$1</definedName>
    <definedName name="_xlchart.v1.243" hidden="1">qPCR_Unique!$R$91:$R$104</definedName>
    <definedName name="_xlchart.v1.244" hidden="1">qPCR_Unique!$T$1</definedName>
    <definedName name="_xlchart.v1.245" hidden="1">qPCR_Unique!$U$91:$U$104</definedName>
    <definedName name="_xlchart.v1.246" hidden="1">qPCR_Unique!$W$1</definedName>
    <definedName name="_xlchart.v1.247" hidden="1">qPCR_Unique!$X$91:$X$104</definedName>
    <definedName name="_xlchart.v1.248" hidden="1">qPCR_Unique!$Y$91:$Y$104</definedName>
    <definedName name="_xlchart.v1.249" hidden="1">(qPCR_Unique!$I$18:$I$19,qPCR_Unique!$AA$20,qPCR_Unique!$I$21:$I$31)</definedName>
    <definedName name="_xlchart.v1.25" hidden="1">qPCR_Unique!$F$61:$F$118</definedName>
    <definedName name="_xlchart.v1.250" hidden="1">qPCR_Unique!$H$1</definedName>
    <definedName name="_xlchart.v1.251" hidden="1">qPCR_Unique!$Y$18:$Y$31</definedName>
    <definedName name="_xlchart.v1.252" hidden="1">qPCR_Unique!$K$1</definedName>
    <definedName name="_xlchart.v1.253" hidden="1">qPCR_Unique!$L$18:$L$31</definedName>
    <definedName name="_xlchart.v1.254" hidden="1">qPCR_Unique!$N$1</definedName>
    <definedName name="_xlchart.v1.255" hidden="1">qPCR_Unique!$O$18:$O$31</definedName>
    <definedName name="_xlchart.v1.256" hidden="1">qPCR_Unique!$Q$1</definedName>
    <definedName name="_xlchart.v1.257" hidden="1">qPCR_Unique!$R$18:$R$31</definedName>
    <definedName name="_xlchart.v1.258" hidden="1">qPCR_Unique!$T$1</definedName>
    <definedName name="_xlchart.v1.259" hidden="1">qPCR_Unique!$U$18:$U$31</definedName>
    <definedName name="_xlchart.v1.26" hidden="1">qPCR_Unique!$K$1</definedName>
    <definedName name="_xlchart.v1.260" hidden="1">qPCR_Unique!$W$1</definedName>
    <definedName name="_xlchart.v1.261" hidden="1">qPCR_Unique!$X$18:$X$31</definedName>
    <definedName name="_xlchart.v1.262" hidden="1">qPCR_Unique!$Y$18:$Y$31</definedName>
    <definedName name="_xlchart.v1.263" hidden="1">qPCR_Unique!$H$1</definedName>
    <definedName name="_xlchart.v1.264" hidden="1">qPCR_Unique!$I$46:$I$60</definedName>
    <definedName name="_xlchart.v1.265" hidden="1">qPCR_Unique!$Y$46:$Y$60</definedName>
    <definedName name="_xlchart.v1.266" hidden="1">qPCR_Unique!$H$1</definedName>
    <definedName name="_xlchart.v1.267" hidden="1">qPCR_Unique!$I$91:$I$104</definedName>
    <definedName name="_xlchart.v1.268" hidden="1">qPCR_Unique!$Y$91:$Y$104</definedName>
    <definedName name="_xlchart.v1.269" hidden="1">qPCR_Unique!$K$1</definedName>
    <definedName name="_xlchart.v1.27" hidden="1">qPCR_Unique!$L$61:$L$118</definedName>
    <definedName name="_xlchart.v1.270" hidden="1">qPCR_Unique!$L$61:$L$118</definedName>
    <definedName name="_xlchart.v1.271" hidden="1">qPCR_Unique!$N$1</definedName>
    <definedName name="_xlchart.v1.272" hidden="1">qPCR_Unique!$O$61:$O$118</definedName>
    <definedName name="_xlchart.v1.273" hidden="1">qPCR_Unique!$Q$1</definedName>
    <definedName name="_xlchart.v1.274" hidden="1">qPCR_Unique!$R$61:$R$118</definedName>
    <definedName name="_xlchart.v1.275" hidden="1">qPCR_Unique!$T$1</definedName>
    <definedName name="_xlchart.v1.276" hidden="1">qPCR_Unique!$U$61:$U$118</definedName>
    <definedName name="_xlchart.v1.277" hidden="1">qPCR_Unique!$W$1</definedName>
    <definedName name="_xlchart.v1.278" hidden="1">qPCR_Unique!$X$61:$X$118</definedName>
    <definedName name="_xlchart.v1.279" hidden="1">qPCR_Unique!$Y$61:$Y$118</definedName>
    <definedName name="_xlchart.v1.28" hidden="1">qPCR_Unique!$N$1</definedName>
    <definedName name="_xlchart.v1.280" hidden="1">(qPCR_Unique!$I$3:$I$19,qPCR_Unique!$AA$20,qPCR_Unique!$I$21:$I$60)</definedName>
    <definedName name="_xlchart.v1.281" hidden="1">qPCR_Unique!$H$1</definedName>
    <definedName name="_xlchart.v1.282" hidden="1">qPCR_Unique!$Y$3:$Y$60</definedName>
    <definedName name="_xlchart.v1.283" hidden="1">qPCR_Unique!$K$1</definedName>
    <definedName name="_xlchart.v1.284" hidden="1">qPCR_Unique!$L$3:$L$118</definedName>
    <definedName name="_xlchart.v1.285" hidden="1">qPCR_Unique!$N$1</definedName>
    <definedName name="_xlchart.v1.286" hidden="1">qPCR_Unique!$O$3:$O$118</definedName>
    <definedName name="_xlchart.v1.287" hidden="1">qPCR_Unique!$Q$1</definedName>
    <definedName name="_xlchart.v1.288" hidden="1">qPCR_Unique!$R$3:$R$118</definedName>
    <definedName name="_xlchart.v1.289" hidden="1">qPCR_Unique!$T$1</definedName>
    <definedName name="_xlchart.v1.29" hidden="1">qPCR_Unique!$O$61:$O$118</definedName>
    <definedName name="_xlchart.v1.290" hidden="1">qPCR_Unique!$U$3:$U$118</definedName>
    <definedName name="_xlchart.v1.291" hidden="1">qPCR_Unique!$W$1</definedName>
    <definedName name="_xlchart.v1.292" hidden="1">qPCR_Unique!$X$3:$X$118</definedName>
    <definedName name="_xlchart.v1.293" hidden="1">qPCR_Unique!$Y$3:$Y$118</definedName>
    <definedName name="_xlchart.v1.294" hidden="1">qPCR_Unique!$H$1</definedName>
    <definedName name="_xlchart.v1.295" hidden="1">qPCR_Unique!$I$105:$I$118</definedName>
    <definedName name="_xlchart.v1.296" hidden="1">qPCR_Unique!$Y$105:$Y$118</definedName>
    <definedName name="_xlchart.v1.297" hidden="1">qPCR_Unique!$K$1</definedName>
    <definedName name="_xlchart.v1.298" hidden="1">qPCR_Unique!$L$105:$L$118</definedName>
    <definedName name="_xlchart.v1.299" hidden="1">qPCR_Unique!$N$1</definedName>
    <definedName name="_xlchart.v1.3" hidden="1">qPCR_Unique!$N$1</definedName>
    <definedName name="_xlchart.v1.30" hidden="1">qPCR_Unique!$Q$1</definedName>
    <definedName name="_xlchart.v1.300" hidden="1">qPCR_Unique!$O$105:$O$118</definedName>
    <definedName name="_xlchart.v1.301" hidden="1">qPCR_Unique!$Q$1</definedName>
    <definedName name="_xlchart.v1.302" hidden="1">qPCR_Unique!$R$105:$R$118</definedName>
    <definedName name="_xlchart.v1.303" hidden="1">qPCR_Unique!$T$1</definedName>
    <definedName name="_xlchart.v1.304" hidden="1">qPCR_Unique!$U$105:$U$118</definedName>
    <definedName name="_xlchart.v1.305" hidden="1">qPCR_Unique!$W$1</definedName>
    <definedName name="_xlchart.v1.306" hidden="1">qPCR_Unique!$X$105:$X$118</definedName>
    <definedName name="_xlchart.v1.307" hidden="1">qPCR_Unique!$Y$105:$Y$118</definedName>
    <definedName name="_xlchart.v1.308" hidden="1">qPCR_Unique!$K$1</definedName>
    <definedName name="_xlchart.v1.309" hidden="1">qPCR_Unique!$L$3:$L$60</definedName>
    <definedName name="_xlchart.v1.31" hidden="1">qPCR_Unique!$R$61:$R$118</definedName>
    <definedName name="_xlchart.v1.310" hidden="1">qPCR_Unique!$N$1</definedName>
    <definedName name="_xlchart.v1.311" hidden="1">qPCR_Unique!$O$3:$O$60</definedName>
    <definedName name="_xlchart.v1.312" hidden="1">qPCR_Unique!$Q$1</definedName>
    <definedName name="_xlchart.v1.313" hidden="1">qPCR_Unique!$R$3:$R$60</definedName>
    <definedName name="_xlchart.v1.314" hidden="1">qPCR_Unique!$T$1</definedName>
    <definedName name="_xlchart.v1.315" hidden="1">qPCR_Unique!$U$3:$U$60</definedName>
    <definedName name="_xlchart.v1.316" hidden="1">qPCR_Unique!$W$1</definedName>
    <definedName name="_xlchart.v1.317" hidden="1">qPCR_Unique!$X$3:$X$60</definedName>
    <definedName name="_xlchart.v1.318" hidden="1">qPCR_Unique!$Y$3:$Y$60</definedName>
    <definedName name="_xlchart.v1.319" hidden="1">qPCR_Unique!$H$1</definedName>
    <definedName name="_xlchart.v1.32" hidden="1">qPCR_Unique!$T$1</definedName>
    <definedName name="_xlchart.v1.320" hidden="1">qPCR_Unique!$I$61:$I$118</definedName>
    <definedName name="_xlchart.v1.321" hidden="1">qPCR_Unique!$Y$61:$Y$118</definedName>
    <definedName name="_xlchart.v1.322" hidden="1">Physicochemical_Managed!$S$22:$S$39</definedName>
    <definedName name="_xlchart.v1.323" hidden="1">Physicochemical_Managed!$T$22:$T$39</definedName>
    <definedName name="_xlchart.v1.324" hidden="1">Physicochemical_Managed!$U$22:$U$39</definedName>
    <definedName name="_xlchart.v1.325" hidden="1">Physicochemical_Managed!$Y$22:$Y$39</definedName>
    <definedName name="_xlchart.v1.326" hidden="1">Physicochemical_Managed!$V$40:$V$57</definedName>
    <definedName name="_xlchart.v1.327" hidden="1">Physicochemical_Managed!$W$40:$W$57</definedName>
    <definedName name="_xlchart.v1.328" hidden="1">Physicochemical_Managed!$Y$40:$Y$57</definedName>
    <definedName name="_xlchart.v1.329" hidden="1">Physicochemical_Managed!$X$40:$X$57</definedName>
    <definedName name="_xlchart.v1.33" hidden="1">qPCR_Unique!$U$61:$U$118</definedName>
    <definedName name="_xlchart.v1.330" hidden="1">Physicochemical_Managed!$Y$40:$Y$57</definedName>
    <definedName name="_xlchart.v1.331" hidden="1">Physicochemical_Managed!$Q$2:$Q$21</definedName>
    <definedName name="_xlchart.v1.332" hidden="1">Physicochemical_Managed!$Y$2:$Y$21</definedName>
    <definedName name="_xlchart.v1.333" hidden="1">Physicochemical_Managed!$X$2:$X$21</definedName>
    <definedName name="_xlchart.v1.334" hidden="1">Physicochemical_Managed!$Y$2:$Y$21</definedName>
    <definedName name="_xlchart.v1.335" hidden="1">Physicochemical_Managed!$X$22:$X$39</definedName>
    <definedName name="_xlchart.v1.336" hidden="1">Physicochemical_Managed!$Y$22:$Y$39</definedName>
    <definedName name="_xlchart.v1.337" hidden="1">Physicochemical_Managed!$S$40:$S$57</definedName>
    <definedName name="_xlchart.v1.338" hidden="1">Physicochemical_Managed!$T$40:$T$57</definedName>
    <definedName name="_xlchart.v1.339" hidden="1">Physicochemical_Managed!$U$40:$U$57</definedName>
    <definedName name="_xlchart.v1.34" hidden="1">qPCR_Unique!$W$1</definedName>
    <definedName name="_xlchart.v1.340" hidden="1">Physicochemical_Managed!$Y$40:$Y$57</definedName>
    <definedName name="_xlchart.v1.341" hidden="1">Physicochemical_Managed!$R$2:$R$21</definedName>
    <definedName name="_xlchart.v1.342" hidden="1">Physicochemical_Managed!$Y$2:$Y$21</definedName>
    <definedName name="_xlchart.v1.343" hidden="1">Physicochemical_Managed!$Q$40:$Q$57</definedName>
    <definedName name="_xlchart.v1.344" hidden="1">Physicochemical_Managed!$Y$40:$Y$57</definedName>
    <definedName name="_xlchart.v1.345" hidden="1">Physicochemical_Managed!$S$2:$S$21</definedName>
    <definedName name="_xlchart.v1.346" hidden="1">Physicochemical_Managed!$T$2:$T$21</definedName>
    <definedName name="_xlchart.v1.347" hidden="1">Physicochemical_Managed!$U$2:$U$21</definedName>
    <definedName name="_xlchart.v1.348" hidden="1">Physicochemical_Managed!$Y$2:$Y$21</definedName>
    <definedName name="_xlchart.v1.349" hidden="1">Physicochemical_Managed!$V$2:$V$21</definedName>
    <definedName name="_xlchart.v1.35" hidden="1">qPCR_Unique!$X$61:$X$118</definedName>
    <definedName name="_xlchart.v1.350" hidden="1">Physicochemical_Managed!$W$2:$W$21</definedName>
    <definedName name="_xlchart.v1.351" hidden="1">Physicochemical_Managed!$Y$2:$Y$21</definedName>
    <definedName name="_xlchart.v1.352" hidden="1">Physicochemical_Managed!$R$22:$R$39</definedName>
    <definedName name="_xlchart.v1.353" hidden="1">Physicochemical_Managed!$Y$22:$Y$39</definedName>
    <definedName name="_xlchart.v1.354" hidden="1">Physicochemical_Managed!$Q$22:$Q$39</definedName>
    <definedName name="_xlchart.v1.355" hidden="1">Physicochemical_Managed!$Y$22:$Y$39</definedName>
    <definedName name="_xlchart.v1.356" hidden="1">Physicochemical_Managed!$V$22:$V$39</definedName>
    <definedName name="_xlchart.v1.357" hidden="1">Physicochemical_Managed!$W$22:$W$39</definedName>
    <definedName name="_xlchart.v1.358" hidden="1">Physicochemical_Managed!$Y$22:$Y$39</definedName>
    <definedName name="_xlchart.v1.359" hidden="1">Physicochemical_Managed!$R$40:$R$57</definedName>
    <definedName name="_xlchart.v1.36" hidden="1">(qPCR_Unique!$I$3:$I$19,qPCR_Unique!$AA$20,qPCR_Unique!$I$21:$I$60)</definedName>
    <definedName name="_xlchart.v1.360" hidden="1">Physicochemical_Managed!$Y$40:$Y$57</definedName>
    <definedName name="_xlchart.v1.361" hidden="1">Physicochemical_Managed!$Q$77:$Q$109</definedName>
    <definedName name="_xlchart.v1.362" hidden="1">Physicochemical_Managed!$Y$77:$Y$109</definedName>
    <definedName name="_xlchart.v1.363" hidden="1">Physicochemical_Managed!$R$77:$R$109</definedName>
    <definedName name="_xlchart.v1.364" hidden="1">Physicochemical_Managed!$Y$77:$Y$109</definedName>
    <definedName name="_xlchart.v1.365" hidden="1">Physicochemical_Managed!$X$58:$X$76</definedName>
    <definedName name="_xlchart.v1.366" hidden="1">Physicochemical_Managed!$Y$58:$Y$76</definedName>
    <definedName name="_xlchart.v1.367" hidden="1">Physicochemical_Managed!$Q$58:$Q$76</definedName>
    <definedName name="_xlchart.v1.368" hidden="1">Physicochemical_Managed!$Y$58:$Y$76</definedName>
    <definedName name="_xlchart.v1.369" hidden="1">Physicochemical_Managed!$X$77:$X$109</definedName>
    <definedName name="_xlchart.v1.37" hidden="1">qPCR_Unique!$F$3:$F$60</definedName>
    <definedName name="_xlchart.v1.370" hidden="1">Physicochemical_Managed!$Y$77:$Y$109</definedName>
    <definedName name="_xlchart.v1.371" hidden="1">Physicochemical_Managed!$S$58:$S$76</definedName>
    <definedName name="_xlchart.v1.372" hidden="1">Physicochemical_Managed!$T$58:$T$76</definedName>
    <definedName name="_xlchart.v1.373" hidden="1">Physicochemical_Managed!$U$58:$U$76</definedName>
    <definedName name="_xlchart.v1.374" hidden="1">Physicochemical_Managed!$Y$58:$Y$76</definedName>
    <definedName name="_xlchart.v1.375" hidden="1">Physicochemical_Managed!$R$2:$R$76</definedName>
    <definedName name="_xlchart.v1.376" hidden="1">Physicochemical_Managed!$Y$2:$Y$76</definedName>
    <definedName name="_xlchart.v1.377" hidden="1">Physicochemical_Managed!$S$77:$S$109</definedName>
    <definedName name="_xlchart.v1.378" hidden="1">Physicochemical_Managed!$T$77:$T$109</definedName>
    <definedName name="_xlchart.v1.379" hidden="1">Physicochemical_Managed!$U$77:$U$109</definedName>
    <definedName name="_xlchart.v1.38" hidden="1">qPCR_Unique!$H$1</definedName>
    <definedName name="_xlchart.v1.380" hidden="1">Physicochemical_Managed!$Y$77:$Y$109</definedName>
    <definedName name="_xlchart.v1.381" hidden="1">Physicochemical_Managed!$Q$2:$Q$76</definedName>
    <definedName name="_xlchart.v1.382" hidden="1">Physicochemical_Managed!$Y$2:$Y$76</definedName>
    <definedName name="_xlchart.v1.383" hidden="1">Physicochemical_Managed!$Q$110:$Q$143</definedName>
    <definedName name="_xlchart.v1.384" hidden="1">Physicochemical_Managed!$Y$110:$Y$143</definedName>
    <definedName name="_xlchart.v1.385" hidden="1">Physicochemical_Managed!$V$58:$V$76</definedName>
    <definedName name="_xlchart.v1.386" hidden="1">Physicochemical_Managed!$W$58:$W$76</definedName>
    <definedName name="_xlchart.v1.387" hidden="1">Physicochemical_Managed!$Y$58:$Y$76</definedName>
    <definedName name="_xlchart.v1.388" hidden="1">Physicochemical_Managed!$X$2:$X$76</definedName>
    <definedName name="_xlchart.v1.389" hidden="1">Physicochemical_Managed!$Y$2:$Y$76</definedName>
    <definedName name="_xlchart.v1.39" hidden="1">(qPCR_Periods!$I$3:$I$8,qPCR_Periods!$AB$9,qPCR_Periods!$I$10:$I$18)</definedName>
    <definedName name="_xlchart.v1.390" hidden="1">Physicochemical_Managed!$S$2:$S$76</definedName>
    <definedName name="_xlchart.v1.391" hidden="1">Physicochemical_Managed!$T$2:$T$76</definedName>
    <definedName name="_xlchart.v1.392" hidden="1">Physicochemical_Managed!$U$2:$U$76</definedName>
    <definedName name="_xlchart.v1.393" hidden="1">Physicochemical_Managed!$Y$2:$Y$76</definedName>
    <definedName name="_xlchart.v1.394" hidden="1">Physicochemical_Managed!$V$2:$V$76</definedName>
    <definedName name="_xlchart.v1.395" hidden="1">Physicochemical_Managed!$W$2:$W$76</definedName>
    <definedName name="_xlchart.v1.396" hidden="1">Physicochemical_Managed!$Y$2:$Y$76</definedName>
    <definedName name="_xlchart.v1.397" hidden="1">Physicochemical_Managed!$R$58:$R$76</definedName>
    <definedName name="_xlchart.v1.398" hidden="1">Physicochemical_Managed!$Y$58:$Y$76</definedName>
    <definedName name="_xlchart.v1.399" hidden="1">Physicochemical_Managed!$V$77:$V$109</definedName>
    <definedName name="_xlchart.v1.4" hidden="1">qPCR_Unique!$O$3:$O$60</definedName>
    <definedName name="_xlchart.v1.40" hidden="1">qPCR_Periods!$F$3:$F$18</definedName>
    <definedName name="_xlchart.v1.400" hidden="1">Physicochemical_Managed!$W$77:$W$109</definedName>
    <definedName name="_xlchart.v1.401" hidden="1">Physicochemical_Managed!$Y$77:$Y$109</definedName>
    <definedName name="_xlchart.v1.402" hidden="1">Physicochemical_Managed!$X$144:$X$175</definedName>
    <definedName name="_xlchart.v1.403" hidden="1">Physicochemical_Managed!$Y$144:$Y$175</definedName>
    <definedName name="_xlchart.v1.404" hidden="1">Physicochemical_Managed!$R$144:$R$175</definedName>
    <definedName name="_xlchart.v1.405" hidden="1">Physicochemical_Managed!$Y$144:$Y$175</definedName>
    <definedName name="_xlchart.v1.406" hidden="1">Physicochemical_Managed!$V$110:$V$143</definedName>
    <definedName name="_xlchart.v1.407" hidden="1">Physicochemical_Managed!$W$110:$W$143</definedName>
    <definedName name="_xlchart.v1.408" hidden="1">Physicochemical_Managed!$Y$110:$Y$143</definedName>
    <definedName name="_xlchart.v1.409" hidden="1">Physicochemical_Managed!$S$144:$S$175</definedName>
    <definedName name="_xlchart.v1.41" hidden="1">qPCR_Periods!$H$1</definedName>
    <definedName name="_xlchart.v1.410" hidden="1">Physicochemical_Managed!$T$144:$T$175</definedName>
    <definedName name="_xlchart.v1.411" hidden="1">Physicochemical_Managed!$U$144:$U$175</definedName>
    <definedName name="_xlchart.v1.412" hidden="1">Physicochemical_Managed!$Y$144:$Y$175</definedName>
    <definedName name="_xlchart.v1.413" hidden="1">Physicochemical_Managed!$R$176:$R$207</definedName>
    <definedName name="_xlchart.v1.414" hidden="1">Physicochemical_Managed!$Y$176:$Y$207</definedName>
    <definedName name="_xlchart.v1.415" hidden="1">Physicochemical_Managed!$S$176:$S$207</definedName>
    <definedName name="_xlchart.v1.416" hidden="1">Physicochemical_Managed!$T$176:$T$207</definedName>
    <definedName name="_xlchart.v1.417" hidden="1">Physicochemical_Managed!$U$176:$U$207</definedName>
    <definedName name="_xlchart.v1.418" hidden="1">Physicochemical_Managed!$Y$176:$Y$207</definedName>
    <definedName name="_xlchart.v1.419" hidden="1">Physicochemical_Managed!$V$176:$V$207</definedName>
    <definedName name="_xlchart.v1.42" hidden="1">qPCR_Periods!$F$19:$F$33</definedName>
    <definedName name="_xlchart.v1.420" hidden="1">Physicochemical_Managed!$W$176:$W$207</definedName>
    <definedName name="_xlchart.v1.421" hidden="1">Physicochemical_Managed!$Y$176:$Y$207</definedName>
    <definedName name="_xlchart.v1.422" hidden="1">Physicochemical_Managed!$R$110:$R$143</definedName>
    <definedName name="_xlchart.v1.423" hidden="1">Physicochemical_Managed!$Y$110:$Y$143</definedName>
    <definedName name="_xlchart.v1.424" hidden="1">Physicochemical_Managed!$X$176:$X$207</definedName>
    <definedName name="_xlchart.v1.425" hidden="1">Physicochemical_Managed!$Y$176:$Y$207</definedName>
    <definedName name="_xlchart.v1.426" hidden="1">Physicochemical_Managed!$Q$77:$Q$207</definedName>
    <definedName name="_xlchart.v1.427" hidden="1">Physicochemical_Managed!$Y$77:$Y$207</definedName>
    <definedName name="_xlchart.v1.428" hidden="1">Physicochemical_Managed!$X$110:$X$143</definedName>
    <definedName name="_xlchart.v1.429" hidden="1">Physicochemical_Managed!$Y$110:$Y$143</definedName>
    <definedName name="_xlchart.v1.43" hidden="1">qPCR_Periods!$K$1</definedName>
    <definedName name="_xlchart.v1.430" hidden="1">Physicochemical_Managed!$R$77:$R$207</definedName>
    <definedName name="_xlchart.v1.431" hidden="1">Physicochemical_Managed!$Y$77:$Y$207</definedName>
    <definedName name="_xlchart.v1.432" hidden="1">Physicochemical_Managed!$Q$144:$Q$175</definedName>
    <definedName name="_xlchart.v1.433" hidden="1">Physicochemical_Managed!$Y$144:$Y$175</definedName>
    <definedName name="_xlchart.v1.434" hidden="1">Physicochemical_Managed!$Q$176:$Q$207</definedName>
    <definedName name="_xlchart.v1.435" hidden="1">Physicochemical_Managed!$Y$176:$Y$207</definedName>
    <definedName name="_xlchart.v1.436" hidden="1">Physicochemical_Managed!$S$110:$S$143</definedName>
    <definedName name="_xlchart.v1.437" hidden="1">Physicochemical_Managed!$T$110:$T$143</definedName>
    <definedName name="_xlchart.v1.438" hidden="1">Physicochemical_Managed!$U$110:$U$143</definedName>
    <definedName name="_xlchart.v1.439" hidden="1">Physicochemical_Managed!$Y$110:$Y$143</definedName>
    <definedName name="_xlchart.v1.44" hidden="1">qPCR_Periods!$L$19:$L$33</definedName>
    <definedName name="_xlchart.v1.440" hidden="1">Physicochemical_Managed!$V$144:$V$175</definedName>
    <definedName name="_xlchart.v1.441" hidden="1">Physicochemical_Managed!$W$144:$W$175</definedName>
    <definedName name="_xlchart.v1.442" hidden="1">Physicochemical_Managed!$Y$144:$Y$175</definedName>
    <definedName name="_xlchart.v1.443" hidden="1">Physicochemical_Managed!$V$2:$V$207</definedName>
    <definedName name="_xlchart.v1.444" hidden="1">Physicochemical_Managed!$W$2:$W$207</definedName>
    <definedName name="_xlchart.v1.445" hidden="1">Physicochemical_Managed!$Y$2:$Y$207</definedName>
    <definedName name="_xlchart.v1.446" hidden="1">Physicochemical_Managed!$X$77:$X$207</definedName>
    <definedName name="_xlchart.v1.447" hidden="1">Physicochemical_Managed!$Y$77:$Y$207</definedName>
    <definedName name="_xlchart.v1.448" hidden="1">Physicochemical_Managed!$Q$2:$Q$207</definedName>
    <definedName name="_xlchart.v1.449" hidden="1">Physicochemical_Managed!$Y$2:$Y$207</definedName>
    <definedName name="_xlchart.v1.45" hidden="1">qPCR_Periods!$N$1</definedName>
    <definedName name="_xlchart.v1.450" hidden="1">Physicochemical_Managed!$S$77:$S$207</definedName>
    <definedName name="_xlchart.v1.451" hidden="1">Physicochemical_Managed!$T$77:$T$207</definedName>
    <definedName name="_xlchart.v1.452" hidden="1">Physicochemical_Managed!$U$77:$U$207</definedName>
    <definedName name="_xlchart.v1.453" hidden="1">Physicochemical_Managed!$Y$77:$Y$207</definedName>
    <definedName name="_xlchart.v1.454" hidden="1">Physicochemical_Managed!$S$2:$S$207</definedName>
    <definedName name="_xlchart.v1.455" hidden="1">Physicochemical_Managed!$T$2:$T$207</definedName>
    <definedName name="_xlchart.v1.456" hidden="1">Physicochemical_Managed!$U$2:$U$207</definedName>
    <definedName name="_xlchart.v1.457" hidden="1">Physicochemical_Managed!$Y$2:$Y$207</definedName>
    <definedName name="_xlchart.v1.458" hidden="1">Physicochemical_Managed!$V$77:$V$207</definedName>
    <definedName name="_xlchart.v1.459" hidden="1">Physicochemical_Managed!$W$77:$W$207</definedName>
    <definedName name="_xlchart.v1.46" hidden="1">qPCR_Periods!$O$19:$O$33</definedName>
    <definedName name="_xlchart.v1.460" hidden="1">Physicochemical_Managed!$Y$77:$Y$207</definedName>
    <definedName name="_xlchart.v1.461" hidden="1">Physicochemical_Managed!$X$2:$X$207</definedName>
    <definedName name="_xlchart.v1.462" hidden="1">Physicochemical_Managed!$Y$2:$Y$207</definedName>
    <definedName name="_xlchart.v1.463" hidden="1">Physicochemical_Managed!$R$2:$R$207</definedName>
    <definedName name="_xlchart.v1.464" hidden="1">Physicochemical_Managed!$Y$2:$Y$207</definedName>
    <definedName name="_xlchart.v1.465" hidden="1">Physicochemical_Sorted!$A$140:$A$207</definedName>
    <definedName name="_xlchart.v1.466" hidden="1">Physicochemical_Sorted!$F$140:$F$207</definedName>
    <definedName name="_xlchart.v1.467" hidden="1">Physicochemical_Sorted!$A$2:$A$61</definedName>
    <definedName name="_xlchart.v1.468" hidden="1">Physicochemical_Sorted!$G$2:$G$61</definedName>
    <definedName name="_xlchart.v1.469" hidden="1">Physicochemical_Sorted!$A$2:$A$207</definedName>
    <definedName name="_xlchart.v1.47" hidden="1">qPCR_Periods!$Q$1</definedName>
    <definedName name="_xlchart.v1.470" hidden="1">Physicochemical_Sorted!$H$2:$H$207</definedName>
    <definedName name="_xlchart.v1.471" hidden="1">Physicochemical_Sorted!$A$62:$A$139</definedName>
    <definedName name="_xlchart.v1.472" hidden="1">Physicochemical_Sorted!$G$62:$G$139</definedName>
    <definedName name="_xlchart.v1.48" hidden="1">qPCR_Periods!$R$19:$R$33</definedName>
    <definedName name="_xlchart.v1.49" hidden="1">qPCR_Periods!$T$1</definedName>
    <definedName name="_xlchart.v1.5" hidden="1">qPCR_Unique!$Q$1</definedName>
    <definedName name="_xlchart.v1.50" hidden="1">qPCR_Periods!$U$19:$U$33</definedName>
    <definedName name="_xlchart.v1.51" hidden="1">qPCR_Periods!$W$1</definedName>
    <definedName name="_xlchart.v1.52" hidden="1">qPCR_Periods!$X$19:$X$33</definedName>
    <definedName name="_xlchart.v1.53" hidden="1">qPCR_Periods!$F$102:$F$121</definedName>
    <definedName name="_xlchart.v1.54" hidden="1">qPCR_Periods!$H$1</definedName>
    <definedName name="_xlchart.v1.55" hidden="1">qPCR_Periods!$I$102:$I$121</definedName>
    <definedName name="_xlchart.v1.56" hidden="1">qPCR_Periods!$F$122:$F$141</definedName>
    <definedName name="_xlchart.v1.57" hidden="1">qPCR_Periods!$H$1</definedName>
    <definedName name="_xlchart.v1.58" hidden="1">qPCR_Periods!$I$122:$I$141</definedName>
    <definedName name="_xlchart.v1.59" hidden="1">qPCR_Periods!$F$19:$F$33</definedName>
    <definedName name="_xlchart.v1.6" hidden="1">qPCR_Unique!$R$3:$R$60</definedName>
    <definedName name="_xlchart.v1.60" hidden="1">qPCR_Periods!$H$1</definedName>
    <definedName name="_xlchart.v1.61" hidden="1">qPCR_Periods!$I$19:$I$33</definedName>
    <definedName name="_xlchart.v1.62" hidden="1">qPCR_Periods!$F$102:$F$121</definedName>
    <definedName name="_xlchart.v1.63" hidden="1">qPCR_Periods!$K$1</definedName>
    <definedName name="_xlchart.v1.64" hidden="1">qPCR_Periods!$L$102:$L$121</definedName>
    <definedName name="_xlchart.v1.65" hidden="1">qPCR_Periods!$N$1</definedName>
    <definedName name="_xlchart.v1.66" hidden="1">qPCR_Periods!$O$102:$O$121</definedName>
    <definedName name="_xlchart.v1.67" hidden="1">qPCR_Periods!$Q$1</definedName>
    <definedName name="_xlchart.v1.68" hidden="1">qPCR_Periods!$R$102:$R$121</definedName>
    <definedName name="_xlchart.v1.69" hidden="1">qPCR_Periods!$T$1</definedName>
    <definedName name="_xlchart.v1.7" hidden="1">qPCR_Unique!$T$1</definedName>
    <definedName name="_xlchart.v1.70" hidden="1">qPCR_Periods!$U$102:$U$121</definedName>
    <definedName name="_xlchart.v1.71" hidden="1">qPCR_Periods!$W$1</definedName>
    <definedName name="_xlchart.v1.72" hidden="1">qPCR_Periods!$X$102:$X$121</definedName>
    <definedName name="_xlchart.v1.73" hidden="1">qPCR_Periods!$F$64:$F$86</definedName>
    <definedName name="_xlchart.v1.74" hidden="1">qPCR_Periods!$K$1</definedName>
    <definedName name="_xlchart.v1.75" hidden="1">qPCR_Periods!$L$64:$L$86</definedName>
    <definedName name="_xlchart.v1.76" hidden="1">qPCR_Periods!$N$1</definedName>
    <definedName name="_xlchart.v1.77" hidden="1">qPCR_Periods!$O$64:$O$86</definedName>
    <definedName name="_xlchart.v1.78" hidden="1">qPCR_Periods!$Q$1</definedName>
    <definedName name="_xlchart.v1.79" hidden="1">qPCR_Periods!$R$64:$R$86</definedName>
    <definedName name="_xlchart.v1.8" hidden="1">qPCR_Unique!$U$3:$U$60</definedName>
    <definedName name="_xlchart.v1.80" hidden="1">qPCR_Periods!$T$1</definedName>
    <definedName name="_xlchart.v1.81" hidden="1">qPCR_Periods!$U$64:$U$86</definedName>
    <definedName name="_xlchart.v1.82" hidden="1">qPCR_Periods!$W$1</definedName>
    <definedName name="_xlchart.v1.83" hidden="1">qPCR_Periods!$X$64:$X$86</definedName>
    <definedName name="_xlchart.v1.84" hidden="1">qPCR_Periods!$F$122:$F$141</definedName>
    <definedName name="_xlchart.v1.85" hidden="1">qPCR_Periods!$K$1</definedName>
    <definedName name="_xlchart.v1.86" hidden="1">qPCR_Periods!$L$122:$L$141</definedName>
    <definedName name="_xlchart.v1.87" hidden="1">qPCR_Periods!$N$1</definedName>
    <definedName name="_xlchart.v1.88" hidden="1">qPCR_Periods!$O$122:$O$141</definedName>
    <definedName name="_xlchart.v1.89" hidden="1">qPCR_Periods!$Q$1</definedName>
    <definedName name="_xlchart.v1.9" hidden="1">qPCR_Unique!$W$1</definedName>
    <definedName name="_xlchart.v1.90" hidden="1">qPCR_Periods!$R$122:$R$141</definedName>
    <definedName name="_xlchart.v1.91" hidden="1">qPCR_Periods!$T$1</definedName>
    <definedName name="_xlchart.v1.92" hidden="1">qPCR_Periods!$U$122:$U$141</definedName>
    <definedName name="_xlchart.v1.93" hidden="1">qPCR_Periods!$W$1</definedName>
    <definedName name="_xlchart.v1.94" hidden="1">qPCR_Periods!$X$122:$X$141</definedName>
    <definedName name="_xlchart.v1.95" hidden="1">qPCR_Periods!$F$42:$F$63</definedName>
    <definedName name="_xlchart.v1.96" hidden="1">qPCR_Periods!$H$1</definedName>
    <definedName name="_xlchart.v1.97" hidden="1">qPCR_Periods!$I$42:$I$63</definedName>
    <definedName name="_xlchart.v1.98" hidden="1">qPCR_Periods!$F$64:$F$86</definedName>
    <definedName name="_xlchart.v1.99" hidden="1">qPCR_Periods!$H$1</definedName>
    <definedName name="All">#REF!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4" i="34" l="1" a="1"/>
  <c r="J4" i="34" s="1"/>
  <c r="J5" i="34" a="1"/>
  <c r="J5" i="34" s="1"/>
  <c r="J6" i="34" a="1"/>
  <c r="J6" i="34" s="1"/>
  <c r="J7" i="34" a="1"/>
  <c r="J7" i="34" s="1"/>
  <c r="J8" i="34" a="1"/>
  <c r="J8" i="34" s="1"/>
  <c r="J3" i="34" a="1"/>
  <c r="J3" i="34" s="1"/>
  <c r="K4" i="34" a="1"/>
  <c r="K4" i="34" s="1"/>
  <c r="K5" i="34" a="1"/>
  <c r="K5" i="34" s="1"/>
  <c r="K6" i="34" a="1"/>
  <c r="K6" i="34" s="1"/>
  <c r="K7" i="34" a="1"/>
  <c r="K7" i="34" s="1"/>
  <c r="K8" i="34" a="1"/>
  <c r="K8" i="34" s="1"/>
  <c r="K3" i="34" a="1"/>
  <c r="K3" i="34" s="1"/>
  <c r="H4" i="34" a="1"/>
  <c r="H4" i="34" s="1"/>
  <c r="H5" i="34" a="1"/>
  <c r="H5" i="34" s="1"/>
  <c r="H6" i="34" a="1"/>
  <c r="H6" i="34" s="1"/>
  <c r="H7" i="34" a="1"/>
  <c r="H7" i="34" s="1"/>
  <c r="H8" i="34" a="1"/>
  <c r="H8" i="34" s="1"/>
  <c r="H3" i="34" a="1"/>
  <c r="H3" i="34" s="1"/>
  <c r="I3" i="34" a="1"/>
  <c r="I3" i="34" s="1"/>
  <c r="B3" i="34" a="1"/>
  <c r="B3" i="34" s="1"/>
  <c r="A3" i="34" s="1" a="1"/>
  <c r="A3" i="34" s="1"/>
  <c r="L38" i="33"/>
  <c r="M38" i="33" s="1" a="1"/>
  <c r="M38" i="33" s="1"/>
  <c r="L39" i="33"/>
  <c r="M39" i="33" s="1" a="1"/>
  <c r="M39" i="33" s="1"/>
  <c r="L40" i="33"/>
  <c r="M40" i="33" a="1"/>
  <c r="M40" i="33" s="1"/>
  <c r="L41" i="33"/>
  <c r="M41" i="33" s="1" a="1"/>
  <c r="M41" i="33" s="1"/>
  <c r="L42" i="33"/>
  <c r="M42" i="33" s="1" a="1"/>
  <c r="M42" i="33" s="1"/>
  <c r="L43" i="33"/>
  <c r="M43" i="33" s="1" a="1"/>
  <c r="M43" i="33" s="1"/>
  <c r="L44" i="33"/>
  <c r="M44" i="33" a="1"/>
  <c r="M44" i="33" s="1"/>
  <c r="L45" i="33"/>
  <c r="M45" i="33" s="1" a="1"/>
  <c r="M45" i="33" s="1"/>
  <c r="L46" i="33"/>
  <c r="M46" i="33" s="1" a="1"/>
  <c r="M46" i="33" s="1"/>
  <c r="L47" i="33"/>
  <c r="M47" i="33" s="1" a="1"/>
  <c r="M47" i="33" s="1"/>
  <c r="L48" i="33"/>
  <c r="M48" i="33" a="1"/>
  <c r="M48" i="33" s="1"/>
  <c r="H38" i="33"/>
  <c r="I38" i="33" s="1" a="1"/>
  <c r="I38" i="33" s="1"/>
  <c r="H39" i="33"/>
  <c r="I39" i="33" s="1" a="1"/>
  <c r="I39" i="33" s="1"/>
  <c r="H40" i="33"/>
  <c r="I40" i="33" s="1" a="1"/>
  <c r="I40" i="33" s="1"/>
  <c r="H41" i="33"/>
  <c r="I41" i="33" s="1" a="1"/>
  <c r="I41" i="33" s="1"/>
  <c r="H42" i="33"/>
  <c r="I42" i="33" s="1" a="1"/>
  <c r="I42" i="33" s="1"/>
  <c r="H43" i="33"/>
  <c r="I43" i="33" s="1" a="1"/>
  <c r="I43" i="33" s="1"/>
  <c r="H44" i="33"/>
  <c r="I44" i="33" s="1" a="1"/>
  <c r="I44" i="33" s="1"/>
  <c r="H45" i="33"/>
  <c r="I45" i="33" s="1" a="1"/>
  <c r="I45" i="33" s="1"/>
  <c r="H46" i="33"/>
  <c r="I46" i="33" s="1" a="1"/>
  <c r="I46" i="33" s="1"/>
  <c r="H47" i="33"/>
  <c r="I47" i="33" s="1" a="1"/>
  <c r="I47" i="33" s="1"/>
  <c r="H48" i="33"/>
  <c r="I48" i="33" s="1" a="1"/>
  <c r="I48" i="33" s="1"/>
  <c r="H37" i="33"/>
  <c r="I37" i="33" s="1" a="1"/>
  <c r="I37" i="33" s="1"/>
  <c r="G43" i="33" a="1"/>
  <c r="G43" i="33" s="1"/>
  <c r="F38" i="33"/>
  <c r="F39" i="33"/>
  <c r="F40" i="33"/>
  <c r="F41" i="33"/>
  <c r="F42" i="33"/>
  <c r="F43" i="33"/>
  <c r="F44" i="33"/>
  <c r="G44" i="33" s="1" a="1"/>
  <c r="G44" i="33" s="1"/>
  <c r="J44" i="33" s="1" a="1"/>
  <c r="J44" i="33" s="1"/>
  <c r="K44" i="33" s="1" a="1"/>
  <c r="K44" i="33" s="1"/>
  <c r="F45" i="33"/>
  <c r="F46" i="33"/>
  <c r="F47" i="33"/>
  <c r="G47" i="33" s="1" a="1"/>
  <c r="G47" i="33" s="1"/>
  <c r="F48" i="33"/>
  <c r="G48" i="33" s="1" a="1"/>
  <c r="G48" i="33" s="1"/>
  <c r="J48" i="33" s="1" a="1"/>
  <c r="J48" i="33" s="1"/>
  <c r="K48" i="33" s="1" a="1"/>
  <c r="K48" i="33" s="1"/>
  <c r="F37" i="33"/>
  <c r="D38" i="33"/>
  <c r="E38" i="33"/>
  <c r="D39" i="33"/>
  <c r="E39" i="33"/>
  <c r="D40" i="33"/>
  <c r="E40" i="33"/>
  <c r="D41" i="33"/>
  <c r="E41" i="33"/>
  <c r="D42" i="33"/>
  <c r="E42" i="33"/>
  <c r="D43" i="33"/>
  <c r="E43" i="33"/>
  <c r="D44" i="33"/>
  <c r="E44" i="33"/>
  <c r="D45" i="33"/>
  <c r="E45" i="33"/>
  <c r="D46" i="33"/>
  <c r="E46" i="33"/>
  <c r="D47" i="33"/>
  <c r="E47" i="33"/>
  <c r="D48" i="33"/>
  <c r="E48" i="33"/>
  <c r="E37" i="33"/>
  <c r="D37" i="33"/>
  <c r="C38" i="33"/>
  <c r="C39" i="33"/>
  <c r="C40" i="33"/>
  <c r="C41" i="33"/>
  <c r="C42" i="33"/>
  <c r="C43" i="33"/>
  <c r="C44" i="33"/>
  <c r="C45" i="33"/>
  <c r="C46" i="33"/>
  <c r="C47" i="33"/>
  <c r="C48" i="33"/>
  <c r="C37" i="33"/>
  <c r="A38" i="33"/>
  <c r="B38" i="33" s="1" a="1"/>
  <c r="B38" i="33" s="1"/>
  <c r="A39" i="33"/>
  <c r="B39" i="33" s="1" a="1"/>
  <c r="B39" i="33" s="1"/>
  <c r="A40" i="33"/>
  <c r="B40" i="33" s="1" a="1"/>
  <c r="B40" i="33" s="1"/>
  <c r="A41" i="33"/>
  <c r="B41" i="33" s="1" a="1"/>
  <c r="B41" i="33" s="1"/>
  <c r="A42" i="33"/>
  <c r="B42" i="33" s="1" a="1"/>
  <c r="B42" i="33" s="1"/>
  <c r="A43" i="33"/>
  <c r="B43" i="33" s="1" a="1"/>
  <c r="B43" i="33" s="1"/>
  <c r="A44" i="33"/>
  <c r="B44" i="33" s="1" a="1"/>
  <c r="B44" i="33" s="1"/>
  <c r="A45" i="33"/>
  <c r="B45" i="33" s="1" a="1"/>
  <c r="B45" i="33" s="1"/>
  <c r="A46" i="33"/>
  <c r="B46" i="33" s="1" a="1"/>
  <c r="B46" i="33" s="1"/>
  <c r="A47" i="33"/>
  <c r="B47" i="33" s="1" a="1"/>
  <c r="B47" i="33" s="1"/>
  <c r="A48" i="33"/>
  <c r="B48" i="33" s="1" a="1"/>
  <c r="B48" i="33" s="1"/>
  <c r="A37" i="33"/>
  <c r="B37" i="33" s="1" a="1"/>
  <c r="B37" i="33" s="1"/>
  <c r="I21" i="33" a="1"/>
  <c r="I21" i="33" s="1"/>
  <c r="I23" i="33" a="1"/>
  <c r="I23" i="33" s="1"/>
  <c r="I25" i="33" a="1"/>
  <c r="I25" i="33" s="1"/>
  <c r="H20" i="33"/>
  <c r="I20" i="33" s="1" a="1"/>
  <c r="I20" i="33" s="1"/>
  <c r="H21" i="33"/>
  <c r="H22" i="33"/>
  <c r="I22" i="33" s="1" a="1"/>
  <c r="I22" i="33" s="1"/>
  <c r="H23" i="33"/>
  <c r="H24" i="33"/>
  <c r="I24" i="33" s="1" a="1"/>
  <c r="I24" i="33" s="1"/>
  <c r="H25" i="33"/>
  <c r="H26" i="33"/>
  <c r="I26" i="33" s="1" a="1"/>
  <c r="I26" i="33" s="1"/>
  <c r="H27" i="33"/>
  <c r="I27" i="33" s="1" a="1"/>
  <c r="I27" i="33" s="1"/>
  <c r="H28" i="33"/>
  <c r="I28" i="33" s="1" a="1"/>
  <c r="I28" i="33" s="1"/>
  <c r="H29" i="33"/>
  <c r="I29" i="33" s="1" a="1"/>
  <c r="I29" i="33" s="1"/>
  <c r="H30" i="33"/>
  <c r="I30" i="33" s="1" a="1"/>
  <c r="I30" i="33" s="1"/>
  <c r="H19" i="33"/>
  <c r="I19" i="33" s="1" a="1"/>
  <c r="I19" i="33" s="1"/>
  <c r="F19" i="33"/>
  <c r="G20" i="33" a="1"/>
  <c r="G20" i="33" s="1"/>
  <c r="G22" i="33" a="1"/>
  <c r="G22" i="33" s="1"/>
  <c r="J22" i="33" s="1" a="1"/>
  <c r="J22" i="33" s="1"/>
  <c r="K22" i="33" s="1" a="1"/>
  <c r="K22" i="33" s="1"/>
  <c r="F20" i="33"/>
  <c r="J20" i="33" s="1" a="1"/>
  <c r="J20" i="33" s="1"/>
  <c r="K20" i="33" s="1" a="1"/>
  <c r="K20" i="33" s="1"/>
  <c r="F21" i="33"/>
  <c r="F22" i="33"/>
  <c r="F23" i="33"/>
  <c r="G23" i="33" s="1" a="1"/>
  <c r="G23" i="33" s="1"/>
  <c r="F24" i="33"/>
  <c r="G24" i="33" s="1" a="1"/>
  <c r="G24" i="33" s="1"/>
  <c r="F25" i="33"/>
  <c r="F26" i="33"/>
  <c r="F27" i="33"/>
  <c r="G27" i="33" s="1" a="1"/>
  <c r="G27" i="33" s="1"/>
  <c r="F28" i="33"/>
  <c r="G28" i="33" s="1" a="1"/>
  <c r="G28" i="33" s="1"/>
  <c r="F29" i="33"/>
  <c r="F30" i="33"/>
  <c r="E20" i="33"/>
  <c r="E21" i="33"/>
  <c r="E22" i="33"/>
  <c r="E23" i="33"/>
  <c r="E24" i="33"/>
  <c r="E25" i="33"/>
  <c r="E26" i="33"/>
  <c r="E27" i="33"/>
  <c r="E28" i="33"/>
  <c r="E29" i="33"/>
  <c r="E30" i="33"/>
  <c r="E19" i="33"/>
  <c r="D20" i="33"/>
  <c r="D21" i="33"/>
  <c r="D22" i="33"/>
  <c r="D23" i="33"/>
  <c r="D24" i="33"/>
  <c r="D25" i="33"/>
  <c r="D26" i="33"/>
  <c r="D27" i="33"/>
  <c r="D28" i="33"/>
  <c r="D29" i="33"/>
  <c r="D30" i="33"/>
  <c r="D19" i="33"/>
  <c r="C20" i="33"/>
  <c r="L20" i="33" s="1"/>
  <c r="M20" i="33" s="1" a="1"/>
  <c r="M20" i="33" s="1"/>
  <c r="C21" i="33"/>
  <c r="C22" i="33"/>
  <c r="L22" i="33" s="1"/>
  <c r="M22" i="33" s="1" a="1"/>
  <c r="M22" i="33" s="1"/>
  <c r="C23" i="33"/>
  <c r="C24" i="33"/>
  <c r="L24" i="33" s="1"/>
  <c r="M24" i="33" s="1" a="1"/>
  <c r="M24" i="33" s="1"/>
  <c r="C25" i="33"/>
  <c r="C26" i="33"/>
  <c r="L26" i="33" s="1"/>
  <c r="M26" i="33" s="1" a="1"/>
  <c r="M26" i="33" s="1"/>
  <c r="C27" i="33"/>
  <c r="C28" i="33"/>
  <c r="L28" i="33" s="1"/>
  <c r="M28" i="33" s="1" a="1"/>
  <c r="M28" i="33" s="1"/>
  <c r="C29" i="33"/>
  <c r="C30" i="33"/>
  <c r="L30" i="33" s="1"/>
  <c r="M30" i="33" s="1" a="1"/>
  <c r="M30" i="33" s="1"/>
  <c r="C19" i="33"/>
  <c r="A19" i="33"/>
  <c r="B19" i="33" s="1" a="1"/>
  <c r="B19" i="33" s="1"/>
  <c r="B28" i="33" a="1"/>
  <c r="B28" i="33" s="1"/>
  <c r="B30" i="33" a="1"/>
  <c r="B30" i="33" s="1"/>
  <c r="A20" i="33"/>
  <c r="B20" i="33" s="1" a="1"/>
  <c r="B20" i="33" s="1"/>
  <c r="A21" i="33"/>
  <c r="B21" i="33" s="1" a="1"/>
  <c r="B21" i="33" s="1"/>
  <c r="A22" i="33"/>
  <c r="B22" i="33" s="1" a="1"/>
  <c r="B22" i="33" s="1"/>
  <c r="A23" i="33"/>
  <c r="B23" i="33" s="1" a="1"/>
  <c r="B23" i="33" s="1"/>
  <c r="A24" i="33"/>
  <c r="B24" i="33" s="1" a="1"/>
  <c r="B24" i="33" s="1"/>
  <c r="A25" i="33"/>
  <c r="B25" i="33" s="1" a="1"/>
  <c r="B25" i="33" s="1"/>
  <c r="A26" i="33"/>
  <c r="B26" i="33" s="1" a="1"/>
  <c r="B26" i="33" s="1"/>
  <c r="A27" i="33"/>
  <c r="B27" i="33" s="1" a="1"/>
  <c r="B27" i="33" s="1"/>
  <c r="A28" i="33"/>
  <c r="A29" i="33"/>
  <c r="B29" i="33" s="1" a="1"/>
  <c r="B29" i="33" s="1"/>
  <c r="A30" i="33"/>
  <c r="E6" i="33" a="1"/>
  <c r="E6" i="33" s="1"/>
  <c r="E8" i="33" a="1"/>
  <c r="E8" i="33" s="1"/>
  <c r="E10" i="33" a="1"/>
  <c r="E10" i="33" s="1"/>
  <c r="D10" i="33" a="1"/>
  <c r="D10" i="33" s="1"/>
  <c r="D12" i="33" a="1"/>
  <c r="D12" i="33" s="1"/>
  <c r="H5" i="33"/>
  <c r="I5" i="33" s="1" a="1"/>
  <c r="I5" i="33" s="1"/>
  <c r="H6" i="33"/>
  <c r="I6" i="33" s="1" a="1"/>
  <c r="I6" i="33" s="1"/>
  <c r="H7" i="33"/>
  <c r="I7" i="33" s="1" a="1"/>
  <c r="I7" i="33" s="1"/>
  <c r="H8" i="33"/>
  <c r="I8" i="33" s="1" a="1"/>
  <c r="I8" i="33" s="1"/>
  <c r="H9" i="33"/>
  <c r="I9" i="33" s="1" a="1"/>
  <c r="I9" i="33" s="1"/>
  <c r="H10" i="33"/>
  <c r="I10" i="33" s="1" a="1"/>
  <c r="I10" i="33" s="1"/>
  <c r="H11" i="33"/>
  <c r="I11" i="33" s="1" a="1"/>
  <c r="I11" i="33" s="1"/>
  <c r="H12" i="33"/>
  <c r="I12" i="33" s="1" a="1"/>
  <c r="I12" i="33" s="1"/>
  <c r="F6" i="33"/>
  <c r="F7" i="33"/>
  <c r="G7" i="33" s="1" a="1"/>
  <c r="G7" i="33" s="1"/>
  <c r="F8" i="33"/>
  <c r="F9" i="33"/>
  <c r="F10" i="33"/>
  <c r="F11" i="33"/>
  <c r="G11" i="33" s="1" a="1"/>
  <c r="G11" i="33" s="1"/>
  <c r="F12" i="33"/>
  <c r="G12" i="33" s="1" a="1"/>
  <c r="G12" i="33" s="1"/>
  <c r="F5" i="33"/>
  <c r="G5" i="33" s="1" a="1"/>
  <c r="G5" i="33" s="1"/>
  <c r="C6" i="33"/>
  <c r="L6" i="33" s="1"/>
  <c r="M6" i="33" s="1" a="1"/>
  <c r="M6" i="33" s="1"/>
  <c r="C7" i="33"/>
  <c r="C8" i="33"/>
  <c r="L8" i="33" s="1"/>
  <c r="M8" i="33" s="1" a="1"/>
  <c r="M8" i="33" s="1"/>
  <c r="C9" i="33"/>
  <c r="C10" i="33"/>
  <c r="C11" i="33"/>
  <c r="C12" i="33"/>
  <c r="L12" i="33" s="1"/>
  <c r="M12" i="33" s="1" a="1"/>
  <c r="M12" i="33" s="1"/>
  <c r="C5" i="33"/>
  <c r="A5" i="33"/>
  <c r="E5" i="33" s="1" a="1"/>
  <c r="E5" i="33" s="1"/>
  <c r="A6" i="33"/>
  <c r="B6" i="33" s="1" a="1"/>
  <c r="B6" i="33" s="1"/>
  <c r="A7" i="33"/>
  <c r="B7" i="33" s="1" a="1"/>
  <c r="B7" i="33" s="1"/>
  <c r="A8" i="33"/>
  <c r="B8" i="33" s="1" a="1"/>
  <c r="B8" i="33" s="1"/>
  <c r="A9" i="33"/>
  <c r="B9" i="33" s="1" a="1"/>
  <c r="B9" i="33" s="1"/>
  <c r="A10" i="33"/>
  <c r="B10" i="33" s="1" a="1"/>
  <c r="B10" i="33" s="1"/>
  <c r="A11" i="33"/>
  <c r="B11" i="33" s="1" a="1"/>
  <c r="B11" i="33" s="1"/>
  <c r="A12" i="33"/>
  <c r="B12" i="33" s="1" a="1"/>
  <c r="B12" i="33" s="1"/>
  <c r="I4" i="34" l="1" a="1"/>
  <c r="I4" i="34" s="1"/>
  <c r="I5" i="34" s="1" a="1"/>
  <c r="I5" i="34" s="1"/>
  <c r="I6" i="34" s="1" a="1"/>
  <c r="I6" i="34" s="1"/>
  <c r="D3" i="34" a="1"/>
  <c r="D3" i="34" s="1"/>
  <c r="C3" i="34" a="1"/>
  <c r="C3" i="34" s="1"/>
  <c r="E3" i="34" a="1"/>
  <c r="E3" i="34" s="1"/>
  <c r="B4" i="34" a="1"/>
  <c r="B4" i="34" s="1"/>
  <c r="J43" i="33" a="1"/>
  <c r="J43" i="33" s="1"/>
  <c r="K43" i="33" s="1" a="1"/>
  <c r="K43" i="33" s="1"/>
  <c r="J42" i="33" a="1"/>
  <c r="J42" i="33" s="1"/>
  <c r="K42" i="33" s="1" a="1"/>
  <c r="K42" i="33" s="1"/>
  <c r="J19" i="33" a="1"/>
  <c r="J19" i="33" s="1"/>
  <c r="K19" i="33" s="1" a="1"/>
  <c r="K19" i="33" s="1"/>
  <c r="J27" i="33" a="1"/>
  <c r="J27" i="33" s="1"/>
  <c r="K27" i="33" s="1" a="1"/>
  <c r="K27" i="33" s="1"/>
  <c r="L27" i="33" s="1"/>
  <c r="M27" i="33" s="1" a="1"/>
  <c r="M27" i="33" s="1"/>
  <c r="J37" i="33" a="1"/>
  <c r="J37" i="33" s="1"/>
  <c r="K37" i="33" s="1" a="1"/>
  <c r="K37" i="33" s="1"/>
  <c r="J24" i="33" a="1"/>
  <c r="J24" i="33" s="1"/>
  <c r="K24" i="33" s="1" a="1"/>
  <c r="K24" i="33" s="1"/>
  <c r="G46" i="33" a="1"/>
  <c r="G46" i="33" s="1"/>
  <c r="J46" i="33" s="1" a="1"/>
  <c r="J46" i="33" s="1"/>
  <c r="K46" i="33" s="1" a="1"/>
  <c r="K46" i="33" s="1"/>
  <c r="D5" i="33" a="1"/>
  <c r="D5" i="33" s="1"/>
  <c r="E9" i="33" a="1"/>
  <c r="E9" i="33" s="1"/>
  <c r="G21" i="33" a="1"/>
  <c r="G21" i="33" s="1"/>
  <c r="J21" i="33" s="1" a="1"/>
  <c r="J21" i="33" s="1"/>
  <c r="K21" i="33" s="1" a="1"/>
  <c r="K21" i="33" s="1"/>
  <c r="L21" i="33" s="1"/>
  <c r="M21" i="33" s="1" a="1"/>
  <c r="M21" i="33" s="1"/>
  <c r="J23" i="33" a="1"/>
  <c r="J23" i="33" s="1"/>
  <c r="K23" i="33" s="1" a="1"/>
  <c r="K23" i="33" s="1"/>
  <c r="G45" i="33" a="1"/>
  <c r="G45" i="33" s="1"/>
  <c r="J45" i="33" s="1" a="1"/>
  <c r="J45" i="33" s="1"/>
  <c r="K45" i="33" s="1" a="1"/>
  <c r="K45" i="33" s="1"/>
  <c r="J47" i="33" a="1"/>
  <c r="J47" i="33" s="1"/>
  <c r="K47" i="33" s="1" a="1"/>
  <c r="K47" i="33" s="1"/>
  <c r="D11" i="33" a="1"/>
  <c r="D11" i="33" s="1"/>
  <c r="E7" i="33" a="1"/>
  <c r="E7" i="33" s="1"/>
  <c r="L10" i="33"/>
  <c r="M10" i="33" s="1" a="1"/>
  <c r="M10" i="33" s="1"/>
  <c r="G30" i="33" a="1"/>
  <c r="G30" i="33" s="1"/>
  <c r="J30" i="33" s="1" a="1"/>
  <c r="J30" i="33" s="1"/>
  <c r="K30" i="33" s="1" a="1"/>
  <c r="K30" i="33" s="1"/>
  <c r="G19" i="33" a="1"/>
  <c r="G19" i="33" s="1"/>
  <c r="J28" i="33" a="1"/>
  <c r="J28" i="33" s="1"/>
  <c r="K28" i="33" s="1" a="1"/>
  <c r="K28" i="33" s="1"/>
  <c r="D9" i="33" a="1"/>
  <c r="D9" i="33" s="1"/>
  <c r="G42" i="33" a="1"/>
  <c r="G42" i="33" s="1"/>
  <c r="D8" i="33" a="1"/>
  <c r="D8" i="33" s="1"/>
  <c r="G41" i="33" a="1"/>
  <c r="G41" i="33" s="1"/>
  <c r="J41" i="33" s="1" a="1"/>
  <c r="J41" i="33" s="1"/>
  <c r="K41" i="33" s="1" a="1"/>
  <c r="K41" i="33" s="1"/>
  <c r="D7" i="33" a="1"/>
  <c r="D7" i="33" s="1"/>
  <c r="G26" i="33" a="1"/>
  <c r="G26" i="33" s="1"/>
  <c r="J26" i="33" s="1" a="1"/>
  <c r="J26" i="33" s="1"/>
  <c r="K26" i="33" s="1" a="1"/>
  <c r="K26" i="33" s="1"/>
  <c r="G40" i="33" a="1"/>
  <c r="G40" i="33" s="1"/>
  <c r="J40" i="33" s="1" a="1"/>
  <c r="J40" i="33" s="1"/>
  <c r="K40" i="33" s="1" a="1"/>
  <c r="K40" i="33" s="1"/>
  <c r="G29" i="33" a="1"/>
  <c r="G29" i="33" s="1"/>
  <c r="J29" i="33" s="1" a="1"/>
  <c r="J29" i="33" s="1"/>
  <c r="K29" i="33" s="1" a="1"/>
  <c r="K29" i="33" s="1"/>
  <c r="L29" i="33" s="1"/>
  <c r="M29" i="33" s="1" a="1"/>
  <c r="M29" i="33" s="1"/>
  <c r="D6" i="33" a="1"/>
  <c r="D6" i="33" s="1"/>
  <c r="G39" i="33" a="1"/>
  <c r="G39" i="33" s="1"/>
  <c r="J39" i="33" s="1" a="1"/>
  <c r="J39" i="33" s="1"/>
  <c r="K39" i="33" s="1" a="1"/>
  <c r="K39" i="33" s="1"/>
  <c r="G25" i="33" a="1"/>
  <c r="G25" i="33" s="1"/>
  <c r="J25" i="33" s="1" a="1"/>
  <c r="J25" i="33" s="1"/>
  <c r="K25" i="33" s="1" a="1"/>
  <c r="K25" i="33" s="1"/>
  <c r="L25" i="33" s="1"/>
  <c r="M25" i="33" s="1" a="1"/>
  <c r="M25" i="33" s="1"/>
  <c r="G37" i="33" a="1"/>
  <c r="G37" i="33" s="1"/>
  <c r="G38" i="33" a="1"/>
  <c r="G38" i="33" s="1"/>
  <c r="J38" i="33" s="1" a="1"/>
  <c r="J38" i="33" s="1"/>
  <c r="K38" i="33" s="1" a="1"/>
  <c r="K38" i="33" s="1"/>
  <c r="E12" i="33" a="1"/>
  <c r="E12" i="33" s="1"/>
  <c r="E11" i="33" a="1"/>
  <c r="E11" i="33" s="1"/>
  <c r="L23" i="33"/>
  <c r="M23" i="33" s="1" a="1"/>
  <c r="M23" i="33" s="1"/>
  <c r="L19" i="33"/>
  <c r="M19" i="33" s="1" a="1"/>
  <c r="M19" i="33" s="1"/>
  <c r="J7" i="33" a="1"/>
  <c r="J7" i="33" s="1"/>
  <c r="J12" i="33" a="1"/>
  <c r="J12" i="33" s="1"/>
  <c r="G10" i="33" a="1"/>
  <c r="G10" i="33" s="1"/>
  <c r="J10" i="33" s="1" a="1"/>
  <c r="J10" i="33" s="1"/>
  <c r="K10" i="33" s="1" a="1"/>
  <c r="K10" i="33" s="1"/>
  <c r="G9" i="33" a="1"/>
  <c r="G9" i="33" s="1"/>
  <c r="J9" i="33" s="1" a="1"/>
  <c r="J9" i="33" s="1"/>
  <c r="G8" i="33" a="1"/>
  <c r="G8" i="33" s="1"/>
  <c r="J8" i="33" s="1" a="1"/>
  <c r="J8" i="33" s="1"/>
  <c r="G6" i="33" a="1"/>
  <c r="G6" i="33" s="1"/>
  <c r="J6" i="33" s="1" a="1"/>
  <c r="J6" i="33" s="1"/>
  <c r="J11" i="33" a="1"/>
  <c r="J11" i="33" s="1"/>
  <c r="J5" i="33" a="1"/>
  <c r="J5" i="33" s="1"/>
  <c r="B5" i="33" a="1"/>
  <c r="B5" i="33" s="1"/>
  <c r="I7" i="34" l="1" a="1"/>
  <c r="I7" i="34" s="1"/>
  <c r="I8" i="34" s="1" a="1"/>
  <c r="I8" i="34" s="1"/>
  <c r="C4" i="34" a="1"/>
  <c r="C4" i="34" s="1"/>
  <c r="A4" i="34" a="1"/>
  <c r="A4" i="34" s="1"/>
  <c r="D4" i="34" s="1" a="1"/>
  <c r="D4" i="34" s="1"/>
  <c r="B5" i="34" a="1"/>
  <c r="B5" i="34" s="1"/>
  <c r="L37" i="33"/>
  <c r="M37" i="33" s="1" a="1"/>
  <c r="M37" i="33" s="1"/>
  <c r="K5" i="33" a="1"/>
  <c r="K5" i="33" s="1"/>
  <c r="K11" i="33" a="1"/>
  <c r="K11" i="33" s="1"/>
  <c r="K6" i="33" a="1"/>
  <c r="K6" i="33" s="1"/>
  <c r="K8" i="33" a="1"/>
  <c r="K8" i="33" s="1"/>
  <c r="K12" i="33" a="1"/>
  <c r="K12" i="33" s="1"/>
  <c r="L11" i="33" s="1"/>
  <c r="M11" i="33" s="1" a="1"/>
  <c r="M11" i="33" s="1"/>
  <c r="K9" i="33" a="1"/>
  <c r="K9" i="33" s="1"/>
  <c r="L9" i="33" s="1"/>
  <c r="M9" i="33" s="1" a="1"/>
  <c r="M9" i="33" s="1"/>
  <c r="K7" i="33" a="1"/>
  <c r="K7" i="33" s="1"/>
  <c r="L7" i="33" s="1"/>
  <c r="M7" i="33" s="1" a="1"/>
  <c r="M7" i="33" s="1"/>
  <c r="E4" i="34" l="1" a="1"/>
  <c r="E4" i="34" s="1"/>
  <c r="C5" i="34" a="1"/>
  <c r="C5" i="34" s="1"/>
  <c r="A5" i="34" a="1"/>
  <c r="A5" i="34" s="1"/>
  <c r="E5" i="34" s="1" a="1"/>
  <c r="E5" i="34" s="1"/>
  <c r="B6" i="34" a="1"/>
  <c r="B6" i="34" s="1"/>
  <c r="L5" i="33"/>
  <c r="M5" i="33" s="1" a="1"/>
  <c r="M5" i="33" s="1"/>
  <c r="C6" i="34" l="1" a="1"/>
  <c r="C6" i="34" s="1"/>
  <c r="D5" i="34" a="1"/>
  <c r="D5" i="34" s="1"/>
  <c r="A6" i="34" a="1"/>
  <c r="A6" i="34" s="1"/>
  <c r="E6" i="34" s="1" a="1"/>
  <c r="E6" i="34" s="1"/>
  <c r="B7" i="34" a="1"/>
  <c r="B7" i="34" s="1"/>
  <c r="AL257" i="31"/>
  <c r="AI257" i="31"/>
  <c r="T257" i="31"/>
  <c r="Q257" i="31"/>
  <c r="AL256" i="31"/>
  <c r="AI256" i="31"/>
  <c r="T256" i="31"/>
  <c r="Q256" i="31"/>
  <c r="AL255" i="31"/>
  <c r="AI255" i="31"/>
  <c r="T255" i="31"/>
  <c r="Q255" i="31"/>
  <c r="AL254" i="31"/>
  <c r="AI254" i="31"/>
  <c r="T254" i="31"/>
  <c r="Q254" i="31"/>
  <c r="AL253" i="31"/>
  <c r="AI253" i="31"/>
  <c r="T253" i="31"/>
  <c r="Q253" i="31"/>
  <c r="AL252" i="31"/>
  <c r="AI252" i="31"/>
  <c r="T252" i="31"/>
  <c r="Q252" i="31"/>
  <c r="AL251" i="31"/>
  <c r="AI251" i="31"/>
  <c r="T251" i="31"/>
  <c r="Q251" i="31"/>
  <c r="AL250" i="31"/>
  <c r="AI250" i="31"/>
  <c r="T250" i="31"/>
  <c r="Q250" i="31"/>
  <c r="AL249" i="31"/>
  <c r="AI249" i="31"/>
  <c r="T249" i="31"/>
  <c r="Q249" i="31"/>
  <c r="AL248" i="31"/>
  <c r="AI248" i="31"/>
  <c r="T248" i="31"/>
  <c r="Q248" i="31"/>
  <c r="AL247" i="31"/>
  <c r="AI247" i="31"/>
  <c r="T247" i="31"/>
  <c r="Q247" i="31"/>
  <c r="AL246" i="31"/>
  <c r="AI246" i="31"/>
  <c r="T246" i="31"/>
  <c r="Q246" i="31"/>
  <c r="AL245" i="31"/>
  <c r="AI245" i="31"/>
  <c r="AF245" i="31"/>
  <c r="AC245" i="31"/>
  <c r="Z245" i="31"/>
  <c r="W245" i="31"/>
  <c r="T245" i="31"/>
  <c r="Q245" i="31"/>
  <c r="N245" i="31"/>
  <c r="M245" i="31"/>
  <c r="I245" i="31"/>
  <c r="J245" i="31" s="1"/>
  <c r="AL244" i="31"/>
  <c r="AI244" i="31"/>
  <c r="AF244" i="31"/>
  <c r="AC244" i="31"/>
  <c r="Z244" i="31"/>
  <c r="W244" i="31"/>
  <c r="T244" i="31"/>
  <c r="Q244" i="31"/>
  <c r="N244" i="31"/>
  <c r="M244" i="31"/>
  <c r="I244" i="31"/>
  <c r="J244" i="31" s="1"/>
  <c r="AL243" i="31"/>
  <c r="AI243" i="31"/>
  <c r="AF243" i="31"/>
  <c r="AC243" i="31"/>
  <c r="Z243" i="31"/>
  <c r="W243" i="31"/>
  <c r="T243" i="31"/>
  <c r="Q243" i="31"/>
  <c r="N243" i="31"/>
  <c r="M243" i="31"/>
  <c r="I243" i="31"/>
  <c r="J243" i="31" s="1"/>
  <c r="AL242" i="31"/>
  <c r="AI242" i="31"/>
  <c r="AF242" i="31"/>
  <c r="AC242" i="31"/>
  <c r="Z242" i="31"/>
  <c r="W242" i="31"/>
  <c r="T242" i="31"/>
  <c r="Q242" i="31"/>
  <c r="N242" i="31"/>
  <c r="M242" i="31"/>
  <c r="I242" i="31"/>
  <c r="J242" i="31" s="1"/>
  <c r="AL241" i="31"/>
  <c r="AI241" i="31"/>
  <c r="AF241" i="31"/>
  <c r="AC241" i="31"/>
  <c r="Z241" i="31"/>
  <c r="W241" i="31"/>
  <c r="T241" i="31"/>
  <c r="Q241" i="31"/>
  <c r="N241" i="31"/>
  <c r="M241" i="31"/>
  <c r="I241" i="31"/>
  <c r="J241" i="31" s="1"/>
  <c r="AL240" i="31"/>
  <c r="AI240" i="31"/>
  <c r="AF240" i="31"/>
  <c r="AC240" i="31"/>
  <c r="Z240" i="31"/>
  <c r="W240" i="31"/>
  <c r="T240" i="31"/>
  <c r="Q240" i="31"/>
  <c r="N240" i="31"/>
  <c r="M240" i="31"/>
  <c r="I240" i="31"/>
  <c r="J240" i="31" s="1"/>
  <c r="AL239" i="31"/>
  <c r="AI239" i="31"/>
  <c r="AF239" i="31"/>
  <c r="AC239" i="31"/>
  <c r="Z239" i="31"/>
  <c r="W239" i="31"/>
  <c r="T239" i="31"/>
  <c r="Q239" i="31"/>
  <c r="N239" i="31"/>
  <c r="M239" i="31"/>
  <c r="I239" i="31"/>
  <c r="J239" i="31" s="1"/>
  <c r="AL238" i="31"/>
  <c r="AI238" i="31"/>
  <c r="AF238" i="31"/>
  <c r="AC238" i="31"/>
  <c r="Z238" i="31"/>
  <c r="W238" i="31"/>
  <c r="T238" i="31"/>
  <c r="Q238" i="31"/>
  <c r="N238" i="31"/>
  <c r="M238" i="31"/>
  <c r="I238" i="31"/>
  <c r="J238" i="31" s="1"/>
  <c r="AL237" i="31"/>
  <c r="AI237" i="31"/>
  <c r="AF237" i="31"/>
  <c r="AC237" i="31"/>
  <c r="Z237" i="31"/>
  <c r="W237" i="31"/>
  <c r="T237" i="31"/>
  <c r="Q237" i="31"/>
  <c r="N237" i="31"/>
  <c r="M237" i="31"/>
  <c r="I237" i="31"/>
  <c r="J237" i="31" s="1"/>
  <c r="AL236" i="31"/>
  <c r="AI236" i="31"/>
  <c r="AF236" i="31"/>
  <c r="AC236" i="31"/>
  <c r="Z236" i="31"/>
  <c r="W236" i="31"/>
  <c r="T236" i="31"/>
  <c r="Q236" i="31"/>
  <c r="N236" i="31"/>
  <c r="M236" i="31"/>
  <c r="I236" i="31"/>
  <c r="J236" i="31" s="1"/>
  <c r="AL235" i="31"/>
  <c r="AI235" i="31"/>
  <c r="AF235" i="31"/>
  <c r="AC235" i="31"/>
  <c r="Z235" i="31"/>
  <c r="W235" i="31"/>
  <c r="T235" i="31"/>
  <c r="Q235" i="31"/>
  <c r="N235" i="31"/>
  <c r="M235" i="31"/>
  <c r="I235" i="31"/>
  <c r="J235" i="31" s="1"/>
  <c r="AL234" i="31"/>
  <c r="AI234" i="31"/>
  <c r="AF234" i="31"/>
  <c r="AC234" i="31"/>
  <c r="Z234" i="31"/>
  <c r="W234" i="31"/>
  <c r="T234" i="31"/>
  <c r="Q234" i="31"/>
  <c r="N234" i="31"/>
  <c r="M234" i="31"/>
  <c r="I234" i="31"/>
  <c r="J234" i="31" s="1"/>
  <c r="AL233" i="31"/>
  <c r="AI233" i="31"/>
  <c r="AF233" i="31"/>
  <c r="AC233" i="31"/>
  <c r="Z233" i="31"/>
  <c r="W233" i="31"/>
  <c r="T233" i="31"/>
  <c r="Q233" i="31"/>
  <c r="N233" i="31"/>
  <c r="M233" i="31"/>
  <c r="I233" i="31"/>
  <c r="J233" i="31" s="1"/>
  <c r="AL232" i="31"/>
  <c r="AI232" i="31"/>
  <c r="AF232" i="31"/>
  <c r="AC232" i="31"/>
  <c r="Z232" i="31"/>
  <c r="W232" i="31"/>
  <c r="T232" i="31"/>
  <c r="Q232" i="31"/>
  <c r="N232" i="31"/>
  <c r="M232" i="31"/>
  <c r="I232" i="31"/>
  <c r="J232" i="31" s="1"/>
  <c r="AL231" i="31"/>
  <c r="AI231" i="31"/>
  <c r="AF231" i="31"/>
  <c r="AC231" i="31"/>
  <c r="Z231" i="31"/>
  <c r="W231" i="31"/>
  <c r="T231" i="31"/>
  <c r="Q231" i="31"/>
  <c r="N231" i="31"/>
  <c r="M231" i="31"/>
  <c r="I231" i="31"/>
  <c r="J231" i="31" s="1"/>
  <c r="AL230" i="31"/>
  <c r="AI230" i="31"/>
  <c r="AF230" i="31"/>
  <c r="AC230" i="31"/>
  <c r="Z230" i="31"/>
  <c r="W230" i="31"/>
  <c r="T230" i="31"/>
  <c r="Q230" i="31"/>
  <c r="N230" i="31"/>
  <c r="M230" i="31"/>
  <c r="I230" i="31"/>
  <c r="J230" i="31" s="1"/>
  <c r="AL229" i="31"/>
  <c r="AI229" i="31"/>
  <c r="AF229" i="31"/>
  <c r="AC229" i="31"/>
  <c r="Z229" i="31"/>
  <c r="W229" i="31"/>
  <c r="T229" i="31"/>
  <c r="Q229" i="31"/>
  <c r="N229" i="31"/>
  <c r="M229" i="31"/>
  <c r="I229" i="31"/>
  <c r="J229" i="31" s="1"/>
  <c r="AL228" i="31"/>
  <c r="AI228" i="31"/>
  <c r="AF228" i="31"/>
  <c r="AC228" i="31"/>
  <c r="Z228" i="31"/>
  <c r="W228" i="31"/>
  <c r="T228" i="31"/>
  <c r="Q228" i="31"/>
  <c r="N228" i="31"/>
  <c r="M228" i="31"/>
  <c r="I228" i="31"/>
  <c r="J228" i="31" s="1"/>
  <c r="AL227" i="31"/>
  <c r="AI227" i="31"/>
  <c r="AF227" i="31"/>
  <c r="AC227" i="31"/>
  <c r="Z227" i="31"/>
  <c r="W227" i="31"/>
  <c r="T227" i="31"/>
  <c r="Q227" i="31"/>
  <c r="N227" i="31"/>
  <c r="M227" i="31"/>
  <c r="I227" i="31"/>
  <c r="J227" i="31" s="1"/>
  <c r="AL226" i="31"/>
  <c r="AI226" i="31"/>
  <c r="AF226" i="31"/>
  <c r="AC226" i="31"/>
  <c r="Z226" i="31"/>
  <c r="W226" i="31"/>
  <c r="T226" i="31"/>
  <c r="Q226" i="31"/>
  <c r="N226" i="31"/>
  <c r="M226" i="31"/>
  <c r="I226" i="31"/>
  <c r="J226" i="31" s="1"/>
  <c r="AL225" i="31"/>
  <c r="AI225" i="31"/>
  <c r="AF225" i="31"/>
  <c r="AC225" i="31"/>
  <c r="Z225" i="31"/>
  <c r="W225" i="31"/>
  <c r="T225" i="31"/>
  <c r="Q225" i="31"/>
  <c r="N225" i="31"/>
  <c r="M225" i="31"/>
  <c r="I225" i="31"/>
  <c r="J225" i="31" s="1"/>
  <c r="AL224" i="31"/>
  <c r="AI224" i="31"/>
  <c r="AF224" i="31"/>
  <c r="AC224" i="31"/>
  <c r="Z224" i="31"/>
  <c r="W224" i="31"/>
  <c r="T224" i="31"/>
  <c r="Q224" i="31"/>
  <c r="N224" i="31"/>
  <c r="M224" i="31"/>
  <c r="I224" i="31"/>
  <c r="J224" i="31" s="1"/>
  <c r="AL223" i="31"/>
  <c r="AI223" i="31"/>
  <c r="AF223" i="31"/>
  <c r="AC223" i="31"/>
  <c r="Z223" i="31"/>
  <c r="W223" i="31"/>
  <c r="T223" i="31"/>
  <c r="Q223" i="31"/>
  <c r="N223" i="31"/>
  <c r="M223" i="31"/>
  <c r="I223" i="31"/>
  <c r="J223" i="31" s="1"/>
  <c r="AL222" i="31"/>
  <c r="AI222" i="31"/>
  <c r="AF222" i="31"/>
  <c r="AC222" i="31"/>
  <c r="Z222" i="31"/>
  <c r="W222" i="31"/>
  <c r="T222" i="31"/>
  <c r="Q222" i="31"/>
  <c r="N222" i="31"/>
  <c r="M222" i="31"/>
  <c r="I222" i="31"/>
  <c r="J222" i="31" s="1"/>
  <c r="AL221" i="31"/>
  <c r="AI221" i="31"/>
  <c r="AF221" i="31"/>
  <c r="AC221" i="31"/>
  <c r="Z221" i="31"/>
  <c r="W221" i="31"/>
  <c r="T221" i="31"/>
  <c r="Q221" i="31"/>
  <c r="N221" i="31"/>
  <c r="M221" i="31"/>
  <c r="I221" i="31"/>
  <c r="J221" i="31" s="1"/>
  <c r="AL220" i="31"/>
  <c r="AI220" i="31"/>
  <c r="AF220" i="31"/>
  <c r="AC220" i="31"/>
  <c r="Z220" i="31"/>
  <c r="W220" i="31"/>
  <c r="T220" i="31"/>
  <c r="Q220" i="31"/>
  <c r="N220" i="31"/>
  <c r="M220" i="31"/>
  <c r="I220" i="31"/>
  <c r="J220" i="31" s="1"/>
  <c r="AL219" i="31"/>
  <c r="AI219" i="31"/>
  <c r="AF219" i="31"/>
  <c r="AC219" i="31"/>
  <c r="Z219" i="31"/>
  <c r="W219" i="31"/>
  <c r="T219" i="31"/>
  <c r="Q219" i="31"/>
  <c r="N219" i="31"/>
  <c r="M219" i="31"/>
  <c r="I219" i="31"/>
  <c r="J219" i="31" s="1"/>
  <c r="AL218" i="31"/>
  <c r="AI218" i="31"/>
  <c r="AF218" i="31"/>
  <c r="AC218" i="31"/>
  <c r="Z218" i="31"/>
  <c r="W218" i="31"/>
  <c r="T218" i="31"/>
  <c r="Q218" i="31"/>
  <c r="N218" i="31"/>
  <c r="M218" i="31"/>
  <c r="I218" i="31"/>
  <c r="J218" i="31" s="1"/>
  <c r="AL217" i="31"/>
  <c r="AI217" i="31"/>
  <c r="AF217" i="31"/>
  <c r="AC217" i="31"/>
  <c r="Z217" i="31"/>
  <c r="W217" i="31"/>
  <c r="T217" i="31"/>
  <c r="Q217" i="31"/>
  <c r="N217" i="31"/>
  <c r="M217" i="31"/>
  <c r="I217" i="31"/>
  <c r="J217" i="31" s="1"/>
  <c r="AL216" i="31"/>
  <c r="AI216" i="31"/>
  <c r="AF216" i="31"/>
  <c r="AC216" i="31"/>
  <c r="Z216" i="31"/>
  <c r="W216" i="31"/>
  <c r="T216" i="31"/>
  <c r="Q216" i="31"/>
  <c r="N216" i="31"/>
  <c r="M216" i="31"/>
  <c r="I216" i="31"/>
  <c r="J216" i="31" s="1"/>
  <c r="AL215" i="31"/>
  <c r="AI215" i="31"/>
  <c r="AF215" i="31"/>
  <c r="AC215" i="31"/>
  <c r="Z215" i="31"/>
  <c r="W215" i="31"/>
  <c r="T215" i="31"/>
  <c r="Q215" i="31"/>
  <c r="N215" i="31"/>
  <c r="M215" i="31"/>
  <c r="I215" i="31"/>
  <c r="J215" i="31" s="1"/>
  <c r="AL214" i="31"/>
  <c r="AI214" i="31"/>
  <c r="AF214" i="31"/>
  <c r="AC214" i="31"/>
  <c r="Z214" i="31"/>
  <c r="W214" i="31"/>
  <c r="T214" i="31"/>
  <c r="Q214" i="31"/>
  <c r="N214" i="31"/>
  <c r="M214" i="31"/>
  <c r="I214" i="31"/>
  <c r="J214" i="31" s="1"/>
  <c r="AL213" i="31"/>
  <c r="AI213" i="31"/>
  <c r="AF213" i="31"/>
  <c r="AC213" i="31"/>
  <c r="Z213" i="31"/>
  <c r="W213" i="31"/>
  <c r="T213" i="31"/>
  <c r="Q213" i="31"/>
  <c r="N213" i="31"/>
  <c r="M213" i="31"/>
  <c r="I213" i="31"/>
  <c r="J213" i="31" s="1"/>
  <c r="AL212" i="31"/>
  <c r="AI212" i="31"/>
  <c r="AF212" i="31"/>
  <c r="AC212" i="31"/>
  <c r="Z212" i="31"/>
  <c r="W212" i="31"/>
  <c r="T212" i="31"/>
  <c r="Q212" i="31"/>
  <c r="N212" i="31"/>
  <c r="M212" i="31"/>
  <c r="I212" i="31"/>
  <c r="J212" i="31" s="1"/>
  <c r="AL211" i="31"/>
  <c r="AI211" i="31"/>
  <c r="AF211" i="31"/>
  <c r="AC211" i="31"/>
  <c r="Z211" i="31"/>
  <c r="W211" i="31"/>
  <c r="T211" i="31"/>
  <c r="Q211" i="31"/>
  <c r="N211" i="31"/>
  <c r="M211" i="31"/>
  <c r="I211" i="31"/>
  <c r="J211" i="31" s="1"/>
  <c r="AL210" i="31"/>
  <c r="AI210" i="31"/>
  <c r="AF210" i="31"/>
  <c r="AC210" i="31"/>
  <c r="Z210" i="31"/>
  <c r="W210" i="31"/>
  <c r="T210" i="31"/>
  <c r="Q210" i="31"/>
  <c r="N210" i="31"/>
  <c r="M210" i="31"/>
  <c r="I210" i="31"/>
  <c r="J210" i="31" s="1"/>
  <c r="AL209" i="31"/>
  <c r="AI209" i="31"/>
  <c r="AF209" i="31"/>
  <c r="AC209" i="31"/>
  <c r="Z209" i="31"/>
  <c r="W209" i="31"/>
  <c r="T209" i="31"/>
  <c r="Q209" i="31"/>
  <c r="N209" i="31"/>
  <c r="M209" i="31"/>
  <c r="I209" i="31"/>
  <c r="J209" i="31" s="1"/>
  <c r="AL208" i="31"/>
  <c r="AI208" i="31"/>
  <c r="AF208" i="31"/>
  <c r="AC208" i="31"/>
  <c r="Z208" i="31"/>
  <c r="W208" i="31"/>
  <c r="T208" i="31"/>
  <c r="Q208" i="31"/>
  <c r="N208" i="31"/>
  <c r="M208" i="31"/>
  <c r="I208" i="31"/>
  <c r="J208" i="31" s="1"/>
  <c r="AL207" i="31"/>
  <c r="AI207" i="31"/>
  <c r="AF207" i="31"/>
  <c r="AC207" i="31"/>
  <c r="Z207" i="31"/>
  <c r="W207" i="31"/>
  <c r="T207" i="31"/>
  <c r="Q207" i="31"/>
  <c r="N207" i="31"/>
  <c r="M207" i="31"/>
  <c r="I207" i="31"/>
  <c r="J207" i="31" s="1"/>
  <c r="AL206" i="31"/>
  <c r="AI206" i="31"/>
  <c r="AF206" i="31"/>
  <c r="AC206" i="31"/>
  <c r="Z206" i="31"/>
  <c r="W206" i="31"/>
  <c r="T206" i="31"/>
  <c r="Q206" i="31"/>
  <c r="N206" i="31"/>
  <c r="M206" i="31"/>
  <c r="I206" i="31"/>
  <c r="J206" i="31" s="1"/>
  <c r="AL205" i="31"/>
  <c r="AI205" i="31"/>
  <c r="AF205" i="31"/>
  <c r="AC205" i="31"/>
  <c r="Z205" i="31"/>
  <c r="W205" i="31"/>
  <c r="T205" i="31"/>
  <c r="Q205" i="31"/>
  <c r="N205" i="31"/>
  <c r="M205" i="31"/>
  <c r="I205" i="31"/>
  <c r="J205" i="31" s="1"/>
  <c r="AL204" i="31"/>
  <c r="AI204" i="31"/>
  <c r="AF204" i="31"/>
  <c r="AC204" i="31"/>
  <c r="Z204" i="31"/>
  <c r="W204" i="31"/>
  <c r="T204" i="31"/>
  <c r="Q204" i="31"/>
  <c r="N204" i="31"/>
  <c r="M204" i="31"/>
  <c r="I204" i="31"/>
  <c r="J204" i="31" s="1"/>
  <c r="AL203" i="31"/>
  <c r="AI203" i="31"/>
  <c r="AF203" i="31"/>
  <c r="AC203" i="31"/>
  <c r="Z203" i="31"/>
  <c r="W203" i="31"/>
  <c r="T203" i="31"/>
  <c r="Q203" i="31"/>
  <c r="N203" i="31"/>
  <c r="M203" i="31"/>
  <c r="I203" i="31"/>
  <c r="J203" i="31" s="1"/>
  <c r="AL202" i="31"/>
  <c r="AI202" i="31"/>
  <c r="AF202" i="31"/>
  <c r="AC202" i="31"/>
  <c r="Z202" i="31"/>
  <c r="W202" i="31"/>
  <c r="T202" i="31"/>
  <c r="Q202" i="31"/>
  <c r="N202" i="31"/>
  <c r="M202" i="31"/>
  <c r="I202" i="31"/>
  <c r="J202" i="31" s="1"/>
  <c r="AL201" i="31"/>
  <c r="AI201" i="31"/>
  <c r="AF201" i="31"/>
  <c r="AC201" i="31"/>
  <c r="Z201" i="31"/>
  <c r="W201" i="31"/>
  <c r="T201" i="31"/>
  <c r="Q201" i="31"/>
  <c r="N201" i="31"/>
  <c r="M201" i="31"/>
  <c r="I201" i="31"/>
  <c r="J201" i="31" s="1"/>
  <c r="AL200" i="31"/>
  <c r="AI200" i="31"/>
  <c r="AF200" i="31"/>
  <c r="AC200" i="31"/>
  <c r="Z200" i="31"/>
  <c r="W200" i="31"/>
  <c r="T200" i="31"/>
  <c r="Q200" i="31"/>
  <c r="N200" i="31"/>
  <c r="M200" i="31"/>
  <c r="I200" i="31"/>
  <c r="J200" i="31" s="1"/>
  <c r="AL199" i="31"/>
  <c r="AI199" i="31"/>
  <c r="AF199" i="31"/>
  <c r="AC199" i="31"/>
  <c r="Z199" i="31"/>
  <c r="W199" i="31"/>
  <c r="T199" i="31"/>
  <c r="Q199" i="31"/>
  <c r="N199" i="31"/>
  <c r="M199" i="31"/>
  <c r="I199" i="31"/>
  <c r="J199" i="31" s="1"/>
  <c r="AL198" i="31"/>
  <c r="AI198" i="31"/>
  <c r="AF198" i="31"/>
  <c r="AC198" i="31"/>
  <c r="Z198" i="31"/>
  <c r="W198" i="31"/>
  <c r="T198" i="31"/>
  <c r="Q198" i="31"/>
  <c r="N198" i="31"/>
  <c r="M198" i="31"/>
  <c r="I198" i="31"/>
  <c r="J198" i="31" s="1"/>
  <c r="AL197" i="31"/>
  <c r="AI197" i="31"/>
  <c r="AF197" i="31"/>
  <c r="AC197" i="31"/>
  <c r="Z197" i="31"/>
  <c r="W197" i="31"/>
  <c r="T197" i="31"/>
  <c r="Q197" i="31"/>
  <c r="N197" i="31"/>
  <c r="M197" i="31"/>
  <c r="I197" i="31"/>
  <c r="J197" i="31" s="1"/>
  <c r="AL196" i="31"/>
  <c r="AI196" i="31"/>
  <c r="AF196" i="31"/>
  <c r="AC196" i="31"/>
  <c r="Z196" i="31"/>
  <c r="W196" i="31"/>
  <c r="T196" i="31"/>
  <c r="Q196" i="31"/>
  <c r="N196" i="31"/>
  <c r="M196" i="31"/>
  <c r="I196" i="31"/>
  <c r="J196" i="31" s="1"/>
  <c r="AL195" i="31"/>
  <c r="AI195" i="31"/>
  <c r="AF195" i="31"/>
  <c r="AC195" i="31"/>
  <c r="Z195" i="31"/>
  <c r="W195" i="31"/>
  <c r="T195" i="31"/>
  <c r="Q195" i="31"/>
  <c r="N195" i="31"/>
  <c r="M195" i="31"/>
  <c r="I195" i="31"/>
  <c r="J195" i="31" s="1"/>
  <c r="AL194" i="31"/>
  <c r="AI194" i="31"/>
  <c r="AF194" i="31"/>
  <c r="AC194" i="31"/>
  <c r="Z194" i="31"/>
  <c r="W194" i="31"/>
  <c r="T194" i="31"/>
  <c r="Q194" i="31"/>
  <c r="N194" i="31"/>
  <c r="M194" i="31"/>
  <c r="I194" i="31"/>
  <c r="J194" i="31" s="1"/>
  <c r="AL193" i="31"/>
  <c r="AI193" i="31"/>
  <c r="AF193" i="31"/>
  <c r="AC193" i="31"/>
  <c r="Z193" i="31"/>
  <c r="W193" i="31"/>
  <c r="T193" i="31"/>
  <c r="Q193" i="31"/>
  <c r="N193" i="31"/>
  <c r="M193" i="31"/>
  <c r="I193" i="31"/>
  <c r="J193" i="31" s="1"/>
  <c r="AL192" i="31"/>
  <c r="AI192" i="31"/>
  <c r="AF192" i="31"/>
  <c r="AC192" i="31"/>
  <c r="Z192" i="31"/>
  <c r="W192" i="31"/>
  <c r="T192" i="31"/>
  <c r="Q192" i="31"/>
  <c r="N192" i="31"/>
  <c r="M192" i="31"/>
  <c r="I192" i="31"/>
  <c r="J192" i="31" s="1"/>
  <c r="AL191" i="31"/>
  <c r="AI191" i="31"/>
  <c r="AF191" i="31"/>
  <c r="AC191" i="31"/>
  <c r="Z191" i="31"/>
  <c r="W191" i="31"/>
  <c r="T191" i="31"/>
  <c r="Q191" i="31"/>
  <c r="N191" i="31"/>
  <c r="M191" i="31"/>
  <c r="I191" i="31"/>
  <c r="J191" i="31" s="1"/>
  <c r="AL190" i="31"/>
  <c r="AI190" i="31"/>
  <c r="AF190" i="31"/>
  <c r="AC190" i="31"/>
  <c r="Z190" i="31"/>
  <c r="W190" i="31"/>
  <c r="T190" i="31"/>
  <c r="Q190" i="31"/>
  <c r="N190" i="31"/>
  <c r="M190" i="31"/>
  <c r="I190" i="31"/>
  <c r="J190" i="31" s="1"/>
  <c r="AL189" i="31"/>
  <c r="AI189" i="31"/>
  <c r="AF189" i="31"/>
  <c r="AC189" i="31"/>
  <c r="Z189" i="31"/>
  <c r="W189" i="31"/>
  <c r="T189" i="31"/>
  <c r="Q189" i="31"/>
  <c r="N189" i="31"/>
  <c r="M189" i="31"/>
  <c r="I189" i="31"/>
  <c r="J189" i="31" s="1"/>
  <c r="AL188" i="31"/>
  <c r="AI188" i="31"/>
  <c r="AF188" i="31"/>
  <c r="AC188" i="31"/>
  <c r="Z188" i="31"/>
  <c r="W188" i="31"/>
  <c r="T188" i="31"/>
  <c r="Q188" i="31"/>
  <c r="N188" i="31"/>
  <c r="M188" i="31"/>
  <c r="I188" i="31"/>
  <c r="J188" i="31" s="1"/>
  <c r="AL187" i="31"/>
  <c r="AI187" i="31"/>
  <c r="AF187" i="31"/>
  <c r="AC187" i="31"/>
  <c r="Z187" i="31"/>
  <c r="W187" i="31"/>
  <c r="T187" i="31"/>
  <c r="Q187" i="31"/>
  <c r="N187" i="31"/>
  <c r="M187" i="31"/>
  <c r="I187" i="31"/>
  <c r="J187" i="31" s="1"/>
  <c r="AL186" i="31"/>
  <c r="AI186" i="31"/>
  <c r="AF186" i="31"/>
  <c r="AC186" i="31"/>
  <c r="Z186" i="31"/>
  <c r="W186" i="31"/>
  <c r="T186" i="31"/>
  <c r="Q186" i="31"/>
  <c r="N186" i="31"/>
  <c r="M186" i="31"/>
  <c r="I186" i="31"/>
  <c r="J186" i="31" s="1"/>
  <c r="AL185" i="31"/>
  <c r="AI185" i="31"/>
  <c r="AF185" i="31"/>
  <c r="AC185" i="31"/>
  <c r="Z185" i="31"/>
  <c r="W185" i="31"/>
  <c r="T185" i="31"/>
  <c r="Q185" i="31"/>
  <c r="N185" i="31"/>
  <c r="M185" i="31"/>
  <c r="I185" i="31"/>
  <c r="J185" i="31" s="1"/>
  <c r="AL184" i="31"/>
  <c r="AI184" i="31"/>
  <c r="AF184" i="31"/>
  <c r="AC184" i="31"/>
  <c r="Z184" i="31"/>
  <c r="W184" i="31"/>
  <c r="T184" i="31"/>
  <c r="Q184" i="31"/>
  <c r="N184" i="31"/>
  <c r="M184" i="31"/>
  <c r="I184" i="31"/>
  <c r="J184" i="31" s="1"/>
  <c r="AL183" i="31"/>
  <c r="AI183" i="31"/>
  <c r="AF183" i="31"/>
  <c r="AC183" i="31"/>
  <c r="Z183" i="31"/>
  <c r="W183" i="31"/>
  <c r="T183" i="31"/>
  <c r="Q183" i="31"/>
  <c r="M183" i="31"/>
  <c r="N183" i="31" s="1"/>
  <c r="I183" i="31"/>
  <c r="J183" i="31" s="1"/>
  <c r="AL182" i="31"/>
  <c r="AI182" i="31"/>
  <c r="AF182" i="31"/>
  <c r="AC182" i="31"/>
  <c r="Z182" i="31"/>
  <c r="W182" i="31"/>
  <c r="T182" i="31"/>
  <c r="Q182" i="31"/>
  <c r="N182" i="31"/>
  <c r="M182" i="31"/>
  <c r="I182" i="31"/>
  <c r="J182" i="31" s="1"/>
  <c r="AL181" i="31"/>
  <c r="AI181" i="31"/>
  <c r="AF181" i="31"/>
  <c r="AC181" i="31"/>
  <c r="Z181" i="31"/>
  <c r="W181" i="31"/>
  <c r="T181" i="31"/>
  <c r="Q181" i="31"/>
  <c r="N181" i="31"/>
  <c r="M181" i="31"/>
  <c r="I181" i="31"/>
  <c r="J181" i="31" s="1"/>
  <c r="AL180" i="31"/>
  <c r="AI180" i="31"/>
  <c r="AF180" i="31"/>
  <c r="AC180" i="31"/>
  <c r="Z180" i="31"/>
  <c r="W180" i="31"/>
  <c r="T180" i="31"/>
  <c r="Q180" i="31"/>
  <c r="N180" i="31"/>
  <c r="M180" i="31"/>
  <c r="I180" i="31"/>
  <c r="J180" i="31" s="1"/>
  <c r="AL179" i="31"/>
  <c r="AI179" i="31"/>
  <c r="AF179" i="31"/>
  <c r="AC179" i="31"/>
  <c r="Z179" i="31"/>
  <c r="W179" i="31"/>
  <c r="T179" i="31"/>
  <c r="Q179" i="31"/>
  <c r="N179" i="31"/>
  <c r="M179" i="31"/>
  <c r="I179" i="31"/>
  <c r="J179" i="31" s="1"/>
  <c r="AL178" i="31"/>
  <c r="AI178" i="31"/>
  <c r="AF178" i="31"/>
  <c r="AC178" i="31"/>
  <c r="Z178" i="31"/>
  <c r="W178" i="31"/>
  <c r="T178" i="31"/>
  <c r="Q178" i="31"/>
  <c r="M178" i="31"/>
  <c r="N178" i="31" s="1"/>
  <c r="I178" i="31"/>
  <c r="J178" i="31" s="1"/>
  <c r="AL177" i="31"/>
  <c r="AI177" i="31"/>
  <c r="AF177" i="31"/>
  <c r="AC177" i="31"/>
  <c r="Z177" i="31"/>
  <c r="W177" i="31"/>
  <c r="T177" i="31"/>
  <c r="Q177" i="31"/>
  <c r="M177" i="31"/>
  <c r="N177" i="31" s="1"/>
  <c r="I177" i="31"/>
  <c r="J177" i="31" s="1"/>
  <c r="AL176" i="31"/>
  <c r="AI176" i="31"/>
  <c r="AF176" i="31"/>
  <c r="AC176" i="31"/>
  <c r="Z176" i="31"/>
  <c r="W176" i="31"/>
  <c r="T176" i="31"/>
  <c r="Q176" i="31"/>
  <c r="M176" i="31"/>
  <c r="N176" i="31" s="1"/>
  <c r="I176" i="31"/>
  <c r="J176" i="31" s="1"/>
  <c r="AL175" i="31"/>
  <c r="AI175" i="31"/>
  <c r="AF175" i="31"/>
  <c r="AC175" i="31"/>
  <c r="Z175" i="31"/>
  <c r="W175" i="31"/>
  <c r="T175" i="31"/>
  <c r="Q175" i="31"/>
  <c r="M175" i="31"/>
  <c r="N175" i="31" s="1"/>
  <c r="I175" i="31"/>
  <c r="J175" i="31" s="1"/>
  <c r="AL174" i="31"/>
  <c r="AI174" i="31"/>
  <c r="AF174" i="31"/>
  <c r="AC174" i="31"/>
  <c r="Z174" i="31"/>
  <c r="W174" i="31"/>
  <c r="T174" i="31"/>
  <c r="Q174" i="31"/>
  <c r="AL173" i="31"/>
  <c r="AI173" i="31"/>
  <c r="AF173" i="31"/>
  <c r="AC173" i="31"/>
  <c r="Z173" i="31"/>
  <c r="W173" i="31"/>
  <c r="T173" i="31"/>
  <c r="Q173" i="31"/>
  <c r="N173" i="31"/>
  <c r="M173" i="31"/>
  <c r="J173" i="31"/>
  <c r="I173" i="31"/>
  <c r="AL172" i="31"/>
  <c r="AI172" i="31"/>
  <c r="AF172" i="31"/>
  <c r="AC172" i="31"/>
  <c r="Z172" i="31"/>
  <c r="W172" i="31"/>
  <c r="T172" i="31"/>
  <c r="Q172" i="31"/>
  <c r="N172" i="31"/>
  <c r="M172" i="31"/>
  <c r="J172" i="31"/>
  <c r="I172" i="31"/>
  <c r="AL171" i="31"/>
  <c r="AI171" i="31"/>
  <c r="AF171" i="31"/>
  <c r="AC171" i="31"/>
  <c r="Z171" i="31"/>
  <c r="W171" i="31"/>
  <c r="T171" i="31"/>
  <c r="Q171" i="31"/>
  <c r="N171" i="31"/>
  <c r="M171" i="31"/>
  <c r="J171" i="31"/>
  <c r="I171" i="31"/>
  <c r="AL170" i="31"/>
  <c r="AI170" i="31"/>
  <c r="AF170" i="31"/>
  <c r="AC170" i="31"/>
  <c r="Z170" i="31"/>
  <c r="W170" i="31"/>
  <c r="T170" i="31"/>
  <c r="Q170" i="31"/>
  <c r="N170" i="31"/>
  <c r="M170" i="31"/>
  <c r="J170" i="31"/>
  <c r="I170" i="31"/>
  <c r="AL169" i="31"/>
  <c r="AI169" i="31"/>
  <c r="AF169" i="31"/>
  <c r="AC169" i="31"/>
  <c r="Z169" i="31"/>
  <c r="W169" i="31"/>
  <c r="T169" i="31"/>
  <c r="Q169" i="31"/>
  <c r="N169" i="31"/>
  <c r="M169" i="31"/>
  <c r="J169" i="31"/>
  <c r="I169" i="31"/>
  <c r="AL168" i="31"/>
  <c r="AI168" i="31"/>
  <c r="AF168" i="31"/>
  <c r="AC168" i="31"/>
  <c r="Z168" i="31"/>
  <c r="W168" i="31"/>
  <c r="T168" i="31"/>
  <c r="Q168" i="31"/>
  <c r="N168" i="31"/>
  <c r="M168" i="31"/>
  <c r="J168" i="31"/>
  <c r="I168" i="31"/>
  <c r="AL167" i="31"/>
  <c r="AI167" i="31"/>
  <c r="AF167" i="31"/>
  <c r="AC167" i="31"/>
  <c r="Z167" i="31"/>
  <c r="W167" i="31"/>
  <c r="T167" i="31"/>
  <c r="Q167" i="31"/>
  <c r="N167" i="31"/>
  <c r="M167" i="31"/>
  <c r="J167" i="31"/>
  <c r="I167" i="31"/>
  <c r="AL166" i="31"/>
  <c r="AI166" i="31"/>
  <c r="AF166" i="31"/>
  <c r="AC166" i="31"/>
  <c r="Z166" i="31"/>
  <c r="W166" i="31"/>
  <c r="T166" i="31"/>
  <c r="Q166" i="31"/>
  <c r="N166" i="31"/>
  <c r="M166" i="31"/>
  <c r="J166" i="31"/>
  <c r="I166" i="31"/>
  <c r="AL164" i="31"/>
  <c r="AI164" i="31"/>
  <c r="AF164" i="31"/>
  <c r="AC164" i="31"/>
  <c r="Z164" i="31"/>
  <c r="W164" i="31"/>
  <c r="T164" i="31"/>
  <c r="Q164" i="31"/>
  <c r="N164" i="31"/>
  <c r="M164" i="31"/>
  <c r="J164" i="31"/>
  <c r="I164" i="31"/>
  <c r="AL163" i="31"/>
  <c r="AI163" i="31"/>
  <c r="AF163" i="31"/>
  <c r="AC163" i="31"/>
  <c r="Z163" i="31"/>
  <c r="W163" i="31"/>
  <c r="T163" i="31"/>
  <c r="Q163" i="31"/>
  <c r="N163" i="31"/>
  <c r="M163" i="31"/>
  <c r="J163" i="31"/>
  <c r="I163" i="31"/>
  <c r="AL162" i="31"/>
  <c r="AI162" i="31"/>
  <c r="AF162" i="31"/>
  <c r="AC162" i="31"/>
  <c r="Z162" i="31"/>
  <c r="W162" i="31"/>
  <c r="T162" i="31"/>
  <c r="Q162" i="31"/>
  <c r="N162" i="31"/>
  <c r="M162" i="31"/>
  <c r="J162" i="31"/>
  <c r="I162" i="31"/>
  <c r="AL161" i="31"/>
  <c r="AI161" i="31"/>
  <c r="AF161" i="31"/>
  <c r="AC161" i="31"/>
  <c r="Z161" i="31"/>
  <c r="W161" i="31"/>
  <c r="T161" i="31"/>
  <c r="Q161" i="31"/>
  <c r="N161" i="31"/>
  <c r="M161" i="31"/>
  <c r="J161" i="31"/>
  <c r="I161" i="31"/>
  <c r="AL160" i="31"/>
  <c r="AI160" i="31"/>
  <c r="AF160" i="31"/>
  <c r="AC160" i="31"/>
  <c r="Z160" i="31"/>
  <c r="W160" i="31"/>
  <c r="T160" i="31"/>
  <c r="Q160" i="31"/>
  <c r="N160" i="31"/>
  <c r="M160" i="31"/>
  <c r="J160" i="31"/>
  <c r="I160" i="31"/>
  <c r="AL159" i="31"/>
  <c r="AI159" i="31"/>
  <c r="AF159" i="31"/>
  <c r="AC159" i="31"/>
  <c r="Z159" i="31"/>
  <c r="W159" i="31"/>
  <c r="T159" i="31"/>
  <c r="Q159" i="31"/>
  <c r="N159" i="31"/>
  <c r="M159" i="31"/>
  <c r="J159" i="31"/>
  <c r="I159" i="31"/>
  <c r="AL158" i="31"/>
  <c r="AI158" i="31"/>
  <c r="AF158" i="31"/>
  <c r="AC158" i="31"/>
  <c r="Z158" i="31"/>
  <c r="W158" i="31"/>
  <c r="T158" i="31"/>
  <c r="Q158" i="31"/>
  <c r="N158" i="31"/>
  <c r="M158" i="31"/>
  <c r="J158" i="31"/>
  <c r="I158" i="31"/>
  <c r="AL157" i="31"/>
  <c r="AI157" i="31"/>
  <c r="AF157" i="31"/>
  <c r="AC157" i="31"/>
  <c r="Z157" i="31"/>
  <c r="W157" i="31"/>
  <c r="T157" i="31"/>
  <c r="Q157" i="31"/>
  <c r="N157" i="31"/>
  <c r="M157" i="31"/>
  <c r="J157" i="31"/>
  <c r="I157" i="31"/>
  <c r="AL156" i="31"/>
  <c r="AI156" i="31"/>
  <c r="AF156" i="31"/>
  <c r="AC156" i="31"/>
  <c r="Z156" i="31"/>
  <c r="W156" i="31"/>
  <c r="T156" i="31"/>
  <c r="Q156" i="31"/>
  <c r="N156" i="31"/>
  <c r="M156" i="31"/>
  <c r="J156" i="31"/>
  <c r="I156" i="31"/>
  <c r="AL155" i="31"/>
  <c r="AI155" i="31"/>
  <c r="AF155" i="31"/>
  <c r="AC155" i="31"/>
  <c r="Z155" i="31"/>
  <c r="W155" i="31"/>
  <c r="T155" i="31"/>
  <c r="Q155" i="31"/>
  <c r="N155" i="31"/>
  <c r="M155" i="31"/>
  <c r="J155" i="31"/>
  <c r="I155" i="31"/>
  <c r="AL154" i="31"/>
  <c r="AI154" i="31"/>
  <c r="AF154" i="31"/>
  <c r="AC154" i="31"/>
  <c r="Z154" i="31"/>
  <c r="W154" i="31"/>
  <c r="T154" i="31"/>
  <c r="Q154" i="31"/>
  <c r="N154" i="31"/>
  <c r="M154" i="31"/>
  <c r="J154" i="31"/>
  <c r="I154" i="31"/>
  <c r="AL153" i="31"/>
  <c r="AI153" i="31"/>
  <c r="AF153" i="31"/>
  <c r="AC153" i="31"/>
  <c r="Z153" i="31"/>
  <c r="W153" i="31"/>
  <c r="T153" i="31"/>
  <c r="Q153" i="31"/>
  <c r="N153" i="31"/>
  <c r="M153" i="31"/>
  <c r="I153" i="31"/>
  <c r="J153" i="31" s="1"/>
  <c r="AL152" i="31"/>
  <c r="AI152" i="31"/>
  <c r="AF152" i="31"/>
  <c r="AC152" i="31"/>
  <c r="Z152" i="31"/>
  <c r="W152" i="31"/>
  <c r="T152" i="31"/>
  <c r="Q152" i="31"/>
  <c r="N152" i="31"/>
  <c r="M152" i="31"/>
  <c r="I152" i="31"/>
  <c r="J152" i="31" s="1"/>
  <c r="AL151" i="31"/>
  <c r="AI151" i="31"/>
  <c r="AF151" i="31"/>
  <c r="AC151" i="31"/>
  <c r="Z151" i="31"/>
  <c r="W151" i="31"/>
  <c r="T151" i="31"/>
  <c r="Q151" i="31"/>
  <c r="N151" i="31"/>
  <c r="M151" i="31"/>
  <c r="I151" i="31"/>
  <c r="J151" i="31" s="1"/>
  <c r="AL150" i="31"/>
  <c r="AI150" i="31"/>
  <c r="AF150" i="31"/>
  <c r="AC150" i="31"/>
  <c r="Z150" i="31"/>
  <c r="W150" i="31"/>
  <c r="T150" i="31"/>
  <c r="Q150" i="31"/>
  <c r="N150" i="31"/>
  <c r="M150" i="31"/>
  <c r="I150" i="31"/>
  <c r="J150" i="31" s="1"/>
  <c r="AL149" i="31"/>
  <c r="AI149" i="31"/>
  <c r="AF149" i="31"/>
  <c r="AC149" i="31"/>
  <c r="Z149" i="31"/>
  <c r="W149" i="31"/>
  <c r="T149" i="31"/>
  <c r="Q149" i="31"/>
  <c r="N149" i="31"/>
  <c r="M149" i="31"/>
  <c r="I149" i="31"/>
  <c r="J149" i="31" s="1"/>
  <c r="AL148" i="31"/>
  <c r="AI148" i="31"/>
  <c r="AF148" i="31"/>
  <c r="AC148" i="31"/>
  <c r="Z148" i="31"/>
  <c r="W148" i="31"/>
  <c r="T148" i="31"/>
  <c r="Q148" i="31"/>
  <c r="N148" i="31"/>
  <c r="M148" i="31"/>
  <c r="I148" i="31"/>
  <c r="J148" i="31" s="1"/>
  <c r="AL147" i="31"/>
  <c r="AI147" i="31"/>
  <c r="AF147" i="31"/>
  <c r="AC147" i="31"/>
  <c r="Z147" i="31"/>
  <c r="W147" i="31"/>
  <c r="T147" i="31"/>
  <c r="Q147" i="31"/>
  <c r="N147" i="31"/>
  <c r="M147" i="31"/>
  <c r="I147" i="31"/>
  <c r="J147" i="31" s="1"/>
  <c r="AL146" i="31"/>
  <c r="AI146" i="31"/>
  <c r="AF146" i="31"/>
  <c r="AC146" i="31"/>
  <c r="Z146" i="31"/>
  <c r="W146" i="31"/>
  <c r="T146" i="31"/>
  <c r="Q146" i="31"/>
  <c r="N146" i="31"/>
  <c r="M146" i="31"/>
  <c r="I146" i="31"/>
  <c r="J146" i="31" s="1"/>
  <c r="AL145" i="31"/>
  <c r="AI145" i="31"/>
  <c r="AF145" i="31"/>
  <c r="AC145" i="31"/>
  <c r="Z145" i="31"/>
  <c r="W145" i="31"/>
  <c r="T145" i="31"/>
  <c r="Q145" i="31"/>
  <c r="M145" i="31"/>
  <c r="N145" i="31" s="1"/>
  <c r="I145" i="31"/>
  <c r="J145" i="31" s="1"/>
  <c r="AL144" i="31"/>
  <c r="AI144" i="31"/>
  <c r="AF144" i="31"/>
  <c r="AC144" i="31"/>
  <c r="Z144" i="31"/>
  <c r="W144" i="31"/>
  <c r="T144" i="31"/>
  <c r="Q144" i="31"/>
  <c r="N144" i="31"/>
  <c r="M144" i="31"/>
  <c r="I144" i="31"/>
  <c r="J144" i="31" s="1"/>
  <c r="AL143" i="31"/>
  <c r="AI143" i="31"/>
  <c r="AF143" i="31"/>
  <c r="AC143" i="31"/>
  <c r="Z143" i="31"/>
  <c r="W143" i="31"/>
  <c r="T143" i="31"/>
  <c r="Q143" i="31"/>
  <c r="N143" i="31"/>
  <c r="M143" i="31"/>
  <c r="I143" i="31"/>
  <c r="J143" i="31" s="1"/>
  <c r="AL142" i="31"/>
  <c r="AI142" i="31"/>
  <c r="AF142" i="31"/>
  <c r="AC142" i="31"/>
  <c r="Z142" i="31"/>
  <c r="W142" i="31"/>
  <c r="T142" i="31"/>
  <c r="Q142" i="31"/>
  <c r="N142" i="31"/>
  <c r="M142" i="31"/>
  <c r="I142" i="31"/>
  <c r="J142" i="31" s="1"/>
  <c r="AL141" i="31"/>
  <c r="AI141" i="31"/>
  <c r="AF141" i="31"/>
  <c r="AC141" i="31"/>
  <c r="Z141" i="31"/>
  <c r="W141" i="31"/>
  <c r="T141" i="31"/>
  <c r="Q141" i="31"/>
  <c r="N141" i="31"/>
  <c r="M141" i="31"/>
  <c r="I141" i="31"/>
  <c r="J141" i="31" s="1"/>
  <c r="AL140" i="31"/>
  <c r="AI140" i="31"/>
  <c r="AF140" i="31"/>
  <c r="AC140" i="31"/>
  <c r="Z140" i="31"/>
  <c r="W140" i="31"/>
  <c r="T140" i="31"/>
  <c r="Q140" i="31"/>
  <c r="M140" i="31"/>
  <c r="N140" i="31" s="1"/>
  <c r="I140" i="31"/>
  <c r="J140" i="31" s="1"/>
  <c r="AL139" i="31"/>
  <c r="AI139" i="31"/>
  <c r="AF139" i="31"/>
  <c r="AC139" i="31"/>
  <c r="Z139" i="31"/>
  <c r="W139" i="31"/>
  <c r="T139" i="31"/>
  <c r="Q139" i="31"/>
  <c r="M139" i="31"/>
  <c r="N139" i="31" s="1"/>
  <c r="I139" i="31"/>
  <c r="J139" i="31" s="1"/>
  <c r="AL138" i="31"/>
  <c r="AI138" i="31"/>
  <c r="AF138" i="31"/>
  <c r="AC138" i="31"/>
  <c r="Z138" i="31"/>
  <c r="W138" i="31"/>
  <c r="T138" i="31"/>
  <c r="Q138" i="31"/>
  <c r="M138" i="31"/>
  <c r="N138" i="31" s="1"/>
  <c r="I138" i="31"/>
  <c r="J138" i="31" s="1"/>
  <c r="AL137" i="31"/>
  <c r="AI137" i="31"/>
  <c r="AF137" i="31"/>
  <c r="AC137" i="31"/>
  <c r="Z137" i="31"/>
  <c r="W137" i="31"/>
  <c r="T137" i="31"/>
  <c r="Q137" i="31"/>
  <c r="M137" i="31"/>
  <c r="N137" i="31" s="1"/>
  <c r="I137" i="31"/>
  <c r="J137" i="31" s="1"/>
  <c r="AL136" i="31"/>
  <c r="AI136" i="31"/>
  <c r="AF136" i="31"/>
  <c r="AC136" i="31"/>
  <c r="Z136" i="31"/>
  <c r="W136" i="31"/>
  <c r="T136" i="31"/>
  <c r="Q136" i="31"/>
  <c r="M136" i="31"/>
  <c r="N136" i="31" s="1"/>
  <c r="I136" i="31"/>
  <c r="J136" i="31" s="1"/>
  <c r="AL135" i="31"/>
  <c r="AI135" i="31"/>
  <c r="AF135" i="31"/>
  <c r="AC135" i="31"/>
  <c r="Z135" i="31"/>
  <c r="W135" i="31"/>
  <c r="T135" i="31"/>
  <c r="Q135" i="31"/>
  <c r="M135" i="31"/>
  <c r="N135" i="31" s="1"/>
  <c r="I135" i="31"/>
  <c r="J135" i="31" s="1"/>
  <c r="AL134" i="31"/>
  <c r="AI134" i="31"/>
  <c r="AF134" i="31"/>
  <c r="AC134" i="31"/>
  <c r="Z134" i="31"/>
  <c r="W134" i="31"/>
  <c r="T134" i="31"/>
  <c r="Q134" i="31"/>
  <c r="M134" i="31"/>
  <c r="N134" i="31" s="1"/>
  <c r="I134" i="31"/>
  <c r="J134" i="31" s="1"/>
  <c r="AL133" i="31"/>
  <c r="AI133" i="31"/>
  <c r="AF133" i="31"/>
  <c r="AC133" i="31"/>
  <c r="Z133" i="31"/>
  <c r="W133" i="31"/>
  <c r="T133" i="31"/>
  <c r="Q133" i="31"/>
  <c r="M133" i="31"/>
  <c r="N133" i="31" s="1"/>
  <c r="I133" i="31"/>
  <c r="J133" i="31" s="1"/>
  <c r="AL132" i="31"/>
  <c r="AI132" i="31"/>
  <c r="AF132" i="31"/>
  <c r="AC132" i="31"/>
  <c r="Z132" i="31"/>
  <c r="W132" i="31"/>
  <c r="T132" i="31"/>
  <c r="Q132" i="31"/>
  <c r="M132" i="31"/>
  <c r="N132" i="31" s="1"/>
  <c r="I132" i="31"/>
  <c r="J132" i="31" s="1"/>
  <c r="AL131" i="31"/>
  <c r="AI131" i="31"/>
  <c r="AF131" i="31"/>
  <c r="AC131" i="31"/>
  <c r="Z131" i="31"/>
  <c r="W131" i="31"/>
  <c r="T131" i="31"/>
  <c r="Q131" i="31"/>
  <c r="M131" i="31"/>
  <c r="N131" i="31" s="1"/>
  <c r="I131" i="31"/>
  <c r="J131" i="31" s="1"/>
  <c r="AL130" i="31"/>
  <c r="AI130" i="31"/>
  <c r="AF130" i="31"/>
  <c r="AC130" i="31"/>
  <c r="Z130" i="31"/>
  <c r="W130" i="31"/>
  <c r="T130" i="31"/>
  <c r="Q130" i="31"/>
  <c r="M130" i="31"/>
  <c r="N130" i="31" s="1"/>
  <c r="I130" i="31"/>
  <c r="J130" i="31" s="1"/>
  <c r="AL129" i="31"/>
  <c r="AI129" i="31"/>
  <c r="AF129" i="31"/>
  <c r="AC129" i="31"/>
  <c r="Z129" i="31"/>
  <c r="W129" i="31"/>
  <c r="T129" i="31"/>
  <c r="Q129" i="31"/>
  <c r="M129" i="31"/>
  <c r="N129" i="31" s="1"/>
  <c r="I129" i="31"/>
  <c r="J129" i="31" s="1"/>
  <c r="AL128" i="31"/>
  <c r="AI128" i="31"/>
  <c r="AF128" i="31"/>
  <c r="AC128" i="31"/>
  <c r="Z128" i="31"/>
  <c r="W128" i="31"/>
  <c r="T128" i="31"/>
  <c r="Q128" i="31"/>
  <c r="M128" i="31"/>
  <c r="N128" i="31" s="1"/>
  <c r="I128" i="31"/>
  <c r="J128" i="31" s="1"/>
  <c r="AL127" i="31"/>
  <c r="AI127" i="31"/>
  <c r="AF127" i="31"/>
  <c r="AC127" i="31"/>
  <c r="Z127" i="31"/>
  <c r="W127" i="31"/>
  <c r="T127" i="31"/>
  <c r="Q127" i="31"/>
  <c r="M127" i="31"/>
  <c r="N127" i="31" s="1"/>
  <c r="I127" i="31"/>
  <c r="J127" i="31" s="1"/>
  <c r="AL126" i="31"/>
  <c r="AI126" i="31"/>
  <c r="AF126" i="31"/>
  <c r="AC126" i="31"/>
  <c r="Z126" i="31"/>
  <c r="W126" i="31"/>
  <c r="T126" i="31"/>
  <c r="Q126" i="31"/>
  <c r="M126" i="31"/>
  <c r="N126" i="31" s="1"/>
  <c r="I126" i="31"/>
  <c r="J126" i="31" s="1"/>
  <c r="AL125" i="31"/>
  <c r="AI125" i="31"/>
  <c r="AF125" i="31"/>
  <c r="AC125" i="31"/>
  <c r="Z125" i="31"/>
  <c r="W125" i="31"/>
  <c r="T125" i="31"/>
  <c r="Q125" i="31"/>
  <c r="M125" i="31"/>
  <c r="N125" i="31" s="1"/>
  <c r="I125" i="31"/>
  <c r="J125" i="31" s="1"/>
  <c r="AL124" i="31"/>
  <c r="AI124" i="31"/>
  <c r="AF124" i="31"/>
  <c r="AC124" i="31"/>
  <c r="Z124" i="31"/>
  <c r="W124" i="31"/>
  <c r="T124" i="31"/>
  <c r="Q124" i="31"/>
  <c r="M124" i="31"/>
  <c r="N124" i="31" s="1"/>
  <c r="I124" i="31"/>
  <c r="J124" i="31" s="1"/>
  <c r="AL123" i="31"/>
  <c r="AI123" i="31"/>
  <c r="AF123" i="31"/>
  <c r="AC123" i="31"/>
  <c r="Z123" i="31"/>
  <c r="W123" i="31"/>
  <c r="T123" i="31"/>
  <c r="Q123" i="31"/>
  <c r="M123" i="31"/>
  <c r="N123" i="31" s="1"/>
  <c r="I123" i="31"/>
  <c r="J123" i="31" s="1"/>
  <c r="AL122" i="31"/>
  <c r="AI122" i="31"/>
  <c r="AF122" i="31"/>
  <c r="AC122" i="31"/>
  <c r="Z122" i="31"/>
  <c r="W122" i="31"/>
  <c r="T122" i="31"/>
  <c r="Q122" i="31"/>
  <c r="M122" i="31"/>
  <c r="N122" i="31" s="1"/>
  <c r="I122" i="31"/>
  <c r="J122" i="31" s="1"/>
  <c r="AL121" i="31"/>
  <c r="AI121" i="31"/>
  <c r="AF121" i="31"/>
  <c r="AC121" i="31"/>
  <c r="Z121" i="31"/>
  <c r="W121" i="31"/>
  <c r="T121" i="31"/>
  <c r="Q121" i="31"/>
  <c r="M121" i="31"/>
  <c r="N121" i="31" s="1"/>
  <c r="I121" i="31"/>
  <c r="J121" i="31" s="1"/>
  <c r="AL120" i="31"/>
  <c r="AI120" i="31"/>
  <c r="AF120" i="31"/>
  <c r="AC120" i="31"/>
  <c r="Z120" i="31"/>
  <c r="W120" i="31"/>
  <c r="T120" i="31"/>
  <c r="Q120" i="31"/>
  <c r="M120" i="31"/>
  <c r="N120" i="31" s="1"/>
  <c r="I120" i="31"/>
  <c r="J120" i="31" s="1"/>
  <c r="AL119" i="31"/>
  <c r="AI119" i="31"/>
  <c r="AF119" i="31"/>
  <c r="AC119" i="31"/>
  <c r="Z119" i="31"/>
  <c r="W119" i="31"/>
  <c r="T119" i="31"/>
  <c r="Q119" i="31"/>
  <c r="M119" i="31"/>
  <c r="N119" i="31" s="1"/>
  <c r="I119" i="31"/>
  <c r="J119" i="31" s="1"/>
  <c r="AL118" i="31"/>
  <c r="AI118" i="31"/>
  <c r="AF118" i="31"/>
  <c r="AC118" i="31"/>
  <c r="Z118" i="31"/>
  <c r="W118" i="31"/>
  <c r="T118" i="31"/>
  <c r="Q118" i="31"/>
  <c r="M118" i="31"/>
  <c r="N118" i="31" s="1"/>
  <c r="I118" i="31"/>
  <c r="J118" i="31" s="1"/>
  <c r="AL117" i="31"/>
  <c r="AI117" i="31"/>
  <c r="AF117" i="31"/>
  <c r="AC117" i="31"/>
  <c r="Z117" i="31"/>
  <c r="W117" i="31"/>
  <c r="T117" i="31"/>
  <c r="Q117" i="31"/>
  <c r="M117" i="31"/>
  <c r="N117" i="31" s="1"/>
  <c r="I117" i="31"/>
  <c r="J117" i="31" s="1"/>
  <c r="AL116" i="31"/>
  <c r="AI116" i="31"/>
  <c r="AF116" i="31"/>
  <c r="AC116" i="31"/>
  <c r="Z116" i="31"/>
  <c r="W116" i="31"/>
  <c r="T116" i="31"/>
  <c r="Q116" i="31"/>
  <c r="M116" i="31"/>
  <c r="N116" i="31" s="1"/>
  <c r="I116" i="31"/>
  <c r="J116" i="31" s="1"/>
  <c r="AL115" i="31"/>
  <c r="AI115" i="31"/>
  <c r="AF115" i="31"/>
  <c r="AC115" i="31"/>
  <c r="Z115" i="31"/>
  <c r="W115" i="31"/>
  <c r="T115" i="31"/>
  <c r="Q115" i="31"/>
  <c r="M115" i="31"/>
  <c r="N115" i="31" s="1"/>
  <c r="I115" i="31"/>
  <c r="J115" i="31" s="1"/>
  <c r="AL114" i="31"/>
  <c r="AI114" i="31"/>
  <c r="AF114" i="31"/>
  <c r="AC114" i="31"/>
  <c r="Z114" i="31"/>
  <c r="W114" i="31"/>
  <c r="T114" i="31"/>
  <c r="Q114" i="31"/>
  <c r="M114" i="31"/>
  <c r="N114" i="31" s="1"/>
  <c r="I114" i="31"/>
  <c r="J114" i="31" s="1"/>
  <c r="AL113" i="31"/>
  <c r="AI113" i="31"/>
  <c r="AF113" i="31"/>
  <c r="AC113" i="31"/>
  <c r="Z113" i="31"/>
  <c r="W113" i="31"/>
  <c r="T113" i="31"/>
  <c r="Q113" i="31"/>
  <c r="M113" i="31"/>
  <c r="N113" i="31" s="1"/>
  <c r="I113" i="31"/>
  <c r="J113" i="31" s="1"/>
  <c r="AL112" i="31"/>
  <c r="AI112" i="31"/>
  <c r="AF112" i="31"/>
  <c r="AC112" i="31"/>
  <c r="Z112" i="31"/>
  <c r="W112" i="31"/>
  <c r="T112" i="31"/>
  <c r="Q112" i="31"/>
  <c r="M112" i="31"/>
  <c r="N112" i="31" s="1"/>
  <c r="I112" i="31"/>
  <c r="J112" i="31" s="1"/>
  <c r="AL111" i="31"/>
  <c r="AI111" i="31"/>
  <c r="AF111" i="31"/>
  <c r="AC111" i="31"/>
  <c r="Z111" i="31"/>
  <c r="W111" i="31"/>
  <c r="T111" i="31"/>
  <c r="Q111" i="31"/>
  <c r="M111" i="31"/>
  <c r="N111" i="31" s="1"/>
  <c r="I111" i="31"/>
  <c r="J111" i="31" s="1"/>
  <c r="AL110" i="31"/>
  <c r="AI110" i="31"/>
  <c r="AF110" i="31"/>
  <c r="AC110" i="31"/>
  <c r="Z110" i="31"/>
  <c r="W110" i="31"/>
  <c r="T110" i="31"/>
  <c r="Q110" i="31"/>
  <c r="M110" i="31"/>
  <c r="N110" i="31" s="1"/>
  <c r="AL109" i="31"/>
  <c r="AI109" i="31"/>
  <c r="AF109" i="31"/>
  <c r="AC109" i="31"/>
  <c r="Z109" i="31"/>
  <c r="W109" i="31"/>
  <c r="T109" i="31"/>
  <c r="Q109" i="31"/>
  <c r="N109" i="31"/>
  <c r="M109" i="31"/>
  <c r="I109" i="31"/>
  <c r="J109" i="31" s="1"/>
  <c r="AL108" i="31"/>
  <c r="AI108" i="31"/>
  <c r="AF108" i="31"/>
  <c r="AC108" i="31"/>
  <c r="Z108" i="31"/>
  <c r="W108" i="31"/>
  <c r="T108" i="31"/>
  <c r="Q108" i="31"/>
  <c r="N108" i="31"/>
  <c r="M108" i="31"/>
  <c r="I108" i="31"/>
  <c r="J108" i="31" s="1"/>
  <c r="AL107" i="31"/>
  <c r="AI107" i="31"/>
  <c r="AF107" i="31"/>
  <c r="AC107" i="31"/>
  <c r="Z107" i="31"/>
  <c r="W107" i="31"/>
  <c r="T107" i="31"/>
  <c r="Q107" i="31"/>
  <c r="N107" i="31"/>
  <c r="M107" i="31"/>
  <c r="I107" i="31"/>
  <c r="J107" i="31" s="1"/>
  <c r="AL106" i="31"/>
  <c r="AI106" i="31"/>
  <c r="AF106" i="31"/>
  <c r="AC106" i="31"/>
  <c r="Z106" i="31"/>
  <c r="W106" i="31"/>
  <c r="T106" i="31"/>
  <c r="Q106" i="31"/>
  <c r="N106" i="31"/>
  <c r="M106" i="31"/>
  <c r="I106" i="31"/>
  <c r="J106" i="31" s="1"/>
  <c r="AL105" i="31"/>
  <c r="AI105" i="31"/>
  <c r="AF105" i="31"/>
  <c r="AC105" i="31"/>
  <c r="Z105" i="31"/>
  <c r="W105" i="31"/>
  <c r="T105" i="31"/>
  <c r="Q105" i="31"/>
  <c r="N105" i="31"/>
  <c r="M105" i="31"/>
  <c r="I105" i="31"/>
  <c r="J105" i="31" s="1"/>
  <c r="AL102" i="31"/>
  <c r="AI102" i="31"/>
  <c r="AF102" i="31"/>
  <c r="AC102" i="31"/>
  <c r="Z102" i="31"/>
  <c r="W102" i="31"/>
  <c r="T102" i="31"/>
  <c r="Q102" i="31"/>
  <c r="N102" i="31"/>
  <c r="M102" i="31"/>
  <c r="I102" i="31"/>
  <c r="J102" i="31" s="1"/>
  <c r="AL101" i="31"/>
  <c r="AI101" i="31"/>
  <c r="AF101" i="31"/>
  <c r="AC101" i="31"/>
  <c r="Z101" i="31"/>
  <c r="W101" i="31"/>
  <c r="T101" i="31"/>
  <c r="Q101" i="31"/>
  <c r="N101" i="31"/>
  <c r="M101" i="31"/>
  <c r="I101" i="31"/>
  <c r="J101" i="31" s="1"/>
  <c r="AL100" i="31"/>
  <c r="AI100" i="31"/>
  <c r="AF100" i="31"/>
  <c r="AC100" i="31"/>
  <c r="Z100" i="31"/>
  <c r="W100" i="31"/>
  <c r="T100" i="31"/>
  <c r="Q100" i="31"/>
  <c r="N100" i="31"/>
  <c r="M100" i="31"/>
  <c r="I100" i="31"/>
  <c r="J100" i="31" s="1"/>
  <c r="AL99" i="31"/>
  <c r="AI99" i="31"/>
  <c r="AF99" i="31"/>
  <c r="AC99" i="31"/>
  <c r="Z99" i="31"/>
  <c r="W99" i="31"/>
  <c r="T99" i="31"/>
  <c r="Q99" i="31"/>
  <c r="N99" i="31"/>
  <c r="M99" i="31"/>
  <c r="I99" i="31"/>
  <c r="J99" i="31" s="1"/>
  <c r="AL98" i="31"/>
  <c r="AI98" i="31"/>
  <c r="AF98" i="31"/>
  <c r="AC98" i="31"/>
  <c r="Z98" i="31"/>
  <c r="W98" i="31"/>
  <c r="T98" i="31"/>
  <c r="Q98" i="31"/>
  <c r="N98" i="31"/>
  <c r="M98" i="31"/>
  <c r="I98" i="31"/>
  <c r="J98" i="31" s="1"/>
  <c r="AL97" i="31"/>
  <c r="AI97" i="31"/>
  <c r="AF97" i="31"/>
  <c r="AC97" i="31"/>
  <c r="Z97" i="31"/>
  <c r="W97" i="31"/>
  <c r="T97" i="31"/>
  <c r="Q97" i="31"/>
  <c r="N97" i="31"/>
  <c r="M97" i="31"/>
  <c r="I97" i="31"/>
  <c r="J97" i="31" s="1"/>
  <c r="AL96" i="31"/>
  <c r="AI96" i="31"/>
  <c r="AF96" i="31"/>
  <c r="AC96" i="31"/>
  <c r="Z96" i="31"/>
  <c r="W96" i="31"/>
  <c r="T96" i="31"/>
  <c r="Q96" i="31"/>
  <c r="N96" i="31"/>
  <c r="M96" i="31"/>
  <c r="I96" i="31"/>
  <c r="J96" i="31" s="1"/>
  <c r="AL95" i="31"/>
  <c r="AI95" i="31"/>
  <c r="AF95" i="31"/>
  <c r="AC95" i="31"/>
  <c r="Z95" i="31"/>
  <c r="W95" i="31"/>
  <c r="T95" i="31"/>
  <c r="Q95" i="31"/>
  <c r="N95" i="31"/>
  <c r="M95" i="31"/>
  <c r="I95" i="31"/>
  <c r="J95" i="31" s="1"/>
  <c r="AL94" i="31"/>
  <c r="AI94" i="31"/>
  <c r="AF94" i="31"/>
  <c r="AC94" i="31"/>
  <c r="Z94" i="31"/>
  <c r="W94" i="31"/>
  <c r="T94" i="31"/>
  <c r="Q94" i="31"/>
  <c r="N94" i="31"/>
  <c r="M94" i="31"/>
  <c r="I94" i="31"/>
  <c r="J94" i="31" s="1"/>
  <c r="AL93" i="31"/>
  <c r="AI93" i="31"/>
  <c r="AF93" i="31"/>
  <c r="AC93" i="31"/>
  <c r="Z93" i="31"/>
  <c r="W93" i="31"/>
  <c r="T93" i="31"/>
  <c r="Q93" i="31"/>
  <c r="N93" i="31"/>
  <c r="M93" i="31"/>
  <c r="I93" i="31"/>
  <c r="J93" i="31" s="1"/>
  <c r="AL92" i="31"/>
  <c r="AI92" i="31"/>
  <c r="AF92" i="31"/>
  <c r="AC92" i="31"/>
  <c r="Z92" i="31"/>
  <c r="W92" i="31"/>
  <c r="T92" i="31"/>
  <c r="Q92" i="31"/>
  <c r="N92" i="31"/>
  <c r="M92" i="31"/>
  <c r="I92" i="31"/>
  <c r="J92" i="31" s="1"/>
  <c r="AL91" i="31"/>
  <c r="AI91" i="31"/>
  <c r="AF91" i="31"/>
  <c r="AC91" i="31"/>
  <c r="Z91" i="31"/>
  <c r="W91" i="31"/>
  <c r="T91" i="31"/>
  <c r="Q91" i="31"/>
  <c r="N91" i="31"/>
  <c r="M91" i="31"/>
  <c r="I91" i="31"/>
  <c r="J91" i="31" s="1"/>
  <c r="AL90" i="31"/>
  <c r="AI90" i="31"/>
  <c r="AF90" i="31"/>
  <c r="AC90" i="31"/>
  <c r="Z90" i="31"/>
  <c r="W90" i="31"/>
  <c r="T90" i="31"/>
  <c r="Q90" i="31"/>
  <c r="N90" i="31"/>
  <c r="M90" i="31"/>
  <c r="I90" i="31"/>
  <c r="J90" i="31" s="1"/>
  <c r="AL89" i="31"/>
  <c r="AI89" i="31"/>
  <c r="AF89" i="31"/>
  <c r="AC89" i="31"/>
  <c r="Z89" i="31"/>
  <c r="W89" i="31"/>
  <c r="T89" i="31"/>
  <c r="Q89" i="31"/>
  <c r="N89" i="31"/>
  <c r="M89" i="31"/>
  <c r="I89" i="31"/>
  <c r="J89" i="31" s="1"/>
  <c r="AL88" i="31"/>
  <c r="AI88" i="31"/>
  <c r="AF88" i="31"/>
  <c r="AC88" i="31"/>
  <c r="Z88" i="31"/>
  <c r="W88" i="31"/>
  <c r="T88" i="31"/>
  <c r="Q88" i="31"/>
  <c r="N88" i="31"/>
  <c r="M88" i="31"/>
  <c r="I88" i="31"/>
  <c r="J88" i="31" s="1"/>
  <c r="AL87" i="31"/>
  <c r="AI87" i="31"/>
  <c r="AF87" i="31"/>
  <c r="AC87" i="31"/>
  <c r="Z87" i="31"/>
  <c r="W87" i="31"/>
  <c r="T87" i="31"/>
  <c r="Q87" i="31"/>
  <c r="N87" i="31"/>
  <c r="M87" i="31"/>
  <c r="I87" i="31"/>
  <c r="J87" i="31" s="1"/>
  <c r="AL86" i="31"/>
  <c r="AI86" i="31"/>
  <c r="AF86" i="31"/>
  <c r="AC86" i="31"/>
  <c r="Z86" i="31"/>
  <c r="W86" i="31"/>
  <c r="T86" i="31"/>
  <c r="Q86" i="31"/>
  <c r="N86" i="31"/>
  <c r="M86" i="31"/>
  <c r="I86" i="31"/>
  <c r="J86" i="31" s="1"/>
  <c r="AL85" i="31"/>
  <c r="AI85" i="31"/>
  <c r="AF85" i="31"/>
  <c r="AC85" i="31"/>
  <c r="Z85" i="31"/>
  <c r="W85" i="31"/>
  <c r="T85" i="31"/>
  <c r="Q85" i="31"/>
  <c r="N85" i="31"/>
  <c r="M85" i="31"/>
  <c r="I85" i="31"/>
  <c r="J85" i="31" s="1"/>
  <c r="AL82" i="31"/>
  <c r="AI82" i="31"/>
  <c r="AF82" i="31"/>
  <c r="AC82" i="31"/>
  <c r="Z82" i="31"/>
  <c r="W82" i="31"/>
  <c r="T82" i="31"/>
  <c r="Q82" i="31"/>
  <c r="N82" i="31"/>
  <c r="M82" i="31"/>
  <c r="I82" i="31"/>
  <c r="J82" i="31" s="1"/>
  <c r="AL81" i="31"/>
  <c r="AI81" i="31"/>
  <c r="AF81" i="31"/>
  <c r="AC81" i="31"/>
  <c r="Z81" i="31"/>
  <c r="W81" i="31"/>
  <c r="T81" i="31"/>
  <c r="Q81" i="31"/>
  <c r="N81" i="31"/>
  <c r="M81" i="31"/>
  <c r="I81" i="31"/>
  <c r="J81" i="31" s="1"/>
  <c r="AL80" i="31"/>
  <c r="AI80" i="31"/>
  <c r="AF80" i="31"/>
  <c r="AC80" i="31"/>
  <c r="Z80" i="31"/>
  <c r="W80" i="31"/>
  <c r="T80" i="31"/>
  <c r="Q80" i="31"/>
  <c r="N80" i="31"/>
  <c r="M80" i="31"/>
  <c r="I80" i="31"/>
  <c r="J80" i="31" s="1"/>
  <c r="AL79" i="31"/>
  <c r="AI79" i="31"/>
  <c r="AF79" i="31"/>
  <c r="AC79" i="31"/>
  <c r="Z79" i="31"/>
  <c r="W79" i="31"/>
  <c r="T79" i="31"/>
  <c r="Q79" i="31"/>
  <c r="N79" i="31"/>
  <c r="M79" i="31"/>
  <c r="I79" i="31"/>
  <c r="J79" i="31" s="1"/>
  <c r="AL76" i="31"/>
  <c r="AI76" i="31"/>
  <c r="AF76" i="31"/>
  <c r="AC76" i="31"/>
  <c r="Z76" i="31"/>
  <c r="W76" i="31"/>
  <c r="T76" i="31"/>
  <c r="Q76" i="31"/>
  <c r="N76" i="31"/>
  <c r="M76" i="31"/>
  <c r="I76" i="31"/>
  <c r="J76" i="31" s="1"/>
  <c r="AL75" i="31"/>
  <c r="AI75" i="31"/>
  <c r="AF75" i="31"/>
  <c r="AC75" i="31"/>
  <c r="Z75" i="31"/>
  <c r="W75" i="31"/>
  <c r="T75" i="31"/>
  <c r="Q75" i="31"/>
  <c r="N75" i="31"/>
  <c r="M75" i="31"/>
  <c r="I75" i="31"/>
  <c r="J75" i="31" s="1"/>
  <c r="AL74" i="31"/>
  <c r="AI74" i="31"/>
  <c r="AF74" i="31"/>
  <c r="AC74" i="31"/>
  <c r="Z74" i="31"/>
  <c r="W74" i="31"/>
  <c r="T74" i="31"/>
  <c r="Q74" i="31"/>
  <c r="M74" i="31"/>
  <c r="N74" i="31" s="1"/>
  <c r="I74" i="31"/>
  <c r="J74" i="31" s="1"/>
  <c r="AL73" i="31"/>
  <c r="AI73" i="31"/>
  <c r="AF73" i="31"/>
  <c r="AC73" i="31"/>
  <c r="Z73" i="31"/>
  <c r="W73" i="31"/>
  <c r="T73" i="31"/>
  <c r="Q73" i="31"/>
  <c r="M73" i="31"/>
  <c r="N73" i="31" s="1"/>
  <c r="I73" i="31"/>
  <c r="J73" i="31" s="1"/>
  <c r="AL72" i="31"/>
  <c r="AI72" i="31"/>
  <c r="AF72" i="31"/>
  <c r="AC72" i="31"/>
  <c r="Z72" i="31"/>
  <c r="W72" i="31"/>
  <c r="T72" i="31"/>
  <c r="Q72" i="31"/>
  <c r="M72" i="31"/>
  <c r="N72" i="31" s="1"/>
  <c r="I72" i="31"/>
  <c r="J72" i="31" s="1"/>
  <c r="AL71" i="31"/>
  <c r="AI71" i="31"/>
  <c r="AF71" i="31"/>
  <c r="AC71" i="31"/>
  <c r="Z71" i="31"/>
  <c r="W71" i="31"/>
  <c r="T71" i="31"/>
  <c r="Q71" i="31"/>
  <c r="M71" i="31"/>
  <c r="N71" i="31" s="1"/>
  <c r="I71" i="31"/>
  <c r="J71" i="31" s="1"/>
  <c r="AL70" i="31"/>
  <c r="AI70" i="31"/>
  <c r="AF70" i="31"/>
  <c r="AC70" i="31"/>
  <c r="Z70" i="31"/>
  <c r="W70" i="31"/>
  <c r="T70" i="31"/>
  <c r="Q70" i="31"/>
  <c r="M70" i="31"/>
  <c r="N70" i="31" s="1"/>
  <c r="I70" i="31"/>
  <c r="J70" i="31" s="1"/>
  <c r="AL69" i="31"/>
  <c r="AI69" i="31"/>
  <c r="AF69" i="31"/>
  <c r="AC69" i="31"/>
  <c r="Z69" i="31"/>
  <c r="W69" i="31"/>
  <c r="T69" i="31"/>
  <c r="Q69" i="31"/>
  <c r="M69" i="31"/>
  <c r="N69" i="31" s="1"/>
  <c r="I69" i="31"/>
  <c r="J69" i="31" s="1"/>
  <c r="AL67" i="31"/>
  <c r="AI67" i="31"/>
  <c r="AF67" i="31"/>
  <c r="AC67" i="31"/>
  <c r="Z67" i="31"/>
  <c r="W67" i="31"/>
  <c r="T67" i="31"/>
  <c r="Q67" i="31"/>
  <c r="M67" i="31"/>
  <c r="N67" i="31" s="1"/>
  <c r="I67" i="31"/>
  <c r="J67" i="31" s="1"/>
  <c r="AL66" i="31"/>
  <c r="AI66" i="31"/>
  <c r="AF66" i="31"/>
  <c r="AC66" i="31"/>
  <c r="Z66" i="31"/>
  <c r="W66" i="31"/>
  <c r="T66" i="31"/>
  <c r="Q66" i="31"/>
  <c r="M66" i="31"/>
  <c r="N66" i="31" s="1"/>
  <c r="I66" i="31"/>
  <c r="J66" i="31" s="1"/>
  <c r="AL65" i="31"/>
  <c r="AI65" i="31"/>
  <c r="AF65" i="31"/>
  <c r="AC65" i="31"/>
  <c r="Z65" i="31"/>
  <c r="W65" i="31"/>
  <c r="T65" i="31"/>
  <c r="Q65" i="31"/>
  <c r="M65" i="31"/>
  <c r="N65" i="31" s="1"/>
  <c r="I65" i="31"/>
  <c r="J65" i="31" s="1"/>
  <c r="AL64" i="31"/>
  <c r="AI64" i="31"/>
  <c r="AF64" i="31"/>
  <c r="AC64" i="31"/>
  <c r="Z64" i="31"/>
  <c r="W64" i="31"/>
  <c r="T64" i="31"/>
  <c r="Q64" i="31"/>
  <c r="M64" i="31"/>
  <c r="N64" i="31" s="1"/>
  <c r="I64" i="31"/>
  <c r="J64" i="31" s="1"/>
  <c r="AL61" i="31"/>
  <c r="AI61" i="31"/>
  <c r="AF61" i="31"/>
  <c r="AC61" i="31"/>
  <c r="Z61" i="31"/>
  <c r="W61" i="31"/>
  <c r="T61" i="31"/>
  <c r="Q61" i="31"/>
  <c r="M61" i="31"/>
  <c r="N61" i="31" s="1"/>
  <c r="I61" i="31"/>
  <c r="J61" i="31" s="1"/>
  <c r="AL60" i="31"/>
  <c r="AI60" i="31"/>
  <c r="AF60" i="31"/>
  <c r="AC60" i="31"/>
  <c r="Z60" i="31"/>
  <c r="W60" i="31"/>
  <c r="T60" i="31"/>
  <c r="Q60" i="31"/>
  <c r="M60" i="31"/>
  <c r="N60" i="31" s="1"/>
  <c r="I60" i="31"/>
  <c r="J60" i="31" s="1"/>
  <c r="AL59" i="31"/>
  <c r="AI59" i="31"/>
  <c r="AF59" i="31"/>
  <c r="AC59" i="31"/>
  <c r="W59" i="31"/>
  <c r="T59" i="31"/>
  <c r="Q59" i="31"/>
  <c r="M59" i="31"/>
  <c r="N59" i="31" s="1"/>
  <c r="J59" i="31"/>
  <c r="I59" i="31"/>
  <c r="AL58" i="31"/>
  <c r="AI58" i="31"/>
  <c r="AF58" i="31"/>
  <c r="AC58" i="31"/>
  <c r="Z58" i="31"/>
  <c r="W58" i="31"/>
  <c r="T58" i="31"/>
  <c r="Q58" i="31"/>
  <c r="M58" i="31"/>
  <c r="N58" i="31" s="1"/>
  <c r="J58" i="31"/>
  <c r="I58" i="31"/>
  <c r="AL57" i="31"/>
  <c r="AI57" i="31"/>
  <c r="AF57" i="31"/>
  <c r="AC57" i="31"/>
  <c r="Z57" i="31"/>
  <c r="W57" i="31"/>
  <c r="T57" i="31"/>
  <c r="Q57" i="31"/>
  <c r="M57" i="31"/>
  <c r="N57" i="31" s="1"/>
  <c r="J57" i="31"/>
  <c r="I57" i="31"/>
  <c r="AL56" i="31"/>
  <c r="AI56" i="31"/>
  <c r="AF56" i="31"/>
  <c r="AC56" i="31"/>
  <c r="Z56" i="31"/>
  <c r="W56" i="31"/>
  <c r="T56" i="31"/>
  <c r="Q56" i="31"/>
  <c r="M56" i="31"/>
  <c r="N56" i="31" s="1"/>
  <c r="J56" i="31"/>
  <c r="I56" i="31"/>
  <c r="AL55" i="31"/>
  <c r="AI55" i="31"/>
  <c r="AF55" i="31"/>
  <c r="AC55" i="31"/>
  <c r="Z55" i="31"/>
  <c r="W55" i="31"/>
  <c r="T55" i="31"/>
  <c r="Q55" i="31"/>
  <c r="M55" i="31"/>
  <c r="N55" i="31" s="1"/>
  <c r="J55" i="31"/>
  <c r="I55" i="31"/>
  <c r="AL54" i="31"/>
  <c r="AI54" i="31"/>
  <c r="AF54" i="31"/>
  <c r="AC54" i="31"/>
  <c r="Z54" i="31"/>
  <c r="W54" i="31"/>
  <c r="T54" i="31"/>
  <c r="Q54" i="31"/>
  <c r="M54" i="31"/>
  <c r="N54" i="31" s="1"/>
  <c r="J54" i="31"/>
  <c r="I54" i="31"/>
  <c r="AL53" i="31"/>
  <c r="AI53" i="31"/>
  <c r="AF53" i="31"/>
  <c r="AC53" i="31"/>
  <c r="Z53" i="31"/>
  <c r="W53" i="31"/>
  <c r="T53" i="31"/>
  <c r="Q53" i="31"/>
  <c r="M53" i="31"/>
  <c r="N53" i="31" s="1"/>
  <c r="J53" i="31"/>
  <c r="I53" i="31"/>
  <c r="AL52" i="31"/>
  <c r="AI52" i="31"/>
  <c r="AF52" i="31"/>
  <c r="AC52" i="31"/>
  <c r="Z52" i="31"/>
  <c r="W52" i="31"/>
  <c r="T52" i="31"/>
  <c r="Q52" i="31"/>
  <c r="M52" i="31"/>
  <c r="N52" i="31" s="1"/>
  <c r="J52" i="31"/>
  <c r="I52" i="31"/>
  <c r="AL51" i="31"/>
  <c r="AI51" i="31"/>
  <c r="AF51" i="31"/>
  <c r="AC51" i="31"/>
  <c r="Z51" i="31"/>
  <c r="W51" i="31"/>
  <c r="T51" i="31"/>
  <c r="Q51" i="31"/>
  <c r="AL50" i="31"/>
  <c r="AI50" i="31"/>
  <c r="AF50" i="31"/>
  <c r="AC50" i="31"/>
  <c r="Z50" i="31"/>
  <c r="W50" i="31"/>
  <c r="T50" i="31"/>
  <c r="Q50" i="31"/>
  <c r="AL49" i="31"/>
  <c r="AI49" i="31"/>
  <c r="AF49" i="31"/>
  <c r="AC49" i="31"/>
  <c r="Z49" i="31"/>
  <c r="W49" i="31"/>
  <c r="T49" i="31"/>
  <c r="Q49" i="31"/>
  <c r="N49" i="31"/>
  <c r="M49" i="31"/>
  <c r="I49" i="31"/>
  <c r="J49" i="31" s="1"/>
  <c r="AL48" i="31"/>
  <c r="AI48" i="31"/>
  <c r="AF48" i="31"/>
  <c r="AC48" i="31"/>
  <c r="Z48" i="31"/>
  <c r="W48" i="31"/>
  <c r="T48" i="31"/>
  <c r="Q48" i="31"/>
  <c r="N48" i="31"/>
  <c r="M48" i="31"/>
  <c r="I48" i="31"/>
  <c r="J48" i="31" s="1"/>
  <c r="AL47" i="31"/>
  <c r="AI47" i="31"/>
  <c r="AF47" i="31"/>
  <c r="AC47" i="31"/>
  <c r="Z47" i="31"/>
  <c r="W47" i="31"/>
  <c r="T47" i="31"/>
  <c r="Q47" i="31"/>
  <c r="N47" i="31"/>
  <c r="M47" i="31"/>
  <c r="I47" i="31"/>
  <c r="J47" i="31" s="1"/>
  <c r="AL46" i="31"/>
  <c r="AI46" i="31"/>
  <c r="AF46" i="31"/>
  <c r="AC46" i="31"/>
  <c r="Z46" i="31"/>
  <c r="W46" i="31"/>
  <c r="T46" i="31"/>
  <c r="Q46" i="31"/>
  <c r="N46" i="31"/>
  <c r="M46" i="31"/>
  <c r="I46" i="31"/>
  <c r="J46" i="31" s="1"/>
  <c r="AL45" i="31"/>
  <c r="AI45" i="31"/>
  <c r="AF45" i="31"/>
  <c r="AC45" i="31"/>
  <c r="Z45" i="31"/>
  <c r="W45" i="31"/>
  <c r="T45" i="31"/>
  <c r="Q45" i="31"/>
  <c r="N45" i="31"/>
  <c r="M45" i="31"/>
  <c r="I45" i="31"/>
  <c r="J45" i="31" s="1"/>
  <c r="AL44" i="31"/>
  <c r="AI44" i="31"/>
  <c r="AF44" i="31"/>
  <c r="AC44" i="31"/>
  <c r="Z44" i="31"/>
  <c r="W44" i="31"/>
  <c r="T44" i="31"/>
  <c r="Q44" i="31"/>
  <c r="N44" i="31"/>
  <c r="M44" i="31"/>
  <c r="I44" i="31"/>
  <c r="J44" i="31" s="1"/>
  <c r="AL43" i="31"/>
  <c r="AI43" i="31"/>
  <c r="AF43" i="31"/>
  <c r="AC43" i="31"/>
  <c r="Z43" i="31"/>
  <c r="W43" i="31"/>
  <c r="T43" i="31"/>
  <c r="Q43" i="31"/>
  <c r="AL42" i="31"/>
  <c r="AI42" i="31"/>
  <c r="AF42" i="31"/>
  <c r="AC42" i="31"/>
  <c r="Z42" i="31"/>
  <c r="W42" i="31"/>
  <c r="T42" i="31"/>
  <c r="Q42" i="31"/>
  <c r="M42" i="31"/>
  <c r="N42" i="31" s="1"/>
  <c r="J42" i="31"/>
  <c r="I42" i="31"/>
  <c r="AL41" i="31"/>
  <c r="AI41" i="31"/>
  <c r="AF41" i="31"/>
  <c r="AC41" i="31"/>
  <c r="Z41" i="31"/>
  <c r="W41" i="31"/>
  <c r="T41" i="31"/>
  <c r="Q41" i="31"/>
  <c r="M41" i="31"/>
  <c r="N41" i="31" s="1"/>
  <c r="J41" i="31"/>
  <c r="I41" i="31"/>
  <c r="AL40" i="31"/>
  <c r="AI40" i="31"/>
  <c r="AF40" i="31"/>
  <c r="AC40" i="31"/>
  <c r="Z40" i="31"/>
  <c r="W40" i="31"/>
  <c r="T40" i="31"/>
  <c r="Q40" i="31"/>
  <c r="M40" i="31"/>
  <c r="N40" i="31" s="1"/>
  <c r="J40" i="31"/>
  <c r="I40" i="31"/>
  <c r="AL39" i="31"/>
  <c r="AI39" i="31"/>
  <c r="AF39" i="31"/>
  <c r="AC39" i="31"/>
  <c r="Z39" i="31"/>
  <c r="W39" i="31"/>
  <c r="T39" i="31"/>
  <c r="Q39" i="31"/>
  <c r="M39" i="31"/>
  <c r="N39" i="31" s="1"/>
  <c r="J39" i="31"/>
  <c r="I39" i="31"/>
  <c r="AL38" i="31"/>
  <c r="AI38" i="31"/>
  <c r="AF38" i="31"/>
  <c r="AC38" i="31"/>
  <c r="Z38" i="31"/>
  <c r="W38" i="31"/>
  <c r="T38" i="31"/>
  <c r="Q38" i="31"/>
  <c r="M38" i="31"/>
  <c r="N38" i="31" s="1"/>
  <c r="J38" i="31"/>
  <c r="I38" i="31"/>
  <c r="AL37" i="31"/>
  <c r="AI37" i="31"/>
  <c r="AF37" i="31"/>
  <c r="AC37" i="31"/>
  <c r="Z37" i="31"/>
  <c r="W37" i="31"/>
  <c r="T37" i="31"/>
  <c r="Q37" i="31"/>
  <c r="M37" i="31"/>
  <c r="N37" i="31" s="1"/>
  <c r="J37" i="31"/>
  <c r="I37" i="31"/>
  <c r="AL36" i="31"/>
  <c r="AI36" i="31"/>
  <c r="AF36" i="31"/>
  <c r="AC36" i="31"/>
  <c r="Z36" i="31"/>
  <c r="W36" i="31"/>
  <c r="T36" i="31"/>
  <c r="Q36" i="31"/>
  <c r="M36" i="31"/>
  <c r="N36" i="31" s="1"/>
  <c r="J36" i="31"/>
  <c r="I36" i="31"/>
  <c r="AL35" i="31"/>
  <c r="AI35" i="31"/>
  <c r="AF35" i="31"/>
  <c r="AC35" i="31"/>
  <c r="Z35" i="31"/>
  <c r="W35" i="31"/>
  <c r="T35" i="31"/>
  <c r="Q35" i="31"/>
  <c r="M35" i="31"/>
  <c r="N35" i="31" s="1"/>
  <c r="J35" i="31"/>
  <c r="I35" i="31"/>
  <c r="AL34" i="31"/>
  <c r="AI34" i="31"/>
  <c r="AF34" i="31"/>
  <c r="AC34" i="31"/>
  <c r="Z34" i="31"/>
  <c r="W34" i="31"/>
  <c r="T34" i="31"/>
  <c r="Q34" i="31"/>
  <c r="M34" i="31"/>
  <c r="N34" i="31" s="1"/>
  <c r="J34" i="31"/>
  <c r="I34" i="31"/>
  <c r="AL33" i="31"/>
  <c r="AI33" i="31"/>
  <c r="AF33" i="31"/>
  <c r="AC33" i="31"/>
  <c r="Z33" i="31"/>
  <c r="W33" i="31"/>
  <c r="T33" i="31"/>
  <c r="Q33" i="31"/>
  <c r="M33" i="31"/>
  <c r="N33" i="31" s="1"/>
  <c r="J33" i="31"/>
  <c r="I33" i="31"/>
  <c r="AL32" i="31"/>
  <c r="AI32" i="31"/>
  <c r="AF32" i="31"/>
  <c r="AC32" i="31"/>
  <c r="Z32" i="31"/>
  <c r="W32" i="31"/>
  <c r="T32" i="31"/>
  <c r="Q32" i="31"/>
  <c r="M32" i="31"/>
  <c r="N32" i="31" s="1"/>
  <c r="J32" i="31"/>
  <c r="I32" i="31"/>
  <c r="AL31" i="31"/>
  <c r="AI31" i="31"/>
  <c r="AF31" i="31"/>
  <c r="AC31" i="31"/>
  <c r="Z31" i="31"/>
  <c r="W31" i="31"/>
  <c r="T31" i="31"/>
  <c r="Q31" i="31"/>
  <c r="M31" i="31"/>
  <c r="N31" i="31" s="1"/>
  <c r="J31" i="31"/>
  <c r="I31" i="31"/>
  <c r="AL30" i="31"/>
  <c r="AI30" i="31"/>
  <c r="AF30" i="31"/>
  <c r="AC30" i="31"/>
  <c r="Z30" i="31"/>
  <c r="W30" i="31"/>
  <c r="T30" i="31"/>
  <c r="Q30" i="31"/>
  <c r="M30" i="31"/>
  <c r="N30" i="31" s="1"/>
  <c r="J30" i="31"/>
  <c r="I30" i="31"/>
  <c r="AL29" i="31"/>
  <c r="AI29" i="31"/>
  <c r="AF29" i="31"/>
  <c r="AC29" i="31"/>
  <c r="Z29" i="31"/>
  <c r="W29" i="31"/>
  <c r="T29" i="31"/>
  <c r="Q29" i="31"/>
  <c r="M29" i="31"/>
  <c r="N29" i="31" s="1"/>
  <c r="J29" i="31"/>
  <c r="I29" i="31"/>
  <c r="AL28" i="31"/>
  <c r="AI28" i="31"/>
  <c r="AF28" i="31"/>
  <c r="AC28" i="31"/>
  <c r="Z28" i="31"/>
  <c r="W28" i="31"/>
  <c r="T28" i="31"/>
  <c r="Q28" i="31"/>
  <c r="M28" i="31"/>
  <c r="N28" i="31" s="1"/>
  <c r="J28" i="31"/>
  <c r="I28" i="31"/>
  <c r="AL27" i="31"/>
  <c r="AI27" i="31"/>
  <c r="AF27" i="31"/>
  <c r="AC27" i="31"/>
  <c r="Z27" i="31"/>
  <c r="W27" i="31"/>
  <c r="T27" i="31"/>
  <c r="Q27" i="31"/>
  <c r="M27" i="31"/>
  <c r="N27" i="31" s="1"/>
  <c r="J27" i="31"/>
  <c r="I27" i="31"/>
  <c r="AL26" i="31"/>
  <c r="AI26" i="31"/>
  <c r="AF26" i="31"/>
  <c r="AC26" i="31"/>
  <c r="Z26" i="31"/>
  <c r="W26" i="31"/>
  <c r="T26" i="31"/>
  <c r="Q26" i="31"/>
  <c r="M26" i="31"/>
  <c r="N26" i="31" s="1"/>
  <c r="J26" i="31"/>
  <c r="I26" i="31"/>
  <c r="AL25" i="31"/>
  <c r="AI25" i="31"/>
  <c r="AF25" i="31"/>
  <c r="AC25" i="31"/>
  <c r="Z25" i="31"/>
  <c r="W25" i="31"/>
  <c r="T25" i="31"/>
  <c r="Q25" i="31"/>
  <c r="M25" i="31"/>
  <c r="N25" i="31" s="1"/>
  <c r="J25" i="31"/>
  <c r="I25" i="31"/>
  <c r="AL24" i="31"/>
  <c r="AI24" i="31"/>
  <c r="AF24" i="31"/>
  <c r="AC24" i="31"/>
  <c r="Z24" i="31"/>
  <c r="W24" i="31"/>
  <c r="T24" i="31"/>
  <c r="Q24" i="31"/>
  <c r="M24" i="31"/>
  <c r="N24" i="31" s="1"/>
  <c r="J24" i="31"/>
  <c r="I24" i="31"/>
  <c r="AL23" i="31"/>
  <c r="AI23" i="31"/>
  <c r="AF23" i="31"/>
  <c r="AC23" i="31"/>
  <c r="Z23" i="31"/>
  <c r="W23" i="31"/>
  <c r="T23" i="31"/>
  <c r="Q23" i="31"/>
  <c r="M23" i="31"/>
  <c r="N23" i="31" s="1"/>
  <c r="J23" i="31"/>
  <c r="I23" i="31"/>
  <c r="AL22" i="31"/>
  <c r="AI22" i="31"/>
  <c r="AF22" i="31"/>
  <c r="AC22" i="31"/>
  <c r="Z22" i="31"/>
  <c r="W22" i="31"/>
  <c r="T22" i="31"/>
  <c r="Q22" i="31"/>
  <c r="M22" i="31"/>
  <c r="N22" i="31" s="1"/>
  <c r="J22" i="31"/>
  <c r="I22" i="31"/>
  <c r="AL21" i="31"/>
  <c r="AI21" i="31"/>
  <c r="AF21" i="31"/>
  <c r="AC21" i="31"/>
  <c r="Z21" i="31"/>
  <c r="W21" i="31"/>
  <c r="T21" i="31"/>
  <c r="Q21" i="31"/>
  <c r="M21" i="31"/>
  <c r="N21" i="31" s="1"/>
  <c r="J21" i="31"/>
  <c r="I21" i="31"/>
  <c r="AL20" i="31"/>
  <c r="AI20" i="31"/>
  <c r="AF20" i="31"/>
  <c r="AC20" i="31"/>
  <c r="Z20" i="31"/>
  <c r="W20" i="31"/>
  <c r="T20" i="31"/>
  <c r="Q20" i="31"/>
  <c r="M20" i="31"/>
  <c r="N20" i="31" s="1"/>
  <c r="J20" i="31"/>
  <c r="I20" i="31"/>
  <c r="AL19" i="31"/>
  <c r="AI19" i="31"/>
  <c r="AF19" i="31"/>
  <c r="AC19" i="31"/>
  <c r="Z19" i="31"/>
  <c r="W19" i="31"/>
  <c r="T19" i="31"/>
  <c r="Q19" i="31"/>
  <c r="M19" i="31"/>
  <c r="N19" i="31" s="1"/>
  <c r="J19" i="31"/>
  <c r="I19" i="31"/>
  <c r="AL18" i="31"/>
  <c r="AI18" i="31"/>
  <c r="AF18" i="31"/>
  <c r="AC18" i="31"/>
  <c r="Z18" i="31"/>
  <c r="W18" i="31"/>
  <c r="T18" i="31"/>
  <c r="Q18" i="31"/>
  <c r="M18" i="31"/>
  <c r="N18" i="31" s="1"/>
  <c r="J18" i="31"/>
  <c r="I18" i="31"/>
  <c r="AL17" i="31"/>
  <c r="AI17" i="31"/>
  <c r="AF17" i="31"/>
  <c r="AC17" i="31"/>
  <c r="Z17" i="31"/>
  <c r="W17" i="31"/>
  <c r="T17" i="31"/>
  <c r="Q17" i="31"/>
  <c r="M17" i="31"/>
  <c r="N17" i="31" s="1"/>
  <c r="J17" i="31"/>
  <c r="I17" i="31"/>
  <c r="AL16" i="31"/>
  <c r="AI16" i="31"/>
  <c r="AF16" i="31"/>
  <c r="AC16" i="31"/>
  <c r="Z16" i="31"/>
  <c r="W16" i="31"/>
  <c r="T16" i="31"/>
  <c r="Q16" i="31"/>
  <c r="M16" i="31"/>
  <c r="N16" i="31" s="1"/>
  <c r="J16" i="31"/>
  <c r="I16" i="31"/>
  <c r="AL15" i="31"/>
  <c r="AI15" i="31"/>
  <c r="AF15" i="31"/>
  <c r="AC15" i="31"/>
  <c r="Z15" i="31"/>
  <c r="W15" i="31"/>
  <c r="T15" i="31"/>
  <c r="Q15" i="31"/>
  <c r="M15" i="31"/>
  <c r="N15" i="31" s="1"/>
  <c r="J15" i="31"/>
  <c r="I15" i="31"/>
  <c r="AL14" i="31"/>
  <c r="AI14" i="31"/>
  <c r="AF14" i="31"/>
  <c r="AC14" i="31"/>
  <c r="Z14" i="31"/>
  <c r="W14" i="31"/>
  <c r="T14" i="31"/>
  <c r="Q14" i="31"/>
  <c r="M14" i="31"/>
  <c r="N14" i="31" s="1"/>
  <c r="J14" i="31"/>
  <c r="I14" i="31"/>
  <c r="AL13" i="31"/>
  <c r="AI13" i="31"/>
  <c r="AF13" i="31"/>
  <c r="AC13" i="31"/>
  <c r="Z13" i="31"/>
  <c r="W13" i="31"/>
  <c r="T13" i="31"/>
  <c r="Q13" i="31"/>
  <c r="M13" i="31"/>
  <c r="N13" i="31" s="1"/>
  <c r="J13" i="31"/>
  <c r="I13" i="31"/>
  <c r="AL12" i="31"/>
  <c r="AI12" i="31"/>
  <c r="AF12" i="31"/>
  <c r="AC12" i="31"/>
  <c r="Z12" i="31"/>
  <c r="W12" i="31"/>
  <c r="T12" i="31"/>
  <c r="Q12" i="31"/>
  <c r="M12" i="31"/>
  <c r="N12" i="31" s="1"/>
  <c r="J12" i="31"/>
  <c r="I12" i="31"/>
  <c r="AL11" i="31"/>
  <c r="AI11" i="31"/>
  <c r="AF11" i="31"/>
  <c r="AC11" i="31"/>
  <c r="Z11" i="31"/>
  <c r="W11" i="31"/>
  <c r="T11" i="31"/>
  <c r="Q11" i="31"/>
  <c r="M11" i="31"/>
  <c r="N11" i="31" s="1"/>
  <c r="J11" i="31"/>
  <c r="I11" i="31"/>
  <c r="AL10" i="31"/>
  <c r="AI10" i="31"/>
  <c r="AF10" i="31"/>
  <c r="AC10" i="31"/>
  <c r="Z10" i="31"/>
  <c r="W10" i="31"/>
  <c r="T10" i="31"/>
  <c r="Q10" i="31"/>
  <c r="M10" i="31"/>
  <c r="N10" i="31" s="1"/>
  <c r="J10" i="31"/>
  <c r="I10" i="31"/>
  <c r="AL9" i="31"/>
  <c r="AI9" i="31"/>
  <c r="AF9" i="31"/>
  <c r="AC9" i="31"/>
  <c r="Z9" i="31"/>
  <c r="W9" i="31"/>
  <c r="T9" i="31"/>
  <c r="Q9" i="31"/>
  <c r="M9" i="31"/>
  <c r="N9" i="31" s="1"/>
  <c r="J9" i="31"/>
  <c r="I9" i="31"/>
  <c r="AL8" i="31"/>
  <c r="AI8" i="31"/>
  <c r="AF8" i="31"/>
  <c r="AC8" i="31"/>
  <c r="Z8" i="31"/>
  <c r="W8" i="31"/>
  <c r="T8" i="31"/>
  <c r="Q8" i="31"/>
  <c r="M8" i="31"/>
  <c r="N8" i="31" s="1"/>
  <c r="J8" i="31"/>
  <c r="I8" i="31"/>
  <c r="AL7" i="31"/>
  <c r="AI7" i="31"/>
  <c r="AF7" i="31"/>
  <c r="AC7" i="31"/>
  <c r="Z7" i="31"/>
  <c r="W7" i="31"/>
  <c r="T7" i="31"/>
  <c r="Q7" i="31"/>
  <c r="M7" i="31"/>
  <c r="N7" i="31" s="1"/>
  <c r="J7" i="31"/>
  <c r="I7" i="31"/>
  <c r="AL6" i="31"/>
  <c r="AI6" i="31"/>
  <c r="AF6" i="31"/>
  <c r="AC6" i="31"/>
  <c r="Z6" i="31"/>
  <c r="W6" i="31"/>
  <c r="T6" i="31"/>
  <c r="Q6" i="31"/>
  <c r="M6" i="31"/>
  <c r="N6" i="31" s="1"/>
  <c r="J6" i="31"/>
  <c r="I6" i="31"/>
  <c r="AL5" i="31"/>
  <c r="AI5" i="31"/>
  <c r="AF5" i="31"/>
  <c r="AC5" i="31"/>
  <c r="Z5" i="31"/>
  <c r="W5" i="31"/>
  <c r="T5" i="31"/>
  <c r="Q5" i="31"/>
  <c r="M5" i="31"/>
  <c r="N5" i="31" s="1"/>
  <c r="J5" i="31"/>
  <c r="I5" i="31"/>
  <c r="AL4" i="31"/>
  <c r="AI4" i="31"/>
  <c r="AF4" i="31"/>
  <c r="AC4" i="31"/>
  <c r="Z4" i="31"/>
  <c r="W4" i="31"/>
  <c r="T4" i="31"/>
  <c r="Q4" i="31"/>
  <c r="M4" i="31"/>
  <c r="N4" i="31" s="1"/>
  <c r="J4" i="31"/>
  <c r="I4" i="31"/>
  <c r="C7" i="34" l="1" a="1"/>
  <c r="C7" i="34" s="1"/>
  <c r="D6" i="34" a="1"/>
  <c r="D6" i="34" s="1"/>
  <c r="A7" i="34" a="1"/>
  <c r="A7" i="34" s="1"/>
  <c r="D7" i="34" s="1" a="1"/>
  <c r="D7" i="34" s="1"/>
  <c r="B8" i="34" a="1"/>
  <c r="B8" i="34" s="1"/>
  <c r="A2" i="28" a="1"/>
  <c r="A2" i="28" s="1"/>
  <c r="A3" i="26"/>
  <c r="B3" i="26"/>
  <c r="C3" i="26"/>
  <c r="D3" i="26"/>
  <c r="E3" i="26"/>
  <c r="F3" i="26"/>
  <c r="G3" i="26"/>
  <c r="H3" i="26"/>
  <c r="I3" i="26"/>
  <c r="J3" i="26"/>
  <c r="K3" i="26"/>
  <c r="L3" i="26"/>
  <c r="M3" i="26"/>
  <c r="A4" i="26"/>
  <c r="B4" i="26"/>
  <c r="C4" i="26"/>
  <c r="D4" i="26"/>
  <c r="E4" i="26"/>
  <c r="F4" i="26"/>
  <c r="G4" i="26"/>
  <c r="H4" i="26"/>
  <c r="I4" i="26"/>
  <c r="J4" i="26"/>
  <c r="K4" i="26"/>
  <c r="L4" i="26"/>
  <c r="M4" i="26"/>
  <c r="A5" i="26"/>
  <c r="B5" i="26"/>
  <c r="C5" i="26"/>
  <c r="D5" i="26"/>
  <c r="E5" i="26"/>
  <c r="F5" i="26"/>
  <c r="G5" i="26"/>
  <c r="H5" i="26"/>
  <c r="I5" i="26"/>
  <c r="J5" i="26"/>
  <c r="K5" i="26"/>
  <c r="L5" i="26"/>
  <c r="M5" i="26"/>
  <c r="A6" i="26"/>
  <c r="B6" i="26"/>
  <c r="C6" i="26"/>
  <c r="D6" i="26"/>
  <c r="E6" i="26"/>
  <c r="F6" i="26"/>
  <c r="G6" i="26"/>
  <c r="H6" i="26"/>
  <c r="I6" i="26"/>
  <c r="J6" i="26"/>
  <c r="K6" i="26"/>
  <c r="L6" i="26"/>
  <c r="M6" i="26"/>
  <c r="A7" i="26"/>
  <c r="B7" i="26"/>
  <c r="C7" i="26"/>
  <c r="D7" i="26"/>
  <c r="E7" i="26"/>
  <c r="F7" i="26"/>
  <c r="G7" i="26"/>
  <c r="H7" i="26"/>
  <c r="I7" i="26"/>
  <c r="J7" i="26"/>
  <c r="K7" i="26"/>
  <c r="L7" i="26"/>
  <c r="M7" i="26"/>
  <c r="A8" i="26"/>
  <c r="B8" i="26"/>
  <c r="C8" i="26"/>
  <c r="D8" i="26"/>
  <c r="E8" i="26"/>
  <c r="F8" i="26"/>
  <c r="G8" i="26"/>
  <c r="H8" i="26"/>
  <c r="I8" i="26"/>
  <c r="J8" i="26"/>
  <c r="K8" i="26"/>
  <c r="L8" i="26"/>
  <c r="M8" i="26"/>
  <c r="A9" i="26"/>
  <c r="B9" i="26"/>
  <c r="C9" i="26"/>
  <c r="D9" i="26"/>
  <c r="E9" i="26"/>
  <c r="F9" i="26"/>
  <c r="G9" i="26"/>
  <c r="H9" i="26"/>
  <c r="I9" i="26"/>
  <c r="J9" i="26"/>
  <c r="K9" i="26"/>
  <c r="L9" i="26"/>
  <c r="M9" i="26"/>
  <c r="A10" i="26"/>
  <c r="B10" i="26"/>
  <c r="C10" i="26"/>
  <c r="D10" i="26"/>
  <c r="E10" i="26"/>
  <c r="F10" i="26"/>
  <c r="G10" i="26"/>
  <c r="H10" i="26"/>
  <c r="I10" i="26"/>
  <c r="J10" i="26"/>
  <c r="K10" i="26"/>
  <c r="L10" i="26"/>
  <c r="M10" i="26"/>
  <c r="A11" i="26"/>
  <c r="B11" i="26"/>
  <c r="C11" i="26"/>
  <c r="D11" i="26"/>
  <c r="E11" i="26"/>
  <c r="F11" i="26"/>
  <c r="G11" i="26"/>
  <c r="H11" i="26"/>
  <c r="I11" i="26"/>
  <c r="J11" i="26"/>
  <c r="K11" i="26"/>
  <c r="L11" i="26"/>
  <c r="M11" i="26"/>
  <c r="A12" i="26"/>
  <c r="B12" i="26"/>
  <c r="C12" i="26"/>
  <c r="D12" i="26"/>
  <c r="E12" i="26"/>
  <c r="F12" i="26"/>
  <c r="G12" i="26"/>
  <c r="H12" i="26"/>
  <c r="I12" i="26"/>
  <c r="J12" i="26"/>
  <c r="K12" i="26"/>
  <c r="L12" i="26"/>
  <c r="M12" i="26"/>
  <c r="A13" i="26"/>
  <c r="B13" i="26"/>
  <c r="C13" i="26"/>
  <c r="D13" i="26"/>
  <c r="E13" i="26"/>
  <c r="F13" i="26"/>
  <c r="G13" i="26"/>
  <c r="H13" i="26"/>
  <c r="I13" i="26"/>
  <c r="J13" i="26"/>
  <c r="K13" i="26"/>
  <c r="L13" i="26"/>
  <c r="M13" i="26"/>
  <c r="A14" i="26"/>
  <c r="B14" i="26"/>
  <c r="C14" i="26"/>
  <c r="D14" i="26"/>
  <c r="E14" i="26"/>
  <c r="F14" i="26"/>
  <c r="G14" i="26"/>
  <c r="H14" i="26"/>
  <c r="I14" i="26"/>
  <c r="J14" i="26"/>
  <c r="K14" i="26"/>
  <c r="L14" i="26"/>
  <c r="M14" i="26"/>
  <c r="A15" i="26"/>
  <c r="B15" i="26"/>
  <c r="C15" i="26"/>
  <c r="D15" i="26"/>
  <c r="E15" i="26"/>
  <c r="F15" i="26"/>
  <c r="G15" i="26"/>
  <c r="H15" i="26"/>
  <c r="I15" i="26"/>
  <c r="J15" i="26"/>
  <c r="K15" i="26"/>
  <c r="L15" i="26"/>
  <c r="M15" i="26"/>
  <c r="A16" i="26"/>
  <c r="B16" i="26"/>
  <c r="C16" i="26"/>
  <c r="D16" i="26"/>
  <c r="E16" i="26"/>
  <c r="F16" i="26"/>
  <c r="G16" i="26"/>
  <c r="H16" i="26"/>
  <c r="I16" i="26"/>
  <c r="J16" i="26"/>
  <c r="K16" i="26"/>
  <c r="L16" i="26"/>
  <c r="M16" i="26"/>
  <c r="A17" i="26"/>
  <c r="B17" i="26"/>
  <c r="C17" i="26"/>
  <c r="D17" i="26"/>
  <c r="E17" i="26"/>
  <c r="F17" i="26"/>
  <c r="G17" i="26"/>
  <c r="H17" i="26"/>
  <c r="I17" i="26"/>
  <c r="J17" i="26"/>
  <c r="K17" i="26"/>
  <c r="L17" i="26"/>
  <c r="M17" i="26"/>
  <c r="A18" i="26"/>
  <c r="B18" i="26"/>
  <c r="C18" i="26"/>
  <c r="D18" i="26"/>
  <c r="E18" i="26"/>
  <c r="F18" i="26"/>
  <c r="G18" i="26"/>
  <c r="H18" i="26"/>
  <c r="I18" i="26"/>
  <c r="J18" i="26"/>
  <c r="K18" i="26"/>
  <c r="L18" i="26"/>
  <c r="M18" i="26"/>
  <c r="A19" i="26"/>
  <c r="B19" i="26"/>
  <c r="C19" i="26"/>
  <c r="D19" i="26"/>
  <c r="E19" i="26"/>
  <c r="F19" i="26"/>
  <c r="G19" i="26"/>
  <c r="H19" i="26"/>
  <c r="I19" i="26"/>
  <c r="J19" i="26"/>
  <c r="K19" i="26"/>
  <c r="L19" i="26"/>
  <c r="M19" i="26"/>
  <c r="A20" i="26"/>
  <c r="B20" i="26"/>
  <c r="C20" i="26"/>
  <c r="D20" i="26"/>
  <c r="E20" i="26"/>
  <c r="F20" i="26"/>
  <c r="G20" i="26"/>
  <c r="H20" i="26"/>
  <c r="I20" i="26"/>
  <c r="J20" i="26"/>
  <c r="K20" i="26"/>
  <c r="L20" i="26"/>
  <c r="M20" i="26"/>
  <c r="A21" i="26"/>
  <c r="B21" i="26"/>
  <c r="C21" i="26"/>
  <c r="D21" i="26"/>
  <c r="E21" i="26"/>
  <c r="F21" i="26"/>
  <c r="G21" i="26"/>
  <c r="H21" i="26"/>
  <c r="I21" i="26"/>
  <c r="J21" i="26"/>
  <c r="K21" i="26"/>
  <c r="L21" i="26"/>
  <c r="M21" i="26"/>
  <c r="A22" i="26"/>
  <c r="B22" i="26"/>
  <c r="C22" i="26"/>
  <c r="D22" i="26"/>
  <c r="E22" i="26"/>
  <c r="F22" i="26"/>
  <c r="G22" i="26"/>
  <c r="H22" i="26"/>
  <c r="I22" i="26"/>
  <c r="J22" i="26"/>
  <c r="K22" i="26"/>
  <c r="L22" i="26"/>
  <c r="M22" i="26"/>
  <c r="A23" i="26"/>
  <c r="B23" i="26"/>
  <c r="C23" i="26"/>
  <c r="D23" i="26"/>
  <c r="E23" i="26"/>
  <c r="F23" i="26"/>
  <c r="G23" i="26"/>
  <c r="H23" i="26"/>
  <c r="I23" i="26"/>
  <c r="J23" i="26"/>
  <c r="K23" i="26"/>
  <c r="L23" i="26"/>
  <c r="M23" i="26"/>
  <c r="A24" i="26"/>
  <c r="B24" i="26"/>
  <c r="C24" i="26"/>
  <c r="D24" i="26"/>
  <c r="E24" i="26"/>
  <c r="F24" i="26"/>
  <c r="G24" i="26"/>
  <c r="H24" i="26"/>
  <c r="I24" i="26"/>
  <c r="J24" i="26"/>
  <c r="K24" i="26"/>
  <c r="L24" i="26"/>
  <c r="M24" i="26"/>
  <c r="A25" i="26"/>
  <c r="B25" i="26"/>
  <c r="C25" i="26"/>
  <c r="D25" i="26"/>
  <c r="E25" i="26"/>
  <c r="F25" i="26"/>
  <c r="G25" i="26"/>
  <c r="H25" i="26"/>
  <c r="I25" i="26"/>
  <c r="J25" i="26"/>
  <c r="K25" i="26"/>
  <c r="L25" i="26"/>
  <c r="M25" i="26"/>
  <c r="A26" i="26"/>
  <c r="B26" i="26"/>
  <c r="C26" i="26"/>
  <c r="D26" i="26"/>
  <c r="E26" i="26"/>
  <c r="F26" i="26"/>
  <c r="G26" i="26"/>
  <c r="H26" i="26"/>
  <c r="I26" i="26"/>
  <c r="J26" i="26"/>
  <c r="K26" i="26"/>
  <c r="L26" i="26"/>
  <c r="M26" i="26"/>
  <c r="A27" i="26"/>
  <c r="B27" i="26"/>
  <c r="C27" i="26"/>
  <c r="D27" i="26"/>
  <c r="E27" i="26"/>
  <c r="F27" i="26"/>
  <c r="G27" i="26"/>
  <c r="H27" i="26"/>
  <c r="I27" i="26"/>
  <c r="J27" i="26"/>
  <c r="K27" i="26"/>
  <c r="L27" i="26"/>
  <c r="M27" i="26"/>
  <c r="A28" i="26"/>
  <c r="B28" i="26"/>
  <c r="C28" i="26"/>
  <c r="D28" i="26"/>
  <c r="E28" i="26"/>
  <c r="F28" i="26"/>
  <c r="G28" i="26"/>
  <c r="H28" i="26"/>
  <c r="I28" i="26"/>
  <c r="J28" i="26"/>
  <c r="K28" i="26"/>
  <c r="L28" i="26"/>
  <c r="M28" i="26"/>
  <c r="A29" i="26"/>
  <c r="B29" i="26"/>
  <c r="C29" i="26"/>
  <c r="D29" i="26"/>
  <c r="E29" i="26"/>
  <c r="F29" i="26"/>
  <c r="G29" i="26"/>
  <c r="H29" i="26"/>
  <c r="I29" i="26"/>
  <c r="J29" i="26"/>
  <c r="K29" i="26"/>
  <c r="L29" i="26"/>
  <c r="M29" i="26"/>
  <c r="A30" i="26"/>
  <c r="B30" i="26"/>
  <c r="C30" i="26"/>
  <c r="D30" i="26"/>
  <c r="E30" i="26"/>
  <c r="F30" i="26"/>
  <c r="G30" i="26"/>
  <c r="H30" i="26"/>
  <c r="I30" i="26"/>
  <c r="J30" i="26"/>
  <c r="K30" i="26"/>
  <c r="L30" i="26"/>
  <c r="M30" i="26"/>
  <c r="A31" i="26"/>
  <c r="B31" i="26"/>
  <c r="C31" i="26"/>
  <c r="D31" i="26"/>
  <c r="E31" i="26"/>
  <c r="F31" i="26"/>
  <c r="G31" i="26"/>
  <c r="H31" i="26"/>
  <c r="I31" i="26"/>
  <c r="J31" i="26"/>
  <c r="K31" i="26"/>
  <c r="L31" i="26"/>
  <c r="M31" i="26"/>
  <c r="A32" i="26"/>
  <c r="B32" i="26"/>
  <c r="C32" i="26"/>
  <c r="D32" i="26"/>
  <c r="E32" i="26"/>
  <c r="F32" i="26"/>
  <c r="G32" i="26"/>
  <c r="H32" i="26"/>
  <c r="I32" i="26"/>
  <c r="J32" i="26"/>
  <c r="K32" i="26"/>
  <c r="L32" i="26"/>
  <c r="M32" i="26"/>
  <c r="A33" i="26"/>
  <c r="B33" i="26"/>
  <c r="C33" i="26"/>
  <c r="D33" i="26"/>
  <c r="E33" i="26"/>
  <c r="F33" i="26"/>
  <c r="G33" i="26"/>
  <c r="H33" i="26"/>
  <c r="I33" i="26"/>
  <c r="J33" i="26"/>
  <c r="K33" i="26"/>
  <c r="L33" i="26"/>
  <c r="M33" i="26"/>
  <c r="A34" i="26"/>
  <c r="B34" i="26"/>
  <c r="C34" i="26"/>
  <c r="D34" i="26"/>
  <c r="E34" i="26"/>
  <c r="F34" i="26"/>
  <c r="G34" i="26"/>
  <c r="H34" i="26"/>
  <c r="I34" i="26"/>
  <c r="J34" i="26"/>
  <c r="K34" i="26"/>
  <c r="L34" i="26"/>
  <c r="M34" i="26"/>
  <c r="A35" i="26"/>
  <c r="B35" i="26"/>
  <c r="C35" i="26"/>
  <c r="D35" i="26"/>
  <c r="E35" i="26"/>
  <c r="F35" i="26"/>
  <c r="G35" i="26"/>
  <c r="H35" i="26"/>
  <c r="I35" i="26"/>
  <c r="J35" i="26"/>
  <c r="K35" i="26"/>
  <c r="L35" i="26"/>
  <c r="M35" i="26"/>
  <c r="A36" i="26"/>
  <c r="B36" i="26"/>
  <c r="C36" i="26"/>
  <c r="D36" i="26"/>
  <c r="E36" i="26"/>
  <c r="F36" i="26"/>
  <c r="G36" i="26"/>
  <c r="H36" i="26"/>
  <c r="I36" i="26"/>
  <c r="J36" i="26"/>
  <c r="K36" i="26"/>
  <c r="L36" i="26"/>
  <c r="M36" i="26"/>
  <c r="A37" i="26"/>
  <c r="B37" i="26"/>
  <c r="C37" i="26"/>
  <c r="D37" i="26"/>
  <c r="E37" i="26"/>
  <c r="F37" i="26"/>
  <c r="G37" i="26"/>
  <c r="H37" i="26"/>
  <c r="I37" i="26"/>
  <c r="J37" i="26"/>
  <c r="K37" i="26"/>
  <c r="L37" i="26"/>
  <c r="M37" i="26"/>
  <c r="A38" i="26"/>
  <c r="B38" i="26"/>
  <c r="C38" i="26"/>
  <c r="D38" i="26"/>
  <c r="E38" i="26"/>
  <c r="F38" i="26"/>
  <c r="G38" i="26"/>
  <c r="H38" i="26"/>
  <c r="I38" i="26"/>
  <c r="J38" i="26"/>
  <c r="K38" i="26"/>
  <c r="L38" i="26"/>
  <c r="M38" i="26"/>
  <c r="A39" i="26"/>
  <c r="B39" i="26"/>
  <c r="C39" i="26"/>
  <c r="D39" i="26"/>
  <c r="E39" i="26"/>
  <c r="F39" i="26"/>
  <c r="G39" i="26"/>
  <c r="H39" i="26"/>
  <c r="I39" i="26"/>
  <c r="J39" i="26"/>
  <c r="K39" i="26"/>
  <c r="L39" i="26"/>
  <c r="M39" i="26"/>
  <c r="A40" i="26"/>
  <c r="B40" i="26"/>
  <c r="C40" i="26"/>
  <c r="D40" i="26"/>
  <c r="E40" i="26"/>
  <c r="F40" i="26"/>
  <c r="G40" i="26"/>
  <c r="H40" i="26"/>
  <c r="I40" i="26"/>
  <c r="J40" i="26"/>
  <c r="K40" i="26"/>
  <c r="L40" i="26"/>
  <c r="M40" i="26"/>
  <c r="A41" i="26"/>
  <c r="B41" i="26"/>
  <c r="C41" i="26"/>
  <c r="D41" i="26"/>
  <c r="E41" i="26"/>
  <c r="F41" i="26"/>
  <c r="G41" i="26"/>
  <c r="H41" i="26"/>
  <c r="I41" i="26"/>
  <c r="J41" i="26"/>
  <c r="K41" i="26"/>
  <c r="L41" i="26"/>
  <c r="M41" i="26"/>
  <c r="A42" i="26"/>
  <c r="B42" i="26"/>
  <c r="C42" i="26"/>
  <c r="D42" i="26"/>
  <c r="E42" i="26"/>
  <c r="F42" i="26"/>
  <c r="G42" i="26"/>
  <c r="H42" i="26"/>
  <c r="I42" i="26"/>
  <c r="J42" i="26"/>
  <c r="K42" i="26"/>
  <c r="L42" i="26"/>
  <c r="M42" i="26"/>
  <c r="A43" i="26"/>
  <c r="B43" i="26"/>
  <c r="C43" i="26"/>
  <c r="D43" i="26"/>
  <c r="E43" i="26"/>
  <c r="F43" i="26"/>
  <c r="G43" i="26"/>
  <c r="H43" i="26"/>
  <c r="I43" i="26"/>
  <c r="J43" i="26"/>
  <c r="K43" i="26"/>
  <c r="L43" i="26"/>
  <c r="M43" i="26"/>
  <c r="A44" i="26"/>
  <c r="B44" i="26"/>
  <c r="C44" i="26"/>
  <c r="D44" i="26"/>
  <c r="E44" i="26"/>
  <c r="F44" i="26"/>
  <c r="G44" i="26"/>
  <c r="H44" i="26"/>
  <c r="I44" i="26"/>
  <c r="J44" i="26"/>
  <c r="K44" i="26"/>
  <c r="L44" i="26"/>
  <c r="M44" i="26"/>
  <c r="A45" i="26"/>
  <c r="B45" i="26"/>
  <c r="C45" i="26"/>
  <c r="D45" i="26"/>
  <c r="E45" i="26"/>
  <c r="F45" i="26"/>
  <c r="G45" i="26"/>
  <c r="H45" i="26"/>
  <c r="I45" i="26"/>
  <c r="J45" i="26"/>
  <c r="K45" i="26"/>
  <c r="L45" i="26"/>
  <c r="M45" i="26"/>
  <c r="A46" i="26"/>
  <c r="B46" i="26"/>
  <c r="C46" i="26"/>
  <c r="D46" i="26"/>
  <c r="E46" i="26"/>
  <c r="F46" i="26"/>
  <c r="G46" i="26"/>
  <c r="H46" i="26"/>
  <c r="I46" i="26"/>
  <c r="J46" i="26"/>
  <c r="K46" i="26"/>
  <c r="L46" i="26"/>
  <c r="M46" i="26"/>
  <c r="A47" i="26"/>
  <c r="B47" i="26"/>
  <c r="C47" i="26"/>
  <c r="D47" i="26"/>
  <c r="E47" i="26"/>
  <c r="F47" i="26"/>
  <c r="G47" i="26"/>
  <c r="H47" i="26"/>
  <c r="I47" i="26"/>
  <c r="J47" i="26"/>
  <c r="K47" i="26"/>
  <c r="L47" i="26"/>
  <c r="M47" i="26"/>
  <c r="A48" i="26"/>
  <c r="B48" i="26"/>
  <c r="C48" i="26"/>
  <c r="D48" i="26"/>
  <c r="E48" i="26"/>
  <c r="F48" i="26"/>
  <c r="G48" i="26"/>
  <c r="H48" i="26"/>
  <c r="I48" i="26"/>
  <c r="J48" i="26"/>
  <c r="K48" i="26"/>
  <c r="L48" i="26"/>
  <c r="M48" i="26"/>
  <c r="A49" i="26"/>
  <c r="B49" i="26"/>
  <c r="C49" i="26"/>
  <c r="D49" i="26"/>
  <c r="E49" i="26"/>
  <c r="F49" i="26"/>
  <c r="G49" i="26"/>
  <c r="H49" i="26"/>
  <c r="I49" i="26"/>
  <c r="J49" i="26"/>
  <c r="K49" i="26"/>
  <c r="L49" i="26"/>
  <c r="M49" i="26"/>
  <c r="A50" i="26"/>
  <c r="B50" i="26"/>
  <c r="C50" i="26"/>
  <c r="D50" i="26"/>
  <c r="E50" i="26"/>
  <c r="F50" i="26"/>
  <c r="G50" i="26"/>
  <c r="H50" i="26"/>
  <c r="I50" i="26"/>
  <c r="J50" i="26"/>
  <c r="K50" i="26"/>
  <c r="L50" i="26"/>
  <c r="M50" i="26"/>
  <c r="A51" i="26"/>
  <c r="B51" i="26"/>
  <c r="C51" i="26"/>
  <c r="D51" i="26"/>
  <c r="E51" i="26"/>
  <c r="F51" i="26"/>
  <c r="G51" i="26"/>
  <c r="H51" i="26"/>
  <c r="I51" i="26"/>
  <c r="J51" i="26"/>
  <c r="K51" i="26"/>
  <c r="L51" i="26"/>
  <c r="M51" i="26"/>
  <c r="A52" i="26"/>
  <c r="B52" i="26"/>
  <c r="C52" i="26"/>
  <c r="D52" i="26"/>
  <c r="E52" i="26"/>
  <c r="F52" i="26"/>
  <c r="G52" i="26"/>
  <c r="H52" i="26"/>
  <c r="I52" i="26"/>
  <c r="J52" i="26"/>
  <c r="K52" i="26"/>
  <c r="L52" i="26"/>
  <c r="M52" i="26"/>
  <c r="A53" i="26"/>
  <c r="B53" i="26"/>
  <c r="C53" i="26"/>
  <c r="D53" i="26"/>
  <c r="E53" i="26"/>
  <c r="F53" i="26"/>
  <c r="G53" i="26"/>
  <c r="H53" i="26"/>
  <c r="I53" i="26"/>
  <c r="J53" i="26"/>
  <c r="K53" i="26"/>
  <c r="L53" i="26"/>
  <c r="M53" i="26"/>
  <c r="A54" i="26"/>
  <c r="B54" i="26"/>
  <c r="C54" i="26"/>
  <c r="D54" i="26"/>
  <c r="E54" i="26"/>
  <c r="F54" i="26"/>
  <c r="G54" i="26"/>
  <c r="H54" i="26"/>
  <c r="I54" i="26"/>
  <c r="J54" i="26"/>
  <c r="K54" i="26"/>
  <c r="L54" i="26"/>
  <c r="M54" i="26"/>
  <c r="A55" i="26"/>
  <c r="B55" i="26"/>
  <c r="C55" i="26"/>
  <c r="D55" i="26"/>
  <c r="E55" i="26"/>
  <c r="F55" i="26"/>
  <c r="G55" i="26"/>
  <c r="H55" i="26"/>
  <c r="I55" i="26"/>
  <c r="J55" i="26"/>
  <c r="K55" i="26"/>
  <c r="L55" i="26"/>
  <c r="M55" i="26"/>
  <c r="A56" i="26"/>
  <c r="B56" i="26"/>
  <c r="C56" i="26"/>
  <c r="D56" i="26"/>
  <c r="E56" i="26"/>
  <c r="F56" i="26"/>
  <c r="G56" i="26"/>
  <c r="H56" i="26"/>
  <c r="I56" i="26"/>
  <c r="J56" i="26"/>
  <c r="K56" i="26"/>
  <c r="L56" i="26"/>
  <c r="M56" i="26"/>
  <c r="A57" i="26"/>
  <c r="B57" i="26"/>
  <c r="C57" i="26"/>
  <c r="D57" i="26"/>
  <c r="E57" i="26"/>
  <c r="F57" i="26"/>
  <c r="G57" i="26"/>
  <c r="H57" i="26"/>
  <c r="I57" i="26"/>
  <c r="J57" i="26"/>
  <c r="K57" i="26"/>
  <c r="L57" i="26"/>
  <c r="M57" i="26"/>
  <c r="A58" i="26"/>
  <c r="B58" i="26"/>
  <c r="C58" i="26"/>
  <c r="D58" i="26"/>
  <c r="E58" i="26"/>
  <c r="F58" i="26"/>
  <c r="G58" i="26"/>
  <c r="H58" i="26"/>
  <c r="I58" i="26"/>
  <c r="J58" i="26"/>
  <c r="K58" i="26"/>
  <c r="L58" i="26"/>
  <c r="M58" i="26"/>
  <c r="A59" i="26"/>
  <c r="B59" i="26"/>
  <c r="C59" i="26"/>
  <c r="D59" i="26"/>
  <c r="E59" i="26"/>
  <c r="F59" i="26"/>
  <c r="G59" i="26"/>
  <c r="H59" i="26"/>
  <c r="I59" i="26"/>
  <c r="J59" i="26"/>
  <c r="K59" i="26"/>
  <c r="L59" i="26"/>
  <c r="M59" i="26"/>
  <c r="A60" i="26"/>
  <c r="B60" i="26"/>
  <c r="C60" i="26"/>
  <c r="D60" i="26"/>
  <c r="E60" i="26"/>
  <c r="F60" i="26"/>
  <c r="G60" i="26"/>
  <c r="H60" i="26"/>
  <c r="I60" i="26"/>
  <c r="J60" i="26"/>
  <c r="K60" i="26"/>
  <c r="L60" i="26"/>
  <c r="M60" i="26"/>
  <c r="A61" i="26"/>
  <c r="B61" i="26"/>
  <c r="C61" i="26"/>
  <c r="D61" i="26"/>
  <c r="E61" i="26"/>
  <c r="F61" i="26"/>
  <c r="G61" i="26"/>
  <c r="H61" i="26"/>
  <c r="I61" i="26"/>
  <c r="J61" i="26"/>
  <c r="K61" i="26"/>
  <c r="L61" i="26"/>
  <c r="M61" i="26"/>
  <c r="A62" i="26"/>
  <c r="B62" i="26"/>
  <c r="C62" i="26"/>
  <c r="D62" i="26"/>
  <c r="E62" i="26"/>
  <c r="F62" i="26"/>
  <c r="G62" i="26"/>
  <c r="H62" i="26"/>
  <c r="I62" i="26"/>
  <c r="J62" i="26"/>
  <c r="K62" i="26"/>
  <c r="L62" i="26"/>
  <c r="M62" i="26"/>
  <c r="A63" i="26"/>
  <c r="B63" i="26"/>
  <c r="C63" i="26"/>
  <c r="D63" i="26"/>
  <c r="E63" i="26"/>
  <c r="F63" i="26"/>
  <c r="G63" i="26"/>
  <c r="H63" i="26"/>
  <c r="I63" i="26"/>
  <c r="J63" i="26"/>
  <c r="K63" i="26"/>
  <c r="L63" i="26"/>
  <c r="M63" i="26"/>
  <c r="A64" i="26"/>
  <c r="B64" i="26"/>
  <c r="C64" i="26"/>
  <c r="D64" i="26"/>
  <c r="E64" i="26"/>
  <c r="F64" i="26"/>
  <c r="G64" i="26"/>
  <c r="H64" i="26"/>
  <c r="I64" i="26"/>
  <c r="J64" i="26"/>
  <c r="K64" i="26"/>
  <c r="L64" i="26"/>
  <c r="M64" i="26"/>
  <c r="A65" i="26"/>
  <c r="B65" i="26"/>
  <c r="C65" i="26"/>
  <c r="D65" i="26"/>
  <c r="E65" i="26"/>
  <c r="F65" i="26"/>
  <c r="G65" i="26"/>
  <c r="H65" i="26"/>
  <c r="I65" i="26"/>
  <c r="J65" i="26"/>
  <c r="K65" i="26"/>
  <c r="L65" i="26"/>
  <c r="M65" i="26"/>
  <c r="A66" i="26"/>
  <c r="B66" i="26"/>
  <c r="C66" i="26"/>
  <c r="D66" i="26"/>
  <c r="E66" i="26"/>
  <c r="F66" i="26"/>
  <c r="G66" i="26"/>
  <c r="H66" i="26"/>
  <c r="I66" i="26"/>
  <c r="J66" i="26"/>
  <c r="K66" i="26"/>
  <c r="L66" i="26"/>
  <c r="M66" i="26"/>
  <c r="A67" i="26"/>
  <c r="B67" i="26"/>
  <c r="C67" i="26"/>
  <c r="D67" i="26"/>
  <c r="E67" i="26"/>
  <c r="F67" i="26"/>
  <c r="G67" i="26"/>
  <c r="H67" i="26"/>
  <c r="I67" i="26"/>
  <c r="J67" i="26"/>
  <c r="K67" i="26"/>
  <c r="L67" i="26"/>
  <c r="M67" i="26"/>
  <c r="A68" i="26"/>
  <c r="B68" i="26"/>
  <c r="C68" i="26"/>
  <c r="D68" i="26"/>
  <c r="E68" i="26"/>
  <c r="F68" i="26"/>
  <c r="G68" i="26"/>
  <c r="H68" i="26"/>
  <c r="I68" i="26"/>
  <c r="J68" i="26"/>
  <c r="K68" i="26"/>
  <c r="L68" i="26"/>
  <c r="M68" i="26"/>
  <c r="A69" i="26"/>
  <c r="B69" i="26"/>
  <c r="C69" i="26"/>
  <c r="D69" i="26"/>
  <c r="E69" i="26"/>
  <c r="F69" i="26"/>
  <c r="G69" i="26"/>
  <c r="H69" i="26"/>
  <c r="I69" i="26"/>
  <c r="J69" i="26"/>
  <c r="K69" i="26"/>
  <c r="L69" i="26"/>
  <c r="M69" i="26"/>
  <c r="A70" i="26"/>
  <c r="B70" i="26"/>
  <c r="C70" i="26"/>
  <c r="D70" i="26"/>
  <c r="E70" i="26"/>
  <c r="F70" i="26"/>
  <c r="G70" i="26"/>
  <c r="H70" i="26"/>
  <c r="I70" i="26"/>
  <c r="J70" i="26"/>
  <c r="K70" i="26"/>
  <c r="L70" i="26"/>
  <c r="M70" i="26"/>
  <c r="A71" i="26"/>
  <c r="B71" i="26"/>
  <c r="C71" i="26"/>
  <c r="D71" i="26"/>
  <c r="E71" i="26"/>
  <c r="F71" i="26"/>
  <c r="G71" i="26"/>
  <c r="H71" i="26"/>
  <c r="I71" i="26"/>
  <c r="J71" i="26"/>
  <c r="K71" i="26"/>
  <c r="L71" i="26"/>
  <c r="M71" i="26"/>
  <c r="A72" i="26"/>
  <c r="B72" i="26"/>
  <c r="C72" i="26"/>
  <c r="D72" i="26"/>
  <c r="E72" i="26"/>
  <c r="F72" i="26"/>
  <c r="G72" i="26"/>
  <c r="H72" i="26"/>
  <c r="I72" i="26"/>
  <c r="J72" i="26"/>
  <c r="K72" i="26"/>
  <c r="L72" i="26"/>
  <c r="M72" i="26"/>
  <c r="A73" i="26"/>
  <c r="B73" i="26"/>
  <c r="C73" i="26"/>
  <c r="D73" i="26"/>
  <c r="E73" i="26"/>
  <c r="F73" i="26"/>
  <c r="G73" i="26"/>
  <c r="H73" i="26"/>
  <c r="I73" i="26"/>
  <c r="J73" i="26"/>
  <c r="K73" i="26"/>
  <c r="L73" i="26"/>
  <c r="M73" i="26"/>
  <c r="A74" i="26"/>
  <c r="B74" i="26"/>
  <c r="C74" i="26"/>
  <c r="D74" i="26"/>
  <c r="E74" i="26"/>
  <c r="F74" i="26"/>
  <c r="G74" i="26"/>
  <c r="H74" i="26"/>
  <c r="I74" i="26"/>
  <c r="J74" i="26"/>
  <c r="K74" i="26"/>
  <c r="L74" i="26"/>
  <c r="M74" i="26"/>
  <c r="A75" i="26"/>
  <c r="B75" i="26"/>
  <c r="C75" i="26"/>
  <c r="D75" i="26"/>
  <c r="E75" i="26"/>
  <c r="F75" i="26"/>
  <c r="G75" i="26"/>
  <c r="H75" i="26"/>
  <c r="I75" i="26"/>
  <c r="J75" i="26"/>
  <c r="K75" i="26"/>
  <c r="L75" i="26"/>
  <c r="M75" i="26"/>
  <c r="A76" i="26"/>
  <c r="B76" i="26"/>
  <c r="C76" i="26"/>
  <c r="D76" i="26"/>
  <c r="E76" i="26"/>
  <c r="F76" i="26"/>
  <c r="G76" i="26"/>
  <c r="H76" i="26"/>
  <c r="I76" i="26"/>
  <c r="J76" i="26"/>
  <c r="K76" i="26"/>
  <c r="L76" i="26"/>
  <c r="M76" i="26"/>
  <c r="A77" i="26"/>
  <c r="B77" i="26"/>
  <c r="C77" i="26"/>
  <c r="D77" i="26"/>
  <c r="E77" i="26"/>
  <c r="F77" i="26"/>
  <c r="G77" i="26"/>
  <c r="H77" i="26"/>
  <c r="I77" i="26"/>
  <c r="J77" i="26"/>
  <c r="K77" i="26"/>
  <c r="L77" i="26"/>
  <c r="M77" i="26"/>
  <c r="A78" i="26"/>
  <c r="B78" i="26"/>
  <c r="C78" i="26"/>
  <c r="D78" i="26"/>
  <c r="E78" i="26"/>
  <c r="F78" i="26"/>
  <c r="G78" i="26"/>
  <c r="H78" i="26"/>
  <c r="I78" i="26"/>
  <c r="J78" i="26"/>
  <c r="K78" i="26"/>
  <c r="L78" i="26"/>
  <c r="M78" i="26"/>
  <c r="A79" i="26"/>
  <c r="B79" i="26"/>
  <c r="C79" i="26"/>
  <c r="D79" i="26"/>
  <c r="E79" i="26"/>
  <c r="F79" i="26"/>
  <c r="G79" i="26"/>
  <c r="H79" i="26"/>
  <c r="I79" i="26"/>
  <c r="J79" i="26"/>
  <c r="K79" i="26"/>
  <c r="L79" i="26"/>
  <c r="M79" i="26"/>
  <c r="A80" i="26"/>
  <c r="B80" i="26"/>
  <c r="C80" i="26"/>
  <c r="D80" i="26"/>
  <c r="E80" i="26"/>
  <c r="F80" i="26"/>
  <c r="G80" i="26"/>
  <c r="H80" i="26"/>
  <c r="I80" i="26"/>
  <c r="J80" i="26"/>
  <c r="K80" i="26"/>
  <c r="L80" i="26"/>
  <c r="M80" i="26"/>
  <c r="A81" i="26"/>
  <c r="B81" i="26"/>
  <c r="C81" i="26"/>
  <c r="D81" i="26"/>
  <c r="E81" i="26"/>
  <c r="F81" i="26"/>
  <c r="G81" i="26"/>
  <c r="H81" i="26"/>
  <c r="I81" i="26"/>
  <c r="J81" i="26"/>
  <c r="K81" i="26"/>
  <c r="L81" i="26"/>
  <c r="M81" i="26"/>
  <c r="A82" i="26"/>
  <c r="B82" i="26"/>
  <c r="C82" i="26"/>
  <c r="D82" i="26"/>
  <c r="E82" i="26"/>
  <c r="F82" i="26"/>
  <c r="G82" i="26"/>
  <c r="H82" i="26"/>
  <c r="I82" i="26"/>
  <c r="J82" i="26"/>
  <c r="K82" i="26"/>
  <c r="L82" i="26"/>
  <c r="M82" i="26"/>
  <c r="A83" i="26"/>
  <c r="B83" i="26"/>
  <c r="C83" i="26"/>
  <c r="D83" i="26"/>
  <c r="E83" i="26"/>
  <c r="F83" i="26"/>
  <c r="G83" i="26"/>
  <c r="H83" i="26"/>
  <c r="I83" i="26"/>
  <c r="J83" i="26"/>
  <c r="K83" i="26"/>
  <c r="L83" i="26"/>
  <c r="M83" i="26"/>
  <c r="A84" i="26"/>
  <c r="B84" i="26"/>
  <c r="C84" i="26"/>
  <c r="D84" i="26"/>
  <c r="E84" i="26"/>
  <c r="F84" i="26"/>
  <c r="G84" i="26"/>
  <c r="H84" i="26"/>
  <c r="I84" i="26"/>
  <c r="J84" i="26"/>
  <c r="K84" i="26"/>
  <c r="L84" i="26"/>
  <c r="M84" i="26"/>
  <c r="A85" i="26"/>
  <c r="B85" i="26"/>
  <c r="C85" i="26"/>
  <c r="D85" i="26"/>
  <c r="E85" i="26"/>
  <c r="F85" i="26"/>
  <c r="G85" i="26"/>
  <c r="H85" i="26"/>
  <c r="I85" i="26"/>
  <c r="J85" i="26"/>
  <c r="K85" i="26"/>
  <c r="L85" i="26"/>
  <c r="M85" i="26"/>
  <c r="A86" i="26"/>
  <c r="B86" i="26"/>
  <c r="C86" i="26"/>
  <c r="D86" i="26"/>
  <c r="E86" i="26"/>
  <c r="F86" i="26"/>
  <c r="G86" i="26"/>
  <c r="H86" i="26"/>
  <c r="I86" i="26"/>
  <c r="J86" i="26"/>
  <c r="K86" i="26"/>
  <c r="L86" i="26"/>
  <c r="M86" i="26"/>
  <c r="A87" i="26"/>
  <c r="B87" i="26"/>
  <c r="C87" i="26"/>
  <c r="D87" i="26"/>
  <c r="E87" i="26"/>
  <c r="F87" i="26"/>
  <c r="G87" i="26"/>
  <c r="H87" i="26"/>
  <c r="I87" i="26"/>
  <c r="J87" i="26"/>
  <c r="K87" i="26"/>
  <c r="L87" i="26"/>
  <c r="M87" i="26"/>
  <c r="A88" i="26"/>
  <c r="B88" i="26"/>
  <c r="C88" i="26"/>
  <c r="D88" i="26"/>
  <c r="E88" i="26"/>
  <c r="F88" i="26"/>
  <c r="G88" i="26"/>
  <c r="H88" i="26"/>
  <c r="I88" i="26"/>
  <c r="J88" i="26"/>
  <c r="K88" i="26"/>
  <c r="L88" i="26"/>
  <c r="M88" i="26"/>
  <c r="A89" i="26"/>
  <c r="B89" i="26"/>
  <c r="C89" i="26"/>
  <c r="D89" i="26"/>
  <c r="E89" i="26"/>
  <c r="F89" i="26"/>
  <c r="G89" i="26"/>
  <c r="H89" i="26"/>
  <c r="I89" i="26"/>
  <c r="J89" i="26"/>
  <c r="K89" i="26"/>
  <c r="L89" i="26"/>
  <c r="M89" i="26"/>
  <c r="A90" i="26"/>
  <c r="B90" i="26"/>
  <c r="C90" i="26"/>
  <c r="D90" i="26"/>
  <c r="E90" i="26"/>
  <c r="F90" i="26"/>
  <c r="G90" i="26"/>
  <c r="H90" i="26"/>
  <c r="I90" i="26"/>
  <c r="J90" i="26"/>
  <c r="K90" i="26"/>
  <c r="L90" i="26"/>
  <c r="M90" i="26"/>
  <c r="A91" i="26"/>
  <c r="B91" i="26"/>
  <c r="C91" i="26"/>
  <c r="D91" i="26"/>
  <c r="E91" i="26"/>
  <c r="F91" i="26"/>
  <c r="G91" i="26"/>
  <c r="H91" i="26"/>
  <c r="I91" i="26"/>
  <c r="J91" i="26"/>
  <c r="K91" i="26"/>
  <c r="L91" i="26"/>
  <c r="M91" i="26"/>
  <c r="A92" i="26"/>
  <c r="B92" i="26"/>
  <c r="C92" i="26"/>
  <c r="D92" i="26"/>
  <c r="E92" i="26"/>
  <c r="F92" i="26"/>
  <c r="G92" i="26"/>
  <c r="H92" i="26"/>
  <c r="I92" i="26"/>
  <c r="J92" i="26"/>
  <c r="K92" i="26"/>
  <c r="L92" i="26"/>
  <c r="M92" i="26"/>
  <c r="A93" i="26"/>
  <c r="B93" i="26"/>
  <c r="C93" i="26"/>
  <c r="D93" i="26"/>
  <c r="E93" i="26"/>
  <c r="F93" i="26"/>
  <c r="G93" i="26"/>
  <c r="H93" i="26"/>
  <c r="I93" i="26"/>
  <c r="J93" i="26"/>
  <c r="K93" i="26"/>
  <c r="L93" i="26"/>
  <c r="M93" i="26"/>
  <c r="A94" i="26"/>
  <c r="B94" i="26"/>
  <c r="C94" i="26"/>
  <c r="D94" i="26"/>
  <c r="E94" i="26"/>
  <c r="F94" i="26"/>
  <c r="G94" i="26"/>
  <c r="H94" i="26"/>
  <c r="I94" i="26"/>
  <c r="J94" i="26"/>
  <c r="K94" i="26"/>
  <c r="L94" i="26"/>
  <c r="M94" i="26"/>
  <c r="A95" i="26"/>
  <c r="B95" i="26"/>
  <c r="C95" i="26"/>
  <c r="D95" i="26"/>
  <c r="E95" i="26"/>
  <c r="F95" i="26"/>
  <c r="G95" i="26"/>
  <c r="H95" i="26"/>
  <c r="I95" i="26"/>
  <c r="J95" i="26"/>
  <c r="K95" i="26"/>
  <c r="L95" i="26"/>
  <c r="M95" i="26"/>
  <c r="A96" i="26"/>
  <c r="B96" i="26"/>
  <c r="C96" i="26"/>
  <c r="D96" i="26"/>
  <c r="E96" i="26"/>
  <c r="F96" i="26"/>
  <c r="G96" i="26"/>
  <c r="H96" i="26"/>
  <c r="I96" i="26"/>
  <c r="J96" i="26"/>
  <c r="K96" i="26"/>
  <c r="L96" i="26"/>
  <c r="M96" i="26"/>
  <c r="A97" i="26"/>
  <c r="B97" i="26"/>
  <c r="C97" i="26"/>
  <c r="D97" i="26"/>
  <c r="E97" i="26"/>
  <c r="F97" i="26"/>
  <c r="G97" i="26"/>
  <c r="H97" i="26"/>
  <c r="I97" i="26"/>
  <c r="J97" i="26"/>
  <c r="K97" i="26"/>
  <c r="L97" i="26"/>
  <c r="M97" i="26"/>
  <c r="A98" i="26"/>
  <c r="B98" i="26"/>
  <c r="C98" i="26"/>
  <c r="D98" i="26"/>
  <c r="E98" i="26"/>
  <c r="F98" i="26"/>
  <c r="G98" i="26"/>
  <c r="H98" i="26"/>
  <c r="I98" i="26"/>
  <c r="J98" i="26"/>
  <c r="K98" i="26"/>
  <c r="L98" i="26"/>
  <c r="M98" i="26"/>
  <c r="A99" i="26"/>
  <c r="B99" i="26"/>
  <c r="C99" i="26"/>
  <c r="D99" i="26"/>
  <c r="E99" i="26"/>
  <c r="F99" i="26"/>
  <c r="G99" i="26"/>
  <c r="H99" i="26"/>
  <c r="I99" i="26"/>
  <c r="J99" i="26"/>
  <c r="K99" i="26"/>
  <c r="L99" i="26"/>
  <c r="M99" i="26"/>
  <c r="A100" i="26"/>
  <c r="B100" i="26"/>
  <c r="C100" i="26"/>
  <c r="D100" i="26"/>
  <c r="E100" i="26"/>
  <c r="F100" i="26"/>
  <c r="G100" i="26"/>
  <c r="H100" i="26"/>
  <c r="I100" i="26"/>
  <c r="J100" i="26"/>
  <c r="K100" i="26"/>
  <c r="L100" i="26"/>
  <c r="M100" i="26"/>
  <c r="A101" i="26"/>
  <c r="B101" i="26"/>
  <c r="C101" i="26"/>
  <c r="D101" i="26"/>
  <c r="E101" i="26"/>
  <c r="F101" i="26"/>
  <c r="G101" i="26"/>
  <c r="H101" i="26"/>
  <c r="I101" i="26"/>
  <c r="J101" i="26"/>
  <c r="K101" i="26"/>
  <c r="L101" i="26"/>
  <c r="M101" i="26"/>
  <c r="A102" i="26"/>
  <c r="B102" i="26"/>
  <c r="C102" i="26"/>
  <c r="D102" i="26"/>
  <c r="E102" i="26"/>
  <c r="F102" i="26"/>
  <c r="G102" i="26"/>
  <c r="H102" i="26"/>
  <c r="I102" i="26"/>
  <c r="J102" i="26"/>
  <c r="K102" i="26"/>
  <c r="L102" i="26"/>
  <c r="M102" i="26"/>
  <c r="A103" i="26"/>
  <c r="B103" i="26"/>
  <c r="C103" i="26"/>
  <c r="D103" i="26"/>
  <c r="E103" i="26"/>
  <c r="F103" i="26"/>
  <c r="G103" i="26"/>
  <c r="H103" i="26"/>
  <c r="I103" i="26"/>
  <c r="J103" i="26"/>
  <c r="K103" i="26"/>
  <c r="L103" i="26"/>
  <c r="M103" i="26"/>
  <c r="A104" i="26"/>
  <c r="B104" i="26"/>
  <c r="C104" i="26"/>
  <c r="D104" i="26"/>
  <c r="E104" i="26"/>
  <c r="F104" i="26"/>
  <c r="G104" i="26"/>
  <c r="H104" i="26"/>
  <c r="I104" i="26"/>
  <c r="J104" i="26"/>
  <c r="K104" i="26"/>
  <c r="L104" i="26"/>
  <c r="M104" i="26"/>
  <c r="A105" i="26"/>
  <c r="B105" i="26"/>
  <c r="C105" i="26"/>
  <c r="D105" i="26"/>
  <c r="E105" i="26"/>
  <c r="F105" i="26"/>
  <c r="G105" i="26"/>
  <c r="H105" i="26"/>
  <c r="I105" i="26"/>
  <c r="J105" i="26"/>
  <c r="K105" i="26"/>
  <c r="L105" i="26"/>
  <c r="M105" i="26"/>
  <c r="A106" i="26"/>
  <c r="B106" i="26"/>
  <c r="C106" i="26"/>
  <c r="D106" i="26"/>
  <c r="E106" i="26"/>
  <c r="F106" i="26"/>
  <c r="G106" i="26"/>
  <c r="H106" i="26"/>
  <c r="I106" i="26"/>
  <c r="J106" i="26"/>
  <c r="K106" i="26"/>
  <c r="L106" i="26"/>
  <c r="M106" i="26"/>
  <c r="A107" i="26"/>
  <c r="B107" i="26"/>
  <c r="C107" i="26"/>
  <c r="D107" i="26"/>
  <c r="E107" i="26"/>
  <c r="F107" i="26"/>
  <c r="G107" i="26"/>
  <c r="H107" i="26"/>
  <c r="I107" i="26"/>
  <c r="J107" i="26"/>
  <c r="K107" i="26"/>
  <c r="L107" i="26"/>
  <c r="M107" i="26"/>
  <c r="A108" i="26"/>
  <c r="B108" i="26"/>
  <c r="C108" i="26"/>
  <c r="D108" i="26"/>
  <c r="E108" i="26"/>
  <c r="F108" i="26"/>
  <c r="G108" i="26"/>
  <c r="H108" i="26"/>
  <c r="I108" i="26"/>
  <c r="J108" i="26"/>
  <c r="K108" i="26"/>
  <c r="L108" i="26"/>
  <c r="M108" i="26"/>
  <c r="A109" i="26"/>
  <c r="B109" i="26"/>
  <c r="C109" i="26"/>
  <c r="D109" i="26"/>
  <c r="E109" i="26"/>
  <c r="F109" i="26"/>
  <c r="G109" i="26"/>
  <c r="H109" i="26"/>
  <c r="I109" i="26"/>
  <c r="J109" i="26"/>
  <c r="K109" i="26"/>
  <c r="L109" i="26"/>
  <c r="M109" i="26"/>
  <c r="A110" i="26"/>
  <c r="B110" i="26"/>
  <c r="C110" i="26"/>
  <c r="D110" i="26"/>
  <c r="E110" i="26"/>
  <c r="F110" i="26"/>
  <c r="G110" i="26"/>
  <c r="H110" i="26"/>
  <c r="I110" i="26"/>
  <c r="J110" i="26"/>
  <c r="K110" i="26"/>
  <c r="L110" i="26"/>
  <c r="M110" i="26"/>
  <c r="A111" i="26"/>
  <c r="B111" i="26"/>
  <c r="C111" i="26"/>
  <c r="D111" i="26"/>
  <c r="E111" i="26"/>
  <c r="F111" i="26"/>
  <c r="G111" i="26"/>
  <c r="H111" i="26"/>
  <c r="I111" i="26"/>
  <c r="J111" i="26"/>
  <c r="K111" i="26"/>
  <c r="L111" i="26"/>
  <c r="M111" i="26"/>
  <c r="A112" i="26"/>
  <c r="B112" i="26"/>
  <c r="C112" i="26"/>
  <c r="D112" i="26"/>
  <c r="E112" i="26"/>
  <c r="F112" i="26"/>
  <c r="G112" i="26"/>
  <c r="H112" i="26"/>
  <c r="I112" i="26"/>
  <c r="J112" i="26"/>
  <c r="K112" i="26"/>
  <c r="L112" i="26"/>
  <c r="M112" i="26"/>
  <c r="L2" i="26"/>
  <c r="M2" i="26"/>
  <c r="K2" i="26"/>
  <c r="H2" i="26"/>
  <c r="I2" i="26"/>
  <c r="J2" i="26"/>
  <c r="G2" i="26"/>
  <c r="C2" i="26"/>
  <c r="D2" i="26"/>
  <c r="E2" i="26"/>
  <c r="F2" i="26"/>
  <c r="B2" i="26"/>
  <c r="A2" i="26"/>
  <c r="A4" i="25"/>
  <c r="B4" i="25"/>
  <c r="C4" i="25"/>
  <c r="D4" i="25"/>
  <c r="E4" i="25"/>
  <c r="F4" i="25"/>
  <c r="G4" i="25"/>
  <c r="H4" i="25"/>
  <c r="I4" i="25"/>
  <c r="J4" i="25"/>
  <c r="K4" i="25"/>
  <c r="N4" i="25" s="1"/>
  <c r="L4" i="25"/>
  <c r="M4" i="25"/>
  <c r="O4" i="25"/>
  <c r="P4" i="25"/>
  <c r="Q4" i="25"/>
  <c r="A5" i="25"/>
  <c r="B5" i="25"/>
  <c r="C5" i="25"/>
  <c r="D5" i="25"/>
  <c r="E5" i="25"/>
  <c r="F5" i="25"/>
  <c r="G5" i="25"/>
  <c r="H5" i="25"/>
  <c r="I5" i="25"/>
  <c r="J5" i="25"/>
  <c r="K5" i="25"/>
  <c r="L5" i="25"/>
  <c r="M5" i="25"/>
  <c r="N5" i="25"/>
  <c r="O5" i="25"/>
  <c r="P5" i="25"/>
  <c r="Q5" i="25"/>
  <c r="A6" i="25"/>
  <c r="B6" i="25"/>
  <c r="C6" i="25"/>
  <c r="D6" i="25"/>
  <c r="E6" i="25"/>
  <c r="F6" i="25"/>
  <c r="G6" i="25"/>
  <c r="H6" i="25"/>
  <c r="I6" i="25"/>
  <c r="J6" i="25"/>
  <c r="K6" i="25"/>
  <c r="L6" i="25"/>
  <c r="M6" i="25"/>
  <c r="N6" i="25"/>
  <c r="O6" i="25"/>
  <c r="P6" i="25"/>
  <c r="Q6" i="25"/>
  <c r="A7" i="25"/>
  <c r="B7" i="25"/>
  <c r="C7" i="25"/>
  <c r="D7" i="25"/>
  <c r="E7" i="25"/>
  <c r="F7" i="25"/>
  <c r="G7" i="25"/>
  <c r="H7" i="25"/>
  <c r="I7" i="25"/>
  <c r="J7" i="25"/>
  <c r="K7" i="25"/>
  <c r="L7" i="25"/>
  <c r="M7" i="25"/>
  <c r="N7" i="25"/>
  <c r="O7" i="25"/>
  <c r="P7" i="25"/>
  <c r="Q7" i="25"/>
  <c r="A8" i="25"/>
  <c r="B8" i="25"/>
  <c r="C8" i="25"/>
  <c r="D8" i="25"/>
  <c r="E8" i="25"/>
  <c r="F8" i="25"/>
  <c r="G8" i="25"/>
  <c r="H8" i="25"/>
  <c r="I8" i="25"/>
  <c r="J8" i="25"/>
  <c r="K8" i="25"/>
  <c r="N8" i="25" s="1"/>
  <c r="L8" i="25"/>
  <c r="M8" i="25"/>
  <c r="O8" i="25"/>
  <c r="P8" i="25"/>
  <c r="Q8" i="25"/>
  <c r="A9" i="25"/>
  <c r="B9" i="25"/>
  <c r="C9" i="25"/>
  <c r="D9" i="25"/>
  <c r="E9" i="25"/>
  <c r="F9" i="25"/>
  <c r="G9" i="25"/>
  <c r="H9" i="25"/>
  <c r="I9" i="25"/>
  <c r="J9" i="25"/>
  <c r="K9" i="25"/>
  <c r="N9" i="25" s="1"/>
  <c r="L9" i="25"/>
  <c r="M9" i="25"/>
  <c r="O9" i="25"/>
  <c r="P9" i="25"/>
  <c r="Q9" i="25"/>
  <c r="A10" i="25"/>
  <c r="B10" i="25"/>
  <c r="C10" i="25"/>
  <c r="D10" i="25"/>
  <c r="E10" i="25"/>
  <c r="F10" i="25"/>
  <c r="G10" i="25"/>
  <c r="H10" i="25"/>
  <c r="I10" i="25"/>
  <c r="J10" i="25"/>
  <c r="K10" i="25"/>
  <c r="L10" i="25"/>
  <c r="M10" i="25"/>
  <c r="N10" i="25"/>
  <c r="O10" i="25"/>
  <c r="P10" i="25"/>
  <c r="Q10" i="25"/>
  <c r="A11" i="25"/>
  <c r="B11" i="25"/>
  <c r="C11" i="25"/>
  <c r="D11" i="25"/>
  <c r="E11" i="25"/>
  <c r="F11" i="25"/>
  <c r="G11" i="25"/>
  <c r="H11" i="25"/>
  <c r="I11" i="25"/>
  <c r="J11" i="25"/>
  <c r="K11" i="25"/>
  <c r="N11" i="25" s="1"/>
  <c r="L11" i="25"/>
  <c r="M11" i="25"/>
  <c r="O11" i="25"/>
  <c r="P11" i="25"/>
  <c r="Q11" i="25"/>
  <c r="A12" i="25"/>
  <c r="B12" i="25"/>
  <c r="C12" i="25"/>
  <c r="D12" i="25"/>
  <c r="E12" i="25"/>
  <c r="F12" i="25"/>
  <c r="G12" i="25"/>
  <c r="H12" i="25"/>
  <c r="I12" i="25"/>
  <c r="J12" i="25"/>
  <c r="K12" i="25"/>
  <c r="L12" i="25"/>
  <c r="M12" i="25"/>
  <c r="N12" i="25"/>
  <c r="O12" i="25"/>
  <c r="P12" i="25"/>
  <c r="Q12" i="25"/>
  <c r="A13" i="25"/>
  <c r="B13" i="25"/>
  <c r="C13" i="25"/>
  <c r="D13" i="25"/>
  <c r="E13" i="25"/>
  <c r="F13" i="25"/>
  <c r="G13" i="25"/>
  <c r="H13" i="25"/>
  <c r="I13" i="25"/>
  <c r="J13" i="25"/>
  <c r="K13" i="25"/>
  <c r="L13" i="25"/>
  <c r="M13" i="25"/>
  <c r="N13" i="25"/>
  <c r="O13" i="25"/>
  <c r="P13" i="25"/>
  <c r="Q13" i="25"/>
  <c r="A14" i="25"/>
  <c r="B14" i="25"/>
  <c r="C14" i="25"/>
  <c r="D14" i="25"/>
  <c r="E14" i="25"/>
  <c r="F14" i="25"/>
  <c r="G14" i="25"/>
  <c r="H14" i="25"/>
  <c r="I14" i="25"/>
  <c r="J14" i="25"/>
  <c r="K14" i="25"/>
  <c r="L14" i="25"/>
  <c r="M14" i="25"/>
  <c r="N14" i="25"/>
  <c r="O14" i="25"/>
  <c r="P14" i="25"/>
  <c r="Q14" i="25"/>
  <c r="A15" i="25"/>
  <c r="B15" i="25"/>
  <c r="C15" i="25"/>
  <c r="D15" i="25"/>
  <c r="E15" i="25"/>
  <c r="F15" i="25"/>
  <c r="G15" i="25"/>
  <c r="H15" i="25"/>
  <c r="I15" i="25"/>
  <c r="J15" i="25"/>
  <c r="K15" i="25"/>
  <c r="N15" i="25" s="1"/>
  <c r="L15" i="25"/>
  <c r="M15" i="25"/>
  <c r="O15" i="25"/>
  <c r="P15" i="25"/>
  <c r="Q15" i="25"/>
  <c r="A16" i="25"/>
  <c r="B16" i="25"/>
  <c r="C16" i="25"/>
  <c r="D16" i="25"/>
  <c r="E16" i="25"/>
  <c r="F16" i="25"/>
  <c r="G16" i="25"/>
  <c r="H16" i="25"/>
  <c r="I16" i="25"/>
  <c r="J16" i="25"/>
  <c r="K16" i="25"/>
  <c r="N16" i="25" s="1"/>
  <c r="L16" i="25"/>
  <c r="M16" i="25"/>
  <c r="O16" i="25"/>
  <c r="P16" i="25"/>
  <c r="Q16" i="25"/>
  <c r="A17" i="25"/>
  <c r="B17" i="25"/>
  <c r="C17" i="25"/>
  <c r="D17" i="25"/>
  <c r="E17" i="25"/>
  <c r="F17" i="25"/>
  <c r="G17" i="25"/>
  <c r="H17" i="25"/>
  <c r="I17" i="25"/>
  <c r="J17" i="25"/>
  <c r="K17" i="25"/>
  <c r="L17" i="25"/>
  <c r="M17" i="25"/>
  <c r="N17" i="25"/>
  <c r="O17" i="25"/>
  <c r="P17" i="25"/>
  <c r="Q17" i="25"/>
  <c r="A18" i="25"/>
  <c r="B18" i="25"/>
  <c r="C18" i="25"/>
  <c r="D18" i="25"/>
  <c r="E18" i="25"/>
  <c r="F18" i="25"/>
  <c r="G18" i="25"/>
  <c r="H18" i="25"/>
  <c r="I18" i="25"/>
  <c r="J18" i="25"/>
  <c r="K18" i="25"/>
  <c r="L18" i="25"/>
  <c r="M18" i="25"/>
  <c r="N18" i="25"/>
  <c r="O18" i="25"/>
  <c r="P18" i="25"/>
  <c r="Q18" i="25"/>
  <c r="A19" i="25"/>
  <c r="B19" i="25"/>
  <c r="C19" i="25"/>
  <c r="D19" i="25"/>
  <c r="E19" i="25"/>
  <c r="F19" i="25"/>
  <c r="G19" i="25"/>
  <c r="H19" i="25"/>
  <c r="I19" i="25"/>
  <c r="J19" i="25"/>
  <c r="K19" i="25"/>
  <c r="L19" i="25"/>
  <c r="M19" i="25"/>
  <c r="N19" i="25"/>
  <c r="O19" i="25"/>
  <c r="P19" i="25"/>
  <c r="Q19" i="25"/>
  <c r="A20" i="25"/>
  <c r="B20" i="25"/>
  <c r="C20" i="25"/>
  <c r="D20" i="25"/>
  <c r="E20" i="25"/>
  <c r="F20" i="25"/>
  <c r="G20" i="25"/>
  <c r="H20" i="25"/>
  <c r="I20" i="25"/>
  <c r="J20" i="25"/>
  <c r="K20" i="25"/>
  <c r="N20" i="25" s="1"/>
  <c r="L20" i="25"/>
  <c r="M20" i="25"/>
  <c r="O20" i="25"/>
  <c r="P20" i="25"/>
  <c r="Q20" i="25"/>
  <c r="A21" i="25"/>
  <c r="B21" i="25"/>
  <c r="C21" i="25"/>
  <c r="D21" i="25"/>
  <c r="E21" i="25"/>
  <c r="F21" i="25"/>
  <c r="G21" i="25"/>
  <c r="H21" i="25"/>
  <c r="I21" i="25"/>
  <c r="J21" i="25"/>
  <c r="K21" i="25"/>
  <c r="N21" i="25" s="1"/>
  <c r="L21" i="25"/>
  <c r="M21" i="25"/>
  <c r="O21" i="25"/>
  <c r="P21" i="25"/>
  <c r="Q21" i="25"/>
  <c r="A22" i="25"/>
  <c r="B22" i="25"/>
  <c r="C22" i="25"/>
  <c r="D22" i="25"/>
  <c r="E22" i="25"/>
  <c r="F22" i="25"/>
  <c r="G22" i="25"/>
  <c r="H22" i="25"/>
  <c r="I22" i="25"/>
  <c r="J22" i="25"/>
  <c r="K22" i="25"/>
  <c r="L22" i="25"/>
  <c r="M22" i="25"/>
  <c r="N22" i="25"/>
  <c r="O22" i="25"/>
  <c r="P22" i="25"/>
  <c r="Q22" i="25"/>
  <c r="A23" i="25"/>
  <c r="B23" i="25"/>
  <c r="C23" i="25"/>
  <c r="D23" i="25"/>
  <c r="E23" i="25"/>
  <c r="F23" i="25"/>
  <c r="G23" i="25"/>
  <c r="H23" i="25"/>
  <c r="I23" i="25"/>
  <c r="J23" i="25"/>
  <c r="K23" i="25"/>
  <c r="N23" i="25" s="1"/>
  <c r="L23" i="25"/>
  <c r="M23" i="25"/>
  <c r="O23" i="25"/>
  <c r="P23" i="25"/>
  <c r="Q23" i="25"/>
  <c r="A24" i="25"/>
  <c r="B24" i="25"/>
  <c r="C24" i="25"/>
  <c r="D24" i="25"/>
  <c r="E24" i="25"/>
  <c r="F24" i="25"/>
  <c r="G24" i="25"/>
  <c r="H24" i="25"/>
  <c r="I24" i="25"/>
  <c r="J24" i="25"/>
  <c r="K24" i="25"/>
  <c r="L24" i="25"/>
  <c r="M24" i="25"/>
  <c r="N24" i="25"/>
  <c r="O24" i="25"/>
  <c r="P24" i="25"/>
  <c r="Q24" i="25"/>
  <c r="A25" i="25"/>
  <c r="B25" i="25"/>
  <c r="C25" i="25"/>
  <c r="D25" i="25"/>
  <c r="E25" i="25"/>
  <c r="F25" i="25"/>
  <c r="G25" i="25"/>
  <c r="H25" i="25"/>
  <c r="I25" i="25"/>
  <c r="J25" i="25"/>
  <c r="K25" i="25"/>
  <c r="N25" i="25" s="1"/>
  <c r="L25" i="25"/>
  <c r="M25" i="25"/>
  <c r="O25" i="25"/>
  <c r="P25" i="25"/>
  <c r="Q25" i="25"/>
  <c r="A26" i="25"/>
  <c r="B26" i="25"/>
  <c r="C26" i="25"/>
  <c r="D26" i="25"/>
  <c r="E26" i="25"/>
  <c r="F26" i="25"/>
  <c r="G26" i="25"/>
  <c r="H26" i="25"/>
  <c r="I26" i="25"/>
  <c r="J26" i="25"/>
  <c r="K26" i="25"/>
  <c r="L26" i="25"/>
  <c r="M26" i="25"/>
  <c r="N26" i="25"/>
  <c r="O26" i="25"/>
  <c r="P26" i="25"/>
  <c r="Q26" i="25"/>
  <c r="A27" i="25"/>
  <c r="B27" i="25"/>
  <c r="C27" i="25"/>
  <c r="D27" i="25"/>
  <c r="E27" i="25"/>
  <c r="F27" i="25"/>
  <c r="G27" i="25"/>
  <c r="H27" i="25"/>
  <c r="I27" i="25"/>
  <c r="J27" i="25"/>
  <c r="K27" i="25"/>
  <c r="N27" i="25" s="1"/>
  <c r="L27" i="25"/>
  <c r="M27" i="25"/>
  <c r="O27" i="25"/>
  <c r="P27" i="25"/>
  <c r="Q27" i="25"/>
  <c r="A28" i="25"/>
  <c r="B28" i="25"/>
  <c r="C28" i="25"/>
  <c r="D28" i="25"/>
  <c r="E28" i="25"/>
  <c r="F28" i="25"/>
  <c r="G28" i="25"/>
  <c r="H28" i="25"/>
  <c r="I28" i="25"/>
  <c r="J28" i="25"/>
  <c r="K28" i="25"/>
  <c r="N28" i="25" s="1"/>
  <c r="L28" i="25"/>
  <c r="M28" i="25"/>
  <c r="O28" i="25"/>
  <c r="P28" i="25"/>
  <c r="Q28" i="25"/>
  <c r="A29" i="25"/>
  <c r="B29" i="25"/>
  <c r="C29" i="25"/>
  <c r="D29" i="25"/>
  <c r="E29" i="25"/>
  <c r="F29" i="25"/>
  <c r="G29" i="25"/>
  <c r="H29" i="25"/>
  <c r="I29" i="25"/>
  <c r="J29" i="25"/>
  <c r="K29" i="25"/>
  <c r="L29" i="25"/>
  <c r="M29" i="25"/>
  <c r="N29" i="25"/>
  <c r="O29" i="25"/>
  <c r="P29" i="25"/>
  <c r="Q29" i="25"/>
  <c r="A30" i="25"/>
  <c r="B30" i="25"/>
  <c r="C30" i="25"/>
  <c r="D30" i="25"/>
  <c r="E30" i="25"/>
  <c r="F30" i="25"/>
  <c r="G30" i="25"/>
  <c r="H30" i="25"/>
  <c r="I30" i="25"/>
  <c r="J30" i="25"/>
  <c r="K30" i="25"/>
  <c r="L30" i="25"/>
  <c r="M30" i="25"/>
  <c r="N30" i="25"/>
  <c r="O30" i="25"/>
  <c r="P30" i="25"/>
  <c r="Q30" i="25"/>
  <c r="A31" i="25"/>
  <c r="B31" i="25"/>
  <c r="C31" i="25"/>
  <c r="D31" i="25"/>
  <c r="E31" i="25"/>
  <c r="F31" i="25"/>
  <c r="G31" i="25"/>
  <c r="H31" i="25"/>
  <c r="I31" i="25"/>
  <c r="J31" i="25"/>
  <c r="K31" i="25"/>
  <c r="L31" i="25"/>
  <c r="M31" i="25"/>
  <c r="N31" i="25"/>
  <c r="O31" i="25"/>
  <c r="P31" i="25"/>
  <c r="Q31" i="25"/>
  <c r="A32" i="25"/>
  <c r="B32" i="25"/>
  <c r="C32" i="25"/>
  <c r="D32" i="25"/>
  <c r="E32" i="25"/>
  <c r="F32" i="25"/>
  <c r="G32" i="25"/>
  <c r="H32" i="25"/>
  <c r="I32" i="25"/>
  <c r="J32" i="25"/>
  <c r="K32" i="25"/>
  <c r="N32" i="25" s="1"/>
  <c r="L32" i="25"/>
  <c r="M32" i="25"/>
  <c r="O32" i="25"/>
  <c r="P32" i="25"/>
  <c r="Q32" i="25"/>
  <c r="A33" i="25"/>
  <c r="B33" i="25"/>
  <c r="C33" i="25"/>
  <c r="D33" i="25"/>
  <c r="E33" i="25"/>
  <c r="F33" i="25"/>
  <c r="G33" i="25"/>
  <c r="H33" i="25"/>
  <c r="I33" i="25"/>
  <c r="J33" i="25"/>
  <c r="K33" i="25"/>
  <c r="N33" i="25" s="1"/>
  <c r="L33" i="25"/>
  <c r="M33" i="25"/>
  <c r="O33" i="25"/>
  <c r="P33" i="25"/>
  <c r="Q33" i="25"/>
  <c r="A34" i="25"/>
  <c r="B34" i="25"/>
  <c r="C34" i="25"/>
  <c r="D34" i="25"/>
  <c r="E34" i="25"/>
  <c r="F34" i="25"/>
  <c r="G34" i="25"/>
  <c r="H34" i="25"/>
  <c r="I34" i="25"/>
  <c r="J34" i="25"/>
  <c r="K34" i="25"/>
  <c r="L34" i="25"/>
  <c r="M34" i="25"/>
  <c r="N34" i="25"/>
  <c r="O34" i="25"/>
  <c r="P34" i="25"/>
  <c r="Q34" i="25"/>
  <c r="A35" i="25"/>
  <c r="B35" i="25"/>
  <c r="C35" i="25"/>
  <c r="D35" i="25"/>
  <c r="E35" i="25"/>
  <c r="F35" i="25"/>
  <c r="G35" i="25"/>
  <c r="H35" i="25"/>
  <c r="I35" i="25"/>
  <c r="J35" i="25"/>
  <c r="K35" i="25"/>
  <c r="N35" i="25" s="1"/>
  <c r="L35" i="25"/>
  <c r="M35" i="25"/>
  <c r="O35" i="25"/>
  <c r="P35" i="25"/>
  <c r="Q35" i="25"/>
  <c r="A36" i="25"/>
  <c r="B36" i="25"/>
  <c r="C36" i="25"/>
  <c r="D36" i="25"/>
  <c r="E36" i="25"/>
  <c r="F36" i="25"/>
  <c r="G36" i="25"/>
  <c r="H36" i="25"/>
  <c r="I36" i="25"/>
  <c r="J36" i="25"/>
  <c r="K36" i="25"/>
  <c r="L36" i="25"/>
  <c r="M36" i="25"/>
  <c r="N36" i="25"/>
  <c r="O36" i="25"/>
  <c r="P36" i="25"/>
  <c r="Q36" i="25"/>
  <c r="A37" i="25"/>
  <c r="B37" i="25"/>
  <c r="C37" i="25"/>
  <c r="D37" i="25"/>
  <c r="E37" i="25"/>
  <c r="F37" i="25"/>
  <c r="G37" i="25"/>
  <c r="H37" i="25"/>
  <c r="I37" i="25"/>
  <c r="J37" i="25"/>
  <c r="K37" i="25"/>
  <c r="N37" i="25" s="1"/>
  <c r="L37" i="25"/>
  <c r="M37" i="25"/>
  <c r="O37" i="25"/>
  <c r="P37" i="25"/>
  <c r="Q37" i="25"/>
  <c r="A38" i="25"/>
  <c r="B38" i="25"/>
  <c r="C38" i="25"/>
  <c r="D38" i="25"/>
  <c r="E38" i="25"/>
  <c r="F38" i="25"/>
  <c r="G38" i="25"/>
  <c r="H38" i="25"/>
  <c r="I38" i="25"/>
  <c r="J38" i="25"/>
  <c r="K38" i="25"/>
  <c r="L38" i="25"/>
  <c r="M38" i="25"/>
  <c r="N38" i="25"/>
  <c r="O38" i="25"/>
  <c r="P38" i="25"/>
  <c r="Q38" i="25"/>
  <c r="A39" i="25"/>
  <c r="B39" i="25"/>
  <c r="C39" i="25"/>
  <c r="D39" i="25"/>
  <c r="E39" i="25"/>
  <c r="F39" i="25"/>
  <c r="G39" i="25"/>
  <c r="H39" i="25"/>
  <c r="I39" i="25"/>
  <c r="J39" i="25"/>
  <c r="K39" i="25"/>
  <c r="N39" i="25" s="1"/>
  <c r="L39" i="25"/>
  <c r="M39" i="25"/>
  <c r="O39" i="25"/>
  <c r="P39" i="25"/>
  <c r="Q39" i="25"/>
  <c r="A40" i="25"/>
  <c r="B40" i="25"/>
  <c r="C40" i="25"/>
  <c r="D40" i="25"/>
  <c r="E40" i="25"/>
  <c r="F40" i="25"/>
  <c r="G40" i="25"/>
  <c r="H40" i="25"/>
  <c r="I40" i="25"/>
  <c r="J40" i="25"/>
  <c r="K40" i="25"/>
  <c r="N40" i="25" s="1"/>
  <c r="L40" i="25"/>
  <c r="M40" i="25"/>
  <c r="O40" i="25"/>
  <c r="P40" i="25"/>
  <c r="Q40" i="25"/>
  <c r="A41" i="25"/>
  <c r="B41" i="25"/>
  <c r="C41" i="25"/>
  <c r="D41" i="25"/>
  <c r="E41" i="25"/>
  <c r="F41" i="25"/>
  <c r="G41" i="25"/>
  <c r="H41" i="25"/>
  <c r="I41" i="25"/>
  <c r="J41" i="25"/>
  <c r="K41" i="25"/>
  <c r="L41" i="25"/>
  <c r="M41" i="25"/>
  <c r="N41" i="25"/>
  <c r="O41" i="25"/>
  <c r="P41" i="25"/>
  <c r="Q41" i="25"/>
  <c r="A42" i="25"/>
  <c r="B42" i="25"/>
  <c r="C42" i="25"/>
  <c r="D42" i="25"/>
  <c r="E42" i="25"/>
  <c r="F42" i="25"/>
  <c r="G42" i="25"/>
  <c r="H42" i="25"/>
  <c r="I42" i="25"/>
  <c r="J42" i="25"/>
  <c r="K42" i="25"/>
  <c r="L42" i="25"/>
  <c r="M42" i="25"/>
  <c r="N42" i="25"/>
  <c r="O42" i="25"/>
  <c r="P42" i="25"/>
  <c r="Q42" i="25"/>
  <c r="A43" i="25"/>
  <c r="B43" i="25"/>
  <c r="C43" i="25"/>
  <c r="D43" i="25"/>
  <c r="E43" i="25"/>
  <c r="F43" i="25"/>
  <c r="G43" i="25"/>
  <c r="H43" i="25"/>
  <c r="I43" i="25"/>
  <c r="J43" i="25"/>
  <c r="K43" i="25"/>
  <c r="L43" i="25"/>
  <c r="M43" i="25"/>
  <c r="N43" i="25"/>
  <c r="O43" i="25"/>
  <c r="P43" i="25"/>
  <c r="Q43" i="25"/>
  <c r="A44" i="25"/>
  <c r="B44" i="25"/>
  <c r="C44" i="25"/>
  <c r="D44" i="25"/>
  <c r="E44" i="25"/>
  <c r="F44" i="25"/>
  <c r="G44" i="25"/>
  <c r="H44" i="25"/>
  <c r="I44" i="25"/>
  <c r="J44" i="25"/>
  <c r="K44" i="25"/>
  <c r="N44" i="25" s="1"/>
  <c r="L44" i="25"/>
  <c r="M44" i="25"/>
  <c r="O44" i="25"/>
  <c r="P44" i="25"/>
  <c r="Q44" i="25"/>
  <c r="A45" i="25"/>
  <c r="B45" i="25"/>
  <c r="C45" i="25"/>
  <c r="D45" i="25"/>
  <c r="E45" i="25"/>
  <c r="F45" i="25"/>
  <c r="G45" i="25"/>
  <c r="H45" i="25"/>
  <c r="I45" i="25"/>
  <c r="J45" i="25"/>
  <c r="K45" i="25"/>
  <c r="N45" i="25" s="1"/>
  <c r="L45" i="25"/>
  <c r="M45" i="25"/>
  <c r="O45" i="25"/>
  <c r="P45" i="25"/>
  <c r="Q45" i="25"/>
  <c r="A46" i="25"/>
  <c r="B46" i="25"/>
  <c r="C46" i="25"/>
  <c r="D46" i="25"/>
  <c r="E46" i="25"/>
  <c r="F46" i="25"/>
  <c r="G46" i="25"/>
  <c r="H46" i="25"/>
  <c r="I46" i="25"/>
  <c r="J46" i="25"/>
  <c r="K46" i="25"/>
  <c r="N46" i="25" s="1"/>
  <c r="L46" i="25"/>
  <c r="M46" i="25"/>
  <c r="O46" i="25"/>
  <c r="P46" i="25"/>
  <c r="Q46" i="25"/>
  <c r="A47" i="25"/>
  <c r="B47" i="25"/>
  <c r="C47" i="25"/>
  <c r="D47" i="25"/>
  <c r="E47" i="25"/>
  <c r="F47" i="25"/>
  <c r="G47" i="25"/>
  <c r="H47" i="25"/>
  <c r="I47" i="25"/>
  <c r="J47" i="25"/>
  <c r="K47" i="25"/>
  <c r="N47" i="25" s="1"/>
  <c r="L47" i="25"/>
  <c r="M47" i="25"/>
  <c r="O47" i="25"/>
  <c r="P47" i="25"/>
  <c r="Q47" i="25"/>
  <c r="A48" i="25"/>
  <c r="B48" i="25"/>
  <c r="C48" i="25"/>
  <c r="D48" i="25"/>
  <c r="E48" i="25"/>
  <c r="F48" i="25"/>
  <c r="G48" i="25"/>
  <c r="H48" i="25"/>
  <c r="I48" i="25"/>
  <c r="J48" i="25"/>
  <c r="K48" i="25"/>
  <c r="L48" i="25"/>
  <c r="M48" i="25"/>
  <c r="N48" i="25"/>
  <c r="O48" i="25"/>
  <c r="P48" i="25"/>
  <c r="Q48" i="25"/>
  <c r="A49" i="25"/>
  <c r="B49" i="25"/>
  <c r="C49" i="25"/>
  <c r="D49" i="25"/>
  <c r="E49" i="25"/>
  <c r="F49" i="25"/>
  <c r="G49" i="25"/>
  <c r="H49" i="25"/>
  <c r="I49" i="25"/>
  <c r="J49" i="25"/>
  <c r="K49" i="25"/>
  <c r="N49" i="25" s="1"/>
  <c r="L49" i="25"/>
  <c r="M49" i="25"/>
  <c r="O49" i="25"/>
  <c r="P49" i="25"/>
  <c r="Q49" i="25"/>
  <c r="A50" i="25"/>
  <c r="B50" i="25"/>
  <c r="C50" i="25"/>
  <c r="D50" i="25"/>
  <c r="E50" i="25"/>
  <c r="F50" i="25"/>
  <c r="G50" i="25"/>
  <c r="H50" i="25"/>
  <c r="I50" i="25"/>
  <c r="J50" i="25"/>
  <c r="K50" i="25"/>
  <c r="L50" i="25"/>
  <c r="M50" i="25"/>
  <c r="N50" i="25"/>
  <c r="O50" i="25"/>
  <c r="P50" i="25"/>
  <c r="Q50" i="25"/>
  <c r="A51" i="25"/>
  <c r="B51" i="25"/>
  <c r="C51" i="25"/>
  <c r="D51" i="25"/>
  <c r="E51" i="25"/>
  <c r="F51" i="25"/>
  <c r="G51" i="25"/>
  <c r="H51" i="25"/>
  <c r="I51" i="25"/>
  <c r="J51" i="25"/>
  <c r="K51" i="25"/>
  <c r="N51" i="25" s="1"/>
  <c r="L51" i="25"/>
  <c r="M51" i="25"/>
  <c r="O51" i="25"/>
  <c r="P51" i="25"/>
  <c r="Q51" i="25"/>
  <c r="A52" i="25"/>
  <c r="B52" i="25"/>
  <c r="C52" i="25"/>
  <c r="D52" i="25"/>
  <c r="E52" i="25"/>
  <c r="F52" i="25"/>
  <c r="G52" i="25"/>
  <c r="H52" i="25"/>
  <c r="I52" i="25"/>
  <c r="J52" i="25"/>
  <c r="K52" i="25"/>
  <c r="N52" i="25" s="1"/>
  <c r="L52" i="25"/>
  <c r="M52" i="25"/>
  <c r="O52" i="25"/>
  <c r="P52" i="25"/>
  <c r="Q52" i="25"/>
  <c r="A53" i="25"/>
  <c r="B53" i="25"/>
  <c r="C53" i="25"/>
  <c r="D53" i="25"/>
  <c r="E53" i="25"/>
  <c r="F53" i="25"/>
  <c r="G53" i="25"/>
  <c r="H53" i="25"/>
  <c r="I53" i="25"/>
  <c r="J53" i="25"/>
  <c r="K53" i="25"/>
  <c r="L53" i="25"/>
  <c r="M53" i="25"/>
  <c r="N53" i="25"/>
  <c r="O53" i="25"/>
  <c r="P53" i="25"/>
  <c r="Q53" i="25"/>
  <c r="A54" i="25"/>
  <c r="B54" i="25"/>
  <c r="C54" i="25"/>
  <c r="D54" i="25"/>
  <c r="E54" i="25"/>
  <c r="F54" i="25"/>
  <c r="G54" i="25"/>
  <c r="H54" i="25"/>
  <c r="I54" i="25"/>
  <c r="J54" i="25"/>
  <c r="K54" i="25"/>
  <c r="L54" i="25"/>
  <c r="M54" i="25"/>
  <c r="N54" i="25"/>
  <c r="O54" i="25"/>
  <c r="P54" i="25"/>
  <c r="Q54" i="25"/>
  <c r="A55" i="25"/>
  <c r="B55" i="25"/>
  <c r="C55" i="25"/>
  <c r="D55" i="25"/>
  <c r="E55" i="25"/>
  <c r="F55" i="25"/>
  <c r="G55" i="25"/>
  <c r="H55" i="25"/>
  <c r="I55" i="25"/>
  <c r="J55" i="25"/>
  <c r="K55" i="25"/>
  <c r="L55" i="25"/>
  <c r="M55" i="25"/>
  <c r="N55" i="25"/>
  <c r="O55" i="25"/>
  <c r="P55" i="25"/>
  <c r="Q55" i="25"/>
  <c r="A56" i="25"/>
  <c r="B56" i="25"/>
  <c r="C56" i="25"/>
  <c r="D56" i="25"/>
  <c r="E56" i="25"/>
  <c r="F56" i="25"/>
  <c r="G56" i="25"/>
  <c r="H56" i="25"/>
  <c r="I56" i="25"/>
  <c r="J56" i="25"/>
  <c r="K56" i="25"/>
  <c r="N56" i="25" s="1"/>
  <c r="L56" i="25"/>
  <c r="M56" i="25"/>
  <c r="O56" i="25"/>
  <c r="P56" i="25"/>
  <c r="Q56" i="25"/>
  <c r="A57" i="25"/>
  <c r="B57" i="25"/>
  <c r="C57" i="25"/>
  <c r="D57" i="25"/>
  <c r="E57" i="25"/>
  <c r="F57" i="25"/>
  <c r="G57" i="25"/>
  <c r="H57" i="25"/>
  <c r="I57" i="25"/>
  <c r="J57" i="25"/>
  <c r="K57" i="25"/>
  <c r="N57" i="25" s="1"/>
  <c r="L57" i="25"/>
  <c r="M57" i="25"/>
  <c r="O57" i="25"/>
  <c r="P57" i="25"/>
  <c r="Q57" i="25"/>
  <c r="A58" i="25"/>
  <c r="B58" i="25"/>
  <c r="C58" i="25"/>
  <c r="D58" i="25"/>
  <c r="E58" i="25"/>
  <c r="F58" i="25"/>
  <c r="G58" i="25"/>
  <c r="H58" i="25"/>
  <c r="I58" i="25"/>
  <c r="J58" i="25"/>
  <c r="K58" i="25"/>
  <c r="L58" i="25"/>
  <c r="N58" i="25" s="1"/>
  <c r="M58" i="25"/>
  <c r="O58" i="25"/>
  <c r="P58" i="25"/>
  <c r="Q58" i="25"/>
  <c r="A59" i="25"/>
  <c r="B59" i="25"/>
  <c r="C59" i="25"/>
  <c r="D59" i="25"/>
  <c r="E59" i="25"/>
  <c r="F59" i="25"/>
  <c r="G59" i="25"/>
  <c r="H59" i="25"/>
  <c r="I59" i="25"/>
  <c r="J59" i="25"/>
  <c r="K59" i="25"/>
  <c r="N59" i="25" s="1"/>
  <c r="L59" i="25"/>
  <c r="M59" i="25"/>
  <c r="O59" i="25"/>
  <c r="P59" i="25"/>
  <c r="Q59" i="25"/>
  <c r="A60" i="25"/>
  <c r="B60" i="25"/>
  <c r="C60" i="25"/>
  <c r="D60" i="25"/>
  <c r="E60" i="25"/>
  <c r="F60" i="25"/>
  <c r="G60" i="25"/>
  <c r="H60" i="25"/>
  <c r="I60" i="25"/>
  <c r="J60" i="25"/>
  <c r="K60" i="25"/>
  <c r="L60" i="25"/>
  <c r="M60" i="25"/>
  <c r="N60" i="25"/>
  <c r="O60" i="25"/>
  <c r="P60" i="25"/>
  <c r="Q60" i="25"/>
  <c r="A61" i="25"/>
  <c r="B61" i="25"/>
  <c r="C61" i="25"/>
  <c r="D61" i="25"/>
  <c r="E61" i="25"/>
  <c r="F61" i="25"/>
  <c r="G61" i="25"/>
  <c r="H61" i="25"/>
  <c r="I61" i="25"/>
  <c r="J61" i="25"/>
  <c r="K61" i="25"/>
  <c r="N61" i="25" s="1"/>
  <c r="L61" i="25"/>
  <c r="M61" i="25"/>
  <c r="O61" i="25"/>
  <c r="P61" i="25"/>
  <c r="Q61" i="25"/>
  <c r="A62" i="25"/>
  <c r="B62" i="25"/>
  <c r="C62" i="25"/>
  <c r="D62" i="25"/>
  <c r="E62" i="25"/>
  <c r="F62" i="25"/>
  <c r="G62" i="25"/>
  <c r="H62" i="25"/>
  <c r="I62" i="25"/>
  <c r="J62" i="25"/>
  <c r="K62" i="25"/>
  <c r="L62" i="25"/>
  <c r="M62" i="25"/>
  <c r="N62" i="25"/>
  <c r="O62" i="25"/>
  <c r="P62" i="25"/>
  <c r="Q62" i="25"/>
  <c r="A63" i="25"/>
  <c r="B63" i="25"/>
  <c r="C63" i="25"/>
  <c r="D63" i="25"/>
  <c r="E63" i="25"/>
  <c r="F63" i="25"/>
  <c r="G63" i="25"/>
  <c r="H63" i="25"/>
  <c r="I63" i="25"/>
  <c r="J63" i="25"/>
  <c r="K63" i="25"/>
  <c r="L63" i="25"/>
  <c r="M63" i="25"/>
  <c r="N63" i="25"/>
  <c r="O63" i="25"/>
  <c r="P63" i="25"/>
  <c r="Q63" i="25"/>
  <c r="A64" i="25"/>
  <c r="B64" i="25"/>
  <c r="C64" i="25"/>
  <c r="D64" i="25"/>
  <c r="E64" i="25"/>
  <c r="F64" i="25"/>
  <c r="G64" i="25"/>
  <c r="H64" i="25"/>
  <c r="I64" i="25"/>
  <c r="J64" i="25"/>
  <c r="K64" i="25"/>
  <c r="N64" i="25" s="1"/>
  <c r="L64" i="25"/>
  <c r="M64" i="25"/>
  <c r="O64" i="25"/>
  <c r="P64" i="25"/>
  <c r="Q64" i="25"/>
  <c r="A65" i="25"/>
  <c r="B65" i="25"/>
  <c r="C65" i="25"/>
  <c r="D65" i="25"/>
  <c r="E65" i="25"/>
  <c r="F65" i="25"/>
  <c r="G65" i="25"/>
  <c r="H65" i="25"/>
  <c r="I65" i="25"/>
  <c r="J65" i="25"/>
  <c r="K65" i="25"/>
  <c r="L65" i="25"/>
  <c r="M65" i="25"/>
  <c r="N65" i="25"/>
  <c r="O65" i="25"/>
  <c r="P65" i="25"/>
  <c r="Q65" i="25"/>
  <c r="A66" i="25"/>
  <c r="B66" i="25"/>
  <c r="C66" i="25"/>
  <c r="D66" i="25"/>
  <c r="E66" i="25"/>
  <c r="F66" i="25"/>
  <c r="G66" i="25"/>
  <c r="H66" i="25"/>
  <c r="I66" i="25"/>
  <c r="J66" i="25"/>
  <c r="K66" i="25"/>
  <c r="L66" i="25"/>
  <c r="M66" i="25"/>
  <c r="N66" i="25"/>
  <c r="O66" i="25"/>
  <c r="P66" i="25"/>
  <c r="Q66" i="25"/>
  <c r="A67" i="25"/>
  <c r="B67" i="25"/>
  <c r="C67" i="25"/>
  <c r="D67" i="25"/>
  <c r="E67" i="25"/>
  <c r="F67" i="25"/>
  <c r="G67" i="25"/>
  <c r="H67" i="25"/>
  <c r="I67" i="25"/>
  <c r="J67" i="25"/>
  <c r="K67" i="25"/>
  <c r="L67" i="25"/>
  <c r="M67" i="25"/>
  <c r="N67" i="25"/>
  <c r="O67" i="25"/>
  <c r="P67" i="25"/>
  <c r="Q67" i="25"/>
  <c r="A68" i="25"/>
  <c r="B68" i="25"/>
  <c r="C68" i="25"/>
  <c r="D68" i="25"/>
  <c r="E68" i="25"/>
  <c r="F68" i="25"/>
  <c r="G68" i="25"/>
  <c r="H68" i="25"/>
  <c r="I68" i="25"/>
  <c r="J68" i="25"/>
  <c r="K68" i="25"/>
  <c r="N68" i="25" s="1"/>
  <c r="L68" i="25"/>
  <c r="M68" i="25"/>
  <c r="O68" i="25"/>
  <c r="P68" i="25"/>
  <c r="Q68" i="25"/>
  <c r="A69" i="25"/>
  <c r="B69" i="25"/>
  <c r="C69" i="25"/>
  <c r="D69" i="25"/>
  <c r="E69" i="25"/>
  <c r="F69" i="25"/>
  <c r="G69" i="25"/>
  <c r="H69" i="25"/>
  <c r="I69" i="25"/>
  <c r="J69" i="25"/>
  <c r="K69" i="25"/>
  <c r="N69" i="25" s="1"/>
  <c r="L69" i="25"/>
  <c r="M69" i="25"/>
  <c r="O69" i="25"/>
  <c r="P69" i="25"/>
  <c r="Q69" i="25"/>
  <c r="A70" i="25"/>
  <c r="B70" i="25"/>
  <c r="C70" i="25"/>
  <c r="D70" i="25"/>
  <c r="E70" i="25"/>
  <c r="F70" i="25"/>
  <c r="G70" i="25"/>
  <c r="H70" i="25"/>
  <c r="I70" i="25"/>
  <c r="J70" i="25"/>
  <c r="K70" i="25"/>
  <c r="N70" i="25" s="1"/>
  <c r="L70" i="25"/>
  <c r="M70" i="25"/>
  <c r="O70" i="25"/>
  <c r="P70" i="25"/>
  <c r="Q70" i="25"/>
  <c r="A71" i="25"/>
  <c r="B71" i="25"/>
  <c r="C71" i="25"/>
  <c r="D71" i="25"/>
  <c r="E71" i="25"/>
  <c r="F71" i="25"/>
  <c r="G71" i="25"/>
  <c r="H71" i="25"/>
  <c r="I71" i="25"/>
  <c r="J71" i="25"/>
  <c r="K71" i="25"/>
  <c r="N71" i="25" s="1"/>
  <c r="L71" i="25"/>
  <c r="M71" i="25"/>
  <c r="O71" i="25"/>
  <c r="P71" i="25"/>
  <c r="Q71" i="25"/>
  <c r="A72" i="25"/>
  <c r="B72" i="25"/>
  <c r="C72" i="25"/>
  <c r="D72" i="25"/>
  <c r="E72" i="25"/>
  <c r="F72" i="25"/>
  <c r="G72" i="25"/>
  <c r="H72" i="25"/>
  <c r="I72" i="25"/>
  <c r="J72" i="25"/>
  <c r="K72" i="25"/>
  <c r="L72" i="25"/>
  <c r="M72" i="25"/>
  <c r="N72" i="25"/>
  <c r="O72" i="25"/>
  <c r="P72" i="25"/>
  <c r="Q72" i="25"/>
  <c r="A73" i="25"/>
  <c r="B73" i="25"/>
  <c r="C73" i="25"/>
  <c r="D73" i="25"/>
  <c r="E73" i="25"/>
  <c r="F73" i="25"/>
  <c r="G73" i="25"/>
  <c r="H73" i="25"/>
  <c r="I73" i="25"/>
  <c r="J73" i="25"/>
  <c r="K73" i="25"/>
  <c r="N73" i="25" s="1"/>
  <c r="L73" i="25"/>
  <c r="M73" i="25"/>
  <c r="O73" i="25"/>
  <c r="P73" i="25"/>
  <c r="Q73" i="25"/>
  <c r="A74" i="25"/>
  <c r="B74" i="25"/>
  <c r="C74" i="25"/>
  <c r="D74" i="25"/>
  <c r="E74" i="25"/>
  <c r="F74" i="25"/>
  <c r="G74" i="25"/>
  <c r="H74" i="25"/>
  <c r="I74" i="25"/>
  <c r="J74" i="25"/>
  <c r="K74" i="25"/>
  <c r="N74" i="25" s="1"/>
  <c r="L74" i="25"/>
  <c r="M74" i="25"/>
  <c r="O74" i="25"/>
  <c r="P74" i="25"/>
  <c r="Q74" i="25"/>
  <c r="A75" i="25"/>
  <c r="B75" i="25"/>
  <c r="C75" i="25"/>
  <c r="D75" i="25"/>
  <c r="E75" i="25"/>
  <c r="F75" i="25"/>
  <c r="G75" i="25"/>
  <c r="H75" i="25"/>
  <c r="I75" i="25"/>
  <c r="J75" i="25"/>
  <c r="K75" i="25"/>
  <c r="N75" i="25" s="1"/>
  <c r="L75" i="25"/>
  <c r="M75" i="25"/>
  <c r="O75" i="25"/>
  <c r="P75" i="25"/>
  <c r="Q75" i="25"/>
  <c r="A76" i="25"/>
  <c r="B76" i="25"/>
  <c r="C76" i="25"/>
  <c r="D76" i="25"/>
  <c r="E76" i="25"/>
  <c r="F76" i="25"/>
  <c r="G76" i="25"/>
  <c r="H76" i="25"/>
  <c r="I76" i="25"/>
  <c r="J76" i="25"/>
  <c r="K76" i="25"/>
  <c r="N76" i="25" s="1"/>
  <c r="L76" i="25"/>
  <c r="M76" i="25"/>
  <c r="O76" i="25"/>
  <c r="P76" i="25"/>
  <c r="Q76" i="25"/>
  <c r="A77" i="25"/>
  <c r="B77" i="25"/>
  <c r="C77" i="25"/>
  <c r="D77" i="25"/>
  <c r="E77" i="25"/>
  <c r="F77" i="25"/>
  <c r="G77" i="25"/>
  <c r="H77" i="25"/>
  <c r="I77" i="25"/>
  <c r="J77" i="25"/>
  <c r="K77" i="25"/>
  <c r="L77" i="25"/>
  <c r="M77" i="25"/>
  <c r="N77" i="25"/>
  <c r="O77" i="25"/>
  <c r="P77" i="25"/>
  <c r="Q77" i="25"/>
  <c r="A78" i="25"/>
  <c r="B78" i="25"/>
  <c r="C78" i="25"/>
  <c r="D78" i="25"/>
  <c r="E78" i="25"/>
  <c r="F78" i="25"/>
  <c r="G78" i="25"/>
  <c r="H78" i="25"/>
  <c r="I78" i="25"/>
  <c r="J78" i="25"/>
  <c r="K78" i="25"/>
  <c r="L78" i="25"/>
  <c r="M78" i="25"/>
  <c r="N78" i="25"/>
  <c r="O78" i="25"/>
  <c r="P78" i="25"/>
  <c r="Q78" i="25"/>
  <c r="A79" i="25"/>
  <c r="B79" i="25"/>
  <c r="C79" i="25"/>
  <c r="D79" i="25"/>
  <c r="E79" i="25"/>
  <c r="F79" i="25"/>
  <c r="G79" i="25"/>
  <c r="H79" i="25"/>
  <c r="I79" i="25"/>
  <c r="J79" i="25"/>
  <c r="K79" i="25"/>
  <c r="L79" i="25"/>
  <c r="M79" i="25"/>
  <c r="N79" i="25"/>
  <c r="O79" i="25"/>
  <c r="P79" i="25"/>
  <c r="Q79" i="25"/>
  <c r="A80" i="25"/>
  <c r="B80" i="25"/>
  <c r="C80" i="25"/>
  <c r="D80" i="25"/>
  <c r="E80" i="25"/>
  <c r="F80" i="25"/>
  <c r="G80" i="25"/>
  <c r="H80" i="25"/>
  <c r="I80" i="25"/>
  <c r="J80" i="25"/>
  <c r="K80" i="25"/>
  <c r="N80" i="25" s="1"/>
  <c r="L80" i="25"/>
  <c r="M80" i="25"/>
  <c r="O80" i="25"/>
  <c r="P80" i="25"/>
  <c r="Q80" i="25"/>
  <c r="A81" i="25"/>
  <c r="B81" i="25"/>
  <c r="C81" i="25"/>
  <c r="D81" i="25"/>
  <c r="E81" i="25"/>
  <c r="F81" i="25"/>
  <c r="G81" i="25"/>
  <c r="H81" i="25"/>
  <c r="I81" i="25"/>
  <c r="J81" i="25"/>
  <c r="K81" i="25"/>
  <c r="N81" i="25" s="1"/>
  <c r="L81" i="25"/>
  <c r="M81" i="25"/>
  <c r="O81" i="25"/>
  <c r="P81" i="25"/>
  <c r="Q81" i="25"/>
  <c r="A82" i="25"/>
  <c r="B82" i="25"/>
  <c r="C82" i="25"/>
  <c r="D82" i="25"/>
  <c r="E82" i="25"/>
  <c r="F82" i="25"/>
  <c r="G82" i="25"/>
  <c r="H82" i="25"/>
  <c r="I82" i="25"/>
  <c r="J82" i="25"/>
  <c r="K82" i="25"/>
  <c r="N82" i="25" s="1"/>
  <c r="L82" i="25"/>
  <c r="M82" i="25"/>
  <c r="O82" i="25"/>
  <c r="P82" i="25"/>
  <c r="Q82" i="25"/>
  <c r="A83" i="25"/>
  <c r="B83" i="25"/>
  <c r="C83" i="25"/>
  <c r="D83" i="25"/>
  <c r="E83" i="25"/>
  <c r="F83" i="25"/>
  <c r="G83" i="25"/>
  <c r="H83" i="25"/>
  <c r="I83" i="25"/>
  <c r="J83" i="25"/>
  <c r="K83" i="25"/>
  <c r="L83" i="25"/>
  <c r="M83" i="25"/>
  <c r="N83" i="25"/>
  <c r="O83" i="25"/>
  <c r="P83" i="25"/>
  <c r="Q83" i="25"/>
  <c r="A84" i="25"/>
  <c r="B84" i="25"/>
  <c r="C84" i="25"/>
  <c r="D84" i="25"/>
  <c r="E84" i="25"/>
  <c r="F84" i="25"/>
  <c r="G84" i="25"/>
  <c r="H84" i="25"/>
  <c r="I84" i="25"/>
  <c r="J84" i="25"/>
  <c r="K84" i="25"/>
  <c r="L84" i="25"/>
  <c r="M84" i="25"/>
  <c r="N84" i="25"/>
  <c r="O84" i="25"/>
  <c r="P84" i="25"/>
  <c r="Q84" i="25"/>
  <c r="A85" i="25"/>
  <c r="B85" i="25"/>
  <c r="C85" i="25"/>
  <c r="D85" i="25"/>
  <c r="E85" i="25"/>
  <c r="F85" i="25"/>
  <c r="G85" i="25"/>
  <c r="H85" i="25"/>
  <c r="I85" i="25"/>
  <c r="J85" i="25"/>
  <c r="K85" i="25"/>
  <c r="N85" i="25" s="1"/>
  <c r="L85" i="25"/>
  <c r="M85" i="25"/>
  <c r="O85" i="25"/>
  <c r="P85" i="25"/>
  <c r="Q85" i="25"/>
  <c r="A86" i="25"/>
  <c r="B86" i="25"/>
  <c r="C86" i="25"/>
  <c r="D86" i="25"/>
  <c r="E86" i="25"/>
  <c r="F86" i="25"/>
  <c r="G86" i="25"/>
  <c r="H86" i="25"/>
  <c r="I86" i="25"/>
  <c r="J86" i="25"/>
  <c r="K86" i="25"/>
  <c r="N86" i="25" s="1"/>
  <c r="L86" i="25"/>
  <c r="M86" i="25"/>
  <c r="O86" i="25"/>
  <c r="P86" i="25"/>
  <c r="Q86" i="25"/>
  <c r="A87" i="25"/>
  <c r="B87" i="25"/>
  <c r="C87" i="25"/>
  <c r="D87" i="25"/>
  <c r="E87" i="25"/>
  <c r="F87" i="25"/>
  <c r="G87" i="25"/>
  <c r="H87" i="25"/>
  <c r="I87" i="25"/>
  <c r="J87" i="25"/>
  <c r="K87" i="25"/>
  <c r="N87" i="25" s="1"/>
  <c r="L87" i="25"/>
  <c r="M87" i="25"/>
  <c r="O87" i="25"/>
  <c r="P87" i="25"/>
  <c r="Q87" i="25"/>
  <c r="A88" i="25"/>
  <c r="B88" i="25"/>
  <c r="C88" i="25"/>
  <c r="D88" i="25"/>
  <c r="E88" i="25"/>
  <c r="F88" i="25"/>
  <c r="G88" i="25"/>
  <c r="H88" i="25"/>
  <c r="I88" i="25"/>
  <c r="J88" i="25"/>
  <c r="K88" i="25"/>
  <c r="N88" i="25" s="1"/>
  <c r="L88" i="25"/>
  <c r="M88" i="25"/>
  <c r="O88" i="25"/>
  <c r="P88" i="25"/>
  <c r="Q88" i="25"/>
  <c r="A89" i="25"/>
  <c r="B89" i="25"/>
  <c r="C89" i="25"/>
  <c r="D89" i="25"/>
  <c r="E89" i="25"/>
  <c r="F89" i="25"/>
  <c r="G89" i="25"/>
  <c r="H89" i="25"/>
  <c r="I89" i="25"/>
  <c r="J89" i="25"/>
  <c r="K89" i="25"/>
  <c r="L89" i="25"/>
  <c r="N89" i="25" s="1"/>
  <c r="M89" i="25"/>
  <c r="O89" i="25"/>
  <c r="P89" i="25"/>
  <c r="Q89" i="25"/>
  <c r="A90" i="25"/>
  <c r="B90" i="25"/>
  <c r="C90" i="25"/>
  <c r="D90" i="25"/>
  <c r="E90" i="25"/>
  <c r="F90" i="25"/>
  <c r="G90" i="25"/>
  <c r="H90" i="25"/>
  <c r="I90" i="25"/>
  <c r="J90" i="25"/>
  <c r="K90" i="25"/>
  <c r="L90" i="25"/>
  <c r="M90" i="25"/>
  <c r="N90" i="25"/>
  <c r="O90" i="25"/>
  <c r="P90" i="25"/>
  <c r="Q90" i="25"/>
  <c r="A91" i="25"/>
  <c r="B91" i="25"/>
  <c r="C91" i="25"/>
  <c r="D91" i="25"/>
  <c r="E91" i="25"/>
  <c r="F91" i="25"/>
  <c r="G91" i="25"/>
  <c r="H91" i="25"/>
  <c r="I91" i="25"/>
  <c r="J91" i="25"/>
  <c r="K91" i="25"/>
  <c r="L91" i="25"/>
  <c r="M91" i="25"/>
  <c r="N91" i="25"/>
  <c r="O91" i="25"/>
  <c r="P91" i="25"/>
  <c r="Q91" i="25"/>
  <c r="A92" i="25"/>
  <c r="B92" i="25"/>
  <c r="C92" i="25"/>
  <c r="D92" i="25"/>
  <c r="E92" i="25"/>
  <c r="F92" i="25"/>
  <c r="G92" i="25"/>
  <c r="H92" i="25"/>
  <c r="I92" i="25"/>
  <c r="J92" i="25"/>
  <c r="K92" i="25"/>
  <c r="N92" i="25" s="1"/>
  <c r="L92" i="25"/>
  <c r="M92" i="25"/>
  <c r="O92" i="25"/>
  <c r="P92" i="25"/>
  <c r="Q92" i="25"/>
  <c r="A93" i="25"/>
  <c r="B93" i="25"/>
  <c r="C93" i="25"/>
  <c r="D93" i="25"/>
  <c r="E93" i="25"/>
  <c r="F93" i="25"/>
  <c r="G93" i="25"/>
  <c r="H93" i="25"/>
  <c r="I93" i="25"/>
  <c r="J93" i="25"/>
  <c r="K93" i="25"/>
  <c r="N93" i="25" s="1"/>
  <c r="L93" i="25"/>
  <c r="M93" i="25"/>
  <c r="O93" i="25"/>
  <c r="P93" i="25"/>
  <c r="Q93" i="25"/>
  <c r="A94" i="25"/>
  <c r="B94" i="25"/>
  <c r="C94" i="25"/>
  <c r="D94" i="25"/>
  <c r="E94" i="25"/>
  <c r="F94" i="25"/>
  <c r="G94" i="25"/>
  <c r="H94" i="25"/>
  <c r="I94" i="25"/>
  <c r="J94" i="25"/>
  <c r="K94" i="25"/>
  <c r="L94" i="25"/>
  <c r="M94" i="25"/>
  <c r="N94" i="25"/>
  <c r="O94" i="25"/>
  <c r="P94" i="25"/>
  <c r="Q94" i="25"/>
  <c r="A95" i="25"/>
  <c r="B95" i="25"/>
  <c r="C95" i="25"/>
  <c r="D95" i="25"/>
  <c r="E95" i="25"/>
  <c r="F95" i="25"/>
  <c r="G95" i="25"/>
  <c r="H95" i="25"/>
  <c r="I95" i="25"/>
  <c r="J95" i="25"/>
  <c r="K95" i="25"/>
  <c r="L95" i="25"/>
  <c r="M95" i="25"/>
  <c r="N95" i="25"/>
  <c r="O95" i="25"/>
  <c r="P95" i="25"/>
  <c r="Q95" i="25"/>
  <c r="A96" i="25"/>
  <c r="B96" i="25"/>
  <c r="C96" i="25"/>
  <c r="D96" i="25"/>
  <c r="E96" i="25"/>
  <c r="F96" i="25"/>
  <c r="G96" i="25"/>
  <c r="H96" i="25"/>
  <c r="I96" i="25"/>
  <c r="J96" i="25"/>
  <c r="K96" i="25"/>
  <c r="L96" i="25"/>
  <c r="M96" i="25"/>
  <c r="N96" i="25"/>
  <c r="O96" i="25"/>
  <c r="P96" i="25"/>
  <c r="Q96" i="25"/>
  <c r="A97" i="25"/>
  <c r="B97" i="25"/>
  <c r="C97" i="25"/>
  <c r="D97" i="25"/>
  <c r="E97" i="25"/>
  <c r="F97" i="25"/>
  <c r="G97" i="25"/>
  <c r="H97" i="25"/>
  <c r="I97" i="25"/>
  <c r="J97" i="25"/>
  <c r="K97" i="25"/>
  <c r="N97" i="25" s="1"/>
  <c r="L97" i="25"/>
  <c r="M97" i="25"/>
  <c r="O97" i="25"/>
  <c r="P97" i="25"/>
  <c r="Q97" i="25"/>
  <c r="A98" i="25"/>
  <c r="B98" i="25"/>
  <c r="C98" i="25"/>
  <c r="D98" i="25"/>
  <c r="E98" i="25"/>
  <c r="F98" i="25"/>
  <c r="G98" i="25"/>
  <c r="H98" i="25"/>
  <c r="I98" i="25"/>
  <c r="J98" i="25"/>
  <c r="K98" i="25"/>
  <c r="N98" i="25" s="1"/>
  <c r="L98" i="25"/>
  <c r="M98" i="25"/>
  <c r="O98" i="25"/>
  <c r="P98" i="25"/>
  <c r="Q98" i="25"/>
  <c r="A99" i="25"/>
  <c r="B99" i="25"/>
  <c r="C99" i="25"/>
  <c r="D99" i="25"/>
  <c r="E99" i="25"/>
  <c r="F99" i="25"/>
  <c r="G99" i="25"/>
  <c r="H99" i="25"/>
  <c r="I99" i="25"/>
  <c r="J99" i="25"/>
  <c r="K99" i="25"/>
  <c r="N99" i="25" s="1"/>
  <c r="L99" i="25"/>
  <c r="M99" i="25"/>
  <c r="O99" i="25"/>
  <c r="P99" i="25"/>
  <c r="Q99" i="25"/>
  <c r="A100" i="25"/>
  <c r="B100" i="25"/>
  <c r="C100" i="25"/>
  <c r="D100" i="25"/>
  <c r="E100" i="25"/>
  <c r="F100" i="25"/>
  <c r="G100" i="25"/>
  <c r="H100" i="25"/>
  <c r="I100" i="25"/>
  <c r="J100" i="25"/>
  <c r="K100" i="25"/>
  <c r="N100" i="25" s="1"/>
  <c r="L100" i="25"/>
  <c r="M100" i="25"/>
  <c r="O100" i="25"/>
  <c r="P100" i="25"/>
  <c r="Q100" i="25"/>
  <c r="A101" i="25"/>
  <c r="B101" i="25"/>
  <c r="C101" i="25"/>
  <c r="D101" i="25"/>
  <c r="E101" i="25"/>
  <c r="F101" i="25"/>
  <c r="G101" i="25"/>
  <c r="H101" i="25"/>
  <c r="I101" i="25"/>
  <c r="J101" i="25"/>
  <c r="K101" i="25"/>
  <c r="L101" i="25"/>
  <c r="N101" i="25" s="1"/>
  <c r="M101" i="25"/>
  <c r="O101" i="25"/>
  <c r="P101" i="25"/>
  <c r="Q101" i="25"/>
  <c r="A102" i="25"/>
  <c r="B102" i="25"/>
  <c r="C102" i="25"/>
  <c r="D102" i="25"/>
  <c r="E102" i="25"/>
  <c r="F102" i="25"/>
  <c r="G102" i="25"/>
  <c r="H102" i="25"/>
  <c r="I102" i="25"/>
  <c r="J102" i="25"/>
  <c r="K102" i="25"/>
  <c r="L102" i="25"/>
  <c r="M102" i="25"/>
  <c r="N102" i="25"/>
  <c r="O102" i="25"/>
  <c r="P102" i="25"/>
  <c r="Q102" i="25"/>
  <c r="A103" i="25"/>
  <c r="B103" i="25"/>
  <c r="C103" i="25"/>
  <c r="D103" i="25"/>
  <c r="E103" i="25"/>
  <c r="F103" i="25"/>
  <c r="G103" i="25"/>
  <c r="H103" i="25"/>
  <c r="I103" i="25"/>
  <c r="J103" i="25"/>
  <c r="K103" i="25"/>
  <c r="L103" i="25"/>
  <c r="M103" i="25"/>
  <c r="N103" i="25"/>
  <c r="O103" i="25"/>
  <c r="P103" i="25"/>
  <c r="Q103" i="25"/>
  <c r="A104" i="25"/>
  <c r="B104" i="25"/>
  <c r="C104" i="25"/>
  <c r="D104" i="25"/>
  <c r="E104" i="25"/>
  <c r="F104" i="25"/>
  <c r="G104" i="25"/>
  <c r="H104" i="25"/>
  <c r="I104" i="25"/>
  <c r="J104" i="25"/>
  <c r="K104" i="25"/>
  <c r="N104" i="25" s="1"/>
  <c r="L104" i="25"/>
  <c r="M104" i="25"/>
  <c r="O104" i="25"/>
  <c r="P104" i="25"/>
  <c r="Q104" i="25"/>
  <c r="A105" i="25"/>
  <c r="B105" i="25"/>
  <c r="C105" i="25"/>
  <c r="D105" i="25"/>
  <c r="E105" i="25"/>
  <c r="F105" i="25"/>
  <c r="G105" i="25"/>
  <c r="H105" i="25"/>
  <c r="I105" i="25"/>
  <c r="J105" i="25"/>
  <c r="K105" i="25"/>
  <c r="N105" i="25" s="1"/>
  <c r="L105" i="25"/>
  <c r="M105" i="25"/>
  <c r="O105" i="25"/>
  <c r="P105" i="25"/>
  <c r="Q105" i="25"/>
  <c r="A106" i="25"/>
  <c r="B106" i="25"/>
  <c r="C106" i="25"/>
  <c r="D106" i="25"/>
  <c r="E106" i="25"/>
  <c r="F106" i="25"/>
  <c r="G106" i="25"/>
  <c r="H106" i="25"/>
  <c r="I106" i="25"/>
  <c r="J106" i="25"/>
  <c r="K106" i="25"/>
  <c r="N106" i="25" s="1"/>
  <c r="L106" i="25"/>
  <c r="M106" i="25"/>
  <c r="O106" i="25"/>
  <c r="P106" i="25"/>
  <c r="Q106" i="25"/>
  <c r="A107" i="25"/>
  <c r="B107" i="25"/>
  <c r="C107" i="25"/>
  <c r="D107" i="25"/>
  <c r="E107" i="25"/>
  <c r="F107" i="25"/>
  <c r="G107" i="25"/>
  <c r="H107" i="25"/>
  <c r="I107" i="25"/>
  <c r="J107" i="25"/>
  <c r="K107" i="25"/>
  <c r="L107" i="25"/>
  <c r="M107" i="25"/>
  <c r="N107" i="25"/>
  <c r="O107" i="25"/>
  <c r="P107" i="25"/>
  <c r="Q107" i="25"/>
  <c r="A108" i="25"/>
  <c r="B108" i="25"/>
  <c r="C108" i="25"/>
  <c r="D108" i="25"/>
  <c r="E108" i="25"/>
  <c r="F108" i="25"/>
  <c r="G108" i="25"/>
  <c r="H108" i="25"/>
  <c r="I108" i="25"/>
  <c r="J108" i="25"/>
  <c r="K108" i="25"/>
  <c r="N108" i="25" s="1"/>
  <c r="L108" i="25"/>
  <c r="M108" i="25"/>
  <c r="O108" i="25"/>
  <c r="P108" i="25"/>
  <c r="Q108" i="25"/>
  <c r="A109" i="25"/>
  <c r="B109" i="25"/>
  <c r="C109" i="25"/>
  <c r="D109" i="25"/>
  <c r="E109" i="25"/>
  <c r="F109" i="25"/>
  <c r="G109" i="25"/>
  <c r="H109" i="25"/>
  <c r="I109" i="25"/>
  <c r="J109" i="25"/>
  <c r="K109" i="25"/>
  <c r="N109" i="25" s="1"/>
  <c r="L109" i="25"/>
  <c r="M109" i="25"/>
  <c r="O109" i="25"/>
  <c r="P109" i="25"/>
  <c r="Q109" i="25"/>
  <c r="A110" i="25"/>
  <c r="B110" i="25"/>
  <c r="C110" i="25"/>
  <c r="D110" i="25"/>
  <c r="E110" i="25"/>
  <c r="F110" i="25"/>
  <c r="G110" i="25"/>
  <c r="H110" i="25"/>
  <c r="I110" i="25"/>
  <c r="J110" i="25"/>
  <c r="K110" i="25"/>
  <c r="N110" i="25" s="1"/>
  <c r="L110" i="25"/>
  <c r="M110" i="25"/>
  <c r="O110" i="25"/>
  <c r="P110" i="25"/>
  <c r="Q110" i="25"/>
  <c r="A111" i="25"/>
  <c r="B111" i="25"/>
  <c r="C111" i="25"/>
  <c r="D111" i="25"/>
  <c r="E111" i="25"/>
  <c r="F111" i="25"/>
  <c r="G111" i="25"/>
  <c r="H111" i="25"/>
  <c r="I111" i="25"/>
  <c r="J111" i="25"/>
  <c r="K111" i="25"/>
  <c r="N111" i="25" s="1"/>
  <c r="L111" i="25"/>
  <c r="M111" i="25"/>
  <c r="O111" i="25"/>
  <c r="P111" i="25"/>
  <c r="Q111" i="25"/>
  <c r="A112" i="25"/>
  <c r="B112" i="25"/>
  <c r="C112" i="25"/>
  <c r="D112" i="25"/>
  <c r="E112" i="25"/>
  <c r="F112" i="25"/>
  <c r="G112" i="25"/>
  <c r="H112" i="25"/>
  <c r="I112" i="25"/>
  <c r="J112" i="25"/>
  <c r="K112" i="25"/>
  <c r="N112" i="25" s="1"/>
  <c r="L112" i="25"/>
  <c r="M112" i="25"/>
  <c r="O112" i="25"/>
  <c r="P112" i="25"/>
  <c r="Q112" i="25"/>
  <c r="A113" i="25"/>
  <c r="B113" i="25"/>
  <c r="C113" i="25"/>
  <c r="D113" i="25"/>
  <c r="E113" i="25"/>
  <c r="F113" i="25"/>
  <c r="G113" i="25"/>
  <c r="H113" i="25"/>
  <c r="I113" i="25"/>
  <c r="J113" i="25"/>
  <c r="K113" i="25"/>
  <c r="L113" i="25"/>
  <c r="M113" i="25"/>
  <c r="N113" i="25"/>
  <c r="O113" i="25"/>
  <c r="P113" i="25"/>
  <c r="Q113" i="25"/>
  <c r="N3" i="25"/>
  <c r="P3" i="25"/>
  <c r="Q3" i="25"/>
  <c r="O3" i="25"/>
  <c r="J3" i="25"/>
  <c r="K3" i="25"/>
  <c r="L3" i="25"/>
  <c r="M3" i="25"/>
  <c r="I3" i="25"/>
  <c r="H3" i="25"/>
  <c r="G3" i="25"/>
  <c r="F3" i="25"/>
  <c r="E3" i="25"/>
  <c r="D3" i="25"/>
  <c r="C3" i="25"/>
  <c r="B3" i="25"/>
  <c r="A3" i="25"/>
  <c r="C8" i="34" l="1" a="1"/>
  <c r="C8" i="34" s="1"/>
  <c r="A8" i="34" a="1"/>
  <c r="A8" i="34" s="1"/>
  <c r="D8" i="34" s="1" a="1"/>
  <c r="D8" i="34" s="1"/>
  <c r="AB9" i="22"/>
  <c r="A122" i="22" a="1"/>
  <c r="A122" i="22" s="1"/>
  <c r="A102" i="22" a="1"/>
  <c r="A102" i="22" s="1"/>
  <c r="A64" i="22" a="1"/>
  <c r="A64" i="22" s="1"/>
  <c r="A42" i="22" a="1"/>
  <c r="A42" i="22" s="1"/>
  <c r="A3" i="22" a="1"/>
  <c r="A3" i="22" s="1"/>
  <c r="A19" i="22" a="1"/>
  <c r="A19" i="22" s="1"/>
  <c r="C3" i="21"/>
  <c r="C2" i="21"/>
  <c r="H5" i="21"/>
  <c r="H4" i="21"/>
  <c r="H3" i="21"/>
  <c r="H2" i="21"/>
  <c r="G5" i="21"/>
  <c r="G4" i="21"/>
  <c r="G3" i="21"/>
  <c r="G2" i="21"/>
  <c r="F5" i="21"/>
  <c r="F4" i="21"/>
  <c r="F3" i="21"/>
  <c r="F2" i="21"/>
  <c r="E5" i="21"/>
  <c r="E4" i="21"/>
  <c r="E3" i="21"/>
  <c r="E2" i="21"/>
  <c r="D5" i="21"/>
  <c r="D4" i="21"/>
  <c r="D3" i="21"/>
  <c r="D2" i="21"/>
  <c r="C5" i="21"/>
  <c r="C4" i="21"/>
  <c r="H27" i="20"/>
  <c r="H26" i="20"/>
  <c r="G27" i="20"/>
  <c r="G26" i="20"/>
  <c r="G189" i="20"/>
  <c r="G188" i="20"/>
  <c r="G142" i="20" a="1"/>
  <c r="G142" i="20" s="1"/>
  <c r="G168" i="20" a="1"/>
  <c r="G168" i="20" s="1"/>
  <c r="G167" i="20"/>
  <c r="G3" i="20" a="1"/>
  <c r="G3" i="20" s="1"/>
  <c r="G14" i="20" a="1"/>
  <c r="G14" i="20" s="1"/>
  <c r="G13" i="20"/>
  <c r="H188" i="20"/>
  <c r="I188" i="20"/>
  <c r="J188" i="20"/>
  <c r="K188" i="20"/>
  <c r="L188" i="20"/>
  <c r="M188" i="20"/>
  <c r="N188" i="20"/>
  <c r="O188" i="20"/>
  <c r="P188" i="20"/>
  <c r="Q188" i="20"/>
  <c r="R188" i="20"/>
  <c r="S188" i="20"/>
  <c r="T188" i="20"/>
  <c r="U188" i="20"/>
  <c r="V188" i="20"/>
  <c r="W188" i="20"/>
  <c r="X188" i="20"/>
  <c r="H189" i="20"/>
  <c r="I189" i="20"/>
  <c r="J189" i="20"/>
  <c r="K189" i="20"/>
  <c r="L189" i="20"/>
  <c r="M189" i="20"/>
  <c r="N189" i="20"/>
  <c r="O189" i="20"/>
  <c r="P189" i="20"/>
  <c r="Q189" i="20"/>
  <c r="R189" i="20"/>
  <c r="S189" i="20"/>
  <c r="T189" i="20"/>
  <c r="U189" i="20"/>
  <c r="V189" i="20"/>
  <c r="W189" i="20"/>
  <c r="X189" i="20"/>
  <c r="X142" i="20" a="1"/>
  <c r="X142" i="20" s="1"/>
  <c r="W142" i="20" a="1"/>
  <c r="W142" i="20" s="1"/>
  <c r="V142" i="20" a="1"/>
  <c r="V142" i="20" s="1"/>
  <c r="U142" i="20" a="1"/>
  <c r="U142" i="20" s="1"/>
  <c r="T142" i="20" a="1"/>
  <c r="T142" i="20" s="1"/>
  <c r="S142" i="20" a="1"/>
  <c r="S142" i="20" s="1"/>
  <c r="R142" i="20" a="1"/>
  <c r="R142" i="20" s="1"/>
  <c r="Q142" i="20" a="1"/>
  <c r="Q142" i="20" s="1"/>
  <c r="P142" i="20" a="1"/>
  <c r="P142" i="20" s="1"/>
  <c r="O142" i="20" a="1"/>
  <c r="O142" i="20" s="1"/>
  <c r="N142" i="20" a="1"/>
  <c r="N142" i="20" s="1"/>
  <c r="M142" i="20" a="1"/>
  <c r="M142" i="20" s="1"/>
  <c r="L142" i="20" a="1"/>
  <c r="L142" i="20" s="1"/>
  <c r="K142" i="20" a="1"/>
  <c r="K142" i="20" s="1"/>
  <c r="J142" i="20" a="1"/>
  <c r="J142" i="20" s="1"/>
  <c r="I142" i="20" a="1"/>
  <c r="I142" i="20" s="1"/>
  <c r="H142" i="20" a="1"/>
  <c r="H142" i="20" s="1"/>
  <c r="F174" i="20"/>
  <c r="F175" i="20"/>
  <c r="F176" i="20"/>
  <c r="F177" i="20"/>
  <c r="F178" i="20"/>
  <c r="F179" i="20"/>
  <c r="F180" i="20"/>
  <c r="F181" i="20"/>
  <c r="F166" i="20"/>
  <c r="F167" i="20"/>
  <c r="F168" i="20"/>
  <c r="F169" i="20"/>
  <c r="F170" i="20"/>
  <c r="F171" i="20"/>
  <c r="F172" i="20"/>
  <c r="F173" i="20"/>
  <c r="F154" i="20"/>
  <c r="F155" i="20"/>
  <c r="F156" i="20"/>
  <c r="F157" i="20"/>
  <c r="F158" i="20"/>
  <c r="F159" i="20"/>
  <c r="F160" i="20"/>
  <c r="F161" i="20"/>
  <c r="F162" i="20"/>
  <c r="F163" i="20"/>
  <c r="F164" i="20"/>
  <c r="F165" i="20"/>
  <c r="F143" i="20"/>
  <c r="F144" i="20"/>
  <c r="F145" i="20"/>
  <c r="F146" i="20"/>
  <c r="F147" i="20"/>
  <c r="F148" i="20"/>
  <c r="F149" i="20"/>
  <c r="F150" i="20"/>
  <c r="F151" i="20"/>
  <c r="F152" i="20"/>
  <c r="F153" i="20"/>
  <c r="F142" i="20"/>
  <c r="A143" i="20"/>
  <c r="A144" i="20"/>
  <c r="A145" i="20"/>
  <c r="A146" i="20"/>
  <c r="A147" i="20"/>
  <c r="A148" i="20"/>
  <c r="A149" i="20"/>
  <c r="A150" i="20"/>
  <c r="A151" i="20"/>
  <c r="A152" i="20"/>
  <c r="A153" i="20"/>
  <c r="A154" i="20"/>
  <c r="A155" i="20"/>
  <c r="A156" i="20"/>
  <c r="A157" i="20"/>
  <c r="A158" i="20"/>
  <c r="A159" i="20"/>
  <c r="A160" i="20"/>
  <c r="A161" i="20"/>
  <c r="A162" i="20"/>
  <c r="A163" i="20"/>
  <c r="A164" i="20"/>
  <c r="A165" i="20"/>
  <c r="A166" i="20"/>
  <c r="A167" i="20"/>
  <c r="A168" i="20"/>
  <c r="A169" i="20"/>
  <c r="A170" i="20"/>
  <c r="A171" i="20"/>
  <c r="A172" i="20"/>
  <c r="A173" i="20"/>
  <c r="A174" i="20"/>
  <c r="A175" i="20"/>
  <c r="A176" i="20"/>
  <c r="A177" i="20"/>
  <c r="A178" i="20"/>
  <c r="A179" i="20"/>
  <c r="A180" i="20"/>
  <c r="A181" i="20"/>
  <c r="A182" i="20"/>
  <c r="A183" i="20"/>
  <c r="A184" i="20"/>
  <c r="A185" i="20"/>
  <c r="A186" i="20"/>
  <c r="A187" i="20"/>
  <c r="A188" i="20"/>
  <c r="A189" i="20"/>
  <c r="A190" i="20"/>
  <c r="A191" i="20"/>
  <c r="A192" i="20"/>
  <c r="A193" i="20"/>
  <c r="A194" i="20"/>
  <c r="A195" i="20"/>
  <c r="A196" i="20"/>
  <c r="A197" i="20"/>
  <c r="A198" i="20"/>
  <c r="A199" i="20"/>
  <c r="A200" i="20"/>
  <c r="A201" i="20"/>
  <c r="A202" i="20"/>
  <c r="A203" i="20"/>
  <c r="A204" i="20"/>
  <c r="A205" i="20"/>
  <c r="A206" i="20"/>
  <c r="A207" i="20"/>
  <c r="A208" i="20"/>
  <c r="A209" i="20"/>
  <c r="A210" i="20"/>
  <c r="A211" i="20"/>
  <c r="A212" i="20"/>
  <c r="A213" i="20"/>
  <c r="A214" i="20"/>
  <c r="A215" i="20"/>
  <c r="A216" i="20"/>
  <c r="A217" i="20"/>
  <c r="A218" i="20"/>
  <c r="A219" i="20"/>
  <c r="A220" i="20"/>
  <c r="A221" i="20"/>
  <c r="A222" i="20"/>
  <c r="A223" i="20"/>
  <c r="A224" i="20"/>
  <c r="A225" i="20"/>
  <c r="A226" i="20"/>
  <c r="A227" i="20"/>
  <c r="A228" i="20"/>
  <c r="A229" i="20"/>
  <c r="A230" i="20"/>
  <c r="A231" i="20"/>
  <c r="A232" i="20"/>
  <c r="A233" i="20"/>
  <c r="A234" i="20"/>
  <c r="A235" i="20"/>
  <c r="A236" i="20"/>
  <c r="A237" i="20"/>
  <c r="A238" i="20"/>
  <c r="A239" i="20"/>
  <c r="A240" i="20"/>
  <c r="A241" i="20"/>
  <c r="A242" i="20"/>
  <c r="A243" i="20"/>
  <c r="A244" i="20"/>
  <c r="A245" i="20"/>
  <c r="A246" i="20"/>
  <c r="A247" i="20"/>
  <c r="A248" i="20"/>
  <c r="A249" i="20"/>
  <c r="A250" i="20"/>
  <c r="A251" i="20"/>
  <c r="A252" i="20"/>
  <c r="A253" i="20"/>
  <c r="A254" i="20"/>
  <c r="A255" i="20"/>
  <c r="A256" i="20"/>
  <c r="A257" i="20"/>
  <c r="A142" i="20"/>
  <c r="A128" i="20"/>
  <c r="A129" i="20"/>
  <c r="A119" i="20"/>
  <c r="A120" i="20"/>
  <c r="A121" i="20"/>
  <c r="A122" i="20"/>
  <c r="A123" i="20"/>
  <c r="A124" i="20"/>
  <c r="A125" i="20"/>
  <c r="A126" i="20"/>
  <c r="A127" i="20"/>
  <c r="A73" i="20"/>
  <c r="A74" i="20"/>
  <c r="A75" i="20"/>
  <c r="A76" i="20"/>
  <c r="A77" i="20"/>
  <c r="A78" i="20"/>
  <c r="A79" i="20"/>
  <c r="A80" i="20"/>
  <c r="A81" i="20"/>
  <c r="A82" i="20"/>
  <c r="A83" i="20"/>
  <c r="A84" i="20"/>
  <c r="A85" i="20"/>
  <c r="A86" i="20"/>
  <c r="A87" i="20"/>
  <c r="A88" i="20"/>
  <c r="A89" i="20"/>
  <c r="A90" i="20"/>
  <c r="A91" i="20"/>
  <c r="A92" i="20"/>
  <c r="A93" i="20"/>
  <c r="A94" i="20"/>
  <c r="A95" i="20"/>
  <c r="A96" i="20"/>
  <c r="A97" i="20"/>
  <c r="A98" i="20"/>
  <c r="A99" i="20"/>
  <c r="A100" i="20"/>
  <c r="A101" i="20"/>
  <c r="A102" i="20"/>
  <c r="A103" i="20"/>
  <c r="A104" i="20"/>
  <c r="A105" i="20"/>
  <c r="A106" i="20"/>
  <c r="A107" i="20"/>
  <c r="A108" i="20"/>
  <c r="A109" i="20"/>
  <c r="A110" i="20"/>
  <c r="A111" i="20"/>
  <c r="A112" i="20"/>
  <c r="A113" i="20"/>
  <c r="A114" i="20"/>
  <c r="A115" i="20"/>
  <c r="A116" i="20"/>
  <c r="A117" i="20"/>
  <c r="A118" i="20"/>
  <c r="A72" i="20"/>
  <c r="A4" i="20"/>
  <c r="A5" i="20"/>
  <c r="A6" i="20"/>
  <c r="A7" i="20"/>
  <c r="A8" i="20"/>
  <c r="A9" i="20"/>
  <c r="A10" i="20"/>
  <c r="A11" i="20"/>
  <c r="A12" i="20"/>
  <c r="A13" i="20"/>
  <c r="A14" i="20"/>
  <c r="A15" i="20"/>
  <c r="A16" i="20"/>
  <c r="A17" i="20"/>
  <c r="A18" i="20"/>
  <c r="A19" i="20"/>
  <c r="A20" i="20"/>
  <c r="A21" i="20"/>
  <c r="A22" i="20"/>
  <c r="A23" i="20"/>
  <c r="A24" i="20"/>
  <c r="A25" i="20"/>
  <c r="A26" i="20"/>
  <c r="A27" i="20"/>
  <c r="A28" i="20"/>
  <c r="A29" i="20"/>
  <c r="A30" i="20"/>
  <c r="A31" i="20"/>
  <c r="A32" i="20"/>
  <c r="A33" i="20"/>
  <c r="A34" i="20"/>
  <c r="A35" i="20"/>
  <c r="A36" i="20"/>
  <c r="A37" i="20"/>
  <c r="A38" i="20"/>
  <c r="A39" i="20"/>
  <c r="A40" i="20"/>
  <c r="A41" i="20"/>
  <c r="A42" i="20"/>
  <c r="A43" i="20"/>
  <c r="A44" i="20"/>
  <c r="A45" i="20"/>
  <c r="A46" i="20"/>
  <c r="A47" i="20"/>
  <c r="A48" i="20"/>
  <c r="A49" i="20"/>
  <c r="A50" i="20"/>
  <c r="A51" i="20"/>
  <c r="A52" i="20"/>
  <c r="A53" i="20"/>
  <c r="A54" i="20"/>
  <c r="A55" i="20"/>
  <c r="A56" i="20"/>
  <c r="A57" i="20"/>
  <c r="A58" i="20"/>
  <c r="A59" i="20"/>
  <c r="A60" i="20"/>
  <c r="A3" i="20"/>
  <c r="AA20" i="15"/>
  <c r="B142" i="20" l="1" a="1"/>
  <c r="B142" i="20" s="1"/>
  <c r="C142" i="20" s="1"/>
  <c r="C180" i="20"/>
  <c r="C228" i="20"/>
  <c r="E157" i="20" s="1"/>
  <c r="C240" i="20"/>
  <c r="E169" i="20" s="1"/>
  <c r="C152" i="20"/>
  <c r="C153" i="20"/>
  <c r="C165" i="20"/>
  <c r="C166" i="20"/>
  <c r="C178" i="20"/>
  <c r="C179" i="20"/>
  <c r="C191" i="20"/>
  <c r="D151" i="20" s="1"/>
  <c r="C170" i="20"/>
  <c r="C182" i="20"/>
  <c r="D142" i="20" s="1"/>
  <c r="C171" i="20"/>
  <c r="C183" i="20"/>
  <c r="D143" i="20" s="1"/>
  <c r="B3" i="20" a="1"/>
  <c r="B3" i="20" s="1"/>
  <c r="C3" i="20" s="1"/>
  <c r="F3" i="20" s="1"/>
  <c r="C39" i="20"/>
  <c r="E3" i="20" s="1"/>
  <c r="C51" i="20"/>
  <c r="E15" i="20" s="1"/>
  <c r="B72" i="20" a="1"/>
  <c r="F3" i="18" a="1"/>
  <c r="F3" i="18" s="1"/>
  <c r="G3" i="18" a="1"/>
  <c r="G3" i="18" s="1"/>
  <c r="H3" i="18" a="1"/>
  <c r="H3" i="18" s="1"/>
  <c r="I3" i="18" a="1"/>
  <c r="I3" i="18" s="1"/>
  <c r="J3" i="18" a="1"/>
  <c r="J3" i="18" s="1"/>
  <c r="K3" i="18" a="1"/>
  <c r="K3" i="18"/>
  <c r="L3" i="18" a="1"/>
  <c r="L3" i="18" s="1"/>
  <c r="M3" i="18" a="1"/>
  <c r="M3" i="18" s="1"/>
  <c r="F4" i="18" a="1"/>
  <c r="F4" i="18" s="1"/>
  <c r="G4" i="18" a="1"/>
  <c r="G4" i="18" s="1"/>
  <c r="H4" i="18" a="1"/>
  <c r="H4" i="18" s="1"/>
  <c r="I4" i="18" a="1"/>
  <c r="I4" i="18"/>
  <c r="J4" i="18" a="1"/>
  <c r="J4" i="18" s="1"/>
  <c r="K4" i="18" a="1"/>
  <c r="K4" i="18" s="1"/>
  <c r="L4" i="18" a="1"/>
  <c r="L4" i="18" s="1"/>
  <c r="M4" i="18" a="1"/>
  <c r="M4" i="18" s="1"/>
  <c r="F5" i="18" a="1"/>
  <c r="F5" i="18" s="1"/>
  <c r="G5" i="18" a="1"/>
  <c r="G5" i="18"/>
  <c r="H5" i="18" a="1"/>
  <c r="H5" i="18" s="1"/>
  <c r="I5" i="18" a="1"/>
  <c r="I5" i="18" s="1"/>
  <c r="J5" i="18" a="1"/>
  <c r="J5" i="18" s="1"/>
  <c r="K5" i="18" a="1"/>
  <c r="K5" i="18" s="1"/>
  <c r="L5" i="18" a="1"/>
  <c r="L5" i="18" s="1"/>
  <c r="M5" i="18" a="1"/>
  <c r="M5" i="18"/>
  <c r="F6" i="18" a="1"/>
  <c r="F6" i="18" s="1"/>
  <c r="G6" i="18" a="1"/>
  <c r="G6" i="18" s="1"/>
  <c r="H6" i="18" a="1"/>
  <c r="H6" i="18" s="1"/>
  <c r="I6" i="18" a="1"/>
  <c r="I6" i="18" s="1"/>
  <c r="J6" i="18" a="1"/>
  <c r="J6" i="18" s="1"/>
  <c r="K6" i="18" a="1"/>
  <c r="K6" i="18"/>
  <c r="L6" i="18" a="1"/>
  <c r="L6" i="18" s="1"/>
  <c r="M6" i="18" a="1"/>
  <c r="M6" i="18" s="1"/>
  <c r="F7" i="18" a="1"/>
  <c r="F7" i="18" s="1"/>
  <c r="G7" i="18" a="1"/>
  <c r="G7" i="18" s="1"/>
  <c r="H7" i="18" a="1"/>
  <c r="H7" i="18" s="1"/>
  <c r="I7" i="18" a="1"/>
  <c r="I7" i="18"/>
  <c r="J7" i="18" a="1"/>
  <c r="J7" i="18" s="1"/>
  <c r="K7" i="18" a="1"/>
  <c r="K7" i="18" s="1"/>
  <c r="L7" i="18" a="1"/>
  <c r="L7" i="18" s="1"/>
  <c r="M7" i="18" a="1"/>
  <c r="M7" i="18" s="1"/>
  <c r="F8" i="18" a="1"/>
  <c r="F8" i="18" s="1"/>
  <c r="G8" i="18" a="1"/>
  <c r="G8" i="18"/>
  <c r="H8" i="18" a="1"/>
  <c r="H8" i="18" s="1"/>
  <c r="I8" i="18" a="1"/>
  <c r="I8" i="18" s="1"/>
  <c r="J8" i="18" a="1"/>
  <c r="J8" i="18" s="1"/>
  <c r="K8" i="18" a="1"/>
  <c r="K8" i="18" s="1"/>
  <c r="L8" i="18" a="1"/>
  <c r="L8" i="18" s="1"/>
  <c r="M8" i="18" a="1"/>
  <c r="M8" i="18"/>
  <c r="F9" i="18" a="1"/>
  <c r="F9" i="18" s="1"/>
  <c r="G9" i="18" a="1"/>
  <c r="G9" i="18" s="1"/>
  <c r="H9" i="18" a="1"/>
  <c r="H9" i="18" s="1"/>
  <c r="I9" i="18" a="1"/>
  <c r="I9" i="18" s="1"/>
  <c r="J9" i="18" a="1"/>
  <c r="J9" i="18" s="1"/>
  <c r="K9" i="18" a="1"/>
  <c r="K9" i="18"/>
  <c r="L9" i="18" a="1"/>
  <c r="L9" i="18" s="1"/>
  <c r="M9" i="18" a="1"/>
  <c r="M9" i="18" s="1"/>
  <c r="F10" i="18" a="1"/>
  <c r="F10" i="18" s="1"/>
  <c r="G10" i="18" a="1"/>
  <c r="G10" i="18" s="1"/>
  <c r="H10" i="18" a="1"/>
  <c r="H10" i="18" s="1"/>
  <c r="I10" i="18" a="1"/>
  <c r="I10" i="18"/>
  <c r="J10" i="18" a="1"/>
  <c r="J10" i="18" s="1"/>
  <c r="K10" i="18" a="1"/>
  <c r="K10" i="18" s="1"/>
  <c r="L10" i="18" a="1"/>
  <c r="L10" i="18" s="1"/>
  <c r="M10" i="18" a="1"/>
  <c r="M10" i="18" s="1"/>
  <c r="F11" i="18" a="1"/>
  <c r="F11" i="18" s="1"/>
  <c r="G11" i="18" a="1"/>
  <c r="G11" i="18"/>
  <c r="H11" i="18" a="1"/>
  <c r="H11" i="18" s="1"/>
  <c r="I11" i="18" a="1"/>
  <c r="I11" i="18" s="1"/>
  <c r="J11" i="18" a="1"/>
  <c r="J11" i="18" s="1"/>
  <c r="K11" i="18" a="1"/>
  <c r="K11" i="18" s="1"/>
  <c r="L11" i="18" a="1"/>
  <c r="L11" i="18" s="1"/>
  <c r="M11" i="18" a="1"/>
  <c r="M11" i="18"/>
  <c r="F12" i="18" a="1"/>
  <c r="F12" i="18" s="1"/>
  <c r="G12" i="18" a="1"/>
  <c r="G12" i="18" s="1"/>
  <c r="H12" i="18" a="1"/>
  <c r="H12" i="18" s="1"/>
  <c r="I12" i="18" a="1"/>
  <c r="I12" i="18" s="1"/>
  <c r="J12" i="18" a="1"/>
  <c r="J12" i="18" s="1"/>
  <c r="K12" i="18" a="1"/>
  <c r="K12" i="18"/>
  <c r="L12" i="18" a="1"/>
  <c r="L12" i="18" s="1"/>
  <c r="M12" i="18" a="1"/>
  <c r="M12" i="18" s="1"/>
  <c r="F13" i="18" a="1"/>
  <c r="F13" i="18" s="1"/>
  <c r="G13" i="18" a="1"/>
  <c r="G13" i="18" s="1"/>
  <c r="H13" i="18" a="1"/>
  <c r="H13" i="18" s="1"/>
  <c r="I13" i="18" a="1"/>
  <c r="I13" i="18"/>
  <c r="J13" i="18" a="1"/>
  <c r="J13" i="18" s="1"/>
  <c r="K13" i="18" a="1"/>
  <c r="K13" i="18" s="1"/>
  <c r="L13" i="18" a="1"/>
  <c r="L13" i="18" s="1"/>
  <c r="M13" i="18" a="1"/>
  <c r="M13" i="18" s="1"/>
  <c r="F14" i="18" a="1"/>
  <c r="F14" i="18" s="1"/>
  <c r="G14" i="18" a="1"/>
  <c r="G14" i="18"/>
  <c r="H14" i="18" a="1"/>
  <c r="H14" i="18" s="1"/>
  <c r="I14" i="18" a="1"/>
  <c r="I14" i="18" s="1"/>
  <c r="J14" i="18" a="1"/>
  <c r="J14" i="18" s="1"/>
  <c r="K14" i="18" a="1"/>
  <c r="K14" i="18" s="1"/>
  <c r="L14" i="18" a="1"/>
  <c r="L14" i="18" s="1"/>
  <c r="M14" i="18" a="1"/>
  <c r="M14" i="18"/>
  <c r="F15" i="18" a="1"/>
  <c r="F15" i="18" s="1"/>
  <c r="G15" i="18" a="1"/>
  <c r="G15" i="18" s="1"/>
  <c r="H15" i="18" a="1"/>
  <c r="H15" i="18" s="1"/>
  <c r="I15" i="18" a="1"/>
  <c r="I15" i="18" s="1"/>
  <c r="J15" i="18" a="1"/>
  <c r="J15" i="18" s="1"/>
  <c r="K15" i="18" a="1"/>
  <c r="K15" i="18"/>
  <c r="L15" i="18" a="1"/>
  <c r="L15" i="18" s="1"/>
  <c r="M15" i="18" a="1"/>
  <c r="M15" i="18" s="1"/>
  <c r="F16" i="18" a="1"/>
  <c r="F16" i="18" s="1"/>
  <c r="G16" i="18" a="1"/>
  <c r="G16" i="18" s="1"/>
  <c r="H16" i="18" a="1"/>
  <c r="H16" i="18" s="1"/>
  <c r="I16" i="18" a="1"/>
  <c r="I16" i="18"/>
  <c r="J16" i="18" a="1"/>
  <c r="J16" i="18" s="1"/>
  <c r="K16" i="18" a="1"/>
  <c r="K16" i="18" s="1"/>
  <c r="L16" i="18" a="1"/>
  <c r="L16" i="18" s="1"/>
  <c r="M16" i="18" a="1"/>
  <c r="M16" i="18" s="1"/>
  <c r="F17" i="18" a="1"/>
  <c r="F17" i="18" s="1"/>
  <c r="G17" i="18" a="1"/>
  <c r="G17" i="18"/>
  <c r="H17" i="18" a="1"/>
  <c r="H17" i="18" s="1"/>
  <c r="I17" i="18" a="1"/>
  <c r="I17" i="18" s="1"/>
  <c r="J17" i="18" a="1"/>
  <c r="J17" i="18" s="1"/>
  <c r="K17" i="18" a="1"/>
  <c r="K17" i="18" s="1"/>
  <c r="L17" i="18" a="1"/>
  <c r="L17" i="18" s="1"/>
  <c r="M17" i="18" a="1"/>
  <c r="M17" i="18"/>
  <c r="F18" i="18" a="1"/>
  <c r="F18" i="18" s="1"/>
  <c r="G18" i="18" a="1"/>
  <c r="G18" i="18" s="1"/>
  <c r="H18" i="18" a="1"/>
  <c r="H18" i="18" s="1"/>
  <c r="I18" i="18" a="1"/>
  <c r="I18" i="18" s="1"/>
  <c r="J18" i="18" a="1"/>
  <c r="J18" i="18" s="1"/>
  <c r="K18" i="18" a="1"/>
  <c r="K18" i="18"/>
  <c r="L18" i="18" a="1"/>
  <c r="L18" i="18" s="1"/>
  <c r="M18" i="18" a="1"/>
  <c r="M18" i="18" s="1"/>
  <c r="F19" i="18" a="1"/>
  <c r="F19" i="18" s="1"/>
  <c r="G19" i="18" a="1"/>
  <c r="G19" i="18" s="1"/>
  <c r="H19" i="18" a="1"/>
  <c r="H19" i="18" s="1"/>
  <c r="I19" i="18" a="1"/>
  <c r="I19" i="18"/>
  <c r="J19" i="18" a="1"/>
  <c r="J19" i="18" s="1"/>
  <c r="K19" i="18" a="1"/>
  <c r="K19" i="18" s="1"/>
  <c r="L19" i="18" a="1"/>
  <c r="L19" i="18" s="1"/>
  <c r="M19" i="18" a="1"/>
  <c r="M19" i="18" s="1"/>
  <c r="F20" i="18" a="1"/>
  <c r="F20" i="18" s="1"/>
  <c r="G20" i="18" a="1"/>
  <c r="G20" i="18"/>
  <c r="H20" i="18" a="1"/>
  <c r="H20" i="18" s="1"/>
  <c r="I20" i="18" a="1"/>
  <c r="I20" i="18" s="1"/>
  <c r="J20" i="18" a="1"/>
  <c r="J20" i="18" s="1"/>
  <c r="K20" i="18" a="1"/>
  <c r="K20" i="18" s="1"/>
  <c r="L20" i="18" a="1"/>
  <c r="L20" i="18" s="1"/>
  <c r="M20" i="18" a="1"/>
  <c r="M20" i="18"/>
  <c r="F21" i="18" a="1"/>
  <c r="F21" i="18" s="1"/>
  <c r="G21" i="18" a="1"/>
  <c r="G21" i="18" s="1"/>
  <c r="H21" i="18" a="1"/>
  <c r="H21" i="18" s="1"/>
  <c r="I21" i="18" a="1"/>
  <c r="I21" i="18" s="1"/>
  <c r="J21" i="18" a="1"/>
  <c r="J21" i="18" s="1"/>
  <c r="K21" i="18" a="1"/>
  <c r="K21" i="18" s="1"/>
  <c r="L21" i="18" a="1"/>
  <c r="L21" i="18" s="1"/>
  <c r="M21" i="18" a="1"/>
  <c r="M21" i="18" s="1"/>
  <c r="F22" i="18" a="1"/>
  <c r="F22" i="18" s="1"/>
  <c r="G22" i="18" a="1"/>
  <c r="G22" i="18" s="1"/>
  <c r="H22" i="18" a="1"/>
  <c r="H22" i="18" s="1"/>
  <c r="I22" i="18" a="1"/>
  <c r="I22" i="18" s="1"/>
  <c r="J22" i="18" a="1"/>
  <c r="J22" i="18" s="1"/>
  <c r="K22" i="18" a="1"/>
  <c r="K22" i="18" s="1"/>
  <c r="L22" i="18" a="1"/>
  <c r="L22" i="18" s="1"/>
  <c r="M22" i="18" a="1"/>
  <c r="M22" i="18" s="1"/>
  <c r="F23" i="18" a="1"/>
  <c r="F23" i="18" s="1"/>
  <c r="G23" i="18" a="1"/>
  <c r="G23" i="18" s="1"/>
  <c r="H23" i="18" a="1"/>
  <c r="H23" i="18" s="1"/>
  <c r="I23" i="18" a="1"/>
  <c r="I23" i="18" s="1"/>
  <c r="J23" i="18" a="1"/>
  <c r="J23" i="18" s="1"/>
  <c r="K23" i="18" a="1"/>
  <c r="K23" i="18" s="1"/>
  <c r="L23" i="18" a="1"/>
  <c r="L23" i="18" s="1"/>
  <c r="M23" i="18" a="1"/>
  <c r="M23" i="18" s="1"/>
  <c r="F24" i="18" a="1"/>
  <c r="F24" i="18" s="1"/>
  <c r="G24" i="18" a="1"/>
  <c r="G24" i="18" s="1"/>
  <c r="H24" i="18" a="1"/>
  <c r="H24" i="18" s="1"/>
  <c r="I24" i="18" a="1"/>
  <c r="I24" i="18" s="1"/>
  <c r="J24" i="18" a="1"/>
  <c r="J24" i="18" s="1"/>
  <c r="K24" i="18" a="1"/>
  <c r="K24" i="18" s="1"/>
  <c r="L24" i="18" a="1"/>
  <c r="L24" i="18" s="1"/>
  <c r="M24" i="18" a="1"/>
  <c r="M24" i="18" s="1"/>
  <c r="F25" i="18" a="1"/>
  <c r="F25" i="18" s="1"/>
  <c r="G25" i="18" a="1"/>
  <c r="G25" i="18" s="1"/>
  <c r="H25" i="18" a="1"/>
  <c r="H25" i="18" s="1"/>
  <c r="I25" i="18" a="1"/>
  <c r="I25" i="18" s="1"/>
  <c r="J25" i="18" a="1"/>
  <c r="J25" i="18" s="1"/>
  <c r="K25" i="18" a="1"/>
  <c r="K25" i="18" s="1"/>
  <c r="L25" i="18" a="1"/>
  <c r="L25" i="18" s="1"/>
  <c r="M25" i="18" a="1"/>
  <c r="M25" i="18" s="1"/>
  <c r="F26" i="18" a="1"/>
  <c r="F26" i="18" s="1"/>
  <c r="G26" i="18" a="1"/>
  <c r="G26" i="18" s="1"/>
  <c r="H26" i="18" a="1"/>
  <c r="H26" i="18" s="1"/>
  <c r="I26" i="18" a="1"/>
  <c r="I26" i="18" s="1"/>
  <c r="J26" i="18" a="1"/>
  <c r="J26" i="18" s="1"/>
  <c r="K26" i="18" a="1"/>
  <c r="K26" i="18" s="1"/>
  <c r="L26" i="18" a="1"/>
  <c r="L26" i="18" s="1"/>
  <c r="M26" i="18" a="1"/>
  <c r="M26" i="18" s="1"/>
  <c r="F27" i="18" a="1"/>
  <c r="F27" i="18" s="1"/>
  <c r="G27" i="18" a="1"/>
  <c r="G27" i="18" s="1"/>
  <c r="H27" i="18" a="1"/>
  <c r="H27" i="18" s="1"/>
  <c r="I27" i="18" a="1"/>
  <c r="I27" i="18" s="1"/>
  <c r="J27" i="18" a="1"/>
  <c r="J27" i="18" s="1"/>
  <c r="K27" i="18" a="1"/>
  <c r="K27" i="18" s="1"/>
  <c r="L27" i="18" a="1"/>
  <c r="L27" i="18" s="1"/>
  <c r="M27" i="18" a="1"/>
  <c r="M27" i="18" s="1"/>
  <c r="F28" i="18" a="1"/>
  <c r="F28" i="18" s="1"/>
  <c r="G28" i="18" a="1"/>
  <c r="G28" i="18" s="1"/>
  <c r="H28" i="18" a="1"/>
  <c r="H28" i="18" s="1"/>
  <c r="I28" i="18" a="1"/>
  <c r="I28" i="18" s="1"/>
  <c r="J28" i="18" a="1"/>
  <c r="J28" i="18" s="1"/>
  <c r="K28" i="18" a="1"/>
  <c r="K28" i="18" s="1"/>
  <c r="L28" i="18" a="1"/>
  <c r="L28" i="18" s="1"/>
  <c r="M28" i="18" a="1"/>
  <c r="M28" i="18" s="1"/>
  <c r="F29" i="18" a="1"/>
  <c r="F29" i="18" s="1"/>
  <c r="G29" i="18" a="1"/>
  <c r="G29" i="18" s="1"/>
  <c r="H29" i="18" a="1"/>
  <c r="H29" i="18" s="1"/>
  <c r="I29" i="18" a="1"/>
  <c r="I29" i="18" s="1"/>
  <c r="J29" i="18" a="1"/>
  <c r="J29" i="18" s="1"/>
  <c r="K29" i="18" a="1"/>
  <c r="K29" i="18" s="1"/>
  <c r="L29" i="18" a="1"/>
  <c r="L29" i="18" s="1"/>
  <c r="M29" i="18" a="1"/>
  <c r="M29" i="18" s="1"/>
  <c r="F30" i="18" a="1"/>
  <c r="F30" i="18" s="1"/>
  <c r="G30" i="18" a="1"/>
  <c r="G30" i="18" s="1"/>
  <c r="H30" i="18" a="1"/>
  <c r="H30" i="18" s="1"/>
  <c r="I30" i="18" a="1"/>
  <c r="I30" i="18" s="1"/>
  <c r="J30" i="18" a="1"/>
  <c r="J30" i="18" s="1"/>
  <c r="K30" i="18" a="1"/>
  <c r="K30" i="18" s="1"/>
  <c r="L30" i="18" a="1"/>
  <c r="L30" i="18" s="1"/>
  <c r="M30" i="18" a="1"/>
  <c r="M30" i="18" s="1"/>
  <c r="F31" i="18" a="1"/>
  <c r="F31" i="18" s="1"/>
  <c r="G31" i="18" a="1"/>
  <c r="G31" i="18" s="1"/>
  <c r="H31" i="18" a="1"/>
  <c r="H31" i="18" s="1"/>
  <c r="I31" i="18" a="1"/>
  <c r="I31" i="18" s="1"/>
  <c r="J31" i="18" a="1"/>
  <c r="J31" i="18" s="1"/>
  <c r="K31" i="18" a="1"/>
  <c r="K31" i="18" s="1"/>
  <c r="L31" i="18" a="1"/>
  <c r="L31" i="18" s="1"/>
  <c r="M31" i="18" a="1"/>
  <c r="M31" i="18" s="1"/>
  <c r="F32" i="18" a="1"/>
  <c r="F32" i="18" s="1"/>
  <c r="G32" i="18" a="1"/>
  <c r="G32" i="18" s="1"/>
  <c r="H32" i="18" a="1"/>
  <c r="H32" i="18" s="1"/>
  <c r="I32" i="18" a="1"/>
  <c r="I32" i="18" s="1"/>
  <c r="J32" i="18" a="1"/>
  <c r="J32" i="18" s="1"/>
  <c r="K32" i="18" a="1"/>
  <c r="K32" i="18" s="1"/>
  <c r="L32" i="18" a="1"/>
  <c r="L32" i="18" s="1"/>
  <c r="M32" i="18" a="1"/>
  <c r="M32" i="18" s="1"/>
  <c r="F33" i="18" a="1"/>
  <c r="F33" i="18" s="1"/>
  <c r="G33" i="18" a="1"/>
  <c r="G33" i="18" s="1"/>
  <c r="H33" i="18" a="1"/>
  <c r="H33" i="18" s="1"/>
  <c r="I33" i="18" a="1"/>
  <c r="I33" i="18" s="1"/>
  <c r="J33" i="18" a="1"/>
  <c r="J33" i="18" s="1"/>
  <c r="K33" i="18" a="1"/>
  <c r="K33" i="18" s="1"/>
  <c r="L33" i="18" a="1"/>
  <c r="L33" i="18" s="1"/>
  <c r="M33" i="18" a="1"/>
  <c r="M33" i="18" s="1"/>
  <c r="F34" i="18" a="1"/>
  <c r="F34" i="18" s="1"/>
  <c r="G34" i="18" a="1"/>
  <c r="G34" i="18" s="1"/>
  <c r="H34" i="18" a="1"/>
  <c r="H34" i="18" s="1"/>
  <c r="I34" i="18" a="1"/>
  <c r="I34" i="18" s="1"/>
  <c r="J34" i="18" a="1"/>
  <c r="J34" i="18" s="1"/>
  <c r="K34" i="18" a="1"/>
  <c r="K34" i="18" s="1"/>
  <c r="L34" i="18" a="1"/>
  <c r="L34" i="18" s="1"/>
  <c r="M34" i="18" a="1"/>
  <c r="M34" i="18" s="1"/>
  <c r="F35" i="18" a="1"/>
  <c r="F35" i="18" s="1"/>
  <c r="G35" i="18" a="1"/>
  <c r="G35" i="18" s="1"/>
  <c r="H35" i="18" a="1"/>
  <c r="H35" i="18" s="1"/>
  <c r="I35" i="18" a="1"/>
  <c r="I35" i="18" s="1"/>
  <c r="J35" i="18" a="1"/>
  <c r="J35" i="18" s="1"/>
  <c r="K35" i="18" a="1"/>
  <c r="K35" i="18" s="1"/>
  <c r="L35" i="18" a="1"/>
  <c r="L35" i="18" s="1"/>
  <c r="M35" i="18" a="1"/>
  <c r="M35" i="18" s="1"/>
  <c r="F36" i="18" a="1"/>
  <c r="F36" i="18" s="1"/>
  <c r="G36" i="18" a="1"/>
  <c r="G36" i="18" s="1"/>
  <c r="H36" i="18" a="1"/>
  <c r="H36" i="18" s="1"/>
  <c r="I36" i="18" a="1"/>
  <c r="I36" i="18" s="1"/>
  <c r="J36" i="18" a="1"/>
  <c r="J36" i="18" s="1"/>
  <c r="K36" i="18" a="1"/>
  <c r="K36" i="18" s="1"/>
  <c r="L36" i="18" a="1"/>
  <c r="L36" i="18" s="1"/>
  <c r="M36" i="18" a="1"/>
  <c r="M36" i="18" s="1"/>
  <c r="F37" i="18" a="1"/>
  <c r="F37" i="18" s="1"/>
  <c r="G37" i="18" a="1"/>
  <c r="G37" i="18" s="1"/>
  <c r="H37" i="18" a="1"/>
  <c r="H37" i="18" s="1"/>
  <c r="I37" i="18" a="1"/>
  <c r="I37" i="18" s="1"/>
  <c r="J37" i="18" a="1"/>
  <c r="J37" i="18" s="1"/>
  <c r="K37" i="18" a="1"/>
  <c r="K37" i="18" s="1"/>
  <c r="L37" i="18" a="1"/>
  <c r="L37" i="18" s="1"/>
  <c r="M37" i="18" a="1"/>
  <c r="M37" i="18" s="1"/>
  <c r="F38" i="18" a="1"/>
  <c r="F38" i="18" s="1"/>
  <c r="G38" i="18" a="1"/>
  <c r="G38" i="18" s="1"/>
  <c r="H38" i="18" a="1"/>
  <c r="H38" i="18" s="1"/>
  <c r="I38" i="18" a="1"/>
  <c r="I38" i="18" s="1"/>
  <c r="J38" i="18" a="1"/>
  <c r="J38" i="18" s="1"/>
  <c r="K38" i="18" a="1"/>
  <c r="K38" i="18" s="1"/>
  <c r="L38" i="18" a="1"/>
  <c r="L38" i="18" s="1"/>
  <c r="M38" i="18" a="1"/>
  <c r="M38" i="18" s="1"/>
  <c r="G2" i="18" a="1"/>
  <c r="G2" i="18" s="1"/>
  <c r="H2" i="18" a="1"/>
  <c r="H2" i="18" s="1"/>
  <c r="I2" i="18" a="1"/>
  <c r="I2" i="18" s="1"/>
  <c r="J2" i="18" a="1"/>
  <c r="J2" i="18" s="1"/>
  <c r="K2" i="18" a="1"/>
  <c r="K2" i="18" s="1"/>
  <c r="L2" i="18" a="1"/>
  <c r="L2" i="18" s="1"/>
  <c r="M2" i="18" a="1"/>
  <c r="M2" i="18" s="1"/>
  <c r="F2" i="18" a="1"/>
  <c r="F2" i="18" s="1"/>
  <c r="E2" i="18" a="1"/>
  <c r="E2" i="18" s="1"/>
  <c r="A209" i="18"/>
  <c r="A210" i="18"/>
  <c r="A211" i="18"/>
  <c r="A212" i="18"/>
  <c r="A213" i="18"/>
  <c r="A214" i="18"/>
  <c r="A215" i="18"/>
  <c r="A216" i="18"/>
  <c r="A217" i="18"/>
  <c r="A218" i="18"/>
  <c r="A219" i="18"/>
  <c r="A220" i="18"/>
  <c r="A221" i="18"/>
  <c r="A222" i="18"/>
  <c r="A223" i="18"/>
  <c r="A224" i="18"/>
  <c r="A225" i="18"/>
  <c r="A226" i="18"/>
  <c r="A227" i="18"/>
  <c r="A228" i="18"/>
  <c r="A229" i="18"/>
  <c r="A230" i="18"/>
  <c r="A231" i="18"/>
  <c r="A232" i="18"/>
  <c r="A233" i="18"/>
  <c r="A234" i="18"/>
  <c r="A235" i="18"/>
  <c r="A236" i="18"/>
  <c r="A237" i="18"/>
  <c r="A238" i="18"/>
  <c r="A239" i="18"/>
  <c r="A240" i="18"/>
  <c r="A241" i="18"/>
  <c r="A242" i="18"/>
  <c r="A243" i="18"/>
  <c r="A244" i="18"/>
  <c r="A245" i="18"/>
  <c r="A246" i="18"/>
  <c r="A247" i="18"/>
  <c r="A248" i="18"/>
  <c r="A249" i="18"/>
  <c r="A250" i="18"/>
  <c r="A251" i="18"/>
  <c r="A252" i="18"/>
  <c r="A253" i="18"/>
  <c r="A254" i="18"/>
  <c r="A255" i="18"/>
  <c r="A256" i="18"/>
  <c r="A257" i="18"/>
  <c r="A258" i="18"/>
  <c r="A259" i="18"/>
  <c r="A260" i="18"/>
  <c r="A261" i="18"/>
  <c r="A262" i="18"/>
  <c r="A263" i="18"/>
  <c r="A264" i="18"/>
  <c r="A265" i="18"/>
  <c r="A266" i="18"/>
  <c r="A267" i="18"/>
  <c r="A268" i="18"/>
  <c r="A269" i="18"/>
  <c r="A270" i="18"/>
  <c r="A271" i="18"/>
  <c r="A272" i="18"/>
  <c r="A273" i="18"/>
  <c r="A274" i="18"/>
  <c r="A275" i="18"/>
  <c r="A276" i="18"/>
  <c r="A277" i="18"/>
  <c r="A278" i="18"/>
  <c r="A279" i="18"/>
  <c r="A280" i="18"/>
  <c r="A281" i="18"/>
  <c r="A282" i="18"/>
  <c r="A283" i="18"/>
  <c r="A284" i="18"/>
  <c r="A285" i="18"/>
  <c r="A286" i="18"/>
  <c r="A287" i="18"/>
  <c r="A288" i="18"/>
  <c r="A289" i="18"/>
  <c r="A290" i="18"/>
  <c r="A291" i="18"/>
  <c r="A292" i="18"/>
  <c r="A293" i="18"/>
  <c r="A294" i="18"/>
  <c r="A295" i="18"/>
  <c r="A296" i="18"/>
  <c r="A297" i="18"/>
  <c r="A298" i="18"/>
  <c r="A299" i="18"/>
  <c r="A300" i="18"/>
  <c r="A301" i="18"/>
  <c r="A302" i="18"/>
  <c r="A303" i="18"/>
  <c r="A304" i="18"/>
  <c r="A305" i="18"/>
  <c r="A306" i="18"/>
  <c r="A307" i="18"/>
  <c r="A308" i="18"/>
  <c r="A309" i="18"/>
  <c r="A310" i="18"/>
  <c r="A311" i="18"/>
  <c r="A312" i="18"/>
  <c r="A313" i="18"/>
  <c r="A314" i="18"/>
  <c r="A315" i="18"/>
  <c r="A316" i="18"/>
  <c r="A317" i="18"/>
  <c r="A318" i="18"/>
  <c r="A319" i="18"/>
  <c r="A320" i="18"/>
  <c r="A321" i="18"/>
  <c r="A322" i="18"/>
  <c r="A323" i="18"/>
  <c r="A208" i="18"/>
  <c r="A199" i="18"/>
  <c r="A200" i="18"/>
  <c r="A201" i="18"/>
  <c r="A202" i="18"/>
  <c r="A203" i="18"/>
  <c r="A204" i="18"/>
  <c r="A205" i="18"/>
  <c r="A206" i="18"/>
  <c r="A207" i="18"/>
  <c r="A191" i="18"/>
  <c r="A192" i="18"/>
  <c r="A193" i="18"/>
  <c r="A194" i="18"/>
  <c r="A195" i="18"/>
  <c r="A196" i="18"/>
  <c r="A197" i="18"/>
  <c r="A198" i="18"/>
  <c r="A171" i="18"/>
  <c r="A172" i="18"/>
  <c r="A173" i="18"/>
  <c r="A174" i="18"/>
  <c r="A175" i="18"/>
  <c r="A176" i="18"/>
  <c r="A177" i="18"/>
  <c r="A178" i="18"/>
  <c r="A179" i="18"/>
  <c r="A180" i="18"/>
  <c r="A181" i="18"/>
  <c r="A182" i="18"/>
  <c r="A183" i="18"/>
  <c r="A184" i="18"/>
  <c r="A185" i="18"/>
  <c r="A186" i="18"/>
  <c r="A187" i="18"/>
  <c r="A188" i="18"/>
  <c r="A189" i="18"/>
  <c r="A190" i="18"/>
  <c r="A90" i="18"/>
  <c r="A91" i="18"/>
  <c r="A92" i="18"/>
  <c r="A93" i="18"/>
  <c r="A94" i="18"/>
  <c r="A95" i="18"/>
  <c r="A96" i="18"/>
  <c r="A97" i="18"/>
  <c r="A98" i="18"/>
  <c r="A99" i="18"/>
  <c r="A100" i="18"/>
  <c r="A101" i="18"/>
  <c r="A102" i="18"/>
  <c r="A103" i="18"/>
  <c r="A104" i="18"/>
  <c r="A105" i="18"/>
  <c r="A106" i="18"/>
  <c r="A107" i="18"/>
  <c r="A108" i="18"/>
  <c r="A109" i="18"/>
  <c r="A110" i="18"/>
  <c r="A111" i="18"/>
  <c r="A112" i="18"/>
  <c r="A113" i="18"/>
  <c r="A114" i="18"/>
  <c r="A115" i="18"/>
  <c r="A116" i="18"/>
  <c r="A117" i="18"/>
  <c r="A118" i="18"/>
  <c r="A119" i="18"/>
  <c r="A120" i="18"/>
  <c r="A121" i="18"/>
  <c r="A122" i="18"/>
  <c r="A123" i="18"/>
  <c r="A124" i="18"/>
  <c r="A125" i="18"/>
  <c r="A126" i="18"/>
  <c r="A127" i="18"/>
  <c r="A128" i="18"/>
  <c r="A129" i="18"/>
  <c r="A130" i="18"/>
  <c r="A131" i="18"/>
  <c r="A132" i="18"/>
  <c r="A133" i="18"/>
  <c r="A134" i="18"/>
  <c r="A135" i="18"/>
  <c r="A136" i="18"/>
  <c r="A137" i="18"/>
  <c r="A138" i="18"/>
  <c r="A139" i="18"/>
  <c r="A140" i="18"/>
  <c r="A141" i="18"/>
  <c r="A142" i="18"/>
  <c r="A143" i="18"/>
  <c r="A144" i="18"/>
  <c r="A145" i="18"/>
  <c r="A146" i="18"/>
  <c r="A147" i="18"/>
  <c r="A148" i="18"/>
  <c r="A149" i="18"/>
  <c r="A150" i="18"/>
  <c r="A151" i="18"/>
  <c r="A152" i="18"/>
  <c r="A153" i="18"/>
  <c r="A154" i="18"/>
  <c r="A155" i="18"/>
  <c r="A156" i="18"/>
  <c r="A157" i="18"/>
  <c r="A158" i="18"/>
  <c r="A159" i="18"/>
  <c r="A160" i="18"/>
  <c r="A161" i="18"/>
  <c r="A162" i="18"/>
  <c r="A163" i="18"/>
  <c r="A164" i="18"/>
  <c r="A165" i="18"/>
  <c r="A166" i="18"/>
  <c r="A167" i="18"/>
  <c r="A168" i="18"/>
  <c r="A169" i="18"/>
  <c r="A170" i="18"/>
  <c r="A3" i="18"/>
  <c r="A4" i="18"/>
  <c r="A5" i="18"/>
  <c r="A6" i="18"/>
  <c r="A7" i="18"/>
  <c r="A8" i="18"/>
  <c r="A9" i="18"/>
  <c r="A10" i="18"/>
  <c r="A11" i="18"/>
  <c r="A12" i="18"/>
  <c r="A13" i="18"/>
  <c r="A14" i="18"/>
  <c r="A15" i="18"/>
  <c r="A16" i="18"/>
  <c r="A17" i="18"/>
  <c r="A18" i="18"/>
  <c r="A19" i="18"/>
  <c r="A20" i="18"/>
  <c r="A21" i="18"/>
  <c r="A22" i="18"/>
  <c r="A23" i="18"/>
  <c r="A24" i="18"/>
  <c r="A25" i="18"/>
  <c r="A26" i="18"/>
  <c r="A27" i="18"/>
  <c r="A28" i="18"/>
  <c r="A29" i="18"/>
  <c r="A30" i="18"/>
  <c r="A31" i="18"/>
  <c r="A32" i="18"/>
  <c r="A33" i="18"/>
  <c r="A34" i="18"/>
  <c r="A35" i="18"/>
  <c r="A36" i="18"/>
  <c r="A37" i="18"/>
  <c r="A38" i="18"/>
  <c r="A39" i="18"/>
  <c r="A40" i="18"/>
  <c r="A41" i="18"/>
  <c r="A42" i="18"/>
  <c r="A43" i="18"/>
  <c r="A44" i="18"/>
  <c r="A45" i="18"/>
  <c r="A46" i="18"/>
  <c r="A47" i="18"/>
  <c r="A48" i="18"/>
  <c r="A49" i="18"/>
  <c r="A50" i="18"/>
  <c r="A51" i="18"/>
  <c r="A52" i="18"/>
  <c r="A53" i="18"/>
  <c r="A54" i="18"/>
  <c r="A55" i="18"/>
  <c r="A56" i="18"/>
  <c r="A57" i="18"/>
  <c r="A58" i="18"/>
  <c r="A59" i="18"/>
  <c r="A60" i="18"/>
  <c r="A61" i="18"/>
  <c r="A62" i="18"/>
  <c r="A63" i="18"/>
  <c r="A64" i="18"/>
  <c r="A65" i="18"/>
  <c r="A66" i="18"/>
  <c r="A67" i="18"/>
  <c r="A68" i="18"/>
  <c r="A69" i="18"/>
  <c r="A70" i="18"/>
  <c r="A71" i="18"/>
  <c r="A72" i="18"/>
  <c r="A73" i="18"/>
  <c r="A74" i="18"/>
  <c r="A75" i="18"/>
  <c r="A76" i="18"/>
  <c r="A77" i="18"/>
  <c r="A78" i="18"/>
  <c r="A79" i="18"/>
  <c r="A80" i="18"/>
  <c r="A81" i="18"/>
  <c r="A82" i="18"/>
  <c r="A83" i="18"/>
  <c r="A84" i="18"/>
  <c r="A85" i="18"/>
  <c r="A86" i="18"/>
  <c r="A87" i="18"/>
  <c r="A88" i="18"/>
  <c r="A89" i="18"/>
  <c r="A2" i="18"/>
  <c r="H311" i="17"/>
  <c r="I311" i="17"/>
  <c r="J311" i="17"/>
  <c r="K311" i="17"/>
  <c r="L311" i="17"/>
  <c r="M311" i="17"/>
  <c r="N311" i="17"/>
  <c r="O311" i="17"/>
  <c r="P311" i="17"/>
  <c r="Q311" i="17"/>
  <c r="R311" i="17"/>
  <c r="S311" i="17"/>
  <c r="T311" i="17"/>
  <c r="U311" i="17"/>
  <c r="V311" i="17"/>
  <c r="W311" i="17"/>
  <c r="X311" i="17"/>
  <c r="Y311" i="17"/>
  <c r="Z311" i="17"/>
  <c r="AA311" i="17"/>
  <c r="AB311" i="17"/>
  <c r="AC311" i="17"/>
  <c r="AD311" i="17"/>
  <c r="H312" i="17"/>
  <c r="I312" i="17"/>
  <c r="J312" i="17"/>
  <c r="K312" i="17"/>
  <c r="L312" i="17"/>
  <c r="M312" i="17"/>
  <c r="N312" i="17"/>
  <c r="O312" i="17"/>
  <c r="P312" i="17"/>
  <c r="Q312" i="17"/>
  <c r="R312" i="17"/>
  <c r="S312" i="17"/>
  <c r="T312" i="17"/>
  <c r="U312" i="17"/>
  <c r="V312" i="17"/>
  <c r="W312" i="17"/>
  <c r="X312" i="17"/>
  <c r="Y312" i="17"/>
  <c r="Z312" i="17"/>
  <c r="AA312" i="17"/>
  <c r="AB312" i="17"/>
  <c r="AC312" i="17"/>
  <c r="AD312" i="17"/>
  <c r="G312" i="17"/>
  <c r="G38" i="17"/>
  <c r="G311" i="17"/>
  <c r="AD232" i="17" a="1"/>
  <c r="AD232" i="17" s="1"/>
  <c r="AC232" i="17" a="1"/>
  <c r="AC232" i="17" s="1"/>
  <c r="AB232" i="17" a="1"/>
  <c r="AB232" i="17" s="1"/>
  <c r="AA232" i="17" a="1"/>
  <c r="AA232" i="17" s="1"/>
  <c r="Z232" i="17" a="1"/>
  <c r="Z232" i="17" s="1"/>
  <c r="Y232" i="17" a="1"/>
  <c r="Y232" i="17" s="1"/>
  <c r="X232" i="17" a="1"/>
  <c r="X232" i="17" s="1"/>
  <c r="W232" i="17" a="1"/>
  <c r="W232" i="17" s="1"/>
  <c r="V232" i="17" a="1"/>
  <c r="V232" i="17" s="1"/>
  <c r="U232" i="17" a="1"/>
  <c r="U232" i="17" s="1"/>
  <c r="T232" i="17" a="1"/>
  <c r="T232" i="17" s="1"/>
  <c r="S232" i="17" a="1"/>
  <c r="S232" i="17" s="1"/>
  <c r="R232" i="17" a="1"/>
  <c r="R232" i="17" s="1"/>
  <c r="Q232" i="17" a="1"/>
  <c r="Q232" i="17" s="1"/>
  <c r="P232" i="17" a="1"/>
  <c r="P232" i="17" s="1"/>
  <c r="O232" i="17" a="1"/>
  <c r="O232" i="17" s="1"/>
  <c r="N232" i="17" a="1"/>
  <c r="N232" i="17" s="1"/>
  <c r="M232" i="17" a="1"/>
  <c r="M232" i="17" s="1"/>
  <c r="L232" i="17" a="1"/>
  <c r="L232" i="17" s="1"/>
  <c r="K232" i="17" a="1"/>
  <c r="K232" i="17" s="1"/>
  <c r="J232" i="17" a="1"/>
  <c r="J232" i="17" s="1"/>
  <c r="I232" i="17" a="1"/>
  <c r="I232" i="17" s="1"/>
  <c r="H232" i="17" a="1"/>
  <c r="H232" i="17" s="1"/>
  <c r="G232" i="17" a="1"/>
  <c r="G232" i="17" s="1"/>
  <c r="F233" i="17"/>
  <c r="F234" i="17"/>
  <c r="F235" i="17"/>
  <c r="F236" i="17"/>
  <c r="F237" i="17"/>
  <c r="F238" i="17"/>
  <c r="F239" i="17"/>
  <c r="F240" i="17"/>
  <c r="F241" i="17"/>
  <c r="F242" i="17"/>
  <c r="F243" i="17"/>
  <c r="F244" i="17"/>
  <c r="F245" i="17"/>
  <c r="F246" i="17"/>
  <c r="F247" i="17"/>
  <c r="F248" i="17"/>
  <c r="F249" i="17"/>
  <c r="F250" i="17"/>
  <c r="F251" i="17"/>
  <c r="F252" i="17"/>
  <c r="F253" i="17"/>
  <c r="F254" i="17"/>
  <c r="F255" i="17"/>
  <c r="F256" i="17"/>
  <c r="F257" i="17"/>
  <c r="F258" i="17"/>
  <c r="F259" i="17"/>
  <c r="F260" i="17"/>
  <c r="F261" i="17"/>
  <c r="F262" i="17"/>
  <c r="F263" i="17"/>
  <c r="F264" i="17"/>
  <c r="F265" i="17"/>
  <c r="F266" i="17"/>
  <c r="F267" i="17"/>
  <c r="F268" i="17"/>
  <c r="F269" i="17"/>
  <c r="F270" i="17"/>
  <c r="F271" i="17"/>
  <c r="F272" i="17"/>
  <c r="F273" i="17"/>
  <c r="F274" i="17"/>
  <c r="F275" i="17"/>
  <c r="F276" i="17"/>
  <c r="F277" i="17"/>
  <c r="F278" i="17"/>
  <c r="F279" i="17"/>
  <c r="F280" i="17"/>
  <c r="F281" i="17"/>
  <c r="F282" i="17"/>
  <c r="F283" i="17"/>
  <c r="F284" i="17"/>
  <c r="F285" i="17"/>
  <c r="F286" i="17"/>
  <c r="F287" i="17"/>
  <c r="F288" i="17"/>
  <c r="F289" i="17"/>
  <c r="F290" i="17"/>
  <c r="F291" i="17"/>
  <c r="F232" i="17"/>
  <c r="A233" i="17"/>
  <c r="A234" i="17"/>
  <c r="A235" i="17"/>
  <c r="A236" i="17"/>
  <c r="A237" i="17"/>
  <c r="A238" i="17"/>
  <c r="A239" i="17"/>
  <c r="A240" i="17"/>
  <c r="A241" i="17"/>
  <c r="A242" i="17"/>
  <c r="A243" i="17"/>
  <c r="A244" i="17"/>
  <c r="A245" i="17"/>
  <c r="A246" i="17"/>
  <c r="A247" i="17"/>
  <c r="A248" i="17"/>
  <c r="A249" i="17"/>
  <c r="A250" i="17"/>
  <c r="A251" i="17"/>
  <c r="A252" i="17"/>
  <c r="A253" i="17"/>
  <c r="A254" i="17"/>
  <c r="A255" i="17"/>
  <c r="A256" i="17"/>
  <c r="A257" i="17"/>
  <c r="A258" i="17"/>
  <c r="A259" i="17"/>
  <c r="A260" i="17"/>
  <c r="A261" i="17"/>
  <c r="A262" i="17"/>
  <c r="A263" i="17"/>
  <c r="A264" i="17"/>
  <c r="A265" i="17"/>
  <c r="A266" i="17"/>
  <c r="A267" i="17"/>
  <c r="A268" i="17"/>
  <c r="A269" i="17"/>
  <c r="A270" i="17"/>
  <c r="A271" i="17"/>
  <c r="A272" i="17"/>
  <c r="A273" i="17"/>
  <c r="A274" i="17"/>
  <c r="A275" i="17"/>
  <c r="A276" i="17"/>
  <c r="A277" i="17"/>
  <c r="A278" i="17"/>
  <c r="A279" i="17"/>
  <c r="A280" i="17"/>
  <c r="A281" i="17"/>
  <c r="A282" i="17"/>
  <c r="A283" i="17"/>
  <c r="A284" i="17"/>
  <c r="A285" i="17"/>
  <c r="A286" i="17"/>
  <c r="A287" i="17"/>
  <c r="A288" i="17"/>
  <c r="A289" i="17"/>
  <c r="A290" i="17"/>
  <c r="A291" i="17"/>
  <c r="A292" i="17"/>
  <c r="A293" i="17"/>
  <c r="A294" i="17"/>
  <c r="A295" i="17"/>
  <c r="A296" i="17"/>
  <c r="A297" i="17"/>
  <c r="A298" i="17"/>
  <c r="A299" i="17"/>
  <c r="A300" i="17"/>
  <c r="A301" i="17"/>
  <c r="A302" i="17"/>
  <c r="A303" i="17"/>
  <c r="A304" i="17"/>
  <c r="A305" i="17"/>
  <c r="A306" i="17"/>
  <c r="A307" i="17"/>
  <c r="A308" i="17"/>
  <c r="A309" i="17"/>
  <c r="A310" i="17"/>
  <c r="A311" i="17"/>
  <c r="A312" i="17"/>
  <c r="A313" i="17"/>
  <c r="A314" i="17"/>
  <c r="A315" i="17"/>
  <c r="A316" i="17"/>
  <c r="A317" i="17"/>
  <c r="A318" i="17"/>
  <c r="A319" i="17"/>
  <c r="A320" i="17"/>
  <c r="A321" i="17"/>
  <c r="A322" i="17"/>
  <c r="A323" i="17"/>
  <c r="A324" i="17"/>
  <c r="A325" i="17"/>
  <c r="A326" i="17"/>
  <c r="A327" i="17"/>
  <c r="A328" i="17"/>
  <c r="A329" i="17"/>
  <c r="A330" i="17"/>
  <c r="A331" i="17"/>
  <c r="A332" i="17"/>
  <c r="A333" i="17"/>
  <c r="A334" i="17"/>
  <c r="A335" i="17"/>
  <c r="A336" i="17"/>
  <c r="A337" i="17"/>
  <c r="A338" i="17"/>
  <c r="A339" i="17"/>
  <c r="A340" i="17"/>
  <c r="A341" i="17"/>
  <c r="A342" i="17"/>
  <c r="A343" i="17"/>
  <c r="A344" i="17"/>
  <c r="A345" i="17"/>
  <c r="A346" i="17"/>
  <c r="A347" i="17"/>
  <c r="A348" i="17"/>
  <c r="A349" i="17"/>
  <c r="A350" i="17"/>
  <c r="A351" i="17"/>
  <c r="A352" i="17"/>
  <c r="A353" i="17"/>
  <c r="A354" i="17"/>
  <c r="A355" i="17"/>
  <c r="A356" i="17"/>
  <c r="A357" i="17"/>
  <c r="A358" i="17"/>
  <c r="A359" i="17"/>
  <c r="A360" i="17"/>
  <c r="A361" i="17"/>
  <c r="A362" i="17"/>
  <c r="A363" i="17"/>
  <c r="A364" i="17"/>
  <c r="A365" i="17"/>
  <c r="A366" i="17"/>
  <c r="A367" i="17"/>
  <c r="A368" i="17"/>
  <c r="A369" i="17"/>
  <c r="A370" i="17"/>
  <c r="A371" i="17"/>
  <c r="A372" i="17"/>
  <c r="A373" i="17"/>
  <c r="A374" i="17"/>
  <c r="A375" i="17"/>
  <c r="A376" i="17"/>
  <c r="A377" i="17"/>
  <c r="A378" i="17"/>
  <c r="A379" i="17"/>
  <c r="A380" i="17"/>
  <c r="A381" i="17"/>
  <c r="A382" i="17"/>
  <c r="A383" i="17"/>
  <c r="A384" i="17"/>
  <c r="A385" i="17"/>
  <c r="A386" i="17"/>
  <c r="A387" i="17"/>
  <c r="A388" i="17"/>
  <c r="A389" i="17"/>
  <c r="A390" i="17"/>
  <c r="A391" i="17"/>
  <c r="A392" i="17"/>
  <c r="A393" i="17"/>
  <c r="A394" i="17"/>
  <c r="A395" i="17"/>
  <c r="A396" i="17"/>
  <c r="A397" i="17"/>
  <c r="A398" i="17"/>
  <c r="A399" i="17"/>
  <c r="A400" i="17"/>
  <c r="A401" i="17"/>
  <c r="A402" i="17"/>
  <c r="A403" i="17"/>
  <c r="A404" i="17"/>
  <c r="A405" i="17"/>
  <c r="A406" i="17"/>
  <c r="A407" i="17"/>
  <c r="A408" i="17"/>
  <c r="A409" i="17"/>
  <c r="A410" i="17"/>
  <c r="A411" i="17"/>
  <c r="A412" i="17"/>
  <c r="A413" i="17"/>
  <c r="A414" i="17"/>
  <c r="A415" i="17"/>
  <c r="A416" i="17"/>
  <c r="A417" i="17"/>
  <c r="A418" i="17"/>
  <c r="A419" i="17"/>
  <c r="A420" i="17"/>
  <c r="A421" i="17"/>
  <c r="A422" i="17"/>
  <c r="A423" i="17"/>
  <c r="A424" i="17"/>
  <c r="A425" i="17"/>
  <c r="A426" i="17"/>
  <c r="A427" i="17"/>
  <c r="A428" i="17"/>
  <c r="A429" i="17"/>
  <c r="A430" i="17"/>
  <c r="A431" i="17"/>
  <c r="A432" i="17"/>
  <c r="A433" i="17"/>
  <c r="A434" i="17"/>
  <c r="A435" i="17"/>
  <c r="A436" i="17"/>
  <c r="A437" i="17"/>
  <c r="A232" i="17"/>
  <c r="B232" i="17" s="1" a="1"/>
  <c r="A146" i="17"/>
  <c r="A147" i="17"/>
  <c r="A148" i="17"/>
  <c r="A149" i="17"/>
  <c r="A150" i="17"/>
  <c r="A151" i="17"/>
  <c r="A152" i="17"/>
  <c r="A153" i="17"/>
  <c r="A154" i="17"/>
  <c r="A155" i="17"/>
  <c r="A156" i="17"/>
  <c r="A157" i="17"/>
  <c r="A158" i="17"/>
  <c r="A159" i="17"/>
  <c r="A160" i="17"/>
  <c r="A161" i="17"/>
  <c r="A162" i="17"/>
  <c r="A163" i="17"/>
  <c r="A164" i="17"/>
  <c r="A165" i="17"/>
  <c r="A166" i="17"/>
  <c r="A167" i="17"/>
  <c r="A168" i="17"/>
  <c r="A169" i="17"/>
  <c r="A170" i="17"/>
  <c r="A171" i="17"/>
  <c r="A172" i="17"/>
  <c r="A173" i="17"/>
  <c r="A174" i="17"/>
  <c r="A175" i="17"/>
  <c r="A176" i="17"/>
  <c r="A177" i="17"/>
  <c r="A178" i="17"/>
  <c r="A179" i="17"/>
  <c r="A180" i="17"/>
  <c r="A181" i="17"/>
  <c r="A182" i="17"/>
  <c r="A183" i="17"/>
  <c r="A184" i="17"/>
  <c r="A185" i="17"/>
  <c r="A186" i="17"/>
  <c r="A187" i="17"/>
  <c r="A188" i="17"/>
  <c r="A189" i="17"/>
  <c r="A190" i="17"/>
  <c r="A191" i="17"/>
  <c r="A192" i="17"/>
  <c r="A193" i="17"/>
  <c r="A194" i="17"/>
  <c r="A195" i="17"/>
  <c r="A196" i="17"/>
  <c r="A197" i="17"/>
  <c r="A198" i="17"/>
  <c r="A199" i="17"/>
  <c r="A200" i="17"/>
  <c r="A201" i="17"/>
  <c r="A202" i="17"/>
  <c r="A203" i="17"/>
  <c r="A204" i="17"/>
  <c r="A205" i="17"/>
  <c r="A206" i="17"/>
  <c r="A207" i="17"/>
  <c r="A208" i="17"/>
  <c r="A209" i="17"/>
  <c r="A210" i="17"/>
  <c r="A211" i="17"/>
  <c r="A212" i="17"/>
  <c r="A213" i="17"/>
  <c r="A214" i="17"/>
  <c r="A215" i="17"/>
  <c r="A216" i="17"/>
  <c r="A217" i="17"/>
  <c r="A218" i="17"/>
  <c r="A219" i="17"/>
  <c r="A220" i="17"/>
  <c r="A221" i="17"/>
  <c r="A222" i="17"/>
  <c r="A223" i="17"/>
  <c r="A224" i="17"/>
  <c r="A95" i="17"/>
  <c r="A96" i="17"/>
  <c r="A97" i="17"/>
  <c r="A98" i="17"/>
  <c r="A99" i="17"/>
  <c r="A100" i="17"/>
  <c r="A101" i="17"/>
  <c r="A102" i="17"/>
  <c r="A103" i="17"/>
  <c r="A104" i="17"/>
  <c r="A105" i="17"/>
  <c r="A106" i="17"/>
  <c r="A107" i="17"/>
  <c r="A108" i="17"/>
  <c r="A109" i="17"/>
  <c r="A110" i="17"/>
  <c r="A111" i="17"/>
  <c r="A112" i="17"/>
  <c r="A113" i="17"/>
  <c r="A114" i="17"/>
  <c r="A115" i="17"/>
  <c r="A116" i="17"/>
  <c r="A117" i="17"/>
  <c r="A118" i="17"/>
  <c r="A119" i="17"/>
  <c r="A120" i="17"/>
  <c r="A121" i="17"/>
  <c r="A122" i="17"/>
  <c r="A123" i="17"/>
  <c r="A124" i="17"/>
  <c r="A125" i="17"/>
  <c r="A126" i="17"/>
  <c r="A127" i="17"/>
  <c r="A128" i="17"/>
  <c r="A129" i="17"/>
  <c r="A130" i="17"/>
  <c r="A131" i="17"/>
  <c r="A132" i="17"/>
  <c r="A133" i="17"/>
  <c r="A134" i="17"/>
  <c r="A135" i="17"/>
  <c r="A136" i="17"/>
  <c r="A137" i="17"/>
  <c r="A138" i="17"/>
  <c r="A139" i="17"/>
  <c r="A140" i="17"/>
  <c r="A141" i="17"/>
  <c r="A142" i="17"/>
  <c r="A143" i="17"/>
  <c r="A144" i="17"/>
  <c r="A145" i="17"/>
  <c r="A94" i="17"/>
  <c r="A4" i="17"/>
  <c r="A5" i="17"/>
  <c r="A6" i="17"/>
  <c r="A7" i="17"/>
  <c r="A8" i="17"/>
  <c r="A9" i="17"/>
  <c r="A10" i="17"/>
  <c r="A11" i="17"/>
  <c r="A12" i="17"/>
  <c r="A13" i="17"/>
  <c r="A14" i="17"/>
  <c r="A15" i="17"/>
  <c r="A16" i="17"/>
  <c r="A17" i="17"/>
  <c r="A18" i="17"/>
  <c r="A19" i="17"/>
  <c r="A20" i="17"/>
  <c r="A21" i="17"/>
  <c r="A22" i="17"/>
  <c r="A23" i="17"/>
  <c r="A24" i="17"/>
  <c r="A25" i="17"/>
  <c r="A26" i="17"/>
  <c r="A27" i="17"/>
  <c r="A28" i="17"/>
  <c r="A29" i="17"/>
  <c r="A30" i="17"/>
  <c r="A31" i="17"/>
  <c r="A32" i="17"/>
  <c r="A33" i="17"/>
  <c r="A34" i="17"/>
  <c r="A35" i="17"/>
  <c r="A36" i="17"/>
  <c r="A37" i="17"/>
  <c r="A38" i="17"/>
  <c r="A39" i="17"/>
  <c r="A40" i="17"/>
  <c r="A41" i="17"/>
  <c r="A42" i="17"/>
  <c r="A43" i="17"/>
  <c r="A44" i="17"/>
  <c r="A45" i="17"/>
  <c r="A46" i="17"/>
  <c r="A47" i="17"/>
  <c r="A48" i="17"/>
  <c r="A49" i="17"/>
  <c r="A50" i="17"/>
  <c r="A51" i="17"/>
  <c r="A52" i="17"/>
  <c r="A53" i="17"/>
  <c r="A54" i="17"/>
  <c r="A55" i="17"/>
  <c r="A56" i="17"/>
  <c r="A57" i="17"/>
  <c r="A58" i="17"/>
  <c r="A59" i="17"/>
  <c r="A60" i="17"/>
  <c r="A61" i="17"/>
  <c r="A62" i="17"/>
  <c r="A63" i="17"/>
  <c r="A64" i="17"/>
  <c r="A65" i="17"/>
  <c r="A66" i="17"/>
  <c r="A67" i="17"/>
  <c r="A68" i="17"/>
  <c r="A69" i="17"/>
  <c r="A70" i="17"/>
  <c r="A71" i="17"/>
  <c r="A72" i="17"/>
  <c r="A73" i="17"/>
  <c r="A74" i="17"/>
  <c r="A75" i="17"/>
  <c r="A76" i="17"/>
  <c r="A77" i="17"/>
  <c r="A3" i="17"/>
  <c r="Y3" i="13" a="1"/>
  <c r="Y3" i="13" s="1"/>
  <c r="Y4" i="13" a="1"/>
  <c r="Y4" i="13" s="1"/>
  <c r="Y5" i="13" a="1"/>
  <c r="Y5" i="13" s="1"/>
  <c r="Y6" i="13" a="1"/>
  <c r="Y6" i="13" s="1"/>
  <c r="Y7" i="13" a="1"/>
  <c r="Y7" i="13" s="1"/>
  <c r="Y8" i="13" a="1"/>
  <c r="Y8" i="13"/>
  <c r="Y9" i="13" a="1"/>
  <c r="Y9" i="13" s="1"/>
  <c r="Y10" i="13" a="1"/>
  <c r="Y10" i="13" s="1"/>
  <c r="Y11" i="13" a="1"/>
  <c r="Y11" i="13" s="1"/>
  <c r="Y12" i="13" a="1"/>
  <c r="Y12" i="13" s="1"/>
  <c r="Y13" i="13" a="1"/>
  <c r="Y13" i="13" s="1"/>
  <c r="Y14" i="13" a="1"/>
  <c r="Y14" i="13"/>
  <c r="Y15" i="13" a="1"/>
  <c r="Y15" i="13" s="1"/>
  <c r="Y16" i="13" a="1"/>
  <c r="Y16" i="13" s="1"/>
  <c r="Y17" i="13" a="1"/>
  <c r="Y17" i="13" s="1"/>
  <c r="Y18" i="13" a="1"/>
  <c r="Y18" i="13" s="1"/>
  <c r="Y19" i="13" a="1"/>
  <c r="Y19" i="13" s="1"/>
  <c r="Y20" i="13" a="1"/>
  <c r="Y20" i="13"/>
  <c r="Y21" i="13" a="1"/>
  <c r="Y21" i="13" s="1"/>
  <c r="Y22" i="13" a="1"/>
  <c r="Y22" i="13" s="1"/>
  <c r="Y23" i="13" a="1"/>
  <c r="Y23" i="13" s="1"/>
  <c r="Y24" i="13" a="1"/>
  <c r="Y24" i="13" s="1"/>
  <c r="Y25" i="13" a="1"/>
  <c r="Y25" i="13" s="1"/>
  <c r="Y26" i="13" a="1"/>
  <c r="Y26" i="13"/>
  <c r="Y27" i="13" a="1"/>
  <c r="Y27" i="13" s="1"/>
  <c r="Y28" i="13" a="1"/>
  <c r="Y28" i="13" s="1"/>
  <c r="Y29" i="13" a="1"/>
  <c r="Y29" i="13" s="1"/>
  <c r="Y30" i="13" a="1"/>
  <c r="Y30" i="13" s="1"/>
  <c r="Y31" i="13" a="1"/>
  <c r="Y31" i="13" s="1"/>
  <c r="Y32" i="13" a="1"/>
  <c r="Y32" i="13"/>
  <c r="Y33" i="13" a="1"/>
  <c r="Y33" i="13" s="1"/>
  <c r="Y34" i="13" a="1"/>
  <c r="Y34" i="13" s="1"/>
  <c r="Y35" i="13" a="1"/>
  <c r="Y35" i="13" s="1"/>
  <c r="Y36" i="13" a="1"/>
  <c r="Y36" i="13" s="1"/>
  <c r="Y37" i="13" a="1"/>
  <c r="Y37" i="13" s="1"/>
  <c r="Y38" i="13" a="1"/>
  <c r="Y38" i="13"/>
  <c r="Y39" i="13" a="1"/>
  <c r="Y39" i="13" s="1"/>
  <c r="Y40" i="13" a="1"/>
  <c r="Y40" i="13" s="1"/>
  <c r="Y41" i="13" a="1"/>
  <c r="Y41" i="13" s="1"/>
  <c r="Y42" i="13" a="1"/>
  <c r="Y42" i="13" s="1"/>
  <c r="Y43" i="13" a="1"/>
  <c r="Y43" i="13" s="1"/>
  <c r="Y44" i="13" a="1"/>
  <c r="Y44" i="13"/>
  <c r="Y45" i="13" a="1"/>
  <c r="Y45" i="13" s="1"/>
  <c r="Y46" i="13" a="1"/>
  <c r="Y46" i="13" s="1"/>
  <c r="Y47" i="13" a="1"/>
  <c r="Y47" i="13" s="1"/>
  <c r="Y48" i="13" a="1"/>
  <c r="Y48" i="13" s="1"/>
  <c r="Y49" i="13" a="1"/>
  <c r="Y49" i="13" s="1"/>
  <c r="Y50" i="13" a="1"/>
  <c r="Y50" i="13"/>
  <c r="Y51" i="13" a="1"/>
  <c r="Y51" i="13" s="1"/>
  <c r="Y52" i="13" a="1"/>
  <c r="Y52" i="13" s="1"/>
  <c r="Y53" i="13" a="1"/>
  <c r="Y53" i="13" s="1"/>
  <c r="Y54" i="13" a="1"/>
  <c r="Y54" i="13" s="1"/>
  <c r="Y55" i="13" a="1"/>
  <c r="Y55" i="13" s="1"/>
  <c r="Y56" i="13" a="1"/>
  <c r="Y56" i="13"/>
  <c r="Y57" i="13" a="1"/>
  <c r="Y57" i="13" s="1"/>
  <c r="Y58" i="13" a="1"/>
  <c r="Y58" i="13" s="1"/>
  <c r="Y59" i="13" a="1"/>
  <c r="Y59" i="13" s="1"/>
  <c r="Y60" i="13" a="1"/>
  <c r="Y60" i="13" s="1"/>
  <c r="Y61" i="13" a="1"/>
  <c r="Y61" i="13" s="1"/>
  <c r="Y62" i="13" a="1"/>
  <c r="Y62" i="13"/>
  <c r="Y63" i="13" a="1"/>
  <c r="Y63" i="13" s="1"/>
  <c r="Y64" i="13" a="1"/>
  <c r="Y64" i="13" s="1"/>
  <c r="Y65" i="13" a="1"/>
  <c r="Y65" i="13" s="1"/>
  <c r="Y66" i="13" a="1"/>
  <c r="Y66" i="13" s="1"/>
  <c r="Y67" i="13" a="1"/>
  <c r="Y67" i="13" s="1"/>
  <c r="Y68" i="13" a="1"/>
  <c r="Y68" i="13"/>
  <c r="Y69" i="13" a="1"/>
  <c r="Y69" i="13" s="1"/>
  <c r="Y70" i="13" a="1"/>
  <c r="Y70" i="13" s="1"/>
  <c r="Y71" i="13" a="1"/>
  <c r="Y71" i="13" s="1"/>
  <c r="Y72" i="13" a="1"/>
  <c r="Y72" i="13" s="1"/>
  <c r="Y73" i="13" a="1"/>
  <c r="Y73" i="13" s="1"/>
  <c r="Y74" i="13" a="1"/>
  <c r="Y74" i="13"/>
  <c r="Y75" i="13" a="1"/>
  <c r="Y75" i="13" s="1"/>
  <c r="Y76" i="13" a="1"/>
  <c r="Y76" i="13" s="1"/>
  <c r="Y77" i="13" a="1"/>
  <c r="Y77" i="13" s="1"/>
  <c r="Y78" i="13" a="1"/>
  <c r="Y78" i="13" s="1"/>
  <c r="Y79" i="13" a="1"/>
  <c r="Y79" i="13" s="1"/>
  <c r="Y80" i="13" a="1"/>
  <c r="Y80" i="13"/>
  <c r="Y81" i="13" a="1"/>
  <c r="Y81" i="13" s="1"/>
  <c r="Y82" i="13" a="1"/>
  <c r="Y82" i="13" s="1"/>
  <c r="Y83" i="13" a="1"/>
  <c r="Y83" i="13" s="1"/>
  <c r="Y84" i="13" a="1"/>
  <c r="Y84" i="13" s="1"/>
  <c r="Y85" i="13" a="1"/>
  <c r="Y85" i="13" s="1"/>
  <c r="Y86" i="13" a="1"/>
  <c r="Y86" i="13"/>
  <c r="Y87" i="13" a="1"/>
  <c r="Y87" i="13" s="1"/>
  <c r="Y88" i="13" a="1"/>
  <c r="Y88" i="13" s="1"/>
  <c r="Y89" i="13" a="1"/>
  <c r="Y89" i="13" s="1"/>
  <c r="Y90" i="13" a="1"/>
  <c r="Y90" i="13" s="1"/>
  <c r="Y91" i="13" a="1"/>
  <c r="Y91" i="13" s="1"/>
  <c r="Y92" i="13" a="1"/>
  <c r="Y92" i="13"/>
  <c r="Y93" i="13" a="1"/>
  <c r="Y93" i="13" s="1"/>
  <c r="Y94" i="13" a="1"/>
  <c r="Y94" i="13" s="1"/>
  <c r="Y95" i="13" a="1"/>
  <c r="Y95" i="13" s="1"/>
  <c r="Y96" i="13" a="1"/>
  <c r="Y96" i="13" s="1"/>
  <c r="Y97" i="13" a="1"/>
  <c r="Y97" i="13" s="1"/>
  <c r="Y98" i="13" a="1"/>
  <c r="Y98" i="13"/>
  <c r="Y99" i="13" a="1"/>
  <c r="Y99" i="13" s="1"/>
  <c r="Y100" i="13" a="1"/>
  <c r="Y100" i="13" s="1"/>
  <c r="Y101" i="13" a="1"/>
  <c r="Y101" i="13" s="1"/>
  <c r="Y102" i="13" a="1"/>
  <c r="Y102" i="13" s="1"/>
  <c r="Y103" i="13" a="1"/>
  <c r="Y103" i="13" s="1"/>
  <c r="Y104" i="13" a="1"/>
  <c r="Y104" i="13"/>
  <c r="Y105" i="13" a="1"/>
  <c r="Y105" i="13" s="1"/>
  <c r="Y106" i="13" a="1"/>
  <c r="Y106" i="13" s="1"/>
  <c r="Y107" i="13" a="1"/>
  <c r="Y107" i="13" s="1"/>
  <c r="Y108" i="13" a="1"/>
  <c r="Y108" i="13" s="1"/>
  <c r="Y109" i="13" a="1"/>
  <c r="Y109" i="13" s="1"/>
  <c r="Y110" i="13" a="1"/>
  <c r="Y110" i="13"/>
  <c r="Y111" i="13" a="1"/>
  <c r="Y111" i="13" s="1"/>
  <c r="Y112" i="13" a="1"/>
  <c r="Y112" i="13" s="1"/>
  <c r="Y113" i="13" a="1"/>
  <c r="Y113" i="13" s="1"/>
  <c r="Y114" i="13" a="1"/>
  <c r="Y114" i="13" s="1"/>
  <c r="Y115" i="13" a="1"/>
  <c r="Y115" i="13" s="1"/>
  <c r="Y116" i="13" a="1"/>
  <c r="Y116" i="13"/>
  <c r="Y117" i="13" a="1"/>
  <c r="Y117" i="13" s="1"/>
  <c r="Y118" i="13" a="1"/>
  <c r="Y118" i="13" s="1"/>
  <c r="Y119" i="13" a="1"/>
  <c r="Y119" i="13" s="1"/>
  <c r="Y120" i="13" a="1"/>
  <c r="Y120" i="13" s="1"/>
  <c r="Y121" i="13" a="1"/>
  <c r="Y121" i="13" s="1"/>
  <c r="Y122" i="13" a="1"/>
  <c r="Y122" i="13"/>
  <c r="Y123" i="13" a="1"/>
  <c r="Y123" i="13" s="1"/>
  <c r="Y124" i="13" a="1"/>
  <c r="Y124" i="13" s="1"/>
  <c r="Y125" i="13" a="1"/>
  <c r="Y125" i="13" s="1"/>
  <c r="Y126" i="13" a="1"/>
  <c r="Y126" i="13" s="1"/>
  <c r="Y127" i="13" a="1"/>
  <c r="Y127" i="13" s="1"/>
  <c r="Y128" i="13" a="1"/>
  <c r="Y128" i="13"/>
  <c r="Y129" i="13" a="1"/>
  <c r="Y129" i="13" s="1"/>
  <c r="Y130" i="13" a="1"/>
  <c r="Y130" i="13" s="1"/>
  <c r="Y131" i="13" a="1"/>
  <c r="Y131" i="13" s="1"/>
  <c r="Y132" i="13" a="1"/>
  <c r="Y132" i="13" s="1"/>
  <c r="Y133" i="13" a="1"/>
  <c r="Y133" i="13" s="1"/>
  <c r="Y134" i="13" a="1"/>
  <c r="Y134" i="13"/>
  <c r="Y135" i="13" a="1"/>
  <c r="Y135" i="13" s="1"/>
  <c r="Y136" i="13" a="1"/>
  <c r="Y136" i="13" s="1"/>
  <c r="Y137" i="13" a="1"/>
  <c r="Y137" i="13" s="1"/>
  <c r="Y138" i="13" a="1"/>
  <c r="Y138" i="13" s="1"/>
  <c r="Y139" i="13" a="1"/>
  <c r="Y139" i="13" s="1"/>
  <c r="Y140" i="13" a="1"/>
  <c r="Y140" i="13"/>
  <c r="Y141" i="13" a="1"/>
  <c r="Y141" i="13" s="1"/>
  <c r="Y142" i="13" a="1"/>
  <c r="Y142" i="13" s="1"/>
  <c r="Y143" i="13" a="1"/>
  <c r="Y143" i="13" s="1"/>
  <c r="Y144" i="13" a="1"/>
  <c r="Y144" i="13" s="1"/>
  <c r="Y145" i="13" a="1"/>
  <c r="Y145" i="13" s="1"/>
  <c r="Y146" i="13" a="1"/>
  <c r="Y146" i="13"/>
  <c r="Y147" i="13" a="1"/>
  <c r="Y147" i="13" s="1"/>
  <c r="Y148" i="13" a="1"/>
  <c r="Y148" i="13" s="1"/>
  <c r="Y149" i="13" a="1"/>
  <c r="Y149" i="13" s="1"/>
  <c r="Y150" i="13" a="1"/>
  <c r="Y150" i="13" s="1"/>
  <c r="Y151" i="13" a="1"/>
  <c r="Y151" i="13" s="1"/>
  <c r="Y152" i="13" a="1"/>
  <c r="Y152" i="13"/>
  <c r="Y153" i="13" a="1"/>
  <c r="Y153" i="13" s="1"/>
  <c r="Y154" i="13" a="1"/>
  <c r="Y154" i="13" s="1"/>
  <c r="Y155" i="13" a="1"/>
  <c r="Y155" i="13" s="1"/>
  <c r="Y156" i="13" a="1"/>
  <c r="Y156" i="13" s="1"/>
  <c r="Y157" i="13" a="1"/>
  <c r="Y157" i="13" s="1"/>
  <c r="Y158" i="13" a="1"/>
  <c r="Y158" i="13"/>
  <c r="Y159" i="13" a="1"/>
  <c r="Y159" i="13" s="1"/>
  <c r="Y160" i="13" a="1"/>
  <c r="Y160" i="13" s="1"/>
  <c r="Y161" i="13" a="1"/>
  <c r="Y161" i="13" s="1"/>
  <c r="Y162" i="13" a="1"/>
  <c r="Y162" i="13" s="1"/>
  <c r="Y163" i="13" a="1"/>
  <c r="Y163" i="13" s="1"/>
  <c r="Y164" i="13" a="1"/>
  <c r="Y164" i="13"/>
  <c r="Y165" i="13" a="1"/>
  <c r="Y165" i="13" s="1"/>
  <c r="Y166" i="13" a="1"/>
  <c r="Y166" i="13" s="1"/>
  <c r="Y167" i="13" a="1"/>
  <c r="Y167" i="13" s="1"/>
  <c r="Y168" i="13" a="1"/>
  <c r="Y168" i="13" s="1"/>
  <c r="Y169" i="13" a="1"/>
  <c r="Y169" i="13" s="1"/>
  <c r="Y170" i="13" a="1"/>
  <c r="Y170" i="13"/>
  <c r="Y171" i="13" a="1"/>
  <c r="Y171" i="13" s="1"/>
  <c r="Y172" i="13" a="1"/>
  <c r="Y172" i="13" s="1"/>
  <c r="Y173" i="13" a="1"/>
  <c r="Y173" i="13" s="1"/>
  <c r="Y174" i="13" a="1"/>
  <c r="Y174" i="13" s="1"/>
  <c r="Y175" i="13" a="1"/>
  <c r="Y175" i="13" s="1"/>
  <c r="Y176" i="13" a="1"/>
  <c r="Y176" i="13"/>
  <c r="Y177" i="13" a="1"/>
  <c r="Y177" i="13" s="1"/>
  <c r="Y178" i="13" a="1"/>
  <c r="Y178" i="13" s="1"/>
  <c r="Y179" i="13" a="1"/>
  <c r="Y179" i="13" s="1"/>
  <c r="Y180" i="13" a="1"/>
  <c r="Y180" i="13" s="1"/>
  <c r="Y181" i="13" a="1"/>
  <c r="Y181" i="13" s="1"/>
  <c r="Y182" i="13" a="1"/>
  <c r="Y182" i="13"/>
  <c r="Y183" i="13" a="1"/>
  <c r="Y183" i="13" s="1"/>
  <c r="Y184" i="13" a="1"/>
  <c r="Y184" i="13" s="1"/>
  <c r="Y185" i="13" a="1"/>
  <c r="Y185" i="13" s="1"/>
  <c r="Y186" i="13" a="1"/>
  <c r="Y186" i="13" s="1"/>
  <c r="Y187" i="13" a="1"/>
  <c r="Y187" i="13" s="1"/>
  <c r="Y188" i="13" a="1"/>
  <c r="Y188" i="13"/>
  <c r="Y189" i="13" a="1"/>
  <c r="Y189" i="13" s="1"/>
  <c r="Y190" i="13" a="1"/>
  <c r="Y190" i="13" s="1"/>
  <c r="Y191" i="13" a="1"/>
  <c r="Y191" i="13" s="1"/>
  <c r="Y192" i="13" a="1"/>
  <c r="Y192" i="13" s="1"/>
  <c r="Y193" i="13" a="1"/>
  <c r="Y193" i="13" s="1"/>
  <c r="Y194" i="13" a="1"/>
  <c r="Y194" i="13"/>
  <c r="Y195" i="13" a="1"/>
  <c r="Y195" i="13" s="1"/>
  <c r="Y196" i="13" a="1"/>
  <c r="Y196" i="13" s="1"/>
  <c r="Y197" i="13" a="1"/>
  <c r="Y197" i="13" s="1"/>
  <c r="Y198" i="13" a="1"/>
  <c r="Y198" i="13" s="1"/>
  <c r="Y199" i="13" a="1"/>
  <c r="Y199" i="13" s="1"/>
  <c r="Y200" i="13" a="1"/>
  <c r="Y200" i="13"/>
  <c r="Y201" i="13" a="1"/>
  <c r="Y201" i="13" s="1"/>
  <c r="Y202" i="13" a="1"/>
  <c r="Y202" i="13" s="1"/>
  <c r="Y203" i="13" a="1"/>
  <c r="Y203" i="13" s="1"/>
  <c r="Y204" i="13" a="1"/>
  <c r="Y204" i="13" s="1"/>
  <c r="Y205" i="13" a="1"/>
  <c r="Y205" i="13" s="1"/>
  <c r="Y206" i="13" a="1"/>
  <c r="Y206" i="13"/>
  <c r="Y207" i="13" a="1"/>
  <c r="Y207" i="13" s="1"/>
  <c r="Y2" i="13" a="1"/>
  <c r="Y2" i="13" s="1"/>
  <c r="Y4" i="15" a="1"/>
  <c r="Y4" i="15" s="1"/>
  <c r="Y5" i="15" a="1"/>
  <c r="Y5" i="15" s="1"/>
  <c r="Y6" i="15" a="1"/>
  <c r="Y6" i="15" s="1"/>
  <c r="Y7" i="15" a="1"/>
  <c r="Y7" i="15" s="1"/>
  <c r="Y8" i="15" a="1"/>
  <c r="Y8" i="15" s="1"/>
  <c r="Y9" i="15" a="1"/>
  <c r="Y9" i="15"/>
  <c r="Y10" i="15" a="1"/>
  <c r="Y10" i="15" s="1"/>
  <c r="Y11" i="15" a="1"/>
  <c r="Y11" i="15" s="1"/>
  <c r="Y12" i="15" a="1"/>
  <c r="Y12" i="15" s="1"/>
  <c r="Y13" i="15" a="1"/>
  <c r="Y13" i="15" s="1"/>
  <c r="Y14" i="15" a="1"/>
  <c r="Y14" i="15" s="1"/>
  <c r="Y15" i="15" a="1"/>
  <c r="Y15" i="15"/>
  <c r="Y16" i="15" a="1"/>
  <c r="Y16" i="15" s="1"/>
  <c r="Y17" i="15" a="1"/>
  <c r="Y17" i="15" s="1"/>
  <c r="Y18" i="15" a="1"/>
  <c r="Y18" i="15" s="1"/>
  <c r="Y19" i="15" a="1"/>
  <c r="Y19" i="15" s="1"/>
  <c r="Y20" i="15" a="1"/>
  <c r="Y20" i="15" s="1"/>
  <c r="Y21" i="15" a="1"/>
  <c r="Y21" i="15"/>
  <c r="Y22" i="15" a="1"/>
  <c r="Y22" i="15" s="1"/>
  <c r="Y23" i="15" a="1"/>
  <c r="Y23" i="15" s="1"/>
  <c r="Y24" i="15" a="1"/>
  <c r="Y24" i="15" s="1"/>
  <c r="Y25" i="15" a="1"/>
  <c r="Y25" i="15" s="1"/>
  <c r="Y26" i="15" a="1"/>
  <c r="Y26" i="15" s="1"/>
  <c r="Y27" i="15" a="1"/>
  <c r="Y27" i="15"/>
  <c r="Y28" i="15" a="1"/>
  <c r="Y28" i="15" s="1"/>
  <c r="Y29" i="15" a="1"/>
  <c r="Y29" i="15" s="1"/>
  <c r="Y30" i="15" a="1"/>
  <c r="Y30" i="15" s="1"/>
  <c r="Y31" i="15" a="1"/>
  <c r="Y31" i="15" s="1"/>
  <c r="Y32" i="15" a="1"/>
  <c r="Y32" i="15" s="1"/>
  <c r="Y33" i="15" a="1"/>
  <c r="Y33" i="15"/>
  <c r="Y34" i="15" a="1"/>
  <c r="Y34" i="15" s="1"/>
  <c r="Y35" i="15" a="1"/>
  <c r="Y35" i="15" s="1"/>
  <c r="Y36" i="15" a="1"/>
  <c r="Y36" i="15" s="1"/>
  <c r="Y37" i="15" a="1"/>
  <c r="Y37" i="15" s="1"/>
  <c r="Y38" i="15" a="1"/>
  <c r="Y38" i="15" s="1"/>
  <c r="Y39" i="15" a="1"/>
  <c r="Y39" i="15"/>
  <c r="Y40" i="15" a="1"/>
  <c r="Y40" i="15" s="1"/>
  <c r="Y41" i="15" a="1"/>
  <c r="Y41" i="15" s="1"/>
  <c r="Y42" i="15" a="1"/>
  <c r="Y42" i="15" s="1"/>
  <c r="Y43" i="15" a="1"/>
  <c r="Y43" i="15" s="1"/>
  <c r="Y44" i="15" a="1"/>
  <c r="Y44" i="15" s="1"/>
  <c r="Y45" i="15" a="1"/>
  <c r="Y45" i="15"/>
  <c r="Y46" i="15" a="1"/>
  <c r="Y46" i="15" s="1"/>
  <c r="Y47" i="15" a="1"/>
  <c r="Y47" i="15" s="1"/>
  <c r="Y48" i="15" a="1"/>
  <c r="Y48" i="15" s="1"/>
  <c r="Y49" i="15" a="1"/>
  <c r="Y49" i="15" s="1"/>
  <c r="Y50" i="15" a="1"/>
  <c r="Y50" i="15" s="1"/>
  <c r="Y51" i="15" a="1"/>
  <c r="Y51" i="15"/>
  <c r="Y52" i="15" a="1"/>
  <c r="Y52" i="15" s="1"/>
  <c r="Y53" i="15" a="1"/>
  <c r="Y53" i="15" s="1"/>
  <c r="Y54" i="15" a="1"/>
  <c r="Y54" i="15" s="1"/>
  <c r="Y55" i="15" a="1"/>
  <c r="Y55" i="15" s="1"/>
  <c r="Y56" i="15" a="1"/>
  <c r="Y56" i="15" s="1"/>
  <c r="Y57" i="15" a="1"/>
  <c r="Y57" i="15"/>
  <c r="Y58" i="15" a="1"/>
  <c r="Y58" i="15" s="1"/>
  <c r="Y59" i="15" a="1"/>
  <c r="Y59" i="15" s="1"/>
  <c r="Y60" i="15" a="1"/>
  <c r="Y60" i="15" s="1"/>
  <c r="Y61" i="15" a="1"/>
  <c r="Y61" i="15" s="1"/>
  <c r="Y62" i="15" a="1"/>
  <c r="Y62" i="15" s="1"/>
  <c r="Y63" i="15" a="1"/>
  <c r="Y63" i="15"/>
  <c r="Y64" i="15" a="1"/>
  <c r="Y64" i="15" s="1"/>
  <c r="Y65" i="15" a="1"/>
  <c r="Y65" i="15" s="1"/>
  <c r="Y66" i="15" a="1"/>
  <c r="Y66" i="15" s="1"/>
  <c r="Y67" i="15" a="1"/>
  <c r="Y67" i="15" s="1"/>
  <c r="Y68" i="15" a="1"/>
  <c r="Y68" i="15" s="1"/>
  <c r="Y69" i="15" a="1"/>
  <c r="Y69" i="15"/>
  <c r="Y70" i="15" a="1"/>
  <c r="Y70" i="15" s="1"/>
  <c r="Y71" i="15" a="1"/>
  <c r="Y71" i="15" s="1"/>
  <c r="Y72" i="15" a="1"/>
  <c r="Y72" i="15" s="1"/>
  <c r="Y73" i="15" a="1"/>
  <c r="Y73" i="15" s="1"/>
  <c r="Y74" i="15" a="1"/>
  <c r="Y74" i="15" s="1"/>
  <c r="Y75" i="15" a="1"/>
  <c r="Y75" i="15"/>
  <c r="Y76" i="15" a="1"/>
  <c r="Y76" i="15" s="1"/>
  <c r="Y77" i="15" a="1"/>
  <c r="Y77" i="15" s="1"/>
  <c r="Y78" i="15" a="1"/>
  <c r="Y78" i="15" s="1"/>
  <c r="Y79" i="15" a="1"/>
  <c r="Y79" i="15" s="1"/>
  <c r="Y80" i="15" a="1"/>
  <c r="Y80" i="15" s="1"/>
  <c r="Y81" i="15" a="1"/>
  <c r="Y81" i="15"/>
  <c r="Y82" i="15" a="1"/>
  <c r="Y82" i="15" s="1"/>
  <c r="Y83" i="15" a="1"/>
  <c r="Y83" i="15" s="1"/>
  <c r="Y84" i="15" a="1"/>
  <c r="Y84" i="15" s="1"/>
  <c r="Y85" i="15" a="1"/>
  <c r="Y85" i="15" s="1"/>
  <c r="Y86" i="15" a="1"/>
  <c r="Y86" i="15" s="1"/>
  <c r="Y87" i="15" a="1"/>
  <c r="Y87" i="15"/>
  <c r="Y88" i="15" a="1"/>
  <c r="Y88" i="15" s="1"/>
  <c r="Y89" i="15" a="1"/>
  <c r="Y89" i="15" s="1"/>
  <c r="Y90" i="15" a="1"/>
  <c r="Y90" i="15" s="1"/>
  <c r="Y91" i="15" a="1"/>
  <c r="Y91" i="15" s="1"/>
  <c r="Y92" i="15" a="1"/>
  <c r="Y92" i="15" s="1"/>
  <c r="Y93" i="15" a="1"/>
  <c r="Y93" i="15"/>
  <c r="Y94" i="15" a="1"/>
  <c r="Y94" i="15" s="1"/>
  <c r="Y95" i="15" a="1"/>
  <c r="Y95" i="15" s="1"/>
  <c r="Y96" i="15" a="1"/>
  <c r="Y96" i="15" s="1"/>
  <c r="Y97" i="15" a="1"/>
  <c r="Y97" i="15" s="1"/>
  <c r="Y98" i="15" a="1"/>
  <c r="Y98" i="15" s="1"/>
  <c r="Y99" i="15" a="1"/>
  <c r="Y99" i="15"/>
  <c r="Y100" i="15" a="1"/>
  <c r="Y100" i="15" s="1"/>
  <c r="Y101" i="15" a="1"/>
  <c r="Y101" i="15" s="1"/>
  <c r="Y102" i="15" a="1"/>
  <c r="Y102" i="15" s="1"/>
  <c r="Y103" i="15" a="1"/>
  <c r="Y103" i="15" s="1"/>
  <c r="Y104" i="15" a="1"/>
  <c r="Y104" i="15" s="1"/>
  <c r="Y105" i="15" a="1"/>
  <c r="Y105" i="15"/>
  <c r="Y106" i="15" a="1"/>
  <c r="Y106" i="15" s="1"/>
  <c r="Y107" i="15" a="1"/>
  <c r="Y107" i="15" s="1"/>
  <c r="Y108" i="15" a="1"/>
  <c r="Y108" i="15" s="1"/>
  <c r="Y109" i="15" a="1"/>
  <c r="Y109" i="15" s="1"/>
  <c r="Y110" i="15" a="1"/>
  <c r="Y110" i="15" s="1"/>
  <c r="Y111" i="15" a="1"/>
  <c r="Y111" i="15"/>
  <c r="Y112" i="15" a="1"/>
  <c r="Y112" i="15" s="1"/>
  <c r="Y113" i="15" a="1"/>
  <c r="Y113" i="15" s="1"/>
  <c r="Y114" i="15" a="1"/>
  <c r="Y114" i="15" s="1"/>
  <c r="Y115" i="15" a="1"/>
  <c r="Y115" i="15" s="1"/>
  <c r="Y116" i="15" a="1"/>
  <c r="Y116" i="15" s="1"/>
  <c r="Y117" i="15" a="1"/>
  <c r="Y117" i="15"/>
  <c r="Y118" i="15" a="1"/>
  <c r="Y118" i="15" s="1"/>
  <c r="Y3" i="15" a="1"/>
  <c r="Y3" i="15" s="1"/>
  <c r="V4" i="14"/>
  <c r="W4" i="14"/>
  <c r="V5" i="14"/>
  <c r="W5" i="14"/>
  <c r="V6" i="14"/>
  <c r="W6" i="14"/>
  <c r="V7" i="14"/>
  <c r="W7" i="14"/>
  <c r="V8" i="14"/>
  <c r="W8" i="14"/>
  <c r="V9" i="14"/>
  <c r="W9" i="14"/>
  <c r="V10" i="14"/>
  <c r="W10" i="14"/>
  <c r="V11" i="14"/>
  <c r="W11" i="14"/>
  <c r="V12" i="14"/>
  <c r="W12" i="14"/>
  <c r="V13" i="14"/>
  <c r="W13" i="14"/>
  <c r="V14" i="14"/>
  <c r="W14" i="14"/>
  <c r="V15" i="14"/>
  <c r="W15" i="14"/>
  <c r="V16" i="14"/>
  <c r="W16" i="14"/>
  <c r="V17" i="14"/>
  <c r="W17" i="14"/>
  <c r="V18" i="14"/>
  <c r="W18" i="14"/>
  <c r="V19" i="14"/>
  <c r="W19" i="14"/>
  <c r="V20" i="14"/>
  <c r="W20" i="14"/>
  <c r="V21" i="14"/>
  <c r="W21" i="14"/>
  <c r="V22" i="14"/>
  <c r="W22" i="14"/>
  <c r="V23" i="14"/>
  <c r="W23" i="14"/>
  <c r="V24" i="14"/>
  <c r="W24" i="14"/>
  <c r="V25" i="14"/>
  <c r="W25" i="14"/>
  <c r="V26" i="14"/>
  <c r="W26" i="14"/>
  <c r="V27" i="14"/>
  <c r="W27" i="14"/>
  <c r="V28" i="14"/>
  <c r="W28" i="14"/>
  <c r="V29" i="14"/>
  <c r="W29" i="14"/>
  <c r="V30" i="14"/>
  <c r="W30" i="14"/>
  <c r="V31" i="14"/>
  <c r="W31" i="14"/>
  <c r="V32" i="14"/>
  <c r="W32" i="14"/>
  <c r="V33" i="14"/>
  <c r="W33" i="14"/>
  <c r="V34" i="14"/>
  <c r="W34" i="14"/>
  <c r="V35" i="14"/>
  <c r="W35" i="14"/>
  <c r="V36" i="14"/>
  <c r="W36" i="14"/>
  <c r="V37" i="14"/>
  <c r="W37" i="14"/>
  <c r="V38" i="14"/>
  <c r="W38" i="14"/>
  <c r="V39" i="14"/>
  <c r="W39" i="14"/>
  <c r="V40" i="14"/>
  <c r="W40" i="14"/>
  <c r="V41" i="14"/>
  <c r="W41" i="14"/>
  <c r="V42" i="14"/>
  <c r="W42" i="14"/>
  <c r="V43" i="14"/>
  <c r="W43" i="14"/>
  <c r="V44" i="14"/>
  <c r="W44" i="14"/>
  <c r="V45" i="14"/>
  <c r="W45" i="14"/>
  <c r="V46" i="14"/>
  <c r="W46" i="14"/>
  <c r="V47" i="14"/>
  <c r="W47" i="14"/>
  <c r="V48" i="14"/>
  <c r="W48" i="14"/>
  <c r="V49" i="14"/>
  <c r="W49" i="14"/>
  <c r="V50" i="14"/>
  <c r="W50" i="14"/>
  <c r="V51" i="14"/>
  <c r="W51" i="14"/>
  <c r="V52" i="14"/>
  <c r="W52" i="14"/>
  <c r="V53" i="14"/>
  <c r="W53" i="14"/>
  <c r="V54" i="14"/>
  <c r="W54" i="14"/>
  <c r="V55" i="14"/>
  <c r="W55" i="14"/>
  <c r="V56" i="14"/>
  <c r="W56" i="14"/>
  <c r="V57" i="14"/>
  <c r="W57" i="14"/>
  <c r="V58" i="14"/>
  <c r="W58" i="14"/>
  <c r="V59" i="14"/>
  <c r="W59" i="14"/>
  <c r="V60" i="14"/>
  <c r="W60" i="14"/>
  <c r="V61" i="14"/>
  <c r="W61" i="14"/>
  <c r="V62" i="14"/>
  <c r="W62" i="14"/>
  <c r="V63" i="14"/>
  <c r="W63" i="14"/>
  <c r="V64" i="14"/>
  <c r="W64" i="14"/>
  <c r="V65" i="14"/>
  <c r="W65" i="14"/>
  <c r="V66" i="14"/>
  <c r="W66" i="14"/>
  <c r="V67" i="14"/>
  <c r="W67" i="14"/>
  <c r="V68" i="14"/>
  <c r="W68" i="14"/>
  <c r="V69" i="14"/>
  <c r="W69" i="14"/>
  <c r="V70" i="14"/>
  <c r="W70" i="14"/>
  <c r="V71" i="14"/>
  <c r="W71" i="14"/>
  <c r="V72" i="14"/>
  <c r="W72" i="14"/>
  <c r="V73" i="14"/>
  <c r="W73" i="14"/>
  <c r="V74" i="14"/>
  <c r="W74" i="14"/>
  <c r="V75" i="14"/>
  <c r="W75" i="14"/>
  <c r="V76" i="14"/>
  <c r="W76" i="14"/>
  <c r="V77" i="14"/>
  <c r="W77" i="14"/>
  <c r="V78" i="14"/>
  <c r="W78" i="14"/>
  <c r="V79" i="14"/>
  <c r="W79" i="14"/>
  <c r="V80" i="14"/>
  <c r="W80" i="14"/>
  <c r="V81" i="14"/>
  <c r="W81" i="14"/>
  <c r="V82" i="14"/>
  <c r="W82" i="14"/>
  <c r="V83" i="14"/>
  <c r="W83" i="14"/>
  <c r="V84" i="14"/>
  <c r="W84" i="14"/>
  <c r="V85" i="14"/>
  <c r="W85" i="14"/>
  <c r="V86" i="14"/>
  <c r="W86" i="14"/>
  <c r="V87" i="14"/>
  <c r="W87" i="14"/>
  <c r="V88" i="14"/>
  <c r="W88" i="14"/>
  <c r="V89" i="14"/>
  <c r="W89" i="14"/>
  <c r="V90" i="14"/>
  <c r="W90" i="14"/>
  <c r="V91" i="14"/>
  <c r="W91" i="14"/>
  <c r="V92" i="14"/>
  <c r="W92" i="14"/>
  <c r="V93" i="14"/>
  <c r="W93" i="14"/>
  <c r="V94" i="14"/>
  <c r="W94" i="14"/>
  <c r="V95" i="14"/>
  <c r="W95" i="14"/>
  <c r="V96" i="14"/>
  <c r="W96" i="14"/>
  <c r="V97" i="14"/>
  <c r="W97" i="14"/>
  <c r="V98" i="14"/>
  <c r="W98" i="14"/>
  <c r="V99" i="14"/>
  <c r="W99" i="14"/>
  <c r="V100" i="14"/>
  <c r="W100" i="14"/>
  <c r="V101" i="14"/>
  <c r="W101" i="14"/>
  <c r="V102" i="14"/>
  <c r="W102" i="14"/>
  <c r="V103" i="14"/>
  <c r="W103" i="14"/>
  <c r="V104" i="14"/>
  <c r="W104" i="14"/>
  <c r="V105" i="14"/>
  <c r="W105" i="14"/>
  <c r="V106" i="14"/>
  <c r="W106" i="14"/>
  <c r="V107" i="14"/>
  <c r="W107" i="14"/>
  <c r="V108" i="14"/>
  <c r="W108" i="14"/>
  <c r="V109" i="14"/>
  <c r="W109" i="14"/>
  <c r="V110" i="14"/>
  <c r="W110" i="14"/>
  <c r="V111" i="14"/>
  <c r="W111" i="14"/>
  <c r="V112" i="14"/>
  <c r="W112" i="14"/>
  <c r="V113" i="14"/>
  <c r="W113" i="14"/>
  <c r="W3" i="14"/>
  <c r="V3" i="14"/>
  <c r="X4" i="15"/>
  <c r="X5" i="15"/>
  <c r="X6" i="15"/>
  <c r="X7" i="15"/>
  <c r="X8" i="15"/>
  <c r="X9" i="15"/>
  <c r="X10" i="15"/>
  <c r="X11" i="15"/>
  <c r="X12" i="15"/>
  <c r="X13" i="15"/>
  <c r="X14" i="15"/>
  <c r="X15" i="15"/>
  <c r="X16" i="15"/>
  <c r="X17" i="15"/>
  <c r="X18" i="15"/>
  <c r="X19" i="15"/>
  <c r="X20" i="15"/>
  <c r="X21" i="15"/>
  <c r="X22" i="15"/>
  <c r="X23" i="15"/>
  <c r="X24" i="15"/>
  <c r="X25" i="15"/>
  <c r="X26" i="15"/>
  <c r="X27" i="15"/>
  <c r="X28" i="15"/>
  <c r="X29" i="15"/>
  <c r="X30" i="15"/>
  <c r="X31" i="15"/>
  <c r="X32" i="15"/>
  <c r="X33" i="15"/>
  <c r="X34" i="15"/>
  <c r="X35" i="15"/>
  <c r="X36" i="15"/>
  <c r="X37" i="15"/>
  <c r="X38" i="15"/>
  <c r="X39" i="15"/>
  <c r="X40" i="15"/>
  <c r="X41" i="15"/>
  <c r="X42" i="15"/>
  <c r="X43" i="15"/>
  <c r="X44" i="15"/>
  <c r="X45" i="15"/>
  <c r="X46" i="15"/>
  <c r="X47" i="15"/>
  <c r="X48" i="15"/>
  <c r="X49" i="15"/>
  <c r="X50" i="15"/>
  <c r="X51" i="15"/>
  <c r="X52" i="15"/>
  <c r="X53" i="15"/>
  <c r="X54" i="15"/>
  <c r="X55" i="15"/>
  <c r="X56" i="15"/>
  <c r="X57" i="15"/>
  <c r="X58" i="15"/>
  <c r="X59" i="15"/>
  <c r="X60" i="15"/>
  <c r="X61" i="15"/>
  <c r="X62" i="15"/>
  <c r="X63" i="15"/>
  <c r="X64" i="15"/>
  <c r="X65" i="15"/>
  <c r="X66" i="15"/>
  <c r="X67" i="15"/>
  <c r="X68" i="15"/>
  <c r="X69" i="15"/>
  <c r="X70" i="15"/>
  <c r="X71" i="15"/>
  <c r="X72" i="15"/>
  <c r="X73" i="15"/>
  <c r="X74" i="15"/>
  <c r="X75" i="15"/>
  <c r="X76" i="15"/>
  <c r="X77" i="15"/>
  <c r="X78" i="15"/>
  <c r="X79" i="15"/>
  <c r="X80" i="15"/>
  <c r="X81" i="15"/>
  <c r="X82" i="15"/>
  <c r="X83" i="15"/>
  <c r="X84" i="15"/>
  <c r="X85" i="15"/>
  <c r="X86" i="15"/>
  <c r="X87" i="15"/>
  <c r="X88" i="15"/>
  <c r="X89" i="15"/>
  <c r="X90" i="15"/>
  <c r="X91" i="15"/>
  <c r="X92" i="15"/>
  <c r="X93" i="15"/>
  <c r="X94" i="15"/>
  <c r="X95" i="15"/>
  <c r="X96" i="15"/>
  <c r="X97" i="15"/>
  <c r="X98" i="15"/>
  <c r="X99" i="15"/>
  <c r="X100" i="15"/>
  <c r="X101" i="15"/>
  <c r="X102" i="15"/>
  <c r="X103" i="15"/>
  <c r="X104" i="15"/>
  <c r="X105" i="15"/>
  <c r="X106" i="15"/>
  <c r="X107" i="15"/>
  <c r="X108" i="15"/>
  <c r="X109" i="15"/>
  <c r="X110" i="15"/>
  <c r="X111" i="15"/>
  <c r="X112" i="15"/>
  <c r="X113" i="15"/>
  <c r="X114" i="15"/>
  <c r="X115" i="15"/>
  <c r="X116" i="15"/>
  <c r="X117" i="15"/>
  <c r="X118" i="15"/>
  <c r="X3" i="15"/>
  <c r="W4" i="15"/>
  <c r="W5" i="15"/>
  <c r="W6" i="15"/>
  <c r="W7" i="15"/>
  <c r="W8" i="15"/>
  <c r="W9" i="15"/>
  <c r="W10" i="15"/>
  <c r="W11" i="15"/>
  <c r="W12" i="15"/>
  <c r="W13" i="15"/>
  <c r="W14" i="15"/>
  <c r="W15" i="15"/>
  <c r="W16" i="15"/>
  <c r="W17" i="15"/>
  <c r="W18" i="15"/>
  <c r="W19" i="15"/>
  <c r="W20" i="15"/>
  <c r="W21" i="15"/>
  <c r="W22" i="15"/>
  <c r="W23" i="15"/>
  <c r="W24" i="15"/>
  <c r="W25" i="15"/>
  <c r="W26" i="15"/>
  <c r="W27" i="15"/>
  <c r="W28" i="15"/>
  <c r="W29" i="15"/>
  <c r="W30" i="15"/>
  <c r="W31" i="15"/>
  <c r="W32" i="15"/>
  <c r="W33" i="15"/>
  <c r="W34" i="15"/>
  <c r="W35" i="15"/>
  <c r="W36" i="15"/>
  <c r="W37" i="15"/>
  <c r="W38" i="15"/>
  <c r="W39" i="15"/>
  <c r="W40" i="15"/>
  <c r="W41" i="15"/>
  <c r="W42" i="15"/>
  <c r="W43" i="15"/>
  <c r="W44" i="15"/>
  <c r="W45" i="15"/>
  <c r="W46" i="15"/>
  <c r="W47" i="15"/>
  <c r="W48" i="15"/>
  <c r="W49" i="15"/>
  <c r="W50" i="15"/>
  <c r="W51" i="15"/>
  <c r="W52" i="15"/>
  <c r="W53" i="15"/>
  <c r="W54" i="15"/>
  <c r="W55" i="15"/>
  <c r="W56" i="15"/>
  <c r="W57" i="15"/>
  <c r="W58" i="15"/>
  <c r="W59" i="15"/>
  <c r="W60" i="15"/>
  <c r="W61" i="15"/>
  <c r="W62" i="15"/>
  <c r="W63" i="15"/>
  <c r="W64" i="15"/>
  <c r="W65" i="15"/>
  <c r="W66" i="15"/>
  <c r="W67" i="15"/>
  <c r="W68" i="15"/>
  <c r="W69" i="15"/>
  <c r="W70" i="15"/>
  <c r="W71" i="15"/>
  <c r="W72" i="15"/>
  <c r="W73" i="15"/>
  <c r="W74" i="15"/>
  <c r="W75" i="15"/>
  <c r="W76" i="15"/>
  <c r="W77" i="15"/>
  <c r="W78" i="15"/>
  <c r="W79" i="15"/>
  <c r="W80" i="15"/>
  <c r="W81" i="15"/>
  <c r="W82" i="15"/>
  <c r="W83" i="15"/>
  <c r="W84" i="15"/>
  <c r="W85" i="15"/>
  <c r="W86" i="15"/>
  <c r="W87" i="15"/>
  <c r="W88" i="15"/>
  <c r="W89" i="15"/>
  <c r="W90" i="15"/>
  <c r="W91" i="15"/>
  <c r="W92" i="15"/>
  <c r="W93" i="15"/>
  <c r="W94" i="15"/>
  <c r="W95" i="15"/>
  <c r="W96" i="15"/>
  <c r="W97" i="15"/>
  <c r="W98" i="15"/>
  <c r="W99" i="15"/>
  <c r="W100" i="15"/>
  <c r="W101" i="15"/>
  <c r="W102" i="15"/>
  <c r="W103" i="15"/>
  <c r="W104" i="15"/>
  <c r="W105" i="15"/>
  <c r="W106" i="15"/>
  <c r="W107" i="15"/>
  <c r="W108" i="15"/>
  <c r="W109" i="15"/>
  <c r="W110" i="15"/>
  <c r="W111" i="15"/>
  <c r="W112" i="15"/>
  <c r="W113" i="15"/>
  <c r="W114" i="15"/>
  <c r="W115" i="15"/>
  <c r="W116" i="15"/>
  <c r="W117" i="15"/>
  <c r="W118" i="15"/>
  <c r="W3" i="15"/>
  <c r="C159" i="20" l="1"/>
  <c r="C158" i="20"/>
  <c r="C167" i="20"/>
  <c r="C154" i="20"/>
  <c r="C157" i="20"/>
  <c r="C247" i="20"/>
  <c r="E176" i="20" s="1"/>
  <c r="C246" i="20"/>
  <c r="E175" i="20" s="1"/>
  <c r="C245" i="20"/>
  <c r="E174" i="20" s="1"/>
  <c r="C244" i="20"/>
  <c r="E173" i="20" s="1"/>
  <c r="C256" i="20"/>
  <c r="E185" i="20" s="1"/>
  <c r="C147" i="20"/>
  <c r="C146" i="20"/>
  <c r="C155" i="20"/>
  <c r="C241" i="20"/>
  <c r="E170" i="20" s="1"/>
  <c r="C144" i="20"/>
  <c r="C235" i="20"/>
  <c r="E164" i="20" s="1"/>
  <c r="C234" i="20"/>
  <c r="E163" i="20" s="1"/>
  <c r="C233" i="20"/>
  <c r="E162" i="20" s="1"/>
  <c r="C232" i="20"/>
  <c r="E161" i="20" s="1"/>
  <c r="C257" i="20"/>
  <c r="E186" i="20" s="1"/>
  <c r="C229" i="20"/>
  <c r="E158" i="20" s="1"/>
  <c r="C145" i="20"/>
  <c r="C217" i="20"/>
  <c r="E146" i="20" s="1"/>
  <c r="C143" i="20"/>
  <c r="C204" i="20"/>
  <c r="D164" i="20" s="1"/>
  <c r="C248" i="20"/>
  <c r="E177" i="20" s="1"/>
  <c r="C223" i="20"/>
  <c r="E152" i="20" s="1"/>
  <c r="C222" i="20"/>
  <c r="E151" i="20" s="1"/>
  <c r="C221" i="20"/>
  <c r="E150" i="20" s="1"/>
  <c r="C220" i="20"/>
  <c r="E149" i="20" s="1"/>
  <c r="C205" i="20"/>
  <c r="D165" i="20" s="1"/>
  <c r="C192" i="20"/>
  <c r="D152" i="20" s="1"/>
  <c r="C156" i="20"/>
  <c r="C252" i="20"/>
  <c r="E181" i="20" s="1"/>
  <c r="C181" i="20"/>
  <c r="C249" i="20"/>
  <c r="E178" i="20" s="1"/>
  <c r="C236" i="20"/>
  <c r="E165" i="20" s="1"/>
  <c r="C211" i="20"/>
  <c r="D171" i="20" s="1"/>
  <c r="C210" i="20"/>
  <c r="D170" i="20" s="1"/>
  <c r="C209" i="20"/>
  <c r="D169" i="20" s="1"/>
  <c r="C208" i="20"/>
  <c r="D168" i="20" s="1"/>
  <c r="C255" i="20"/>
  <c r="E184" i="20" s="1"/>
  <c r="C254" i="20"/>
  <c r="E183" i="20" s="1"/>
  <c r="C168" i="20"/>
  <c r="C250" i="20"/>
  <c r="E179" i="20" s="1"/>
  <c r="C237" i="20"/>
  <c r="E166" i="20" s="1"/>
  <c r="C224" i="20"/>
  <c r="E153" i="20" s="1"/>
  <c r="C199" i="20"/>
  <c r="D159" i="20" s="1"/>
  <c r="C198" i="20"/>
  <c r="D158" i="20" s="1"/>
  <c r="C197" i="20"/>
  <c r="D157" i="20" s="1"/>
  <c r="C196" i="20"/>
  <c r="D156" i="20" s="1"/>
  <c r="C216" i="20"/>
  <c r="E145" i="20" s="1"/>
  <c r="C243" i="20"/>
  <c r="E172" i="20" s="1"/>
  <c r="C242" i="20"/>
  <c r="E171" i="20" s="1"/>
  <c r="C251" i="20"/>
  <c r="E180" i="20" s="1"/>
  <c r="C238" i="20"/>
  <c r="E167" i="20" s="1"/>
  <c r="C225" i="20"/>
  <c r="E154" i="20" s="1"/>
  <c r="C212" i="20"/>
  <c r="D172" i="20" s="1"/>
  <c r="C187" i="20"/>
  <c r="D147" i="20" s="1"/>
  <c r="C186" i="20"/>
  <c r="D146" i="20" s="1"/>
  <c r="C185" i="20"/>
  <c r="D145" i="20" s="1"/>
  <c r="C184" i="20"/>
  <c r="D144" i="20" s="1"/>
  <c r="C231" i="20"/>
  <c r="E160" i="20" s="1"/>
  <c r="C230" i="20"/>
  <c r="E159" i="20" s="1"/>
  <c r="C239" i="20"/>
  <c r="E168" i="20" s="1"/>
  <c r="C226" i="20"/>
  <c r="E155" i="20" s="1"/>
  <c r="C213" i="20"/>
  <c r="E142" i="20" s="1"/>
  <c r="C200" i="20"/>
  <c r="D160" i="20" s="1"/>
  <c r="C175" i="20"/>
  <c r="C174" i="20"/>
  <c r="C173" i="20"/>
  <c r="C172" i="20"/>
  <c r="C24" i="20"/>
  <c r="D4" i="20" s="1"/>
  <c r="C219" i="20"/>
  <c r="E148" i="20" s="1"/>
  <c r="C218" i="20"/>
  <c r="E147" i="20" s="1"/>
  <c r="C227" i="20"/>
  <c r="E156" i="20" s="1"/>
  <c r="C214" i="20"/>
  <c r="E143" i="20" s="1"/>
  <c r="C201" i="20"/>
  <c r="D161" i="20" s="1"/>
  <c r="C188" i="20"/>
  <c r="D148" i="20" s="1"/>
  <c r="C163" i="20"/>
  <c r="C162" i="20"/>
  <c r="C161" i="20"/>
  <c r="C160" i="20"/>
  <c r="C12" i="20"/>
  <c r="F12" i="20" s="1"/>
  <c r="C207" i="20"/>
  <c r="D167" i="20" s="1"/>
  <c r="C206" i="20"/>
  <c r="D166" i="20" s="1"/>
  <c r="C215" i="20"/>
  <c r="E144" i="20" s="1"/>
  <c r="C202" i="20"/>
  <c r="D162" i="20" s="1"/>
  <c r="C189" i="20"/>
  <c r="D149" i="20" s="1"/>
  <c r="C176" i="20"/>
  <c r="C151" i="20"/>
  <c r="C150" i="20"/>
  <c r="C149" i="20"/>
  <c r="C148" i="20"/>
  <c r="C13" i="20"/>
  <c r="F13" i="20" s="1"/>
  <c r="C195" i="20"/>
  <c r="D155" i="20" s="1"/>
  <c r="C194" i="20"/>
  <c r="D154" i="20" s="1"/>
  <c r="C203" i="20"/>
  <c r="D163" i="20" s="1"/>
  <c r="C190" i="20"/>
  <c r="D150" i="20" s="1"/>
  <c r="C177" i="20"/>
  <c r="C164" i="20"/>
  <c r="C169" i="20"/>
  <c r="C253" i="20"/>
  <c r="E182" i="20" s="1"/>
  <c r="C193" i="20"/>
  <c r="D153" i="20" s="1"/>
  <c r="C58" i="20"/>
  <c r="E22" i="20" s="1"/>
  <c r="C46" i="20"/>
  <c r="E10" i="20" s="1"/>
  <c r="C34" i="20"/>
  <c r="D14" i="20" s="1"/>
  <c r="C30" i="20"/>
  <c r="D10" i="20" s="1"/>
  <c r="C6" i="20"/>
  <c r="F6" i="20" s="1"/>
  <c r="C54" i="20"/>
  <c r="E18" i="20" s="1"/>
  <c r="C29" i="20"/>
  <c r="D9" i="20" s="1"/>
  <c r="C18" i="20"/>
  <c r="F18" i="20" s="1"/>
  <c r="C40" i="20"/>
  <c r="E4" i="20" s="1"/>
  <c r="C48" i="20"/>
  <c r="E12" i="20" s="1"/>
  <c r="C20" i="20"/>
  <c r="F20" i="20" s="1"/>
  <c r="C36" i="20"/>
  <c r="D16" i="20" s="1"/>
  <c r="C8" i="20"/>
  <c r="F8" i="20" s="1"/>
  <c r="C53" i="20"/>
  <c r="E17" i="20" s="1"/>
  <c r="C59" i="20"/>
  <c r="E23" i="20" s="1"/>
  <c r="C22" i="20"/>
  <c r="F22" i="20" s="1"/>
  <c r="C16" i="20"/>
  <c r="F16" i="20" s="1"/>
  <c r="C27" i="20"/>
  <c r="D7" i="20" s="1"/>
  <c r="C41" i="20"/>
  <c r="E5" i="20" s="1"/>
  <c r="C47" i="20"/>
  <c r="E11" i="20" s="1"/>
  <c r="C10" i="20"/>
  <c r="F10" i="20" s="1"/>
  <c r="C50" i="20"/>
  <c r="E14" i="20" s="1"/>
  <c r="C15" i="20"/>
  <c r="F15" i="20" s="1"/>
  <c r="C17" i="20"/>
  <c r="F17" i="20" s="1"/>
  <c r="C35" i="20"/>
  <c r="D15" i="20" s="1"/>
  <c r="C57" i="20"/>
  <c r="E21" i="20" s="1"/>
  <c r="C38" i="20"/>
  <c r="D18" i="20" s="1"/>
  <c r="C55" i="20"/>
  <c r="E19" i="20" s="1"/>
  <c r="C5" i="20"/>
  <c r="F5" i="20" s="1"/>
  <c r="C23" i="20"/>
  <c r="D3" i="20" s="1"/>
  <c r="C45" i="20"/>
  <c r="E9" i="20" s="1"/>
  <c r="C26" i="20"/>
  <c r="D6" i="20" s="1"/>
  <c r="C43" i="20"/>
  <c r="E7" i="20" s="1"/>
  <c r="C52" i="20"/>
  <c r="E16" i="20" s="1"/>
  <c r="C11" i="20"/>
  <c r="F11" i="20" s="1"/>
  <c r="C33" i="20"/>
  <c r="D13" i="20" s="1"/>
  <c r="C14" i="20"/>
  <c r="F14" i="20" s="1"/>
  <c r="C31" i="20"/>
  <c r="D11" i="20" s="1"/>
  <c r="C28" i="20"/>
  <c r="D8" i="20" s="1"/>
  <c r="C49" i="20"/>
  <c r="E13" i="20" s="1"/>
  <c r="C21" i="20"/>
  <c r="F21" i="20" s="1"/>
  <c r="C56" i="20"/>
  <c r="E20" i="20" s="1"/>
  <c r="C19" i="20"/>
  <c r="F19" i="20" s="1"/>
  <c r="C4" i="20"/>
  <c r="F4" i="20" s="1"/>
  <c r="C37" i="20"/>
  <c r="D17" i="20" s="1"/>
  <c r="C9" i="20"/>
  <c r="F9" i="20" s="1"/>
  <c r="C44" i="20"/>
  <c r="E8" i="20" s="1"/>
  <c r="C7" i="20"/>
  <c r="F7" i="20" s="1"/>
  <c r="C60" i="20"/>
  <c r="E24" i="20" s="1"/>
  <c r="C25" i="20"/>
  <c r="D5" i="20" s="1"/>
  <c r="C42" i="20"/>
  <c r="E6" i="20" s="1"/>
  <c r="C32" i="20"/>
  <c r="D12" i="20" s="1"/>
  <c r="B72" i="20"/>
  <c r="C72" i="20" s="1"/>
  <c r="F72" i="20" s="1"/>
  <c r="C73" i="20"/>
  <c r="F73" i="20" s="1"/>
  <c r="C85" i="20"/>
  <c r="F85" i="20" s="1"/>
  <c r="C97" i="20"/>
  <c r="D77" i="20" s="1"/>
  <c r="C109" i="20"/>
  <c r="E74" i="20" s="1"/>
  <c r="C121" i="20"/>
  <c r="E86" i="20" s="1"/>
  <c r="C74" i="20"/>
  <c r="F74" i="20" s="1"/>
  <c r="C86" i="20"/>
  <c r="F86" i="20" s="1"/>
  <c r="C98" i="20"/>
  <c r="D78" i="20" s="1"/>
  <c r="C110" i="20"/>
  <c r="E75" i="20" s="1"/>
  <c r="C122" i="20"/>
  <c r="E87" i="20" s="1"/>
  <c r="C75" i="20"/>
  <c r="F75" i="20" s="1"/>
  <c r="C87" i="20"/>
  <c r="F87" i="20" s="1"/>
  <c r="C99" i="20"/>
  <c r="D79" i="20" s="1"/>
  <c r="C111" i="20"/>
  <c r="E76" i="20" s="1"/>
  <c r="C123" i="20"/>
  <c r="E88" i="20" s="1"/>
  <c r="C76" i="20"/>
  <c r="F76" i="20" s="1"/>
  <c r="C88" i="20"/>
  <c r="F88" i="20" s="1"/>
  <c r="C100" i="20"/>
  <c r="D80" i="20" s="1"/>
  <c r="C112" i="20"/>
  <c r="E77" i="20" s="1"/>
  <c r="C124" i="20"/>
  <c r="E89" i="20" s="1"/>
  <c r="C77" i="20"/>
  <c r="F77" i="20" s="1"/>
  <c r="C89" i="20"/>
  <c r="F89" i="20" s="1"/>
  <c r="C101" i="20"/>
  <c r="D81" i="20" s="1"/>
  <c r="C113" i="20"/>
  <c r="E78" i="20" s="1"/>
  <c r="C125" i="20"/>
  <c r="E90" i="20" s="1"/>
  <c r="C78" i="20"/>
  <c r="F78" i="20" s="1"/>
  <c r="C90" i="20"/>
  <c r="F90" i="20" s="1"/>
  <c r="C102" i="20"/>
  <c r="D82" i="20" s="1"/>
  <c r="C114" i="20"/>
  <c r="E79" i="20" s="1"/>
  <c r="C126" i="20"/>
  <c r="E91" i="20" s="1"/>
  <c r="C79" i="20"/>
  <c r="F79" i="20" s="1"/>
  <c r="C91" i="20"/>
  <c r="F91" i="20" s="1"/>
  <c r="C103" i="20"/>
  <c r="D83" i="20" s="1"/>
  <c r="C115" i="20"/>
  <c r="E80" i="20" s="1"/>
  <c r="C127" i="20"/>
  <c r="E92" i="20" s="1"/>
  <c r="C80" i="20"/>
  <c r="F80" i="20" s="1"/>
  <c r="C92" i="20"/>
  <c r="D72" i="20" s="1"/>
  <c r="C104" i="20"/>
  <c r="D84" i="20" s="1"/>
  <c r="C116" i="20"/>
  <c r="E81" i="20" s="1"/>
  <c r="C128" i="20"/>
  <c r="E93" i="20" s="1"/>
  <c r="C81" i="20"/>
  <c r="F81" i="20" s="1"/>
  <c r="C93" i="20"/>
  <c r="D73" i="20" s="1"/>
  <c r="C105" i="20"/>
  <c r="D85" i="20" s="1"/>
  <c r="C117" i="20"/>
  <c r="E82" i="20" s="1"/>
  <c r="C129" i="20"/>
  <c r="E94" i="20" s="1"/>
  <c r="C82" i="20"/>
  <c r="F82" i="20" s="1"/>
  <c r="C94" i="20"/>
  <c r="D74" i="20" s="1"/>
  <c r="C106" i="20"/>
  <c r="D86" i="20" s="1"/>
  <c r="C118" i="20"/>
  <c r="E83" i="20" s="1"/>
  <c r="C83" i="20"/>
  <c r="F83" i="20" s="1"/>
  <c r="C95" i="20"/>
  <c r="D75" i="20" s="1"/>
  <c r="C107" i="20"/>
  <c r="E72" i="20" s="1"/>
  <c r="C119" i="20"/>
  <c r="E84" i="20" s="1"/>
  <c r="C84" i="20"/>
  <c r="F84" i="20" s="1"/>
  <c r="C96" i="20"/>
  <c r="D76" i="20" s="1"/>
  <c r="C108" i="20"/>
  <c r="E73" i="20" s="1"/>
  <c r="C120" i="20"/>
  <c r="E85" i="20" s="1"/>
  <c r="B2" i="18" a="1"/>
  <c r="B2" i="18" s="1"/>
  <c r="B232" i="17"/>
  <c r="C243" i="17"/>
  <c r="C255" i="17"/>
  <c r="C267" i="17"/>
  <c r="C279" i="17"/>
  <c r="C291" i="17"/>
  <c r="C303" i="17"/>
  <c r="D243" i="17" s="1"/>
  <c r="C315" i="17"/>
  <c r="D255" i="17" s="1"/>
  <c r="C327" i="17"/>
  <c r="D267" i="17" s="1"/>
  <c r="C339" i="17"/>
  <c r="D279" i="17" s="1"/>
  <c r="C351" i="17"/>
  <c r="D291" i="17" s="1"/>
  <c r="C363" i="17"/>
  <c r="D303" i="17" s="1"/>
  <c r="C375" i="17"/>
  <c r="E237" i="17" s="1"/>
  <c r="C387" i="17"/>
  <c r="E249" i="17" s="1"/>
  <c r="C399" i="17"/>
  <c r="E261" i="17" s="1"/>
  <c r="C411" i="17"/>
  <c r="E273" i="17" s="1"/>
  <c r="C423" i="17"/>
  <c r="E285" i="17" s="1"/>
  <c r="C435" i="17"/>
  <c r="E297" i="17" s="1"/>
  <c r="C290" i="17"/>
  <c r="C244" i="17"/>
  <c r="C256" i="17"/>
  <c r="C268" i="17"/>
  <c r="C280" i="17"/>
  <c r="C292" i="17"/>
  <c r="D232" i="17" s="1"/>
  <c r="C304" i="17"/>
  <c r="D244" i="17" s="1"/>
  <c r="C316" i="17"/>
  <c r="D256" i="17" s="1"/>
  <c r="C328" i="17"/>
  <c r="D268" i="17" s="1"/>
  <c r="C340" i="17"/>
  <c r="D280" i="17" s="1"/>
  <c r="C352" i="17"/>
  <c r="D292" i="17" s="1"/>
  <c r="C364" i="17"/>
  <c r="D304" i="17" s="1"/>
  <c r="C376" i="17"/>
  <c r="E238" i="17" s="1"/>
  <c r="C388" i="17"/>
  <c r="E250" i="17" s="1"/>
  <c r="C400" i="17"/>
  <c r="E262" i="17" s="1"/>
  <c r="C412" i="17"/>
  <c r="E274" i="17" s="1"/>
  <c r="C424" i="17"/>
  <c r="E286" i="17" s="1"/>
  <c r="C436" i="17"/>
  <c r="E298" i="17" s="1"/>
  <c r="C233" i="17"/>
  <c r="C245" i="17"/>
  <c r="C257" i="17"/>
  <c r="C269" i="17"/>
  <c r="C281" i="17"/>
  <c r="C293" i="17"/>
  <c r="D233" i="17" s="1"/>
  <c r="C305" i="17"/>
  <c r="D245" i="17" s="1"/>
  <c r="C317" i="17"/>
  <c r="D257" i="17" s="1"/>
  <c r="C329" i="17"/>
  <c r="D269" i="17" s="1"/>
  <c r="C341" i="17"/>
  <c r="D281" i="17" s="1"/>
  <c r="C353" i="17"/>
  <c r="D293" i="17" s="1"/>
  <c r="C365" i="17"/>
  <c r="D305" i="17" s="1"/>
  <c r="C377" i="17"/>
  <c r="E239" i="17" s="1"/>
  <c r="C389" i="17"/>
  <c r="E251" i="17" s="1"/>
  <c r="C401" i="17"/>
  <c r="E263" i="17" s="1"/>
  <c r="C413" i="17"/>
  <c r="E275" i="17" s="1"/>
  <c r="C425" i="17"/>
  <c r="E287" i="17" s="1"/>
  <c r="C437" i="17"/>
  <c r="E299" i="17" s="1"/>
  <c r="C234" i="17"/>
  <c r="C246" i="17"/>
  <c r="C258" i="17"/>
  <c r="C270" i="17"/>
  <c r="C282" i="17"/>
  <c r="C294" i="17"/>
  <c r="D234" i="17" s="1"/>
  <c r="C306" i="17"/>
  <c r="D246" i="17" s="1"/>
  <c r="C318" i="17"/>
  <c r="D258" i="17" s="1"/>
  <c r="C330" i="17"/>
  <c r="D270" i="17" s="1"/>
  <c r="C342" i="17"/>
  <c r="D282" i="17" s="1"/>
  <c r="C354" i="17"/>
  <c r="D294" i="17" s="1"/>
  <c r="C366" i="17"/>
  <c r="D306" i="17" s="1"/>
  <c r="C378" i="17"/>
  <c r="E240" i="17" s="1"/>
  <c r="C390" i="17"/>
  <c r="E252" i="17" s="1"/>
  <c r="C402" i="17"/>
  <c r="E264" i="17" s="1"/>
  <c r="C414" i="17"/>
  <c r="E276" i="17" s="1"/>
  <c r="C426" i="17"/>
  <c r="E288" i="17" s="1"/>
  <c r="C386" i="17"/>
  <c r="E248" i="17" s="1"/>
  <c r="C235" i="17"/>
  <c r="C247" i="17"/>
  <c r="C259" i="17"/>
  <c r="C271" i="17"/>
  <c r="C283" i="17"/>
  <c r="C295" i="17"/>
  <c r="D235" i="17" s="1"/>
  <c r="C307" i="17"/>
  <c r="D247" i="17" s="1"/>
  <c r="C319" i="17"/>
  <c r="D259" i="17" s="1"/>
  <c r="C331" i="17"/>
  <c r="D271" i="17" s="1"/>
  <c r="C343" i="17"/>
  <c r="D283" i="17" s="1"/>
  <c r="C355" i="17"/>
  <c r="D295" i="17" s="1"/>
  <c r="C367" i="17"/>
  <c r="D307" i="17" s="1"/>
  <c r="C379" i="17"/>
  <c r="E241" i="17" s="1"/>
  <c r="C391" i="17"/>
  <c r="E253" i="17" s="1"/>
  <c r="C403" i="17"/>
  <c r="E265" i="17" s="1"/>
  <c r="C415" i="17"/>
  <c r="E277" i="17" s="1"/>
  <c r="C427" i="17"/>
  <c r="E289" i="17" s="1"/>
  <c r="C236" i="17"/>
  <c r="C248" i="17"/>
  <c r="C260" i="17"/>
  <c r="C272" i="17"/>
  <c r="C284" i="17"/>
  <c r="C296" i="17"/>
  <c r="D236" i="17" s="1"/>
  <c r="C308" i="17"/>
  <c r="D248" i="17" s="1"/>
  <c r="C320" i="17"/>
  <c r="D260" i="17" s="1"/>
  <c r="C332" i="17"/>
  <c r="D272" i="17" s="1"/>
  <c r="C344" i="17"/>
  <c r="D284" i="17" s="1"/>
  <c r="C356" i="17"/>
  <c r="D296" i="17" s="1"/>
  <c r="C368" i="17"/>
  <c r="D308" i="17" s="1"/>
  <c r="C380" i="17"/>
  <c r="E242" i="17" s="1"/>
  <c r="C392" i="17"/>
  <c r="E254" i="17" s="1"/>
  <c r="C404" i="17"/>
  <c r="E266" i="17" s="1"/>
  <c r="C416" i="17"/>
  <c r="E278" i="17" s="1"/>
  <c r="C428" i="17"/>
  <c r="E290" i="17" s="1"/>
  <c r="C242" i="17"/>
  <c r="C302" i="17"/>
  <c r="D242" i="17" s="1"/>
  <c r="C326" i="17"/>
  <c r="D266" i="17" s="1"/>
  <c r="C362" i="17"/>
  <c r="D302" i="17" s="1"/>
  <c r="C434" i="17"/>
  <c r="E296" i="17" s="1"/>
  <c r="C237" i="17"/>
  <c r="C249" i="17"/>
  <c r="C261" i="17"/>
  <c r="C273" i="17"/>
  <c r="C285" i="17"/>
  <c r="C297" i="17"/>
  <c r="D237" i="17" s="1"/>
  <c r="C309" i="17"/>
  <c r="D249" i="17" s="1"/>
  <c r="C321" i="17"/>
  <c r="D261" i="17" s="1"/>
  <c r="C333" i="17"/>
  <c r="D273" i="17" s="1"/>
  <c r="C345" i="17"/>
  <c r="D285" i="17" s="1"/>
  <c r="C357" i="17"/>
  <c r="D297" i="17" s="1"/>
  <c r="C369" i="17"/>
  <c r="D309" i="17" s="1"/>
  <c r="C381" i="17"/>
  <c r="E243" i="17" s="1"/>
  <c r="C393" i="17"/>
  <c r="E255" i="17" s="1"/>
  <c r="C405" i="17"/>
  <c r="E267" i="17" s="1"/>
  <c r="C417" i="17"/>
  <c r="E279" i="17" s="1"/>
  <c r="C429" i="17"/>
  <c r="E291" i="17" s="1"/>
  <c r="C410" i="17"/>
  <c r="E272" i="17" s="1"/>
  <c r="C238" i="17"/>
  <c r="C250" i="17"/>
  <c r="C262" i="17"/>
  <c r="C274" i="17"/>
  <c r="C286" i="17"/>
  <c r="C298" i="17"/>
  <c r="D238" i="17" s="1"/>
  <c r="C310" i="17"/>
  <c r="D250" i="17" s="1"/>
  <c r="C322" i="17"/>
  <c r="D262" i="17" s="1"/>
  <c r="C334" i="17"/>
  <c r="D274" i="17" s="1"/>
  <c r="C346" i="17"/>
  <c r="D286" i="17" s="1"/>
  <c r="C358" i="17"/>
  <c r="D298" i="17" s="1"/>
  <c r="C370" i="17"/>
  <c r="E232" i="17" s="1"/>
  <c r="C382" i="17"/>
  <c r="E244" i="17" s="1"/>
  <c r="C394" i="17"/>
  <c r="E256" i="17" s="1"/>
  <c r="C406" i="17"/>
  <c r="E268" i="17" s="1"/>
  <c r="C418" i="17"/>
  <c r="E280" i="17" s="1"/>
  <c r="C430" i="17"/>
  <c r="E292" i="17" s="1"/>
  <c r="C266" i="17"/>
  <c r="C350" i="17"/>
  <c r="D290" i="17" s="1"/>
  <c r="C239" i="17"/>
  <c r="C251" i="17"/>
  <c r="C263" i="17"/>
  <c r="C275" i="17"/>
  <c r="C287" i="17"/>
  <c r="C299" i="17"/>
  <c r="D239" i="17" s="1"/>
  <c r="C311" i="17"/>
  <c r="D251" i="17" s="1"/>
  <c r="C323" i="17"/>
  <c r="D263" i="17" s="1"/>
  <c r="C335" i="17"/>
  <c r="D275" i="17" s="1"/>
  <c r="C347" i="17"/>
  <c r="D287" i="17" s="1"/>
  <c r="C359" i="17"/>
  <c r="D299" i="17" s="1"/>
  <c r="C371" i="17"/>
  <c r="E233" i="17" s="1"/>
  <c r="C383" i="17"/>
  <c r="E245" i="17" s="1"/>
  <c r="C395" i="17"/>
  <c r="E257" i="17" s="1"/>
  <c r="C407" i="17"/>
  <c r="E269" i="17" s="1"/>
  <c r="C419" i="17"/>
  <c r="E281" i="17" s="1"/>
  <c r="C431" i="17"/>
  <c r="E293" i="17" s="1"/>
  <c r="C240" i="17"/>
  <c r="C252" i="17"/>
  <c r="C264" i="17"/>
  <c r="C276" i="17"/>
  <c r="C288" i="17"/>
  <c r="C300" i="17"/>
  <c r="D240" i="17" s="1"/>
  <c r="C312" i="17"/>
  <c r="D252" i="17" s="1"/>
  <c r="C324" i="17"/>
  <c r="D264" i="17" s="1"/>
  <c r="C336" i="17"/>
  <c r="D276" i="17" s="1"/>
  <c r="C348" i="17"/>
  <c r="D288" i="17" s="1"/>
  <c r="C360" i="17"/>
  <c r="D300" i="17" s="1"/>
  <c r="C372" i="17"/>
  <c r="E234" i="17" s="1"/>
  <c r="C384" i="17"/>
  <c r="E246" i="17" s="1"/>
  <c r="C396" i="17"/>
  <c r="E258" i="17" s="1"/>
  <c r="C408" i="17"/>
  <c r="E270" i="17" s="1"/>
  <c r="C420" i="17"/>
  <c r="E282" i="17" s="1"/>
  <c r="C432" i="17"/>
  <c r="E294" i="17" s="1"/>
  <c r="C278" i="17"/>
  <c r="C398" i="17"/>
  <c r="E260" i="17" s="1"/>
  <c r="C241" i="17"/>
  <c r="C253" i="17"/>
  <c r="C265" i="17"/>
  <c r="C277" i="17"/>
  <c r="C289" i="17"/>
  <c r="C301" i="17"/>
  <c r="D241" i="17" s="1"/>
  <c r="C313" i="17"/>
  <c r="D253" i="17" s="1"/>
  <c r="C325" i="17"/>
  <c r="D265" i="17" s="1"/>
  <c r="C337" i="17"/>
  <c r="D277" i="17" s="1"/>
  <c r="C349" i="17"/>
  <c r="D289" i="17" s="1"/>
  <c r="C361" i="17"/>
  <c r="D301" i="17" s="1"/>
  <c r="C373" i="17"/>
  <c r="E235" i="17" s="1"/>
  <c r="C385" i="17"/>
  <c r="E247" i="17" s="1"/>
  <c r="C397" i="17"/>
  <c r="E259" i="17" s="1"/>
  <c r="C409" i="17"/>
  <c r="E271" i="17" s="1"/>
  <c r="C421" i="17"/>
  <c r="E283" i="17" s="1"/>
  <c r="C433" i="17"/>
  <c r="E295" i="17" s="1"/>
  <c r="C254" i="17"/>
  <c r="C314" i="17"/>
  <c r="D254" i="17" s="1"/>
  <c r="C338" i="17"/>
  <c r="D278" i="17" s="1"/>
  <c r="C374" i="17"/>
  <c r="E236" i="17" s="1"/>
  <c r="C422" i="17"/>
  <c r="E284" i="17" s="1"/>
  <c r="B94" i="17" a="1"/>
  <c r="C200" i="17" s="1"/>
  <c r="E115" i="17" s="1"/>
  <c r="C232" i="17"/>
  <c r="B3" i="17" a="1"/>
  <c r="B3" i="17" s="1"/>
  <c r="C3" i="17" s="1"/>
  <c r="F3" i="17" s="1"/>
  <c r="A3" i="15" a="1"/>
  <c r="A3" i="15" s="1"/>
  <c r="Q3" i="13"/>
  <c r="R3" i="13"/>
  <c r="S3" i="13"/>
  <c r="T3" i="13"/>
  <c r="U3" i="13"/>
  <c r="V3" i="13"/>
  <c r="W3" i="13"/>
  <c r="X3" i="13"/>
  <c r="Q4" i="13"/>
  <c r="R4" i="13"/>
  <c r="S4" i="13"/>
  <c r="T4" i="13"/>
  <c r="U4" i="13"/>
  <c r="V4" i="13"/>
  <c r="W4" i="13"/>
  <c r="X4" i="13"/>
  <c r="Q5" i="13"/>
  <c r="R5" i="13"/>
  <c r="S5" i="13"/>
  <c r="T5" i="13"/>
  <c r="U5" i="13"/>
  <c r="V5" i="13"/>
  <c r="W5" i="13"/>
  <c r="X5" i="13"/>
  <c r="Q6" i="13"/>
  <c r="R6" i="13"/>
  <c r="S6" i="13"/>
  <c r="T6" i="13"/>
  <c r="U6" i="13"/>
  <c r="V6" i="13"/>
  <c r="W6" i="13"/>
  <c r="X6" i="13"/>
  <c r="Q7" i="13"/>
  <c r="R7" i="13"/>
  <c r="S7" i="13"/>
  <c r="T7" i="13"/>
  <c r="U7" i="13"/>
  <c r="V7" i="13"/>
  <c r="W7" i="13"/>
  <c r="X7" i="13"/>
  <c r="Q8" i="13"/>
  <c r="R8" i="13"/>
  <c r="S8" i="13"/>
  <c r="T8" i="13"/>
  <c r="U8" i="13"/>
  <c r="V8" i="13"/>
  <c r="W8" i="13"/>
  <c r="X8" i="13"/>
  <c r="Q9" i="13"/>
  <c r="R9" i="13"/>
  <c r="S9" i="13"/>
  <c r="T9" i="13"/>
  <c r="U9" i="13"/>
  <c r="V9" i="13"/>
  <c r="W9" i="13"/>
  <c r="X9" i="13"/>
  <c r="Q10" i="13"/>
  <c r="R10" i="13"/>
  <c r="S10" i="13"/>
  <c r="T10" i="13"/>
  <c r="U10" i="13"/>
  <c r="V10" i="13"/>
  <c r="W10" i="13"/>
  <c r="X10" i="13"/>
  <c r="Q11" i="13"/>
  <c r="R11" i="13"/>
  <c r="S11" i="13"/>
  <c r="T11" i="13"/>
  <c r="U11" i="13"/>
  <c r="V11" i="13"/>
  <c r="W11" i="13"/>
  <c r="X11" i="13"/>
  <c r="Q12" i="13"/>
  <c r="R12" i="13"/>
  <c r="S12" i="13"/>
  <c r="T12" i="13"/>
  <c r="U12" i="13"/>
  <c r="V12" i="13"/>
  <c r="W12" i="13"/>
  <c r="X12" i="13"/>
  <c r="Q13" i="13"/>
  <c r="R13" i="13"/>
  <c r="S13" i="13"/>
  <c r="T13" i="13"/>
  <c r="U13" i="13"/>
  <c r="V13" i="13"/>
  <c r="W13" i="13"/>
  <c r="X13" i="13"/>
  <c r="Q14" i="13"/>
  <c r="R14" i="13"/>
  <c r="S14" i="13"/>
  <c r="T14" i="13"/>
  <c r="U14" i="13"/>
  <c r="V14" i="13"/>
  <c r="W14" i="13"/>
  <c r="X14" i="13"/>
  <c r="Q15" i="13"/>
  <c r="R15" i="13"/>
  <c r="S15" i="13"/>
  <c r="T15" i="13"/>
  <c r="U15" i="13"/>
  <c r="V15" i="13"/>
  <c r="W15" i="13"/>
  <c r="X15" i="13"/>
  <c r="Q16" i="13"/>
  <c r="R16" i="13"/>
  <c r="S16" i="13"/>
  <c r="T16" i="13"/>
  <c r="U16" i="13"/>
  <c r="V16" i="13"/>
  <c r="W16" i="13"/>
  <c r="X16" i="13"/>
  <c r="Q17" i="13"/>
  <c r="R17" i="13"/>
  <c r="S17" i="13"/>
  <c r="T17" i="13"/>
  <c r="U17" i="13"/>
  <c r="V17" i="13"/>
  <c r="W17" i="13"/>
  <c r="X17" i="13"/>
  <c r="Q18" i="13"/>
  <c r="R18" i="13"/>
  <c r="S18" i="13"/>
  <c r="T18" i="13"/>
  <c r="U18" i="13"/>
  <c r="V18" i="13"/>
  <c r="W18" i="13"/>
  <c r="X18" i="13"/>
  <c r="Q19" i="13"/>
  <c r="R19" i="13"/>
  <c r="S19" i="13"/>
  <c r="T19" i="13"/>
  <c r="U19" i="13"/>
  <c r="V19" i="13"/>
  <c r="W19" i="13"/>
  <c r="X19" i="13"/>
  <c r="Q20" i="13"/>
  <c r="R20" i="13"/>
  <c r="S20" i="13"/>
  <c r="T20" i="13"/>
  <c r="U20" i="13"/>
  <c r="V20" i="13"/>
  <c r="W20" i="13"/>
  <c r="X20" i="13"/>
  <c r="Q21" i="13"/>
  <c r="R21" i="13"/>
  <c r="S21" i="13"/>
  <c r="T21" i="13"/>
  <c r="U21" i="13"/>
  <c r="V21" i="13"/>
  <c r="W21" i="13"/>
  <c r="X21" i="13"/>
  <c r="Q22" i="13"/>
  <c r="R22" i="13"/>
  <c r="S22" i="13"/>
  <c r="T22" i="13"/>
  <c r="U22" i="13"/>
  <c r="V22" i="13"/>
  <c r="W22" i="13"/>
  <c r="X22" i="13"/>
  <c r="Q23" i="13"/>
  <c r="R23" i="13"/>
  <c r="S23" i="13"/>
  <c r="T23" i="13"/>
  <c r="U23" i="13"/>
  <c r="V23" i="13"/>
  <c r="W23" i="13"/>
  <c r="X23" i="13"/>
  <c r="Q24" i="13"/>
  <c r="R24" i="13"/>
  <c r="S24" i="13"/>
  <c r="T24" i="13"/>
  <c r="U24" i="13"/>
  <c r="V24" i="13"/>
  <c r="W24" i="13"/>
  <c r="X24" i="13"/>
  <c r="Q25" i="13"/>
  <c r="R25" i="13"/>
  <c r="S25" i="13"/>
  <c r="T25" i="13"/>
  <c r="U25" i="13"/>
  <c r="V25" i="13"/>
  <c r="W25" i="13"/>
  <c r="X25" i="13"/>
  <c r="Q26" i="13"/>
  <c r="R26" i="13"/>
  <c r="S26" i="13"/>
  <c r="T26" i="13"/>
  <c r="U26" i="13"/>
  <c r="V26" i="13"/>
  <c r="W26" i="13"/>
  <c r="X26" i="13"/>
  <c r="Q27" i="13"/>
  <c r="R27" i="13"/>
  <c r="S27" i="13"/>
  <c r="T27" i="13"/>
  <c r="U27" i="13"/>
  <c r="V27" i="13"/>
  <c r="W27" i="13"/>
  <c r="X27" i="13"/>
  <c r="Q28" i="13"/>
  <c r="R28" i="13"/>
  <c r="S28" i="13"/>
  <c r="T28" i="13"/>
  <c r="U28" i="13"/>
  <c r="V28" i="13"/>
  <c r="W28" i="13"/>
  <c r="X28" i="13"/>
  <c r="Q29" i="13"/>
  <c r="R29" i="13"/>
  <c r="S29" i="13"/>
  <c r="T29" i="13"/>
  <c r="U29" i="13"/>
  <c r="V29" i="13"/>
  <c r="W29" i="13"/>
  <c r="X29" i="13"/>
  <c r="Q30" i="13"/>
  <c r="R30" i="13"/>
  <c r="S30" i="13"/>
  <c r="T30" i="13"/>
  <c r="U30" i="13"/>
  <c r="V30" i="13"/>
  <c r="W30" i="13"/>
  <c r="X30" i="13"/>
  <c r="Q31" i="13"/>
  <c r="R31" i="13"/>
  <c r="S31" i="13"/>
  <c r="T31" i="13"/>
  <c r="U31" i="13"/>
  <c r="V31" i="13"/>
  <c r="W31" i="13"/>
  <c r="X31" i="13"/>
  <c r="Q32" i="13"/>
  <c r="R32" i="13"/>
  <c r="S32" i="13"/>
  <c r="T32" i="13"/>
  <c r="U32" i="13"/>
  <c r="V32" i="13"/>
  <c r="W32" i="13"/>
  <c r="X32" i="13"/>
  <c r="Q33" i="13"/>
  <c r="R33" i="13"/>
  <c r="S33" i="13"/>
  <c r="T33" i="13"/>
  <c r="U33" i="13"/>
  <c r="V33" i="13"/>
  <c r="W33" i="13"/>
  <c r="X33" i="13"/>
  <c r="Q34" i="13"/>
  <c r="R34" i="13"/>
  <c r="S34" i="13"/>
  <c r="T34" i="13"/>
  <c r="U34" i="13"/>
  <c r="V34" i="13"/>
  <c r="W34" i="13"/>
  <c r="X34" i="13"/>
  <c r="Q35" i="13"/>
  <c r="R35" i="13"/>
  <c r="S35" i="13"/>
  <c r="T35" i="13"/>
  <c r="U35" i="13"/>
  <c r="V35" i="13"/>
  <c r="W35" i="13"/>
  <c r="X35" i="13"/>
  <c r="Q36" i="13"/>
  <c r="R36" i="13"/>
  <c r="S36" i="13"/>
  <c r="T36" i="13"/>
  <c r="U36" i="13"/>
  <c r="V36" i="13"/>
  <c r="W36" i="13"/>
  <c r="X36" i="13"/>
  <c r="Q37" i="13"/>
  <c r="R37" i="13"/>
  <c r="S37" i="13"/>
  <c r="T37" i="13"/>
  <c r="U37" i="13"/>
  <c r="V37" i="13"/>
  <c r="W37" i="13"/>
  <c r="X37" i="13"/>
  <c r="Q38" i="13"/>
  <c r="R38" i="13"/>
  <c r="S38" i="13"/>
  <c r="T38" i="13"/>
  <c r="U38" i="13"/>
  <c r="V38" i="13"/>
  <c r="W38" i="13"/>
  <c r="X38" i="13"/>
  <c r="Q39" i="13"/>
  <c r="R39" i="13"/>
  <c r="S39" i="13"/>
  <c r="T39" i="13"/>
  <c r="U39" i="13"/>
  <c r="V39" i="13"/>
  <c r="W39" i="13"/>
  <c r="X39" i="13"/>
  <c r="Q40" i="13"/>
  <c r="R40" i="13"/>
  <c r="S40" i="13"/>
  <c r="T40" i="13"/>
  <c r="U40" i="13"/>
  <c r="V40" i="13"/>
  <c r="W40" i="13"/>
  <c r="X40" i="13"/>
  <c r="Q41" i="13"/>
  <c r="R41" i="13"/>
  <c r="S41" i="13"/>
  <c r="T41" i="13"/>
  <c r="U41" i="13"/>
  <c r="V41" i="13"/>
  <c r="W41" i="13"/>
  <c r="X41" i="13"/>
  <c r="Q42" i="13"/>
  <c r="R42" i="13"/>
  <c r="S42" i="13"/>
  <c r="T42" i="13"/>
  <c r="U42" i="13"/>
  <c r="V42" i="13"/>
  <c r="W42" i="13"/>
  <c r="X42" i="13"/>
  <c r="Q43" i="13"/>
  <c r="R43" i="13"/>
  <c r="S43" i="13"/>
  <c r="T43" i="13"/>
  <c r="U43" i="13"/>
  <c r="V43" i="13"/>
  <c r="W43" i="13"/>
  <c r="X43" i="13"/>
  <c r="Q44" i="13"/>
  <c r="R44" i="13"/>
  <c r="S44" i="13"/>
  <c r="T44" i="13"/>
  <c r="U44" i="13"/>
  <c r="V44" i="13"/>
  <c r="W44" i="13"/>
  <c r="X44" i="13"/>
  <c r="Q45" i="13"/>
  <c r="R45" i="13"/>
  <c r="S45" i="13"/>
  <c r="T45" i="13"/>
  <c r="U45" i="13"/>
  <c r="V45" i="13"/>
  <c r="W45" i="13"/>
  <c r="X45" i="13"/>
  <c r="Q46" i="13"/>
  <c r="R46" i="13"/>
  <c r="S46" i="13"/>
  <c r="T46" i="13"/>
  <c r="U46" i="13"/>
  <c r="V46" i="13"/>
  <c r="W46" i="13"/>
  <c r="X46" i="13"/>
  <c r="Q47" i="13"/>
  <c r="R47" i="13"/>
  <c r="S47" i="13"/>
  <c r="T47" i="13"/>
  <c r="U47" i="13"/>
  <c r="V47" i="13"/>
  <c r="W47" i="13"/>
  <c r="X47" i="13"/>
  <c r="Q48" i="13"/>
  <c r="R48" i="13"/>
  <c r="S48" i="13"/>
  <c r="T48" i="13"/>
  <c r="U48" i="13"/>
  <c r="V48" i="13"/>
  <c r="W48" i="13"/>
  <c r="X48" i="13"/>
  <c r="Q49" i="13"/>
  <c r="R49" i="13"/>
  <c r="S49" i="13"/>
  <c r="T49" i="13"/>
  <c r="U49" i="13"/>
  <c r="V49" i="13"/>
  <c r="W49" i="13"/>
  <c r="X49" i="13"/>
  <c r="Q50" i="13"/>
  <c r="R50" i="13"/>
  <c r="S50" i="13"/>
  <c r="T50" i="13"/>
  <c r="U50" i="13"/>
  <c r="V50" i="13"/>
  <c r="W50" i="13"/>
  <c r="X50" i="13"/>
  <c r="Q51" i="13"/>
  <c r="R51" i="13"/>
  <c r="S51" i="13"/>
  <c r="T51" i="13"/>
  <c r="U51" i="13"/>
  <c r="V51" i="13"/>
  <c r="W51" i="13"/>
  <c r="X51" i="13"/>
  <c r="Q52" i="13"/>
  <c r="R52" i="13"/>
  <c r="S52" i="13"/>
  <c r="T52" i="13"/>
  <c r="U52" i="13"/>
  <c r="V52" i="13"/>
  <c r="W52" i="13"/>
  <c r="X52" i="13"/>
  <c r="Q53" i="13"/>
  <c r="R53" i="13"/>
  <c r="S53" i="13"/>
  <c r="T53" i="13"/>
  <c r="U53" i="13"/>
  <c r="V53" i="13"/>
  <c r="W53" i="13"/>
  <c r="X53" i="13"/>
  <c r="Q54" i="13"/>
  <c r="R54" i="13"/>
  <c r="S54" i="13"/>
  <c r="T54" i="13"/>
  <c r="U54" i="13"/>
  <c r="V54" i="13"/>
  <c r="W54" i="13"/>
  <c r="X54" i="13"/>
  <c r="Q55" i="13"/>
  <c r="R55" i="13"/>
  <c r="S55" i="13"/>
  <c r="T55" i="13"/>
  <c r="U55" i="13"/>
  <c r="V55" i="13"/>
  <c r="W55" i="13"/>
  <c r="X55" i="13"/>
  <c r="Q56" i="13"/>
  <c r="R56" i="13"/>
  <c r="S56" i="13"/>
  <c r="T56" i="13"/>
  <c r="U56" i="13"/>
  <c r="V56" i="13"/>
  <c r="W56" i="13"/>
  <c r="X56" i="13"/>
  <c r="Q57" i="13"/>
  <c r="R57" i="13"/>
  <c r="S57" i="13"/>
  <c r="T57" i="13"/>
  <c r="U57" i="13"/>
  <c r="V57" i="13"/>
  <c r="W57" i="13"/>
  <c r="X57" i="13"/>
  <c r="Q58" i="13"/>
  <c r="R58" i="13"/>
  <c r="S58" i="13"/>
  <c r="T58" i="13"/>
  <c r="U58" i="13"/>
  <c r="V58" i="13"/>
  <c r="W58" i="13"/>
  <c r="X58" i="13"/>
  <c r="Q59" i="13"/>
  <c r="R59" i="13"/>
  <c r="S59" i="13"/>
  <c r="T59" i="13"/>
  <c r="U59" i="13"/>
  <c r="V59" i="13"/>
  <c r="W59" i="13"/>
  <c r="X59" i="13"/>
  <c r="Q60" i="13"/>
  <c r="R60" i="13"/>
  <c r="S60" i="13"/>
  <c r="T60" i="13"/>
  <c r="U60" i="13"/>
  <c r="V60" i="13"/>
  <c r="W60" i="13"/>
  <c r="X60" i="13"/>
  <c r="Q61" i="13"/>
  <c r="R61" i="13"/>
  <c r="S61" i="13"/>
  <c r="T61" i="13"/>
  <c r="U61" i="13"/>
  <c r="V61" i="13"/>
  <c r="W61" i="13"/>
  <c r="X61" i="13"/>
  <c r="Q62" i="13"/>
  <c r="R62" i="13"/>
  <c r="S62" i="13"/>
  <c r="T62" i="13"/>
  <c r="U62" i="13"/>
  <c r="V62" i="13"/>
  <c r="W62" i="13"/>
  <c r="X62" i="13"/>
  <c r="Q63" i="13"/>
  <c r="R63" i="13"/>
  <c r="S63" i="13"/>
  <c r="T63" i="13"/>
  <c r="U63" i="13"/>
  <c r="V63" i="13"/>
  <c r="W63" i="13"/>
  <c r="X63" i="13"/>
  <c r="Q64" i="13"/>
  <c r="R64" i="13"/>
  <c r="S64" i="13"/>
  <c r="T64" i="13"/>
  <c r="U64" i="13"/>
  <c r="V64" i="13"/>
  <c r="W64" i="13"/>
  <c r="X64" i="13"/>
  <c r="Q65" i="13"/>
  <c r="R65" i="13"/>
  <c r="S65" i="13"/>
  <c r="T65" i="13"/>
  <c r="U65" i="13"/>
  <c r="V65" i="13"/>
  <c r="W65" i="13"/>
  <c r="X65" i="13"/>
  <c r="Q66" i="13"/>
  <c r="R66" i="13"/>
  <c r="S66" i="13"/>
  <c r="T66" i="13"/>
  <c r="U66" i="13"/>
  <c r="V66" i="13"/>
  <c r="W66" i="13"/>
  <c r="X66" i="13"/>
  <c r="Q67" i="13"/>
  <c r="R67" i="13"/>
  <c r="S67" i="13"/>
  <c r="T67" i="13"/>
  <c r="U67" i="13"/>
  <c r="V67" i="13"/>
  <c r="W67" i="13"/>
  <c r="X67" i="13"/>
  <c r="Q68" i="13"/>
  <c r="R68" i="13"/>
  <c r="S68" i="13"/>
  <c r="T68" i="13"/>
  <c r="U68" i="13"/>
  <c r="V68" i="13"/>
  <c r="W68" i="13"/>
  <c r="X68" i="13"/>
  <c r="Q69" i="13"/>
  <c r="R69" i="13"/>
  <c r="S69" i="13"/>
  <c r="T69" i="13"/>
  <c r="U69" i="13"/>
  <c r="V69" i="13"/>
  <c r="W69" i="13"/>
  <c r="X69" i="13"/>
  <c r="Q70" i="13"/>
  <c r="R70" i="13"/>
  <c r="S70" i="13"/>
  <c r="T70" i="13"/>
  <c r="U70" i="13"/>
  <c r="V70" i="13"/>
  <c r="W70" i="13"/>
  <c r="X70" i="13"/>
  <c r="Q71" i="13"/>
  <c r="R71" i="13"/>
  <c r="S71" i="13"/>
  <c r="T71" i="13"/>
  <c r="U71" i="13"/>
  <c r="V71" i="13"/>
  <c r="W71" i="13"/>
  <c r="X71" i="13"/>
  <c r="Q72" i="13"/>
  <c r="R72" i="13"/>
  <c r="S72" i="13"/>
  <c r="T72" i="13"/>
  <c r="U72" i="13"/>
  <c r="V72" i="13"/>
  <c r="W72" i="13"/>
  <c r="X72" i="13"/>
  <c r="Q73" i="13"/>
  <c r="R73" i="13"/>
  <c r="S73" i="13"/>
  <c r="T73" i="13"/>
  <c r="U73" i="13"/>
  <c r="V73" i="13"/>
  <c r="W73" i="13"/>
  <c r="X73" i="13"/>
  <c r="Q74" i="13"/>
  <c r="R74" i="13"/>
  <c r="S74" i="13"/>
  <c r="T74" i="13"/>
  <c r="U74" i="13"/>
  <c r="V74" i="13"/>
  <c r="W74" i="13"/>
  <c r="X74" i="13"/>
  <c r="Q75" i="13"/>
  <c r="R75" i="13"/>
  <c r="S75" i="13"/>
  <c r="T75" i="13"/>
  <c r="U75" i="13"/>
  <c r="V75" i="13"/>
  <c r="W75" i="13"/>
  <c r="X75" i="13"/>
  <c r="Q76" i="13"/>
  <c r="R76" i="13"/>
  <c r="S76" i="13"/>
  <c r="T76" i="13"/>
  <c r="U76" i="13"/>
  <c r="V76" i="13"/>
  <c r="W76" i="13"/>
  <c r="X76" i="13"/>
  <c r="Q77" i="13"/>
  <c r="R77" i="13"/>
  <c r="S77" i="13"/>
  <c r="T77" i="13"/>
  <c r="U77" i="13"/>
  <c r="V77" i="13"/>
  <c r="W77" i="13"/>
  <c r="X77" i="13"/>
  <c r="Q78" i="13"/>
  <c r="R78" i="13"/>
  <c r="S78" i="13"/>
  <c r="T78" i="13"/>
  <c r="U78" i="13"/>
  <c r="V78" i="13"/>
  <c r="W78" i="13"/>
  <c r="X78" i="13"/>
  <c r="Q79" i="13"/>
  <c r="R79" i="13"/>
  <c r="S79" i="13"/>
  <c r="T79" i="13"/>
  <c r="U79" i="13"/>
  <c r="V79" i="13"/>
  <c r="W79" i="13"/>
  <c r="X79" i="13"/>
  <c r="Q80" i="13"/>
  <c r="R80" i="13"/>
  <c r="S80" i="13"/>
  <c r="T80" i="13"/>
  <c r="U80" i="13"/>
  <c r="V80" i="13"/>
  <c r="W80" i="13"/>
  <c r="X80" i="13"/>
  <c r="Q81" i="13"/>
  <c r="R81" i="13"/>
  <c r="S81" i="13"/>
  <c r="T81" i="13"/>
  <c r="U81" i="13"/>
  <c r="V81" i="13"/>
  <c r="W81" i="13"/>
  <c r="X81" i="13"/>
  <c r="Q82" i="13"/>
  <c r="R82" i="13"/>
  <c r="S82" i="13"/>
  <c r="T82" i="13"/>
  <c r="U82" i="13"/>
  <c r="V82" i="13"/>
  <c r="W82" i="13"/>
  <c r="X82" i="13"/>
  <c r="Q83" i="13"/>
  <c r="R83" i="13"/>
  <c r="S83" i="13"/>
  <c r="T83" i="13"/>
  <c r="U83" i="13"/>
  <c r="V83" i="13"/>
  <c r="W83" i="13"/>
  <c r="X83" i="13"/>
  <c r="Q84" i="13"/>
  <c r="R84" i="13"/>
  <c r="S84" i="13"/>
  <c r="T84" i="13"/>
  <c r="U84" i="13"/>
  <c r="V84" i="13"/>
  <c r="W84" i="13"/>
  <c r="X84" i="13"/>
  <c r="Q85" i="13"/>
  <c r="R85" i="13"/>
  <c r="S85" i="13"/>
  <c r="T85" i="13"/>
  <c r="U85" i="13"/>
  <c r="V85" i="13"/>
  <c r="W85" i="13"/>
  <c r="X85" i="13"/>
  <c r="Q86" i="13"/>
  <c r="R86" i="13"/>
  <c r="S86" i="13"/>
  <c r="T86" i="13"/>
  <c r="U86" i="13"/>
  <c r="V86" i="13"/>
  <c r="W86" i="13"/>
  <c r="X86" i="13"/>
  <c r="Q87" i="13"/>
  <c r="R87" i="13"/>
  <c r="S87" i="13"/>
  <c r="T87" i="13"/>
  <c r="U87" i="13"/>
  <c r="V87" i="13"/>
  <c r="W87" i="13"/>
  <c r="X87" i="13"/>
  <c r="Q88" i="13"/>
  <c r="R88" i="13"/>
  <c r="S88" i="13"/>
  <c r="T88" i="13"/>
  <c r="U88" i="13"/>
  <c r="V88" i="13"/>
  <c r="W88" i="13"/>
  <c r="X88" i="13"/>
  <c r="Q89" i="13"/>
  <c r="R89" i="13"/>
  <c r="S89" i="13"/>
  <c r="T89" i="13"/>
  <c r="U89" i="13"/>
  <c r="V89" i="13"/>
  <c r="W89" i="13"/>
  <c r="X89" i="13"/>
  <c r="Q90" i="13"/>
  <c r="R90" i="13"/>
  <c r="S90" i="13"/>
  <c r="T90" i="13"/>
  <c r="U90" i="13"/>
  <c r="V90" i="13"/>
  <c r="W90" i="13"/>
  <c r="X90" i="13"/>
  <c r="Q91" i="13"/>
  <c r="R91" i="13"/>
  <c r="S91" i="13"/>
  <c r="T91" i="13"/>
  <c r="U91" i="13"/>
  <c r="V91" i="13"/>
  <c r="W91" i="13"/>
  <c r="X91" i="13"/>
  <c r="Q92" i="13"/>
  <c r="R92" i="13"/>
  <c r="S92" i="13"/>
  <c r="T92" i="13"/>
  <c r="U92" i="13"/>
  <c r="V92" i="13"/>
  <c r="W92" i="13"/>
  <c r="X92" i="13"/>
  <c r="Q93" i="13"/>
  <c r="R93" i="13"/>
  <c r="S93" i="13"/>
  <c r="T93" i="13"/>
  <c r="U93" i="13"/>
  <c r="V93" i="13"/>
  <c r="W93" i="13"/>
  <c r="X93" i="13"/>
  <c r="Q94" i="13"/>
  <c r="R94" i="13"/>
  <c r="S94" i="13"/>
  <c r="T94" i="13"/>
  <c r="U94" i="13"/>
  <c r="V94" i="13"/>
  <c r="W94" i="13"/>
  <c r="X94" i="13"/>
  <c r="Q95" i="13"/>
  <c r="R95" i="13"/>
  <c r="S95" i="13"/>
  <c r="T95" i="13"/>
  <c r="U95" i="13"/>
  <c r="V95" i="13"/>
  <c r="W95" i="13"/>
  <c r="X95" i="13"/>
  <c r="Q96" i="13"/>
  <c r="R96" i="13"/>
  <c r="S96" i="13"/>
  <c r="T96" i="13"/>
  <c r="U96" i="13"/>
  <c r="V96" i="13"/>
  <c r="W96" i="13"/>
  <c r="X96" i="13"/>
  <c r="Q97" i="13"/>
  <c r="R97" i="13"/>
  <c r="S97" i="13"/>
  <c r="T97" i="13"/>
  <c r="U97" i="13"/>
  <c r="V97" i="13"/>
  <c r="W97" i="13"/>
  <c r="X97" i="13"/>
  <c r="Q98" i="13"/>
  <c r="R98" i="13"/>
  <c r="S98" i="13"/>
  <c r="T98" i="13"/>
  <c r="U98" i="13"/>
  <c r="V98" i="13"/>
  <c r="W98" i="13"/>
  <c r="X98" i="13"/>
  <c r="Q99" i="13"/>
  <c r="R99" i="13"/>
  <c r="S99" i="13"/>
  <c r="T99" i="13"/>
  <c r="U99" i="13"/>
  <c r="V99" i="13"/>
  <c r="W99" i="13"/>
  <c r="X99" i="13"/>
  <c r="Q100" i="13"/>
  <c r="R100" i="13"/>
  <c r="S100" i="13"/>
  <c r="T100" i="13"/>
  <c r="U100" i="13"/>
  <c r="V100" i="13"/>
  <c r="W100" i="13"/>
  <c r="X100" i="13"/>
  <c r="Q101" i="13"/>
  <c r="R101" i="13"/>
  <c r="S101" i="13"/>
  <c r="T101" i="13"/>
  <c r="U101" i="13"/>
  <c r="V101" i="13"/>
  <c r="W101" i="13"/>
  <c r="X101" i="13"/>
  <c r="Q102" i="13"/>
  <c r="R102" i="13"/>
  <c r="S102" i="13"/>
  <c r="T102" i="13"/>
  <c r="U102" i="13"/>
  <c r="V102" i="13"/>
  <c r="W102" i="13"/>
  <c r="X102" i="13"/>
  <c r="Q103" i="13"/>
  <c r="R103" i="13"/>
  <c r="S103" i="13"/>
  <c r="T103" i="13"/>
  <c r="U103" i="13"/>
  <c r="V103" i="13"/>
  <c r="W103" i="13"/>
  <c r="X103" i="13"/>
  <c r="Q104" i="13"/>
  <c r="R104" i="13"/>
  <c r="S104" i="13"/>
  <c r="T104" i="13"/>
  <c r="U104" i="13"/>
  <c r="V104" i="13"/>
  <c r="W104" i="13"/>
  <c r="X104" i="13"/>
  <c r="Q105" i="13"/>
  <c r="R105" i="13"/>
  <c r="S105" i="13"/>
  <c r="T105" i="13"/>
  <c r="U105" i="13"/>
  <c r="V105" i="13"/>
  <c r="W105" i="13"/>
  <c r="X105" i="13"/>
  <c r="Q106" i="13"/>
  <c r="R106" i="13"/>
  <c r="S106" i="13"/>
  <c r="T106" i="13"/>
  <c r="U106" i="13"/>
  <c r="V106" i="13"/>
  <c r="W106" i="13"/>
  <c r="X106" i="13"/>
  <c r="Q107" i="13"/>
  <c r="R107" i="13"/>
  <c r="S107" i="13"/>
  <c r="T107" i="13"/>
  <c r="U107" i="13"/>
  <c r="V107" i="13"/>
  <c r="W107" i="13"/>
  <c r="X107" i="13"/>
  <c r="Q108" i="13"/>
  <c r="R108" i="13"/>
  <c r="S108" i="13"/>
  <c r="T108" i="13"/>
  <c r="U108" i="13"/>
  <c r="V108" i="13"/>
  <c r="W108" i="13"/>
  <c r="X108" i="13"/>
  <c r="Q109" i="13"/>
  <c r="R109" i="13"/>
  <c r="S109" i="13"/>
  <c r="T109" i="13"/>
  <c r="U109" i="13"/>
  <c r="V109" i="13"/>
  <c r="W109" i="13"/>
  <c r="X109" i="13"/>
  <c r="Q110" i="13"/>
  <c r="R110" i="13"/>
  <c r="S110" i="13"/>
  <c r="T110" i="13"/>
  <c r="U110" i="13"/>
  <c r="V110" i="13"/>
  <c r="W110" i="13"/>
  <c r="X110" i="13"/>
  <c r="Q111" i="13"/>
  <c r="R111" i="13"/>
  <c r="S111" i="13"/>
  <c r="T111" i="13"/>
  <c r="U111" i="13"/>
  <c r="V111" i="13"/>
  <c r="W111" i="13"/>
  <c r="X111" i="13"/>
  <c r="Q112" i="13"/>
  <c r="R112" i="13"/>
  <c r="S112" i="13"/>
  <c r="T112" i="13"/>
  <c r="U112" i="13"/>
  <c r="V112" i="13"/>
  <c r="W112" i="13"/>
  <c r="X112" i="13"/>
  <c r="Q113" i="13"/>
  <c r="R113" i="13"/>
  <c r="S113" i="13"/>
  <c r="T113" i="13"/>
  <c r="U113" i="13"/>
  <c r="V113" i="13"/>
  <c r="W113" i="13"/>
  <c r="X113" i="13"/>
  <c r="Q114" i="13"/>
  <c r="R114" i="13"/>
  <c r="S114" i="13"/>
  <c r="T114" i="13"/>
  <c r="U114" i="13"/>
  <c r="V114" i="13"/>
  <c r="W114" i="13"/>
  <c r="X114" i="13"/>
  <c r="Q115" i="13"/>
  <c r="R115" i="13"/>
  <c r="S115" i="13"/>
  <c r="T115" i="13"/>
  <c r="U115" i="13"/>
  <c r="V115" i="13"/>
  <c r="W115" i="13"/>
  <c r="X115" i="13"/>
  <c r="Q116" i="13"/>
  <c r="R116" i="13"/>
  <c r="S116" i="13"/>
  <c r="T116" i="13"/>
  <c r="U116" i="13"/>
  <c r="V116" i="13"/>
  <c r="W116" i="13"/>
  <c r="X116" i="13"/>
  <c r="Q117" i="13"/>
  <c r="R117" i="13"/>
  <c r="S117" i="13"/>
  <c r="T117" i="13"/>
  <c r="U117" i="13"/>
  <c r="V117" i="13"/>
  <c r="W117" i="13"/>
  <c r="X117" i="13"/>
  <c r="Q118" i="13"/>
  <c r="R118" i="13"/>
  <c r="S118" i="13"/>
  <c r="T118" i="13"/>
  <c r="U118" i="13"/>
  <c r="V118" i="13"/>
  <c r="W118" i="13"/>
  <c r="X118" i="13"/>
  <c r="Q119" i="13"/>
  <c r="R119" i="13"/>
  <c r="S119" i="13"/>
  <c r="T119" i="13"/>
  <c r="U119" i="13"/>
  <c r="V119" i="13"/>
  <c r="W119" i="13"/>
  <c r="X119" i="13"/>
  <c r="Q120" i="13"/>
  <c r="R120" i="13"/>
  <c r="S120" i="13"/>
  <c r="T120" i="13"/>
  <c r="U120" i="13"/>
  <c r="V120" i="13"/>
  <c r="W120" i="13"/>
  <c r="X120" i="13"/>
  <c r="Q121" i="13"/>
  <c r="R121" i="13"/>
  <c r="S121" i="13"/>
  <c r="T121" i="13"/>
  <c r="U121" i="13"/>
  <c r="V121" i="13"/>
  <c r="W121" i="13"/>
  <c r="X121" i="13"/>
  <c r="Q122" i="13"/>
  <c r="R122" i="13"/>
  <c r="S122" i="13"/>
  <c r="T122" i="13"/>
  <c r="U122" i="13"/>
  <c r="V122" i="13"/>
  <c r="W122" i="13"/>
  <c r="X122" i="13"/>
  <c r="Q123" i="13"/>
  <c r="R123" i="13"/>
  <c r="S123" i="13"/>
  <c r="T123" i="13"/>
  <c r="U123" i="13"/>
  <c r="V123" i="13"/>
  <c r="W123" i="13"/>
  <c r="X123" i="13"/>
  <c r="Q124" i="13"/>
  <c r="R124" i="13"/>
  <c r="S124" i="13"/>
  <c r="T124" i="13"/>
  <c r="U124" i="13"/>
  <c r="V124" i="13"/>
  <c r="W124" i="13"/>
  <c r="X124" i="13"/>
  <c r="Q125" i="13"/>
  <c r="R125" i="13"/>
  <c r="S125" i="13"/>
  <c r="T125" i="13"/>
  <c r="U125" i="13"/>
  <c r="V125" i="13"/>
  <c r="W125" i="13"/>
  <c r="X125" i="13"/>
  <c r="Q126" i="13"/>
  <c r="R126" i="13"/>
  <c r="S126" i="13"/>
  <c r="T126" i="13"/>
  <c r="U126" i="13"/>
  <c r="V126" i="13"/>
  <c r="W126" i="13"/>
  <c r="X126" i="13"/>
  <c r="Q127" i="13"/>
  <c r="R127" i="13"/>
  <c r="S127" i="13"/>
  <c r="T127" i="13"/>
  <c r="U127" i="13"/>
  <c r="V127" i="13"/>
  <c r="W127" i="13"/>
  <c r="X127" i="13"/>
  <c r="Q128" i="13"/>
  <c r="R128" i="13"/>
  <c r="S128" i="13"/>
  <c r="T128" i="13"/>
  <c r="U128" i="13"/>
  <c r="V128" i="13"/>
  <c r="W128" i="13"/>
  <c r="X128" i="13"/>
  <c r="Q129" i="13"/>
  <c r="R129" i="13"/>
  <c r="S129" i="13"/>
  <c r="T129" i="13"/>
  <c r="U129" i="13"/>
  <c r="V129" i="13"/>
  <c r="W129" i="13"/>
  <c r="X129" i="13"/>
  <c r="Q130" i="13"/>
  <c r="R130" i="13"/>
  <c r="S130" i="13"/>
  <c r="T130" i="13"/>
  <c r="U130" i="13"/>
  <c r="V130" i="13"/>
  <c r="W130" i="13"/>
  <c r="X130" i="13"/>
  <c r="Q131" i="13"/>
  <c r="R131" i="13"/>
  <c r="S131" i="13"/>
  <c r="T131" i="13"/>
  <c r="U131" i="13"/>
  <c r="V131" i="13"/>
  <c r="W131" i="13"/>
  <c r="X131" i="13"/>
  <c r="Q132" i="13"/>
  <c r="R132" i="13"/>
  <c r="S132" i="13"/>
  <c r="T132" i="13"/>
  <c r="U132" i="13"/>
  <c r="V132" i="13"/>
  <c r="W132" i="13"/>
  <c r="X132" i="13"/>
  <c r="Q133" i="13"/>
  <c r="R133" i="13"/>
  <c r="S133" i="13"/>
  <c r="T133" i="13"/>
  <c r="U133" i="13"/>
  <c r="V133" i="13"/>
  <c r="W133" i="13"/>
  <c r="X133" i="13"/>
  <c r="Q134" i="13"/>
  <c r="R134" i="13"/>
  <c r="S134" i="13"/>
  <c r="T134" i="13"/>
  <c r="U134" i="13"/>
  <c r="V134" i="13"/>
  <c r="W134" i="13"/>
  <c r="X134" i="13"/>
  <c r="Q135" i="13"/>
  <c r="R135" i="13"/>
  <c r="S135" i="13"/>
  <c r="T135" i="13"/>
  <c r="U135" i="13"/>
  <c r="V135" i="13"/>
  <c r="W135" i="13"/>
  <c r="X135" i="13"/>
  <c r="Q136" i="13"/>
  <c r="R136" i="13"/>
  <c r="S136" i="13"/>
  <c r="T136" i="13"/>
  <c r="U136" i="13"/>
  <c r="V136" i="13"/>
  <c r="W136" i="13"/>
  <c r="X136" i="13"/>
  <c r="Q137" i="13"/>
  <c r="R137" i="13"/>
  <c r="S137" i="13"/>
  <c r="T137" i="13"/>
  <c r="U137" i="13"/>
  <c r="V137" i="13"/>
  <c r="W137" i="13"/>
  <c r="X137" i="13"/>
  <c r="Q138" i="13"/>
  <c r="R138" i="13"/>
  <c r="S138" i="13"/>
  <c r="T138" i="13"/>
  <c r="U138" i="13"/>
  <c r="V138" i="13"/>
  <c r="W138" i="13"/>
  <c r="X138" i="13"/>
  <c r="Q139" i="13"/>
  <c r="R139" i="13"/>
  <c r="S139" i="13"/>
  <c r="T139" i="13"/>
  <c r="U139" i="13"/>
  <c r="V139" i="13"/>
  <c r="W139" i="13"/>
  <c r="X139" i="13"/>
  <c r="Q140" i="13"/>
  <c r="R140" i="13"/>
  <c r="S140" i="13"/>
  <c r="T140" i="13"/>
  <c r="U140" i="13"/>
  <c r="V140" i="13"/>
  <c r="W140" i="13"/>
  <c r="X140" i="13"/>
  <c r="Q141" i="13"/>
  <c r="R141" i="13"/>
  <c r="S141" i="13"/>
  <c r="T141" i="13"/>
  <c r="U141" i="13"/>
  <c r="V141" i="13"/>
  <c r="W141" i="13"/>
  <c r="X141" i="13"/>
  <c r="Q142" i="13"/>
  <c r="R142" i="13"/>
  <c r="S142" i="13"/>
  <c r="T142" i="13"/>
  <c r="U142" i="13"/>
  <c r="V142" i="13"/>
  <c r="W142" i="13"/>
  <c r="X142" i="13"/>
  <c r="Q143" i="13"/>
  <c r="R143" i="13"/>
  <c r="S143" i="13"/>
  <c r="T143" i="13"/>
  <c r="U143" i="13"/>
  <c r="V143" i="13"/>
  <c r="W143" i="13"/>
  <c r="X143" i="13"/>
  <c r="Q144" i="13"/>
  <c r="R144" i="13"/>
  <c r="S144" i="13"/>
  <c r="T144" i="13"/>
  <c r="U144" i="13"/>
  <c r="V144" i="13"/>
  <c r="W144" i="13"/>
  <c r="X144" i="13"/>
  <c r="Q145" i="13"/>
  <c r="R145" i="13"/>
  <c r="S145" i="13"/>
  <c r="T145" i="13"/>
  <c r="U145" i="13"/>
  <c r="V145" i="13"/>
  <c r="W145" i="13"/>
  <c r="X145" i="13"/>
  <c r="Q146" i="13"/>
  <c r="R146" i="13"/>
  <c r="S146" i="13"/>
  <c r="T146" i="13"/>
  <c r="U146" i="13"/>
  <c r="V146" i="13"/>
  <c r="W146" i="13"/>
  <c r="X146" i="13"/>
  <c r="Q147" i="13"/>
  <c r="R147" i="13"/>
  <c r="S147" i="13"/>
  <c r="T147" i="13"/>
  <c r="U147" i="13"/>
  <c r="V147" i="13"/>
  <c r="W147" i="13"/>
  <c r="X147" i="13"/>
  <c r="Q148" i="13"/>
  <c r="R148" i="13"/>
  <c r="S148" i="13"/>
  <c r="T148" i="13"/>
  <c r="U148" i="13"/>
  <c r="V148" i="13"/>
  <c r="W148" i="13"/>
  <c r="X148" i="13"/>
  <c r="Q149" i="13"/>
  <c r="R149" i="13"/>
  <c r="S149" i="13"/>
  <c r="T149" i="13"/>
  <c r="U149" i="13"/>
  <c r="V149" i="13"/>
  <c r="W149" i="13"/>
  <c r="X149" i="13"/>
  <c r="Q150" i="13"/>
  <c r="R150" i="13"/>
  <c r="S150" i="13"/>
  <c r="T150" i="13"/>
  <c r="U150" i="13"/>
  <c r="V150" i="13"/>
  <c r="W150" i="13"/>
  <c r="X150" i="13"/>
  <c r="Q151" i="13"/>
  <c r="R151" i="13"/>
  <c r="S151" i="13"/>
  <c r="T151" i="13"/>
  <c r="U151" i="13"/>
  <c r="V151" i="13"/>
  <c r="W151" i="13"/>
  <c r="X151" i="13"/>
  <c r="Q152" i="13"/>
  <c r="R152" i="13"/>
  <c r="S152" i="13"/>
  <c r="T152" i="13"/>
  <c r="U152" i="13"/>
  <c r="V152" i="13"/>
  <c r="W152" i="13"/>
  <c r="X152" i="13"/>
  <c r="Q153" i="13"/>
  <c r="R153" i="13"/>
  <c r="S153" i="13"/>
  <c r="T153" i="13"/>
  <c r="U153" i="13"/>
  <c r="V153" i="13"/>
  <c r="W153" i="13"/>
  <c r="X153" i="13"/>
  <c r="Q154" i="13"/>
  <c r="R154" i="13"/>
  <c r="S154" i="13"/>
  <c r="T154" i="13"/>
  <c r="U154" i="13"/>
  <c r="V154" i="13"/>
  <c r="W154" i="13"/>
  <c r="X154" i="13"/>
  <c r="Q155" i="13"/>
  <c r="R155" i="13"/>
  <c r="S155" i="13"/>
  <c r="T155" i="13"/>
  <c r="U155" i="13"/>
  <c r="V155" i="13"/>
  <c r="W155" i="13"/>
  <c r="X155" i="13"/>
  <c r="Q156" i="13"/>
  <c r="R156" i="13"/>
  <c r="S156" i="13"/>
  <c r="T156" i="13"/>
  <c r="U156" i="13"/>
  <c r="V156" i="13"/>
  <c r="W156" i="13"/>
  <c r="X156" i="13"/>
  <c r="Q157" i="13"/>
  <c r="R157" i="13"/>
  <c r="S157" i="13"/>
  <c r="T157" i="13"/>
  <c r="U157" i="13"/>
  <c r="V157" i="13"/>
  <c r="W157" i="13"/>
  <c r="X157" i="13"/>
  <c r="Q158" i="13"/>
  <c r="R158" i="13"/>
  <c r="S158" i="13"/>
  <c r="T158" i="13"/>
  <c r="U158" i="13"/>
  <c r="V158" i="13"/>
  <c r="W158" i="13"/>
  <c r="X158" i="13"/>
  <c r="Q159" i="13"/>
  <c r="R159" i="13"/>
  <c r="S159" i="13"/>
  <c r="T159" i="13"/>
  <c r="U159" i="13"/>
  <c r="V159" i="13"/>
  <c r="W159" i="13"/>
  <c r="X159" i="13"/>
  <c r="Q160" i="13"/>
  <c r="R160" i="13"/>
  <c r="S160" i="13"/>
  <c r="T160" i="13"/>
  <c r="U160" i="13"/>
  <c r="V160" i="13"/>
  <c r="W160" i="13"/>
  <c r="X160" i="13"/>
  <c r="Q161" i="13"/>
  <c r="R161" i="13"/>
  <c r="S161" i="13"/>
  <c r="T161" i="13"/>
  <c r="U161" i="13"/>
  <c r="V161" i="13"/>
  <c r="W161" i="13"/>
  <c r="X161" i="13"/>
  <c r="Q162" i="13"/>
  <c r="R162" i="13"/>
  <c r="S162" i="13"/>
  <c r="T162" i="13"/>
  <c r="U162" i="13"/>
  <c r="V162" i="13"/>
  <c r="W162" i="13"/>
  <c r="X162" i="13"/>
  <c r="Q163" i="13"/>
  <c r="R163" i="13"/>
  <c r="S163" i="13"/>
  <c r="T163" i="13"/>
  <c r="U163" i="13"/>
  <c r="V163" i="13"/>
  <c r="W163" i="13"/>
  <c r="X163" i="13"/>
  <c r="Q164" i="13"/>
  <c r="R164" i="13"/>
  <c r="S164" i="13"/>
  <c r="T164" i="13"/>
  <c r="U164" i="13"/>
  <c r="V164" i="13"/>
  <c r="W164" i="13"/>
  <c r="X164" i="13"/>
  <c r="Q165" i="13"/>
  <c r="R165" i="13"/>
  <c r="S165" i="13"/>
  <c r="T165" i="13"/>
  <c r="U165" i="13"/>
  <c r="V165" i="13"/>
  <c r="W165" i="13"/>
  <c r="X165" i="13"/>
  <c r="Q166" i="13"/>
  <c r="R166" i="13"/>
  <c r="S166" i="13"/>
  <c r="T166" i="13"/>
  <c r="U166" i="13"/>
  <c r="V166" i="13"/>
  <c r="W166" i="13"/>
  <c r="X166" i="13"/>
  <c r="Q167" i="13"/>
  <c r="R167" i="13"/>
  <c r="S167" i="13"/>
  <c r="T167" i="13"/>
  <c r="U167" i="13"/>
  <c r="V167" i="13"/>
  <c r="W167" i="13"/>
  <c r="X167" i="13"/>
  <c r="Q168" i="13"/>
  <c r="R168" i="13"/>
  <c r="S168" i="13"/>
  <c r="T168" i="13"/>
  <c r="U168" i="13"/>
  <c r="V168" i="13"/>
  <c r="W168" i="13"/>
  <c r="X168" i="13"/>
  <c r="Q169" i="13"/>
  <c r="R169" i="13"/>
  <c r="S169" i="13"/>
  <c r="T169" i="13"/>
  <c r="U169" i="13"/>
  <c r="V169" i="13"/>
  <c r="W169" i="13"/>
  <c r="X169" i="13"/>
  <c r="Q170" i="13"/>
  <c r="R170" i="13"/>
  <c r="S170" i="13"/>
  <c r="T170" i="13"/>
  <c r="U170" i="13"/>
  <c r="V170" i="13"/>
  <c r="W170" i="13"/>
  <c r="X170" i="13"/>
  <c r="Q171" i="13"/>
  <c r="R171" i="13"/>
  <c r="S171" i="13"/>
  <c r="T171" i="13"/>
  <c r="U171" i="13"/>
  <c r="V171" i="13"/>
  <c r="W171" i="13"/>
  <c r="X171" i="13"/>
  <c r="Q172" i="13"/>
  <c r="R172" i="13"/>
  <c r="S172" i="13"/>
  <c r="T172" i="13"/>
  <c r="U172" i="13"/>
  <c r="V172" i="13"/>
  <c r="W172" i="13"/>
  <c r="X172" i="13"/>
  <c r="Q173" i="13"/>
  <c r="R173" i="13"/>
  <c r="S173" i="13"/>
  <c r="T173" i="13"/>
  <c r="U173" i="13"/>
  <c r="V173" i="13"/>
  <c r="W173" i="13"/>
  <c r="X173" i="13"/>
  <c r="Q174" i="13"/>
  <c r="R174" i="13"/>
  <c r="S174" i="13"/>
  <c r="T174" i="13"/>
  <c r="U174" i="13"/>
  <c r="V174" i="13"/>
  <c r="W174" i="13"/>
  <c r="X174" i="13"/>
  <c r="Q175" i="13"/>
  <c r="R175" i="13"/>
  <c r="S175" i="13"/>
  <c r="T175" i="13"/>
  <c r="U175" i="13"/>
  <c r="V175" i="13"/>
  <c r="W175" i="13"/>
  <c r="X175" i="13"/>
  <c r="Q176" i="13"/>
  <c r="R176" i="13"/>
  <c r="S176" i="13"/>
  <c r="T176" i="13"/>
  <c r="U176" i="13"/>
  <c r="V176" i="13"/>
  <c r="W176" i="13"/>
  <c r="X176" i="13"/>
  <c r="Q177" i="13"/>
  <c r="R177" i="13"/>
  <c r="S177" i="13"/>
  <c r="T177" i="13"/>
  <c r="U177" i="13"/>
  <c r="V177" i="13"/>
  <c r="W177" i="13"/>
  <c r="X177" i="13"/>
  <c r="Q178" i="13"/>
  <c r="R178" i="13"/>
  <c r="S178" i="13"/>
  <c r="T178" i="13"/>
  <c r="U178" i="13"/>
  <c r="V178" i="13"/>
  <c r="W178" i="13"/>
  <c r="X178" i="13"/>
  <c r="Q179" i="13"/>
  <c r="R179" i="13"/>
  <c r="S179" i="13"/>
  <c r="T179" i="13"/>
  <c r="U179" i="13"/>
  <c r="V179" i="13"/>
  <c r="W179" i="13"/>
  <c r="X179" i="13"/>
  <c r="Q180" i="13"/>
  <c r="R180" i="13"/>
  <c r="S180" i="13"/>
  <c r="T180" i="13"/>
  <c r="U180" i="13"/>
  <c r="V180" i="13"/>
  <c r="W180" i="13"/>
  <c r="X180" i="13"/>
  <c r="Q181" i="13"/>
  <c r="R181" i="13"/>
  <c r="S181" i="13"/>
  <c r="T181" i="13"/>
  <c r="U181" i="13"/>
  <c r="V181" i="13"/>
  <c r="W181" i="13"/>
  <c r="X181" i="13"/>
  <c r="Q182" i="13"/>
  <c r="R182" i="13"/>
  <c r="S182" i="13"/>
  <c r="T182" i="13"/>
  <c r="U182" i="13"/>
  <c r="V182" i="13"/>
  <c r="W182" i="13"/>
  <c r="X182" i="13"/>
  <c r="Q183" i="13"/>
  <c r="R183" i="13"/>
  <c r="S183" i="13"/>
  <c r="T183" i="13"/>
  <c r="U183" i="13"/>
  <c r="V183" i="13"/>
  <c r="W183" i="13"/>
  <c r="X183" i="13"/>
  <c r="Q184" i="13"/>
  <c r="R184" i="13"/>
  <c r="S184" i="13"/>
  <c r="T184" i="13"/>
  <c r="U184" i="13"/>
  <c r="V184" i="13"/>
  <c r="W184" i="13"/>
  <c r="X184" i="13"/>
  <c r="Q185" i="13"/>
  <c r="R185" i="13"/>
  <c r="S185" i="13"/>
  <c r="T185" i="13"/>
  <c r="U185" i="13"/>
  <c r="V185" i="13"/>
  <c r="W185" i="13"/>
  <c r="X185" i="13"/>
  <c r="Q186" i="13"/>
  <c r="R186" i="13"/>
  <c r="S186" i="13"/>
  <c r="T186" i="13"/>
  <c r="U186" i="13"/>
  <c r="V186" i="13"/>
  <c r="W186" i="13"/>
  <c r="X186" i="13"/>
  <c r="Q187" i="13"/>
  <c r="R187" i="13"/>
  <c r="S187" i="13"/>
  <c r="T187" i="13"/>
  <c r="U187" i="13"/>
  <c r="V187" i="13"/>
  <c r="W187" i="13"/>
  <c r="X187" i="13"/>
  <c r="Q188" i="13"/>
  <c r="R188" i="13"/>
  <c r="S188" i="13"/>
  <c r="T188" i="13"/>
  <c r="U188" i="13"/>
  <c r="V188" i="13"/>
  <c r="W188" i="13"/>
  <c r="X188" i="13"/>
  <c r="Q189" i="13"/>
  <c r="R189" i="13"/>
  <c r="S189" i="13"/>
  <c r="T189" i="13"/>
  <c r="U189" i="13"/>
  <c r="V189" i="13"/>
  <c r="W189" i="13"/>
  <c r="X189" i="13"/>
  <c r="Q190" i="13"/>
  <c r="R190" i="13"/>
  <c r="S190" i="13"/>
  <c r="T190" i="13"/>
  <c r="U190" i="13"/>
  <c r="V190" i="13"/>
  <c r="W190" i="13"/>
  <c r="X190" i="13"/>
  <c r="Q191" i="13"/>
  <c r="R191" i="13"/>
  <c r="S191" i="13"/>
  <c r="T191" i="13"/>
  <c r="U191" i="13"/>
  <c r="V191" i="13"/>
  <c r="W191" i="13"/>
  <c r="X191" i="13"/>
  <c r="Q192" i="13"/>
  <c r="R192" i="13"/>
  <c r="S192" i="13"/>
  <c r="T192" i="13"/>
  <c r="U192" i="13"/>
  <c r="V192" i="13"/>
  <c r="W192" i="13"/>
  <c r="X192" i="13"/>
  <c r="Q193" i="13"/>
  <c r="R193" i="13"/>
  <c r="S193" i="13"/>
  <c r="T193" i="13"/>
  <c r="U193" i="13"/>
  <c r="V193" i="13"/>
  <c r="W193" i="13"/>
  <c r="X193" i="13"/>
  <c r="Q194" i="13"/>
  <c r="R194" i="13"/>
  <c r="S194" i="13"/>
  <c r="T194" i="13"/>
  <c r="U194" i="13"/>
  <c r="V194" i="13"/>
  <c r="W194" i="13"/>
  <c r="X194" i="13"/>
  <c r="Q195" i="13"/>
  <c r="R195" i="13"/>
  <c r="S195" i="13"/>
  <c r="T195" i="13"/>
  <c r="U195" i="13"/>
  <c r="V195" i="13"/>
  <c r="W195" i="13"/>
  <c r="X195" i="13"/>
  <c r="Q196" i="13"/>
  <c r="R196" i="13"/>
  <c r="S196" i="13"/>
  <c r="T196" i="13"/>
  <c r="U196" i="13"/>
  <c r="V196" i="13"/>
  <c r="W196" i="13"/>
  <c r="X196" i="13"/>
  <c r="Q197" i="13"/>
  <c r="R197" i="13"/>
  <c r="S197" i="13"/>
  <c r="T197" i="13"/>
  <c r="U197" i="13"/>
  <c r="V197" i="13"/>
  <c r="W197" i="13"/>
  <c r="X197" i="13"/>
  <c r="Q198" i="13"/>
  <c r="R198" i="13"/>
  <c r="S198" i="13"/>
  <c r="T198" i="13"/>
  <c r="U198" i="13"/>
  <c r="V198" i="13"/>
  <c r="W198" i="13"/>
  <c r="X198" i="13"/>
  <c r="Q199" i="13"/>
  <c r="R199" i="13"/>
  <c r="S199" i="13"/>
  <c r="T199" i="13"/>
  <c r="U199" i="13"/>
  <c r="V199" i="13"/>
  <c r="W199" i="13"/>
  <c r="X199" i="13"/>
  <c r="Q200" i="13"/>
  <c r="R200" i="13"/>
  <c r="S200" i="13"/>
  <c r="T200" i="13"/>
  <c r="U200" i="13"/>
  <c r="V200" i="13"/>
  <c r="W200" i="13"/>
  <c r="X200" i="13"/>
  <c r="Q201" i="13"/>
  <c r="R201" i="13"/>
  <c r="S201" i="13"/>
  <c r="T201" i="13"/>
  <c r="U201" i="13"/>
  <c r="V201" i="13"/>
  <c r="W201" i="13"/>
  <c r="X201" i="13"/>
  <c r="Q202" i="13"/>
  <c r="R202" i="13"/>
  <c r="S202" i="13"/>
  <c r="T202" i="13"/>
  <c r="U202" i="13"/>
  <c r="V202" i="13"/>
  <c r="W202" i="13"/>
  <c r="X202" i="13"/>
  <c r="Q203" i="13"/>
  <c r="R203" i="13"/>
  <c r="S203" i="13"/>
  <c r="T203" i="13"/>
  <c r="U203" i="13"/>
  <c r="V203" i="13"/>
  <c r="W203" i="13"/>
  <c r="X203" i="13"/>
  <c r="Q204" i="13"/>
  <c r="R204" i="13"/>
  <c r="S204" i="13"/>
  <c r="T204" i="13"/>
  <c r="U204" i="13"/>
  <c r="V204" i="13"/>
  <c r="W204" i="13"/>
  <c r="X204" i="13"/>
  <c r="Q205" i="13"/>
  <c r="R205" i="13"/>
  <c r="S205" i="13"/>
  <c r="T205" i="13"/>
  <c r="U205" i="13"/>
  <c r="V205" i="13"/>
  <c r="W205" i="13"/>
  <c r="X205" i="13"/>
  <c r="Q206" i="13"/>
  <c r="R206" i="13"/>
  <c r="S206" i="13"/>
  <c r="T206" i="13"/>
  <c r="U206" i="13"/>
  <c r="V206" i="13"/>
  <c r="W206" i="13"/>
  <c r="X206" i="13"/>
  <c r="Q207" i="13"/>
  <c r="R207" i="13"/>
  <c r="S207" i="13"/>
  <c r="T207" i="13"/>
  <c r="U207" i="13"/>
  <c r="V207" i="13"/>
  <c r="W207" i="13"/>
  <c r="X207" i="13"/>
  <c r="R2" i="13"/>
  <c r="S2" i="13"/>
  <c r="T2" i="13"/>
  <c r="U2" i="13"/>
  <c r="V2" i="13"/>
  <c r="W2" i="13"/>
  <c r="X2" i="13"/>
  <c r="Q2" i="13"/>
  <c r="N8" i="13"/>
  <c r="N9" i="13"/>
  <c r="N10" i="13"/>
  <c r="N11" i="13"/>
  <c r="N12" i="13"/>
  <c r="N13" i="13"/>
  <c r="N14" i="13"/>
  <c r="N15" i="13"/>
  <c r="N16" i="13"/>
  <c r="N17" i="13"/>
  <c r="N18" i="13"/>
  <c r="N19" i="13"/>
  <c r="N20" i="13"/>
  <c r="N21" i="13"/>
  <c r="N22" i="13"/>
  <c r="N23" i="13"/>
  <c r="N24" i="13"/>
  <c r="N25" i="13"/>
  <c r="N26" i="13"/>
  <c r="N27" i="13"/>
  <c r="N28" i="13"/>
  <c r="N29" i="13"/>
  <c r="N30" i="13"/>
  <c r="N31" i="13"/>
  <c r="N32" i="13"/>
  <c r="N33" i="13"/>
  <c r="N34" i="13"/>
  <c r="N35" i="13"/>
  <c r="N36" i="13"/>
  <c r="N37" i="13"/>
  <c r="N38" i="13"/>
  <c r="N39" i="13"/>
  <c r="N40" i="13"/>
  <c r="N41" i="13"/>
  <c r="N42" i="13"/>
  <c r="N43" i="13"/>
  <c r="N44" i="13"/>
  <c r="N45" i="13"/>
  <c r="N46" i="13"/>
  <c r="N47" i="13"/>
  <c r="N48" i="13"/>
  <c r="N49" i="13"/>
  <c r="N50" i="13"/>
  <c r="N51" i="13"/>
  <c r="N52" i="13"/>
  <c r="N53" i="13"/>
  <c r="N54" i="13"/>
  <c r="N55" i="13"/>
  <c r="N56" i="13"/>
  <c r="N57" i="13"/>
  <c r="N58" i="13"/>
  <c r="N59" i="13"/>
  <c r="N60" i="13"/>
  <c r="N61" i="13"/>
  <c r="N62" i="13"/>
  <c r="N63" i="13"/>
  <c r="N64" i="13"/>
  <c r="N65" i="13"/>
  <c r="N66" i="13"/>
  <c r="N67" i="13"/>
  <c r="N68" i="13"/>
  <c r="N69" i="13"/>
  <c r="N70" i="13"/>
  <c r="N71" i="13"/>
  <c r="N72" i="13"/>
  <c r="N73" i="13"/>
  <c r="N74" i="13"/>
  <c r="N75" i="13"/>
  <c r="N76" i="13"/>
  <c r="N77" i="13"/>
  <c r="N78" i="13"/>
  <c r="N79" i="13"/>
  <c r="N80" i="13"/>
  <c r="N81" i="13"/>
  <c r="N82" i="13"/>
  <c r="N83" i="13"/>
  <c r="N84" i="13"/>
  <c r="N85" i="13"/>
  <c r="N86" i="13"/>
  <c r="N87" i="13"/>
  <c r="N88" i="13"/>
  <c r="N89" i="13"/>
  <c r="N90" i="13"/>
  <c r="N91" i="13"/>
  <c r="N92" i="13"/>
  <c r="N93" i="13"/>
  <c r="N94" i="13"/>
  <c r="N95" i="13"/>
  <c r="N96" i="13"/>
  <c r="N97" i="13"/>
  <c r="N98" i="13"/>
  <c r="N99" i="13"/>
  <c r="N100" i="13"/>
  <c r="N101" i="13"/>
  <c r="N102" i="13"/>
  <c r="N103" i="13"/>
  <c r="N104" i="13"/>
  <c r="N105" i="13"/>
  <c r="N106" i="13"/>
  <c r="N107" i="13"/>
  <c r="N108" i="13"/>
  <c r="N109" i="13"/>
  <c r="N110" i="13"/>
  <c r="N111" i="13"/>
  <c r="N112" i="13"/>
  <c r="N113" i="13"/>
  <c r="N114" i="13"/>
  <c r="N115" i="13"/>
  <c r="N116" i="13"/>
  <c r="N117" i="13"/>
  <c r="N118" i="13"/>
  <c r="N119" i="13"/>
  <c r="N120" i="13"/>
  <c r="N121" i="13"/>
  <c r="N122" i="13"/>
  <c r="N123" i="13"/>
  <c r="N124" i="13"/>
  <c r="N125" i="13"/>
  <c r="N126" i="13"/>
  <c r="N127" i="13"/>
  <c r="N128" i="13"/>
  <c r="N129" i="13"/>
  <c r="N130" i="13"/>
  <c r="N131" i="13"/>
  <c r="N132" i="13"/>
  <c r="N133" i="13"/>
  <c r="N134" i="13"/>
  <c r="N135" i="13"/>
  <c r="N136" i="13"/>
  <c r="N137" i="13"/>
  <c r="N138" i="13"/>
  <c r="N139" i="13"/>
  <c r="N140" i="13"/>
  <c r="N141" i="13"/>
  <c r="N142" i="13"/>
  <c r="N143" i="13"/>
  <c r="N144" i="13"/>
  <c r="N145" i="13"/>
  <c r="N146" i="13"/>
  <c r="N147" i="13"/>
  <c r="N148" i="13"/>
  <c r="N149" i="13"/>
  <c r="N150" i="13"/>
  <c r="N151" i="13"/>
  <c r="N152" i="13"/>
  <c r="N153" i="13"/>
  <c r="N154" i="13"/>
  <c r="N155" i="13"/>
  <c r="N156" i="13"/>
  <c r="N157" i="13"/>
  <c r="N158" i="13"/>
  <c r="N159" i="13"/>
  <c r="N160" i="13"/>
  <c r="N161" i="13"/>
  <c r="N162" i="13"/>
  <c r="N163" i="13"/>
  <c r="N164" i="13"/>
  <c r="N165" i="13"/>
  <c r="N166" i="13"/>
  <c r="N167" i="13"/>
  <c r="N168" i="13"/>
  <c r="N169" i="13"/>
  <c r="N170" i="13"/>
  <c r="N171" i="13"/>
  <c r="N172" i="13"/>
  <c r="N173" i="13"/>
  <c r="N174" i="13"/>
  <c r="N175" i="13"/>
  <c r="N176" i="13"/>
  <c r="N177" i="13"/>
  <c r="N178" i="13"/>
  <c r="N179" i="13"/>
  <c r="N180" i="13"/>
  <c r="N181" i="13"/>
  <c r="N182" i="13"/>
  <c r="N183" i="13"/>
  <c r="N184" i="13"/>
  <c r="N185" i="13"/>
  <c r="N186" i="13"/>
  <c r="N187" i="13"/>
  <c r="N188" i="13"/>
  <c r="N189" i="13"/>
  <c r="N190" i="13"/>
  <c r="N191" i="13"/>
  <c r="N192" i="13"/>
  <c r="N193" i="13"/>
  <c r="N194" i="13"/>
  <c r="N195" i="13"/>
  <c r="N196" i="13"/>
  <c r="N197" i="13"/>
  <c r="N198" i="13"/>
  <c r="N199" i="13"/>
  <c r="N200" i="13"/>
  <c r="N201" i="13"/>
  <c r="N202" i="13"/>
  <c r="N203" i="13"/>
  <c r="N204" i="13"/>
  <c r="N205" i="13"/>
  <c r="N206" i="13"/>
  <c r="N207" i="13"/>
  <c r="N3" i="13"/>
  <c r="N4" i="13"/>
  <c r="N5" i="13"/>
  <c r="N6" i="13"/>
  <c r="N7" i="13"/>
  <c r="O3" i="13"/>
  <c r="O4" i="13"/>
  <c r="O5" i="13"/>
  <c r="O6" i="13"/>
  <c r="O7" i="13"/>
  <c r="O8" i="13"/>
  <c r="O9" i="13"/>
  <c r="O10" i="13"/>
  <c r="O11" i="13"/>
  <c r="O12" i="13"/>
  <c r="O13" i="13"/>
  <c r="O14" i="13"/>
  <c r="O15" i="13"/>
  <c r="O16" i="13"/>
  <c r="O17" i="13"/>
  <c r="O18" i="13"/>
  <c r="O19" i="13"/>
  <c r="O20" i="13"/>
  <c r="O21" i="13"/>
  <c r="O22" i="13"/>
  <c r="O23" i="13"/>
  <c r="O24" i="13"/>
  <c r="O25" i="13"/>
  <c r="O26" i="13"/>
  <c r="O27" i="13"/>
  <c r="O28" i="13"/>
  <c r="O29" i="13"/>
  <c r="O30" i="13"/>
  <c r="O31" i="13"/>
  <c r="O32" i="13"/>
  <c r="O33" i="13"/>
  <c r="O34" i="13"/>
  <c r="O35" i="13"/>
  <c r="O36" i="13"/>
  <c r="O37" i="13"/>
  <c r="O38" i="13"/>
  <c r="O39" i="13"/>
  <c r="O40" i="13"/>
  <c r="O41" i="13"/>
  <c r="O42" i="13"/>
  <c r="O43" i="13"/>
  <c r="O44" i="13"/>
  <c r="O45" i="13"/>
  <c r="O46" i="13"/>
  <c r="O47" i="13"/>
  <c r="O48" i="13"/>
  <c r="O49" i="13"/>
  <c r="O50" i="13"/>
  <c r="O51" i="13"/>
  <c r="O52" i="13"/>
  <c r="O53" i="13"/>
  <c r="O54" i="13"/>
  <c r="O55" i="13"/>
  <c r="O56" i="13"/>
  <c r="O57" i="13"/>
  <c r="O58" i="13"/>
  <c r="O59" i="13"/>
  <c r="O60" i="13"/>
  <c r="O61" i="13"/>
  <c r="O62" i="13"/>
  <c r="O63" i="13"/>
  <c r="O64" i="13"/>
  <c r="O65" i="13"/>
  <c r="O66" i="13"/>
  <c r="O67" i="13"/>
  <c r="O68" i="13"/>
  <c r="O69" i="13"/>
  <c r="O70" i="13"/>
  <c r="O71" i="13"/>
  <c r="O72" i="13"/>
  <c r="O73" i="13"/>
  <c r="O74" i="13"/>
  <c r="O75" i="13"/>
  <c r="O76" i="13"/>
  <c r="O77" i="13"/>
  <c r="O78" i="13"/>
  <c r="O79" i="13"/>
  <c r="O80" i="13"/>
  <c r="O81" i="13"/>
  <c r="O82" i="13"/>
  <c r="O83" i="13"/>
  <c r="O84" i="13"/>
  <c r="O85" i="13"/>
  <c r="O86" i="13"/>
  <c r="O87" i="13"/>
  <c r="O88" i="13"/>
  <c r="O89" i="13"/>
  <c r="O90" i="13"/>
  <c r="O91" i="13"/>
  <c r="O92" i="13"/>
  <c r="O93" i="13"/>
  <c r="O94" i="13"/>
  <c r="O95" i="13"/>
  <c r="O96" i="13"/>
  <c r="O97" i="13"/>
  <c r="O98" i="13"/>
  <c r="O99" i="13"/>
  <c r="O100" i="13"/>
  <c r="O101" i="13"/>
  <c r="O102" i="13"/>
  <c r="O103" i="13"/>
  <c r="O104" i="13"/>
  <c r="O105" i="13"/>
  <c r="O106" i="13"/>
  <c r="O107" i="13"/>
  <c r="O108" i="13"/>
  <c r="O109" i="13"/>
  <c r="O110" i="13"/>
  <c r="O111" i="13"/>
  <c r="O112" i="13"/>
  <c r="O113" i="13"/>
  <c r="O114" i="13"/>
  <c r="O115" i="13"/>
  <c r="O116" i="13"/>
  <c r="O117" i="13"/>
  <c r="O118" i="13"/>
  <c r="O119" i="13"/>
  <c r="O120" i="13"/>
  <c r="O121" i="13"/>
  <c r="O122" i="13"/>
  <c r="O123" i="13"/>
  <c r="O124" i="13"/>
  <c r="O125" i="13"/>
  <c r="O126" i="13"/>
  <c r="O127" i="13"/>
  <c r="O128" i="13"/>
  <c r="O129" i="13"/>
  <c r="O130" i="13"/>
  <c r="O131" i="13"/>
  <c r="O132" i="13"/>
  <c r="O133" i="13"/>
  <c r="O134" i="13"/>
  <c r="O135" i="13"/>
  <c r="O136" i="13"/>
  <c r="O137" i="13"/>
  <c r="O138" i="13"/>
  <c r="O139" i="13"/>
  <c r="O140" i="13"/>
  <c r="O141" i="13"/>
  <c r="O142" i="13"/>
  <c r="O143" i="13"/>
  <c r="O144" i="13"/>
  <c r="O145" i="13"/>
  <c r="O146" i="13"/>
  <c r="O147" i="13"/>
  <c r="O148" i="13"/>
  <c r="O149" i="13"/>
  <c r="O150" i="13"/>
  <c r="O151" i="13"/>
  <c r="O152" i="13"/>
  <c r="O153" i="13"/>
  <c r="O154" i="13"/>
  <c r="O155" i="13"/>
  <c r="O156" i="13"/>
  <c r="O157" i="13"/>
  <c r="O158" i="13"/>
  <c r="O159" i="13"/>
  <c r="O160" i="13"/>
  <c r="O161" i="13"/>
  <c r="O162" i="13"/>
  <c r="O163" i="13"/>
  <c r="O164" i="13"/>
  <c r="O165" i="13"/>
  <c r="O166" i="13"/>
  <c r="O167" i="13"/>
  <c r="O168" i="13"/>
  <c r="O169" i="13"/>
  <c r="O170" i="13"/>
  <c r="O171" i="13"/>
  <c r="O172" i="13"/>
  <c r="O173" i="13"/>
  <c r="O174" i="13"/>
  <c r="O175" i="13"/>
  <c r="O176" i="13"/>
  <c r="O177" i="13"/>
  <c r="O178" i="13"/>
  <c r="O179" i="13"/>
  <c r="O180" i="13"/>
  <c r="O181" i="13"/>
  <c r="O182" i="13"/>
  <c r="O183" i="13"/>
  <c r="O184" i="13"/>
  <c r="O185" i="13"/>
  <c r="O186" i="13"/>
  <c r="O187" i="13"/>
  <c r="O188" i="13"/>
  <c r="O189" i="13"/>
  <c r="O190" i="13"/>
  <c r="O191" i="13"/>
  <c r="O192" i="13"/>
  <c r="O193" i="13"/>
  <c r="O194" i="13"/>
  <c r="O195" i="13"/>
  <c r="O196" i="13"/>
  <c r="O197" i="13"/>
  <c r="O198" i="13"/>
  <c r="O199" i="13"/>
  <c r="O200" i="13"/>
  <c r="O201" i="13"/>
  <c r="O202" i="13"/>
  <c r="O203" i="13"/>
  <c r="O204" i="13"/>
  <c r="O205" i="13"/>
  <c r="O206" i="13"/>
  <c r="O207" i="13"/>
  <c r="P164" i="13" a="1"/>
  <c r="P164" i="13" s="1"/>
  <c r="P146" i="13" a="1"/>
  <c r="P146" i="13" s="1"/>
  <c r="P134" i="13" a="1"/>
  <c r="P134" i="13" s="1"/>
  <c r="P122" i="13" a="1"/>
  <c r="P122" i="13" s="1"/>
  <c r="P107" i="13" a="1"/>
  <c r="P107" i="13" s="1"/>
  <c r="P95" i="13" a="1"/>
  <c r="P95" i="13" s="1"/>
  <c r="P84" i="13" a="1"/>
  <c r="P84" i="13" s="1"/>
  <c r="P72" i="13" a="1"/>
  <c r="P72" i="13" s="1"/>
  <c r="P3" i="13" a="1"/>
  <c r="P3" i="13" s="1"/>
  <c r="N2" i="13"/>
  <c r="O2" i="13"/>
  <c r="F269" i="13"/>
  <c r="F268" i="13"/>
  <c r="E269" i="13"/>
  <c r="E268" i="13"/>
  <c r="I3" i="20" l="1" a="1"/>
  <c r="I3" i="20" s="1"/>
  <c r="W3" i="20" a="1"/>
  <c r="W3" i="20" s="1"/>
  <c r="J3" i="20" a="1"/>
  <c r="J3" i="20" s="1"/>
  <c r="J26" i="20" s="1"/>
  <c r="M3" i="20" a="1"/>
  <c r="M3" i="20" s="1"/>
  <c r="P3" i="20" a="1"/>
  <c r="P3" i="20" s="1"/>
  <c r="S3" i="20" a="1"/>
  <c r="S3" i="20" s="1"/>
  <c r="V3" i="20" a="1"/>
  <c r="V3" i="20" s="1"/>
  <c r="X3" i="20" a="1"/>
  <c r="X3" i="20" s="1"/>
  <c r="X27" i="20" s="1"/>
  <c r="K3" i="20" a="1"/>
  <c r="K3" i="20" s="1"/>
  <c r="K26" i="20" s="1"/>
  <c r="L3" i="20" a="1"/>
  <c r="L3" i="20" s="1"/>
  <c r="L27" i="20" s="1"/>
  <c r="N3" i="20" a="1"/>
  <c r="N3" i="20" s="1"/>
  <c r="U3" i="20" a="1"/>
  <c r="U3" i="20" s="1"/>
  <c r="H3" i="20" a="1"/>
  <c r="H3" i="20" s="1"/>
  <c r="O3" i="20" a="1"/>
  <c r="O3" i="20" s="1"/>
  <c r="O26" i="20" s="1"/>
  <c r="Q3" i="20" a="1"/>
  <c r="Q3" i="20" s="1"/>
  <c r="Q26" i="20" s="1"/>
  <c r="R3" i="20" a="1"/>
  <c r="R3" i="20" s="1"/>
  <c r="R26" i="20" s="1"/>
  <c r="T3" i="20" a="1"/>
  <c r="T3" i="20" s="1"/>
  <c r="T26" i="20" s="1"/>
  <c r="I26" i="20"/>
  <c r="I27" i="20"/>
  <c r="W26" i="20"/>
  <c r="W27" i="20"/>
  <c r="M27" i="20"/>
  <c r="M26" i="20"/>
  <c r="S26" i="20"/>
  <c r="S27" i="20"/>
  <c r="P26" i="20"/>
  <c r="P27" i="20"/>
  <c r="V26" i="20"/>
  <c r="V27" i="20"/>
  <c r="W72" i="20" a="1"/>
  <c r="W72" i="20" s="1"/>
  <c r="H72" i="20" a="1"/>
  <c r="H72" i="20" s="1"/>
  <c r="T72" i="20" a="1"/>
  <c r="T72" i="20" s="1"/>
  <c r="Q72" i="20" a="1"/>
  <c r="Q72" i="20" s="1"/>
  <c r="N72" i="20" a="1"/>
  <c r="N72" i="20" s="1"/>
  <c r="K72" i="20" a="1"/>
  <c r="K72" i="20" s="1"/>
  <c r="K27" i="20"/>
  <c r="N27" i="20"/>
  <c r="N26" i="20"/>
  <c r="U26" i="20"/>
  <c r="U27" i="20"/>
  <c r="S72" i="20" a="1"/>
  <c r="S72" i="20" s="1"/>
  <c r="G72" i="20" a="1"/>
  <c r="G72" i="20" s="1"/>
  <c r="V72" i="20" a="1"/>
  <c r="V72" i="20" s="1"/>
  <c r="P72" i="20" a="1"/>
  <c r="P72" i="20" s="1"/>
  <c r="M72" i="20" a="1"/>
  <c r="M72" i="20" s="1"/>
  <c r="J72" i="20" a="1"/>
  <c r="J72" i="20" s="1"/>
  <c r="X72" i="20" a="1"/>
  <c r="X72" i="20" s="1"/>
  <c r="I72" i="20" a="1"/>
  <c r="I72" i="20" s="1"/>
  <c r="U72" i="20" a="1"/>
  <c r="U72" i="20" s="1"/>
  <c r="R72" i="20" a="1"/>
  <c r="R72" i="20" s="1"/>
  <c r="O72" i="20" a="1"/>
  <c r="O72" i="20" s="1"/>
  <c r="L72" i="20" a="1"/>
  <c r="L72" i="20" s="1"/>
  <c r="B3" i="18" a="1"/>
  <c r="B3" i="18" s="1"/>
  <c r="C3" i="18" s="1"/>
  <c r="C2" i="18"/>
  <c r="C172" i="17"/>
  <c r="D132" i="17" s="1"/>
  <c r="C150" i="17"/>
  <c r="D110" i="17" s="1"/>
  <c r="C113" i="17"/>
  <c r="F113" i="17" s="1"/>
  <c r="C160" i="17"/>
  <c r="D120" i="17" s="1"/>
  <c r="C199" i="17"/>
  <c r="E114" i="17" s="1"/>
  <c r="C133" i="17"/>
  <c r="F133" i="17" s="1"/>
  <c r="C144" i="17"/>
  <c r="D104" i="17" s="1"/>
  <c r="C191" i="17"/>
  <c r="E106" i="17" s="1"/>
  <c r="C122" i="17"/>
  <c r="F122" i="17" s="1"/>
  <c r="C183" i="17"/>
  <c r="E98" i="17" s="1"/>
  <c r="C117" i="17"/>
  <c r="F117" i="17" s="1"/>
  <c r="C176" i="17"/>
  <c r="D136" i="17" s="1"/>
  <c r="C223" i="17"/>
  <c r="E138" i="17" s="1"/>
  <c r="C129" i="17"/>
  <c r="F129" i="17" s="1"/>
  <c r="C126" i="17"/>
  <c r="F126" i="17" s="1"/>
  <c r="C101" i="17"/>
  <c r="F101" i="17" s="1"/>
  <c r="C148" i="17"/>
  <c r="D108" i="17" s="1"/>
  <c r="C175" i="17"/>
  <c r="D135" i="17" s="1"/>
  <c r="C121" i="17"/>
  <c r="F121" i="17" s="1"/>
  <c r="C132" i="17"/>
  <c r="F132" i="17" s="1"/>
  <c r="C179" i="17"/>
  <c r="E94" i="17" s="1"/>
  <c r="C214" i="17"/>
  <c r="E129" i="17" s="1"/>
  <c r="C159" i="17"/>
  <c r="D119" i="17" s="1"/>
  <c r="C105" i="17"/>
  <c r="F105" i="17" s="1"/>
  <c r="R94" i="17" s="1" a="1"/>
  <c r="R94" i="17" s="1"/>
  <c r="C164" i="17"/>
  <c r="D124" i="17" s="1"/>
  <c r="C203" i="17"/>
  <c r="E118" i="17" s="1"/>
  <c r="C102" i="17"/>
  <c r="F102" i="17" s="1"/>
  <c r="C222" i="17"/>
  <c r="E137" i="17" s="1"/>
  <c r="C136" i="17"/>
  <c r="D96" i="17" s="1"/>
  <c r="C151" i="17"/>
  <c r="D111" i="17" s="1"/>
  <c r="C109" i="17"/>
  <c r="F109" i="17" s="1"/>
  <c r="C120" i="17"/>
  <c r="F120" i="17" s="1"/>
  <c r="C167" i="17"/>
  <c r="D127" i="17" s="1"/>
  <c r="C202" i="17"/>
  <c r="E117" i="17" s="1"/>
  <c r="C135" i="17"/>
  <c r="D95" i="17" s="1"/>
  <c r="C219" i="17"/>
  <c r="E134" i="17" s="1"/>
  <c r="C152" i="17"/>
  <c r="D112" i="17" s="1"/>
  <c r="C125" i="17"/>
  <c r="F125" i="17" s="1"/>
  <c r="C156" i="17"/>
  <c r="D116" i="17" s="1"/>
  <c r="C146" i="17"/>
  <c r="D106" i="17" s="1"/>
  <c r="C188" i="17"/>
  <c r="E103" i="17" s="1"/>
  <c r="C221" i="17"/>
  <c r="E136" i="17" s="1"/>
  <c r="C198" i="17"/>
  <c r="E113" i="17" s="1"/>
  <c r="C124" i="17"/>
  <c r="F124" i="17" s="1"/>
  <c r="C127" i="17"/>
  <c r="F127" i="17" s="1"/>
  <c r="C97" i="17"/>
  <c r="F97" i="17" s="1"/>
  <c r="C108" i="17"/>
  <c r="F108" i="17" s="1"/>
  <c r="C155" i="17"/>
  <c r="D115" i="17" s="1"/>
  <c r="C190" i="17"/>
  <c r="E105" i="17" s="1"/>
  <c r="C111" i="17"/>
  <c r="F111" i="17" s="1"/>
  <c r="C195" i="17"/>
  <c r="E110" i="17" s="1"/>
  <c r="C140" i="17"/>
  <c r="D100" i="17" s="1"/>
  <c r="C209" i="17"/>
  <c r="E124" i="17" s="1"/>
  <c r="C174" i="17"/>
  <c r="D134" i="17" s="1"/>
  <c r="C112" i="17"/>
  <c r="F112" i="17" s="1"/>
  <c r="C103" i="17"/>
  <c r="F103" i="17" s="1"/>
  <c r="C182" i="17"/>
  <c r="E97" i="17" s="1"/>
  <c r="C96" i="17"/>
  <c r="F96" i="17" s="1"/>
  <c r="C143" i="17"/>
  <c r="D103" i="17" s="1"/>
  <c r="C178" i="17"/>
  <c r="D138" i="17" s="1"/>
  <c r="C213" i="17"/>
  <c r="E128" i="17" s="1"/>
  <c r="C171" i="17"/>
  <c r="D131" i="17" s="1"/>
  <c r="C128" i="17"/>
  <c r="F128" i="17" s="1"/>
  <c r="C145" i="17"/>
  <c r="D105" i="17" s="1"/>
  <c r="C207" i="17"/>
  <c r="E122" i="17" s="1"/>
  <c r="C197" i="17"/>
  <c r="E112" i="17" s="1"/>
  <c r="C138" i="17"/>
  <c r="D98" i="17" s="1"/>
  <c r="C100" i="17"/>
  <c r="F100" i="17" s="1"/>
  <c r="C217" i="17"/>
  <c r="E132" i="17" s="1"/>
  <c r="C110" i="17"/>
  <c r="F110" i="17" s="1"/>
  <c r="C218" i="17"/>
  <c r="E133" i="17" s="1"/>
  <c r="C131" i="17"/>
  <c r="F131" i="17" s="1"/>
  <c r="C166" i="17"/>
  <c r="D126" i="17" s="1"/>
  <c r="C201" i="17"/>
  <c r="E116" i="17" s="1"/>
  <c r="C147" i="17"/>
  <c r="D107" i="17" s="1"/>
  <c r="C116" i="17"/>
  <c r="F116" i="17" s="1"/>
  <c r="C162" i="17"/>
  <c r="D122" i="17" s="1"/>
  <c r="C185" i="17"/>
  <c r="E100" i="17" s="1"/>
  <c r="C114" i="17"/>
  <c r="F114" i="17" s="1"/>
  <c r="C211" i="17"/>
  <c r="E126" i="17" s="1"/>
  <c r="C205" i="17"/>
  <c r="E120" i="17" s="1"/>
  <c r="C216" i="17"/>
  <c r="E131" i="17" s="1"/>
  <c r="C194" i="17"/>
  <c r="E109" i="17" s="1"/>
  <c r="C119" i="17"/>
  <c r="F119" i="17" s="1"/>
  <c r="C154" i="17"/>
  <c r="D114" i="17" s="1"/>
  <c r="C189" i="17"/>
  <c r="E104" i="17" s="1"/>
  <c r="C123" i="17"/>
  <c r="F123" i="17" s="1"/>
  <c r="C104" i="17"/>
  <c r="F104" i="17" s="1"/>
  <c r="C173" i="17"/>
  <c r="D133" i="17" s="1"/>
  <c r="C220" i="17"/>
  <c r="E135" i="17" s="1"/>
  <c r="C187" i="17"/>
  <c r="E102" i="17" s="1"/>
  <c r="C193" i="17"/>
  <c r="E108" i="17" s="1"/>
  <c r="C204" i="17"/>
  <c r="E119" i="17" s="1"/>
  <c r="C158" i="17"/>
  <c r="D118" i="17" s="1"/>
  <c r="C107" i="17"/>
  <c r="F107" i="17" s="1"/>
  <c r="C142" i="17"/>
  <c r="D102" i="17" s="1"/>
  <c r="AB94" i="17" s="1" a="1"/>
  <c r="AB94" i="17" s="1"/>
  <c r="C177" i="17"/>
  <c r="D137" i="17" s="1"/>
  <c r="C99" i="17"/>
  <c r="F99" i="17" s="1"/>
  <c r="B94" i="17"/>
  <c r="C94" i="17" s="1"/>
  <c r="F94" i="17" s="1"/>
  <c r="C161" i="17"/>
  <c r="D121" i="17" s="1"/>
  <c r="C163" i="17"/>
  <c r="D123" i="17" s="1"/>
  <c r="C181" i="17"/>
  <c r="E96" i="17" s="1"/>
  <c r="C134" i="17"/>
  <c r="D94" i="17" s="1"/>
  <c r="C130" i="17"/>
  <c r="F130" i="17" s="1"/>
  <c r="C165" i="17"/>
  <c r="D125" i="17" s="1"/>
  <c r="C210" i="17"/>
  <c r="E125" i="17" s="1"/>
  <c r="C149" i="17"/>
  <c r="D109" i="17" s="1"/>
  <c r="C196" i="17"/>
  <c r="E111" i="17" s="1"/>
  <c r="K94" i="17" s="1" a="1"/>
  <c r="K94" i="17" s="1"/>
  <c r="C139" i="17"/>
  <c r="D99" i="17" s="1"/>
  <c r="C169" i="17"/>
  <c r="D129" i="17" s="1"/>
  <c r="C180" i="17"/>
  <c r="E95" i="17" s="1"/>
  <c r="C98" i="17"/>
  <c r="F98" i="17" s="1"/>
  <c r="C206" i="17"/>
  <c r="E121" i="17" s="1"/>
  <c r="C118" i="17"/>
  <c r="F118" i="17" s="1"/>
  <c r="C153" i="17"/>
  <c r="D113" i="17" s="1"/>
  <c r="C212" i="17"/>
  <c r="E127" i="17" s="1"/>
  <c r="C208" i="17"/>
  <c r="E123" i="17" s="1"/>
  <c r="C192" i="17"/>
  <c r="E107" i="17" s="1"/>
  <c r="C95" i="17"/>
  <c r="F95" i="17" s="1"/>
  <c r="C224" i="17"/>
  <c r="E139" i="17" s="1"/>
  <c r="C186" i="17"/>
  <c r="E101" i="17" s="1"/>
  <c r="C137" i="17"/>
  <c r="D97" i="17" s="1"/>
  <c r="C184" i="17"/>
  <c r="E99" i="17" s="1"/>
  <c r="C115" i="17"/>
  <c r="F115" i="17" s="1"/>
  <c r="C157" i="17"/>
  <c r="D117" i="17" s="1"/>
  <c r="C168" i="17"/>
  <c r="D128" i="17" s="1"/>
  <c r="C215" i="17"/>
  <c r="E130" i="17" s="1"/>
  <c r="C170" i="17"/>
  <c r="D130" i="17" s="1"/>
  <c r="C106" i="17"/>
  <c r="F106" i="17" s="1"/>
  <c r="C141" i="17"/>
  <c r="D101" i="17" s="1"/>
  <c r="N94" i="17" a="1"/>
  <c r="N94" i="17" s="1"/>
  <c r="P94" i="17" a="1"/>
  <c r="P94" i="17" s="1"/>
  <c r="AD94" i="17" a="1"/>
  <c r="AD94" i="17" s="1"/>
  <c r="C32" i="17"/>
  <c r="D12" i="17" s="1"/>
  <c r="C8" i="17"/>
  <c r="F8" i="17" s="1"/>
  <c r="C42" i="17"/>
  <c r="D22" i="17" s="1"/>
  <c r="C30" i="17"/>
  <c r="D10" i="17" s="1"/>
  <c r="C6" i="17"/>
  <c r="F6" i="17" s="1"/>
  <c r="C59" i="17"/>
  <c r="E6" i="17" s="1"/>
  <c r="C76" i="17"/>
  <c r="E23" i="17" s="1"/>
  <c r="C27" i="17"/>
  <c r="D7" i="17" s="1"/>
  <c r="C44" i="17"/>
  <c r="D24" i="17" s="1"/>
  <c r="C15" i="17"/>
  <c r="F15" i="17" s="1"/>
  <c r="C34" i="17"/>
  <c r="D14" i="17" s="1"/>
  <c r="C49" i="17"/>
  <c r="D29" i="17" s="1"/>
  <c r="C22" i="17"/>
  <c r="F22" i="17" s="1"/>
  <c r="C13" i="17"/>
  <c r="F13" i="17" s="1"/>
  <c r="C37" i="17"/>
  <c r="D17" i="17" s="1"/>
  <c r="C10" i="17"/>
  <c r="F10" i="17" s="1"/>
  <c r="C20" i="17"/>
  <c r="F20" i="17" s="1"/>
  <c r="C18" i="17"/>
  <c r="F18" i="17" s="1"/>
  <c r="C64" i="17"/>
  <c r="E11" i="17" s="1"/>
  <c r="C11" i="17"/>
  <c r="F11" i="17" s="1"/>
  <c r="C25" i="17"/>
  <c r="D5" i="17" s="1"/>
  <c r="C57" i="17"/>
  <c r="E4" i="17" s="1"/>
  <c r="C67" i="17"/>
  <c r="E14" i="17" s="1"/>
  <c r="C35" i="17"/>
  <c r="D15" i="17" s="1"/>
  <c r="C40" i="17"/>
  <c r="D20" i="17" s="1"/>
  <c r="C62" i="17"/>
  <c r="E9" i="17" s="1"/>
  <c r="C47" i="17"/>
  <c r="D27" i="17" s="1"/>
  <c r="C74" i="17"/>
  <c r="E21" i="17" s="1"/>
  <c r="C45" i="17"/>
  <c r="D25" i="17" s="1"/>
  <c r="C55" i="17"/>
  <c r="D35" i="17" s="1"/>
  <c r="C77" i="17"/>
  <c r="E24" i="17" s="1"/>
  <c r="C28" i="17"/>
  <c r="D8" i="17" s="1"/>
  <c r="C50" i="17"/>
  <c r="D30" i="17" s="1"/>
  <c r="C72" i="17"/>
  <c r="E19" i="17" s="1"/>
  <c r="C52" i="17"/>
  <c r="D32" i="17" s="1"/>
  <c r="C33" i="17"/>
  <c r="D13" i="17" s="1"/>
  <c r="C43" i="17"/>
  <c r="D23" i="17" s="1"/>
  <c r="C65" i="17"/>
  <c r="E12" i="17" s="1"/>
  <c r="C16" i="17"/>
  <c r="F16" i="17" s="1"/>
  <c r="C38" i="17"/>
  <c r="D18" i="17" s="1"/>
  <c r="C60" i="17"/>
  <c r="E7" i="17" s="1"/>
  <c r="C21" i="17"/>
  <c r="F21" i="17" s="1"/>
  <c r="C31" i="17"/>
  <c r="D11" i="17" s="1"/>
  <c r="C53" i="17"/>
  <c r="D33" i="17" s="1"/>
  <c r="C4" i="17"/>
  <c r="F4" i="17" s="1"/>
  <c r="C26" i="17"/>
  <c r="D6" i="17" s="1"/>
  <c r="C48" i="17"/>
  <c r="D28" i="17" s="1"/>
  <c r="C9" i="17"/>
  <c r="F9" i="17" s="1"/>
  <c r="C19" i="17"/>
  <c r="F19" i="17" s="1"/>
  <c r="C41" i="17"/>
  <c r="D21" i="17" s="1"/>
  <c r="C75" i="17"/>
  <c r="E22" i="17" s="1"/>
  <c r="C14" i="17"/>
  <c r="F14" i="17" s="1"/>
  <c r="C36" i="17"/>
  <c r="D16" i="17" s="1"/>
  <c r="C69" i="17"/>
  <c r="E16" i="17" s="1"/>
  <c r="C70" i="17"/>
  <c r="E17" i="17" s="1"/>
  <c r="C71" i="17"/>
  <c r="E18" i="17" s="1"/>
  <c r="C7" i="17"/>
  <c r="F7" i="17" s="1"/>
  <c r="C29" i="17"/>
  <c r="D9" i="17" s="1"/>
  <c r="C63" i="17"/>
  <c r="E10" i="17" s="1"/>
  <c r="C23" i="17"/>
  <c r="D3" i="17" s="1"/>
  <c r="C24" i="17"/>
  <c r="D4" i="17" s="1"/>
  <c r="C58" i="17"/>
  <c r="E5" i="17" s="1"/>
  <c r="C68" i="17"/>
  <c r="E15" i="17" s="1"/>
  <c r="C66" i="17"/>
  <c r="E13" i="17" s="1"/>
  <c r="C17" i="17"/>
  <c r="F17" i="17" s="1"/>
  <c r="C51" i="17"/>
  <c r="D31" i="17" s="1"/>
  <c r="C73" i="17"/>
  <c r="E20" i="17" s="1"/>
  <c r="C12" i="17"/>
  <c r="F12" i="17" s="1"/>
  <c r="C46" i="17"/>
  <c r="D26" i="17" s="1"/>
  <c r="C56" i="17"/>
  <c r="E3" i="17" s="1"/>
  <c r="C54" i="17"/>
  <c r="D34" i="17" s="1"/>
  <c r="C5" i="17"/>
  <c r="F5" i="17" s="1"/>
  <c r="C39" i="17"/>
  <c r="D19" i="17" s="1"/>
  <c r="C61" i="17"/>
  <c r="E8" i="17" s="1"/>
  <c r="B9" i="15"/>
  <c r="B27" i="15"/>
  <c r="B44" i="15"/>
  <c r="B61" i="15"/>
  <c r="B49" i="15"/>
  <c r="B66" i="15"/>
  <c r="B83" i="15"/>
  <c r="B100" i="15"/>
  <c r="B116" i="15"/>
  <c r="B67" i="15"/>
  <c r="B8" i="15"/>
  <c r="B26" i="15"/>
  <c r="B43" i="15"/>
  <c r="B60" i="15"/>
  <c r="B48" i="15"/>
  <c r="B65" i="15"/>
  <c r="B82" i="15"/>
  <c r="B99" i="15"/>
  <c r="B115" i="15"/>
  <c r="B117" i="15"/>
  <c r="B7" i="15"/>
  <c r="B25" i="15"/>
  <c r="B42" i="15"/>
  <c r="B59" i="15"/>
  <c r="B62" i="15"/>
  <c r="B64" i="15"/>
  <c r="B81" i="15"/>
  <c r="B98" i="15"/>
  <c r="B114" i="15"/>
  <c r="B28" i="15"/>
  <c r="B3" i="15"/>
  <c r="B6" i="15"/>
  <c r="B24" i="15"/>
  <c r="B41" i="15"/>
  <c r="B58" i="15"/>
  <c r="B75" i="15"/>
  <c r="B63" i="15"/>
  <c r="B80" i="15"/>
  <c r="B97" i="15"/>
  <c r="B113" i="15"/>
  <c r="B101" i="15"/>
  <c r="B17" i="15"/>
  <c r="B5" i="15"/>
  <c r="B23" i="15"/>
  <c r="B40" i="15"/>
  <c r="B57" i="15"/>
  <c r="B74" i="15"/>
  <c r="B76" i="15"/>
  <c r="B79" i="15"/>
  <c r="B96" i="15"/>
  <c r="B112" i="15"/>
  <c r="B45" i="15"/>
  <c r="B16" i="15"/>
  <c r="B4" i="15"/>
  <c r="B22" i="15"/>
  <c r="B39" i="15"/>
  <c r="B56" i="15"/>
  <c r="B73" i="15"/>
  <c r="B90" i="15"/>
  <c r="B78" i="15"/>
  <c r="B95" i="15"/>
  <c r="B111" i="15"/>
  <c r="B50" i="15"/>
  <c r="B15" i="15"/>
  <c r="B18" i="15"/>
  <c r="B21" i="15"/>
  <c r="B38" i="15"/>
  <c r="B55" i="15"/>
  <c r="B72" i="15"/>
  <c r="B89" i="15"/>
  <c r="B77" i="15"/>
  <c r="B94" i="15"/>
  <c r="B110" i="15"/>
  <c r="B47" i="15"/>
  <c r="B14" i="15"/>
  <c r="B32" i="15"/>
  <c r="B20" i="15"/>
  <c r="B37" i="15"/>
  <c r="B54" i="15"/>
  <c r="B71" i="15"/>
  <c r="B88" i="15"/>
  <c r="B91" i="15"/>
  <c r="B93" i="15"/>
  <c r="B109" i="15"/>
  <c r="B84" i="15"/>
  <c r="B13" i="15"/>
  <c r="B31" i="15"/>
  <c r="B19" i="15"/>
  <c r="B36" i="15"/>
  <c r="B53" i="15"/>
  <c r="B70" i="15"/>
  <c r="B87" i="15"/>
  <c r="B104" i="15"/>
  <c r="B92" i="15"/>
  <c r="B108" i="15"/>
  <c r="B10" i="15"/>
  <c r="B12" i="15"/>
  <c r="B30" i="15"/>
  <c r="B33" i="15"/>
  <c r="B35" i="15"/>
  <c r="B52" i="15"/>
  <c r="B69" i="15"/>
  <c r="B86" i="15"/>
  <c r="B103" i="15"/>
  <c r="B105" i="15"/>
  <c r="B107" i="15"/>
  <c r="B11" i="15"/>
  <c r="B29" i="15"/>
  <c r="B46" i="15"/>
  <c r="B34" i="15"/>
  <c r="B51" i="15"/>
  <c r="B68" i="15"/>
  <c r="B85" i="15"/>
  <c r="B102" i="15"/>
  <c r="B118" i="15"/>
  <c r="B106" i="15"/>
  <c r="P165" i="13" a="1"/>
  <c r="P165" i="13" s="1"/>
  <c r="P147" i="13" a="1"/>
  <c r="P147" i="13" s="1"/>
  <c r="P135" i="13" a="1"/>
  <c r="P135" i="13" s="1"/>
  <c r="P123" i="13" a="1"/>
  <c r="P123" i="13" s="1"/>
  <c r="P108" i="13" a="1"/>
  <c r="P108" i="13" s="1"/>
  <c r="P96" i="13" a="1"/>
  <c r="P96" i="13" s="1"/>
  <c r="P85" i="13" a="1"/>
  <c r="P85" i="13" s="1"/>
  <c r="P73" i="13" a="1"/>
  <c r="P73" i="13" s="1"/>
  <c r="P4" i="13" a="1"/>
  <c r="P4" i="13" s="1"/>
  <c r="J27" i="20" l="1"/>
  <c r="Q27" i="20"/>
  <c r="R27" i="20"/>
  <c r="R96" i="20"/>
  <c r="R97" i="20"/>
  <c r="G96" i="20"/>
  <c r="G97" i="20"/>
  <c r="X26" i="20"/>
  <c r="O96" i="20"/>
  <c r="O97" i="20"/>
  <c r="I96" i="20"/>
  <c r="I97" i="20"/>
  <c r="K96" i="20"/>
  <c r="K97" i="20"/>
  <c r="S97" i="20"/>
  <c r="S96" i="20"/>
  <c r="X96" i="20"/>
  <c r="X97" i="20"/>
  <c r="N96" i="20"/>
  <c r="N97" i="20"/>
  <c r="Q96" i="20"/>
  <c r="Q97" i="20"/>
  <c r="T96" i="20"/>
  <c r="T97" i="20"/>
  <c r="H96" i="20"/>
  <c r="H97" i="20"/>
  <c r="T27" i="20"/>
  <c r="W97" i="20"/>
  <c r="W96" i="20"/>
  <c r="V97" i="20"/>
  <c r="V96" i="20"/>
  <c r="O27" i="20"/>
  <c r="J97" i="20"/>
  <c r="J96" i="20"/>
  <c r="L26" i="20"/>
  <c r="U96" i="20"/>
  <c r="U97" i="20"/>
  <c r="M97" i="20"/>
  <c r="M96" i="20"/>
  <c r="L97" i="20"/>
  <c r="L96" i="20"/>
  <c r="P96" i="20"/>
  <c r="P97" i="20"/>
  <c r="B4" i="18" a="1"/>
  <c r="B4" i="18" s="1"/>
  <c r="C4" i="18" s="1"/>
  <c r="D2" i="18" a="1"/>
  <c r="D2" i="18" s="1"/>
  <c r="AA94" i="17" a="1"/>
  <c r="AA94" i="17" s="1"/>
  <c r="Z94" i="17" a="1"/>
  <c r="Z94" i="17" s="1"/>
  <c r="L94" i="17" a="1"/>
  <c r="L94" i="17" s="1"/>
  <c r="X94" i="17" a="1"/>
  <c r="X94" i="17" s="1"/>
  <c r="G94" i="17" a="1"/>
  <c r="G94" i="17" s="1"/>
  <c r="I94" i="17" a="1"/>
  <c r="I94" i="17" s="1"/>
  <c r="S94" i="17" a="1"/>
  <c r="S94" i="17" s="1"/>
  <c r="Q94" i="17" a="1"/>
  <c r="Q94" i="17" s="1"/>
  <c r="U94" i="17" a="1"/>
  <c r="U94" i="17" s="1"/>
  <c r="AC94" i="17" a="1"/>
  <c r="AC94" i="17" s="1"/>
  <c r="M94" i="17" a="1"/>
  <c r="M94" i="17" s="1"/>
  <c r="M142" i="17" s="1"/>
  <c r="J94" i="17" a="1"/>
  <c r="J94" i="17" s="1"/>
  <c r="H94" i="17" a="1"/>
  <c r="H94" i="17" s="1"/>
  <c r="Y94" i="17" a="1"/>
  <c r="Y94" i="17" s="1"/>
  <c r="V94" i="17" a="1"/>
  <c r="V94" i="17" s="1"/>
  <c r="V141" i="17" s="1"/>
  <c r="T94" i="17" a="1"/>
  <c r="T94" i="17" s="1"/>
  <c r="T142" i="17" s="1"/>
  <c r="O94" i="17" a="1"/>
  <c r="O94" i="17" s="1"/>
  <c r="O141" i="17" s="1"/>
  <c r="W94" i="17" a="1"/>
  <c r="W94" i="17" s="1"/>
  <c r="W142" i="17" s="1"/>
  <c r="G142" i="17"/>
  <c r="G141" i="17"/>
  <c r="I142" i="17"/>
  <c r="I141" i="17"/>
  <c r="S142" i="17"/>
  <c r="S141" i="17"/>
  <c r="Q142" i="17"/>
  <c r="Q141" i="17"/>
  <c r="U142" i="17"/>
  <c r="U141" i="17"/>
  <c r="AC142" i="17"/>
  <c r="AC141" i="17"/>
  <c r="L142" i="17"/>
  <c r="L141" i="17"/>
  <c r="X3" i="17" a="1"/>
  <c r="X3" i="17" s="1"/>
  <c r="X37" i="17" s="1"/>
  <c r="M141" i="17"/>
  <c r="J142" i="17"/>
  <c r="J141" i="17"/>
  <c r="H142" i="17"/>
  <c r="H141" i="17"/>
  <c r="Y142" i="17"/>
  <c r="Y141" i="17"/>
  <c r="V142" i="17"/>
  <c r="R142" i="17"/>
  <c r="R141" i="17"/>
  <c r="AB141" i="17"/>
  <c r="AB142" i="17"/>
  <c r="K141" i="17"/>
  <c r="K142" i="17"/>
  <c r="X142" i="17"/>
  <c r="X141" i="17"/>
  <c r="AD142" i="17"/>
  <c r="AD141" i="17"/>
  <c r="P141" i="17"/>
  <c r="P142" i="17"/>
  <c r="N142" i="17"/>
  <c r="N141" i="17"/>
  <c r="AA141" i="17"/>
  <c r="AA142" i="17"/>
  <c r="Z142" i="17"/>
  <c r="Z141" i="17"/>
  <c r="V3" i="17" a="1"/>
  <c r="V3" i="17" s="1"/>
  <c r="J3" i="17" a="1"/>
  <c r="J3" i="17" s="1"/>
  <c r="P3" i="17" a="1"/>
  <c r="P3" i="17" s="1"/>
  <c r="S3" i="17" a="1"/>
  <c r="S3" i="17" s="1"/>
  <c r="AB3" i="17" a="1"/>
  <c r="AB3" i="17" s="1"/>
  <c r="Y3" i="17" a="1"/>
  <c r="Y3" i="17" s="1"/>
  <c r="M3" i="17" a="1"/>
  <c r="M3" i="17" s="1"/>
  <c r="G3" i="17" a="1"/>
  <c r="G3" i="17" s="1"/>
  <c r="W3" i="17" a="1"/>
  <c r="W3" i="17" s="1"/>
  <c r="K3" i="17" a="1"/>
  <c r="K3" i="17" s="1"/>
  <c r="N3" i="17" a="1"/>
  <c r="N3" i="17" s="1"/>
  <c r="T3" i="17" a="1"/>
  <c r="T3" i="17" s="1"/>
  <c r="Z3" i="17" a="1"/>
  <c r="Z3" i="17" s="1"/>
  <c r="AC3" i="17" a="1"/>
  <c r="AC3" i="17" s="1"/>
  <c r="Q3" i="17" a="1"/>
  <c r="Q3" i="17" s="1"/>
  <c r="H3" i="17" a="1"/>
  <c r="H3" i="17" s="1"/>
  <c r="I3" i="17" a="1"/>
  <c r="I3" i="17" s="1"/>
  <c r="O3" i="17" a="1"/>
  <c r="O3" i="17" s="1"/>
  <c r="AA3" i="17" a="1"/>
  <c r="AA3" i="17" s="1"/>
  <c r="L3" i="17" a="1"/>
  <c r="L3" i="17" s="1"/>
  <c r="R3" i="17" a="1"/>
  <c r="R3" i="17" s="1"/>
  <c r="AD3" i="17" a="1"/>
  <c r="AD3" i="17" s="1"/>
  <c r="U3" i="17" a="1"/>
  <c r="U3" i="17" s="1"/>
  <c r="C3" i="15" a="1"/>
  <c r="P166" i="13" a="1"/>
  <c r="P166" i="13" s="1"/>
  <c r="P148" i="13" a="1"/>
  <c r="P148" i="13" s="1"/>
  <c r="P136" i="13" a="1"/>
  <c r="P136" i="13" s="1"/>
  <c r="P124" i="13" a="1"/>
  <c r="P124" i="13" s="1"/>
  <c r="P109" i="13" a="1"/>
  <c r="P109" i="13" s="1"/>
  <c r="P97" i="13" a="1"/>
  <c r="P97" i="13" s="1"/>
  <c r="P86" i="13" a="1"/>
  <c r="P86" i="13" s="1"/>
  <c r="P74" i="13" a="1"/>
  <c r="P74" i="13" s="1"/>
  <c r="P5" i="13" a="1"/>
  <c r="P5" i="13" s="1"/>
  <c r="B5" i="18" l="1" a="1"/>
  <c r="B5" i="18" s="1"/>
  <c r="C5" i="18" s="1"/>
  <c r="D3" i="18" a="1"/>
  <c r="D3" i="18" s="1"/>
  <c r="W141" i="17"/>
  <c r="O142" i="17"/>
  <c r="T141" i="17"/>
  <c r="X38" i="17"/>
  <c r="K37" i="17"/>
  <c r="K38" i="17"/>
  <c r="R37" i="17"/>
  <c r="R38" i="17"/>
  <c r="W37" i="17"/>
  <c r="W38" i="17"/>
  <c r="AA38" i="17"/>
  <c r="AA37" i="17"/>
  <c r="M37" i="17"/>
  <c r="M38" i="17"/>
  <c r="O38" i="17"/>
  <c r="O37" i="17"/>
  <c r="Y38" i="17"/>
  <c r="Y37" i="17"/>
  <c r="I38" i="17"/>
  <c r="I37" i="17"/>
  <c r="AB38" i="17"/>
  <c r="AB37" i="17"/>
  <c r="H38" i="17"/>
  <c r="H37" i="17"/>
  <c r="S38" i="17"/>
  <c r="S37" i="17"/>
  <c r="G37" i="17"/>
  <c r="P38" i="17"/>
  <c r="P37" i="17"/>
  <c r="Q38" i="17"/>
  <c r="Q37" i="17"/>
  <c r="J37" i="17"/>
  <c r="J38" i="17"/>
  <c r="AC38" i="17"/>
  <c r="AC37" i="17"/>
  <c r="V37" i="17"/>
  <c r="V38" i="17"/>
  <c r="AD37" i="17"/>
  <c r="AD38" i="17"/>
  <c r="Z38" i="17"/>
  <c r="Z37" i="17"/>
  <c r="T37" i="17"/>
  <c r="T38" i="17"/>
  <c r="L37" i="17"/>
  <c r="L38" i="17"/>
  <c r="U38" i="17"/>
  <c r="U37" i="17"/>
  <c r="N38" i="17"/>
  <c r="N37" i="17"/>
  <c r="C3" i="15"/>
  <c r="D3" i="15" s="1"/>
  <c r="D4" i="15"/>
  <c r="D16" i="15"/>
  <c r="D28" i="15"/>
  <c r="D40" i="15"/>
  <c r="D52" i="15"/>
  <c r="D64" i="15"/>
  <c r="D76" i="15"/>
  <c r="D88" i="15"/>
  <c r="D100" i="15"/>
  <c r="D112" i="15"/>
  <c r="D68" i="15"/>
  <c r="D5" i="15"/>
  <c r="D17" i="15"/>
  <c r="D29" i="15"/>
  <c r="D41" i="15"/>
  <c r="D53" i="15"/>
  <c r="D65" i="15"/>
  <c r="D77" i="15"/>
  <c r="D89" i="15"/>
  <c r="D101" i="15"/>
  <c r="D113" i="15"/>
  <c r="D20" i="15"/>
  <c r="D92" i="15"/>
  <c r="D6" i="15"/>
  <c r="D18" i="15"/>
  <c r="D30" i="15"/>
  <c r="D42" i="15"/>
  <c r="D54" i="15"/>
  <c r="D66" i="15"/>
  <c r="D78" i="15"/>
  <c r="D90" i="15"/>
  <c r="D102" i="15"/>
  <c r="D114" i="15"/>
  <c r="D44" i="15"/>
  <c r="D104" i="15"/>
  <c r="D7" i="15"/>
  <c r="D19" i="15"/>
  <c r="D31" i="15"/>
  <c r="D43" i="15"/>
  <c r="D55" i="15"/>
  <c r="D67" i="15"/>
  <c r="D79" i="15"/>
  <c r="D91" i="15"/>
  <c r="D103" i="15"/>
  <c r="D115" i="15"/>
  <c r="D56" i="15"/>
  <c r="D116" i="15"/>
  <c r="D9" i="15"/>
  <c r="D21" i="15"/>
  <c r="D33" i="15"/>
  <c r="D45" i="15"/>
  <c r="D57" i="15"/>
  <c r="D69" i="15"/>
  <c r="D81" i="15"/>
  <c r="D93" i="15"/>
  <c r="D105" i="15"/>
  <c r="D117" i="15"/>
  <c r="D10" i="15"/>
  <c r="D22" i="15"/>
  <c r="D34" i="15"/>
  <c r="D46" i="15"/>
  <c r="D58" i="15"/>
  <c r="D70" i="15"/>
  <c r="D82" i="15"/>
  <c r="D94" i="15"/>
  <c r="D106" i="15"/>
  <c r="D118" i="15"/>
  <c r="D11" i="15"/>
  <c r="D23" i="15"/>
  <c r="D35" i="15"/>
  <c r="D47" i="15"/>
  <c r="D59" i="15"/>
  <c r="D71" i="15"/>
  <c r="D83" i="15"/>
  <c r="D95" i="15"/>
  <c r="D107" i="15"/>
  <c r="D12" i="15"/>
  <c r="D24" i="15"/>
  <c r="D36" i="15"/>
  <c r="D48" i="15"/>
  <c r="D60" i="15"/>
  <c r="D72" i="15"/>
  <c r="D84" i="15"/>
  <c r="D96" i="15"/>
  <c r="D108" i="15"/>
  <c r="D13" i="15"/>
  <c r="D25" i="15"/>
  <c r="D37" i="15"/>
  <c r="D49" i="15"/>
  <c r="D61" i="15"/>
  <c r="D73" i="15"/>
  <c r="D85" i="15"/>
  <c r="D97" i="15"/>
  <c r="D109" i="15"/>
  <c r="D14" i="15"/>
  <c r="D26" i="15"/>
  <c r="D38" i="15"/>
  <c r="D50" i="15"/>
  <c r="D62" i="15"/>
  <c r="D74" i="15"/>
  <c r="D86" i="15"/>
  <c r="D98" i="15"/>
  <c r="D110" i="15"/>
  <c r="D8" i="15"/>
  <c r="D80" i="15"/>
  <c r="D15" i="15"/>
  <c r="D27" i="15"/>
  <c r="D39" i="15"/>
  <c r="D51" i="15"/>
  <c r="D63" i="15"/>
  <c r="D75" i="15"/>
  <c r="D87" i="15"/>
  <c r="D99" i="15"/>
  <c r="D111" i="15"/>
  <c r="D32" i="15"/>
  <c r="P167" i="13" a="1"/>
  <c r="P167" i="13" s="1"/>
  <c r="P149" i="13" a="1"/>
  <c r="P149" i="13" s="1"/>
  <c r="P137" i="13" a="1"/>
  <c r="P137" i="13" s="1"/>
  <c r="P125" i="13" a="1"/>
  <c r="P125" i="13" s="1"/>
  <c r="P110" i="13" a="1"/>
  <c r="P110" i="13" s="1"/>
  <c r="P98" i="13" a="1"/>
  <c r="P98" i="13" s="1"/>
  <c r="P87" i="13" a="1"/>
  <c r="P87" i="13" s="1"/>
  <c r="P75" i="13" a="1"/>
  <c r="P75" i="13" s="1"/>
  <c r="P6" i="13" a="1"/>
  <c r="P6" i="13" s="1"/>
  <c r="B6" i="18" l="1" a="1"/>
  <c r="B6" i="18" s="1"/>
  <c r="C6" i="18" s="1"/>
  <c r="D4" i="18" a="1"/>
  <c r="D4" i="18" s="1"/>
  <c r="A3" i="14" a="1"/>
  <c r="F116" i="15"/>
  <c r="G116" i="15"/>
  <c r="E116" i="15"/>
  <c r="F104" i="15"/>
  <c r="G104" i="15"/>
  <c r="E104" i="15"/>
  <c r="F92" i="15"/>
  <c r="G92" i="15"/>
  <c r="E92" i="15"/>
  <c r="F68" i="15"/>
  <c r="E68" i="15"/>
  <c r="G68" i="15"/>
  <c r="E15" i="15"/>
  <c r="F15" i="15"/>
  <c r="G15" i="15"/>
  <c r="E109" i="15"/>
  <c r="F109" i="15"/>
  <c r="G109" i="15"/>
  <c r="E72" i="15"/>
  <c r="G72" i="15"/>
  <c r="F72" i="15"/>
  <c r="F35" i="15"/>
  <c r="G35" i="15"/>
  <c r="E35" i="15"/>
  <c r="F10" i="15"/>
  <c r="G10" i="15"/>
  <c r="E10" i="15"/>
  <c r="F56" i="15"/>
  <c r="G56" i="15"/>
  <c r="E56" i="15"/>
  <c r="F44" i="15"/>
  <c r="G44" i="15"/>
  <c r="E44" i="15"/>
  <c r="F20" i="15"/>
  <c r="E20" i="15"/>
  <c r="G20" i="15"/>
  <c r="G112" i="15"/>
  <c r="E112" i="15"/>
  <c r="F112" i="15"/>
  <c r="E14" i="15"/>
  <c r="F14" i="15"/>
  <c r="G14" i="15"/>
  <c r="G114" i="15"/>
  <c r="E114" i="15"/>
  <c r="F114" i="15"/>
  <c r="G103" i="15"/>
  <c r="E103" i="15"/>
  <c r="F103" i="15"/>
  <c r="E36" i="15"/>
  <c r="G36" i="15"/>
  <c r="F36" i="15"/>
  <c r="F118" i="15"/>
  <c r="G118" i="15"/>
  <c r="E118" i="15"/>
  <c r="F93" i="15"/>
  <c r="G93" i="15"/>
  <c r="E93" i="15"/>
  <c r="G91" i="15"/>
  <c r="E91" i="15"/>
  <c r="F91" i="15"/>
  <c r="G90" i="15"/>
  <c r="E90" i="15"/>
  <c r="F90" i="15"/>
  <c r="G89" i="15"/>
  <c r="E89" i="15"/>
  <c r="F89" i="15"/>
  <c r="G76" i="15"/>
  <c r="E76" i="15"/>
  <c r="F76" i="15"/>
  <c r="E27" i="15"/>
  <c r="F27" i="15"/>
  <c r="G27" i="15"/>
  <c r="E60" i="15"/>
  <c r="F60" i="15"/>
  <c r="G60" i="15"/>
  <c r="F8" i="15"/>
  <c r="G8" i="15"/>
  <c r="E8" i="15"/>
  <c r="G88" i="15"/>
  <c r="F88" i="15"/>
  <c r="E88" i="15"/>
  <c r="E111" i="15"/>
  <c r="F111" i="15"/>
  <c r="G111" i="15"/>
  <c r="E98" i="15"/>
  <c r="F98" i="15"/>
  <c r="G98" i="15"/>
  <c r="E61" i="15"/>
  <c r="F61" i="15"/>
  <c r="G61" i="15"/>
  <c r="E24" i="15"/>
  <c r="G24" i="15"/>
  <c r="F24" i="15"/>
  <c r="F106" i="15"/>
  <c r="G106" i="15"/>
  <c r="E106" i="15"/>
  <c r="F81" i="15"/>
  <c r="G81" i="15"/>
  <c r="E81" i="15"/>
  <c r="G79" i="15"/>
  <c r="E79" i="15"/>
  <c r="F79" i="15"/>
  <c r="G78" i="15"/>
  <c r="E78" i="15"/>
  <c r="F78" i="15"/>
  <c r="G77" i="15"/>
  <c r="E77" i="15"/>
  <c r="F77" i="15"/>
  <c r="G64" i="15"/>
  <c r="E64" i="15"/>
  <c r="F64" i="15"/>
  <c r="E97" i="15"/>
  <c r="F97" i="15"/>
  <c r="G97" i="15"/>
  <c r="E85" i="15"/>
  <c r="F85" i="15"/>
  <c r="G85" i="15"/>
  <c r="G101" i="15"/>
  <c r="E101" i="15"/>
  <c r="F101" i="15"/>
  <c r="E49" i="15"/>
  <c r="F49" i="15"/>
  <c r="G49" i="15"/>
  <c r="E12" i="15"/>
  <c r="G12" i="15"/>
  <c r="F12" i="15"/>
  <c r="F94" i="15"/>
  <c r="G94" i="15"/>
  <c r="E94" i="15"/>
  <c r="F69" i="15"/>
  <c r="G69" i="15"/>
  <c r="E69" i="15"/>
  <c r="G67" i="15"/>
  <c r="E67" i="15"/>
  <c r="F67" i="15"/>
  <c r="G66" i="15"/>
  <c r="E66" i="15"/>
  <c r="F66" i="15"/>
  <c r="G65" i="15"/>
  <c r="E65" i="15"/>
  <c r="F65" i="15"/>
  <c r="G52" i="15"/>
  <c r="E52" i="15"/>
  <c r="F52" i="15"/>
  <c r="G115" i="15"/>
  <c r="E115" i="15"/>
  <c r="F115" i="15"/>
  <c r="G102" i="15"/>
  <c r="E102" i="15"/>
  <c r="F102" i="15"/>
  <c r="E73" i="15"/>
  <c r="F73" i="15"/>
  <c r="G73" i="15"/>
  <c r="E74" i="15"/>
  <c r="F74" i="15"/>
  <c r="G74" i="15"/>
  <c r="G107" i="15"/>
  <c r="F107" i="15"/>
  <c r="E107" i="15"/>
  <c r="F82" i="15"/>
  <c r="G82" i="15"/>
  <c r="E82" i="15"/>
  <c r="F57" i="15"/>
  <c r="G57" i="15"/>
  <c r="E57" i="15"/>
  <c r="G55" i="15"/>
  <c r="E55" i="15"/>
  <c r="F55" i="15"/>
  <c r="G54" i="15"/>
  <c r="E54" i="15"/>
  <c r="F54" i="15"/>
  <c r="G53" i="15"/>
  <c r="E53" i="15"/>
  <c r="F53" i="15"/>
  <c r="G40" i="15"/>
  <c r="F40" i="15"/>
  <c r="E40" i="15"/>
  <c r="F47" i="15"/>
  <c r="G47" i="15"/>
  <c r="E47" i="15"/>
  <c r="F117" i="15"/>
  <c r="G117" i="15"/>
  <c r="E117" i="15"/>
  <c r="F11" i="15"/>
  <c r="G11" i="15"/>
  <c r="E11" i="15"/>
  <c r="F32" i="15"/>
  <c r="G32" i="15"/>
  <c r="E32" i="15"/>
  <c r="E86" i="15"/>
  <c r="F86" i="15"/>
  <c r="G86" i="15"/>
  <c r="E87" i="15"/>
  <c r="F87" i="15"/>
  <c r="G87" i="15"/>
  <c r="E37" i="15"/>
  <c r="F37" i="15"/>
  <c r="G37" i="15"/>
  <c r="E75" i="15"/>
  <c r="F75" i="15"/>
  <c r="G75" i="15"/>
  <c r="E62" i="15"/>
  <c r="F62" i="15"/>
  <c r="G62" i="15"/>
  <c r="E25" i="15"/>
  <c r="F25" i="15"/>
  <c r="G25" i="15"/>
  <c r="F95" i="15"/>
  <c r="G95" i="15"/>
  <c r="E95" i="15"/>
  <c r="F70" i="15"/>
  <c r="G70" i="15"/>
  <c r="E70" i="15"/>
  <c r="F45" i="15"/>
  <c r="G45" i="15"/>
  <c r="E45" i="15"/>
  <c r="G43" i="15"/>
  <c r="E43" i="15"/>
  <c r="F43" i="15"/>
  <c r="G42" i="15"/>
  <c r="E42" i="15"/>
  <c r="F42" i="15"/>
  <c r="G41" i="15"/>
  <c r="E41" i="15"/>
  <c r="F41" i="15"/>
  <c r="G28" i="15"/>
  <c r="E28" i="15"/>
  <c r="F28" i="15"/>
  <c r="E84" i="15"/>
  <c r="F84" i="15"/>
  <c r="G84" i="15"/>
  <c r="G113" i="15"/>
  <c r="E113" i="15"/>
  <c r="F113" i="15"/>
  <c r="F105" i="15"/>
  <c r="G105" i="15"/>
  <c r="E105" i="15"/>
  <c r="E110" i="15"/>
  <c r="F110" i="15"/>
  <c r="G110" i="15"/>
  <c r="E99" i="15"/>
  <c r="F99" i="15"/>
  <c r="G99" i="15"/>
  <c r="E63" i="15"/>
  <c r="F63" i="15"/>
  <c r="G63" i="15"/>
  <c r="E50" i="15"/>
  <c r="F50" i="15"/>
  <c r="G50" i="15"/>
  <c r="E13" i="15"/>
  <c r="F13" i="15"/>
  <c r="G13" i="15"/>
  <c r="G83" i="15"/>
  <c r="E83" i="15"/>
  <c r="F83" i="15"/>
  <c r="F58" i="15"/>
  <c r="G58" i="15"/>
  <c r="E58" i="15"/>
  <c r="F33" i="15"/>
  <c r="G33" i="15"/>
  <c r="E33" i="15"/>
  <c r="G31" i="15"/>
  <c r="E31" i="15"/>
  <c r="F31" i="15"/>
  <c r="G30" i="15"/>
  <c r="E30" i="15"/>
  <c r="F30" i="15"/>
  <c r="G29" i="15"/>
  <c r="E29" i="15"/>
  <c r="F29" i="15"/>
  <c r="G16" i="15"/>
  <c r="E16" i="15"/>
  <c r="F16" i="15"/>
  <c r="F80" i="15"/>
  <c r="E80" i="15"/>
  <c r="G80" i="15"/>
  <c r="G100" i="15"/>
  <c r="E100" i="15"/>
  <c r="F100" i="15"/>
  <c r="E51" i="15"/>
  <c r="F51" i="15"/>
  <c r="G51" i="15"/>
  <c r="E108" i="15"/>
  <c r="G108" i="15"/>
  <c r="F108" i="15"/>
  <c r="F46" i="15"/>
  <c r="G46" i="15"/>
  <c r="E46" i="15"/>
  <c r="G19" i="15"/>
  <c r="E19" i="15"/>
  <c r="F19" i="15"/>
  <c r="G18" i="15"/>
  <c r="E18" i="15"/>
  <c r="F18" i="15"/>
  <c r="G4" i="15"/>
  <c r="E4" i="15"/>
  <c r="F4" i="15"/>
  <c r="F22" i="15"/>
  <c r="G22" i="15"/>
  <c r="E22" i="15"/>
  <c r="F23" i="15"/>
  <c r="G23" i="15"/>
  <c r="E23" i="15"/>
  <c r="E48" i="15"/>
  <c r="G48" i="15"/>
  <c r="F48" i="15"/>
  <c r="E38" i="15"/>
  <c r="F38" i="15"/>
  <c r="G38" i="15"/>
  <c r="F71" i="15"/>
  <c r="G71" i="15"/>
  <c r="E71" i="15"/>
  <c r="F21" i="15"/>
  <c r="G21" i="15"/>
  <c r="E21" i="15"/>
  <c r="G17" i="15"/>
  <c r="E17" i="15"/>
  <c r="F17" i="15"/>
  <c r="E39" i="15"/>
  <c r="F39" i="15"/>
  <c r="G39" i="15"/>
  <c r="E26" i="15"/>
  <c r="F26" i="15"/>
  <c r="G26" i="15"/>
  <c r="E96" i="15"/>
  <c r="G96" i="15"/>
  <c r="F96" i="15"/>
  <c r="F59" i="15"/>
  <c r="G59" i="15"/>
  <c r="E59" i="15"/>
  <c r="F34" i="15"/>
  <c r="G34" i="15"/>
  <c r="E34" i="15"/>
  <c r="F9" i="15"/>
  <c r="G9" i="15"/>
  <c r="E9" i="15"/>
  <c r="G7" i="15"/>
  <c r="E7" i="15"/>
  <c r="F7" i="15"/>
  <c r="G6" i="15"/>
  <c r="E6" i="15"/>
  <c r="F6" i="15"/>
  <c r="G5" i="15"/>
  <c r="E5" i="15"/>
  <c r="F5" i="15"/>
  <c r="F3" i="15"/>
  <c r="G3" i="15"/>
  <c r="E3" i="15"/>
  <c r="P168" i="13" a="1"/>
  <c r="P168" i="13" s="1"/>
  <c r="P150" i="13" a="1"/>
  <c r="P150" i="13" s="1"/>
  <c r="P138" i="13" a="1"/>
  <c r="P138" i="13" s="1"/>
  <c r="P126" i="13" a="1"/>
  <c r="P126" i="13" s="1"/>
  <c r="P111" i="13" a="1"/>
  <c r="P111" i="13" s="1"/>
  <c r="P99" i="13" a="1"/>
  <c r="P99" i="13" s="1"/>
  <c r="P88" i="13" a="1"/>
  <c r="P88" i="13" s="1"/>
  <c r="P76" i="13" a="1"/>
  <c r="P76" i="13" s="1"/>
  <c r="P7" i="13" a="1"/>
  <c r="P7" i="13" s="1"/>
  <c r="D5" i="18" l="1" a="1"/>
  <c r="D5" i="18" s="1"/>
  <c r="D6" i="18" s="1" a="1"/>
  <c r="D6" i="18" s="1"/>
  <c r="B7" i="18" a="1"/>
  <c r="B7" i="18" s="1"/>
  <c r="C7" i="18" s="1"/>
  <c r="S55" i="15"/>
  <c r="T55" i="15"/>
  <c r="H55" i="15"/>
  <c r="U55" i="15"/>
  <c r="I55" i="15"/>
  <c r="V55" i="15"/>
  <c r="J55" i="15"/>
  <c r="K55" i="15"/>
  <c r="L55" i="15"/>
  <c r="M55" i="15"/>
  <c r="N55" i="15"/>
  <c r="O55" i="15"/>
  <c r="P55" i="15"/>
  <c r="Q55" i="15"/>
  <c r="R55" i="15"/>
  <c r="H77" i="15"/>
  <c r="T77" i="15"/>
  <c r="I77" i="15"/>
  <c r="U77" i="15"/>
  <c r="J77" i="15"/>
  <c r="V77" i="15"/>
  <c r="K77" i="15"/>
  <c r="L77" i="15"/>
  <c r="M77" i="15"/>
  <c r="N77" i="15"/>
  <c r="O77" i="15"/>
  <c r="P77" i="15"/>
  <c r="Q77" i="15"/>
  <c r="S77" i="15"/>
  <c r="R77" i="15"/>
  <c r="N91" i="15"/>
  <c r="O91" i="15"/>
  <c r="P91" i="15"/>
  <c r="Q91" i="15"/>
  <c r="R91" i="15"/>
  <c r="S91" i="15"/>
  <c r="H91" i="15"/>
  <c r="T91" i="15"/>
  <c r="I91" i="15"/>
  <c r="U91" i="15"/>
  <c r="J91" i="15"/>
  <c r="V91" i="15"/>
  <c r="K91" i="15"/>
  <c r="L91" i="15"/>
  <c r="M91" i="15"/>
  <c r="Q86" i="15"/>
  <c r="R86" i="15"/>
  <c r="S86" i="15"/>
  <c r="H86" i="15"/>
  <c r="T86" i="15"/>
  <c r="I86" i="15"/>
  <c r="U86" i="15"/>
  <c r="J86" i="15"/>
  <c r="V86" i="15"/>
  <c r="K86" i="15"/>
  <c r="L86" i="15"/>
  <c r="M86" i="15"/>
  <c r="N86" i="15"/>
  <c r="O86" i="15"/>
  <c r="P86" i="15"/>
  <c r="Q74" i="15"/>
  <c r="R74" i="15"/>
  <c r="S74" i="15"/>
  <c r="H74" i="15"/>
  <c r="T74" i="15"/>
  <c r="I74" i="15"/>
  <c r="U74" i="15"/>
  <c r="J74" i="15"/>
  <c r="V74" i="15"/>
  <c r="K74" i="15"/>
  <c r="L74" i="15"/>
  <c r="M74" i="15"/>
  <c r="N74" i="15"/>
  <c r="O74" i="15"/>
  <c r="P74" i="15"/>
  <c r="I34" i="15"/>
  <c r="U34" i="15"/>
  <c r="J34" i="15"/>
  <c r="V34" i="15"/>
  <c r="L34" i="15"/>
  <c r="M34" i="15"/>
  <c r="N34" i="15"/>
  <c r="O34" i="15"/>
  <c r="P34" i="15"/>
  <c r="Q34" i="15"/>
  <c r="R34" i="15"/>
  <c r="K34" i="15"/>
  <c r="S34" i="15"/>
  <c r="T34" i="15"/>
  <c r="H34" i="15"/>
  <c r="L33" i="15"/>
  <c r="M33" i="15"/>
  <c r="O33" i="15"/>
  <c r="P33" i="15"/>
  <c r="Q33" i="15"/>
  <c r="R33" i="15"/>
  <c r="S33" i="15"/>
  <c r="H33" i="15"/>
  <c r="T33" i="15"/>
  <c r="I33" i="15"/>
  <c r="U33" i="15"/>
  <c r="J33" i="15"/>
  <c r="K33" i="15"/>
  <c r="N33" i="15"/>
  <c r="V33" i="15"/>
  <c r="H105" i="15"/>
  <c r="T105" i="15"/>
  <c r="I105" i="15"/>
  <c r="U105" i="15"/>
  <c r="J105" i="15"/>
  <c r="V105" i="15"/>
  <c r="M105" i="15"/>
  <c r="N105" i="15"/>
  <c r="O105" i="15"/>
  <c r="P105" i="15"/>
  <c r="Q105" i="15"/>
  <c r="R105" i="15"/>
  <c r="L105" i="15"/>
  <c r="S105" i="15"/>
  <c r="K105" i="15"/>
  <c r="Q70" i="15"/>
  <c r="R70" i="15"/>
  <c r="S70" i="15"/>
  <c r="H70" i="15"/>
  <c r="T70" i="15"/>
  <c r="I70" i="15"/>
  <c r="U70" i="15"/>
  <c r="J70" i="15"/>
  <c r="V70" i="15"/>
  <c r="K70" i="15"/>
  <c r="L70" i="15"/>
  <c r="M70" i="15"/>
  <c r="N70" i="15"/>
  <c r="O70" i="15"/>
  <c r="P70" i="15"/>
  <c r="O32" i="15"/>
  <c r="P32" i="15"/>
  <c r="R32" i="15"/>
  <c r="S32" i="15"/>
  <c r="H32" i="15"/>
  <c r="T32" i="15"/>
  <c r="I32" i="15"/>
  <c r="U32" i="15"/>
  <c r="J32" i="15"/>
  <c r="V32" i="15"/>
  <c r="K32" i="15"/>
  <c r="L32" i="15"/>
  <c r="M32" i="15"/>
  <c r="N32" i="15"/>
  <c r="Q32" i="15"/>
  <c r="O40" i="15"/>
  <c r="P40" i="15"/>
  <c r="R40" i="15"/>
  <c r="S40" i="15"/>
  <c r="H40" i="15"/>
  <c r="T40" i="15"/>
  <c r="I40" i="15"/>
  <c r="U40" i="15"/>
  <c r="J40" i="15"/>
  <c r="V40" i="15"/>
  <c r="K40" i="15"/>
  <c r="L40" i="15"/>
  <c r="Q40" i="15"/>
  <c r="M40" i="15"/>
  <c r="N40" i="15"/>
  <c r="M57" i="15"/>
  <c r="P57" i="15"/>
  <c r="Q57" i="15"/>
  <c r="R57" i="15"/>
  <c r="S57" i="15"/>
  <c r="T57" i="15"/>
  <c r="H57" i="15"/>
  <c r="U57" i="15"/>
  <c r="I57" i="15"/>
  <c r="V57" i="15"/>
  <c r="J57" i="15"/>
  <c r="K57" i="15"/>
  <c r="L57" i="15"/>
  <c r="N57" i="15"/>
  <c r="O57" i="15"/>
  <c r="Q94" i="15"/>
  <c r="R94" i="15"/>
  <c r="S94" i="15"/>
  <c r="H94" i="15"/>
  <c r="T94" i="15"/>
  <c r="I94" i="15"/>
  <c r="U94" i="15"/>
  <c r="J94" i="15"/>
  <c r="V94" i="15"/>
  <c r="K94" i="15"/>
  <c r="L94" i="15"/>
  <c r="M94" i="15"/>
  <c r="N94" i="15"/>
  <c r="O94" i="15"/>
  <c r="P94" i="15"/>
  <c r="K88" i="15"/>
  <c r="L88" i="15"/>
  <c r="M88" i="15"/>
  <c r="N88" i="15"/>
  <c r="O88" i="15"/>
  <c r="P88" i="15"/>
  <c r="Q88" i="15"/>
  <c r="R88" i="15"/>
  <c r="S88" i="15"/>
  <c r="H88" i="15"/>
  <c r="T88" i="15"/>
  <c r="I88" i="15"/>
  <c r="J88" i="15"/>
  <c r="U88" i="15"/>
  <c r="V88" i="15"/>
  <c r="H93" i="15"/>
  <c r="T93" i="15"/>
  <c r="I93" i="15"/>
  <c r="U93" i="15"/>
  <c r="J93" i="15"/>
  <c r="V93" i="15"/>
  <c r="K93" i="15"/>
  <c r="L93" i="15"/>
  <c r="M93" i="15"/>
  <c r="N93" i="15"/>
  <c r="O93" i="15"/>
  <c r="P93" i="15"/>
  <c r="Q93" i="15"/>
  <c r="R93" i="15"/>
  <c r="S93" i="15"/>
  <c r="O44" i="15"/>
  <c r="P44" i="15"/>
  <c r="R44" i="15"/>
  <c r="S44" i="15"/>
  <c r="H44" i="15"/>
  <c r="T44" i="15"/>
  <c r="I44" i="15"/>
  <c r="U44" i="15"/>
  <c r="J44" i="15"/>
  <c r="V44" i="15"/>
  <c r="K44" i="15"/>
  <c r="L44" i="15"/>
  <c r="M44" i="15"/>
  <c r="N44" i="15"/>
  <c r="Q44" i="15"/>
  <c r="K92" i="15"/>
  <c r="L92" i="15"/>
  <c r="M92" i="15"/>
  <c r="N92" i="15"/>
  <c r="O92" i="15"/>
  <c r="P92" i="15"/>
  <c r="Q92" i="15"/>
  <c r="R92" i="15"/>
  <c r="S92" i="15"/>
  <c r="H92" i="15"/>
  <c r="T92" i="15"/>
  <c r="U92" i="15"/>
  <c r="V92" i="15"/>
  <c r="I92" i="15"/>
  <c r="J92" i="15"/>
  <c r="J4" i="15"/>
  <c r="V4" i="15"/>
  <c r="K4" i="15"/>
  <c r="P4" i="15"/>
  <c r="Q4" i="15"/>
  <c r="U4" i="15"/>
  <c r="H4" i="15"/>
  <c r="I4" i="15"/>
  <c r="L4" i="15"/>
  <c r="M4" i="15"/>
  <c r="N4" i="15"/>
  <c r="O4" i="15"/>
  <c r="R4" i="15"/>
  <c r="S4" i="15"/>
  <c r="T4" i="15"/>
  <c r="J16" i="15"/>
  <c r="O16" i="15"/>
  <c r="P16" i="15"/>
  <c r="R16" i="15"/>
  <c r="S16" i="15"/>
  <c r="T16" i="15"/>
  <c r="H16" i="15"/>
  <c r="U16" i="15"/>
  <c r="I16" i="15"/>
  <c r="V16" i="15"/>
  <c r="K16" i="15"/>
  <c r="L16" i="15"/>
  <c r="M16" i="15"/>
  <c r="N16" i="15"/>
  <c r="Q16" i="15"/>
  <c r="L41" i="15"/>
  <c r="M41" i="15"/>
  <c r="O41" i="15"/>
  <c r="P41" i="15"/>
  <c r="Q41" i="15"/>
  <c r="R41" i="15"/>
  <c r="S41" i="15"/>
  <c r="H41" i="15"/>
  <c r="T41" i="15"/>
  <c r="I41" i="15"/>
  <c r="U41" i="15"/>
  <c r="J41" i="15"/>
  <c r="K41" i="15"/>
  <c r="N41" i="15"/>
  <c r="V41" i="15"/>
  <c r="H65" i="15"/>
  <c r="T65" i="15"/>
  <c r="I65" i="15"/>
  <c r="U65" i="15"/>
  <c r="J65" i="15"/>
  <c r="V65" i="15"/>
  <c r="K65" i="15"/>
  <c r="L65" i="15"/>
  <c r="M65" i="15"/>
  <c r="N65" i="15"/>
  <c r="O65" i="15"/>
  <c r="P65" i="15"/>
  <c r="Q65" i="15"/>
  <c r="R65" i="15"/>
  <c r="S65" i="15"/>
  <c r="Q78" i="15"/>
  <c r="R78" i="15"/>
  <c r="S78" i="15"/>
  <c r="H78" i="15"/>
  <c r="T78" i="15"/>
  <c r="I78" i="15"/>
  <c r="U78" i="15"/>
  <c r="J78" i="15"/>
  <c r="V78" i="15"/>
  <c r="K78" i="15"/>
  <c r="L78" i="15"/>
  <c r="M78" i="15"/>
  <c r="N78" i="15"/>
  <c r="O78" i="15"/>
  <c r="P78" i="15"/>
  <c r="K76" i="15"/>
  <c r="L76" i="15"/>
  <c r="M76" i="15"/>
  <c r="N76" i="15"/>
  <c r="O76" i="15"/>
  <c r="P76" i="15"/>
  <c r="Q76" i="15"/>
  <c r="R76" i="15"/>
  <c r="S76" i="15"/>
  <c r="H76" i="15"/>
  <c r="T76" i="15"/>
  <c r="I76" i="15"/>
  <c r="J76" i="15"/>
  <c r="U76" i="15"/>
  <c r="V76" i="15"/>
  <c r="H114" i="15"/>
  <c r="T114" i="15"/>
  <c r="I114" i="15"/>
  <c r="U114" i="15"/>
  <c r="S114" i="15"/>
  <c r="J114" i="15"/>
  <c r="V114" i="15"/>
  <c r="K114" i="15"/>
  <c r="L114" i="15"/>
  <c r="M114" i="15"/>
  <c r="Q114" i="15"/>
  <c r="N114" i="15"/>
  <c r="O114" i="15"/>
  <c r="P114" i="15"/>
  <c r="R114" i="15"/>
  <c r="N71" i="15"/>
  <c r="O71" i="15"/>
  <c r="P71" i="15"/>
  <c r="Q71" i="15"/>
  <c r="R71" i="15"/>
  <c r="S71" i="15"/>
  <c r="H71" i="15"/>
  <c r="T71" i="15"/>
  <c r="I71" i="15"/>
  <c r="U71" i="15"/>
  <c r="J71" i="15"/>
  <c r="V71" i="15"/>
  <c r="K71" i="15"/>
  <c r="L71" i="15"/>
  <c r="M71" i="15"/>
  <c r="H69" i="15"/>
  <c r="T69" i="15"/>
  <c r="I69" i="15"/>
  <c r="U69" i="15"/>
  <c r="J69" i="15"/>
  <c r="V69" i="15"/>
  <c r="K69" i="15"/>
  <c r="L69" i="15"/>
  <c r="M69" i="15"/>
  <c r="N69" i="15"/>
  <c r="O69" i="15"/>
  <c r="P69" i="15"/>
  <c r="Q69" i="15"/>
  <c r="R69" i="15"/>
  <c r="S69" i="15"/>
  <c r="S5" i="15"/>
  <c r="H5" i="15"/>
  <c r="T5" i="15"/>
  <c r="M5" i="15"/>
  <c r="I5" i="15"/>
  <c r="J5" i="15"/>
  <c r="K5" i="15"/>
  <c r="L5" i="15"/>
  <c r="N5" i="15"/>
  <c r="O5" i="15"/>
  <c r="P5" i="15"/>
  <c r="Q5" i="15"/>
  <c r="R5" i="15"/>
  <c r="U5" i="15"/>
  <c r="V5" i="15"/>
  <c r="R39" i="15"/>
  <c r="S39" i="15"/>
  <c r="I39" i="15"/>
  <c r="U39" i="15"/>
  <c r="J39" i="15"/>
  <c r="V39" i="15"/>
  <c r="K39" i="15"/>
  <c r="L39" i="15"/>
  <c r="M39" i="15"/>
  <c r="N39" i="15"/>
  <c r="O39" i="15"/>
  <c r="H39" i="15"/>
  <c r="P39" i="15"/>
  <c r="Q39" i="15"/>
  <c r="T39" i="15"/>
  <c r="I38" i="15"/>
  <c r="U38" i="15"/>
  <c r="J38" i="15"/>
  <c r="V38" i="15"/>
  <c r="L38" i="15"/>
  <c r="M38" i="15"/>
  <c r="N38" i="15"/>
  <c r="O38" i="15"/>
  <c r="P38" i="15"/>
  <c r="Q38" i="15"/>
  <c r="R38" i="15"/>
  <c r="H38" i="15"/>
  <c r="K38" i="15"/>
  <c r="S38" i="15"/>
  <c r="T38" i="15"/>
  <c r="L108" i="15"/>
  <c r="N108" i="15"/>
  <c r="M108" i="15"/>
  <c r="O108" i="15"/>
  <c r="P108" i="15"/>
  <c r="Q108" i="15"/>
  <c r="K108" i="15"/>
  <c r="R108" i="15"/>
  <c r="S108" i="15"/>
  <c r="T108" i="15"/>
  <c r="H108" i="15"/>
  <c r="U108" i="15"/>
  <c r="I108" i="15"/>
  <c r="V108" i="15"/>
  <c r="J108" i="15"/>
  <c r="I50" i="15"/>
  <c r="U50" i="15"/>
  <c r="J50" i="15"/>
  <c r="V50" i="15"/>
  <c r="L50" i="15"/>
  <c r="M50" i="15"/>
  <c r="N50" i="15"/>
  <c r="O50" i="15"/>
  <c r="P50" i="15"/>
  <c r="H50" i="15"/>
  <c r="K50" i="15"/>
  <c r="Q50" i="15"/>
  <c r="R50" i="15"/>
  <c r="S50" i="15"/>
  <c r="T50" i="15"/>
  <c r="N75" i="15"/>
  <c r="O75" i="15"/>
  <c r="P75" i="15"/>
  <c r="Q75" i="15"/>
  <c r="R75" i="15"/>
  <c r="S75" i="15"/>
  <c r="H75" i="15"/>
  <c r="T75" i="15"/>
  <c r="I75" i="15"/>
  <c r="U75" i="15"/>
  <c r="J75" i="15"/>
  <c r="V75" i="15"/>
  <c r="K75" i="15"/>
  <c r="L75" i="15"/>
  <c r="M75" i="15"/>
  <c r="H73" i="15"/>
  <c r="T73" i="15"/>
  <c r="I73" i="15"/>
  <c r="U73" i="15"/>
  <c r="J73" i="15"/>
  <c r="V73" i="15"/>
  <c r="K73" i="15"/>
  <c r="L73" i="15"/>
  <c r="M73" i="15"/>
  <c r="N73" i="15"/>
  <c r="O73" i="15"/>
  <c r="P73" i="15"/>
  <c r="Q73" i="15"/>
  <c r="R73" i="15"/>
  <c r="S73" i="15"/>
  <c r="H85" i="15"/>
  <c r="T85" i="15"/>
  <c r="I85" i="15"/>
  <c r="U85" i="15"/>
  <c r="J85" i="15"/>
  <c r="V85" i="15"/>
  <c r="K85" i="15"/>
  <c r="L85" i="15"/>
  <c r="M85" i="15"/>
  <c r="N85" i="15"/>
  <c r="O85" i="15"/>
  <c r="P85" i="15"/>
  <c r="Q85" i="15"/>
  <c r="R85" i="15"/>
  <c r="S85" i="15"/>
  <c r="O24" i="15"/>
  <c r="P24" i="15"/>
  <c r="R24" i="15"/>
  <c r="S24" i="15"/>
  <c r="H24" i="15"/>
  <c r="T24" i="15"/>
  <c r="I24" i="15"/>
  <c r="U24" i="15"/>
  <c r="J24" i="15"/>
  <c r="V24" i="15"/>
  <c r="K24" i="15"/>
  <c r="L24" i="15"/>
  <c r="Q24" i="15"/>
  <c r="M24" i="15"/>
  <c r="N24" i="15"/>
  <c r="K72" i="15"/>
  <c r="L72" i="15"/>
  <c r="M72" i="15"/>
  <c r="N72" i="15"/>
  <c r="O72" i="15"/>
  <c r="P72" i="15"/>
  <c r="Q72" i="15"/>
  <c r="R72" i="15"/>
  <c r="S72" i="15"/>
  <c r="H72" i="15"/>
  <c r="T72" i="15"/>
  <c r="V72" i="15"/>
  <c r="U72" i="15"/>
  <c r="I72" i="15"/>
  <c r="J72" i="15"/>
  <c r="R31" i="15"/>
  <c r="S31" i="15"/>
  <c r="I31" i="15"/>
  <c r="U31" i="15"/>
  <c r="J31" i="15"/>
  <c r="V31" i="15"/>
  <c r="K31" i="15"/>
  <c r="L31" i="15"/>
  <c r="M31" i="15"/>
  <c r="N31" i="15"/>
  <c r="O31" i="15"/>
  <c r="H31" i="15"/>
  <c r="P31" i="15"/>
  <c r="Q31" i="15"/>
  <c r="T31" i="15"/>
  <c r="H110" i="15"/>
  <c r="T110" i="15"/>
  <c r="I110" i="15"/>
  <c r="U110" i="15"/>
  <c r="J110" i="15"/>
  <c r="V110" i="15"/>
  <c r="K110" i="15"/>
  <c r="L110" i="15"/>
  <c r="M110" i="15"/>
  <c r="N110" i="15"/>
  <c r="O110" i="15"/>
  <c r="S110" i="15"/>
  <c r="P110" i="15"/>
  <c r="Q110" i="15"/>
  <c r="R110" i="15"/>
  <c r="Q111" i="15"/>
  <c r="R111" i="15"/>
  <c r="O111" i="15"/>
  <c r="S111" i="15"/>
  <c r="H111" i="15"/>
  <c r="T111" i="15"/>
  <c r="I111" i="15"/>
  <c r="U111" i="15"/>
  <c r="J111" i="15"/>
  <c r="V111" i="15"/>
  <c r="K111" i="15"/>
  <c r="L111" i="15"/>
  <c r="M111" i="15"/>
  <c r="N111" i="15"/>
  <c r="P111" i="15"/>
  <c r="S59" i="15"/>
  <c r="L59" i="15"/>
  <c r="M59" i="15"/>
  <c r="N59" i="15"/>
  <c r="O59" i="15"/>
  <c r="P59" i="15"/>
  <c r="Q59" i="15"/>
  <c r="R59" i="15"/>
  <c r="T59" i="15"/>
  <c r="H59" i="15"/>
  <c r="U59" i="15"/>
  <c r="I59" i="15"/>
  <c r="V59" i="15"/>
  <c r="J59" i="15"/>
  <c r="K59" i="15"/>
  <c r="J58" i="15"/>
  <c r="V58" i="15"/>
  <c r="N58" i="15"/>
  <c r="O58" i="15"/>
  <c r="P58" i="15"/>
  <c r="Q58" i="15"/>
  <c r="R58" i="15"/>
  <c r="S58" i="15"/>
  <c r="T58" i="15"/>
  <c r="H58" i="15"/>
  <c r="U58" i="15"/>
  <c r="I58" i="15"/>
  <c r="K58" i="15"/>
  <c r="M58" i="15"/>
  <c r="L58" i="15"/>
  <c r="N95" i="15"/>
  <c r="O95" i="15"/>
  <c r="P95" i="15"/>
  <c r="Q95" i="15"/>
  <c r="R95" i="15"/>
  <c r="S95" i="15"/>
  <c r="H95" i="15"/>
  <c r="T95" i="15"/>
  <c r="I95" i="15"/>
  <c r="U95" i="15"/>
  <c r="J95" i="15"/>
  <c r="V95" i="15"/>
  <c r="K95" i="15"/>
  <c r="L95" i="15"/>
  <c r="M95" i="15"/>
  <c r="M11" i="15"/>
  <c r="N11" i="15"/>
  <c r="S11" i="15"/>
  <c r="L11" i="15"/>
  <c r="O11" i="15"/>
  <c r="Q11" i="15"/>
  <c r="R11" i="15"/>
  <c r="T11" i="15"/>
  <c r="U11" i="15"/>
  <c r="V11" i="15"/>
  <c r="H11" i="15"/>
  <c r="I11" i="15"/>
  <c r="J11" i="15"/>
  <c r="K11" i="15"/>
  <c r="P11" i="15"/>
  <c r="Q82" i="15"/>
  <c r="R82" i="15"/>
  <c r="S82" i="15"/>
  <c r="H82" i="15"/>
  <c r="T82" i="15"/>
  <c r="I82" i="15"/>
  <c r="U82" i="15"/>
  <c r="J82" i="15"/>
  <c r="V82" i="15"/>
  <c r="K82" i="15"/>
  <c r="L82" i="15"/>
  <c r="M82" i="15"/>
  <c r="N82" i="15"/>
  <c r="O82" i="15"/>
  <c r="P82" i="15"/>
  <c r="J8" i="15"/>
  <c r="V8" i="15"/>
  <c r="K8" i="15"/>
  <c r="P8" i="15"/>
  <c r="I8" i="15"/>
  <c r="L8" i="15"/>
  <c r="N8" i="15"/>
  <c r="O8" i="15"/>
  <c r="Q8" i="15"/>
  <c r="R8" i="15"/>
  <c r="S8" i="15"/>
  <c r="T8" i="15"/>
  <c r="U8" i="15"/>
  <c r="H8" i="15"/>
  <c r="M8" i="15"/>
  <c r="H118" i="15"/>
  <c r="T118" i="15"/>
  <c r="I118" i="15"/>
  <c r="U118" i="15"/>
  <c r="K118" i="15"/>
  <c r="Q118" i="15"/>
  <c r="J118" i="15"/>
  <c r="V118" i="15"/>
  <c r="M118" i="15"/>
  <c r="R118" i="15"/>
  <c r="L118" i="15"/>
  <c r="N118" i="15"/>
  <c r="P118" i="15"/>
  <c r="S118" i="15"/>
  <c r="O118" i="15"/>
  <c r="P56" i="15"/>
  <c r="R56" i="15"/>
  <c r="S56" i="15"/>
  <c r="T56" i="15"/>
  <c r="H56" i="15"/>
  <c r="U56" i="15"/>
  <c r="I56" i="15"/>
  <c r="V56" i="15"/>
  <c r="J56" i="15"/>
  <c r="K56" i="15"/>
  <c r="L56" i="15"/>
  <c r="M56" i="15"/>
  <c r="N56" i="15"/>
  <c r="O56" i="15"/>
  <c r="Q56" i="15"/>
  <c r="K104" i="15"/>
  <c r="L104" i="15"/>
  <c r="M104" i="15"/>
  <c r="P104" i="15"/>
  <c r="Q104" i="15"/>
  <c r="H104" i="15"/>
  <c r="I104" i="15"/>
  <c r="J104" i="15"/>
  <c r="N104" i="15"/>
  <c r="O104" i="15"/>
  <c r="R104" i="15"/>
  <c r="S104" i="15"/>
  <c r="T104" i="15"/>
  <c r="U104" i="15"/>
  <c r="V104" i="15"/>
  <c r="S9" i="15"/>
  <c r="H9" i="15"/>
  <c r="T9" i="15"/>
  <c r="M9" i="15"/>
  <c r="K9" i="15"/>
  <c r="L9" i="15"/>
  <c r="O9" i="15"/>
  <c r="P9" i="15"/>
  <c r="Q9" i="15"/>
  <c r="R9" i="15"/>
  <c r="U9" i="15"/>
  <c r="V9" i="15"/>
  <c r="I9" i="15"/>
  <c r="J9" i="15"/>
  <c r="N9" i="15"/>
  <c r="Q106" i="15"/>
  <c r="R106" i="15"/>
  <c r="S106" i="15"/>
  <c r="N106" i="15"/>
  <c r="O106" i="15"/>
  <c r="P106" i="15"/>
  <c r="T106" i="15"/>
  <c r="U106" i="15"/>
  <c r="V106" i="15"/>
  <c r="M106" i="15"/>
  <c r="H106" i="15"/>
  <c r="I106" i="15"/>
  <c r="J106" i="15"/>
  <c r="L106" i="15"/>
  <c r="K106" i="15"/>
  <c r="L17" i="15"/>
  <c r="M17" i="15"/>
  <c r="O17" i="15"/>
  <c r="P17" i="15"/>
  <c r="Q17" i="15"/>
  <c r="R17" i="15"/>
  <c r="S17" i="15"/>
  <c r="H17" i="15"/>
  <c r="T17" i="15"/>
  <c r="I17" i="15"/>
  <c r="U17" i="15"/>
  <c r="J17" i="15"/>
  <c r="K17" i="15"/>
  <c r="N17" i="15"/>
  <c r="V17" i="15"/>
  <c r="I18" i="15"/>
  <c r="U18" i="15"/>
  <c r="J18" i="15"/>
  <c r="V18" i="15"/>
  <c r="L18" i="15"/>
  <c r="M18" i="15"/>
  <c r="N18" i="15"/>
  <c r="O18" i="15"/>
  <c r="P18" i="15"/>
  <c r="Q18" i="15"/>
  <c r="R18" i="15"/>
  <c r="K18" i="15"/>
  <c r="S18" i="15"/>
  <c r="T18" i="15"/>
  <c r="H18" i="15"/>
  <c r="L29" i="15"/>
  <c r="M29" i="15"/>
  <c r="O29" i="15"/>
  <c r="P29" i="15"/>
  <c r="Q29" i="15"/>
  <c r="R29" i="15"/>
  <c r="S29" i="15"/>
  <c r="H29" i="15"/>
  <c r="T29" i="15"/>
  <c r="I29" i="15"/>
  <c r="U29" i="15"/>
  <c r="J29" i="15"/>
  <c r="K29" i="15"/>
  <c r="N29" i="15"/>
  <c r="V29" i="15"/>
  <c r="K113" i="15"/>
  <c r="L113" i="15"/>
  <c r="M113" i="15"/>
  <c r="T113" i="15"/>
  <c r="I113" i="15"/>
  <c r="V113" i="15"/>
  <c r="N113" i="15"/>
  <c r="J113" i="15"/>
  <c r="O113" i="15"/>
  <c r="P113" i="15"/>
  <c r="Q113" i="15"/>
  <c r="R113" i="15"/>
  <c r="U113" i="15"/>
  <c r="S113" i="15"/>
  <c r="H113" i="15"/>
  <c r="I42" i="15"/>
  <c r="U42" i="15"/>
  <c r="J42" i="15"/>
  <c r="V42" i="15"/>
  <c r="L42" i="15"/>
  <c r="M42" i="15"/>
  <c r="N42" i="15"/>
  <c r="O42" i="15"/>
  <c r="P42" i="15"/>
  <c r="Q42" i="15"/>
  <c r="R42" i="15"/>
  <c r="H42" i="15"/>
  <c r="K42" i="15"/>
  <c r="S42" i="15"/>
  <c r="T42" i="15"/>
  <c r="L53" i="15"/>
  <c r="M53" i="15"/>
  <c r="Q53" i="15"/>
  <c r="H53" i="15"/>
  <c r="I53" i="15"/>
  <c r="J53" i="15"/>
  <c r="K53" i="15"/>
  <c r="N53" i="15"/>
  <c r="O53" i="15"/>
  <c r="P53" i="15"/>
  <c r="R53" i="15"/>
  <c r="S53" i="15"/>
  <c r="T53" i="15"/>
  <c r="U53" i="15"/>
  <c r="V53" i="15"/>
  <c r="Q102" i="15"/>
  <c r="R102" i="15"/>
  <c r="S102" i="15"/>
  <c r="J102" i="15"/>
  <c r="V102" i="15"/>
  <c r="K102" i="15"/>
  <c r="P102" i="15"/>
  <c r="O102" i="15"/>
  <c r="T102" i="15"/>
  <c r="U102" i="15"/>
  <c r="N102" i="15"/>
  <c r="H102" i="15"/>
  <c r="I102" i="15"/>
  <c r="L102" i="15"/>
  <c r="M102" i="15"/>
  <c r="Q66" i="15"/>
  <c r="R66" i="15"/>
  <c r="S66" i="15"/>
  <c r="H66" i="15"/>
  <c r="T66" i="15"/>
  <c r="I66" i="15"/>
  <c r="U66" i="15"/>
  <c r="J66" i="15"/>
  <c r="V66" i="15"/>
  <c r="K66" i="15"/>
  <c r="L66" i="15"/>
  <c r="M66" i="15"/>
  <c r="N66" i="15"/>
  <c r="O66" i="15"/>
  <c r="P66" i="15"/>
  <c r="N79" i="15"/>
  <c r="O79" i="15"/>
  <c r="P79" i="15"/>
  <c r="Q79" i="15"/>
  <c r="R79" i="15"/>
  <c r="S79" i="15"/>
  <c r="H79" i="15"/>
  <c r="T79" i="15"/>
  <c r="I79" i="15"/>
  <c r="U79" i="15"/>
  <c r="J79" i="15"/>
  <c r="V79" i="15"/>
  <c r="K79" i="15"/>
  <c r="L79" i="15"/>
  <c r="M79" i="15"/>
  <c r="H89" i="15"/>
  <c r="T89" i="15"/>
  <c r="I89" i="15"/>
  <c r="U89" i="15"/>
  <c r="J89" i="15"/>
  <c r="V89" i="15"/>
  <c r="K89" i="15"/>
  <c r="L89" i="15"/>
  <c r="M89" i="15"/>
  <c r="N89" i="15"/>
  <c r="O89" i="15"/>
  <c r="P89" i="15"/>
  <c r="Q89" i="15"/>
  <c r="R89" i="15"/>
  <c r="S89" i="15"/>
  <c r="I26" i="15"/>
  <c r="U26" i="15"/>
  <c r="J26" i="15"/>
  <c r="V26" i="15"/>
  <c r="L26" i="15"/>
  <c r="M26" i="15"/>
  <c r="N26" i="15"/>
  <c r="O26" i="15"/>
  <c r="P26" i="15"/>
  <c r="Q26" i="15"/>
  <c r="R26" i="15"/>
  <c r="H26" i="15"/>
  <c r="K26" i="15"/>
  <c r="S26" i="15"/>
  <c r="T26" i="15"/>
  <c r="R27" i="15"/>
  <c r="S27" i="15"/>
  <c r="I27" i="15"/>
  <c r="U27" i="15"/>
  <c r="J27" i="15"/>
  <c r="V27" i="15"/>
  <c r="K27" i="15"/>
  <c r="L27" i="15"/>
  <c r="M27" i="15"/>
  <c r="N27" i="15"/>
  <c r="O27" i="15"/>
  <c r="T27" i="15"/>
  <c r="H27" i="15"/>
  <c r="P27" i="15"/>
  <c r="Q27" i="15"/>
  <c r="O48" i="15"/>
  <c r="P48" i="15"/>
  <c r="R48" i="15"/>
  <c r="S48" i="15"/>
  <c r="H48" i="15"/>
  <c r="T48" i="15"/>
  <c r="I48" i="15"/>
  <c r="U48" i="15"/>
  <c r="J48" i="15"/>
  <c r="V48" i="15"/>
  <c r="K48" i="15"/>
  <c r="L48" i="15"/>
  <c r="M48" i="15"/>
  <c r="N48" i="15"/>
  <c r="Q48" i="15"/>
  <c r="R51" i="15"/>
  <c r="S51" i="15"/>
  <c r="I51" i="15"/>
  <c r="U51" i="15"/>
  <c r="J51" i="15"/>
  <c r="V51" i="15"/>
  <c r="K51" i="15"/>
  <c r="L51" i="15"/>
  <c r="M51" i="15"/>
  <c r="O51" i="15"/>
  <c r="P51" i="15"/>
  <c r="Q51" i="15"/>
  <c r="T51" i="15"/>
  <c r="H51" i="15"/>
  <c r="N51" i="15"/>
  <c r="N63" i="15"/>
  <c r="O63" i="15"/>
  <c r="P63" i="15"/>
  <c r="Q63" i="15"/>
  <c r="R63" i="15"/>
  <c r="S63" i="15"/>
  <c r="H63" i="15"/>
  <c r="T63" i="15"/>
  <c r="I63" i="15"/>
  <c r="U63" i="15"/>
  <c r="J63" i="15"/>
  <c r="V63" i="15"/>
  <c r="K63" i="15"/>
  <c r="L63" i="15"/>
  <c r="M63" i="15"/>
  <c r="L37" i="15"/>
  <c r="M37" i="15"/>
  <c r="O37" i="15"/>
  <c r="P37" i="15"/>
  <c r="Q37" i="15"/>
  <c r="R37" i="15"/>
  <c r="S37" i="15"/>
  <c r="H37" i="15"/>
  <c r="T37" i="15"/>
  <c r="I37" i="15"/>
  <c r="U37" i="15"/>
  <c r="N37" i="15"/>
  <c r="V37" i="15"/>
  <c r="K37" i="15"/>
  <c r="J37" i="15"/>
  <c r="J12" i="15"/>
  <c r="V12" i="15"/>
  <c r="K12" i="15"/>
  <c r="P12" i="15"/>
  <c r="N12" i="15"/>
  <c r="O12" i="15"/>
  <c r="R12" i="15"/>
  <c r="S12" i="15"/>
  <c r="T12" i="15"/>
  <c r="U12" i="15"/>
  <c r="H12" i="15"/>
  <c r="I12" i="15"/>
  <c r="L12" i="15"/>
  <c r="M12" i="15"/>
  <c r="Q12" i="15"/>
  <c r="H97" i="15"/>
  <c r="T97" i="15"/>
  <c r="I97" i="15"/>
  <c r="U97" i="15"/>
  <c r="J97" i="15"/>
  <c r="V97" i="15"/>
  <c r="K97" i="15"/>
  <c r="L97" i="15"/>
  <c r="M97" i="15"/>
  <c r="N97" i="15"/>
  <c r="H92" i="14" s="1"/>
  <c r="O97" i="15"/>
  <c r="P97" i="15"/>
  <c r="Q97" i="15"/>
  <c r="R97" i="15"/>
  <c r="S97" i="15"/>
  <c r="H61" i="15"/>
  <c r="T61" i="15"/>
  <c r="I61" i="15"/>
  <c r="U61" i="15"/>
  <c r="J61" i="15"/>
  <c r="V61" i="15"/>
  <c r="K61" i="15"/>
  <c r="L61" i="15"/>
  <c r="M61" i="15"/>
  <c r="N61" i="15"/>
  <c r="O61" i="15"/>
  <c r="P61" i="15"/>
  <c r="Q61" i="15"/>
  <c r="R61" i="15"/>
  <c r="S61" i="15"/>
  <c r="P14" i="15"/>
  <c r="Q14" i="15"/>
  <c r="J14" i="15"/>
  <c r="V14" i="15"/>
  <c r="O14" i="15"/>
  <c r="R14" i="15"/>
  <c r="T14" i="15"/>
  <c r="U14" i="15"/>
  <c r="H14" i="15"/>
  <c r="I14" i="15"/>
  <c r="K14" i="15"/>
  <c r="L14" i="15"/>
  <c r="S14" i="15"/>
  <c r="M14" i="15"/>
  <c r="N14" i="15"/>
  <c r="K109" i="15"/>
  <c r="L109" i="15"/>
  <c r="M109" i="15"/>
  <c r="I109" i="15"/>
  <c r="N109" i="15"/>
  <c r="O109" i="15"/>
  <c r="P109" i="15"/>
  <c r="U109" i="15"/>
  <c r="Q109" i="15"/>
  <c r="V109" i="15"/>
  <c r="R109" i="15"/>
  <c r="S109" i="15"/>
  <c r="J109" i="15"/>
  <c r="H109" i="15"/>
  <c r="T109" i="15"/>
  <c r="M3" i="15"/>
  <c r="J3" i="15"/>
  <c r="L3" i="15"/>
  <c r="I3" i="15"/>
  <c r="H3" i="15"/>
  <c r="O3" i="15"/>
  <c r="K3" i="15"/>
  <c r="T3" i="15"/>
  <c r="P3" i="15"/>
  <c r="V3" i="15"/>
  <c r="U3" i="15"/>
  <c r="S3" i="15"/>
  <c r="R3" i="15"/>
  <c r="Q3" i="15"/>
  <c r="N3" i="15"/>
  <c r="R47" i="15"/>
  <c r="S47" i="15"/>
  <c r="I47" i="15"/>
  <c r="U47" i="15"/>
  <c r="J47" i="15"/>
  <c r="V47" i="15"/>
  <c r="K47" i="15"/>
  <c r="L47" i="15"/>
  <c r="M47" i="15"/>
  <c r="N47" i="15"/>
  <c r="O47" i="15"/>
  <c r="H47" i="15"/>
  <c r="P47" i="15"/>
  <c r="Q47" i="15"/>
  <c r="T47" i="15"/>
  <c r="O28" i="15"/>
  <c r="P28" i="15"/>
  <c r="R28" i="15"/>
  <c r="S28" i="15"/>
  <c r="H28" i="15"/>
  <c r="T28" i="15"/>
  <c r="I28" i="15"/>
  <c r="U28" i="15"/>
  <c r="J28" i="15"/>
  <c r="V28" i="15"/>
  <c r="K28" i="15"/>
  <c r="L28" i="15"/>
  <c r="M28" i="15"/>
  <c r="N28" i="15"/>
  <c r="Q28" i="15"/>
  <c r="K68" i="15"/>
  <c r="L68" i="15"/>
  <c r="M68" i="15"/>
  <c r="N68" i="15"/>
  <c r="O68" i="15"/>
  <c r="P68" i="15"/>
  <c r="Q68" i="15"/>
  <c r="R68" i="15"/>
  <c r="S68" i="15"/>
  <c r="H68" i="15"/>
  <c r="T68" i="15"/>
  <c r="U68" i="15"/>
  <c r="M64" i="14" s="1"/>
  <c r="V68" i="15"/>
  <c r="J68" i="15"/>
  <c r="I68" i="15"/>
  <c r="S13" i="15"/>
  <c r="H13" i="15"/>
  <c r="T13" i="15"/>
  <c r="M13" i="15"/>
  <c r="O13" i="15"/>
  <c r="P13" i="15"/>
  <c r="R13" i="15"/>
  <c r="U13" i="15"/>
  <c r="V13" i="15"/>
  <c r="I13" i="15"/>
  <c r="J13" i="15"/>
  <c r="K13" i="15"/>
  <c r="L13" i="15"/>
  <c r="N13" i="15"/>
  <c r="Q13" i="15"/>
  <c r="P6" i="15"/>
  <c r="Q6" i="15"/>
  <c r="J6" i="15"/>
  <c r="V6" i="15"/>
  <c r="H6" i="15"/>
  <c r="I6" i="15"/>
  <c r="K6" i="15"/>
  <c r="L6" i="15"/>
  <c r="M6" i="15"/>
  <c r="N6" i="15"/>
  <c r="O6" i="15"/>
  <c r="R6" i="15"/>
  <c r="S6" i="15"/>
  <c r="T6" i="15"/>
  <c r="U6" i="15"/>
  <c r="L21" i="15"/>
  <c r="M21" i="15"/>
  <c r="O21" i="15"/>
  <c r="P21" i="15"/>
  <c r="Q21" i="15"/>
  <c r="R21" i="15"/>
  <c r="S21" i="15"/>
  <c r="H21" i="15"/>
  <c r="T21" i="15"/>
  <c r="I21" i="15"/>
  <c r="U21" i="15"/>
  <c r="N21" i="15"/>
  <c r="V21" i="15"/>
  <c r="J21" i="15"/>
  <c r="K21" i="15"/>
  <c r="K117" i="15"/>
  <c r="N117" i="15"/>
  <c r="P117" i="15"/>
  <c r="V117" i="15"/>
  <c r="L117" i="15"/>
  <c r="M117" i="15"/>
  <c r="I117" i="15"/>
  <c r="O117" i="15"/>
  <c r="J117" i="15"/>
  <c r="Q117" i="15"/>
  <c r="R117" i="15"/>
  <c r="U117" i="15"/>
  <c r="S117" i="15"/>
  <c r="T117" i="15"/>
  <c r="H117" i="15"/>
  <c r="N107" i="15"/>
  <c r="O107" i="15"/>
  <c r="P107" i="15"/>
  <c r="Q107" i="15"/>
  <c r="R107" i="15"/>
  <c r="S107" i="15"/>
  <c r="M107" i="15"/>
  <c r="T107" i="15"/>
  <c r="U107" i="15"/>
  <c r="H107" i="15"/>
  <c r="V107" i="15"/>
  <c r="I107" i="15"/>
  <c r="L107" i="15"/>
  <c r="J107" i="15"/>
  <c r="K107" i="15"/>
  <c r="H81" i="15"/>
  <c r="T81" i="15"/>
  <c r="I81" i="15"/>
  <c r="U81" i="15"/>
  <c r="J81" i="15"/>
  <c r="V81" i="15"/>
  <c r="K81" i="15"/>
  <c r="L81" i="15"/>
  <c r="M81" i="15"/>
  <c r="N81" i="15"/>
  <c r="O81" i="15"/>
  <c r="P81" i="15"/>
  <c r="Q81" i="15"/>
  <c r="R81" i="15"/>
  <c r="S81" i="15"/>
  <c r="P10" i="15"/>
  <c r="Q10" i="15"/>
  <c r="J10" i="15"/>
  <c r="V10" i="15"/>
  <c r="L10" i="15"/>
  <c r="M10" i="15"/>
  <c r="O10" i="15"/>
  <c r="R10" i="15"/>
  <c r="S10" i="15"/>
  <c r="T10" i="15"/>
  <c r="U10" i="15"/>
  <c r="H10" i="15"/>
  <c r="N10" i="15"/>
  <c r="I10" i="15"/>
  <c r="K10" i="15"/>
  <c r="N116" i="15"/>
  <c r="O116" i="15"/>
  <c r="V116" i="15"/>
  <c r="P116" i="15"/>
  <c r="Q116" i="15"/>
  <c r="K116" i="15"/>
  <c r="R116" i="15"/>
  <c r="J116" i="15"/>
  <c r="M116" i="15"/>
  <c r="S116" i="15"/>
  <c r="H116" i="15"/>
  <c r="T116" i="15"/>
  <c r="I116" i="15"/>
  <c r="U116" i="15"/>
  <c r="L116" i="15"/>
  <c r="I22" i="15"/>
  <c r="U22" i="15"/>
  <c r="J22" i="15"/>
  <c r="V22" i="15"/>
  <c r="L22" i="15"/>
  <c r="M22" i="15"/>
  <c r="N22" i="15"/>
  <c r="O22" i="15"/>
  <c r="P22" i="15"/>
  <c r="Q22" i="15"/>
  <c r="J21" i="14" s="1"/>
  <c r="R22" i="15"/>
  <c r="H22" i="15"/>
  <c r="K22" i="15"/>
  <c r="S22" i="15"/>
  <c r="T22" i="15"/>
  <c r="R35" i="15"/>
  <c r="S35" i="15"/>
  <c r="I35" i="15"/>
  <c r="U35" i="15"/>
  <c r="J35" i="15"/>
  <c r="V35" i="15"/>
  <c r="K35" i="15"/>
  <c r="L35" i="15"/>
  <c r="M35" i="15"/>
  <c r="N35" i="15"/>
  <c r="O35" i="15"/>
  <c r="H35" i="15"/>
  <c r="P35" i="15"/>
  <c r="Q35" i="15"/>
  <c r="T35" i="15"/>
  <c r="K80" i="15"/>
  <c r="L80" i="15"/>
  <c r="M80" i="15"/>
  <c r="N80" i="15"/>
  <c r="O80" i="15"/>
  <c r="P80" i="15"/>
  <c r="Q80" i="15"/>
  <c r="R80" i="15"/>
  <c r="S80" i="15"/>
  <c r="H80" i="15"/>
  <c r="T80" i="15"/>
  <c r="I80" i="15"/>
  <c r="J80" i="15"/>
  <c r="U80" i="15"/>
  <c r="V80" i="15"/>
  <c r="O52" i="15"/>
  <c r="P52" i="15"/>
  <c r="R52" i="15"/>
  <c r="H52" i="15"/>
  <c r="T52" i="15"/>
  <c r="I52" i="15"/>
  <c r="J52" i="15"/>
  <c r="K52" i="15"/>
  <c r="L52" i="15"/>
  <c r="M52" i="15"/>
  <c r="N52" i="15"/>
  <c r="Q52" i="15"/>
  <c r="S52" i="15"/>
  <c r="U52" i="15"/>
  <c r="V52" i="15"/>
  <c r="N103" i="15"/>
  <c r="O103" i="15"/>
  <c r="P103" i="15"/>
  <c r="S103" i="15"/>
  <c r="H103" i="15"/>
  <c r="T103" i="15"/>
  <c r="U103" i="15"/>
  <c r="V103" i="15"/>
  <c r="I103" i="15"/>
  <c r="J103" i="15"/>
  <c r="K103" i="15"/>
  <c r="L103" i="15"/>
  <c r="M103" i="15"/>
  <c r="Q103" i="15"/>
  <c r="R103" i="15"/>
  <c r="Q62" i="15"/>
  <c r="R62" i="15"/>
  <c r="S62" i="15"/>
  <c r="H62" i="15"/>
  <c r="T62" i="15"/>
  <c r="L58" i="14" s="1"/>
  <c r="I62" i="15"/>
  <c r="U62" i="15"/>
  <c r="M58" i="14" s="1"/>
  <c r="J62" i="15"/>
  <c r="V62" i="15"/>
  <c r="K62" i="15"/>
  <c r="L62" i="15"/>
  <c r="M62" i="15"/>
  <c r="N62" i="15"/>
  <c r="O62" i="15"/>
  <c r="P62" i="15"/>
  <c r="R19" i="15"/>
  <c r="S19" i="15"/>
  <c r="I19" i="15"/>
  <c r="U19" i="15"/>
  <c r="M19" i="14" s="1"/>
  <c r="J19" i="15"/>
  <c r="V19" i="15"/>
  <c r="K19" i="15"/>
  <c r="L19" i="15"/>
  <c r="M19" i="15"/>
  <c r="N19" i="15"/>
  <c r="O19" i="15"/>
  <c r="H19" i="15"/>
  <c r="P19" i="15"/>
  <c r="Q19" i="15"/>
  <c r="T19" i="15"/>
  <c r="K100" i="15"/>
  <c r="L100" i="15"/>
  <c r="M100" i="15"/>
  <c r="N100" i="15"/>
  <c r="O100" i="15"/>
  <c r="P100" i="15"/>
  <c r="Q100" i="15"/>
  <c r="R100" i="15"/>
  <c r="S100" i="15"/>
  <c r="U100" i="15"/>
  <c r="V100" i="15"/>
  <c r="H100" i="15"/>
  <c r="I100" i="15"/>
  <c r="J100" i="15"/>
  <c r="T100" i="15"/>
  <c r="I30" i="15"/>
  <c r="U30" i="15"/>
  <c r="J30" i="15"/>
  <c r="V30" i="15"/>
  <c r="L30" i="15"/>
  <c r="M30" i="15"/>
  <c r="N30" i="15"/>
  <c r="O30" i="15"/>
  <c r="P30" i="15"/>
  <c r="Q30" i="15"/>
  <c r="J29" i="14" s="1"/>
  <c r="R30" i="15"/>
  <c r="H30" i="15"/>
  <c r="K30" i="15"/>
  <c r="S30" i="15"/>
  <c r="T30" i="15"/>
  <c r="L29" i="14" s="1"/>
  <c r="N83" i="15"/>
  <c r="O83" i="15"/>
  <c r="P83" i="15"/>
  <c r="Q83" i="15"/>
  <c r="R83" i="15"/>
  <c r="S83" i="15"/>
  <c r="H83" i="15"/>
  <c r="T83" i="15"/>
  <c r="I83" i="15"/>
  <c r="U83" i="15"/>
  <c r="J83" i="15"/>
  <c r="V83" i="15"/>
  <c r="K83" i="15"/>
  <c r="L83" i="15"/>
  <c r="M83" i="15"/>
  <c r="R43" i="15"/>
  <c r="S43" i="15"/>
  <c r="I43" i="15"/>
  <c r="U43" i="15"/>
  <c r="M41" i="14" s="1"/>
  <c r="J43" i="15"/>
  <c r="V43" i="15"/>
  <c r="K43" i="15"/>
  <c r="L43" i="15"/>
  <c r="M43" i="15"/>
  <c r="N43" i="15"/>
  <c r="O43" i="15"/>
  <c r="T43" i="15"/>
  <c r="H43" i="15"/>
  <c r="P43" i="15"/>
  <c r="Q43" i="15"/>
  <c r="J54" i="15"/>
  <c r="V54" i="15"/>
  <c r="H54" i="15"/>
  <c r="U54" i="15"/>
  <c r="I54" i="15"/>
  <c r="K54" i="15"/>
  <c r="L54" i="15"/>
  <c r="M54" i="15"/>
  <c r="N54" i="15"/>
  <c r="O54" i="15"/>
  <c r="P54" i="15"/>
  <c r="Q54" i="15"/>
  <c r="R54" i="15"/>
  <c r="K51" i="14" s="1"/>
  <c r="S54" i="15"/>
  <c r="T54" i="15"/>
  <c r="Q115" i="15"/>
  <c r="N115" i="15"/>
  <c r="R115" i="15"/>
  <c r="S115" i="15"/>
  <c r="H115" i="15"/>
  <c r="T115" i="15"/>
  <c r="I115" i="15"/>
  <c r="U115" i="15"/>
  <c r="J115" i="15"/>
  <c r="V115" i="15"/>
  <c r="O115" i="15"/>
  <c r="K115" i="15"/>
  <c r="L115" i="15"/>
  <c r="M115" i="15"/>
  <c r="P115" i="15"/>
  <c r="N67" i="15"/>
  <c r="O67" i="15"/>
  <c r="P67" i="15"/>
  <c r="Q67" i="15"/>
  <c r="R67" i="15"/>
  <c r="S67" i="15"/>
  <c r="H67" i="15"/>
  <c r="T67" i="15"/>
  <c r="I67" i="15"/>
  <c r="U67" i="15"/>
  <c r="J67" i="15"/>
  <c r="V67" i="15"/>
  <c r="K67" i="15"/>
  <c r="L67" i="15"/>
  <c r="M67" i="15"/>
  <c r="K64" i="15"/>
  <c r="L64" i="15"/>
  <c r="M64" i="15"/>
  <c r="N64" i="15"/>
  <c r="O64" i="15"/>
  <c r="P64" i="15"/>
  <c r="Q64" i="15"/>
  <c r="R64" i="15"/>
  <c r="S64" i="15"/>
  <c r="H64" i="15"/>
  <c r="T64" i="15"/>
  <c r="I64" i="15"/>
  <c r="J64" i="15"/>
  <c r="U64" i="15"/>
  <c r="V64" i="15"/>
  <c r="Q90" i="15"/>
  <c r="J85" i="14" s="1"/>
  <c r="R90" i="15"/>
  <c r="S90" i="15"/>
  <c r="H90" i="15"/>
  <c r="T90" i="15"/>
  <c r="I90" i="15"/>
  <c r="U90" i="15"/>
  <c r="J90" i="15"/>
  <c r="V90" i="15"/>
  <c r="K90" i="15"/>
  <c r="L90" i="15"/>
  <c r="M90" i="15"/>
  <c r="N90" i="15"/>
  <c r="O90" i="15"/>
  <c r="P90" i="15"/>
  <c r="N112" i="15"/>
  <c r="L112" i="15"/>
  <c r="M112" i="15"/>
  <c r="O112" i="15"/>
  <c r="P112" i="15"/>
  <c r="Q112" i="15"/>
  <c r="R112" i="15"/>
  <c r="S112" i="15"/>
  <c r="H112" i="15"/>
  <c r="T112" i="15"/>
  <c r="L107" i="14" s="1"/>
  <c r="I112" i="15"/>
  <c r="U112" i="15"/>
  <c r="J112" i="15"/>
  <c r="V112" i="15"/>
  <c r="K112" i="15"/>
  <c r="I46" i="15"/>
  <c r="U46" i="15"/>
  <c r="J46" i="15"/>
  <c r="V46" i="15"/>
  <c r="L46" i="15"/>
  <c r="M46" i="15"/>
  <c r="N46" i="15"/>
  <c r="H44" i="14" s="1"/>
  <c r="O46" i="15"/>
  <c r="P46" i="15"/>
  <c r="Q46" i="15"/>
  <c r="R46" i="15"/>
  <c r="H46" i="15"/>
  <c r="K46" i="15"/>
  <c r="S46" i="15"/>
  <c r="T46" i="15"/>
  <c r="L45" i="15"/>
  <c r="M45" i="15"/>
  <c r="O45" i="15"/>
  <c r="P45" i="15"/>
  <c r="Q45" i="15"/>
  <c r="R45" i="15"/>
  <c r="S45" i="15"/>
  <c r="H45" i="15"/>
  <c r="T45" i="15"/>
  <c r="L43" i="14" s="1"/>
  <c r="I45" i="15"/>
  <c r="U45" i="15"/>
  <c r="J45" i="15"/>
  <c r="K45" i="15"/>
  <c r="N45" i="15"/>
  <c r="V45" i="15"/>
  <c r="H101" i="15"/>
  <c r="T101" i="15"/>
  <c r="I101" i="15"/>
  <c r="U101" i="15"/>
  <c r="J101" i="15"/>
  <c r="V101" i="15"/>
  <c r="M101" i="15"/>
  <c r="N101" i="15"/>
  <c r="P101" i="15"/>
  <c r="K101" i="15"/>
  <c r="L101" i="15"/>
  <c r="O101" i="15"/>
  <c r="Q101" i="15"/>
  <c r="R101" i="15"/>
  <c r="S101" i="15"/>
  <c r="O20" i="15"/>
  <c r="P20" i="15"/>
  <c r="R20" i="15"/>
  <c r="S20" i="15"/>
  <c r="H20" i="15"/>
  <c r="T20" i="15"/>
  <c r="I20" i="15"/>
  <c r="U20" i="15"/>
  <c r="J20" i="15"/>
  <c r="V20" i="15"/>
  <c r="K20" i="15"/>
  <c r="L20" i="15"/>
  <c r="M20" i="15"/>
  <c r="N20" i="15"/>
  <c r="Q20" i="15"/>
  <c r="R23" i="15"/>
  <c r="S23" i="15"/>
  <c r="I23" i="15"/>
  <c r="U23" i="15"/>
  <c r="J23" i="15"/>
  <c r="V23" i="15"/>
  <c r="K23" i="15"/>
  <c r="L23" i="15"/>
  <c r="M23" i="15"/>
  <c r="N23" i="15"/>
  <c r="O23" i="15"/>
  <c r="H23" i="15"/>
  <c r="P23" i="15"/>
  <c r="Q23" i="15"/>
  <c r="T23" i="15"/>
  <c r="M7" i="15"/>
  <c r="N7" i="15"/>
  <c r="S7" i="15"/>
  <c r="I7" i="15"/>
  <c r="J7" i="15"/>
  <c r="K7" i="15"/>
  <c r="L7" i="15"/>
  <c r="O7" i="15"/>
  <c r="P7" i="15"/>
  <c r="Q7" i="15"/>
  <c r="R7" i="15"/>
  <c r="T7" i="15"/>
  <c r="U7" i="15"/>
  <c r="H7" i="15"/>
  <c r="V7" i="15"/>
  <c r="K96" i="15"/>
  <c r="L96" i="15"/>
  <c r="M96" i="15"/>
  <c r="N96" i="15"/>
  <c r="O96" i="15"/>
  <c r="P96" i="15"/>
  <c r="Q96" i="15"/>
  <c r="R96" i="15"/>
  <c r="S96" i="15"/>
  <c r="H96" i="15"/>
  <c r="T96" i="15"/>
  <c r="U96" i="15"/>
  <c r="I96" i="15"/>
  <c r="J96" i="15"/>
  <c r="V96" i="15"/>
  <c r="N99" i="15"/>
  <c r="O99" i="15"/>
  <c r="P99" i="15"/>
  <c r="Q99" i="15"/>
  <c r="R99" i="15"/>
  <c r="S99" i="15"/>
  <c r="H99" i="15"/>
  <c r="T99" i="15"/>
  <c r="I99" i="15"/>
  <c r="U99" i="15"/>
  <c r="M94" i="14" s="1"/>
  <c r="J99" i="15"/>
  <c r="V99" i="15"/>
  <c r="K99" i="15"/>
  <c r="L99" i="15"/>
  <c r="M99" i="15"/>
  <c r="K84" i="15"/>
  <c r="L84" i="15"/>
  <c r="M84" i="15"/>
  <c r="N84" i="15"/>
  <c r="O84" i="15"/>
  <c r="P84" i="15"/>
  <c r="Q84" i="15"/>
  <c r="R84" i="15"/>
  <c r="S84" i="15"/>
  <c r="H84" i="15"/>
  <c r="T84" i="15"/>
  <c r="I84" i="15"/>
  <c r="J84" i="15"/>
  <c r="U84" i="15"/>
  <c r="V84" i="15"/>
  <c r="L25" i="15"/>
  <c r="M25" i="15"/>
  <c r="O25" i="15"/>
  <c r="P25" i="15"/>
  <c r="Q25" i="15"/>
  <c r="R25" i="15"/>
  <c r="S25" i="15"/>
  <c r="H25" i="15"/>
  <c r="T25" i="15"/>
  <c r="I25" i="15"/>
  <c r="U25" i="15"/>
  <c r="J25" i="15"/>
  <c r="K25" i="15"/>
  <c r="N25" i="15"/>
  <c r="V25" i="15"/>
  <c r="N87" i="15"/>
  <c r="H82" i="14" s="1"/>
  <c r="O87" i="15"/>
  <c r="P87" i="15"/>
  <c r="Q87" i="15"/>
  <c r="R87" i="15"/>
  <c r="S87" i="15"/>
  <c r="H87" i="15"/>
  <c r="T87" i="15"/>
  <c r="I87" i="15"/>
  <c r="U87" i="15"/>
  <c r="J87" i="15"/>
  <c r="V87" i="15"/>
  <c r="K87" i="15"/>
  <c r="F82" i="14" s="1"/>
  <c r="L87" i="15"/>
  <c r="M87" i="15"/>
  <c r="L49" i="15"/>
  <c r="M49" i="15"/>
  <c r="O49" i="15"/>
  <c r="P49" i="15"/>
  <c r="Q49" i="15"/>
  <c r="R49" i="15"/>
  <c r="S49" i="15"/>
  <c r="N49" i="15"/>
  <c r="T49" i="15"/>
  <c r="L46" i="14" s="1"/>
  <c r="U49" i="15"/>
  <c r="M46" i="14" s="1"/>
  <c r="V49" i="15"/>
  <c r="H49" i="15"/>
  <c r="I49" i="15"/>
  <c r="J49" i="15"/>
  <c r="K49" i="15"/>
  <c r="Q98" i="15"/>
  <c r="R98" i="15"/>
  <c r="S98" i="15"/>
  <c r="H98" i="15"/>
  <c r="T98" i="15"/>
  <c r="I98" i="15"/>
  <c r="U98" i="15"/>
  <c r="M93" i="14" s="1"/>
  <c r="J98" i="15"/>
  <c r="V98" i="15"/>
  <c r="K98" i="15"/>
  <c r="L98" i="15"/>
  <c r="M98" i="15"/>
  <c r="N98" i="15"/>
  <c r="O98" i="15"/>
  <c r="P98" i="15"/>
  <c r="P60" i="15"/>
  <c r="J60" i="15"/>
  <c r="K60" i="15"/>
  <c r="L60" i="15"/>
  <c r="M60" i="15"/>
  <c r="N60" i="15"/>
  <c r="O60" i="15"/>
  <c r="I56" i="14" s="1"/>
  <c r="Q60" i="15"/>
  <c r="R60" i="15"/>
  <c r="S60" i="15"/>
  <c r="T60" i="15"/>
  <c r="H60" i="15"/>
  <c r="I60" i="15"/>
  <c r="U60" i="15"/>
  <c r="V60" i="15"/>
  <c r="O36" i="15"/>
  <c r="P36" i="15"/>
  <c r="R36" i="15"/>
  <c r="S36" i="15"/>
  <c r="H36" i="15"/>
  <c r="T36" i="15"/>
  <c r="L34" i="14" s="1"/>
  <c r="I36" i="15"/>
  <c r="U36" i="15"/>
  <c r="J36" i="15"/>
  <c r="V36" i="15"/>
  <c r="K36" i="15"/>
  <c r="L36" i="15"/>
  <c r="M36" i="15"/>
  <c r="N36" i="15"/>
  <c r="Q36" i="15"/>
  <c r="M15" i="15"/>
  <c r="S15" i="15"/>
  <c r="P15" i="15"/>
  <c r="Q15" i="15"/>
  <c r="T15" i="15"/>
  <c r="U15" i="15"/>
  <c r="H15" i="15"/>
  <c r="V15" i="15"/>
  <c r="I15" i="15"/>
  <c r="J15" i="15"/>
  <c r="K15" i="15"/>
  <c r="L15" i="15"/>
  <c r="N15" i="15"/>
  <c r="H15" i="14" s="1"/>
  <c r="O15" i="15"/>
  <c r="R15" i="15"/>
  <c r="A3" i="14"/>
  <c r="N4" i="14"/>
  <c r="R5" i="14"/>
  <c r="N7" i="14"/>
  <c r="R8" i="14"/>
  <c r="N10" i="14"/>
  <c r="R11" i="14"/>
  <c r="N13" i="14"/>
  <c r="R14" i="14"/>
  <c r="N16" i="14"/>
  <c r="R17" i="14"/>
  <c r="N19" i="14"/>
  <c r="R20" i="14"/>
  <c r="N22" i="14"/>
  <c r="R23" i="14"/>
  <c r="N25" i="14"/>
  <c r="R26" i="14"/>
  <c r="N28" i="14"/>
  <c r="R29" i="14"/>
  <c r="N31" i="14"/>
  <c r="R32" i="14"/>
  <c r="N34" i="14"/>
  <c r="R35" i="14"/>
  <c r="N37" i="14"/>
  <c r="R38" i="14"/>
  <c r="N40" i="14"/>
  <c r="R41" i="14"/>
  <c r="N43" i="14"/>
  <c r="R44" i="14"/>
  <c r="N46" i="14"/>
  <c r="R47" i="14"/>
  <c r="N49" i="14"/>
  <c r="R50" i="14"/>
  <c r="N52" i="14"/>
  <c r="R53" i="14"/>
  <c r="N55" i="14"/>
  <c r="R56" i="14"/>
  <c r="N58" i="14"/>
  <c r="R59" i="14"/>
  <c r="N61" i="14"/>
  <c r="R62" i="14"/>
  <c r="N64" i="14"/>
  <c r="R65" i="14"/>
  <c r="N67" i="14"/>
  <c r="R68" i="14"/>
  <c r="N70" i="14"/>
  <c r="R71" i="14"/>
  <c r="N73" i="14"/>
  <c r="R74" i="14"/>
  <c r="N76" i="14"/>
  <c r="R77" i="14"/>
  <c r="N79" i="14"/>
  <c r="R80" i="14"/>
  <c r="N82" i="14"/>
  <c r="R83" i="14"/>
  <c r="N85" i="14"/>
  <c r="R86" i="14"/>
  <c r="N88" i="14"/>
  <c r="R89" i="14"/>
  <c r="N91" i="14"/>
  <c r="R92" i="14"/>
  <c r="N94" i="14"/>
  <c r="R95" i="14"/>
  <c r="N97" i="14"/>
  <c r="R98" i="14"/>
  <c r="N100" i="14"/>
  <c r="R101" i="14"/>
  <c r="N103" i="14"/>
  <c r="R104" i="14"/>
  <c r="N106" i="14"/>
  <c r="R107" i="14"/>
  <c r="N109" i="14"/>
  <c r="R110" i="14"/>
  <c r="N112" i="14"/>
  <c r="R113" i="14"/>
  <c r="L4" i="14"/>
  <c r="L10" i="14"/>
  <c r="L16" i="14"/>
  <c r="L22" i="14"/>
  <c r="L28" i="14"/>
  <c r="L40" i="14"/>
  <c r="L52" i="14"/>
  <c r="O4" i="14"/>
  <c r="S5" i="14"/>
  <c r="O7" i="14"/>
  <c r="S8" i="14"/>
  <c r="O10" i="14"/>
  <c r="S11" i="14"/>
  <c r="O13" i="14"/>
  <c r="S14" i="14"/>
  <c r="O16" i="14"/>
  <c r="S17" i="14"/>
  <c r="O19" i="14"/>
  <c r="S20" i="14"/>
  <c r="O22" i="14"/>
  <c r="S23" i="14"/>
  <c r="O25" i="14"/>
  <c r="S26" i="14"/>
  <c r="O28" i="14"/>
  <c r="S29" i="14"/>
  <c r="O31" i="14"/>
  <c r="S32" i="14"/>
  <c r="O34" i="14"/>
  <c r="S35" i="14"/>
  <c r="O37" i="14"/>
  <c r="S38" i="14"/>
  <c r="O40" i="14"/>
  <c r="S41" i="14"/>
  <c r="O43" i="14"/>
  <c r="S44" i="14"/>
  <c r="O46" i="14"/>
  <c r="S47" i="14"/>
  <c r="O49" i="14"/>
  <c r="S50" i="14"/>
  <c r="O52" i="14"/>
  <c r="S53" i="14"/>
  <c r="O55" i="14"/>
  <c r="S56" i="14"/>
  <c r="O58" i="14"/>
  <c r="S59" i="14"/>
  <c r="O61" i="14"/>
  <c r="S62" i="14"/>
  <c r="O64" i="14"/>
  <c r="S65" i="14"/>
  <c r="O67" i="14"/>
  <c r="S68" i="14"/>
  <c r="O70" i="14"/>
  <c r="S71" i="14"/>
  <c r="O73" i="14"/>
  <c r="S74" i="14"/>
  <c r="O76" i="14"/>
  <c r="S77" i="14"/>
  <c r="O79" i="14"/>
  <c r="S80" i="14"/>
  <c r="O82" i="14"/>
  <c r="S83" i="14"/>
  <c r="O85" i="14"/>
  <c r="S86" i="14"/>
  <c r="O88" i="14"/>
  <c r="S89" i="14"/>
  <c r="O91" i="14"/>
  <c r="S92" i="14"/>
  <c r="O94" i="14"/>
  <c r="S95" i="14"/>
  <c r="O97" i="14"/>
  <c r="S98" i="14"/>
  <c r="O100" i="14"/>
  <c r="S101" i="14"/>
  <c r="O103" i="14"/>
  <c r="S104" i="14"/>
  <c r="O106" i="14"/>
  <c r="S107" i="14"/>
  <c r="O109" i="14"/>
  <c r="S110" i="14"/>
  <c r="O112" i="14"/>
  <c r="S113" i="14"/>
  <c r="M4" i="14"/>
  <c r="M10" i="14"/>
  <c r="M16" i="14"/>
  <c r="M22" i="14"/>
  <c r="M28" i="14"/>
  <c r="M34" i="14"/>
  <c r="M40" i="14"/>
  <c r="M52" i="14"/>
  <c r="P4" i="14"/>
  <c r="T5" i="14"/>
  <c r="P7" i="14"/>
  <c r="T8" i="14"/>
  <c r="P10" i="14"/>
  <c r="T11" i="14"/>
  <c r="P13" i="14"/>
  <c r="T14" i="14"/>
  <c r="P16" i="14"/>
  <c r="T17" i="14"/>
  <c r="P19" i="14"/>
  <c r="T20" i="14"/>
  <c r="P22" i="14"/>
  <c r="T23" i="14"/>
  <c r="P25" i="14"/>
  <c r="T26" i="14"/>
  <c r="P28" i="14"/>
  <c r="T29" i="14"/>
  <c r="P31" i="14"/>
  <c r="T32" i="14"/>
  <c r="P34" i="14"/>
  <c r="T35" i="14"/>
  <c r="P37" i="14"/>
  <c r="T38" i="14"/>
  <c r="P40" i="14"/>
  <c r="T41" i="14"/>
  <c r="P43" i="14"/>
  <c r="T44" i="14"/>
  <c r="P46" i="14"/>
  <c r="T47" i="14"/>
  <c r="P49" i="14"/>
  <c r="T50" i="14"/>
  <c r="P52" i="14"/>
  <c r="T53" i="14"/>
  <c r="P55" i="14"/>
  <c r="T56" i="14"/>
  <c r="P58" i="14"/>
  <c r="T59" i="14"/>
  <c r="P61" i="14"/>
  <c r="T62" i="14"/>
  <c r="P64" i="14"/>
  <c r="T65" i="14"/>
  <c r="P67" i="14"/>
  <c r="T68" i="14"/>
  <c r="P70" i="14"/>
  <c r="T71" i="14"/>
  <c r="P73" i="14"/>
  <c r="T74" i="14"/>
  <c r="P76" i="14"/>
  <c r="T77" i="14"/>
  <c r="P79" i="14"/>
  <c r="T80" i="14"/>
  <c r="P82" i="14"/>
  <c r="T83" i="14"/>
  <c r="P85" i="14"/>
  <c r="T86" i="14"/>
  <c r="P88" i="14"/>
  <c r="T89" i="14"/>
  <c r="P91" i="14"/>
  <c r="T92" i="14"/>
  <c r="P94" i="14"/>
  <c r="T95" i="14"/>
  <c r="P97" i="14"/>
  <c r="T98" i="14"/>
  <c r="P100" i="14"/>
  <c r="T101" i="14"/>
  <c r="P103" i="14"/>
  <c r="T104" i="14"/>
  <c r="P106" i="14"/>
  <c r="T107" i="14"/>
  <c r="P109" i="14"/>
  <c r="T110" i="14"/>
  <c r="P112" i="14"/>
  <c r="T113" i="14"/>
  <c r="L5" i="14"/>
  <c r="L11" i="14"/>
  <c r="L17" i="14"/>
  <c r="L23" i="14"/>
  <c r="L35" i="14"/>
  <c r="L41" i="14"/>
  <c r="L47" i="14"/>
  <c r="L53" i="14"/>
  <c r="L59" i="14"/>
  <c r="L65" i="14"/>
  <c r="Q4" i="14"/>
  <c r="U5" i="14"/>
  <c r="Q7" i="14"/>
  <c r="U8" i="14"/>
  <c r="Q10" i="14"/>
  <c r="U11" i="14"/>
  <c r="Q13" i="14"/>
  <c r="U14" i="14"/>
  <c r="Q16" i="14"/>
  <c r="U17" i="14"/>
  <c r="Q19" i="14"/>
  <c r="U20" i="14"/>
  <c r="Q22" i="14"/>
  <c r="U23" i="14"/>
  <c r="Q25" i="14"/>
  <c r="U26" i="14"/>
  <c r="Q28" i="14"/>
  <c r="U29" i="14"/>
  <c r="Q31" i="14"/>
  <c r="U32" i="14"/>
  <c r="Q34" i="14"/>
  <c r="U35" i="14"/>
  <c r="Q37" i="14"/>
  <c r="U38" i="14"/>
  <c r="Q40" i="14"/>
  <c r="U41" i="14"/>
  <c r="Q43" i="14"/>
  <c r="U44" i="14"/>
  <c r="Q46" i="14"/>
  <c r="U47" i="14"/>
  <c r="Q49" i="14"/>
  <c r="U50" i="14"/>
  <c r="Q52" i="14"/>
  <c r="U53" i="14"/>
  <c r="Q55" i="14"/>
  <c r="U56" i="14"/>
  <c r="Q58" i="14"/>
  <c r="U59" i="14"/>
  <c r="Q61" i="14"/>
  <c r="U62" i="14"/>
  <c r="Q64" i="14"/>
  <c r="U65" i="14"/>
  <c r="Q67" i="14"/>
  <c r="U68" i="14"/>
  <c r="Q70" i="14"/>
  <c r="U71" i="14"/>
  <c r="Q73" i="14"/>
  <c r="U74" i="14"/>
  <c r="Q76" i="14"/>
  <c r="U77" i="14"/>
  <c r="Q79" i="14"/>
  <c r="U80" i="14"/>
  <c r="Q82" i="14"/>
  <c r="U83" i="14"/>
  <c r="Q85" i="14"/>
  <c r="U86" i="14"/>
  <c r="Q88" i="14"/>
  <c r="U89" i="14"/>
  <c r="Q91" i="14"/>
  <c r="U92" i="14"/>
  <c r="Q94" i="14"/>
  <c r="U95" i="14"/>
  <c r="Q97" i="14"/>
  <c r="U98" i="14"/>
  <c r="Q100" i="14"/>
  <c r="U101" i="14"/>
  <c r="Q103" i="14"/>
  <c r="U104" i="14"/>
  <c r="Q106" i="14"/>
  <c r="U107" i="14"/>
  <c r="Q109" i="14"/>
  <c r="U110" i="14"/>
  <c r="Q112" i="14"/>
  <c r="U113" i="14"/>
  <c r="M5" i="14"/>
  <c r="M11" i="14"/>
  <c r="M17" i="14"/>
  <c r="M23" i="14"/>
  <c r="M29" i="14"/>
  <c r="M35" i="14"/>
  <c r="M47" i="14"/>
  <c r="M53" i="14"/>
  <c r="M59" i="14"/>
  <c r="M65" i="14"/>
  <c r="R4" i="14"/>
  <c r="N6" i="14"/>
  <c r="R7" i="14"/>
  <c r="N9" i="14"/>
  <c r="R10" i="14"/>
  <c r="N12" i="14"/>
  <c r="R13" i="14"/>
  <c r="N15" i="14"/>
  <c r="R16" i="14"/>
  <c r="N18" i="14"/>
  <c r="R19" i="14"/>
  <c r="N21" i="14"/>
  <c r="R22" i="14"/>
  <c r="N24" i="14"/>
  <c r="R25" i="14"/>
  <c r="N27" i="14"/>
  <c r="R28" i="14"/>
  <c r="N30" i="14"/>
  <c r="R31" i="14"/>
  <c r="N33" i="14"/>
  <c r="R34" i="14"/>
  <c r="N36" i="14"/>
  <c r="R37" i="14"/>
  <c r="N39" i="14"/>
  <c r="R40" i="14"/>
  <c r="N42" i="14"/>
  <c r="R43" i="14"/>
  <c r="N45" i="14"/>
  <c r="R46" i="14"/>
  <c r="N48" i="14"/>
  <c r="R49" i="14"/>
  <c r="N51" i="14"/>
  <c r="R52" i="14"/>
  <c r="N54" i="14"/>
  <c r="R55" i="14"/>
  <c r="N57" i="14"/>
  <c r="R58" i="14"/>
  <c r="N60" i="14"/>
  <c r="R61" i="14"/>
  <c r="N63" i="14"/>
  <c r="R64" i="14"/>
  <c r="N66" i="14"/>
  <c r="R67" i="14"/>
  <c r="N69" i="14"/>
  <c r="R70" i="14"/>
  <c r="N72" i="14"/>
  <c r="R73" i="14"/>
  <c r="N75" i="14"/>
  <c r="R76" i="14"/>
  <c r="N78" i="14"/>
  <c r="R79" i="14"/>
  <c r="N81" i="14"/>
  <c r="S4" i="14"/>
  <c r="O6" i="14"/>
  <c r="S7" i="14"/>
  <c r="O9" i="14"/>
  <c r="S10" i="14"/>
  <c r="O12" i="14"/>
  <c r="S13" i="14"/>
  <c r="O15" i="14"/>
  <c r="S16" i="14"/>
  <c r="O18" i="14"/>
  <c r="S19" i="14"/>
  <c r="O21" i="14"/>
  <c r="S22" i="14"/>
  <c r="O24" i="14"/>
  <c r="S25" i="14"/>
  <c r="O27" i="14"/>
  <c r="S28" i="14"/>
  <c r="O30" i="14"/>
  <c r="S31" i="14"/>
  <c r="O33" i="14"/>
  <c r="S34" i="14"/>
  <c r="O36" i="14"/>
  <c r="S37" i="14"/>
  <c r="O39" i="14"/>
  <c r="S40" i="14"/>
  <c r="O42" i="14"/>
  <c r="S43" i="14"/>
  <c r="O45" i="14"/>
  <c r="S46" i="14"/>
  <c r="O48" i="14"/>
  <c r="S49" i="14"/>
  <c r="O51" i="14"/>
  <c r="S52" i="14"/>
  <c r="O54" i="14"/>
  <c r="S55" i="14"/>
  <c r="O57" i="14"/>
  <c r="S58" i="14"/>
  <c r="O60" i="14"/>
  <c r="S61" i="14"/>
  <c r="O63" i="14"/>
  <c r="S64" i="14"/>
  <c r="O66" i="14"/>
  <c r="S67" i="14"/>
  <c r="O69" i="14"/>
  <c r="S70" i="14"/>
  <c r="O72" i="14"/>
  <c r="S73" i="14"/>
  <c r="O75" i="14"/>
  <c r="S76" i="14"/>
  <c r="O78" i="14"/>
  <c r="S79" i="14"/>
  <c r="O81" i="14"/>
  <c r="S82" i="14"/>
  <c r="O84" i="14"/>
  <c r="S85" i="14"/>
  <c r="O87" i="14"/>
  <c r="S88" i="14"/>
  <c r="O90" i="14"/>
  <c r="S91" i="14"/>
  <c r="O93" i="14"/>
  <c r="S94" i="14"/>
  <c r="O96" i="14"/>
  <c r="S97" i="14"/>
  <c r="O99" i="14"/>
  <c r="S100" i="14"/>
  <c r="O102" i="14"/>
  <c r="S103" i="14"/>
  <c r="O105" i="14"/>
  <c r="S106" i="14"/>
  <c r="O108" i="14"/>
  <c r="S109" i="14"/>
  <c r="O111" i="14"/>
  <c r="S112" i="14"/>
  <c r="M6" i="14"/>
  <c r="M12" i="14"/>
  <c r="M18" i="14"/>
  <c r="M24" i="14"/>
  <c r="M30" i="14"/>
  <c r="M36" i="14"/>
  <c r="M42" i="14"/>
  <c r="M48" i="14"/>
  <c r="M54" i="14"/>
  <c r="M60" i="14"/>
  <c r="M66" i="14"/>
  <c r="T4" i="14"/>
  <c r="P6" i="14"/>
  <c r="T7" i="14"/>
  <c r="P9" i="14"/>
  <c r="T10" i="14"/>
  <c r="P12" i="14"/>
  <c r="T13" i="14"/>
  <c r="P15" i="14"/>
  <c r="T16" i="14"/>
  <c r="P18" i="14"/>
  <c r="T19" i="14"/>
  <c r="P21" i="14"/>
  <c r="T22" i="14"/>
  <c r="P24" i="14"/>
  <c r="T25" i="14"/>
  <c r="P27" i="14"/>
  <c r="T28" i="14"/>
  <c r="P30" i="14"/>
  <c r="T31" i="14"/>
  <c r="P33" i="14"/>
  <c r="T34" i="14"/>
  <c r="P36" i="14"/>
  <c r="T37" i="14"/>
  <c r="P39" i="14"/>
  <c r="T40" i="14"/>
  <c r="P42" i="14"/>
  <c r="T43" i="14"/>
  <c r="P45" i="14"/>
  <c r="T46" i="14"/>
  <c r="P48" i="14"/>
  <c r="T49" i="14"/>
  <c r="P51" i="14"/>
  <c r="T52" i="14"/>
  <c r="P54" i="14"/>
  <c r="T55" i="14"/>
  <c r="P57" i="14"/>
  <c r="T58" i="14"/>
  <c r="P60" i="14"/>
  <c r="T61" i="14"/>
  <c r="P63" i="14"/>
  <c r="T64" i="14"/>
  <c r="P66" i="14"/>
  <c r="T67" i="14"/>
  <c r="P69" i="14"/>
  <c r="T70" i="14"/>
  <c r="P72" i="14"/>
  <c r="T73" i="14"/>
  <c r="P75" i="14"/>
  <c r="T76" i="14"/>
  <c r="P78" i="14"/>
  <c r="T79" i="14"/>
  <c r="P81" i="14"/>
  <c r="T82" i="14"/>
  <c r="P84" i="14"/>
  <c r="T85" i="14"/>
  <c r="P87" i="14"/>
  <c r="T88" i="14"/>
  <c r="P90" i="14"/>
  <c r="T91" i="14"/>
  <c r="P93" i="14"/>
  <c r="T94" i="14"/>
  <c r="P96" i="14"/>
  <c r="T97" i="14"/>
  <c r="P99" i="14"/>
  <c r="T100" i="14"/>
  <c r="P102" i="14"/>
  <c r="T103" i="14"/>
  <c r="P105" i="14"/>
  <c r="T106" i="14"/>
  <c r="P108" i="14"/>
  <c r="T109" i="14"/>
  <c r="P111" i="14"/>
  <c r="T112" i="14"/>
  <c r="L7" i="14"/>
  <c r="L13" i="14"/>
  <c r="L19" i="14"/>
  <c r="L25" i="14"/>
  <c r="L31" i="14"/>
  <c r="L37" i="14"/>
  <c r="L49" i="14"/>
  <c r="L55" i="14"/>
  <c r="L61" i="14"/>
  <c r="U4" i="14"/>
  <c r="Q6" i="14"/>
  <c r="U7" i="14"/>
  <c r="Q9" i="14"/>
  <c r="U10" i="14"/>
  <c r="Q12" i="14"/>
  <c r="U13" i="14"/>
  <c r="Q15" i="14"/>
  <c r="U16" i="14"/>
  <c r="Q18" i="14"/>
  <c r="U19" i="14"/>
  <c r="Q21" i="14"/>
  <c r="U22" i="14"/>
  <c r="Q24" i="14"/>
  <c r="U25" i="14"/>
  <c r="Q27" i="14"/>
  <c r="U28" i="14"/>
  <c r="Q30" i="14"/>
  <c r="U31" i="14"/>
  <c r="Q33" i="14"/>
  <c r="U34" i="14"/>
  <c r="Q36" i="14"/>
  <c r="U37" i="14"/>
  <c r="Q39" i="14"/>
  <c r="U40" i="14"/>
  <c r="Q42" i="14"/>
  <c r="U43" i="14"/>
  <c r="Q45" i="14"/>
  <c r="U46" i="14"/>
  <c r="Q48" i="14"/>
  <c r="U49" i="14"/>
  <c r="Q51" i="14"/>
  <c r="U52" i="14"/>
  <c r="Q54" i="14"/>
  <c r="U55" i="14"/>
  <c r="Q57" i="14"/>
  <c r="U58" i="14"/>
  <c r="Q60" i="14"/>
  <c r="U61" i="14"/>
  <c r="Q63" i="14"/>
  <c r="U64" i="14"/>
  <c r="Q66" i="14"/>
  <c r="U67" i="14"/>
  <c r="Q69" i="14"/>
  <c r="U70" i="14"/>
  <c r="Q72" i="14"/>
  <c r="U73" i="14"/>
  <c r="Q75" i="14"/>
  <c r="U76" i="14"/>
  <c r="Q78" i="14"/>
  <c r="U79" i="14"/>
  <c r="Q81" i="14"/>
  <c r="U82" i="14"/>
  <c r="Q84" i="14"/>
  <c r="U85" i="14"/>
  <c r="Q87" i="14"/>
  <c r="U88" i="14"/>
  <c r="Q90" i="14"/>
  <c r="U91" i="14"/>
  <c r="Q93" i="14"/>
  <c r="U94" i="14"/>
  <c r="Q96" i="14"/>
  <c r="U97" i="14"/>
  <c r="Q99" i="14"/>
  <c r="U100" i="14"/>
  <c r="Q102" i="14"/>
  <c r="U103" i="14"/>
  <c r="Q105" i="14"/>
  <c r="U106" i="14"/>
  <c r="Q108" i="14"/>
  <c r="U109" i="14"/>
  <c r="Q111" i="14"/>
  <c r="U112" i="14"/>
  <c r="M7" i="14"/>
  <c r="M13" i="14"/>
  <c r="M25" i="14"/>
  <c r="M31" i="14"/>
  <c r="M37" i="14"/>
  <c r="M43" i="14"/>
  <c r="M49" i="14"/>
  <c r="M55" i="14"/>
  <c r="M61" i="14"/>
  <c r="N5" i="14"/>
  <c r="R6" i="14"/>
  <c r="N8" i="14"/>
  <c r="R9" i="14"/>
  <c r="N11" i="14"/>
  <c r="R12" i="14"/>
  <c r="N14" i="14"/>
  <c r="R15" i="14"/>
  <c r="N17" i="14"/>
  <c r="R18" i="14"/>
  <c r="N20" i="14"/>
  <c r="R21" i="14"/>
  <c r="N23" i="14"/>
  <c r="R24" i="14"/>
  <c r="N26" i="14"/>
  <c r="R27" i="14"/>
  <c r="N29" i="14"/>
  <c r="R30" i="14"/>
  <c r="N32" i="14"/>
  <c r="R33" i="14"/>
  <c r="N35" i="14"/>
  <c r="R36" i="14"/>
  <c r="N38" i="14"/>
  <c r="R39" i="14"/>
  <c r="N41" i="14"/>
  <c r="R42" i="14"/>
  <c r="N44" i="14"/>
  <c r="R45" i="14"/>
  <c r="N47" i="14"/>
  <c r="R48" i="14"/>
  <c r="N50" i="14"/>
  <c r="R51" i="14"/>
  <c r="N53" i="14"/>
  <c r="R54" i="14"/>
  <c r="N56" i="14"/>
  <c r="R57" i="14"/>
  <c r="N59" i="14"/>
  <c r="R60" i="14"/>
  <c r="N62" i="14"/>
  <c r="R63" i="14"/>
  <c r="N65" i="14"/>
  <c r="R66" i="14"/>
  <c r="N68" i="14"/>
  <c r="R69" i="14"/>
  <c r="O5" i="14"/>
  <c r="S6" i="14"/>
  <c r="O8" i="14"/>
  <c r="S9" i="14"/>
  <c r="O11" i="14"/>
  <c r="S12" i="14"/>
  <c r="O14" i="14"/>
  <c r="S15" i="14"/>
  <c r="O17" i="14"/>
  <c r="S18" i="14"/>
  <c r="O20" i="14"/>
  <c r="S21" i="14"/>
  <c r="O23" i="14"/>
  <c r="S24" i="14"/>
  <c r="O26" i="14"/>
  <c r="S27" i="14"/>
  <c r="O29" i="14"/>
  <c r="S30" i="14"/>
  <c r="O32" i="14"/>
  <c r="S33" i="14"/>
  <c r="O35" i="14"/>
  <c r="S36" i="14"/>
  <c r="O38" i="14"/>
  <c r="S39" i="14"/>
  <c r="O41" i="14"/>
  <c r="S42" i="14"/>
  <c r="O44" i="14"/>
  <c r="S45" i="14"/>
  <c r="P5" i="14"/>
  <c r="P14" i="14"/>
  <c r="P23" i="14"/>
  <c r="P32" i="14"/>
  <c r="P41" i="14"/>
  <c r="T48" i="14"/>
  <c r="T54" i="14"/>
  <c r="T60" i="14"/>
  <c r="T66" i="14"/>
  <c r="R72" i="14"/>
  <c r="N77" i="14"/>
  <c r="R81" i="14"/>
  <c r="T84" i="14"/>
  <c r="R88" i="14"/>
  <c r="O92" i="14"/>
  <c r="Q95" i="14"/>
  <c r="R99" i="14"/>
  <c r="T102" i="14"/>
  <c r="R106" i="14"/>
  <c r="O110" i="14"/>
  <c r="Q113" i="14"/>
  <c r="L14" i="14"/>
  <c r="L27" i="14"/>
  <c r="L42" i="14"/>
  <c r="M56" i="14"/>
  <c r="L68" i="14"/>
  <c r="L74" i="14"/>
  <c r="L80" i="14"/>
  <c r="L86" i="14"/>
  <c r="L92" i="14"/>
  <c r="L98" i="14"/>
  <c r="L104" i="14"/>
  <c r="L110" i="14"/>
  <c r="J5" i="14"/>
  <c r="J11" i="14"/>
  <c r="J17" i="14"/>
  <c r="J23" i="14"/>
  <c r="J35" i="14"/>
  <c r="J41" i="14"/>
  <c r="J47" i="14"/>
  <c r="J53" i="14"/>
  <c r="J59" i="14"/>
  <c r="J65" i="14"/>
  <c r="J71" i="14"/>
  <c r="J77" i="14"/>
  <c r="J83" i="14"/>
  <c r="J89" i="14"/>
  <c r="J95" i="14"/>
  <c r="J101" i="14"/>
  <c r="J107" i="14"/>
  <c r="J113" i="14"/>
  <c r="H8" i="14"/>
  <c r="H14" i="14"/>
  <c r="H20" i="14"/>
  <c r="H26" i="14"/>
  <c r="H32" i="14"/>
  <c r="H38" i="14"/>
  <c r="H50" i="14"/>
  <c r="H56" i="14"/>
  <c r="H62" i="14"/>
  <c r="H68" i="14"/>
  <c r="H74" i="14"/>
  <c r="H80" i="14"/>
  <c r="H86" i="14"/>
  <c r="H98" i="14"/>
  <c r="H104" i="14"/>
  <c r="H110" i="14"/>
  <c r="G6" i="14"/>
  <c r="G18" i="14"/>
  <c r="G30" i="14"/>
  <c r="G42" i="14"/>
  <c r="G54" i="14"/>
  <c r="G66" i="14"/>
  <c r="G78" i="14"/>
  <c r="G90" i="14"/>
  <c r="G102" i="14"/>
  <c r="F15" i="14"/>
  <c r="F27" i="14"/>
  <c r="F39" i="14"/>
  <c r="Q5" i="14"/>
  <c r="Q14" i="14"/>
  <c r="Q23" i="14"/>
  <c r="Q32" i="14"/>
  <c r="Q41" i="14"/>
  <c r="U48" i="14"/>
  <c r="U54" i="14"/>
  <c r="U60" i="14"/>
  <c r="U66" i="14"/>
  <c r="S72" i="14"/>
  <c r="O77" i="14"/>
  <c r="S81" i="14"/>
  <c r="U84" i="14"/>
  <c r="N89" i="14"/>
  <c r="P92" i="14"/>
  <c r="N96" i="14"/>
  <c r="S99" i="14"/>
  <c r="U102" i="14"/>
  <c r="N107" i="14"/>
  <c r="P110" i="14"/>
  <c r="M14" i="14"/>
  <c r="M27" i="14"/>
  <c r="L44" i="14"/>
  <c r="L57" i="14"/>
  <c r="M68" i="14"/>
  <c r="M74" i="14"/>
  <c r="M80" i="14"/>
  <c r="M86" i="14"/>
  <c r="M92" i="14"/>
  <c r="M98" i="14"/>
  <c r="M104" i="14"/>
  <c r="M110" i="14"/>
  <c r="K5" i="14"/>
  <c r="K11" i="14"/>
  <c r="K17" i="14"/>
  <c r="K23" i="14"/>
  <c r="K29" i="14"/>
  <c r="K35" i="14"/>
  <c r="K41" i="14"/>
  <c r="K47" i="14"/>
  <c r="K53" i="14"/>
  <c r="K59" i="14"/>
  <c r="K65" i="14"/>
  <c r="K71" i="14"/>
  <c r="K77" i="14"/>
  <c r="K83" i="14"/>
  <c r="K89" i="14"/>
  <c r="K95" i="14"/>
  <c r="K101" i="14"/>
  <c r="K107" i="14"/>
  <c r="K113" i="14"/>
  <c r="I8" i="14"/>
  <c r="I14" i="14"/>
  <c r="I20" i="14"/>
  <c r="I26" i="14"/>
  <c r="I32" i="14"/>
  <c r="I38" i="14"/>
  <c r="I44" i="14"/>
  <c r="I50" i="14"/>
  <c r="I62" i="14"/>
  <c r="I68" i="14"/>
  <c r="I74" i="14"/>
  <c r="I80" i="14"/>
  <c r="I86" i="14"/>
  <c r="I92" i="14"/>
  <c r="I98" i="14"/>
  <c r="I104" i="14"/>
  <c r="I110" i="14"/>
  <c r="G7" i="14"/>
  <c r="G19" i="14"/>
  <c r="G31" i="14"/>
  <c r="G43" i="14"/>
  <c r="G55" i="14"/>
  <c r="G67" i="14"/>
  <c r="T6" i="14"/>
  <c r="T15" i="14"/>
  <c r="T24" i="14"/>
  <c r="T33" i="14"/>
  <c r="T42" i="14"/>
  <c r="O50" i="14"/>
  <c r="O56" i="14"/>
  <c r="O62" i="14"/>
  <c r="O68" i="14"/>
  <c r="T72" i="14"/>
  <c r="P77" i="14"/>
  <c r="T81" i="14"/>
  <c r="R85" i="14"/>
  <c r="O89" i="14"/>
  <c r="Q92" i="14"/>
  <c r="R96" i="14"/>
  <c r="T99" i="14"/>
  <c r="R103" i="14"/>
  <c r="O107" i="14"/>
  <c r="Q110" i="14"/>
  <c r="L15" i="14"/>
  <c r="L30" i="14"/>
  <c r="M44" i="14"/>
  <c r="M57" i="14"/>
  <c r="L69" i="14"/>
  <c r="L75" i="14"/>
  <c r="L81" i="14"/>
  <c r="L87" i="14"/>
  <c r="L93" i="14"/>
  <c r="L99" i="14"/>
  <c r="L105" i="14"/>
  <c r="L111" i="14"/>
  <c r="J6" i="14"/>
  <c r="J12" i="14"/>
  <c r="J18" i="14"/>
  <c r="J24" i="14"/>
  <c r="J30" i="14"/>
  <c r="J36" i="14"/>
  <c r="J42" i="14"/>
  <c r="J48" i="14"/>
  <c r="J54" i="14"/>
  <c r="J60" i="14"/>
  <c r="J66" i="14"/>
  <c r="J72" i="14"/>
  <c r="J78" i="14"/>
  <c r="J84" i="14"/>
  <c r="J90" i="14"/>
  <c r="J96" i="14"/>
  <c r="J102" i="14"/>
  <c r="J108" i="14"/>
  <c r="H9" i="14"/>
  <c r="H21" i="14"/>
  <c r="H27" i="14"/>
  <c r="H33" i="14"/>
  <c r="H39" i="14"/>
  <c r="H45" i="14"/>
  <c r="H51" i="14"/>
  <c r="H57" i="14"/>
  <c r="H63" i="14"/>
  <c r="H69" i="14"/>
  <c r="U6" i="14"/>
  <c r="U15" i="14"/>
  <c r="U24" i="14"/>
  <c r="U33" i="14"/>
  <c r="U42" i="14"/>
  <c r="P50" i="14"/>
  <c r="P56" i="14"/>
  <c r="P62" i="14"/>
  <c r="P68" i="14"/>
  <c r="U72" i="14"/>
  <c r="Q77" i="14"/>
  <c r="U81" i="14"/>
  <c r="N86" i="14"/>
  <c r="P89" i="14"/>
  <c r="N93" i="14"/>
  <c r="S96" i="14"/>
  <c r="U99" i="14"/>
  <c r="N104" i="14"/>
  <c r="P107" i="14"/>
  <c r="N111" i="14"/>
  <c r="M15" i="14"/>
  <c r="L32" i="14"/>
  <c r="L45" i="14"/>
  <c r="L60" i="14"/>
  <c r="M69" i="14"/>
  <c r="M75" i="14"/>
  <c r="M81" i="14"/>
  <c r="M87" i="14"/>
  <c r="M99" i="14"/>
  <c r="M105" i="14"/>
  <c r="M111" i="14"/>
  <c r="K6" i="14"/>
  <c r="K12" i="14"/>
  <c r="K18" i="14"/>
  <c r="K24" i="14"/>
  <c r="K30" i="14"/>
  <c r="K36" i="14"/>
  <c r="K42" i="14"/>
  <c r="K48" i="14"/>
  <c r="K54" i="14"/>
  <c r="K60" i="14"/>
  <c r="K66" i="14"/>
  <c r="K72" i="14"/>
  <c r="K78" i="14"/>
  <c r="K84" i="14"/>
  <c r="K90" i="14"/>
  <c r="K96" i="14"/>
  <c r="K102" i="14"/>
  <c r="K108" i="14"/>
  <c r="I9" i="14"/>
  <c r="I15" i="14"/>
  <c r="I21" i="14"/>
  <c r="I27" i="14"/>
  <c r="I33" i="14"/>
  <c r="I39" i="14"/>
  <c r="P8" i="14"/>
  <c r="P17" i="14"/>
  <c r="P26" i="14"/>
  <c r="P35" i="14"/>
  <c r="P44" i="14"/>
  <c r="Q50" i="14"/>
  <c r="Q56" i="14"/>
  <c r="Q62" i="14"/>
  <c r="Q68" i="14"/>
  <c r="N74" i="14"/>
  <c r="R78" i="14"/>
  <c r="R82" i="14"/>
  <c r="O86" i="14"/>
  <c r="Q89" i="14"/>
  <c r="R93" i="14"/>
  <c r="T96" i="14"/>
  <c r="R100" i="14"/>
  <c r="O104" i="14"/>
  <c r="Q107" i="14"/>
  <c r="R111" i="14"/>
  <c r="L18" i="14"/>
  <c r="M32" i="14"/>
  <c r="M45" i="14"/>
  <c r="L62" i="14"/>
  <c r="L70" i="14"/>
  <c r="L76" i="14"/>
  <c r="L82" i="14"/>
  <c r="L88" i="14"/>
  <c r="L94" i="14"/>
  <c r="L100" i="14"/>
  <c r="L106" i="14"/>
  <c r="L112" i="14"/>
  <c r="J7" i="14"/>
  <c r="J13" i="14"/>
  <c r="J19" i="14"/>
  <c r="J25" i="14"/>
  <c r="J31" i="14"/>
  <c r="J37" i="14"/>
  <c r="J43" i="14"/>
  <c r="J49" i="14"/>
  <c r="J55" i="14"/>
  <c r="J61" i="14"/>
  <c r="J67" i="14"/>
  <c r="J73" i="14"/>
  <c r="J79" i="14"/>
  <c r="J91" i="14"/>
  <c r="J97" i="14"/>
  <c r="J103" i="14"/>
  <c r="J109" i="14"/>
  <c r="H4" i="14"/>
  <c r="H10" i="14"/>
  <c r="H16" i="14"/>
  <c r="H22" i="14"/>
  <c r="Q8" i="14"/>
  <c r="Q17" i="14"/>
  <c r="Q26" i="14"/>
  <c r="Q35" i="14"/>
  <c r="Q44" i="14"/>
  <c r="S51" i="14"/>
  <c r="S57" i="14"/>
  <c r="S63" i="14"/>
  <c r="S69" i="14"/>
  <c r="O74" i="14"/>
  <c r="S78" i="14"/>
  <c r="N83" i="14"/>
  <c r="P86" i="14"/>
  <c r="N90" i="14"/>
  <c r="S93" i="14"/>
  <c r="U96" i="14"/>
  <c r="N101" i="14"/>
  <c r="P104" i="14"/>
  <c r="N108" i="14"/>
  <c r="S111" i="14"/>
  <c r="L20" i="14"/>
  <c r="L33" i="14"/>
  <c r="L48" i="14"/>
  <c r="M62" i="14"/>
  <c r="M70" i="14"/>
  <c r="M76" i="14"/>
  <c r="M82" i="14"/>
  <c r="M88" i="14"/>
  <c r="M100" i="14"/>
  <c r="M106" i="14"/>
  <c r="M112" i="14"/>
  <c r="K7" i="14"/>
  <c r="K13" i="14"/>
  <c r="K19" i="14"/>
  <c r="K25" i="14"/>
  <c r="K31" i="14"/>
  <c r="K37" i="14"/>
  <c r="K43" i="14"/>
  <c r="K49" i="14"/>
  <c r="K55" i="14"/>
  <c r="K61" i="14"/>
  <c r="K67" i="14"/>
  <c r="K73" i="14"/>
  <c r="K79" i="14"/>
  <c r="K85" i="14"/>
  <c r="K91" i="14"/>
  <c r="K97" i="14"/>
  <c r="K103" i="14"/>
  <c r="K109" i="14"/>
  <c r="I4" i="14"/>
  <c r="I10" i="14"/>
  <c r="I16" i="14"/>
  <c r="I22" i="14"/>
  <c r="I28" i="14"/>
  <c r="I34" i="14"/>
  <c r="I40" i="14"/>
  <c r="I46" i="14"/>
  <c r="I52" i="14"/>
  <c r="I58" i="14"/>
  <c r="I64" i="14"/>
  <c r="I70" i="14"/>
  <c r="T9" i="14"/>
  <c r="T18" i="14"/>
  <c r="T27" i="14"/>
  <c r="T36" i="14"/>
  <c r="T45" i="14"/>
  <c r="T51" i="14"/>
  <c r="T57" i="14"/>
  <c r="T63" i="14"/>
  <c r="T69" i="14"/>
  <c r="P74" i="14"/>
  <c r="T78" i="14"/>
  <c r="O83" i="14"/>
  <c r="Q86" i="14"/>
  <c r="R90" i="14"/>
  <c r="T93" i="14"/>
  <c r="R97" i="14"/>
  <c r="O101" i="14"/>
  <c r="Q104" i="14"/>
  <c r="R108" i="14"/>
  <c r="T111" i="14"/>
  <c r="L6" i="14"/>
  <c r="M20" i="14"/>
  <c r="M33" i="14"/>
  <c r="L50" i="14"/>
  <c r="L63" i="14"/>
  <c r="L71" i="14"/>
  <c r="L77" i="14"/>
  <c r="L83" i="14"/>
  <c r="L89" i="14"/>
  <c r="L95" i="14"/>
  <c r="L101" i="14"/>
  <c r="L113" i="14"/>
  <c r="J8" i="14"/>
  <c r="J14" i="14"/>
  <c r="J20" i="14"/>
  <c r="J26" i="14"/>
  <c r="J32" i="14"/>
  <c r="J38" i="14"/>
  <c r="J44" i="14"/>
  <c r="J50" i="14"/>
  <c r="J56" i="14"/>
  <c r="J62" i="14"/>
  <c r="J68" i="14"/>
  <c r="J74" i="14"/>
  <c r="J80" i="14"/>
  <c r="J86" i="14"/>
  <c r="J92" i="14"/>
  <c r="J98" i="14"/>
  <c r="J104" i="14"/>
  <c r="J110" i="14"/>
  <c r="H5" i="14"/>
  <c r="H11" i="14"/>
  <c r="H17" i="14"/>
  <c r="H23" i="14"/>
  <c r="H29" i="14"/>
  <c r="H35" i="14"/>
  <c r="H41" i="14"/>
  <c r="H47" i="14"/>
  <c r="H53" i="14"/>
  <c r="H59" i="14"/>
  <c r="H65" i="14"/>
  <c r="H71" i="14"/>
  <c r="H77" i="14"/>
  <c r="H83" i="14"/>
  <c r="H89" i="14"/>
  <c r="H95" i="14"/>
  <c r="H101" i="14"/>
  <c r="H107" i="14"/>
  <c r="H113" i="14"/>
  <c r="G12" i="14"/>
  <c r="G24" i="14"/>
  <c r="G36" i="14"/>
  <c r="G48" i="14"/>
  <c r="G60" i="14"/>
  <c r="G72" i="14"/>
  <c r="G84" i="14"/>
  <c r="G96" i="14"/>
  <c r="G108" i="14"/>
  <c r="F9" i="14"/>
  <c r="F21" i="14"/>
  <c r="F33" i="14"/>
  <c r="F45" i="14"/>
  <c r="F57" i="14"/>
  <c r="F69" i="14"/>
  <c r="U9" i="14"/>
  <c r="U18" i="14"/>
  <c r="U27" i="14"/>
  <c r="U36" i="14"/>
  <c r="U45" i="14"/>
  <c r="U51" i="14"/>
  <c r="U57" i="14"/>
  <c r="U63" i="14"/>
  <c r="U69" i="14"/>
  <c r="Q74" i="14"/>
  <c r="U78" i="14"/>
  <c r="P83" i="14"/>
  <c r="N87" i="14"/>
  <c r="S90" i="14"/>
  <c r="U93" i="14"/>
  <c r="N98" i="14"/>
  <c r="P101" i="14"/>
  <c r="N105" i="14"/>
  <c r="S108" i="14"/>
  <c r="U111" i="14"/>
  <c r="L8" i="14"/>
  <c r="L21" i="14"/>
  <c r="L36" i="14"/>
  <c r="M50" i="14"/>
  <c r="M63" i="14"/>
  <c r="M71" i="14"/>
  <c r="M77" i="14"/>
  <c r="M83" i="14"/>
  <c r="M89" i="14"/>
  <c r="M95" i="14"/>
  <c r="M101" i="14"/>
  <c r="M107" i="14"/>
  <c r="M113" i="14"/>
  <c r="K8" i="14"/>
  <c r="K14" i="14"/>
  <c r="K20" i="14"/>
  <c r="K26" i="14"/>
  <c r="K32" i="14"/>
  <c r="K38" i="14"/>
  <c r="K44" i="14"/>
  <c r="K50" i="14"/>
  <c r="K56" i="14"/>
  <c r="K62" i="14"/>
  <c r="K68" i="14"/>
  <c r="K74" i="14"/>
  <c r="K80" i="14"/>
  <c r="K86" i="14"/>
  <c r="K92" i="14"/>
  <c r="K98" i="14"/>
  <c r="K104" i="14"/>
  <c r="K110" i="14"/>
  <c r="I5" i="14"/>
  <c r="I11" i="14"/>
  <c r="I17" i="14"/>
  <c r="I23" i="14"/>
  <c r="I29" i="14"/>
  <c r="I35" i="14"/>
  <c r="I41" i="14"/>
  <c r="I47" i="14"/>
  <c r="I53" i="14"/>
  <c r="I59" i="14"/>
  <c r="I65" i="14"/>
  <c r="I71" i="14"/>
  <c r="I77" i="14"/>
  <c r="I83" i="14"/>
  <c r="I89" i="14"/>
  <c r="I95" i="14"/>
  <c r="I101" i="14"/>
  <c r="I107" i="14"/>
  <c r="I113" i="14"/>
  <c r="G13" i="14"/>
  <c r="G25" i="14"/>
  <c r="G37" i="14"/>
  <c r="G49" i="14"/>
  <c r="G61" i="14"/>
  <c r="G73" i="14"/>
  <c r="P11" i="14"/>
  <c r="P20" i="14"/>
  <c r="P29" i="14"/>
  <c r="P38" i="14"/>
  <c r="O47" i="14"/>
  <c r="O53" i="14"/>
  <c r="O59" i="14"/>
  <c r="O65" i="14"/>
  <c r="N71" i="14"/>
  <c r="R75" i="14"/>
  <c r="N80" i="14"/>
  <c r="Q83" i="14"/>
  <c r="R87" i="14"/>
  <c r="T90" i="14"/>
  <c r="R94" i="14"/>
  <c r="O98" i="14"/>
  <c r="Q101" i="14"/>
  <c r="R105" i="14"/>
  <c r="T108" i="14"/>
  <c r="R112" i="14"/>
  <c r="M8" i="14"/>
  <c r="M21" i="14"/>
  <c r="L38" i="14"/>
  <c r="L51" i="14"/>
  <c r="L64" i="14"/>
  <c r="L72" i="14"/>
  <c r="L78" i="14"/>
  <c r="L84" i="14"/>
  <c r="L90" i="14"/>
  <c r="L96" i="14"/>
  <c r="L102" i="14"/>
  <c r="L108" i="14"/>
  <c r="J9" i="14"/>
  <c r="J15" i="14"/>
  <c r="J27" i="14"/>
  <c r="J33" i="14"/>
  <c r="J39" i="14"/>
  <c r="J45" i="14"/>
  <c r="J51" i="14"/>
  <c r="J57" i="14"/>
  <c r="J63" i="14"/>
  <c r="J69" i="14"/>
  <c r="J75" i="14"/>
  <c r="J81" i="14"/>
  <c r="J87" i="14"/>
  <c r="J93" i="14"/>
  <c r="J99" i="14"/>
  <c r="J105" i="14"/>
  <c r="J111" i="14"/>
  <c r="H6" i="14"/>
  <c r="H12" i="14"/>
  <c r="H18" i="14"/>
  <c r="H24" i="14"/>
  <c r="H30" i="14"/>
  <c r="H36" i="14"/>
  <c r="H42" i="14"/>
  <c r="H48" i="14"/>
  <c r="H54" i="14"/>
  <c r="H60" i="14"/>
  <c r="H66" i="14"/>
  <c r="H72" i="14"/>
  <c r="Q11" i="14"/>
  <c r="Q20" i="14"/>
  <c r="Q29" i="14"/>
  <c r="Q38" i="14"/>
  <c r="P47" i="14"/>
  <c r="P53" i="14"/>
  <c r="P59" i="14"/>
  <c r="P65" i="14"/>
  <c r="O71" i="14"/>
  <c r="S75" i="14"/>
  <c r="O80" i="14"/>
  <c r="N84" i="14"/>
  <c r="S87" i="14"/>
  <c r="U90" i="14"/>
  <c r="N95" i="14"/>
  <c r="P98" i="14"/>
  <c r="N102" i="14"/>
  <c r="S105" i="14"/>
  <c r="U108" i="14"/>
  <c r="N113" i="14"/>
  <c r="L9" i="14"/>
  <c r="L24" i="14"/>
  <c r="M38" i="14"/>
  <c r="M51" i="14"/>
  <c r="L66" i="14"/>
  <c r="M72" i="14"/>
  <c r="M78" i="14"/>
  <c r="M84" i="14"/>
  <c r="M90" i="14"/>
  <c r="M96" i="14"/>
  <c r="M102" i="14"/>
  <c r="M108" i="14"/>
  <c r="K9" i="14"/>
  <c r="K15" i="14"/>
  <c r="K21" i="14"/>
  <c r="K27" i="14"/>
  <c r="K33" i="14"/>
  <c r="K39" i="14"/>
  <c r="K45" i="14"/>
  <c r="K57" i="14"/>
  <c r="K63" i="14"/>
  <c r="K69" i="14"/>
  <c r="K75" i="14"/>
  <c r="K81" i="14"/>
  <c r="K87" i="14"/>
  <c r="K93" i="14"/>
  <c r="K99" i="14"/>
  <c r="K105" i="14"/>
  <c r="K111" i="14"/>
  <c r="I6" i="14"/>
  <c r="I12" i="14"/>
  <c r="I18" i="14"/>
  <c r="I24" i="14"/>
  <c r="I30" i="14"/>
  <c r="I36" i="14"/>
  <c r="T12" i="14"/>
  <c r="Q59" i="14"/>
  <c r="T87" i="14"/>
  <c r="R109" i="14"/>
  <c r="L67" i="14"/>
  <c r="L103" i="14"/>
  <c r="J28" i="14"/>
  <c r="J64" i="14"/>
  <c r="J100" i="14"/>
  <c r="H25" i="14"/>
  <c r="I45" i="14"/>
  <c r="I60" i="14"/>
  <c r="I73" i="14"/>
  <c r="I82" i="14"/>
  <c r="I91" i="14"/>
  <c r="I100" i="14"/>
  <c r="I109" i="14"/>
  <c r="G11" i="14"/>
  <c r="G29" i="14"/>
  <c r="G47" i="14"/>
  <c r="G65" i="14"/>
  <c r="G82" i="14"/>
  <c r="G97" i="14"/>
  <c r="G111" i="14"/>
  <c r="F14" i="14"/>
  <c r="F29" i="14"/>
  <c r="F43" i="14"/>
  <c r="F56" i="14"/>
  <c r="F70" i="14"/>
  <c r="F94" i="14"/>
  <c r="F106" i="14"/>
  <c r="E5" i="14"/>
  <c r="E11" i="14"/>
  <c r="E17" i="14"/>
  <c r="E23" i="14"/>
  <c r="E29" i="14"/>
  <c r="E35" i="14"/>
  <c r="E41" i="14"/>
  <c r="E47" i="14"/>
  <c r="E53" i="14"/>
  <c r="E59" i="14"/>
  <c r="E65" i="14"/>
  <c r="E71" i="14"/>
  <c r="E77" i="14"/>
  <c r="E83" i="14"/>
  <c r="E89" i="14"/>
  <c r="E95" i="14"/>
  <c r="E101" i="14"/>
  <c r="E107" i="14"/>
  <c r="E113" i="14"/>
  <c r="C13" i="14"/>
  <c r="C25" i="14"/>
  <c r="C37" i="14"/>
  <c r="C49" i="14"/>
  <c r="C61" i="14"/>
  <c r="C73" i="14"/>
  <c r="C85" i="14"/>
  <c r="C97" i="14"/>
  <c r="C109" i="14"/>
  <c r="B10" i="14"/>
  <c r="B22" i="14"/>
  <c r="B34" i="14"/>
  <c r="B46" i="14"/>
  <c r="B58" i="14"/>
  <c r="B70" i="14"/>
  <c r="B82" i="14"/>
  <c r="B94" i="14"/>
  <c r="B106" i="14"/>
  <c r="U12" i="14"/>
  <c r="S60" i="14"/>
  <c r="U87" i="14"/>
  <c r="N110" i="14"/>
  <c r="M67" i="14"/>
  <c r="M103" i="14"/>
  <c r="K28" i="14"/>
  <c r="K64" i="14"/>
  <c r="K100" i="14"/>
  <c r="I25" i="14"/>
  <c r="H46" i="14"/>
  <c r="H61" i="14"/>
  <c r="H75" i="14"/>
  <c r="H84" i="14"/>
  <c r="H93" i="14"/>
  <c r="H102" i="14"/>
  <c r="H111" i="14"/>
  <c r="G14" i="14"/>
  <c r="G32" i="14"/>
  <c r="G50" i="14"/>
  <c r="G68" i="14"/>
  <c r="G83" i="14"/>
  <c r="G98" i="14"/>
  <c r="G112" i="14"/>
  <c r="F16" i="14"/>
  <c r="F30" i="14"/>
  <c r="F44" i="14"/>
  <c r="F58" i="14"/>
  <c r="F71" i="14"/>
  <c r="F83" i="14"/>
  <c r="F95" i="14"/>
  <c r="F107" i="14"/>
  <c r="D6" i="14"/>
  <c r="D12" i="14"/>
  <c r="D18" i="14"/>
  <c r="D24" i="14"/>
  <c r="D30" i="14"/>
  <c r="D36" i="14"/>
  <c r="D42" i="14"/>
  <c r="D48" i="14"/>
  <c r="D54" i="14"/>
  <c r="D60" i="14"/>
  <c r="D66" i="14"/>
  <c r="D72" i="14"/>
  <c r="D78" i="14"/>
  <c r="D84" i="14"/>
  <c r="D90" i="14"/>
  <c r="D96" i="14"/>
  <c r="D102" i="14"/>
  <c r="D108" i="14"/>
  <c r="C14" i="14"/>
  <c r="C26" i="14"/>
  <c r="C38" i="14"/>
  <c r="C50" i="14"/>
  <c r="C62" i="14"/>
  <c r="C74" i="14"/>
  <c r="C86" i="14"/>
  <c r="C98" i="14"/>
  <c r="C110" i="14"/>
  <c r="B11" i="14"/>
  <c r="B23" i="14"/>
  <c r="B35" i="14"/>
  <c r="B47" i="14"/>
  <c r="B59" i="14"/>
  <c r="B71" i="14"/>
  <c r="B83" i="14"/>
  <c r="B95" i="14"/>
  <c r="B107" i="14"/>
  <c r="T21" i="14"/>
  <c r="Q65" i="14"/>
  <c r="R91" i="14"/>
  <c r="O113" i="14"/>
  <c r="L73" i="14"/>
  <c r="L109" i="14"/>
  <c r="J34" i="14"/>
  <c r="J70" i="14"/>
  <c r="J106" i="14"/>
  <c r="H28" i="14"/>
  <c r="I48" i="14"/>
  <c r="I61" i="14"/>
  <c r="I75" i="14"/>
  <c r="I84" i="14"/>
  <c r="I93" i="14"/>
  <c r="I102" i="14"/>
  <c r="I111" i="14"/>
  <c r="G15" i="14"/>
  <c r="G33" i="14"/>
  <c r="G51" i="14"/>
  <c r="G69" i="14"/>
  <c r="G85" i="14"/>
  <c r="G99" i="14"/>
  <c r="G113" i="14"/>
  <c r="F17" i="14"/>
  <c r="F31" i="14"/>
  <c r="F46" i="14"/>
  <c r="F59" i="14"/>
  <c r="F72" i="14"/>
  <c r="F84" i="14"/>
  <c r="F96" i="14"/>
  <c r="F108" i="14"/>
  <c r="E6" i="14"/>
  <c r="E12" i="14"/>
  <c r="E18" i="14"/>
  <c r="E24" i="14"/>
  <c r="E30" i="14"/>
  <c r="E36" i="14"/>
  <c r="E42" i="14"/>
  <c r="E48" i="14"/>
  <c r="E54" i="14"/>
  <c r="E60" i="14"/>
  <c r="E66" i="14"/>
  <c r="E72" i="14"/>
  <c r="E78" i="14"/>
  <c r="E84" i="14"/>
  <c r="E90" i="14"/>
  <c r="E96" i="14"/>
  <c r="E102" i="14"/>
  <c r="E108" i="14"/>
  <c r="C15" i="14"/>
  <c r="C27" i="14"/>
  <c r="C39" i="14"/>
  <c r="C51" i="14"/>
  <c r="C63" i="14"/>
  <c r="C75" i="14"/>
  <c r="C87" i="14"/>
  <c r="C99" i="14"/>
  <c r="C111" i="14"/>
  <c r="B12" i="14"/>
  <c r="B24" i="14"/>
  <c r="B36" i="14"/>
  <c r="B48" i="14"/>
  <c r="B60" i="14"/>
  <c r="B72" i="14"/>
  <c r="B84" i="14"/>
  <c r="B96" i="14"/>
  <c r="U21" i="14"/>
  <c r="S66" i="14"/>
  <c r="N92" i="14"/>
  <c r="P113" i="14"/>
  <c r="M73" i="14"/>
  <c r="M109" i="14"/>
  <c r="K34" i="14"/>
  <c r="K70" i="14"/>
  <c r="K106" i="14"/>
  <c r="H31" i="14"/>
  <c r="H49" i="14"/>
  <c r="I63" i="14"/>
  <c r="H76" i="14"/>
  <c r="H85" i="14"/>
  <c r="H94" i="14"/>
  <c r="H103" i="14"/>
  <c r="H112" i="14"/>
  <c r="G16" i="14"/>
  <c r="G34" i="14"/>
  <c r="G52" i="14"/>
  <c r="G70" i="14"/>
  <c r="G86" i="14"/>
  <c r="G100" i="14"/>
  <c r="F4" i="14"/>
  <c r="F18" i="14"/>
  <c r="F32" i="14"/>
  <c r="F47" i="14"/>
  <c r="F60" i="14"/>
  <c r="F73" i="14"/>
  <c r="F85" i="14"/>
  <c r="F97" i="14"/>
  <c r="F109" i="14"/>
  <c r="D7" i="14"/>
  <c r="D13" i="14"/>
  <c r="D19" i="14"/>
  <c r="D25" i="14"/>
  <c r="D31" i="14"/>
  <c r="D37" i="14"/>
  <c r="D43" i="14"/>
  <c r="D49" i="14"/>
  <c r="D55" i="14"/>
  <c r="D61" i="14"/>
  <c r="D67" i="14"/>
  <c r="D73" i="14"/>
  <c r="D79" i="14"/>
  <c r="D85" i="14"/>
  <c r="D91" i="14"/>
  <c r="D97" i="14"/>
  <c r="D103" i="14"/>
  <c r="D109" i="14"/>
  <c r="C4" i="14"/>
  <c r="C16" i="14"/>
  <c r="C28" i="14"/>
  <c r="C40" i="14"/>
  <c r="T30" i="14"/>
  <c r="P71" i="14"/>
  <c r="O95" i="14"/>
  <c r="M9" i="14"/>
  <c r="L79" i="14"/>
  <c r="J4" i="14"/>
  <c r="J40" i="14"/>
  <c r="J76" i="14"/>
  <c r="J112" i="14"/>
  <c r="I31" i="14"/>
  <c r="I49" i="14"/>
  <c r="H64" i="14"/>
  <c r="I76" i="14"/>
  <c r="I85" i="14"/>
  <c r="I94" i="14"/>
  <c r="I103" i="14"/>
  <c r="I112" i="14"/>
  <c r="G17" i="14"/>
  <c r="G35" i="14"/>
  <c r="G53" i="14"/>
  <c r="G71" i="14"/>
  <c r="G87" i="14"/>
  <c r="G101" i="14"/>
  <c r="F5" i="14"/>
  <c r="F19" i="14"/>
  <c r="F34" i="14"/>
  <c r="F48" i="14"/>
  <c r="F61" i="14"/>
  <c r="F74" i="14"/>
  <c r="F86" i="14"/>
  <c r="F98" i="14"/>
  <c r="F110" i="14"/>
  <c r="E7" i="14"/>
  <c r="E13" i="14"/>
  <c r="E19" i="14"/>
  <c r="E25" i="14"/>
  <c r="E31" i="14"/>
  <c r="E37" i="14"/>
  <c r="E43" i="14"/>
  <c r="E49" i="14"/>
  <c r="E55" i="14"/>
  <c r="E61" i="14"/>
  <c r="E67" i="14"/>
  <c r="E73" i="14"/>
  <c r="E79" i="14"/>
  <c r="E85" i="14"/>
  <c r="E91" i="14"/>
  <c r="E97" i="14"/>
  <c r="E103" i="14"/>
  <c r="E109" i="14"/>
  <c r="C5" i="14"/>
  <c r="C17" i="14"/>
  <c r="C29" i="14"/>
  <c r="C41" i="14"/>
  <c r="U30" i="14"/>
  <c r="Q71" i="14"/>
  <c r="P95" i="14"/>
  <c r="L12" i="14"/>
  <c r="M79" i="14"/>
  <c r="K4" i="14"/>
  <c r="K40" i="14"/>
  <c r="K76" i="14"/>
  <c r="K112" i="14"/>
  <c r="H34" i="14"/>
  <c r="I51" i="14"/>
  <c r="I66" i="14"/>
  <c r="H78" i="14"/>
  <c r="H87" i="14"/>
  <c r="H96" i="14"/>
  <c r="H105" i="14"/>
  <c r="G20" i="14"/>
  <c r="G38" i="14"/>
  <c r="G56" i="14"/>
  <c r="G74" i="14"/>
  <c r="G88" i="14"/>
  <c r="G103" i="14"/>
  <c r="F6" i="14"/>
  <c r="F20" i="14"/>
  <c r="F35" i="14"/>
  <c r="F49" i="14"/>
  <c r="F62" i="14"/>
  <c r="F75" i="14"/>
  <c r="F87" i="14"/>
  <c r="F99" i="14"/>
  <c r="F111" i="14"/>
  <c r="D8" i="14"/>
  <c r="D14" i="14"/>
  <c r="D20" i="14"/>
  <c r="D26" i="14"/>
  <c r="D32" i="14"/>
  <c r="D38" i="14"/>
  <c r="D44" i="14"/>
  <c r="D50" i="14"/>
  <c r="D56" i="14"/>
  <c r="D62" i="14"/>
  <c r="D68" i="14"/>
  <c r="D74" i="14"/>
  <c r="D80" i="14"/>
  <c r="D86" i="14"/>
  <c r="D92" i="14"/>
  <c r="D98" i="14"/>
  <c r="D104" i="14"/>
  <c r="D110" i="14"/>
  <c r="C6" i="14"/>
  <c r="C18" i="14"/>
  <c r="C30" i="14"/>
  <c r="C42" i="14"/>
  <c r="C54" i="14"/>
  <c r="C66" i="14"/>
  <c r="C78" i="14"/>
  <c r="C90" i="14"/>
  <c r="C102" i="14"/>
  <c r="B15" i="14"/>
  <c r="B27" i="14"/>
  <c r="B39" i="14"/>
  <c r="B51" i="14"/>
  <c r="T39" i="14"/>
  <c r="T75" i="14"/>
  <c r="Q98" i="14"/>
  <c r="L26" i="14"/>
  <c r="L85" i="14"/>
  <c r="J10" i="14"/>
  <c r="J46" i="14"/>
  <c r="J82" i="14"/>
  <c r="H7" i="14"/>
  <c r="H37" i="14"/>
  <c r="H52" i="14"/>
  <c r="H67" i="14"/>
  <c r="I78" i="14"/>
  <c r="I87" i="14"/>
  <c r="I96" i="14"/>
  <c r="I105" i="14"/>
  <c r="G21" i="14"/>
  <c r="G39" i="14"/>
  <c r="G57" i="14"/>
  <c r="G75" i="14"/>
  <c r="G89" i="14"/>
  <c r="G104" i="14"/>
  <c r="F7" i="14"/>
  <c r="F22" i="14"/>
  <c r="F36" i="14"/>
  <c r="F50" i="14"/>
  <c r="F63" i="14"/>
  <c r="F76" i="14"/>
  <c r="F88" i="14"/>
  <c r="F100" i="14"/>
  <c r="F112" i="14"/>
  <c r="E8" i="14"/>
  <c r="E14" i="14"/>
  <c r="E20" i="14"/>
  <c r="E26" i="14"/>
  <c r="E32" i="14"/>
  <c r="E38" i="14"/>
  <c r="E44" i="14"/>
  <c r="E50" i="14"/>
  <c r="E56" i="14"/>
  <c r="E62" i="14"/>
  <c r="E68" i="14"/>
  <c r="E74" i="14"/>
  <c r="E80" i="14"/>
  <c r="E86" i="14"/>
  <c r="E92" i="14"/>
  <c r="E98" i="14"/>
  <c r="E104" i="14"/>
  <c r="E110" i="14"/>
  <c r="C7" i="14"/>
  <c r="C19" i="14"/>
  <c r="C31" i="14"/>
  <c r="C43" i="14"/>
  <c r="C55" i="14"/>
  <c r="C67" i="14"/>
  <c r="C79" i="14"/>
  <c r="C91" i="14"/>
  <c r="C103" i="14"/>
  <c r="B4" i="14"/>
  <c r="B16" i="14"/>
  <c r="B28" i="14"/>
  <c r="B40" i="14"/>
  <c r="B52" i="14"/>
  <c r="B64" i="14"/>
  <c r="B76" i="14"/>
  <c r="B88" i="14"/>
  <c r="B100" i="14"/>
  <c r="B112" i="14"/>
  <c r="U39" i="14"/>
  <c r="U75" i="14"/>
  <c r="N99" i="14"/>
  <c r="M26" i="14"/>
  <c r="M85" i="14"/>
  <c r="K10" i="14"/>
  <c r="K46" i="14"/>
  <c r="K82" i="14"/>
  <c r="I7" i="14"/>
  <c r="I37" i="14"/>
  <c r="I54" i="14"/>
  <c r="I67" i="14"/>
  <c r="H79" i="14"/>
  <c r="H88" i="14"/>
  <c r="H97" i="14"/>
  <c r="H106" i="14"/>
  <c r="G4" i="14"/>
  <c r="G22" i="14"/>
  <c r="G40" i="14"/>
  <c r="G58" i="14"/>
  <c r="G76" i="14"/>
  <c r="G91" i="14"/>
  <c r="G105" i="14"/>
  <c r="F8" i="14"/>
  <c r="F23" i="14"/>
  <c r="F37" i="14"/>
  <c r="F51" i="14"/>
  <c r="F64" i="14"/>
  <c r="F77" i="14"/>
  <c r="F89" i="14"/>
  <c r="F101" i="14"/>
  <c r="F113" i="14"/>
  <c r="D9" i="14"/>
  <c r="D15" i="14"/>
  <c r="D21" i="14"/>
  <c r="D27" i="14"/>
  <c r="D33" i="14"/>
  <c r="D39" i="14"/>
  <c r="D45" i="14"/>
  <c r="D51" i="14"/>
  <c r="D57" i="14"/>
  <c r="D63" i="14"/>
  <c r="D69" i="14"/>
  <c r="D75" i="14"/>
  <c r="D81" i="14"/>
  <c r="D87" i="14"/>
  <c r="D93" i="14"/>
  <c r="D99" i="14"/>
  <c r="D105" i="14"/>
  <c r="D111" i="14"/>
  <c r="C8" i="14"/>
  <c r="C20" i="14"/>
  <c r="C32" i="14"/>
  <c r="C44" i="14"/>
  <c r="C56" i="14"/>
  <c r="C68" i="14"/>
  <c r="C80" i="14"/>
  <c r="C92" i="14"/>
  <c r="C104" i="14"/>
  <c r="B5" i="14"/>
  <c r="B17" i="14"/>
  <c r="B29" i="14"/>
  <c r="B41" i="14"/>
  <c r="B53" i="14"/>
  <c r="B65" i="14"/>
  <c r="B77" i="14"/>
  <c r="B89" i="14"/>
  <c r="B101" i="14"/>
  <c r="B113" i="14"/>
  <c r="Q47" i="14"/>
  <c r="P80" i="14"/>
  <c r="R102" i="14"/>
  <c r="L39" i="14"/>
  <c r="L91" i="14"/>
  <c r="J16" i="14"/>
  <c r="J52" i="14"/>
  <c r="J88" i="14"/>
  <c r="H13" i="14"/>
  <c r="H40" i="14"/>
  <c r="H55" i="14"/>
  <c r="I69" i="14"/>
  <c r="I79" i="14"/>
  <c r="I88" i="14"/>
  <c r="I97" i="14"/>
  <c r="I106" i="14"/>
  <c r="G5" i="14"/>
  <c r="G23" i="14"/>
  <c r="G41" i="14"/>
  <c r="G59" i="14"/>
  <c r="G77" i="14"/>
  <c r="G92" i="14"/>
  <c r="G106" i="14"/>
  <c r="F10" i="14"/>
  <c r="F24" i="14"/>
  <c r="F38" i="14"/>
  <c r="F52" i="14"/>
  <c r="F65" i="14"/>
  <c r="F78" i="14"/>
  <c r="F90" i="14"/>
  <c r="F102" i="14"/>
  <c r="E9" i="14"/>
  <c r="E15" i="14"/>
  <c r="E21" i="14"/>
  <c r="E27" i="14"/>
  <c r="E33" i="14"/>
  <c r="E39" i="14"/>
  <c r="E45" i="14"/>
  <c r="E51" i="14"/>
  <c r="E57" i="14"/>
  <c r="E63" i="14"/>
  <c r="E69" i="14"/>
  <c r="E75" i="14"/>
  <c r="E81" i="14"/>
  <c r="E87" i="14"/>
  <c r="E93" i="14"/>
  <c r="E99" i="14"/>
  <c r="E105" i="14"/>
  <c r="E111" i="14"/>
  <c r="S48" i="14"/>
  <c r="Q80" i="14"/>
  <c r="S102" i="14"/>
  <c r="M39" i="14"/>
  <c r="M91" i="14"/>
  <c r="K16" i="14"/>
  <c r="K52" i="14"/>
  <c r="K88" i="14"/>
  <c r="I13" i="14"/>
  <c r="I42" i="14"/>
  <c r="I55" i="14"/>
  <c r="H70" i="14"/>
  <c r="H81" i="14"/>
  <c r="H90" i="14"/>
  <c r="H99" i="14"/>
  <c r="H108" i="14"/>
  <c r="G8" i="14"/>
  <c r="G26" i="14"/>
  <c r="G44" i="14"/>
  <c r="G62" i="14"/>
  <c r="G79" i="14"/>
  <c r="G93" i="14"/>
  <c r="G107" i="14"/>
  <c r="F11" i="14"/>
  <c r="F25" i="14"/>
  <c r="F40" i="14"/>
  <c r="F53" i="14"/>
  <c r="F66" i="14"/>
  <c r="F79" i="14"/>
  <c r="F91" i="14"/>
  <c r="F103" i="14"/>
  <c r="D4" i="14"/>
  <c r="D10" i="14"/>
  <c r="D16" i="14"/>
  <c r="D22" i="14"/>
  <c r="D28" i="14"/>
  <c r="D34" i="14"/>
  <c r="D40" i="14"/>
  <c r="D46" i="14"/>
  <c r="D52" i="14"/>
  <c r="D58" i="14"/>
  <c r="D64" i="14"/>
  <c r="D70" i="14"/>
  <c r="D76" i="14"/>
  <c r="D82" i="14"/>
  <c r="D88" i="14"/>
  <c r="D94" i="14"/>
  <c r="D100" i="14"/>
  <c r="D106" i="14"/>
  <c r="D112" i="14"/>
  <c r="C10" i="14"/>
  <c r="C22" i="14"/>
  <c r="C34" i="14"/>
  <c r="Q53" i="14"/>
  <c r="J58" i="14"/>
  <c r="I81" i="14"/>
  <c r="G45" i="14"/>
  <c r="F26" i="14"/>
  <c r="F104" i="14"/>
  <c r="E34" i="14"/>
  <c r="E70" i="14"/>
  <c r="E106" i="14"/>
  <c r="C36" i="14"/>
  <c r="C65" i="14"/>
  <c r="C89" i="14"/>
  <c r="C113" i="14"/>
  <c r="B26" i="14"/>
  <c r="B50" i="14"/>
  <c r="B73" i="14"/>
  <c r="B92" i="14"/>
  <c r="B111" i="14"/>
  <c r="S54" i="14"/>
  <c r="K58" i="14"/>
  <c r="G46" i="14"/>
  <c r="F28" i="14"/>
  <c r="F105" i="14"/>
  <c r="D35" i="14"/>
  <c r="D71" i="14"/>
  <c r="D107" i="14"/>
  <c r="C45" i="14"/>
  <c r="C69" i="14"/>
  <c r="C93" i="14"/>
  <c r="B6" i="14"/>
  <c r="B30" i="14"/>
  <c r="B54" i="14"/>
  <c r="B74" i="14"/>
  <c r="B93" i="14"/>
  <c r="R84" i="14"/>
  <c r="J94" i="14"/>
  <c r="I90" i="14"/>
  <c r="G63" i="14"/>
  <c r="F41" i="14"/>
  <c r="E4" i="14"/>
  <c r="E40" i="14"/>
  <c r="E76" i="14"/>
  <c r="E112" i="14"/>
  <c r="C46" i="14"/>
  <c r="C70" i="14"/>
  <c r="C94" i="14"/>
  <c r="B7" i="14"/>
  <c r="B31" i="14"/>
  <c r="B55" i="14"/>
  <c r="B75" i="14"/>
  <c r="B97" i="14"/>
  <c r="S84" i="14"/>
  <c r="K94" i="14"/>
  <c r="H91" i="14"/>
  <c r="G64" i="14"/>
  <c r="F42" i="14"/>
  <c r="D5" i="14"/>
  <c r="D41" i="14"/>
  <c r="D77" i="14"/>
  <c r="D113" i="14"/>
  <c r="C47" i="14"/>
  <c r="C71" i="14"/>
  <c r="C95" i="14"/>
  <c r="B8" i="14"/>
  <c r="B32" i="14"/>
  <c r="B56" i="14"/>
  <c r="B78" i="14"/>
  <c r="B98" i="14"/>
  <c r="T105" i="14"/>
  <c r="H19" i="14"/>
  <c r="I99" i="14"/>
  <c r="G80" i="14"/>
  <c r="F54" i="14"/>
  <c r="E10" i="14"/>
  <c r="E46" i="14"/>
  <c r="E82" i="14"/>
  <c r="C9" i="14"/>
  <c r="C48" i="14"/>
  <c r="C72" i="14"/>
  <c r="C96" i="14"/>
  <c r="B9" i="14"/>
  <c r="B33" i="14"/>
  <c r="B57" i="14"/>
  <c r="B79" i="14"/>
  <c r="B99" i="14"/>
  <c r="U105" i="14"/>
  <c r="I19" i="14"/>
  <c r="H100" i="14"/>
  <c r="G81" i="14"/>
  <c r="F55" i="14"/>
  <c r="D11" i="14"/>
  <c r="D47" i="14"/>
  <c r="D83" i="14"/>
  <c r="C11" i="14"/>
  <c r="C52" i="14"/>
  <c r="C76" i="14"/>
  <c r="C100" i="14"/>
  <c r="B13" i="14"/>
  <c r="B37" i="14"/>
  <c r="B61" i="14"/>
  <c r="B80" i="14"/>
  <c r="B102" i="14"/>
  <c r="L54" i="14"/>
  <c r="H43" i="14"/>
  <c r="I108" i="14"/>
  <c r="G94" i="14"/>
  <c r="F67" i="14"/>
  <c r="E16" i="14"/>
  <c r="E52" i="14"/>
  <c r="E88" i="14"/>
  <c r="C12" i="14"/>
  <c r="C53" i="14"/>
  <c r="C77" i="14"/>
  <c r="C101" i="14"/>
  <c r="B14" i="14"/>
  <c r="B38" i="14"/>
  <c r="B62" i="14"/>
  <c r="B81" i="14"/>
  <c r="B103" i="14"/>
  <c r="L56" i="14"/>
  <c r="I43" i="14"/>
  <c r="H109" i="14"/>
  <c r="G95" i="14"/>
  <c r="F68" i="14"/>
  <c r="D17" i="14"/>
  <c r="D53" i="14"/>
  <c r="D89" i="14"/>
  <c r="C21" i="14"/>
  <c r="C57" i="14"/>
  <c r="C81" i="14"/>
  <c r="C105" i="14"/>
  <c r="B18" i="14"/>
  <c r="B42" i="14"/>
  <c r="B63" i="14"/>
  <c r="B85" i="14"/>
  <c r="B104" i="14"/>
  <c r="L97" i="14"/>
  <c r="I57" i="14"/>
  <c r="G9" i="14"/>
  <c r="G109" i="14"/>
  <c r="F80" i="14"/>
  <c r="E22" i="14"/>
  <c r="E58" i="14"/>
  <c r="E94" i="14"/>
  <c r="C23" i="14"/>
  <c r="C58" i="14"/>
  <c r="C82" i="14"/>
  <c r="C106" i="14"/>
  <c r="B19" i="14"/>
  <c r="B43" i="14"/>
  <c r="B66" i="14"/>
  <c r="B86" i="14"/>
  <c r="B105" i="14"/>
  <c r="M97" i="14"/>
  <c r="H58" i="14"/>
  <c r="G10" i="14"/>
  <c r="G110" i="14"/>
  <c r="F81" i="14"/>
  <c r="D23" i="14"/>
  <c r="D59" i="14"/>
  <c r="D95" i="14"/>
  <c r="C24" i="14"/>
  <c r="C59" i="14"/>
  <c r="C83" i="14"/>
  <c r="C107" i="14"/>
  <c r="B20" i="14"/>
  <c r="B44" i="14"/>
  <c r="B67" i="14"/>
  <c r="B87" i="14"/>
  <c r="B108" i="14"/>
  <c r="J22" i="14"/>
  <c r="E64" i="14"/>
  <c r="B21" i="14"/>
  <c r="K22" i="14"/>
  <c r="D65" i="14"/>
  <c r="B25" i="14"/>
  <c r="I72" i="14"/>
  <c r="E100" i="14"/>
  <c r="B45" i="14"/>
  <c r="H73" i="14"/>
  <c r="D101" i="14"/>
  <c r="B49" i="14"/>
  <c r="G27" i="14"/>
  <c r="C33" i="14"/>
  <c r="B68" i="14"/>
  <c r="G28" i="14"/>
  <c r="C35" i="14"/>
  <c r="B69" i="14"/>
  <c r="F12" i="14"/>
  <c r="C60" i="14"/>
  <c r="B90" i="14"/>
  <c r="F13" i="14"/>
  <c r="C64" i="14"/>
  <c r="B91" i="14"/>
  <c r="F92" i="14"/>
  <c r="C84" i="14"/>
  <c r="B109" i="14"/>
  <c r="F93" i="14"/>
  <c r="C88" i="14"/>
  <c r="B110" i="14"/>
  <c r="E28" i="14"/>
  <c r="D29" i="14"/>
  <c r="C108" i="14"/>
  <c r="C112" i="14"/>
  <c r="P169" i="13" a="1"/>
  <c r="P169" i="13" s="1"/>
  <c r="P170" i="13" a="1"/>
  <c r="P170" i="13" s="1"/>
  <c r="P151" i="13" a="1"/>
  <c r="P151" i="13" s="1"/>
  <c r="P152" i="13" s="1" a="1"/>
  <c r="P152" i="13" s="1"/>
  <c r="P153" i="13" s="1" a="1"/>
  <c r="P153" i="13" s="1"/>
  <c r="P154" i="13" s="1" a="1"/>
  <c r="P154" i="13" s="1"/>
  <c r="P155" i="13" s="1" a="1"/>
  <c r="P155" i="13" s="1"/>
  <c r="P156" i="13" s="1" a="1"/>
  <c r="P156" i="13" s="1"/>
  <c r="P157" i="13" s="1" a="1"/>
  <c r="P157" i="13" s="1"/>
  <c r="P158" i="13" s="1" a="1"/>
  <c r="P158" i="13" s="1"/>
  <c r="P159" i="13" s="1" a="1"/>
  <c r="P159" i="13" s="1"/>
  <c r="P160" i="13" s="1" a="1"/>
  <c r="P160" i="13" s="1"/>
  <c r="P161" i="13" s="1" a="1"/>
  <c r="P161" i="13" s="1"/>
  <c r="P162" i="13" s="1" a="1"/>
  <c r="P162" i="13" s="1"/>
  <c r="P163" i="13" s="1" a="1"/>
  <c r="P163" i="13" s="1"/>
  <c r="P139" i="13" a="1"/>
  <c r="P139" i="13" s="1"/>
  <c r="P140" i="13" s="1" a="1"/>
  <c r="P140" i="13" s="1"/>
  <c r="P141" i="13" s="1" a="1"/>
  <c r="P141" i="13" s="1"/>
  <c r="P142" i="13" s="1" a="1"/>
  <c r="P142" i="13" s="1"/>
  <c r="P143" i="13" s="1" a="1"/>
  <c r="P143" i="13" s="1"/>
  <c r="P144" i="13" s="1" a="1"/>
  <c r="P144" i="13" s="1"/>
  <c r="P145" i="13" s="1" a="1"/>
  <c r="P145" i="13" s="1"/>
  <c r="P127" i="13" a="1"/>
  <c r="P127" i="13" s="1"/>
  <c r="P128" i="13" s="1" a="1"/>
  <c r="P128" i="13" s="1"/>
  <c r="P129" i="13" s="1" a="1"/>
  <c r="P129" i="13" s="1"/>
  <c r="P130" i="13" s="1" a="1"/>
  <c r="P130" i="13" s="1"/>
  <c r="P131" i="13" s="1" a="1"/>
  <c r="P131" i="13" s="1"/>
  <c r="P132" i="13" s="1" a="1"/>
  <c r="P132" i="13" s="1"/>
  <c r="P133" i="13" s="1" a="1"/>
  <c r="P133" i="13" s="1"/>
  <c r="P112" i="13" a="1"/>
  <c r="P112" i="13" s="1"/>
  <c r="P113" i="13" s="1" a="1"/>
  <c r="P113" i="13" s="1"/>
  <c r="P114" i="13" s="1" a="1"/>
  <c r="P114" i="13" s="1"/>
  <c r="P115" i="13" s="1" a="1"/>
  <c r="P115" i="13" s="1"/>
  <c r="P116" i="13" s="1" a="1"/>
  <c r="P116" i="13" s="1"/>
  <c r="P117" i="13" s="1" a="1"/>
  <c r="P117" i="13" s="1"/>
  <c r="P118" i="13" s="1" a="1"/>
  <c r="P118" i="13" s="1"/>
  <c r="P119" i="13" s="1" a="1"/>
  <c r="P119" i="13" s="1"/>
  <c r="P120" i="13" s="1" a="1"/>
  <c r="P120" i="13" s="1"/>
  <c r="P121" i="13" s="1" a="1"/>
  <c r="P121" i="13" s="1"/>
  <c r="P100" i="13" a="1"/>
  <c r="P100" i="13" s="1"/>
  <c r="P101" i="13" s="1" a="1"/>
  <c r="P101" i="13" s="1"/>
  <c r="P102" i="13" s="1" a="1"/>
  <c r="P102" i="13" s="1"/>
  <c r="P103" i="13" s="1" a="1"/>
  <c r="P103" i="13" s="1"/>
  <c r="P104" i="13" s="1" a="1"/>
  <c r="P104" i="13" s="1"/>
  <c r="P105" i="13" s="1" a="1"/>
  <c r="P105" i="13" s="1"/>
  <c r="P106" i="13" s="1" a="1"/>
  <c r="P106" i="13" s="1"/>
  <c r="P89" i="13" a="1"/>
  <c r="P89" i="13" s="1"/>
  <c r="P90" i="13" s="1" a="1"/>
  <c r="P90" i="13" s="1"/>
  <c r="P91" i="13" s="1" a="1"/>
  <c r="P91" i="13" s="1"/>
  <c r="P92" i="13" s="1" a="1"/>
  <c r="P92" i="13" s="1"/>
  <c r="P93" i="13" s="1" a="1"/>
  <c r="P93" i="13" s="1"/>
  <c r="P94" i="13" s="1" a="1"/>
  <c r="P94" i="13" s="1"/>
  <c r="P77" i="13" a="1"/>
  <c r="P77" i="13" s="1"/>
  <c r="P78" i="13" s="1" a="1"/>
  <c r="P78" i="13" s="1"/>
  <c r="P79" i="13" s="1" a="1"/>
  <c r="P79" i="13" s="1"/>
  <c r="P80" i="13" s="1" a="1"/>
  <c r="P80" i="13" s="1"/>
  <c r="P81" i="13" s="1" a="1"/>
  <c r="P81" i="13" s="1"/>
  <c r="P82" i="13" s="1" a="1"/>
  <c r="P82" i="13" s="1"/>
  <c r="P83" i="13" s="1" a="1"/>
  <c r="P83" i="13" s="1"/>
  <c r="P8" i="13" a="1"/>
  <c r="P8" i="13" s="1"/>
  <c r="D7" i="18" l="1" a="1"/>
  <c r="D7" i="18" s="1"/>
  <c r="B8" i="18" a="1"/>
  <c r="B8" i="18" s="1"/>
  <c r="P3" i="14"/>
  <c r="Q3" i="14"/>
  <c r="R3" i="14"/>
  <c r="G3" i="14"/>
  <c r="O3" i="14"/>
  <c r="S3" i="14"/>
  <c r="K3" i="14"/>
  <c r="T3" i="14"/>
  <c r="J3" i="14"/>
  <c r="U3" i="14"/>
  <c r="N3" i="14"/>
  <c r="M3" i="14"/>
  <c r="L3" i="14"/>
  <c r="E3" i="14"/>
  <c r="D3" i="14"/>
  <c r="I3" i="14"/>
  <c r="C3" i="14"/>
  <c r="H3" i="14"/>
  <c r="F3" i="14"/>
  <c r="B3" i="14"/>
  <c r="P171" i="13" a="1"/>
  <c r="P171" i="13" s="1"/>
  <c r="P172" i="13" s="1" a="1"/>
  <c r="P172" i="13" s="1"/>
  <c r="P173" i="13" s="1" a="1"/>
  <c r="P173" i="13" s="1"/>
  <c r="P174" i="13" s="1" a="1"/>
  <c r="P174" i="13" s="1"/>
  <c r="P175" i="13" s="1" a="1"/>
  <c r="P175" i="13" s="1"/>
  <c r="P176" i="13" s="1" a="1"/>
  <c r="P176" i="13" s="1"/>
  <c r="P177" i="13" s="1" a="1"/>
  <c r="P177" i="13" s="1"/>
  <c r="P178" i="13" s="1" a="1"/>
  <c r="P178" i="13" s="1"/>
  <c r="P179" i="13" s="1" a="1"/>
  <c r="P179" i="13" s="1"/>
  <c r="P180" i="13" s="1" a="1"/>
  <c r="P180" i="13" s="1"/>
  <c r="P181" i="13" s="1" a="1"/>
  <c r="P181" i="13" s="1"/>
  <c r="P182" i="13" s="1" a="1"/>
  <c r="P182" i="13" s="1"/>
  <c r="P183" i="13" s="1" a="1"/>
  <c r="P183" i="13" s="1"/>
  <c r="P184" i="13" s="1" a="1"/>
  <c r="P184" i="13" s="1"/>
  <c r="P185" i="13" s="1" a="1"/>
  <c r="P185" i="13" s="1"/>
  <c r="P186" i="13" s="1" a="1"/>
  <c r="P186" i="13" s="1"/>
  <c r="P187" i="13" s="1" a="1"/>
  <c r="P187" i="13" s="1"/>
  <c r="P188" i="13" s="1" a="1"/>
  <c r="P188" i="13" s="1"/>
  <c r="P189" i="13" s="1" a="1"/>
  <c r="P189" i="13" s="1"/>
  <c r="P190" i="13" s="1" a="1"/>
  <c r="P190" i="13" s="1"/>
  <c r="P191" i="13" s="1" a="1"/>
  <c r="P191" i="13" s="1"/>
  <c r="P192" i="13" s="1" a="1"/>
  <c r="P192" i="13" s="1"/>
  <c r="P193" i="13" s="1" a="1"/>
  <c r="P193" i="13" s="1"/>
  <c r="P194" i="13" s="1" a="1"/>
  <c r="P194" i="13" s="1"/>
  <c r="P195" i="13" s="1" a="1"/>
  <c r="P195" i="13" s="1"/>
  <c r="P196" i="13" s="1" a="1"/>
  <c r="P196" i="13" s="1"/>
  <c r="P197" i="13" s="1" a="1"/>
  <c r="P197" i="13" s="1"/>
  <c r="P198" i="13" s="1" a="1"/>
  <c r="P198" i="13" s="1"/>
  <c r="P199" i="13" s="1" a="1"/>
  <c r="P199" i="13" s="1"/>
  <c r="P200" i="13" s="1" a="1"/>
  <c r="P200" i="13" s="1"/>
  <c r="P201" i="13" s="1" a="1"/>
  <c r="P201" i="13" s="1"/>
  <c r="P202" i="13" s="1" a="1"/>
  <c r="P202" i="13" s="1"/>
  <c r="P203" i="13" s="1" a="1"/>
  <c r="P203" i="13" s="1"/>
  <c r="P204" i="13" s="1" a="1"/>
  <c r="P204" i="13" s="1"/>
  <c r="P205" i="13" s="1" a="1"/>
  <c r="P205" i="13" s="1"/>
  <c r="P206" i="13" s="1" a="1"/>
  <c r="P206" i="13" s="1"/>
  <c r="P207" i="13" s="1" a="1"/>
  <c r="P207" i="13" s="1"/>
  <c r="P9" i="13" a="1"/>
  <c r="P9" i="13" s="1"/>
  <c r="B9" i="18" l="1" a="1"/>
  <c r="B9" i="18" s="1"/>
  <c r="C8" i="18"/>
  <c r="D8" i="18" s="1" a="1"/>
  <c r="D8" i="18" s="1"/>
  <c r="P10" i="13" a="1"/>
  <c r="P10" i="13" s="1"/>
  <c r="P11" i="13" a="1"/>
  <c r="P11" i="13" s="1"/>
  <c r="P12" i="13" s="1" a="1"/>
  <c r="P12" i="13" s="1"/>
  <c r="P13" i="13" s="1" a="1"/>
  <c r="P13" i="13" s="1"/>
  <c r="P14" i="13" s="1" a="1"/>
  <c r="P14" i="13" s="1"/>
  <c r="P15" i="13" s="1" a="1"/>
  <c r="P15" i="13" s="1"/>
  <c r="P16" i="13" s="1" a="1"/>
  <c r="P16" i="13" s="1"/>
  <c r="P17" i="13" s="1" a="1"/>
  <c r="P17" i="13" s="1"/>
  <c r="P18" i="13" s="1" a="1"/>
  <c r="P18" i="13" s="1"/>
  <c r="P19" i="13" s="1" a="1"/>
  <c r="P19" i="13" s="1"/>
  <c r="P20" i="13" s="1" a="1"/>
  <c r="P20" i="13" s="1"/>
  <c r="P21" i="13" s="1" a="1"/>
  <c r="P21" i="13" s="1"/>
  <c r="P22" i="13" s="1" a="1"/>
  <c r="P22" i="13" s="1"/>
  <c r="P23" i="13" s="1" a="1"/>
  <c r="P23" i="13" s="1"/>
  <c r="P24" i="13" s="1" a="1"/>
  <c r="P24" i="13" s="1"/>
  <c r="P25" i="13" s="1" a="1"/>
  <c r="P25" i="13" s="1"/>
  <c r="P26" i="13" s="1" a="1"/>
  <c r="P26" i="13" s="1"/>
  <c r="P27" i="13" s="1" a="1"/>
  <c r="P27" i="13" s="1"/>
  <c r="P28" i="13" s="1" a="1"/>
  <c r="P28" i="13" s="1"/>
  <c r="P29" i="13" s="1" a="1"/>
  <c r="P29" i="13" s="1"/>
  <c r="P30" i="13" s="1" a="1"/>
  <c r="P30" i="13" s="1"/>
  <c r="P31" i="13" s="1" a="1"/>
  <c r="P31" i="13" s="1"/>
  <c r="P32" i="13" s="1" a="1"/>
  <c r="P32" i="13" s="1"/>
  <c r="P33" i="13" s="1" a="1"/>
  <c r="P33" i="13" s="1"/>
  <c r="P34" i="13" s="1" a="1"/>
  <c r="P34" i="13" s="1"/>
  <c r="P35" i="13" s="1" a="1"/>
  <c r="P35" i="13" s="1"/>
  <c r="P36" i="13" s="1" a="1"/>
  <c r="P36" i="13" s="1"/>
  <c r="P37" i="13" s="1" a="1"/>
  <c r="P37" i="13" s="1"/>
  <c r="P38" i="13" s="1" a="1"/>
  <c r="P38" i="13" s="1"/>
  <c r="P39" i="13" s="1" a="1"/>
  <c r="P39" i="13" s="1"/>
  <c r="P40" i="13" s="1" a="1"/>
  <c r="P40" i="13" s="1"/>
  <c r="P41" i="13" s="1" a="1"/>
  <c r="P41" i="13" s="1"/>
  <c r="P42" i="13" s="1" a="1"/>
  <c r="P42" i="13" s="1"/>
  <c r="P43" i="13" s="1" a="1"/>
  <c r="P43" i="13" s="1"/>
  <c r="P44" i="13" s="1" a="1"/>
  <c r="P44" i="13" s="1"/>
  <c r="P45" i="13" s="1" a="1"/>
  <c r="P45" i="13" s="1"/>
  <c r="P46" i="13" s="1" a="1"/>
  <c r="P46" i="13" s="1"/>
  <c r="P47" i="13" s="1" a="1"/>
  <c r="P47" i="13" s="1"/>
  <c r="P48" i="13" s="1" a="1"/>
  <c r="P48" i="13" s="1"/>
  <c r="P49" i="13" s="1" a="1"/>
  <c r="P49" i="13" s="1"/>
  <c r="P50" i="13" s="1" a="1"/>
  <c r="P50" i="13" s="1"/>
  <c r="P51" i="13" s="1" a="1"/>
  <c r="P51" i="13" s="1"/>
  <c r="P52" i="13" s="1" a="1"/>
  <c r="P52" i="13" s="1"/>
  <c r="P53" i="13" s="1" a="1"/>
  <c r="P53" i="13" s="1"/>
  <c r="P54" i="13" s="1" a="1"/>
  <c r="P54" i="13" s="1"/>
  <c r="P55" i="13" s="1" a="1"/>
  <c r="P55" i="13" s="1"/>
  <c r="P56" i="13" s="1" a="1"/>
  <c r="P56" i="13" s="1"/>
  <c r="P57" i="13" s="1" a="1"/>
  <c r="P57" i="13" s="1"/>
  <c r="P58" i="13" s="1" a="1"/>
  <c r="P58" i="13" s="1"/>
  <c r="P59" i="13" s="1" a="1"/>
  <c r="P59" i="13" s="1"/>
  <c r="P60" i="13" s="1" a="1"/>
  <c r="P60" i="13" s="1"/>
  <c r="P61" i="13" s="1" a="1"/>
  <c r="P61" i="13" s="1"/>
  <c r="P62" i="13" s="1" a="1"/>
  <c r="P62" i="13" s="1"/>
  <c r="P63" i="13" s="1" a="1"/>
  <c r="P63" i="13" s="1"/>
  <c r="P64" i="13" s="1" a="1"/>
  <c r="P64" i="13" s="1"/>
  <c r="P65" i="13" s="1" a="1"/>
  <c r="P65" i="13" s="1"/>
  <c r="P66" i="13" s="1" a="1"/>
  <c r="P66" i="13" s="1"/>
  <c r="P67" i="13" s="1" a="1"/>
  <c r="P67" i="13" s="1"/>
  <c r="P68" i="13" s="1" a="1"/>
  <c r="P68" i="13" s="1"/>
  <c r="P69" i="13" s="1" a="1"/>
  <c r="P69" i="13" s="1"/>
  <c r="P70" i="13" s="1" a="1"/>
  <c r="P70" i="13" s="1"/>
  <c r="P71" i="13" s="1" a="1"/>
  <c r="P71" i="13" s="1"/>
  <c r="B10" i="18" l="1" a="1"/>
  <c r="B10" i="18" s="1"/>
  <c r="C10" i="18" s="1"/>
  <c r="C9" i="18"/>
  <c r="D9" i="18" a="1"/>
  <c r="D9" i="18" s="1"/>
  <c r="E233" i="13"/>
  <c r="F233" i="13"/>
  <c r="G233" i="13"/>
  <c r="H233" i="13"/>
  <c r="I233" i="13"/>
  <c r="J233" i="13"/>
  <c r="K233" i="13"/>
  <c r="L233" i="13"/>
  <c r="E234" i="13"/>
  <c r="F234" i="13"/>
  <c r="G234" i="13"/>
  <c r="H234" i="13"/>
  <c r="I234" i="13"/>
  <c r="J234" i="13"/>
  <c r="K234" i="13"/>
  <c r="L234" i="13"/>
  <c r="E235" i="13"/>
  <c r="F235" i="13"/>
  <c r="G235" i="13"/>
  <c r="H235" i="13"/>
  <c r="I235" i="13"/>
  <c r="J235" i="13"/>
  <c r="K235" i="13"/>
  <c r="L235" i="13"/>
  <c r="E236" i="13"/>
  <c r="F236" i="13"/>
  <c r="G236" i="13"/>
  <c r="H236" i="13"/>
  <c r="I236" i="13"/>
  <c r="J236" i="13"/>
  <c r="K236" i="13"/>
  <c r="L236" i="13"/>
  <c r="E237" i="13"/>
  <c r="F237" i="13"/>
  <c r="G237" i="13"/>
  <c r="H237" i="13"/>
  <c r="I237" i="13"/>
  <c r="J237" i="13"/>
  <c r="K237" i="13"/>
  <c r="L237" i="13"/>
  <c r="E238" i="13"/>
  <c r="F238" i="13"/>
  <c r="G238" i="13"/>
  <c r="H238" i="13"/>
  <c r="I238" i="13"/>
  <c r="J238" i="13"/>
  <c r="K238" i="13"/>
  <c r="L238" i="13"/>
  <c r="E239" i="13"/>
  <c r="F239" i="13"/>
  <c r="G239" i="13"/>
  <c r="H239" i="13"/>
  <c r="I239" i="13"/>
  <c r="J239" i="13"/>
  <c r="K239" i="13"/>
  <c r="L239" i="13"/>
  <c r="E240" i="13"/>
  <c r="F240" i="13"/>
  <c r="G240" i="13"/>
  <c r="H240" i="13"/>
  <c r="I240" i="13"/>
  <c r="J240" i="13"/>
  <c r="K240" i="13"/>
  <c r="L240" i="13"/>
  <c r="E241" i="13"/>
  <c r="F241" i="13"/>
  <c r="G241" i="13"/>
  <c r="H241" i="13"/>
  <c r="I241" i="13"/>
  <c r="J241" i="13"/>
  <c r="K241" i="13"/>
  <c r="L241" i="13"/>
  <c r="E242" i="13"/>
  <c r="F242" i="13"/>
  <c r="G242" i="13"/>
  <c r="H242" i="13"/>
  <c r="I242" i="13"/>
  <c r="J242" i="13"/>
  <c r="K242" i="13"/>
  <c r="L242" i="13"/>
  <c r="E243" i="13"/>
  <c r="F243" i="13"/>
  <c r="G243" i="13"/>
  <c r="H243" i="13"/>
  <c r="I243" i="13"/>
  <c r="J243" i="13"/>
  <c r="K243" i="13"/>
  <c r="L243" i="13"/>
  <c r="E244" i="13"/>
  <c r="F244" i="13"/>
  <c r="G244" i="13"/>
  <c r="H244" i="13"/>
  <c r="I244" i="13"/>
  <c r="J244" i="13"/>
  <c r="K244" i="13"/>
  <c r="L244" i="13"/>
  <c r="E245" i="13"/>
  <c r="F245" i="13"/>
  <c r="G245" i="13"/>
  <c r="H245" i="13"/>
  <c r="I245" i="13"/>
  <c r="J245" i="13"/>
  <c r="K245" i="13"/>
  <c r="L245" i="13"/>
  <c r="E246" i="13"/>
  <c r="F246" i="13"/>
  <c r="G246" i="13"/>
  <c r="H246" i="13"/>
  <c r="I246" i="13"/>
  <c r="J246" i="13"/>
  <c r="K246" i="13"/>
  <c r="L246" i="13"/>
  <c r="E247" i="13"/>
  <c r="F247" i="13"/>
  <c r="G247" i="13"/>
  <c r="H247" i="13"/>
  <c r="I247" i="13"/>
  <c r="J247" i="13"/>
  <c r="K247" i="13"/>
  <c r="L247" i="13"/>
  <c r="E248" i="13"/>
  <c r="F248" i="13"/>
  <c r="G248" i="13"/>
  <c r="H248" i="13"/>
  <c r="I248" i="13"/>
  <c r="J248" i="13"/>
  <c r="K248" i="13"/>
  <c r="L248" i="13"/>
  <c r="E249" i="13"/>
  <c r="F249" i="13"/>
  <c r="G249" i="13"/>
  <c r="H249" i="13"/>
  <c r="I249" i="13"/>
  <c r="J249" i="13"/>
  <c r="K249" i="13"/>
  <c r="L249" i="13"/>
  <c r="E250" i="13"/>
  <c r="F250" i="13"/>
  <c r="G250" i="13"/>
  <c r="H250" i="13"/>
  <c r="I250" i="13"/>
  <c r="J250" i="13"/>
  <c r="K250" i="13"/>
  <c r="L250" i="13"/>
  <c r="E251" i="13"/>
  <c r="F251" i="13"/>
  <c r="G251" i="13"/>
  <c r="H251" i="13"/>
  <c r="I251" i="13"/>
  <c r="J251" i="13"/>
  <c r="K251" i="13"/>
  <c r="L251" i="13"/>
  <c r="E252" i="13"/>
  <c r="F252" i="13"/>
  <c r="G252" i="13"/>
  <c r="H252" i="13"/>
  <c r="I252" i="13"/>
  <c r="J252" i="13"/>
  <c r="K252" i="13"/>
  <c r="L252" i="13"/>
  <c r="E253" i="13"/>
  <c r="F253" i="13"/>
  <c r="G253" i="13"/>
  <c r="H253" i="13"/>
  <c r="I253" i="13"/>
  <c r="J253" i="13"/>
  <c r="K253" i="13"/>
  <c r="L253" i="13"/>
  <c r="E254" i="13"/>
  <c r="F254" i="13"/>
  <c r="G254" i="13"/>
  <c r="H254" i="13"/>
  <c r="I254" i="13"/>
  <c r="J254" i="13"/>
  <c r="K254" i="13"/>
  <c r="L254" i="13"/>
  <c r="E255" i="13"/>
  <c r="F255" i="13"/>
  <c r="G255" i="13"/>
  <c r="H255" i="13"/>
  <c r="I255" i="13"/>
  <c r="J255" i="13"/>
  <c r="K255" i="13"/>
  <c r="L255" i="13"/>
  <c r="E256" i="13"/>
  <c r="F256" i="13"/>
  <c r="G256" i="13"/>
  <c r="H256" i="13"/>
  <c r="I256" i="13"/>
  <c r="J256" i="13"/>
  <c r="K256" i="13"/>
  <c r="L256" i="13"/>
  <c r="E257" i="13"/>
  <c r="F257" i="13"/>
  <c r="G257" i="13"/>
  <c r="H257" i="13"/>
  <c r="I257" i="13"/>
  <c r="J257" i="13"/>
  <c r="K257" i="13"/>
  <c r="L257" i="13"/>
  <c r="E258" i="13"/>
  <c r="F258" i="13"/>
  <c r="G258" i="13"/>
  <c r="H258" i="13"/>
  <c r="I258" i="13"/>
  <c r="J258" i="13"/>
  <c r="K258" i="13"/>
  <c r="L258" i="13"/>
  <c r="E259" i="13"/>
  <c r="F259" i="13"/>
  <c r="G259" i="13"/>
  <c r="H259" i="13"/>
  <c r="I259" i="13"/>
  <c r="J259" i="13"/>
  <c r="K259" i="13"/>
  <c r="L259" i="13"/>
  <c r="E260" i="13"/>
  <c r="F260" i="13"/>
  <c r="G260" i="13"/>
  <c r="H260" i="13"/>
  <c r="I260" i="13"/>
  <c r="J260" i="13"/>
  <c r="K260" i="13"/>
  <c r="L260" i="13"/>
  <c r="E261" i="13"/>
  <c r="F261" i="13"/>
  <c r="G261" i="13"/>
  <c r="H261" i="13"/>
  <c r="I261" i="13"/>
  <c r="J261" i="13"/>
  <c r="K261" i="13"/>
  <c r="L261" i="13"/>
  <c r="E262" i="13"/>
  <c r="F262" i="13"/>
  <c r="G262" i="13"/>
  <c r="H262" i="13"/>
  <c r="I262" i="13"/>
  <c r="J262" i="13"/>
  <c r="K262" i="13"/>
  <c r="L262" i="13"/>
  <c r="E263" i="13"/>
  <c r="F263" i="13"/>
  <c r="G263" i="13"/>
  <c r="H263" i="13"/>
  <c r="I263" i="13"/>
  <c r="J263" i="13"/>
  <c r="K263" i="13"/>
  <c r="L263" i="13"/>
  <c r="E264" i="13"/>
  <c r="F264" i="13"/>
  <c r="G264" i="13"/>
  <c r="H264" i="13"/>
  <c r="I264" i="13"/>
  <c r="J264" i="13"/>
  <c r="K264" i="13"/>
  <c r="L264" i="13"/>
  <c r="E265" i="13"/>
  <c r="F265" i="13"/>
  <c r="G265" i="13"/>
  <c r="H265" i="13"/>
  <c r="I265" i="13"/>
  <c r="J265" i="13"/>
  <c r="K265" i="13"/>
  <c r="L265" i="13"/>
  <c r="E266" i="13"/>
  <c r="F266" i="13"/>
  <c r="G266" i="13"/>
  <c r="H266" i="13"/>
  <c r="I266" i="13"/>
  <c r="J266" i="13"/>
  <c r="K266" i="13"/>
  <c r="L266" i="13"/>
  <c r="E267" i="13"/>
  <c r="F267" i="13"/>
  <c r="G267" i="13"/>
  <c r="H267" i="13"/>
  <c r="I267" i="13"/>
  <c r="J267" i="13"/>
  <c r="K267" i="13"/>
  <c r="L267" i="13"/>
  <c r="G268" i="13"/>
  <c r="H268" i="13"/>
  <c r="I268" i="13"/>
  <c r="J268" i="13"/>
  <c r="K268" i="13"/>
  <c r="L268" i="13"/>
  <c r="G269" i="13"/>
  <c r="H269" i="13"/>
  <c r="I269" i="13"/>
  <c r="J269" i="13"/>
  <c r="K269" i="13"/>
  <c r="L269" i="13"/>
  <c r="E270" i="13"/>
  <c r="F270" i="13"/>
  <c r="G270" i="13"/>
  <c r="H270" i="13"/>
  <c r="I270" i="13"/>
  <c r="J270" i="13"/>
  <c r="K270" i="13"/>
  <c r="L270" i="13"/>
  <c r="E271" i="13"/>
  <c r="F271" i="13"/>
  <c r="G271" i="13"/>
  <c r="H271" i="13"/>
  <c r="I271" i="13"/>
  <c r="J271" i="13"/>
  <c r="K271" i="13"/>
  <c r="L271" i="13"/>
  <c r="E272" i="13"/>
  <c r="F272" i="13"/>
  <c r="G272" i="13"/>
  <c r="H272" i="13"/>
  <c r="I272" i="13"/>
  <c r="J272" i="13"/>
  <c r="K272" i="13"/>
  <c r="L272" i="13"/>
  <c r="E273" i="13"/>
  <c r="F273" i="13"/>
  <c r="G273" i="13"/>
  <c r="H273" i="13"/>
  <c r="I273" i="13"/>
  <c r="J273" i="13"/>
  <c r="K273" i="13"/>
  <c r="L273" i="13"/>
  <c r="E274" i="13"/>
  <c r="F274" i="13"/>
  <c r="G274" i="13"/>
  <c r="H274" i="13"/>
  <c r="I274" i="13"/>
  <c r="J274" i="13"/>
  <c r="K274" i="13"/>
  <c r="L274" i="13"/>
  <c r="E275" i="13"/>
  <c r="F275" i="13"/>
  <c r="G275" i="13"/>
  <c r="H275" i="13"/>
  <c r="I275" i="13"/>
  <c r="J275" i="13"/>
  <c r="K275" i="13"/>
  <c r="L275" i="13"/>
  <c r="E276" i="13"/>
  <c r="F276" i="13"/>
  <c r="G276" i="13"/>
  <c r="H276" i="13"/>
  <c r="I276" i="13"/>
  <c r="J276" i="13"/>
  <c r="K276" i="13"/>
  <c r="L276" i="13"/>
  <c r="E277" i="13"/>
  <c r="F277" i="13"/>
  <c r="G277" i="13"/>
  <c r="H277" i="13"/>
  <c r="I277" i="13"/>
  <c r="J277" i="13"/>
  <c r="K277" i="13"/>
  <c r="L277" i="13"/>
  <c r="E278" i="13"/>
  <c r="F278" i="13"/>
  <c r="G278" i="13"/>
  <c r="H278" i="13"/>
  <c r="I278" i="13"/>
  <c r="J278" i="13"/>
  <c r="K278" i="13"/>
  <c r="L278" i="13"/>
  <c r="L232" i="13"/>
  <c r="K232" i="13"/>
  <c r="J232" i="13"/>
  <c r="I232" i="13"/>
  <c r="H232" i="13"/>
  <c r="G232" i="13"/>
  <c r="F232" i="13"/>
  <c r="E232" i="13"/>
  <c r="C233" i="13"/>
  <c r="C234" i="13"/>
  <c r="C235" i="13"/>
  <c r="C236" i="13"/>
  <c r="C237" i="13"/>
  <c r="C238" i="13"/>
  <c r="C239" i="13"/>
  <c r="C240" i="13"/>
  <c r="C241" i="13"/>
  <c r="C242" i="13"/>
  <c r="C243" i="13"/>
  <c r="C244" i="13"/>
  <c r="C245" i="13"/>
  <c r="C246" i="13"/>
  <c r="C247" i="13"/>
  <c r="C248" i="13"/>
  <c r="C249" i="13"/>
  <c r="C250" i="13"/>
  <c r="C251" i="13"/>
  <c r="C252" i="13"/>
  <c r="C253" i="13"/>
  <c r="C254" i="13"/>
  <c r="C255" i="13"/>
  <c r="C256" i="13"/>
  <c r="C257" i="13"/>
  <c r="C258" i="13"/>
  <c r="C259" i="13"/>
  <c r="C260" i="13"/>
  <c r="C261" i="13"/>
  <c r="C262" i="13"/>
  <c r="C263" i="13"/>
  <c r="C264" i="13"/>
  <c r="C265" i="13"/>
  <c r="C266" i="13"/>
  <c r="C267" i="13"/>
  <c r="C268" i="13"/>
  <c r="C269" i="13"/>
  <c r="C270" i="13"/>
  <c r="C271" i="13"/>
  <c r="C272" i="13"/>
  <c r="C273" i="13"/>
  <c r="C274" i="13"/>
  <c r="C275" i="13"/>
  <c r="C276" i="13"/>
  <c r="C277" i="13"/>
  <c r="C278" i="13"/>
  <c r="C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32" i="13"/>
  <c r="E186" i="13"/>
  <c r="F186" i="13"/>
  <c r="G186" i="13"/>
  <c r="H186" i="13"/>
  <c r="I186" i="13"/>
  <c r="J186" i="13"/>
  <c r="K186" i="13"/>
  <c r="L186" i="13"/>
  <c r="E187" i="13"/>
  <c r="F187" i="13"/>
  <c r="G187" i="13"/>
  <c r="H187" i="13"/>
  <c r="I187" i="13"/>
  <c r="J187" i="13"/>
  <c r="K187" i="13"/>
  <c r="L187" i="13"/>
  <c r="E188" i="13"/>
  <c r="F188" i="13"/>
  <c r="G188" i="13"/>
  <c r="H188" i="13"/>
  <c r="I188" i="13"/>
  <c r="J188" i="13"/>
  <c r="K188" i="13"/>
  <c r="L188" i="13"/>
  <c r="E189" i="13"/>
  <c r="F189" i="13"/>
  <c r="G189" i="13"/>
  <c r="H189" i="13"/>
  <c r="I189" i="13"/>
  <c r="J189" i="13"/>
  <c r="K189" i="13"/>
  <c r="L189" i="13"/>
  <c r="E190" i="13"/>
  <c r="F190" i="13"/>
  <c r="G190" i="13"/>
  <c r="H190" i="13"/>
  <c r="I190" i="13"/>
  <c r="J190" i="13"/>
  <c r="K190" i="13"/>
  <c r="L190" i="13"/>
  <c r="E191" i="13"/>
  <c r="F191" i="13"/>
  <c r="G191" i="13"/>
  <c r="H191" i="13"/>
  <c r="I191" i="13"/>
  <c r="J191" i="13"/>
  <c r="K191" i="13"/>
  <c r="L191" i="13"/>
  <c r="E192" i="13"/>
  <c r="F192" i="13"/>
  <c r="G192" i="13"/>
  <c r="H192" i="13"/>
  <c r="I192" i="13"/>
  <c r="J192" i="13"/>
  <c r="K192" i="13"/>
  <c r="L192" i="13"/>
  <c r="E193" i="13"/>
  <c r="F193" i="13"/>
  <c r="G193" i="13"/>
  <c r="H193" i="13"/>
  <c r="I193" i="13"/>
  <c r="J193" i="13"/>
  <c r="K193" i="13"/>
  <c r="L193" i="13"/>
  <c r="E194" i="13"/>
  <c r="F194" i="13"/>
  <c r="G194" i="13"/>
  <c r="H194" i="13"/>
  <c r="I194" i="13"/>
  <c r="J194" i="13"/>
  <c r="K194" i="13"/>
  <c r="L194" i="13"/>
  <c r="E195" i="13"/>
  <c r="F195" i="13"/>
  <c r="G195" i="13"/>
  <c r="H195" i="13"/>
  <c r="I195" i="13"/>
  <c r="J195" i="13"/>
  <c r="K195" i="13"/>
  <c r="L195" i="13"/>
  <c r="E196" i="13"/>
  <c r="F196" i="13"/>
  <c r="G196" i="13"/>
  <c r="H196" i="13"/>
  <c r="I196" i="13"/>
  <c r="J196" i="13"/>
  <c r="K196" i="13"/>
  <c r="L196" i="13"/>
  <c r="E197" i="13"/>
  <c r="F197" i="13"/>
  <c r="G197" i="13"/>
  <c r="H197" i="13"/>
  <c r="I197" i="13"/>
  <c r="J197" i="13"/>
  <c r="K197" i="13"/>
  <c r="L197" i="13"/>
  <c r="E198" i="13"/>
  <c r="F198" i="13"/>
  <c r="G198" i="13"/>
  <c r="H198" i="13"/>
  <c r="I198" i="13"/>
  <c r="J198" i="13"/>
  <c r="K198" i="13"/>
  <c r="L198" i="13"/>
  <c r="E199" i="13"/>
  <c r="F199" i="13"/>
  <c r="G199" i="13"/>
  <c r="H199" i="13"/>
  <c r="I199" i="13"/>
  <c r="J199" i="13"/>
  <c r="K199" i="13"/>
  <c r="L199" i="13"/>
  <c r="E200" i="13"/>
  <c r="F200" i="13"/>
  <c r="G200" i="13"/>
  <c r="H200" i="13"/>
  <c r="I200" i="13"/>
  <c r="J200" i="13"/>
  <c r="K200" i="13"/>
  <c r="L200" i="13"/>
  <c r="E201" i="13"/>
  <c r="F201" i="13"/>
  <c r="G201" i="13"/>
  <c r="H201" i="13"/>
  <c r="I201" i="13"/>
  <c r="J201" i="13"/>
  <c r="K201" i="13"/>
  <c r="L201" i="13"/>
  <c r="E202" i="13"/>
  <c r="F202" i="13"/>
  <c r="G202" i="13"/>
  <c r="H202" i="13"/>
  <c r="I202" i="13"/>
  <c r="J202" i="13"/>
  <c r="K202" i="13"/>
  <c r="L202" i="13"/>
  <c r="E203" i="13"/>
  <c r="F203" i="13"/>
  <c r="G203" i="13"/>
  <c r="H203" i="13"/>
  <c r="I203" i="13"/>
  <c r="J203" i="13"/>
  <c r="K203" i="13"/>
  <c r="L203" i="13"/>
  <c r="E204" i="13"/>
  <c r="F204" i="13"/>
  <c r="G204" i="13"/>
  <c r="H204" i="13"/>
  <c r="I204" i="13"/>
  <c r="J204" i="13"/>
  <c r="K204" i="13"/>
  <c r="L204" i="13"/>
  <c r="E205" i="13"/>
  <c r="F205" i="13"/>
  <c r="G205" i="13"/>
  <c r="H205" i="13"/>
  <c r="I205" i="13"/>
  <c r="J205" i="13"/>
  <c r="K205" i="13"/>
  <c r="L205" i="13"/>
  <c r="E206" i="13"/>
  <c r="F206" i="13"/>
  <c r="G206" i="13"/>
  <c r="H206" i="13"/>
  <c r="I206" i="13"/>
  <c r="J206" i="13"/>
  <c r="K206" i="13"/>
  <c r="L206" i="13"/>
  <c r="E207" i="13"/>
  <c r="F207" i="13"/>
  <c r="G207" i="13"/>
  <c r="H207" i="13"/>
  <c r="I207" i="13"/>
  <c r="J207" i="13"/>
  <c r="K207" i="13"/>
  <c r="L207" i="13"/>
  <c r="E208" i="13"/>
  <c r="F208" i="13"/>
  <c r="G208" i="13"/>
  <c r="H208" i="13"/>
  <c r="I208" i="13"/>
  <c r="J208" i="13"/>
  <c r="K208" i="13"/>
  <c r="L208" i="13"/>
  <c r="E209" i="13"/>
  <c r="F209" i="13"/>
  <c r="G209" i="13"/>
  <c r="H209" i="13"/>
  <c r="I209" i="13"/>
  <c r="J209" i="13"/>
  <c r="K209" i="13"/>
  <c r="L209" i="13"/>
  <c r="E210" i="13"/>
  <c r="F210" i="13"/>
  <c r="G210" i="13"/>
  <c r="H210" i="13"/>
  <c r="I210" i="13"/>
  <c r="J210" i="13"/>
  <c r="K210" i="13"/>
  <c r="L210" i="13"/>
  <c r="E211" i="13"/>
  <c r="F211" i="13"/>
  <c r="G211" i="13"/>
  <c r="H211" i="13"/>
  <c r="I211" i="13"/>
  <c r="J211" i="13"/>
  <c r="K211" i="13"/>
  <c r="L211" i="13"/>
  <c r="E212" i="13"/>
  <c r="F212" i="13"/>
  <c r="G212" i="13"/>
  <c r="H212" i="13"/>
  <c r="I212" i="13"/>
  <c r="J212" i="13"/>
  <c r="K212" i="13"/>
  <c r="L212" i="13"/>
  <c r="E213" i="13"/>
  <c r="F213" i="13"/>
  <c r="G213" i="13"/>
  <c r="H213" i="13"/>
  <c r="I213" i="13"/>
  <c r="J213" i="13"/>
  <c r="K213" i="13"/>
  <c r="L213" i="13"/>
  <c r="E214" i="13"/>
  <c r="F214" i="13"/>
  <c r="G214" i="13"/>
  <c r="H214" i="13"/>
  <c r="I214" i="13"/>
  <c r="J214" i="13"/>
  <c r="K214" i="13"/>
  <c r="L214" i="13"/>
  <c r="E215" i="13"/>
  <c r="F215" i="13"/>
  <c r="G215" i="13"/>
  <c r="H215" i="13"/>
  <c r="I215" i="13"/>
  <c r="J215" i="13"/>
  <c r="K215" i="13"/>
  <c r="L215" i="13"/>
  <c r="E216" i="13"/>
  <c r="F216" i="13"/>
  <c r="G216" i="13"/>
  <c r="H216" i="13"/>
  <c r="I216" i="13"/>
  <c r="J216" i="13"/>
  <c r="K216" i="13"/>
  <c r="L216" i="13"/>
  <c r="E217" i="13"/>
  <c r="F217" i="13"/>
  <c r="G217" i="13"/>
  <c r="H217" i="13"/>
  <c r="I217" i="13"/>
  <c r="J217" i="13"/>
  <c r="K217" i="13"/>
  <c r="L217" i="13"/>
  <c r="E218" i="13"/>
  <c r="F218" i="13"/>
  <c r="G218" i="13"/>
  <c r="H218" i="13"/>
  <c r="I218" i="13"/>
  <c r="J218" i="13"/>
  <c r="K218" i="13"/>
  <c r="L218" i="13"/>
  <c r="E219" i="13"/>
  <c r="F219" i="13"/>
  <c r="G219" i="13"/>
  <c r="H219" i="13"/>
  <c r="I219" i="13"/>
  <c r="J219" i="13"/>
  <c r="K219" i="13"/>
  <c r="L219" i="13"/>
  <c r="E220" i="13"/>
  <c r="F220" i="13"/>
  <c r="G220" i="13"/>
  <c r="H220" i="13"/>
  <c r="I220" i="13"/>
  <c r="J220" i="13"/>
  <c r="K220" i="13"/>
  <c r="L220" i="13"/>
  <c r="E221" i="13"/>
  <c r="F221" i="13"/>
  <c r="G221" i="13"/>
  <c r="H221" i="13"/>
  <c r="I221" i="13"/>
  <c r="J221" i="13"/>
  <c r="K221" i="13"/>
  <c r="L221" i="13"/>
  <c r="E222" i="13"/>
  <c r="F222" i="13"/>
  <c r="G222" i="13"/>
  <c r="H222" i="13"/>
  <c r="I222" i="13"/>
  <c r="J222" i="13"/>
  <c r="K222" i="13"/>
  <c r="L222" i="13"/>
  <c r="E223" i="13"/>
  <c r="F223" i="13"/>
  <c r="G223" i="13"/>
  <c r="H223" i="13"/>
  <c r="I223" i="13"/>
  <c r="J223" i="13"/>
  <c r="K223" i="13"/>
  <c r="L223" i="13"/>
  <c r="E224" i="13"/>
  <c r="F224" i="13"/>
  <c r="G224" i="13"/>
  <c r="H224" i="13"/>
  <c r="I224" i="13"/>
  <c r="J224" i="13"/>
  <c r="K224" i="13"/>
  <c r="L224" i="13"/>
  <c r="E225" i="13"/>
  <c r="F225" i="13"/>
  <c r="G225" i="13"/>
  <c r="H225" i="13"/>
  <c r="I225" i="13"/>
  <c r="J225" i="13"/>
  <c r="K225" i="13"/>
  <c r="L225" i="13"/>
  <c r="E226" i="13"/>
  <c r="F226" i="13"/>
  <c r="G226" i="13"/>
  <c r="H226" i="13"/>
  <c r="I226" i="13"/>
  <c r="J226" i="13"/>
  <c r="K226" i="13"/>
  <c r="L226" i="13"/>
  <c r="E227" i="13"/>
  <c r="F227" i="13"/>
  <c r="G227" i="13"/>
  <c r="H227" i="13"/>
  <c r="I227" i="13"/>
  <c r="J227" i="13"/>
  <c r="K227" i="13"/>
  <c r="L227" i="13"/>
  <c r="E228" i="13"/>
  <c r="F228" i="13"/>
  <c r="G228" i="13"/>
  <c r="H228" i="13"/>
  <c r="I228" i="13"/>
  <c r="J228" i="13"/>
  <c r="K228" i="13"/>
  <c r="L228" i="13"/>
  <c r="E229" i="13"/>
  <c r="F229" i="13"/>
  <c r="G229" i="13"/>
  <c r="H229" i="13"/>
  <c r="I229" i="13"/>
  <c r="J229" i="13"/>
  <c r="K229" i="13"/>
  <c r="L229" i="13"/>
  <c r="E230" i="13"/>
  <c r="F230" i="13"/>
  <c r="G230" i="13"/>
  <c r="H230" i="13"/>
  <c r="I230" i="13"/>
  <c r="J230" i="13"/>
  <c r="K230" i="13"/>
  <c r="L230" i="13"/>
  <c r="E231" i="13"/>
  <c r="F231" i="13"/>
  <c r="G231" i="13"/>
  <c r="H231" i="13"/>
  <c r="I231" i="13"/>
  <c r="J231" i="13"/>
  <c r="K231" i="13"/>
  <c r="L231" i="13"/>
  <c r="L185" i="13"/>
  <c r="K185" i="13"/>
  <c r="J185" i="13"/>
  <c r="I185" i="13"/>
  <c r="H185" i="13"/>
  <c r="G185" i="13"/>
  <c r="F185" i="13"/>
  <c r="E185" i="13"/>
  <c r="C186" i="13"/>
  <c r="C187" i="13"/>
  <c r="C188" i="13"/>
  <c r="C189" i="13"/>
  <c r="C190" i="13"/>
  <c r="C191" i="13"/>
  <c r="C192" i="13"/>
  <c r="C193" i="13"/>
  <c r="C194" i="13"/>
  <c r="C195" i="13"/>
  <c r="C196" i="13"/>
  <c r="C197" i="13"/>
  <c r="C198" i="13"/>
  <c r="C199" i="13"/>
  <c r="C200" i="13"/>
  <c r="C201" i="13"/>
  <c r="C202" i="13"/>
  <c r="C203" i="13"/>
  <c r="C204" i="13"/>
  <c r="C205" i="13"/>
  <c r="C206" i="13"/>
  <c r="C207" i="13"/>
  <c r="C208" i="13"/>
  <c r="C209" i="13"/>
  <c r="C210" i="13"/>
  <c r="C211" i="13"/>
  <c r="C212" i="13"/>
  <c r="C213" i="13"/>
  <c r="C214" i="13"/>
  <c r="C215" i="13"/>
  <c r="C216" i="13"/>
  <c r="C217" i="13"/>
  <c r="C218" i="13"/>
  <c r="C219" i="13"/>
  <c r="C220" i="13"/>
  <c r="C221" i="13"/>
  <c r="C222" i="13"/>
  <c r="C223" i="13"/>
  <c r="C224" i="13"/>
  <c r="C225" i="13"/>
  <c r="C226" i="13"/>
  <c r="C227" i="13"/>
  <c r="C228" i="13"/>
  <c r="C229" i="13"/>
  <c r="C230" i="13"/>
  <c r="C231" i="13"/>
  <c r="C185" i="13"/>
  <c r="A220" i="13"/>
  <c r="A221" i="13"/>
  <c r="A222" i="13"/>
  <c r="A223" i="13"/>
  <c r="A224" i="13"/>
  <c r="A225" i="13"/>
  <c r="A226" i="13"/>
  <c r="A227" i="13"/>
  <c r="A228" i="13"/>
  <c r="A229" i="13"/>
  <c r="A230" i="13"/>
  <c r="A231"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185" i="13"/>
  <c r="D10" i="18" l="1" a="1"/>
  <c r="D10" i="18" s="1"/>
  <c r="B11" i="18" a="1"/>
  <c r="B11" i="18" s="1"/>
  <c r="C11" i="18" s="1"/>
  <c r="D11" i="18" s="1" a="1"/>
  <c r="D11" i="18" s="1"/>
  <c r="E136" i="13"/>
  <c r="F136" i="13"/>
  <c r="G136" i="13"/>
  <c r="H136" i="13"/>
  <c r="I136" i="13"/>
  <c r="J136" i="13"/>
  <c r="K136" i="13"/>
  <c r="L136" i="13"/>
  <c r="E137" i="13"/>
  <c r="F137" i="13"/>
  <c r="G137" i="13"/>
  <c r="H137" i="13"/>
  <c r="I137" i="13"/>
  <c r="J137" i="13"/>
  <c r="K137" i="13"/>
  <c r="L137" i="13"/>
  <c r="E138" i="13"/>
  <c r="F138" i="13"/>
  <c r="G138" i="13"/>
  <c r="H138" i="13"/>
  <c r="I138" i="13"/>
  <c r="J138" i="13"/>
  <c r="K138" i="13"/>
  <c r="L138" i="13"/>
  <c r="E139" i="13"/>
  <c r="F139" i="13"/>
  <c r="G139" i="13"/>
  <c r="H139" i="13"/>
  <c r="I139" i="13"/>
  <c r="J139" i="13"/>
  <c r="K139" i="13"/>
  <c r="L139" i="13"/>
  <c r="E140" i="13"/>
  <c r="F140" i="13"/>
  <c r="G140" i="13"/>
  <c r="H140" i="13"/>
  <c r="I140" i="13"/>
  <c r="J140" i="13"/>
  <c r="K140" i="13"/>
  <c r="L140" i="13"/>
  <c r="E141" i="13"/>
  <c r="F141" i="13"/>
  <c r="G141" i="13"/>
  <c r="H141" i="13"/>
  <c r="I141" i="13"/>
  <c r="J141" i="13"/>
  <c r="K141" i="13"/>
  <c r="L141" i="13"/>
  <c r="E142" i="13"/>
  <c r="F142" i="13"/>
  <c r="G142" i="13"/>
  <c r="H142" i="13"/>
  <c r="I142" i="13"/>
  <c r="J142" i="13"/>
  <c r="K142" i="13"/>
  <c r="L142" i="13"/>
  <c r="E143" i="13"/>
  <c r="F143" i="13"/>
  <c r="G143" i="13"/>
  <c r="H143" i="13"/>
  <c r="I143" i="13"/>
  <c r="J143" i="13"/>
  <c r="K143" i="13"/>
  <c r="L143" i="13"/>
  <c r="E144" i="13"/>
  <c r="F144" i="13"/>
  <c r="G144" i="13"/>
  <c r="H144" i="13"/>
  <c r="I144" i="13"/>
  <c r="J144" i="13"/>
  <c r="K144" i="13"/>
  <c r="L144" i="13"/>
  <c r="E145" i="13"/>
  <c r="F145" i="13"/>
  <c r="G145" i="13"/>
  <c r="H145" i="13"/>
  <c r="I145" i="13"/>
  <c r="J145" i="13"/>
  <c r="K145" i="13"/>
  <c r="L145" i="13"/>
  <c r="E146" i="13"/>
  <c r="F146" i="13"/>
  <c r="G146" i="13"/>
  <c r="H146" i="13"/>
  <c r="I146" i="13"/>
  <c r="J146" i="13"/>
  <c r="K146" i="13"/>
  <c r="L146" i="13"/>
  <c r="E147" i="13"/>
  <c r="F147" i="13"/>
  <c r="G147" i="13"/>
  <c r="H147" i="13"/>
  <c r="I147" i="13"/>
  <c r="J147" i="13"/>
  <c r="K147" i="13"/>
  <c r="L147" i="13"/>
  <c r="E148" i="13"/>
  <c r="F148" i="13"/>
  <c r="G148" i="13"/>
  <c r="H148" i="13"/>
  <c r="I148" i="13"/>
  <c r="J148" i="13"/>
  <c r="K148" i="13"/>
  <c r="L148" i="13"/>
  <c r="E149" i="13"/>
  <c r="F149" i="13"/>
  <c r="G149" i="13"/>
  <c r="H149" i="13"/>
  <c r="I149" i="13"/>
  <c r="J149" i="13"/>
  <c r="K149" i="13"/>
  <c r="L149" i="13"/>
  <c r="E150" i="13"/>
  <c r="F150" i="13"/>
  <c r="G150" i="13"/>
  <c r="H150" i="13"/>
  <c r="I150" i="13"/>
  <c r="J150" i="13"/>
  <c r="K150" i="13"/>
  <c r="L150" i="13"/>
  <c r="E151" i="13"/>
  <c r="F151" i="13"/>
  <c r="G151" i="13"/>
  <c r="H151" i="13"/>
  <c r="I151" i="13"/>
  <c r="J151" i="13"/>
  <c r="K151" i="13"/>
  <c r="L151" i="13"/>
  <c r="E152" i="13"/>
  <c r="F152" i="13"/>
  <c r="G152" i="13"/>
  <c r="H152" i="13"/>
  <c r="I152" i="13"/>
  <c r="J152" i="13"/>
  <c r="K152" i="13"/>
  <c r="L152" i="13"/>
  <c r="E153" i="13"/>
  <c r="F153" i="13"/>
  <c r="G153" i="13"/>
  <c r="H153" i="13"/>
  <c r="I153" i="13"/>
  <c r="J153" i="13"/>
  <c r="K153" i="13"/>
  <c r="L153" i="13"/>
  <c r="E154" i="13"/>
  <c r="F154" i="13"/>
  <c r="G154" i="13"/>
  <c r="H154" i="13"/>
  <c r="I154" i="13"/>
  <c r="J154" i="13"/>
  <c r="K154" i="13"/>
  <c r="L154" i="13"/>
  <c r="E155" i="13"/>
  <c r="F155" i="13"/>
  <c r="G155" i="13"/>
  <c r="H155" i="13"/>
  <c r="I155" i="13"/>
  <c r="J155" i="13"/>
  <c r="K155" i="13"/>
  <c r="L155" i="13"/>
  <c r="E156" i="13"/>
  <c r="F156" i="13"/>
  <c r="G156" i="13"/>
  <c r="H156" i="13"/>
  <c r="I156" i="13"/>
  <c r="J156" i="13"/>
  <c r="K156" i="13"/>
  <c r="L156" i="13"/>
  <c r="E157" i="13"/>
  <c r="F157" i="13"/>
  <c r="G157" i="13"/>
  <c r="H157" i="13"/>
  <c r="I157" i="13"/>
  <c r="J157" i="13"/>
  <c r="K157" i="13"/>
  <c r="L157" i="13"/>
  <c r="E158" i="13"/>
  <c r="F158" i="13"/>
  <c r="G158" i="13"/>
  <c r="H158" i="13"/>
  <c r="I158" i="13"/>
  <c r="J158" i="13"/>
  <c r="K158" i="13"/>
  <c r="L158" i="13"/>
  <c r="E159" i="13"/>
  <c r="F159" i="13"/>
  <c r="G159" i="13"/>
  <c r="H159" i="13"/>
  <c r="I159" i="13"/>
  <c r="J159" i="13"/>
  <c r="K159" i="13"/>
  <c r="L159" i="13"/>
  <c r="E160" i="13"/>
  <c r="F160" i="13"/>
  <c r="G160" i="13"/>
  <c r="H160" i="13"/>
  <c r="I160" i="13"/>
  <c r="J160" i="13"/>
  <c r="K160" i="13"/>
  <c r="L160" i="13"/>
  <c r="E161" i="13"/>
  <c r="F161" i="13"/>
  <c r="G161" i="13"/>
  <c r="H161" i="13"/>
  <c r="I161" i="13"/>
  <c r="J161" i="13"/>
  <c r="K161" i="13"/>
  <c r="L161" i="13"/>
  <c r="E162" i="13"/>
  <c r="F162" i="13"/>
  <c r="G162" i="13"/>
  <c r="H162" i="13"/>
  <c r="I162" i="13"/>
  <c r="J162" i="13"/>
  <c r="K162" i="13"/>
  <c r="L162" i="13"/>
  <c r="E163" i="13"/>
  <c r="F163" i="13"/>
  <c r="G163" i="13"/>
  <c r="H163" i="13"/>
  <c r="I163" i="13"/>
  <c r="J163" i="13"/>
  <c r="K163" i="13"/>
  <c r="L163" i="13"/>
  <c r="E164" i="13"/>
  <c r="F164" i="13"/>
  <c r="G164" i="13"/>
  <c r="H164" i="13"/>
  <c r="I164" i="13"/>
  <c r="J164" i="13"/>
  <c r="K164" i="13"/>
  <c r="L164" i="13"/>
  <c r="E165" i="13"/>
  <c r="F165" i="13"/>
  <c r="G165" i="13"/>
  <c r="H165" i="13"/>
  <c r="I165" i="13"/>
  <c r="J165" i="13"/>
  <c r="K165" i="13"/>
  <c r="L165" i="13"/>
  <c r="E166" i="13"/>
  <c r="F166" i="13"/>
  <c r="G166" i="13"/>
  <c r="H166" i="13"/>
  <c r="I166" i="13"/>
  <c r="J166" i="13"/>
  <c r="K166" i="13"/>
  <c r="L166" i="13"/>
  <c r="E167" i="13"/>
  <c r="F167" i="13"/>
  <c r="G167" i="13"/>
  <c r="H167" i="13"/>
  <c r="I167" i="13"/>
  <c r="J167" i="13"/>
  <c r="K167" i="13"/>
  <c r="L167" i="13"/>
  <c r="E168" i="13"/>
  <c r="F168" i="13"/>
  <c r="G168" i="13"/>
  <c r="H168" i="13"/>
  <c r="I168" i="13"/>
  <c r="J168" i="13"/>
  <c r="K168" i="13"/>
  <c r="L168" i="13"/>
  <c r="E169" i="13"/>
  <c r="F169" i="13"/>
  <c r="G169" i="13"/>
  <c r="H169" i="13"/>
  <c r="I169" i="13"/>
  <c r="J169" i="13"/>
  <c r="K169" i="13"/>
  <c r="L169" i="13"/>
  <c r="E170" i="13"/>
  <c r="F170" i="13"/>
  <c r="G170" i="13"/>
  <c r="H170" i="13"/>
  <c r="I170" i="13"/>
  <c r="J170" i="13"/>
  <c r="K170" i="13"/>
  <c r="L170" i="13"/>
  <c r="E171" i="13"/>
  <c r="F171" i="13"/>
  <c r="G171" i="13"/>
  <c r="H171" i="13"/>
  <c r="I171" i="13"/>
  <c r="J171" i="13"/>
  <c r="K171" i="13"/>
  <c r="L171" i="13"/>
  <c r="E172" i="13"/>
  <c r="F172" i="13"/>
  <c r="G172" i="13"/>
  <c r="H172" i="13"/>
  <c r="I172" i="13"/>
  <c r="J172" i="13"/>
  <c r="K172" i="13"/>
  <c r="L172" i="13"/>
  <c r="E173" i="13"/>
  <c r="F173" i="13"/>
  <c r="G173" i="13"/>
  <c r="H173" i="13"/>
  <c r="I173" i="13"/>
  <c r="J173" i="13"/>
  <c r="K173" i="13"/>
  <c r="L173" i="13"/>
  <c r="E174" i="13"/>
  <c r="F174" i="13"/>
  <c r="G174" i="13"/>
  <c r="H174" i="13"/>
  <c r="I174" i="13"/>
  <c r="J174" i="13"/>
  <c r="K174" i="13"/>
  <c r="L174" i="13"/>
  <c r="E175" i="13"/>
  <c r="F175" i="13"/>
  <c r="G175" i="13"/>
  <c r="H175" i="13"/>
  <c r="I175" i="13"/>
  <c r="J175" i="13"/>
  <c r="K175" i="13"/>
  <c r="L175" i="13"/>
  <c r="E176" i="13"/>
  <c r="F176" i="13"/>
  <c r="G176" i="13"/>
  <c r="H176" i="13"/>
  <c r="I176" i="13"/>
  <c r="J176" i="13"/>
  <c r="K176" i="13"/>
  <c r="L176" i="13"/>
  <c r="E177" i="13"/>
  <c r="F177" i="13"/>
  <c r="G177" i="13"/>
  <c r="H177" i="13"/>
  <c r="I177" i="13"/>
  <c r="J177" i="13"/>
  <c r="K177" i="13"/>
  <c r="L177" i="13"/>
  <c r="E178" i="13"/>
  <c r="F178" i="13"/>
  <c r="G178" i="13"/>
  <c r="H178" i="13"/>
  <c r="I178" i="13"/>
  <c r="J178" i="13"/>
  <c r="K178" i="13"/>
  <c r="L178" i="13"/>
  <c r="E179" i="13"/>
  <c r="F179" i="13"/>
  <c r="G179" i="13"/>
  <c r="H179" i="13"/>
  <c r="I179" i="13"/>
  <c r="J179" i="13"/>
  <c r="K179" i="13"/>
  <c r="L179" i="13"/>
  <c r="E180" i="13"/>
  <c r="F180" i="13"/>
  <c r="G180" i="13"/>
  <c r="H180" i="13"/>
  <c r="I180" i="13"/>
  <c r="J180" i="13"/>
  <c r="K180" i="13"/>
  <c r="L180" i="13"/>
  <c r="E181" i="13"/>
  <c r="F181" i="13"/>
  <c r="G181" i="13"/>
  <c r="H181" i="13"/>
  <c r="I181" i="13"/>
  <c r="J181" i="13"/>
  <c r="K181" i="13"/>
  <c r="L181" i="13"/>
  <c r="E182" i="13"/>
  <c r="F182" i="13"/>
  <c r="G182" i="13"/>
  <c r="H182" i="13"/>
  <c r="I182" i="13"/>
  <c r="J182" i="13"/>
  <c r="K182" i="13"/>
  <c r="L182" i="13"/>
  <c r="E183" i="13"/>
  <c r="F183" i="13"/>
  <c r="G183" i="13"/>
  <c r="H183" i="13"/>
  <c r="I183" i="13"/>
  <c r="J183" i="13"/>
  <c r="K183" i="13"/>
  <c r="L183" i="13"/>
  <c r="E184" i="13"/>
  <c r="F184" i="13"/>
  <c r="G184" i="13"/>
  <c r="H184" i="13"/>
  <c r="I184" i="13"/>
  <c r="J184" i="13"/>
  <c r="K184" i="13"/>
  <c r="L184" i="13"/>
  <c r="L135" i="13"/>
  <c r="K135" i="13"/>
  <c r="J135" i="13"/>
  <c r="I135" i="13"/>
  <c r="H135" i="13"/>
  <c r="G135" i="13"/>
  <c r="F135" i="13"/>
  <c r="E135" i="13"/>
  <c r="C136" i="13"/>
  <c r="C137" i="13"/>
  <c r="C138" i="13"/>
  <c r="C139" i="13"/>
  <c r="C140" i="13"/>
  <c r="C141" i="13"/>
  <c r="C142" i="13"/>
  <c r="C143" i="13"/>
  <c r="C144" i="13"/>
  <c r="C145" i="13"/>
  <c r="C146" i="13"/>
  <c r="C147" i="13"/>
  <c r="C148" i="13"/>
  <c r="C149" i="13"/>
  <c r="C150" i="13"/>
  <c r="C151" i="13"/>
  <c r="C152" i="13"/>
  <c r="C153" i="13"/>
  <c r="C154" i="13"/>
  <c r="C155" i="13"/>
  <c r="C156" i="13"/>
  <c r="C157" i="13"/>
  <c r="C158" i="13"/>
  <c r="C159" i="13"/>
  <c r="C160" i="13"/>
  <c r="C161" i="13"/>
  <c r="C162" i="13"/>
  <c r="C163" i="13"/>
  <c r="C164" i="13"/>
  <c r="C165" i="13"/>
  <c r="C166" i="13"/>
  <c r="C167" i="13"/>
  <c r="C168" i="13"/>
  <c r="C169" i="13"/>
  <c r="C170" i="13"/>
  <c r="C171" i="13"/>
  <c r="C172" i="13"/>
  <c r="C173" i="13"/>
  <c r="C174" i="13"/>
  <c r="C175" i="13"/>
  <c r="C176" i="13"/>
  <c r="C177" i="13"/>
  <c r="C178" i="13"/>
  <c r="C179" i="13"/>
  <c r="C180" i="13"/>
  <c r="C181" i="13"/>
  <c r="C182" i="13"/>
  <c r="C183" i="13"/>
  <c r="C184" i="13"/>
  <c r="C135" i="13"/>
  <c r="A136" i="13"/>
  <c r="A137" i="13"/>
  <c r="A138" i="13"/>
  <c r="A139" i="13"/>
  <c r="B139" i="13" s="1" a="1"/>
  <c r="B139" i="13" s="1"/>
  <c r="D139" i="13" s="1"/>
  <c r="A140" i="13"/>
  <c r="B140" i="13" s="1" a="1"/>
  <c r="B140" i="13" s="1"/>
  <c r="D140" i="13" s="1"/>
  <c r="A141" i="13"/>
  <c r="B141" i="13" s="1" a="1"/>
  <c r="B141" i="13" s="1"/>
  <c r="D141" i="13" s="1"/>
  <c r="A142" i="13"/>
  <c r="A143" i="13"/>
  <c r="A144" i="13"/>
  <c r="A145" i="13"/>
  <c r="A146" i="13"/>
  <c r="A147" i="13"/>
  <c r="B147" i="13" s="1" a="1"/>
  <c r="B147" i="13" s="1"/>
  <c r="A148" i="13"/>
  <c r="A149" i="13"/>
  <c r="A150" i="13"/>
  <c r="A151" i="13"/>
  <c r="B151" i="13" s="1" a="1"/>
  <c r="B151" i="13" s="1"/>
  <c r="D151" i="13" s="1"/>
  <c r="A152" i="13"/>
  <c r="B152" i="13" s="1" a="1"/>
  <c r="B152" i="13" s="1"/>
  <c r="D152" i="13" s="1"/>
  <c r="A153" i="13"/>
  <c r="B153" i="13" s="1" a="1"/>
  <c r="B153" i="13" s="1"/>
  <c r="D153" i="13" s="1"/>
  <c r="A154" i="13"/>
  <c r="A155" i="13"/>
  <c r="A156" i="13"/>
  <c r="A157" i="13"/>
  <c r="A158" i="13"/>
  <c r="A159" i="13"/>
  <c r="B159" i="13" s="1" a="1"/>
  <c r="B159" i="13" s="1"/>
  <c r="A160" i="13"/>
  <c r="A161" i="13"/>
  <c r="A162" i="13"/>
  <c r="A163" i="13"/>
  <c r="B163" i="13" s="1" a="1"/>
  <c r="B163" i="13" s="1"/>
  <c r="D163" i="13" s="1"/>
  <c r="A164" i="13"/>
  <c r="B164" i="13" s="1" a="1"/>
  <c r="B164" i="13" s="1"/>
  <c r="D164" i="13" s="1"/>
  <c r="A165" i="13"/>
  <c r="B165" i="13" s="1" a="1"/>
  <c r="B165" i="13" s="1"/>
  <c r="D165" i="13" s="1"/>
  <c r="A166" i="13"/>
  <c r="A167" i="13"/>
  <c r="A168" i="13"/>
  <c r="A169" i="13"/>
  <c r="A170" i="13"/>
  <c r="A171" i="13"/>
  <c r="B171" i="13" s="1" a="1"/>
  <c r="B171" i="13" s="1"/>
  <c r="A172" i="13"/>
  <c r="A173" i="13"/>
  <c r="A174" i="13"/>
  <c r="A175" i="13"/>
  <c r="B175" i="13" s="1" a="1"/>
  <c r="B175" i="13" s="1"/>
  <c r="D175" i="13" s="1"/>
  <c r="A176" i="13"/>
  <c r="B176" i="13" s="1" a="1"/>
  <c r="B176" i="13" s="1"/>
  <c r="D176" i="13" s="1"/>
  <c r="A177" i="13"/>
  <c r="B177" i="13" s="1" a="1"/>
  <c r="B177" i="13" s="1"/>
  <c r="D177" i="13" s="1"/>
  <c r="A178" i="13"/>
  <c r="A179" i="13"/>
  <c r="A180" i="13"/>
  <c r="A181" i="13"/>
  <c r="A182" i="13"/>
  <c r="A183" i="13"/>
  <c r="B183" i="13" s="1" a="1"/>
  <c r="B183" i="13" s="1"/>
  <c r="A184" i="13"/>
  <c r="A135" i="13"/>
  <c r="E86" i="13"/>
  <c r="F86" i="13"/>
  <c r="G86" i="13"/>
  <c r="H86" i="13"/>
  <c r="I86" i="13"/>
  <c r="J86" i="13"/>
  <c r="K86" i="13"/>
  <c r="L86" i="13"/>
  <c r="E87" i="13"/>
  <c r="F87" i="13"/>
  <c r="G87" i="13"/>
  <c r="H87" i="13"/>
  <c r="I87" i="13"/>
  <c r="J87" i="13"/>
  <c r="K87" i="13"/>
  <c r="L87" i="13"/>
  <c r="E88" i="13"/>
  <c r="F88" i="13"/>
  <c r="G88" i="13"/>
  <c r="H88" i="13"/>
  <c r="I88" i="13"/>
  <c r="J88" i="13"/>
  <c r="K88" i="13"/>
  <c r="L88" i="13"/>
  <c r="E89" i="13"/>
  <c r="F89" i="13"/>
  <c r="G89" i="13"/>
  <c r="H89" i="13"/>
  <c r="I89" i="13"/>
  <c r="J89" i="13"/>
  <c r="K89" i="13"/>
  <c r="L89" i="13"/>
  <c r="E90" i="13"/>
  <c r="F90" i="13"/>
  <c r="G90" i="13"/>
  <c r="H90" i="13"/>
  <c r="I90" i="13"/>
  <c r="J90" i="13"/>
  <c r="K90" i="13"/>
  <c r="L90" i="13"/>
  <c r="E91" i="13"/>
  <c r="F91" i="13"/>
  <c r="G91" i="13"/>
  <c r="H91" i="13"/>
  <c r="I91" i="13"/>
  <c r="J91" i="13"/>
  <c r="K91" i="13"/>
  <c r="L91" i="13"/>
  <c r="E92" i="13"/>
  <c r="F92" i="13"/>
  <c r="G92" i="13"/>
  <c r="H92" i="13"/>
  <c r="I92" i="13"/>
  <c r="J92" i="13"/>
  <c r="K92" i="13"/>
  <c r="L92" i="13"/>
  <c r="E93" i="13"/>
  <c r="F93" i="13"/>
  <c r="G93" i="13"/>
  <c r="H93" i="13"/>
  <c r="I93" i="13"/>
  <c r="J93" i="13"/>
  <c r="K93" i="13"/>
  <c r="L93" i="13"/>
  <c r="E94" i="13"/>
  <c r="F94" i="13"/>
  <c r="G94" i="13"/>
  <c r="H94" i="13"/>
  <c r="I94" i="13"/>
  <c r="J94" i="13"/>
  <c r="K94" i="13"/>
  <c r="L94" i="13"/>
  <c r="E95" i="13"/>
  <c r="F95" i="13"/>
  <c r="G95" i="13"/>
  <c r="H95" i="13"/>
  <c r="I95" i="13"/>
  <c r="J95" i="13"/>
  <c r="K95" i="13"/>
  <c r="L95" i="13"/>
  <c r="E96" i="13"/>
  <c r="F96" i="13"/>
  <c r="G96" i="13"/>
  <c r="H96" i="13"/>
  <c r="I96" i="13"/>
  <c r="J96" i="13"/>
  <c r="K96" i="13"/>
  <c r="L96" i="13"/>
  <c r="E97" i="13"/>
  <c r="F97" i="13"/>
  <c r="G97" i="13"/>
  <c r="H97" i="13"/>
  <c r="I97" i="13"/>
  <c r="J97" i="13"/>
  <c r="K97" i="13"/>
  <c r="L97" i="13"/>
  <c r="E98" i="13"/>
  <c r="F98" i="13"/>
  <c r="G98" i="13"/>
  <c r="H98" i="13"/>
  <c r="I98" i="13"/>
  <c r="J98" i="13"/>
  <c r="K98" i="13"/>
  <c r="L98" i="13"/>
  <c r="E99" i="13"/>
  <c r="F99" i="13"/>
  <c r="G99" i="13"/>
  <c r="H99" i="13"/>
  <c r="I99" i="13"/>
  <c r="J99" i="13"/>
  <c r="K99" i="13"/>
  <c r="L99" i="13"/>
  <c r="E100" i="13"/>
  <c r="F100" i="13"/>
  <c r="G100" i="13"/>
  <c r="H100" i="13"/>
  <c r="I100" i="13"/>
  <c r="J100" i="13"/>
  <c r="K100" i="13"/>
  <c r="L100" i="13"/>
  <c r="E101" i="13"/>
  <c r="F101" i="13"/>
  <c r="G101" i="13"/>
  <c r="H101" i="13"/>
  <c r="I101" i="13"/>
  <c r="J101" i="13"/>
  <c r="K101" i="13"/>
  <c r="L101" i="13"/>
  <c r="E102" i="13"/>
  <c r="F102" i="13"/>
  <c r="G102" i="13"/>
  <c r="H102" i="13"/>
  <c r="I102" i="13"/>
  <c r="J102" i="13"/>
  <c r="K102" i="13"/>
  <c r="L102" i="13"/>
  <c r="E103" i="13"/>
  <c r="F103" i="13"/>
  <c r="G103" i="13"/>
  <c r="H103" i="13"/>
  <c r="I103" i="13"/>
  <c r="J103" i="13"/>
  <c r="K103" i="13"/>
  <c r="L103" i="13"/>
  <c r="E104" i="13"/>
  <c r="F104" i="13"/>
  <c r="G104" i="13"/>
  <c r="H104" i="13"/>
  <c r="I104" i="13"/>
  <c r="J104" i="13"/>
  <c r="K104" i="13"/>
  <c r="L104" i="13"/>
  <c r="E105" i="13"/>
  <c r="F105" i="13"/>
  <c r="G105" i="13"/>
  <c r="H105" i="13"/>
  <c r="I105" i="13"/>
  <c r="J105" i="13"/>
  <c r="K105" i="13"/>
  <c r="L105" i="13"/>
  <c r="E106" i="13"/>
  <c r="F106" i="13"/>
  <c r="G106" i="13"/>
  <c r="H106" i="13"/>
  <c r="I106" i="13"/>
  <c r="J106" i="13"/>
  <c r="K106" i="13"/>
  <c r="L106" i="13"/>
  <c r="E107" i="13"/>
  <c r="F107" i="13"/>
  <c r="G107" i="13"/>
  <c r="H107" i="13"/>
  <c r="I107" i="13"/>
  <c r="J107" i="13"/>
  <c r="K107" i="13"/>
  <c r="L107" i="13"/>
  <c r="E108" i="13"/>
  <c r="F108" i="13"/>
  <c r="G108" i="13"/>
  <c r="H108" i="13"/>
  <c r="I108" i="13"/>
  <c r="J108" i="13"/>
  <c r="K108" i="13"/>
  <c r="L108" i="13"/>
  <c r="E109" i="13"/>
  <c r="F109" i="13"/>
  <c r="G109" i="13"/>
  <c r="H109" i="13"/>
  <c r="I109" i="13"/>
  <c r="J109" i="13"/>
  <c r="K109" i="13"/>
  <c r="L109" i="13"/>
  <c r="E110" i="13"/>
  <c r="F110" i="13"/>
  <c r="G110" i="13"/>
  <c r="H110" i="13"/>
  <c r="I110" i="13"/>
  <c r="J110" i="13"/>
  <c r="K110" i="13"/>
  <c r="L110" i="13"/>
  <c r="E111" i="13"/>
  <c r="F111" i="13"/>
  <c r="G111" i="13"/>
  <c r="H111" i="13"/>
  <c r="I111" i="13"/>
  <c r="J111" i="13"/>
  <c r="K111" i="13"/>
  <c r="L111" i="13"/>
  <c r="E112" i="13"/>
  <c r="F112" i="13"/>
  <c r="G112" i="13"/>
  <c r="H112" i="13"/>
  <c r="I112" i="13"/>
  <c r="J112" i="13"/>
  <c r="K112" i="13"/>
  <c r="L112" i="13"/>
  <c r="E113" i="13"/>
  <c r="F113" i="13"/>
  <c r="G113" i="13"/>
  <c r="H113" i="13"/>
  <c r="I113" i="13"/>
  <c r="J113" i="13"/>
  <c r="K113" i="13"/>
  <c r="L113" i="13"/>
  <c r="E114" i="13"/>
  <c r="F114" i="13"/>
  <c r="G114" i="13"/>
  <c r="H114" i="13"/>
  <c r="I114" i="13"/>
  <c r="J114" i="13"/>
  <c r="K114" i="13"/>
  <c r="L114" i="13"/>
  <c r="E115" i="13"/>
  <c r="F115" i="13"/>
  <c r="G115" i="13"/>
  <c r="H115" i="13"/>
  <c r="I115" i="13"/>
  <c r="J115" i="13"/>
  <c r="K115" i="13"/>
  <c r="L115" i="13"/>
  <c r="E116" i="13"/>
  <c r="F116" i="13"/>
  <c r="G116" i="13"/>
  <c r="H116" i="13"/>
  <c r="I116" i="13"/>
  <c r="J116" i="13"/>
  <c r="K116" i="13"/>
  <c r="L116" i="13"/>
  <c r="E117" i="13"/>
  <c r="F117" i="13"/>
  <c r="G117" i="13"/>
  <c r="H117" i="13"/>
  <c r="I117" i="13"/>
  <c r="J117" i="13"/>
  <c r="K117" i="13"/>
  <c r="L117" i="13"/>
  <c r="E118" i="13"/>
  <c r="F118" i="13"/>
  <c r="G118" i="13"/>
  <c r="H118" i="13"/>
  <c r="I118" i="13"/>
  <c r="J118" i="13"/>
  <c r="K118" i="13"/>
  <c r="L118" i="13"/>
  <c r="E119" i="13"/>
  <c r="F119" i="13"/>
  <c r="G119" i="13"/>
  <c r="H119" i="13"/>
  <c r="I119" i="13"/>
  <c r="J119" i="13"/>
  <c r="K119" i="13"/>
  <c r="L119" i="13"/>
  <c r="E120" i="13"/>
  <c r="F120" i="13"/>
  <c r="G120" i="13"/>
  <c r="H120" i="13"/>
  <c r="I120" i="13"/>
  <c r="J120" i="13"/>
  <c r="K120" i="13"/>
  <c r="L120" i="13"/>
  <c r="E121" i="13"/>
  <c r="F121" i="13"/>
  <c r="G121" i="13"/>
  <c r="H121" i="13"/>
  <c r="I121" i="13"/>
  <c r="J121" i="13"/>
  <c r="K121" i="13"/>
  <c r="L121" i="13"/>
  <c r="E122" i="13"/>
  <c r="F122" i="13"/>
  <c r="G122" i="13"/>
  <c r="H122" i="13"/>
  <c r="I122" i="13"/>
  <c r="J122" i="13"/>
  <c r="K122" i="13"/>
  <c r="L122" i="13"/>
  <c r="E123" i="13"/>
  <c r="F123" i="13"/>
  <c r="G123" i="13"/>
  <c r="H123" i="13"/>
  <c r="I123" i="13"/>
  <c r="J123" i="13"/>
  <c r="K123" i="13"/>
  <c r="L123" i="13"/>
  <c r="E124" i="13"/>
  <c r="F124" i="13"/>
  <c r="G124" i="13"/>
  <c r="H124" i="13"/>
  <c r="I124" i="13"/>
  <c r="J124" i="13"/>
  <c r="K124" i="13"/>
  <c r="L124" i="13"/>
  <c r="E125" i="13"/>
  <c r="F125" i="13"/>
  <c r="G125" i="13"/>
  <c r="H125" i="13"/>
  <c r="I125" i="13"/>
  <c r="J125" i="13"/>
  <c r="K125" i="13"/>
  <c r="L125" i="13"/>
  <c r="E126" i="13"/>
  <c r="F126" i="13"/>
  <c r="G126" i="13"/>
  <c r="H126" i="13"/>
  <c r="I126" i="13"/>
  <c r="J126" i="13"/>
  <c r="K126" i="13"/>
  <c r="L126" i="13"/>
  <c r="E127" i="13"/>
  <c r="F127" i="13"/>
  <c r="G127" i="13"/>
  <c r="H127" i="13"/>
  <c r="I127" i="13"/>
  <c r="J127" i="13"/>
  <c r="K127" i="13"/>
  <c r="L127" i="13"/>
  <c r="E128" i="13"/>
  <c r="F128" i="13"/>
  <c r="G128" i="13"/>
  <c r="H128" i="13"/>
  <c r="I128" i="13"/>
  <c r="J128" i="13"/>
  <c r="K128" i="13"/>
  <c r="L128" i="13"/>
  <c r="E129" i="13"/>
  <c r="F129" i="13"/>
  <c r="G129" i="13"/>
  <c r="H129" i="13"/>
  <c r="I129" i="13"/>
  <c r="J129" i="13"/>
  <c r="K129" i="13"/>
  <c r="L129" i="13"/>
  <c r="E130" i="13"/>
  <c r="F130" i="13"/>
  <c r="G130" i="13"/>
  <c r="H130" i="13"/>
  <c r="I130" i="13"/>
  <c r="J130" i="13"/>
  <c r="K130" i="13"/>
  <c r="L130" i="13"/>
  <c r="E131" i="13"/>
  <c r="F131" i="13"/>
  <c r="G131" i="13"/>
  <c r="H131" i="13"/>
  <c r="I131" i="13"/>
  <c r="J131" i="13"/>
  <c r="K131" i="13"/>
  <c r="L131" i="13"/>
  <c r="E132" i="13"/>
  <c r="F132" i="13"/>
  <c r="G132" i="13"/>
  <c r="H132" i="13"/>
  <c r="I132" i="13"/>
  <c r="J132" i="13"/>
  <c r="K132" i="13"/>
  <c r="L132" i="13"/>
  <c r="E133" i="13"/>
  <c r="F133" i="13"/>
  <c r="G133" i="13"/>
  <c r="H133" i="13"/>
  <c r="I133" i="13"/>
  <c r="J133" i="13"/>
  <c r="K133" i="13"/>
  <c r="L133" i="13"/>
  <c r="E134" i="13"/>
  <c r="F134" i="13"/>
  <c r="G134" i="13"/>
  <c r="H134" i="13"/>
  <c r="I134" i="13"/>
  <c r="J134" i="13"/>
  <c r="K134" i="13"/>
  <c r="L134" i="13"/>
  <c r="L85" i="13"/>
  <c r="K85" i="13"/>
  <c r="J85" i="13"/>
  <c r="I85" i="13"/>
  <c r="H85" i="13"/>
  <c r="G85" i="13"/>
  <c r="F85" i="13"/>
  <c r="E85" i="13"/>
  <c r="C86" i="13"/>
  <c r="C87" i="13"/>
  <c r="C88" i="13"/>
  <c r="C89" i="13"/>
  <c r="C90" i="13"/>
  <c r="C91" i="13"/>
  <c r="C92" i="13"/>
  <c r="C93" i="13"/>
  <c r="C94" i="13"/>
  <c r="C95" i="13"/>
  <c r="C96" i="13"/>
  <c r="C97" i="13"/>
  <c r="C98" i="13"/>
  <c r="C99" i="13"/>
  <c r="C100" i="13"/>
  <c r="C101" i="13"/>
  <c r="C102" i="13"/>
  <c r="C103" i="13"/>
  <c r="C104" i="13"/>
  <c r="C105" i="13"/>
  <c r="C106" i="13"/>
  <c r="C107" i="13"/>
  <c r="C108" i="13"/>
  <c r="C109" i="13"/>
  <c r="C110" i="13"/>
  <c r="C111" i="13"/>
  <c r="C112" i="13"/>
  <c r="C113" i="13"/>
  <c r="C114" i="13"/>
  <c r="C115" i="13"/>
  <c r="C116" i="13"/>
  <c r="C117" i="13"/>
  <c r="C118" i="13"/>
  <c r="C119" i="13"/>
  <c r="C120" i="13"/>
  <c r="C121" i="13"/>
  <c r="C122" i="13"/>
  <c r="C123" i="13"/>
  <c r="C124" i="13"/>
  <c r="C125" i="13"/>
  <c r="C126" i="13"/>
  <c r="C127" i="13"/>
  <c r="C128" i="13"/>
  <c r="C129" i="13"/>
  <c r="C130" i="13"/>
  <c r="C131" i="13"/>
  <c r="C132" i="13"/>
  <c r="C133" i="13"/>
  <c r="C134" i="13"/>
  <c r="C85" i="13"/>
  <c r="A134" i="13"/>
  <c r="A86" i="13"/>
  <c r="A87" i="13"/>
  <c r="A88" i="13"/>
  <c r="A89" i="13"/>
  <c r="A90" i="13"/>
  <c r="A91" i="13"/>
  <c r="A92" i="13"/>
  <c r="A93" i="13"/>
  <c r="B93" i="13" s="1" a="1"/>
  <c r="B93" i="13" s="1"/>
  <c r="D93" i="13" s="1"/>
  <c r="A94" i="13"/>
  <c r="B94" i="13" s="1" a="1"/>
  <c r="B94" i="13" s="1"/>
  <c r="D94" i="13" s="1"/>
  <c r="A95" i="13"/>
  <c r="A96" i="13"/>
  <c r="A97" i="13"/>
  <c r="B97" i="13" s="1" a="1"/>
  <c r="B97" i="13" s="1"/>
  <c r="A98" i="13"/>
  <c r="A99" i="13"/>
  <c r="A100" i="13"/>
  <c r="A101" i="13"/>
  <c r="A102" i="13"/>
  <c r="A103" i="13"/>
  <c r="A104" i="13"/>
  <c r="B104" i="13" s="1" a="1"/>
  <c r="B104" i="13" s="1"/>
  <c r="D104" i="13" s="1"/>
  <c r="A105" i="13"/>
  <c r="B105" i="13" s="1" a="1"/>
  <c r="B105" i="13" s="1"/>
  <c r="D105" i="13" s="1"/>
  <c r="A106" i="13"/>
  <c r="B106" i="13" s="1" a="1"/>
  <c r="B106" i="13" s="1"/>
  <c r="D106" i="13" s="1"/>
  <c r="A107" i="13"/>
  <c r="A108" i="13"/>
  <c r="A109" i="13"/>
  <c r="B109" i="13" s="1" a="1"/>
  <c r="B109" i="13" s="1"/>
  <c r="A110" i="13"/>
  <c r="A111" i="13"/>
  <c r="A112" i="13"/>
  <c r="A113" i="13"/>
  <c r="A114" i="13"/>
  <c r="A115" i="13"/>
  <c r="A116" i="13"/>
  <c r="B116" i="13" s="1" a="1"/>
  <c r="B116" i="13" s="1"/>
  <c r="D116" i="13" s="1"/>
  <c r="A117" i="13"/>
  <c r="B117" i="13" s="1" a="1"/>
  <c r="B117" i="13" s="1"/>
  <c r="D117" i="13" s="1"/>
  <c r="A118" i="13"/>
  <c r="B118" i="13" s="1" a="1"/>
  <c r="B118" i="13" s="1"/>
  <c r="D118" i="13" s="1"/>
  <c r="A119" i="13"/>
  <c r="A120" i="13"/>
  <c r="A121" i="13"/>
  <c r="B121" i="13" s="1" a="1"/>
  <c r="B121" i="13" s="1"/>
  <c r="A122" i="13"/>
  <c r="A123" i="13"/>
  <c r="A124" i="13"/>
  <c r="A125" i="13"/>
  <c r="A126" i="13"/>
  <c r="A127" i="13"/>
  <c r="A128" i="13"/>
  <c r="B128" i="13" s="1" a="1"/>
  <c r="B128" i="13" s="1"/>
  <c r="D128" i="13" s="1"/>
  <c r="A129" i="13"/>
  <c r="B129" i="13" s="1" a="1"/>
  <c r="B129" i="13" s="1"/>
  <c r="D129" i="13" s="1"/>
  <c r="A130" i="13"/>
  <c r="B130" i="13" s="1" a="1"/>
  <c r="B130" i="13" s="1"/>
  <c r="D130" i="13" s="1"/>
  <c r="A131" i="13"/>
  <c r="A132" i="13"/>
  <c r="A133" i="13"/>
  <c r="B133" i="13" s="1" a="1"/>
  <c r="B133" i="13" s="1"/>
  <c r="A85" i="13"/>
  <c r="B85" i="13" s="1" a="1"/>
  <c r="B85" i="13" s="1"/>
  <c r="E65" i="13"/>
  <c r="F65" i="13"/>
  <c r="G65" i="13"/>
  <c r="H65" i="13"/>
  <c r="I65" i="13"/>
  <c r="J65" i="13"/>
  <c r="K65" i="13"/>
  <c r="L65" i="13"/>
  <c r="E66" i="13"/>
  <c r="F66" i="13"/>
  <c r="G66" i="13"/>
  <c r="H66" i="13"/>
  <c r="I66" i="13"/>
  <c r="J66" i="13"/>
  <c r="K66" i="13"/>
  <c r="L66" i="13"/>
  <c r="E67" i="13"/>
  <c r="F67" i="13"/>
  <c r="G67" i="13"/>
  <c r="H67" i="13"/>
  <c r="I67" i="13"/>
  <c r="J67" i="13"/>
  <c r="K67" i="13"/>
  <c r="L67" i="13"/>
  <c r="E68" i="13"/>
  <c r="F68" i="13"/>
  <c r="G68" i="13"/>
  <c r="H68" i="13"/>
  <c r="I68" i="13"/>
  <c r="J68" i="13"/>
  <c r="K68" i="13"/>
  <c r="L68" i="13"/>
  <c r="E69" i="13"/>
  <c r="F69" i="13"/>
  <c r="G69" i="13"/>
  <c r="H69" i="13"/>
  <c r="I69" i="13"/>
  <c r="J69" i="13"/>
  <c r="K69" i="13"/>
  <c r="L69" i="13"/>
  <c r="E70" i="13"/>
  <c r="F70" i="13"/>
  <c r="G70" i="13"/>
  <c r="H70" i="13"/>
  <c r="I70" i="13"/>
  <c r="J70" i="13"/>
  <c r="K70" i="13"/>
  <c r="L70" i="13"/>
  <c r="E71" i="13"/>
  <c r="F71" i="13"/>
  <c r="G71" i="13"/>
  <c r="H71" i="13"/>
  <c r="I71" i="13"/>
  <c r="J71" i="13"/>
  <c r="K71" i="13"/>
  <c r="L71" i="13"/>
  <c r="E72" i="13"/>
  <c r="F72" i="13"/>
  <c r="G72" i="13"/>
  <c r="H72" i="13"/>
  <c r="I72" i="13"/>
  <c r="J72" i="13"/>
  <c r="K72" i="13"/>
  <c r="L72" i="13"/>
  <c r="E73" i="13"/>
  <c r="F73" i="13"/>
  <c r="G73" i="13"/>
  <c r="H73" i="13"/>
  <c r="I73" i="13"/>
  <c r="J73" i="13"/>
  <c r="K73" i="13"/>
  <c r="L73" i="13"/>
  <c r="E74" i="13"/>
  <c r="F74" i="13"/>
  <c r="G74" i="13"/>
  <c r="H74" i="13"/>
  <c r="I74" i="13"/>
  <c r="J74" i="13"/>
  <c r="K74" i="13"/>
  <c r="L74" i="13"/>
  <c r="E75" i="13"/>
  <c r="F75" i="13"/>
  <c r="G75" i="13"/>
  <c r="H75" i="13"/>
  <c r="I75" i="13"/>
  <c r="J75" i="13"/>
  <c r="K75" i="13"/>
  <c r="L75" i="13"/>
  <c r="E76" i="13"/>
  <c r="F76" i="13"/>
  <c r="G76" i="13"/>
  <c r="H76" i="13"/>
  <c r="I76" i="13"/>
  <c r="J76" i="13"/>
  <c r="K76" i="13"/>
  <c r="L76" i="13"/>
  <c r="E77" i="13"/>
  <c r="F77" i="13"/>
  <c r="G77" i="13"/>
  <c r="H77" i="13"/>
  <c r="I77" i="13"/>
  <c r="J77" i="13"/>
  <c r="K77" i="13"/>
  <c r="L77" i="13"/>
  <c r="E78" i="13"/>
  <c r="F78" i="13"/>
  <c r="G78" i="13"/>
  <c r="H78" i="13"/>
  <c r="I78" i="13"/>
  <c r="J78" i="13"/>
  <c r="K78" i="13"/>
  <c r="L78" i="13"/>
  <c r="E79" i="13"/>
  <c r="F79" i="13"/>
  <c r="G79" i="13"/>
  <c r="H79" i="13"/>
  <c r="I79" i="13"/>
  <c r="J79" i="13"/>
  <c r="K79" i="13"/>
  <c r="L79" i="13"/>
  <c r="E80" i="13"/>
  <c r="F80" i="13"/>
  <c r="G80" i="13"/>
  <c r="H80" i="13"/>
  <c r="I80" i="13"/>
  <c r="J80" i="13"/>
  <c r="K80" i="13"/>
  <c r="L80" i="13"/>
  <c r="E81" i="13"/>
  <c r="F81" i="13"/>
  <c r="G81" i="13"/>
  <c r="H81" i="13"/>
  <c r="I81" i="13"/>
  <c r="J81" i="13"/>
  <c r="K81" i="13"/>
  <c r="L81" i="13"/>
  <c r="E82" i="13"/>
  <c r="F82" i="13"/>
  <c r="G82" i="13"/>
  <c r="H82" i="13"/>
  <c r="I82" i="13"/>
  <c r="J82" i="13"/>
  <c r="K82" i="13"/>
  <c r="L82" i="13"/>
  <c r="E83" i="13"/>
  <c r="F83" i="13"/>
  <c r="G83" i="13"/>
  <c r="H83" i="13"/>
  <c r="I83" i="13"/>
  <c r="J83" i="13"/>
  <c r="K83" i="13"/>
  <c r="L83" i="13"/>
  <c r="E84" i="13"/>
  <c r="F84" i="13"/>
  <c r="G84" i="13"/>
  <c r="H84" i="13"/>
  <c r="I84" i="13"/>
  <c r="K84" i="13"/>
  <c r="L84" i="13"/>
  <c r="L64" i="13"/>
  <c r="K64" i="13"/>
  <c r="J64" i="13"/>
  <c r="I64" i="13"/>
  <c r="H64" i="13"/>
  <c r="G64" i="13"/>
  <c r="F64" i="13"/>
  <c r="E64" i="13"/>
  <c r="B72" i="13" a="1"/>
  <c r="B72" i="13" s="1"/>
  <c r="D72" i="13" s="1"/>
  <c r="C65" i="13"/>
  <c r="C66" i="13"/>
  <c r="C67" i="13"/>
  <c r="C68" i="13"/>
  <c r="C69" i="13"/>
  <c r="C70" i="13"/>
  <c r="C71" i="13"/>
  <c r="C72" i="13"/>
  <c r="C73" i="13"/>
  <c r="C74" i="13"/>
  <c r="C75" i="13"/>
  <c r="C76" i="13"/>
  <c r="C77" i="13"/>
  <c r="C78" i="13"/>
  <c r="C79" i="13"/>
  <c r="C80" i="13"/>
  <c r="C81" i="13"/>
  <c r="C82" i="13"/>
  <c r="C83" i="13"/>
  <c r="C84" i="13"/>
  <c r="C64" i="13"/>
  <c r="A65" i="13"/>
  <c r="B65" i="13" s="1" a="1"/>
  <c r="B65" i="13" s="1"/>
  <c r="A66" i="13"/>
  <c r="B66" i="13" s="1" a="1"/>
  <c r="B66" i="13" s="1"/>
  <c r="A67" i="13"/>
  <c r="B67" i="13" s="1" a="1"/>
  <c r="B67" i="13" s="1"/>
  <c r="D67" i="13" s="1"/>
  <c r="A68" i="13"/>
  <c r="B68" i="13" s="1" a="1"/>
  <c r="B68" i="13" s="1"/>
  <c r="D68" i="13" s="1"/>
  <c r="A69" i="13"/>
  <c r="B69" i="13" s="1" a="1"/>
  <c r="B69" i="13" s="1"/>
  <c r="D69" i="13" s="1"/>
  <c r="A70" i="13"/>
  <c r="B70" i="13" s="1" a="1"/>
  <c r="B70" i="13" s="1"/>
  <c r="D70" i="13" s="1"/>
  <c r="A71" i="13"/>
  <c r="B71" i="13" s="1" a="1"/>
  <c r="B71" i="13" s="1"/>
  <c r="D71" i="13" s="1"/>
  <c r="A72" i="13"/>
  <c r="A73" i="13"/>
  <c r="B73" i="13" s="1" a="1"/>
  <c r="B73" i="13" s="1"/>
  <c r="D73" i="13" s="1"/>
  <c r="A74" i="13"/>
  <c r="B74" i="13" s="1" a="1"/>
  <c r="B74" i="13" s="1"/>
  <c r="D74" i="13" s="1"/>
  <c r="A75" i="13"/>
  <c r="B75" i="13" s="1" a="1"/>
  <c r="B75" i="13" s="1"/>
  <c r="D75" i="13" s="1"/>
  <c r="A76" i="13"/>
  <c r="B76" i="13" s="1" a="1"/>
  <c r="B76" i="13" s="1"/>
  <c r="A77" i="13"/>
  <c r="B77" i="13" s="1" a="1"/>
  <c r="B77" i="13" s="1"/>
  <c r="A78" i="13"/>
  <c r="B78" i="13" s="1" a="1"/>
  <c r="B78" i="13" s="1"/>
  <c r="A79" i="13"/>
  <c r="B79" i="13" s="1" a="1"/>
  <c r="B79" i="13" s="1"/>
  <c r="D79" i="13" s="1"/>
  <c r="A80" i="13"/>
  <c r="B80" i="13" s="1" a="1"/>
  <c r="B80" i="13" s="1"/>
  <c r="D80" i="13" s="1"/>
  <c r="A81" i="13"/>
  <c r="B81" i="13" s="1" a="1"/>
  <c r="B81" i="13" s="1"/>
  <c r="D81" i="13" s="1"/>
  <c r="A82" i="13"/>
  <c r="B82" i="13" s="1" a="1"/>
  <c r="B82" i="13" s="1"/>
  <c r="D82" i="13" s="1"/>
  <c r="A83" i="13"/>
  <c r="B83" i="13" s="1" a="1"/>
  <c r="B83" i="13" s="1"/>
  <c r="D83" i="13" s="1"/>
  <c r="A84" i="13"/>
  <c r="B84" i="13" s="1" a="1"/>
  <c r="B84" i="13" s="1"/>
  <c r="B88" i="13" a="1"/>
  <c r="B88" i="13" s="1"/>
  <c r="D88" i="13" s="1"/>
  <c r="B100" i="13" a="1"/>
  <c r="B100" i="13" s="1"/>
  <c r="D100" i="13" s="1"/>
  <c r="B112" i="13" a="1"/>
  <c r="B112" i="13" s="1"/>
  <c r="D112" i="13" s="1"/>
  <c r="B124" i="13" a="1"/>
  <c r="B124" i="13" s="1"/>
  <c r="D124" i="13" s="1"/>
  <c r="B136" i="13" a="1"/>
  <c r="B136" i="13" s="1"/>
  <c r="D136" i="13" s="1"/>
  <c r="B148" i="13" a="1"/>
  <c r="B148" i="13" s="1"/>
  <c r="D148" i="13" s="1"/>
  <c r="B160" i="13" a="1"/>
  <c r="B160" i="13" s="1"/>
  <c r="D160" i="13" s="1"/>
  <c r="B172" i="13" a="1"/>
  <c r="B172" i="13" s="1"/>
  <c r="D172" i="13" s="1"/>
  <c r="B184" i="13" a="1"/>
  <c r="B184" i="13" s="1"/>
  <c r="D184" i="13" s="1"/>
  <c r="A64" i="13"/>
  <c r="B64" i="13" s="1" a="1"/>
  <c r="B64" i="13" s="1"/>
  <c r="D64" i="13" s="1"/>
  <c r="E45" i="13"/>
  <c r="F45" i="13"/>
  <c r="G45" i="13"/>
  <c r="H45" i="13"/>
  <c r="I45" i="13"/>
  <c r="J45" i="13"/>
  <c r="K45" i="13"/>
  <c r="L45" i="13"/>
  <c r="E46" i="13"/>
  <c r="F46" i="13"/>
  <c r="G46" i="13"/>
  <c r="H46" i="13"/>
  <c r="I46" i="13"/>
  <c r="J46" i="13"/>
  <c r="K46" i="13"/>
  <c r="L46" i="13"/>
  <c r="E47" i="13"/>
  <c r="F47" i="13"/>
  <c r="G47" i="13"/>
  <c r="H47" i="13"/>
  <c r="I47" i="13"/>
  <c r="J47" i="13"/>
  <c r="K47" i="13"/>
  <c r="L47" i="13"/>
  <c r="E48" i="13"/>
  <c r="F48" i="13"/>
  <c r="G48" i="13"/>
  <c r="H48" i="13"/>
  <c r="I48" i="13"/>
  <c r="J48" i="13"/>
  <c r="K48" i="13"/>
  <c r="L48" i="13"/>
  <c r="E49" i="13"/>
  <c r="F49" i="13"/>
  <c r="G49" i="13"/>
  <c r="H49" i="13"/>
  <c r="I49" i="13"/>
  <c r="J49" i="13"/>
  <c r="K49" i="13"/>
  <c r="L49" i="13"/>
  <c r="E50" i="13"/>
  <c r="F50" i="13"/>
  <c r="G50" i="13"/>
  <c r="H50" i="13"/>
  <c r="I50" i="13"/>
  <c r="J50" i="13"/>
  <c r="K50" i="13"/>
  <c r="L50" i="13"/>
  <c r="E51" i="13"/>
  <c r="F51" i="13"/>
  <c r="G51" i="13"/>
  <c r="H51" i="13"/>
  <c r="I51" i="13"/>
  <c r="J51" i="13"/>
  <c r="K51" i="13"/>
  <c r="L51" i="13"/>
  <c r="E52" i="13"/>
  <c r="F52" i="13"/>
  <c r="G52" i="13"/>
  <c r="H52" i="13"/>
  <c r="J52" i="13"/>
  <c r="K52" i="13"/>
  <c r="L52" i="13"/>
  <c r="E53" i="13"/>
  <c r="F53" i="13"/>
  <c r="G53" i="13"/>
  <c r="H53" i="13"/>
  <c r="I53" i="13"/>
  <c r="J53" i="13"/>
  <c r="K53" i="13"/>
  <c r="L53" i="13"/>
  <c r="E54" i="13"/>
  <c r="F54" i="13"/>
  <c r="G54" i="13"/>
  <c r="H54" i="13"/>
  <c r="I54" i="13"/>
  <c r="J54" i="13"/>
  <c r="K54" i="13"/>
  <c r="L54" i="13"/>
  <c r="E55" i="13"/>
  <c r="F55" i="13"/>
  <c r="G55" i="13"/>
  <c r="H55" i="13"/>
  <c r="I55" i="13"/>
  <c r="J55" i="13"/>
  <c r="K55" i="13"/>
  <c r="L55" i="13"/>
  <c r="E56" i="13"/>
  <c r="F56" i="13"/>
  <c r="G56" i="13"/>
  <c r="H56" i="13"/>
  <c r="I56" i="13"/>
  <c r="J56" i="13"/>
  <c r="K56" i="13"/>
  <c r="L56" i="13"/>
  <c r="E57" i="13"/>
  <c r="F57" i="13"/>
  <c r="G57" i="13"/>
  <c r="H57" i="13"/>
  <c r="I57" i="13"/>
  <c r="J57" i="13"/>
  <c r="K57" i="13"/>
  <c r="L57" i="13"/>
  <c r="E58" i="13"/>
  <c r="F58" i="13"/>
  <c r="G58" i="13"/>
  <c r="H58" i="13"/>
  <c r="I58" i="13"/>
  <c r="J58" i="13"/>
  <c r="K58" i="13"/>
  <c r="L58" i="13"/>
  <c r="E59" i="13"/>
  <c r="F59" i="13"/>
  <c r="G59" i="13"/>
  <c r="H59" i="13"/>
  <c r="I59" i="13"/>
  <c r="J59" i="13"/>
  <c r="K59" i="13"/>
  <c r="L59" i="13"/>
  <c r="E60" i="13"/>
  <c r="F60" i="13"/>
  <c r="G60" i="13"/>
  <c r="H60" i="13"/>
  <c r="I60" i="13"/>
  <c r="J60" i="13"/>
  <c r="K60" i="13"/>
  <c r="L60" i="13"/>
  <c r="E61" i="13"/>
  <c r="G61" i="13"/>
  <c r="H61" i="13"/>
  <c r="I61" i="13"/>
  <c r="J61" i="13"/>
  <c r="K61" i="13"/>
  <c r="L61" i="13"/>
  <c r="E62" i="13"/>
  <c r="F62" i="13"/>
  <c r="G62" i="13"/>
  <c r="H62" i="13"/>
  <c r="I62" i="13"/>
  <c r="J62" i="13"/>
  <c r="K62" i="13"/>
  <c r="L62" i="13"/>
  <c r="E63" i="13"/>
  <c r="F63" i="13"/>
  <c r="G63" i="13"/>
  <c r="H63" i="13"/>
  <c r="I63" i="13"/>
  <c r="J63" i="13"/>
  <c r="K63" i="13"/>
  <c r="L63" i="13"/>
  <c r="L44" i="13"/>
  <c r="K44" i="13"/>
  <c r="J44" i="13"/>
  <c r="I44" i="13"/>
  <c r="H44" i="13"/>
  <c r="G44" i="13"/>
  <c r="F44" i="13"/>
  <c r="E44" i="13"/>
  <c r="B86" i="13" a="1"/>
  <c r="B86" i="13" s="1"/>
  <c r="D86" i="13" s="1"/>
  <c r="B87" i="13" a="1"/>
  <c r="B87" i="13" s="1"/>
  <c r="D87" i="13" s="1"/>
  <c r="B89" i="13" a="1"/>
  <c r="B89" i="13" s="1"/>
  <c r="D89" i="13" s="1"/>
  <c r="B90" i="13" a="1"/>
  <c r="B90" i="13" s="1"/>
  <c r="D90" i="13" s="1"/>
  <c r="B91" i="13" a="1"/>
  <c r="B91" i="13" s="1"/>
  <c r="D91" i="13" s="1"/>
  <c r="B92" i="13" a="1"/>
  <c r="B92" i="13" s="1"/>
  <c r="D92" i="13" s="1"/>
  <c r="B95" i="13" a="1"/>
  <c r="B95" i="13" s="1"/>
  <c r="B96" i="13" a="1"/>
  <c r="B96" i="13" s="1"/>
  <c r="B98" i="13" a="1"/>
  <c r="B98" i="13" s="1"/>
  <c r="D98" i="13" s="1"/>
  <c r="B99" i="13" a="1"/>
  <c r="B99" i="13" s="1"/>
  <c r="D99" i="13" s="1"/>
  <c r="B101" i="13" a="1"/>
  <c r="B101" i="13" s="1"/>
  <c r="D101" i="13" s="1"/>
  <c r="B102" i="13" a="1"/>
  <c r="B102" i="13" s="1"/>
  <c r="D102" i="13" s="1"/>
  <c r="B103" i="13" a="1"/>
  <c r="B103" i="13" s="1"/>
  <c r="D103" i="13" s="1"/>
  <c r="B107" i="13" a="1"/>
  <c r="B107" i="13" s="1"/>
  <c r="B108" i="13" a="1"/>
  <c r="B108" i="13" s="1"/>
  <c r="D108" i="13" s="1"/>
  <c r="B110" i="13" a="1"/>
  <c r="B110" i="13" s="1"/>
  <c r="D110" i="13" s="1"/>
  <c r="B111" i="13" a="1"/>
  <c r="B111" i="13" s="1"/>
  <c r="D111" i="13" s="1"/>
  <c r="B113" i="13" a="1"/>
  <c r="B113" i="13" s="1"/>
  <c r="D113" i="13" s="1"/>
  <c r="B114" i="13" a="1"/>
  <c r="B114" i="13" s="1"/>
  <c r="D114" i="13" s="1"/>
  <c r="B115" i="13" a="1"/>
  <c r="B115" i="13" s="1"/>
  <c r="D115" i="13" s="1"/>
  <c r="B119" i="13" a="1"/>
  <c r="B119" i="13" s="1"/>
  <c r="B120" i="13" a="1"/>
  <c r="B120" i="13" s="1"/>
  <c r="B122" i="13" a="1"/>
  <c r="B122" i="13" s="1"/>
  <c r="D122" i="13" s="1"/>
  <c r="B123" i="13" a="1"/>
  <c r="B123" i="13" s="1"/>
  <c r="D123" i="13" s="1"/>
  <c r="B125" i="13" a="1"/>
  <c r="B125" i="13" s="1"/>
  <c r="D125" i="13" s="1"/>
  <c r="B126" i="13" a="1"/>
  <c r="B126" i="13" s="1"/>
  <c r="D126" i="13" s="1"/>
  <c r="B127" i="13" a="1"/>
  <c r="B127" i="13" s="1"/>
  <c r="D127" i="13" s="1"/>
  <c r="B131" i="13" a="1"/>
  <c r="B131" i="13" s="1"/>
  <c r="B132" i="13" a="1"/>
  <c r="B132" i="13" s="1"/>
  <c r="B134" i="13" a="1"/>
  <c r="B134" i="13" s="1"/>
  <c r="D134" i="13" s="1"/>
  <c r="B135" i="13" a="1"/>
  <c r="B135" i="13" s="1"/>
  <c r="D135" i="13" s="1"/>
  <c r="B137" i="13" a="1"/>
  <c r="B137" i="13" s="1"/>
  <c r="D137" i="13" s="1"/>
  <c r="B138" i="13" a="1"/>
  <c r="B138" i="13" s="1"/>
  <c r="D138" i="13" s="1"/>
  <c r="B142" i="13" a="1"/>
  <c r="B142" i="13" s="1"/>
  <c r="B143" i="13" a="1"/>
  <c r="B143" i="13" s="1"/>
  <c r="B144" i="13" a="1"/>
  <c r="B144" i="13" s="1"/>
  <c r="D144" i="13" s="1"/>
  <c r="B145" i="13" a="1"/>
  <c r="B145" i="13" s="1"/>
  <c r="D145" i="13" s="1"/>
  <c r="B146" i="13" a="1"/>
  <c r="B146" i="13" s="1"/>
  <c r="D146" i="13" s="1"/>
  <c r="B149" i="13" a="1"/>
  <c r="B149" i="13" s="1"/>
  <c r="D149" i="13" s="1"/>
  <c r="B150" i="13" a="1"/>
  <c r="B150" i="13" s="1"/>
  <c r="D150" i="13" s="1"/>
  <c r="B154" i="13" a="1"/>
  <c r="B154" i="13" s="1"/>
  <c r="B155" i="13" a="1"/>
  <c r="B155" i="13" s="1"/>
  <c r="B156" i="13" a="1"/>
  <c r="B156" i="13" s="1"/>
  <c r="D156" i="13" s="1"/>
  <c r="B157" i="13" a="1"/>
  <c r="B157" i="13" s="1"/>
  <c r="D157" i="13" s="1"/>
  <c r="B158" i="13" a="1"/>
  <c r="B158" i="13" s="1"/>
  <c r="D158" i="13" s="1"/>
  <c r="B161" i="13" a="1"/>
  <c r="B161" i="13" s="1"/>
  <c r="D161" i="13" s="1"/>
  <c r="B162" i="13" a="1"/>
  <c r="B162" i="13" s="1"/>
  <c r="D162" i="13" s="1"/>
  <c r="B166" i="13" a="1"/>
  <c r="B166" i="13" s="1"/>
  <c r="B167" i="13" a="1"/>
  <c r="B167" i="13" s="1"/>
  <c r="B168" i="13" a="1"/>
  <c r="B168" i="13" s="1"/>
  <c r="D168" i="13" s="1"/>
  <c r="B169" i="13" a="1"/>
  <c r="B169" i="13" s="1"/>
  <c r="D169" i="13" s="1"/>
  <c r="B170" i="13" a="1"/>
  <c r="B170" i="13" s="1"/>
  <c r="D170" i="13" s="1"/>
  <c r="B173" i="13" a="1"/>
  <c r="B173" i="13" s="1"/>
  <c r="D173" i="13" s="1"/>
  <c r="B174" i="13" a="1"/>
  <c r="B174" i="13" s="1"/>
  <c r="D174" i="13" s="1"/>
  <c r="B178" i="13" a="1"/>
  <c r="B178" i="13" s="1"/>
  <c r="B179" i="13" a="1"/>
  <c r="B179" i="13" s="1"/>
  <c r="B180" i="13" a="1"/>
  <c r="B180" i="13" s="1"/>
  <c r="D180" i="13" s="1"/>
  <c r="B181" i="13" a="1"/>
  <c r="B181" i="13" s="1"/>
  <c r="D181" i="13" s="1"/>
  <c r="B182" i="13" a="1"/>
  <c r="B182" i="13" s="1"/>
  <c r="D182" i="13" s="1"/>
  <c r="B185" i="13" a="1"/>
  <c r="B185" i="13" s="1"/>
  <c r="D185" i="13" s="1"/>
  <c r="B186" i="13" a="1"/>
  <c r="B186" i="13" s="1"/>
  <c r="D186" i="13" s="1"/>
  <c r="B187" i="13" a="1"/>
  <c r="B187" i="13" s="1"/>
  <c r="D187" i="13" s="1"/>
  <c r="B188" i="13" a="1"/>
  <c r="B188" i="13" s="1"/>
  <c r="D188" i="13" s="1"/>
  <c r="B189" i="13" a="1"/>
  <c r="B189" i="13" s="1"/>
  <c r="D189" i="13" s="1"/>
  <c r="B190" i="13" a="1"/>
  <c r="B190" i="13" s="1"/>
  <c r="D190" i="13" s="1"/>
  <c r="B191" i="13" a="1"/>
  <c r="B191" i="13" s="1"/>
  <c r="D191" i="13" s="1"/>
  <c r="B192" i="13" a="1"/>
  <c r="B192" i="13" s="1"/>
  <c r="D192" i="13" s="1"/>
  <c r="B193" i="13" a="1"/>
  <c r="B193" i="13" s="1"/>
  <c r="D193" i="13" s="1"/>
  <c r="B194" i="13" a="1"/>
  <c r="B194" i="13" s="1"/>
  <c r="D194" i="13" s="1"/>
  <c r="B195" i="13" a="1"/>
  <c r="B195" i="13" s="1"/>
  <c r="D195" i="13" s="1"/>
  <c r="B196" i="13" a="1"/>
  <c r="B196" i="13" s="1"/>
  <c r="D196" i="13" s="1"/>
  <c r="B197" i="13" a="1"/>
  <c r="B197" i="13" s="1"/>
  <c r="D197" i="13" s="1"/>
  <c r="B198" i="13" a="1"/>
  <c r="B198" i="13" s="1"/>
  <c r="D198" i="13" s="1"/>
  <c r="B199" i="13" a="1"/>
  <c r="B199" i="13" s="1"/>
  <c r="D199" i="13" s="1"/>
  <c r="B200" i="13" a="1"/>
  <c r="B200" i="13" s="1"/>
  <c r="D200" i="13" s="1"/>
  <c r="B201" i="13" a="1"/>
  <c r="B201" i="13" s="1"/>
  <c r="D201" i="13" s="1"/>
  <c r="B202" i="13" a="1"/>
  <c r="B202" i="13" s="1"/>
  <c r="D202" i="13" s="1"/>
  <c r="B203" i="13" a="1"/>
  <c r="B203" i="13" s="1"/>
  <c r="D203" i="13" s="1"/>
  <c r="B204" i="13" a="1"/>
  <c r="B204" i="13" s="1"/>
  <c r="D204" i="13" s="1"/>
  <c r="B205" i="13" a="1"/>
  <c r="B205" i="13" s="1"/>
  <c r="D205" i="13" s="1"/>
  <c r="B206" i="13" a="1"/>
  <c r="B206" i="13" s="1"/>
  <c r="D206" i="13" s="1"/>
  <c r="B207" i="13" a="1"/>
  <c r="B207" i="13" s="1"/>
  <c r="D207" i="13" s="1"/>
  <c r="B208" i="13" a="1"/>
  <c r="B208" i="13" s="1"/>
  <c r="D208" i="13" s="1"/>
  <c r="B209" i="13" a="1"/>
  <c r="B209" i="13" s="1"/>
  <c r="D209" i="13" s="1"/>
  <c r="B210" i="13" a="1"/>
  <c r="B210" i="13" s="1"/>
  <c r="D210" i="13" s="1"/>
  <c r="B211" i="13" a="1"/>
  <c r="B211" i="13" s="1"/>
  <c r="D211" i="13" s="1"/>
  <c r="B212" i="13" a="1"/>
  <c r="B212" i="13" s="1"/>
  <c r="D212" i="13" s="1"/>
  <c r="B213" i="13" a="1"/>
  <c r="B213" i="13" s="1"/>
  <c r="D213" i="13" s="1"/>
  <c r="B214" i="13" a="1"/>
  <c r="B214" i="13" s="1"/>
  <c r="D214" i="13" s="1"/>
  <c r="B215" i="13" a="1"/>
  <c r="B215" i="13" s="1"/>
  <c r="D215" i="13" s="1"/>
  <c r="B216" i="13" a="1"/>
  <c r="B216" i="13" s="1"/>
  <c r="D216" i="13" s="1"/>
  <c r="B217" i="13" a="1"/>
  <c r="B217" i="13" s="1"/>
  <c r="D217" i="13" s="1"/>
  <c r="B218" i="13" a="1"/>
  <c r="B218" i="13" s="1"/>
  <c r="D218" i="13" s="1"/>
  <c r="B219" i="13" a="1"/>
  <c r="B219" i="13" s="1"/>
  <c r="D219" i="13" s="1"/>
  <c r="B220" i="13" a="1"/>
  <c r="B220" i="13" s="1"/>
  <c r="D220" i="13" s="1"/>
  <c r="B221" i="13" a="1"/>
  <c r="B221" i="13" s="1"/>
  <c r="D221" i="13" s="1"/>
  <c r="B222" i="13" a="1"/>
  <c r="B222" i="13" s="1"/>
  <c r="D222" i="13" s="1"/>
  <c r="B223" i="13" a="1"/>
  <c r="B223" i="13" s="1"/>
  <c r="D223" i="13" s="1"/>
  <c r="B224" i="13" a="1"/>
  <c r="B224" i="13" s="1"/>
  <c r="D224" i="13" s="1"/>
  <c r="B225" i="13" a="1"/>
  <c r="B225" i="13" s="1"/>
  <c r="D225" i="13" s="1"/>
  <c r="B226" i="13" a="1"/>
  <c r="B226" i="13" s="1"/>
  <c r="D226" i="13" s="1"/>
  <c r="B227" i="13" a="1"/>
  <c r="B227" i="13" s="1"/>
  <c r="D227" i="13" s="1"/>
  <c r="B228" i="13" a="1"/>
  <c r="B228" i="13" s="1"/>
  <c r="D228" i="13" s="1"/>
  <c r="B229" i="13" a="1"/>
  <c r="B229" i="13" s="1"/>
  <c r="D229" i="13" s="1"/>
  <c r="B230" i="13" a="1"/>
  <c r="B230" i="13" s="1"/>
  <c r="D230" i="13" s="1"/>
  <c r="B231" i="13" a="1"/>
  <c r="B231" i="13" s="1"/>
  <c r="D231" i="13" s="1"/>
  <c r="B232" i="13" a="1"/>
  <c r="B232" i="13" s="1"/>
  <c r="D232" i="13" s="1"/>
  <c r="B233" i="13" a="1"/>
  <c r="B233" i="13" s="1"/>
  <c r="D233" i="13" s="1"/>
  <c r="B234" i="13" a="1"/>
  <c r="B234" i="13" s="1"/>
  <c r="D234" i="13" s="1"/>
  <c r="B235" i="13" a="1"/>
  <c r="B235" i="13" s="1"/>
  <c r="D235" i="13" s="1"/>
  <c r="B236" i="13" a="1"/>
  <c r="B236" i="13" s="1"/>
  <c r="D236" i="13" s="1"/>
  <c r="B237" i="13" a="1"/>
  <c r="B237" i="13" s="1"/>
  <c r="D237" i="13" s="1"/>
  <c r="B238" i="13" a="1"/>
  <c r="B238" i="13" s="1"/>
  <c r="D238" i="13" s="1"/>
  <c r="B239" i="13" a="1"/>
  <c r="B239" i="13" s="1"/>
  <c r="D239" i="13" s="1"/>
  <c r="B240" i="13" a="1"/>
  <c r="B240" i="13" s="1"/>
  <c r="D240" i="13" s="1"/>
  <c r="B241" i="13" a="1"/>
  <c r="B241" i="13" s="1"/>
  <c r="D241" i="13" s="1"/>
  <c r="B242" i="13" a="1"/>
  <c r="B242" i="13" s="1"/>
  <c r="D242" i="13" s="1"/>
  <c r="B243" i="13" a="1"/>
  <c r="B243" i="13" s="1"/>
  <c r="D243" i="13" s="1"/>
  <c r="B244" i="13" a="1"/>
  <c r="B244" i="13" s="1"/>
  <c r="D244" i="13" s="1"/>
  <c r="B245" i="13" a="1"/>
  <c r="B245" i="13" s="1"/>
  <c r="D245" i="13" s="1"/>
  <c r="B246" i="13" a="1"/>
  <c r="B246" i="13" s="1"/>
  <c r="D246" i="13" s="1"/>
  <c r="B247" i="13" a="1"/>
  <c r="B247" i="13" s="1"/>
  <c r="D247" i="13" s="1"/>
  <c r="B248" i="13" a="1"/>
  <c r="B248" i="13" s="1"/>
  <c r="D248" i="13" s="1"/>
  <c r="B249" i="13" a="1"/>
  <c r="B249" i="13" s="1"/>
  <c r="D249" i="13" s="1"/>
  <c r="B250" i="13" a="1"/>
  <c r="B250" i="13" s="1"/>
  <c r="D250" i="13" s="1"/>
  <c r="B251" i="13" a="1"/>
  <c r="B251" i="13" s="1"/>
  <c r="D251" i="13" s="1"/>
  <c r="B252" i="13" a="1"/>
  <c r="B252" i="13" s="1"/>
  <c r="D252" i="13" s="1"/>
  <c r="B253" i="13" a="1"/>
  <c r="B253" i="13" s="1"/>
  <c r="D253" i="13" s="1"/>
  <c r="B254" i="13" a="1"/>
  <c r="B254" i="13" s="1"/>
  <c r="D254" i="13" s="1"/>
  <c r="B255" i="13" a="1"/>
  <c r="B255" i="13" s="1"/>
  <c r="D255" i="13" s="1"/>
  <c r="B256" i="13" a="1"/>
  <c r="B256" i="13" s="1"/>
  <c r="D256" i="13" s="1"/>
  <c r="B257" i="13" a="1"/>
  <c r="B257" i="13" s="1"/>
  <c r="D257" i="13" s="1"/>
  <c r="B258" i="13" a="1"/>
  <c r="B258" i="13" s="1"/>
  <c r="D258" i="13" s="1"/>
  <c r="B259" i="13" a="1"/>
  <c r="B259" i="13" s="1"/>
  <c r="D259" i="13" s="1"/>
  <c r="B260" i="13" a="1"/>
  <c r="B260" i="13" s="1"/>
  <c r="D260" i="13" s="1"/>
  <c r="B261" i="13" a="1"/>
  <c r="B261" i="13" s="1"/>
  <c r="D261" i="13" s="1"/>
  <c r="B262" i="13" a="1"/>
  <c r="B262" i="13" s="1"/>
  <c r="D262" i="13" s="1"/>
  <c r="B263" i="13" a="1"/>
  <c r="B263" i="13" s="1"/>
  <c r="D263" i="13" s="1"/>
  <c r="B264" i="13" a="1"/>
  <c r="B264" i="13" s="1"/>
  <c r="D264" i="13" s="1"/>
  <c r="B265" i="13" a="1"/>
  <c r="B265" i="13" s="1"/>
  <c r="D265" i="13" s="1"/>
  <c r="B266" i="13" a="1"/>
  <c r="B266" i="13" s="1"/>
  <c r="D266" i="13" s="1"/>
  <c r="B267" i="13" a="1"/>
  <c r="B267" i="13" s="1"/>
  <c r="D267" i="13" s="1"/>
  <c r="B268" i="13" a="1"/>
  <c r="B268" i="13" s="1"/>
  <c r="D268" i="13" s="1"/>
  <c r="B269" i="13" a="1"/>
  <c r="B269" i="13" s="1"/>
  <c r="D269" i="13" s="1"/>
  <c r="B270" i="13" a="1"/>
  <c r="B270" i="13" s="1"/>
  <c r="D270" i="13" s="1"/>
  <c r="B271" i="13" a="1"/>
  <c r="B271" i="13" s="1"/>
  <c r="D271" i="13" s="1"/>
  <c r="B272" i="13" a="1"/>
  <c r="B272" i="13" s="1"/>
  <c r="D272" i="13" s="1"/>
  <c r="B273" i="13" a="1"/>
  <c r="B273" i="13" s="1"/>
  <c r="D273" i="13" s="1"/>
  <c r="B274" i="13" a="1"/>
  <c r="B274" i="13" s="1"/>
  <c r="D274" i="13" s="1"/>
  <c r="B275" i="13" a="1"/>
  <c r="B275" i="13" s="1"/>
  <c r="D275" i="13" s="1"/>
  <c r="B276" i="13" a="1"/>
  <c r="B276" i="13" s="1"/>
  <c r="D276" i="13" s="1"/>
  <c r="B277" i="13" a="1"/>
  <c r="B277" i="13" s="1"/>
  <c r="D277" i="13" s="1"/>
  <c r="B278" i="13" a="1"/>
  <c r="B278" i="13" s="1"/>
  <c r="D278" i="13" s="1"/>
  <c r="C45" i="13"/>
  <c r="C46" i="13"/>
  <c r="C47" i="13"/>
  <c r="C48" i="13"/>
  <c r="C49" i="13"/>
  <c r="C50" i="13"/>
  <c r="C51" i="13"/>
  <c r="C52" i="13"/>
  <c r="C53" i="13"/>
  <c r="C54" i="13"/>
  <c r="C55" i="13"/>
  <c r="C56" i="13"/>
  <c r="C57" i="13"/>
  <c r="C58" i="13"/>
  <c r="C59" i="13"/>
  <c r="C60" i="13"/>
  <c r="C61" i="13"/>
  <c r="C62" i="13"/>
  <c r="C63" i="13"/>
  <c r="C44" i="13"/>
  <c r="B47" i="13" a="1"/>
  <c r="B47" i="13" s="1"/>
  <c r="D47" i="13" s="1"/>
  <c r="B49" i="13" a="1"/>
  <c r="B49" i="13" s="1"/>
  <c r="D49" i="13" s="1"/>
  <c r="B50" i="13" a="1"/>
  <c r="B50" i="13" s="1"/>
  <c r="D50" i="13" s="1"/>
  <c r="A45" i="13"/>
  <c r="B45" i="13" s="1" a="1"/>
  <c r="B45" i="13" s="1"/>
  <c r="D45" i="13" s="1"/>
  <c r="A46" i="13"/>
  <c r="B46" i="13" s="1" a="1"/>
  <c r="B46" i="13" s="1"/>
  <c r="D46" i="13" s="1"/>
  <c r="A47" i="13"/>
  <c r="A48" i="13"/>
  <c r="B48" i="13" s="1" a="1"/>
  <c r="B48" i="13" s="1"/>
  <c r="D48" i="13" s="1"/>
  <c r="A49" i="13"/>
  <c r="A50" i="13"/>
  <c r="A51" i="13"/>
  <c r="B51" i="13" s="1" a="1"/>
  <c r="B51" i="13" s="1"/>
  <c r="D51" i="13" s="1"/>
  <c r="A52" i="13"/>
  <c r="B52" i="13" s="1" a="1"/>
  <c r="B52" i="13" s="1"/>
  <c r="D52" i="13" s="1"/>
  <c r="A53" i="13"/>
  <c r="B53" i="13" s="1" a="1"/>
  <c r="B53" i="13" s="1"/>
  <c r="D53" i="13" s="1"/>
  <c r="A54" i="13"/>
  <c r="B54" i="13" s="1" a="1"/>
  <c r="B54" i="13" s="1"/>
  <c r="A55" i="13"/>
  <c r="B55" i="13" s="1" a="1"/>
  <c r="B55" i="13" s="1"/>
  <c r="D55" i="13" s="1"/>
  <c r="A56" i="13"/>
  <c r="B56" i="13" s="1" a="1"/>
  <c r="B56" i="13" s="1"/>
  <c r="A57" i="13"/>
  <c r="B57" i="13" s="1" a="1"/>
  <c r="B57" i="13" s="1"/>
  <c r="D57" i="13" s="1"/>
  <c r="A58" i="13"/>
  <c r="B58" i="13" s="1" a="1"/>
  <c r="B58" i="13" s="1"/>
  <c r="D58" i="13" s="1"/>
  <c r="A59" i="13"/>
  <c r="B59" i="13" s="1" a="1"/>
  <c r="B59" i="13" s="1"/>
  <c r="D59" i="13" s="1"/>
  <c r="A60" i="13"/>
  <c r="B60" i="13" s="1" a="1"/>
  <c r="B60" i="13" s="1"/>
  <c r="D60" i="13" s="1"/>
  <c r="A61" i="13"/>
  <c r="B61" i="13" s="1" a="1"/>
  <c r="B61" i="13" s="1"/>
  <c r="D61" i="13" s="1"/>
  <c r="A62" i="13"/>
  <c r="B62" i="13" s="1" a="1"/>
  <c r="B62" i="13" s="1"/>
  <c r="D62" i="13" s="1"/>
  <c r="A63" i="13"/>
  <c r="B63" i="13" s="1" a="1"/>
  <c r="B63" i="13" s="1"/>
  <c r="D63" i="13" s="1"/>
  <c r="A44" i="13"/>
  <c r="B44" i="13" s="1" a="1"/>
  <c r="B44" i="13" s="1"/>
  <c r="D44" i="13" s="1"/>
  <c r="E25" i="13"/>
  <c r="F25" i="13"/>
  <c r="G25" i="13"/>
  <c r="H25" i="13"/>
  <c r="I25" i="13"/>
  <c r="J25" i="13"/>
  <c r="K25" i="13"/>
  <c r="L25" i="13"/>
  <c r="E26" i="13"/>
  <c r="F26" i="13"/>
  <c r="G26" i="13"/>
  <c r="H26" i="13"/>
  <c r="I26" i="13"/>
  <c r="J26" i="13"/>
  <c r="K26" i="13"/>
  <c r="L26" i="13"/>
  <c r="E27" i="13"/>
  <c r="F27" i="13"/>
  <c r="G27" i="13"/>
  <c r="H27" i="13"/>
  <c r="I27" i="13"/>
  <c r="J27" i="13"/>
  <c r="K27" i="13"/>
  <c r="L27" i="13"/>
  <c r="E28" i="13"/>
  <c r="F28" i="13"/>
  <c r="G28" i="13"/>
  <c r="H28" i="13"/>
  <c r="I28" i="13"/>
  <c r="J28" i="13"/>
  <c r="K28" i="13"/>
  <c r="L28" i="13"/>
  <c r="E29" i="13"/>
  <c r="F29" i="13"/>
  <c r="G29" i="13"/>
  <c r="H29" i="13"/>
  <c r="I29" i="13"/>
  <c r="J29" i="13"/>
  <c r="K29" i="13"/>
  <c r="L29" i="13"/>
  <c r="E30" i="13"/>
  <c r="F30" i="13"/>
  <c r="G30" i="13"/>
  <c r="H30" i="13"/>
  <c r="I30" i="13"/>
  <c r="J30" i="13"/>
  <c r="K30" i="13"/>
  <c r="L30" i="13"/>
  <c r="E31" i="13"/>
  <c r="F31" i="13"/>
  <c r="G31" i="13"/>
  <c r="H31" i="13"/>
  <c r="I31" i="13"/>
  <c r="J31" i="13"/>
  <c r="K31" i="13"/>
  <c r="L31" i="13"/>
  <c r="E32" i="13"/>
  <c r="F32" i="13"/>
  <c r="G32" i="13"/>
  <c r="H32" i="13"/>
  <c r="I32" i="13"/>
  <c r="J32" i="13"/>
  <c r="K32" i="13"/>
  <c r="L32" i="13"/>
  <c r="E33" i="13"/>
  <c r="F33" i="13"/>
  <c r="G33" i="13"/>
  <c r="H33" i="13"/>
  <c r="I33" i="13"/>
  <c r="J33" i="13"/>
  <c r="K33" i="13"/>
  <c r="L33" i="13"/>
  <c r="E34" i="13"/>
  <c r="F34" i="13"/>
  <c r="G34" i="13"/>
  <c r="H34" i="13"/>
  <c r="I34" i="13"/>
  <c r="J34" i="13"/>
  <c r="K34" i="13"/>
  <c r="L34" i="13"/>
  <c r="E35" i="13"/>
  <c r="F35" i="13"/>
  <c r="G35" i="13"/>
  <c r="H35" i="13"/>
  <c r="I35" i="13"/>
  <c r="J35" i="13"/>
  <c r="K35" i="13"/>
  <c r="L35" i="13"/>
  <c r="E36" i="13"/>
  <c r="F36" i="13"/>
  <c r="G36" i="13"/>
  <c r="H36" i="13"/>
  <c r="I36" i="13"/>
  <c r="J36" i="13"/>
  <c r="K36" i="13"/>
  <c r="L36" i="13"/>
  <c r="E37" i="13"/>
  <c r="F37" i="13"/>
  <c r="G37" i="13"/>
  <c r="H37" i="13"/>
  <c r="I37" i="13"/>
  <c r="J37" i="13"/>
  <c r="K37" i="13"/>
  <c r="L37" i="13"/>
  <c r="E38" i="13"/>
  <c r="F38" i="13"/>
  <c r="G38" i="13"/>
  <c r="H38" i="13"/>
  <c r="I38" i="13"/>
  <c r="J38" i="13"/>
  <c r="K38" i="13"/>
  <c r="L38" i="13"/>
  <c r="E39" i="13"/>
  <c r="F39" i="13"/>
  <c r="G39" i="13"/>
  <c r="H39" i="13"/>
  <c r="I39" i="13"/>
  <c r="J39" i="13"/>
  <c r="K39" i="13"/>
  <c r="L39" i="13"/>
  <c r="E40" i="13"/>
  <c r="F40" i="13"/>
  <c r="G40" i="13"/>
  <c r="H40" i="13"/>
  <c r="I40" i="13"/>
  <c r="J40" i="13"/>
  <c r="K40" i="13"/>
  <c r="L40" i="13"/>
  <c r="E41" i="13"/>
  <c r="F41" i="13"/>
  <c r="G41" i="13"/>
  <c r="H41" i="13"/>
  <c r="I41" i="13"/>
  <c r="J41" i="13"/>
  <c r="K41" i="13"/>
  <c r="L41" i="13"/>
  <c r="E42" i="13"/>
  <c r="F42" i="13"/>
  <c r="G42" i="13"/>
  <c r="H42" i="13"/>
  <c r="I42" i="13"/>
  <c r="J42" i="13"/>
  <c r="K42" i="13"/>
  <c r="L42" i="13"/>
  <c r="E43" i="13"/>
  <c r="F43" i="13"/>
  <c r="G43" i="13"/>
  <c r="H43" i="13"/>
  <c r="I43" i="13"/>
  <c r="J43" i="13"/>
  <c r="K43" i="13"/>
  <c r="L43" i="13"/>
  <c r="L24" i="13"/>
  <c r="K24" i="13"/>
  <c r="J24" i="13"/>
  <c r="I24" i="13"/>
  <c r="H24" i="13"/>
  <c r="G24" i="13"/>
  <c r="F24" i="13"/>
  <c r="E24" i="13"/>
  <c r="D34" i="13"/>
  <c r="C25" i="13"/>
  <c r="C26" i="13"/>
  <c r="C27" i="13"/>
  <c r="C28" i="13"/>
  <c r="C29" i="13"/>
  <c r="C30" i="13"/>
  <c r="C31" i="13"/>
  <c r="C32" i="13"/>
  <c r="C33" i="13"/>
  <c r="C34" i="13"/>
  <c r="C35" i="13"/>
  <c r="C36" i="13"/>
  <c r="C37" i="13"/>
  <c r="C38" i="13"/>
  <c r="C39" i="13"/>
  <c r="C40" i="13"/>
  <c r="C41" i="13"/>
  <c r="C42" i="13"/>
  <c r="C43" i="13"/>
  <c r="C24" i="13"/>
  <c r="B33" i="13" a="1"/>
  <c r="B33" i="13" s="1"/>
  <c r="D33" i="13" s="1"/>
  <c r="A25" i="13"/>
  <c r="B25" i="13" s="1" a="1"/>
  <c r="B25" i="13" s="1"/>
  <c r="D25" i="13" s="1"/>
  <c r="A26" i="13"/>
  <c r="B26" i="13" s="1" a="1"/>
  <c r="B26" i="13" s="1"/>
  <c r="D26" i="13" s="1"/>
  <c r="A27" i="13"/>
  <c r="B27" i="13" s="1" a="1"/>
  <c r="B27" i="13" s="1"/>
  <c r="D27" i="13" s="1"/>
  <c r="A28" i="13"/>
  <c r="B28" i="13" s="1" a="1"/>
  <c r="B28" i="13" s="1"/>
  <c r="D28" i="13" s="1"/>
  <c r="A29" i="13"/>
  <c r="B29" i="13" s="1" a="1"/>
  <c r="B29" i="13" s="1"/>
  <c r="D29" i="13" s="1"/>
  <c r="A30" i="13"/>
  <c r="B30" i="13" s="1" a="1"/>
  <c r="B30" i="13" s="1"/>
  <c r="D30" i="13" s="1"/>
  <c r="A31" i="13"/>
  <c r="B31" i="13" s="1" a="1"/>
  <c r="B31" i="13" s="1"/>
  <c r="A32" i="13"/>
  <c r="B32" i="13" s="1" a="1"/>
  <c r="B32" i="13" s="1"/>
  <c r="D32" i="13" s="1"/>
  <c r="A33" i="13"/>
  <c r="A34" i="13"/>
  <c r="B34" i="13" s="1" a="1"/>
  <c r="B34" i="13" s="1"/>
  <c r="A35" i="13"/>
  <c r="B35" i="13" s="1" a="1"/>
  <c r="B35" i="13" s="1"/>
  <c r="A36" i="13"/>
  <c r="B36" i="13" s="1" a="1"/>
  <c r="B36" i="13" s="1"/>
  <c r="D36" i="13" s="1"/>
  <c r="A37" i="13"/>
  <c r="B37" i="13" s="1" a="1"/>
  <c r="B37" i="13" s="1"/>
  <c r="D37" i="13" s="1"/>
  <c r="A38" i="13"/>
  <c r="B38" i="13" s="1" a="1"/>
  <c r="B38" i="13" s="1"/>
  <c r="D38" i="13" s="1"/>
  <c r="A39" i="13"/>
  <c r="B39" i="13" s="1" a="1"/>
  <c r="B39" i="13" s="1"/>
  <c r="D39" i="13" s="1"/>
  <c r="A40" i="13"/>
  <c r="B40" i="13" s="1" a="1"/>
  <c r="B40" i="13" s="1"/>
  <c r="D40" i="13" s="1"/>
  <c r="A41" i="13"/>
  <c r="B41" i="13" s="1" a="1"/>
  <c r="B41" i="13" s="1"/>
  <c r="D41" i="13" s="1"/>
  <c r="A42" i="13"/>
  <c r="B42" i="13" s="1" a="1"/>
  <c r="B42" i="13" s="1"/>
  <c r="D42" i="13" s="1"/>
  <c r="A43" i="13"/>
  <c r="B43" i="13" s="1" a="1"/>
  <c r="B43" i="13" s="1"/>
  <c r="A24" i="13"/>
  <c r="B24" i="13" s="1" a="1"/>
  <c r="B24" i="13" s="1"/>
  <c r="D24" i="13" s="1"/>
  <c r="A2" i="13"/>
  <c r="B2" i="13" s="1" a="1"/>
  <c r="B2" i="13" s="1"/>
  <c r="A3" i="13"/>
  <c r="A4" i="13"/>
  <c r="B4" i="13" s="1" a="1"/>
  <c r="B4" i="13" s="1"/>
  <c r="A5" i="13"/>
  <c r="B5" i="13" s="1" a="1"/>
  <c r="B5" i="13" s="1"/>
  <c r="A6" i="13"/>
  <c r="B6" i="13" s="1" a="1"/>
  <c r="B6" i="13" s="1"/>
  <c r="D6" i="13" s="1"/>
  <c r="A7" i="13"/>
  <c r="B7" i="13" s="1" a="1"/>
  <c r="B7" i="13" s="1"/>
  <c r="D7" i="13" s="1"/>
  <c r="A8" i="13"/>
  <c r="B8" i="13" s="1" a="1"/>
  <c r="B8" i="13" s="1"/>
  <c r="A9" i="13"/>
  <c r="A10" i="13"/>
  <c r="A11" i="13"/>
  <c r="A12" i="13"/>
  <c r="A13" i="13"/>
  <c r="A14" i="13"/>
  <c r="B14" i="13" s="1" a="1"/>
  <c r="B14" i="13" s="1"/>
  <c r="A15" i="13"/>
  <c r="A16" i="13"/>
  <c r="B16" i="13" s="1" a="1"/>
  <c r="B16" i="13" s="1"/>
  <c r="A17" i="13"/>
  <c r="B17" i="13" s="1" a="1"/>
  <c r="B17" i="13" s="1"/>
  <c r="A18" i="13"/>
  <c r="B18" i="13" s="1" a="1"/>
  <c r="B18" i="13" s="1"/>
  <c r="D18" i="13" s="1"/>
  <c r="A19" i="13"/>
  <c r="B19" i="13" s="1" a="1"/>
  <c r="B19" i="13" s="1"/>
  <c r="D19" i="13" s="1"/>
  <c r="A20" i="13"/>
  <c r="B20" i="13" s="1" a="1"/>
  <c r="B20" i="13" s="1"/>
  <c r="A21" i="13"/>
  <c r="A22" i="13"/>
  <c r="B22" i="13" s="1" a="1"/>
  <c r="B22" i="13" s="1"/>
  <c r="A23" i="13"/>
  <c r="J3" i="13"/>
  <c r="K3" i="13"/>
  <c r="L3" i="13"/>
  <c r="J4" i="13"/>
  <c r="K4" i="13"/>
  <c r="L4" i="13"/>
  <c r="J5" i="13"/>
  <c r="K5" i="13"/>
  <c r="L5" i="13"/>
  <c r="J6" i="13"/>
  <c r="K6" i="13"/>
  <c r="L6" i="13"/>
  <c r="J7" i="13"/>
  <c r="K7" i="13"/>
  <c r="L7" i="13"/>
  <c r="J8" i="13"/>
  <c r="K8" i="13"/>
  <c r="L8" i="13"/>
  <c r="J9" i="13"/>
  <c r="K9" i="13"/>
  <c r="L9" i="13"/>
  <c r="J10" i="13"/>
  <c r="K10" i="13"/>
  <c r="L10" i="13"/>
  <c r="J11" i="13"/>
  <c r="K11" i="13"/>
  <c r="L11" i="13"/>
  <c r="J12" i="13"/>
  <c r="K12" i="13"/>
  <c r="L12" i="13"/>
  <c r="J13" i="13"/>
  <c r="K13" i="13"/>
  <c r="L13" i="13"/>
  <c r="J14" i="13"/>
  <c r="K14" i="13"/>
  <c r="L14" i="13"/>
  <c r="J15" i="13"/>
  <c r="K15" i="13"/>
  <c r="L15" i="13"/>
  <c r="J16" i="13"/>
  <c r="K16" i="13"/>
  <c r="L16" i="13"/>
  <c r="J17" i="13"/>
  <c r="K17" i="13"/>
  <c r="L17" i="13"/>
  <c r="J18" i="13"/>
  <c r="K18" i="13"/>
  <c r="L18" i="13"/>
  <c r="J19" i="13"/>
  <c r="K19" i="13"/>
  <c r="L19" i="13"/>
  <c r="J20" i="13"/>
  <c r="K20" i="13"/>
  <c r="L20" i="13"/>
  <c r="J21" i="13"/>
  <c r="K21" i="13"/>
  <c r="L21" i="13"/>
  <c r="J22" i="13"/>
  <c r="K22" i="13"/>
  <c r="L22" i="13"/>
  <c r="J23" i="13"/>
  <c r="K23" i="13"/>
  <c r="L23" i="13"/>
  <c r="K2" i="13"/>
  <c r="L2" i="13"/>
  <c r="J2" i="13"/>
  <c r="I3" i="13"/>
  <c r="I4" i="13"/>
  <c r="I5" i="13"/>
  <c r="I6" i="13"/>
  <c r="I7" i="13"/>
  <c r="I8" i="13"/>
  <c r="I9" i="13"/>
  <c r="I10" i="13"/>
  <c r="I11" i="13"/>
  <c r="I12" i="13"/>
  <c r="I13" i="13"/>
  <c r="I14" i="13"/>
  <c r="I15" i="13"/>
  <c r="I16" i="13"/>
  <c r="I17" i="13"/>
  <c r="I18" i="13"/>
  <c r="I19" i="13"/>
  <c r="I20" i="13"/>
  <c r="I21" i="13"/>
  <c r="I22" i="13"/>
  <c r="I23" i="13"/>
  <c r="I2" i="13"/>
  <c r="H3" i="13"/>
  <c r="H4" i="13"/>
  <c r="H5" i="13"/>
  <c r="H6" i="13"/>
  <c r="H7" i="13"/>
  <c r="H8" i="13"/>
  <c r="H9" i="13"/>
  <c r="H10" i="13"/>
  <c r="H11" i="13"/>
  <c r="H12" i="13"/>
  <c r="H13" i="13"/>
  <c r="H14" i="13"/>
  <c r="H15" i="13"/>
  <c r="H16" i="13"/>
  <c r="H17" i="13"/>
  <c r="H18" i="13"/>
  <c r="H19" i="13"/>
  <c r="H20" i="13"/>
  <c r="H21" i="13"/>
  <c r="H22" i="13"/>
  <c r="H23" i="13"/>
  <c r="H2" i="13"/>
  <c r="G3" i="13"/>
  <c r="G4" i="13"/>
  <c r="G5" i="13"/>
  <c r="G6" i="13"/>
  <c r="G7" i="13"/>
  <c r="G8" i="13"/>
  <c r="G9" i="13"/>
  <c r="G10" i="13"/>
  <c r="G11" i="13"/>
  <c r="G12" i="13"/>
  <c r="G13" i="13"/>
  <c r="G14" i="13"/>
  <c r="G15" i="13"/>
  <c r="G16" i="13"/>
  <c r="G17" i="13"/>
  <c r="G18" i="13"/>
  <c r="G19" i="13"/>
  <c r="G20" i="13"/>
  <c r="G21" i="13"/>
  <c r="G22" i="13"/>
  <c r="G23" i="13"/>
  <c r="G2" i="13"/>
  <c r="F3" i="13"/>
  <c r="F4" i="13"/>
  <c r="F5" i="13"/>
  <c r="F6" i="13"/>
  <c r="F7" i="13"/>
  <c r="F8" i="13"/>
  <c r="F9" i="13"/>
  <c r="F10" i="13"/>
  <c r="F11" i="13"/>
  <c r="F12" i="13"/>
  <c r="F13" i="13"/>
  <c r="F14" i="13"/>
  <c r="F15" i="13"/>
  <c r="F16" i="13"/>
  <c r="F17" i="13"/>
  <c r="F18" i="13"/>
  <c r="F19" i="13"/>
  <c r="F20" i="13"/>
  <c r="F21" i="13"/>
  <c r="F22" i="13"/>
  <c r="F23" i="13"/>
  <c r="F2" i="13"/>
  <c r="E3" i="13"/>
  <c r="E4" i="13"/>
  <c r="E5" i="13"/>
  <c r="E6" i="13"/>
  <c r="E7" i="13"/>
  <c r="E8" i="13"/>
  <c r="E9" i="13"/>
  <c r="E10" i="13"/>
  <c r="E11" i="13"/>
  <c r="E12" i="13"/>
  <c r="E13" i="13"/>
  <c r="E14" i="13"/>
  <c r="E15" i="13"/>
  <c r="E16" i="13"/>
  <c r="E17" i="13"/>
  <c r="E18" i="13"/>
  <c r="E19" i="13"/>
  <c r="E20" i="13"/>
  <c r="E21" i="13"/>
  <c r="E22" i="13"/>
  <c r="E23" i="13"/>
  <c r="E2" i="13"/>
  <c r="C3" i="13"/>
  <c r="C4" i="13"/>
  <c r="C5" i="13"/>
  <c r="C6" i="13"/>
  <c r="C7" i="13"/>
  <c r="C8" i="13"/>
  <c r="C9" i="13"/>
  <c r="C10" i="13"/>
  <c r="C11" i="13"/>
  <c r="C12" i="13"/>
  <c r="C13" i="13"/>
  <c r="C14" i="13"/>
  <c r="C15" i="13"/>
  <c r="C16" i="13"/>
  <c r="C17" i="13"/>
  <c r="C18" i="13"/>
  <c r="C19" i="13"/>
  <c r="C20" i="13"/>
  <c r="C21" i="13"/>
  <c r="C22" i="13"/>
  <c r="C23" i="13"/>
  <c r="C2" i="13"/>
  <c r="B12" i="13" a="1"/>
  <c r="B12" i="13" s="1"/>
  <c r="B21" i="13" a="1"/>
  <c r="B21" i="13" s="1"/>
  <c r="B23" i="13" a="1"/>
  <c r="B23" i="13" s="1"/>
  <c r="B3" i="13" a="1"/>
  <c r="B3" i="13" s="1"/>
  <c r="B9" i="13" a="1"/>
  <c r="B9" i="13" s="1"/>
  <c r="D9" i="13" s="1"/>
  <c r="B10" i="13" a="1"/>
  <c r="B10" i="13" s="1"/>
  <c r="B11" i="13" a="1"/>
  <c r="B11" i="13" s="1"/>
  <c r="B13" i="13" a="1"/>
  <c r="B13" i="13" s="1"/>
  <c r="B15" i="13" a="1"/>
  <c r="B15" i="13" s="1"/>
  <c r="B13" i="18" l="1" a="1"/>
  <c r="B13" i="18" s="1"/>
  <c r="C13" i="18" s="1"/>
  <c r="B12" i="18" a="1"/>
  <c r="B12" i="18" s="1"/>
  <c r="C12" i="18" s="1"/>
  <c r="D12" i="18" s="1" a="1"/>
  <c r="D12" i="18" s="1"/>
  <c r="D142" i="13"/>
  <c r="D35" i="13"/>
  <c r="D78" i="13"/>
  <c r="D66" i="13"/>
  <c r="D120" i="13"/>
  <c r="D77" i="13"/>
  <c r="D65" i="13"/>
  <c r="D13" i="13"/>
  <c r="D154" i="13"/>
  <c r="D178" i="13"/>
  <c r="D10" i="13"/>
  <c r="D43" i="13"/>
  <c r="D31" i="13"/>
  <c r="D132" i="13"/>
  <c r="D96" i="13"/>
  <c r="D22" i="13"/>
  <c r="D56" i="13"/>
  <c r="D166" i="13"/>
  <c r="D20" i="13"/>
  <c r="D8" i="13"/>
  <c r="D54" i="13"/>
  <c r="D15" i="13"/>
  <c r="D179" i="13"/>
  <c r="D107" i="13"/>
  <c r="D17" i="13"/>
  <c r="D5" i="13"/>
  <c r="D119" i="13"/>
  <c r="D16" i="13"/>
  <c r="D4" i="13"/>
  <c r="D131" i="13"/>
  <c r="D14" i="13"/>
  <c r="D143" i="13"/>
  <c r="D3" i="13"/>
  <c r="D155" i="13"/>
  <c r="D84" i="13"/>
  <c r="D167" i="13"/>
  <c r="D95" i="13"/>
  <c r="D183" i="13"/>
  <c r="D171" i="13"/>
  <c r="D159" i="13"/>
  <c r="D147" i="13"/>
  <c r="D133" i="13"/>
  <c r="D121" i="13"/>
  <c r="D109" i="13"/>
  <c r="D97" i="13"/>
  <c r="D85" i="13"/>
  <c r="D76" i="13"/>
  <c r="D2" i="13"/>
  <c r="P2" i="13" s="1" a="1"/>
  <c r="P2" i="13" s="1"/>
  <c r="D23" i="13"/>
  <c r="D21" i="13"/>
  <c r="D11" i="13"/>
  <c r="D12" i="13"/>
  <c r="AV56" i="12"/>
  <c r="AU56" i="12"/>
  <c r="AY68" i="12" a="1"/>
  <c r="AY68" i="12" s="1"/>
  <c r="AY69" i="12" a="1"/>
  <c r="AY69" i="12" s="1"/>
  <c r="AY70" i="12" a="1"/>
  <c r="AY70" i="12" s="1"/>
  <c r="AY71" i="12" a="1"/>
  <c r="AY71" i="12" s="1"/>
  <c r="AY72" i="12" a="1"/>
  <c r="AY72" i="12" s="1"/>
  <c r="AY73" i="12" a="1"/>
  <c r="AY73" i="12"/>
  <c r="AY74" i="12" a="1"/>
  <c r="AY74" i="12" s="1"/>
  <c r="AX68" i="12" a="1"/>
  <c r="AX68" i="12" s="1"/>
  <c r="AX69" i="12" a="1"/>
  <c r="AX69" i="12" s="1"/>
  <c r="AX70" i="12" a="1"/>
  <c r="AX70" i="12" s="1"/>
  <c r="AX71" i="12" a="1"/>
  <c r="AX71" i="12" s="1"/>
  <c r="AX72" i="12" a="1"/>
  <c r="AX72" i="12" s="1"/>
  <c r="AX73" i="12" a="1"/>
  <c r="AX73" i="12"/>
  <c r="AW68" i="12"/>
  <c r="AW69" i="12"/>
  <c r="AW70" i="12"/>
  <c r="AW71" i="12"/>
  <c r="AW72" i="12"/>
  <c r="AW73" i="12"/>
  <c r="AW74" i="12"/>
  <c r="AW75" i="12"/>
  <c r="AV68" i="12"/>
  <c r="AV69" i="12"/>
  <c r="AV70" i="12"/>
  <c r="AV71" i="12"/>
  <c r="AV72" i="12"/>
  <c r="AV73" i="12"/>
  <c r="AV74" i="12"/>
  <c r="AU68" i="12"/>
  <c r="AU69" i="12"/>
  <c r="AU70" i="12"/>
  <c r="AU71" i="12"/>
  <c r="AU72" i="12"/>
  <c r="Y56" i="12"/>
  <c r="M89" i="12" a="1"/>
  <c r="M89" i="12" s="1"/>
  <c r="M90" i="12" a="1"/>
  <c r="M90" i="12" s="1"/>
  <c r="M91" i="12" a="1"/>
  <c r="M91" i="12" s="1"/>
  <c r="M92" i="12" a="1"/>
  <c r="M92" i="12" s="1"/>
  <c r="M93" i="12" a="1"/>
  <c r="M93" i="12" s="1"/>
  <c r="M94" i="12" a="1"/>
  <c r="M94" i="12"/>
  <c r="M95" i="12" a="1"/>
  <c r="M95" i="12" s="1"/>
  <c r="N94" i="12" s="1"/>
  <c r="Q94" i="12" s="1" a="1"/>
  <c r="Q94" i="12" s="1"/>
  <c r="M96" i="12" a="1"/>
  <c r="M96" i="12" s="1"/>
  <c r="M97" i="12" a="1"/>
  <c r="M97" i="12" s="1"/>
  <c r="M98" i="12" a="1"/>
  <c r="M98" i="12" s="1"/>
  <c r="M99" i="12" a="1"/>
  <c r="M99" i="12" s="1"/>
  <c r="M100" i="12" a="1"/>
  <c r="M100" i="12"/>
  <c r="O100" i="12" s="1"/>
  <c r="P100" i="12" s="1"/>
  <c r="BI5" i="12" a="1"/>
  <c r="BI5" i="12" s="1"/>
  <c r="BI6" i="12" a="1"/>
  <c r="BI6" i="12"/>
  <c r="BI7" i="12" a="1"/>
  <c r="BI7" i="12" s="1"/>
  <c r="BI8" i="12" a="1"/>
  <c r="BI8" i="12" s="1"/>
  <c r="BI9" i="12" a="1"/>
  <c r="BI9" i="12" s="1"/>
  <c r="BI10" i="12" a="1"/>
  <c r="BI10" i="12"/>
  <c r="BI11" i="12" a="1"/>
  <c r="BI11" i="12" s="1"/>
  <c r="BI12" i="12" a="1"/>
  <c r="BI12" i="12"/>
  <c r="BI13" i="12" a="1"/>
  <c r="BI13" i="12" s="1"/>
  <c r="BI14" i="12" a="1"/>
  <c r="BI14" i="12" s="1"/>
  <c r="BI15" i="12" a="1"/>
  <c r="BI15" i="12" s="1"/>
  <c r="BI16" i="12" a="1"/>
  <c r="BI16" i="12"/>
  <c r="BI17" i="12" a="1"/>
  <c r="BI17" i="12" s="1"/>
  <c r="BI18" i="12" a="1"/>
  <c r="BI18" i="12"/>
  <c r="BI19" i="12" a="1"/>
  <c r="BI19" i="12" s="1"/>
  <c r="BI20" i="12" a="1"/>
  <c r="BI20" i="12" s="1"/>
  <c r="BI21" i="12" a="1"/>
  <c r="BI21" i="12" s="1"/>
  <c r="BI22" i="12" a="1"/>
  <c r="BI22" i="12"/>
  <c r="BI23" i="12" a="1"/>
  <c r="BI23" i="12" s="1"/>
  <c r="BI24" i="12" a="1"/>
  <c r="BI24" i="12"/>
  <c r="BI25" i="12" a="1"/>
  <c r="BI25" i="12" s="1"/>
  <c r="BI26" i="12" a="1"/>
  <c r="BI26" i="12" s="1"/>
  <c r="BI27" i="12" a="1"/>
  <c r="BI27" i="12" s="1"/>
  <c r="BI28" i="12" a="1"/>
  <c r="BI28" i="12"/>
  <c r="BI29" i="12" a="1"/>
  <c r="BI29" i="12" s="1"/>
  <c r="BI30" i="12" a="1"/>
  <c r="BI30" i="12"/>
  <c r="BI31" i="12" a="1"/>
  <c r="BI31" i="12" s="1"/>
  <c r="BI32" i="12" a="1"/>
  <c r="BI32" i="12" s="1"/>
  <c r="BI33" i="12" a="1"/>
  <c r="BI33" i="12" s="1"/>
  <c r="BI34" i="12" a="1"/>
  <c r="BI34" i="12"/>
  <c r="BI35" i="12" a="1"/>
  <c r="BI35" i="12" s="1"/>
  <c r="BI36" i="12" a="1"/>
  <c r="BI36" i="12"/>
  <c r="BI37" i="12" a="1"/>
  <c r="BI37" i="12" s="1"/>
  <c r="BI38" i="12" a="1"/>
  <c r="BI38" i="12" s="1"/>
  <c r="BI39" i="12" a="1"/>
  <c r="BI39" i="12" s="1"/>
  <c r="BI40" i="12" a="1"/>
  <c r="BI40" i="12"/>
  <c r="BI41" i="12" a="1"/>
  <c r="BI41" i="12" s="1"/>
  <c r="BI42" i="12" a="1"/>
  <c r="BI42" i="12"/>
  <c r="BI43" i="12" a="1"/>
  <c r="BI43" i="12" s="1"/>
  <c r="BI44" i="12" a="1"/>
  <c r="BI44" i="12" s="1"/>
  <c r="BI45" i="12" a="1"/>
  <c r="BI45" i="12" s="1"/>
  <c r="BI46" i="12" a="1"/>
  <c r="BI46" i="12"/>
  <c r="BI47" i="12" a="1"/>
  <c r="BI47" i="12" s="1"/>
  <c r="BI48" i="12" a="1"/>
  <c r="BI48" i="12" s="1"/>
  <c r="BI49" i="12" a="1"/>
  <c r="BI49" i="12" s="1"/>
  <c r="BI50" i="12" a="1"/>
  <c r="BI50" i="12" s="1"/>
  <c r="BI51" i="12" a="1"/>
  <c r="BI51" i="12" s="1"/>
  <c r="BI52" i="12" a="1"/>
  <c r="BI52" i="12"/>
  <c r="BI53" i="12" a="1"/>
  <c r="BI53" i="12" s="1"/>
  <c r="BI54" i="12" a="1"/>
  <c r="BI54" i="12" s="1"/>
  <c r="BI55" i="12" a="1"/>
  <c r="BI55" i="12" s="1"/>
  <c r="BI56" i="12" a="1"/>
  <c r="BI56" i="12" s="1"/>
  <c r="BI57" i="12" a="1"/>
  <c r="BI57" i="12" s="1"/>
  <c r="BI58" i="12" a="1"/>
  <c r="BI58" i="12"/>
  <c r="BI59" i="12" a="1"/>
  <c r="BI59" i="12" s="1"/>
  <c r="BI60" i="12" a="1"/>
  <c r="BI60" i="12" s="1"/>
  <c r="BI61" i="12" a="1"/>
  <c r="BI61" i="12" s="1"/>
  <c r="BI62" i="12" a="1"/>
  <c r="BI62" i="12" s="1"/>
  <c r="BI63" i="12" a="1"/>
  <c r="BI63" i="12" s="1"/>
  <c r="BI64" i="12" a="1"/>
  <c r="BI64" i="12"/>
  <c r="BI65" i="12" a="1"/>
  <c r="BI65" i="12" s="1"/>
  <c r="BI66" i="12" a="1"/>
  <c r="BI66" i="12" s="1"/>
  <c r="BI67" i="12" a="1"/>
  <c r="BI67" i="12" s="1"/>
  <c r="BI68" i="12" a="1"/>
  <c r="BI68" i="12" s="1"/>
  <c r="BI69" i="12" a="1"/>
  <c r="BI69" i="12" s="1"/>
  <c r="BI70" i="12" a="1"/>
  <c r="BI70" i="12"/>
  <c r="BI71" i="12" a="1"/>
  <c r="BI71" i="12" s="1"/>
  <c r="BI72" i="12" a="1"/>
  <c r="BI72" i="12" s="1"/>
  <c r="BI73" i="12" a="1"/>
  <c r="BI73" i="12" s="1"/>
  <c r="BI74" i="12" a="1"/>
  <c r="BI74" i="12" s="1"/>
  <c r="BI75" i="12" a="1"/>
  <c r="BI75" i="12" s="1"/>
  <c r="BI76" i="12" a="1"/>
  <c r="BI76" i="12"/>
  <c r="BI77" i="12" a="1"/>
  <c r="BI77" i="12" s="1"/>
  <c r="BI78" i="12" a="1"/>
  <c r="BI78" i="12" s="1"/>
  <c r="BI79" i="12" a="1"/>
  <c r="BI79" i="12" s="1"/>
  <c r="BI80" i="12" a="1"/>
  <c r="BI80" i="12" s="1"/>
  <c r="BI81" i="12" a="1"/>
  <c r="BI81" i="12" s="1"/>
  <c r="BI82" i="12" a="1"/>
  <c r="BI82" i="12"/>
  <c r="BI83" i="12" a="1"/>
  <c r="BI83" i="12" s="1"/>
  <c r="BI84" i="12" a="1"/>
  <c r="BI84" i="12" s="1"/>
  <c r="BI85" i="12" a="1"/>
  <c r="BI85" i="12" s="1"/>
  <c r="BI86" i="12" a="1"/>
  <c r="BI86" i="12" s="1"/>
  <c r="BI87" i="12" a="1"/>
  <c r="BI87" i="12" s="1"/>
  <c r="BI88" i="12" a="1"/>
  <c r="BI88" i="12"/>
  <c r="BI89" i="12" a="1"/>
  <c r="BI89" i="12" s="1"/>
  <c r="BI90" i="12" a="1"/>
  <c r="BI90" i="12" s="1"/>
  <c r="BI91" i="12" a="1"/>
  <c r="BI91" i="12" s="1"/>
  <c r="BI92" i="12" a="1"/>
  <c r="BI92" i="12" s="1"/>
  <c r="BI93" i="12" a="1"/>
  <c r="BI93" i="12" s="1"/>
  <c r="BI94" i="12" a="1"/>
  <c r="BI94" i="12"/>
  <c r="BI95" i="12" a="1"/>
  <c r="BI95" i="12" s="1"/>
  <c r="BI96" i="12" a="1"/>
  <c r="BI96" i="12" s="1"/>
  <c r="BI97" i="12" a="1"/>
  <c r="BI97" i="12" s="1"/>
  <c r="BI98" i="12" a="1"/>
  <c r="BI98" i="12" s="1"/>
  <c r="BI99" i="12" a="1"/>
  <c r="BI99" i="12" s="1"/>
  <c r="BI100" i="12" a="1"/>
  <c r="BI100" i="12"/>
  <c r="BI101" i="12" a="1"/>
  <c r="BI101" i="12" s="1"/>
  <c r="BI102" i="12" a="1"/>
  <c r="BI102" i="12" s="1"/>
  <c r="BI103" i="12" a="1"/>
  <c r="BI103" i="12" s="1"/>
  <c r="BI104" i="12" a="1"/>
  <c r="BI104" i="12" s="1"/>
  <c r="BI105" i="12" a="1"/>
  <c r="BI105" i="12" s="1"/>
  <c r="BI106" i="12" a="1"/>
  <c r="BI106" i="12"/>
  <c r="BI107" i="12" a="1"/>
  <c r="BI107" i="12" s="1"/>
  <c r="BI108" i="12" a="1"/>
  <c r="BI108" i="12" s="1"/>
  <c r="BI109" i="12" a="1"/>
  <c r="BI109" i="12" s="1"/>
  <c r="BI110" i="12" a="1"/>
  <c r="BI110" i="12" s="1"/>
  <c r="BI111" i="12" a="1"/>
  <c r="BI111" i="12" s="1"/>
  <c r="BI112" i="12" a="1"/>
  <c r="BI112" i="12"/>
  <c r="BI113" i="12" a="1"/>
  <c r="BI113" i="12" s="1"/>
  <c r="BI114" i="12" a="1"/>
  <c r="BI114" i="12" s="1"/>
  <c r="BI115" i="12" a="1"/>
  <c r="BI115" i="12" s="1"/>
  <c r="BI116" i="12" a="1"/>
  <c r="BI116" i="12" s="1"/>
  <c r="BI117" i="12" a="1"/>
  <c r="BI117" i="12" s="1"/>
  <c r="BI118" i="12" a="1"/>
  <c r="BI118" i="12"/>
  <c r="BI119" i="12" a="1"/>
  <c r="BI119" i="12" s="1"/>
  <c r="BI120" i="12" a="1"/>
  <c r="BI120" i="12" s="1"/>
  <c r="BI121" i="12" a="1"/>
  <c r="BI121" i="12" s="1"/>
  <c r="BI122" i="12" a="1"/>
  <c r="BI122" i="12" s="1"/>
  <c r="BI123" i="12" a="1"/>
  <c r="BI123" i="12" s="1"/>
  <c r="BI124" i="12" a="1"/>
  <c r="BI124" i="12"/>
  <c r="BI125" i="12" a="1"/>
  <c r="BI125" i="12" s="1"/>
  <c r="BI126" i="12" a="1"/>
  <c r="BI126" i="12" s="1"/>
  <c r="BI127" i="12" a="1"/>
  <c r="BI127" i="12" s="1"/>
  <c r="BI128" i="12" a="1"/>
  <c r="BI128" i="12" s="1"/>
  <c r="BI129" i="12" a="1"/>
  <c r="BI129" i="12" s="1"/>
  <c r="BI130" i="12" a="1"/>
  <c r="BI130" i="12"/>
  <c r="BI131" i="12" a="1"/>
  <c r="BI131" i="12" s="1"/>
  <c r="BI132" i="12" a="1"/>
  <c r="BI132" i="12" s="1"/>
  <c r="BI133" i="12" a="1"/>
  <c r="BI133" i="12" s="1"/>
  <c r="BI134" i="12" a="1"/>
  <c r="BI134" i="12" s="1"/>
  <c r="BI135" i="12" a="1"/>
  <c r="BI135" i="12" s="1"/>
  <c r="BI136" i="12" a="1"/>
  <c r="BI136" i="12"/>
  <c r="BI137" i="12" a="1"/>
  <c r="BI137" i="12" s="1"/>
  <c r="BI138" i="12" a="1"/>
  <c r="BI138" i="12" s="1"/>
  <c r="BI139" i="12" a="1"/>
  <c r="BI139" i="12" s="1"/>
  <c r="BI140" i="12" a="1"/>
  <c r="BI140" i="12" s="1"/>
  <c r="BI141" i="12" a="1"/>
  <c r="BI141" i="12" s="1"/>
  <c r="BI142" i="12" a="1"/>
  <c r="BI142" i="12"/>
  <c r="BI143" i="12" a="1"/>
  <c r="BI143" i="12" s="1"/>
  <c r="BI144" i="12" a="1"/>
  <c r="BI144" i="12" s="1"/>
  <c r="BI145" i="12" a="1"/>
  <c r="BI145" i="12" s="1"/>
  <c r="BI146" i="12" a="1"/>
  <c r="BI146" i="12" s="1"/>
  <c r="BI147" i="12" a="1"/>
  <c r="BI147" i="12" s="1"/>
  <c r="BI148" i="12" a="1"/>
  <c r="BI148" i="12"/>
  <c r="BI149" i="12" a="1"/>
  <c r="BI149" i="12" s="1"/>
  <c r="BI150" i="12" a="1"/>
  <c r="BI150" i="12" s="1"/>
  <c r="BI151" i="12" a="1"/>
  <c r="BI151" i="12" s="1"/>
  <c r="BI152" i="12" a="1"/>
  <c r="BI152" i="12" s="1"/>
  <c r="BI153" i="12" a="1"/>
  <c r="BI153" i="12" s="1"/>
  <c r="BI154" i="12" a="1"/>
  <c r="BI154" i="12"/>
  <c r="BI155" i="12" a="1"/>
  <c r="BI155" i="12" s="1"/>
  <c r="BI156" i="12" a="1"/>
  <c r="BI156" i="12" s="1"/>
  <c r="BI157" i="12" a="1"/>
  <c r="BI157" i="12" s="1"/>
  <c r="BI158" i="12" a="1"/>
  <c r="BI158" i="12" s="1"/>
  <c r="BI159" i="12" a="1"/>
  <c r="BI159" i="12" s="1"/>
  <c r="BI160" i="12" a="1"/>
  <c r="BI160" i="12"/>
  <c r="BI161" i="12" a="1"/>
  <c r="BI161" i="12" s="1"/>
  <c r="BI162" i="12" a="1"/>
  <c r="BI162" i="12" s="1"/>
  <c r="BI163" i="12" a="1"/>
  <c r="BI163" i="12" s="1"/>
  <c r="BI164" i="12" a="1"/>
  <c r="BI164" i="12" s="1"/>
  <c r="BI165" i="12" a="1"/>
  <c r="BI165" i="12" s="1"/>
  <c r="BI166" i="12" a="1"/>
  <c r="BI166" i="12"/>
  <c r="BI167" i="12" a="1"/>
  <c r="BI167" i="12" s="1"/>
  <c r="BI168" i="12" a="1"/>
  <c r="BI168" i="12" s="1"/>
  <c r="BI169" i="12" a="1"/>
  <c r="BI169" i="12" s="1"/>
  <c r="BI170" i="12" a="1"/>
  <c r="BI170" i="12" s="1"/>
  <c r="BI171" i="12" a="1"/>
  <c r="BI171" i="12" s="1"/>
  <c r="BI172" i="12" a="1"/>
  <c r="BI172" i="12"/>
  <c r="BI173" i="12" a="1"/>
  <c r="BI173" i="12" s="1"/>
  <c r="BI174" i="12" a="1"/>
  <c r="BI174" i="12" s="1"/>
  <c r="BI175" i="12" a="1"/>
  <c r="BI175" i="12" s="1"/>
  <c r="BI176" i="12" a="1"/>
  <c r="BI176" i="12" s="1"/>
  <c r="BI177" i="12" a="1"/>
  <c r="BI177" i="12" s="1"/>
  <c r="BI178" i="12" a="1"/>
  <c r="BI178" i="12"/>
  <c r="BI179" i="12" a="1"/>
  <c r="BI179" i="12" s="1"/>
  <c r="BI180" i="12" a="1"/>
  <c r="BI180" i="12" s="1"/>
  <c r="BI181" i="12" a="1"/>
  <c r="BI181" i="12" s="1"/>
  <c r="BI182" i="12" a="1"/>
  <c r="BI182" i="12" s="1"/>
  <c r="BI183" i="12" a="1"/>
  <c r="BI183" i="12" s="1"/>
  <c r="BI184" i="12" a="1"/>
  <c r="BI184" i="12"/>
  <c r="BI185" i="12" a="1"/>
  <c r="BI185" i="12" s="1"/>
  <c r="BI186" i="12" a="1"/>
  <c r="BI186" i="12" s="1"/>
  <c r="BI187" i="12" a="1"/>
  <c r="BI187" i="12" s="1"/>
  <c r="BI188" i="12" a="1"/>
  <c r="BI188" i="12" s="1"/>
  <c r="BI189" i="12" a="1"/>
  <c r="BI189" i="12" s="1"/>
  <c r="BI190" i="12" a="1"/>
  <c r="BI190" i="12"/>
  <c r="BI191" i="12" a="1"/>
  <c r="BI191" i="12" s="1"/>
  <c r="BI192" i="12" a="1"/>
  <c r="BI192" i="12" s="1"/>
  <c r="BI193" i="12" a="1"/>
  <c r="BI193" i="12" s="1"/>
  <c r="BI194" i="12" a="1"/>
  <c r="BI194" i="12" s="1"/>
  <c r="BI195" i="12" a="1"/>
  <c r="BI195" i="12" s="1"/>
  <c r="BI196" i="12" a="1"/>
  <c r="BI196" i="12"/>
  <c r="BI197" i="12" a="1"/>
  <c r="BI197" i="12" s="1"/>
  <c r="BI198" i="12" a="1"/>
  <c r="BI198" i="12" s="1"/>
  <c r="BI199" i="12" a="1"/>
  <c r="BI199" i="12" s="1"/>
  <c r="BI200" i="12" a="1"/>
  <c r="BI200" i="12" s="1"/>
  <c r="BI201" i="12" a="1"/>
  <c r="BI201" i="12" s="1"/>
  <c r="BI202" i="12" a="1"/>
  <c r="BI202" i="12"/>
  <c r="BI203" i="12" a="1"/>
  <c r="BI203" i="12" s="1"/>
  <c r="BI204" i="12" a="1"/>
  <c r="BI204" i="12" s="1"/>
  <c r="BI205" i="12" a="1"/>
  <c r="BI205" i="12" s="1"/>
  <c r="BI206" i="12" a="1"/>
  <c r="BI206" i="12" s="1"/>
  <c r="BI207" i="12" a="1"/>
  <c r="BI207" i="12" s="1"/>
  <c r="BI208" i="12" a="1"/>
  <c r="BI208" i="12"/>
  <c r="BI209" i="12" a="1"/>
  <c r="BI209" i="12" s="1"/>
  <c r="BI210" i="12" a="1"/>
  <c r="BI210" i="12" s="1"/>
  <c r="BI211" i="12" a="1"/>
  <c r="BI211" i="12" s="1"/>
  <c r="BI212" i="12" a="1"/>
  <c r="BI212" i="12" s="1"/>
  <c r="BI213" i="12" a="1"/>
  <c r="BI213" i="12" s="1"/>
  <c r="BI214" i="12" a="1"/>
  <c r="BI214" i="12"/>
  <c r="BI215" i="12" a="1"/>
  <c r="BI215" i="12" s="1"/>
  <c r="BI216" i="12" a="1"/>
  <c r="BI216" i="12" s="1"/>
  <c r="BI217" i="12" a="1"/>
  <c r="BI217" i="12" s="1"/>
  <c r="BI218" i="12" a="1"/>
  <c r="BI218" i="12" s="1"/>
  <c r="BI219" i="12" a="1"/>
  <c r="BI219" i="12" s="1"/>
  <c r="BI220" i="12" a="1"/>
  <c r="BI220" i="12"/>
  <c r="BI221" i="12" a="1"/>
  <c r="BI221" i="12" s="1"/>
  <c r="BI222" i="12" a="1"/>
  <c r="BI222" i="12" s="1"/>
  <c r="BI223" i="12" a="1"/>
  <c r="BI223" i="12" s="1"/>
  <c r="BI224" i="12" a="1"/>
  <c r="BI224" i="12" s="1"/>
  <c r="BI225" i="12" a="1"/>
  <c r="BI225" i="12" s="1"/>
  <c r="BI226" i="12" a="1"/>
  <c r="BI226" i="12"/>
  <c r="BI227" i="12" a="1"/>
  <c r="BI227" i="12" s="1"/>
  <c r="BI228" i="12" a="1"/>
  <c r="BI228" i="12" s="1"/>
  <c r="BI229" i="12" a="1"/>
  <c r="BI229" i="12" s="1"/>
  <c r="BI230" i="12" a="1"/>
  <c r="BI230" i="12" s="1"/>
  <c r="BI231" i="12" a="1"/>
  <c r="BI231" i="12" s="1"/>
  <c r="BI232" i="12" a="1"/>
  <c r="BI232" i="12"/>
  <c r="BI233" i="12" a="1"/>
  <c r="BI233" i="12" s="1"/>
  <c r="BI234" i="12" a="1"/>
  <c r="BI234" i="12" s="1"/>
  <c r="BI235" i="12" a="1"/>
  <c r="BI235" i="12" s="1"/>
  <c r="BI4" i="12" a="1"/>
  <c r="BI4" i="12" s="1"/>
  <c r="AX5" i="12" a="1"/>
  <c r="AX5" i="12" s="1"/>
  <c r="AX6" i="12" a="1"/>
  <c r="AX6" i="12" s="1"/>
  <c r="AX7" i="12" a="1"/>
  <c r="AX7" i="12" s="1"/>
  <c r="AX8" i="12" a="1"/>
  <c r="AX8" i="12" s="1"/>
  <c r="AX9" i="12" a="1"/>
  <c r="AX9" i="12" s="1"/>
  <c r="AX10" i="12" a="1"/>
  <c r="AX10" i="12"/>
  <c r="AX11" i="12" a="1"/>
  <c r="AX11" i="12" s="1"/>
  <c r="AX12" i="12" a="1"/>
  <c r="AX12" i="12" s="1"/>
  <c r="AX13" i="12" a="1"/>
  <c r="AX13" i="12" s="1"/>
  <c r="AX14" i="12" a="1"/>
  <c r="AX14" i="12" s="1"/>
  <c r="AX15" i="12" a="1"/>
  <c r="AX15" i="12" s="1"/>
  <c r="AX16" i="12" a="1"/>
  <c r="AX16" i="12"/>
  <c r="AX17" i="12" a="1"/>
  <c r="AX17" i="12" s="1"/>
  <c r="AX18" i="12" a="1"/>
  <c r="AX18" i="12" s="1"/>
  <c r="AX19" i="12" a="1"/>
  <c r="AX19" i="12" s="1"/>
  <c r="AX20" i="12" a="1"/>
  <c r="AX20" i="12" s="1"/>
  <c r="AX21" i="12" a="1"/>
  <c r="AX21" i="12" s="1"/>
  <c r="AX22" i="12" a="1"/>
  <c r="AX22" i="12"/>
  <c r="AX23" i="12" a="1"/>
  <c r="AX23" i="12" s="1"/>
  <c r="AX24" i="12" a="1"/>
  <c r="AX24" i="12" s="1"/>
  <c r="AX25" i="12" a="1"/>
  <c r="AX25" i="12" s="1"/>
  <c r="AX26" i="12" a="1"/>
  <c r="AX26" i="12" s="1"/>
  <c r="AX27" i="12" a="1"/>
  <c r="AX27" i="12" s="1"/>
  <c r="AX28" i="12" a="1"/>
  <c r="AX28" i="12"/>
  <c r="AX29" i="12" a="1"/>
  <c r="AX29" i="12" s="1"/>
  <c r="AX30" i="12" a="1"/>
  <c r="AX30" i="12" s="1"/>
  <c r="AX31" i="12" a="1"/>
  <c r="AX31" i="12" s="1"/>
  <c r="AX32" i="12" a="1"/>
  <c r="AX32" i="12" s="1"/>
  <c r="AX33" i="12" a="1"/>
  <c r="AX33" i="12" s="1"/>
  <c r="AX34" i="12" a="1"/>
  <c r="AX34" i="12"/>
  <c r="AX35" i="12" a="1"/>
  <c r="AX35" i="12" s="1"/>
  <c r="AX36" i="12" a="1"/>
  <c r="AX36" i="12" s="1"/>
  <c r="AX37" i="12" a="1"/>
  <c r="AX37" i="12" s="1"/>
  <c r="AX38" i="12" a="1"/>
  <c r="AX38" i="12" s="1"/>
  <c r="AX39" i="12" a="1"/>
  <c r="AX39" i="12" s="1"/>
  <c r="AX40" i="12" a="1"/>
  <c r="AX40" i="12"/>
  <c r="AX41" i="12" a="1"/>
  <c r="AX41" i="12" s="1"/>
  <c r="AX42" i="12" a="1"/>
  <c r="AX42" i="12" s="1"/>
  <c r="AX43" i="12" a="1"/>
  <c r="AX43" i="12" s="1"/>
  <c r="AX44" i="12" a="1"/>
  <c r="AX44" i="12" s="1"/>
  <c r="AX45" i="12" a="1"/>
  <c r="AX45" i="12" s="1"/>
  <c r="AX46" i="12" a="1"/>
  <c r="AX46" i="12"/>
  <c r="AX47" i="12" a="1"/>
  <c r="AX47" i="12" s="1"/>
  <c r="AX48" i="12" a="1"/>
  <c r="AX48" i="12" s="1"/>
  <c r="AX49" i="12" a="1"/>
  <c r="AX49" i="12" s="1"/>
  <c r="AX50" i="12" a="1"/>
  <c r="AX50" i="12" s="1"/>
  <c r="AX51" i="12" a="1"/>
  <c r="AX51" i="12" s="1"/>
  <c r="AX52" i="12" a="1"/>
  <c r="AX52" i="12"/>
  <c r="AX53" i="12" a="1"/>
  <c r="AX53" i="12" s="1"/>
  <c r="AX54" i="12" a="1"/>
  <c r="AX54" i="12" s="1"/>
  <c r="AX55" i="12" a="1"/>
  <c r="AX55" i="12" s="1"/>
  <c r="AX56" i="12" a="1"/>
  <c r="AX56" i="12" s="1"/>
  <c r="AX57" i="12" a="1"/>
  <c r="AX57" i="12" s="1"/>
  <c r="AX58" i="12" a="1"/>
  <c r="AX58" i="12"/>
  <c r="AX59" i="12" a="1"/>
  <c r="AX59" i="12" s="1"/>
  <c r="AX60" i="12" a="1"/>
  <c r="AX60" i="12" s="1"/>
  <c r="AX61" i="12" a="1"/>
  <c r="AX61" i="12" s="1"/>
  <c r="AX62" i="12" a="1"/>
  <c r="AX62" i="12" s="1"/>
  <c r="AX63" i="12" a="1"/>
  <c r="AX63" i="12" s="1"/>
  <c r="AX64" i="12" a="1"/>
  <c r="AX64" i="12"/>
  <c r="AX65" i="12" a="1"/>
  <c r="AX65" i="12" s="1"/>
  <c r="AX66" i="12" a="1"/>
  <c r="AX66" i="12" s="1"/>
  <c r="AX67" i="12" a="1"/>
  <c r="AX67" i="12" s="1"/>
  <c r="AX74" i="12" a="1"/>
  <c r="AX74" i="12" s="1"/>
  <c r="AX75" i="12" a="1"/>
  <c r="AX75" i="12" s="1"/>
  <c r="AX76" i="12" a="1"/>
  <c r="AX76" i="12"/>
  <c r="AX77" i="12" a="1"/>
  <c r="AX77" i="12" s="1"/>
  <c r="AX78" i="12" a="1"/>
  <c r="AX78" i="12" s="1"/>
  <c r="AX79" i="12" a="1"/>
  <c r="AX79" i="12" s="1"/>
  <c r="AX80" i="12" a="1"/>
  <c r="AX80" i="12" s="1"/>
  <c r="AX81" i="12" a="1"/>
  <c r="AX81" i="12" s="1"/>
  <c r="AX82" i="12" a="1"/>
  <c r="AX82" i="12"/>
  <c r="AX83" i="12" a="1"/>
  <c r="AX83" i="12" s="1"/>
  <c r="AX84" i="12" a="1"/>
  <c r="AX84" i="12" s="1"/>
  <c r="AX85" i="12" a="1"/>
  <c r="AX85" i="12" s="1"/>
  <c r="AX86" i="12" a="1"/>
  <c r="AX86" i="12" s="1"/>
  <c r="AX87" i="12" a="1"/>
  <c r="AX87" i="12" s="1"/>
  <c r="AX88" i="12" a="1"/>
  <c r="AX88" i="12"/>
  <c r="AX89" i="12" a="1"/>
  <c r="AX89" i="12" s="1"/>
  <c r="AX90" i="12" a="1"/>
  <c r="AX90" i="12" s="1"/>
  <c r="AX91" i="12" a="1"/>
  <c r="AX91" i="12" s="1"/>
  <c r="AX92" i="12" a="1"/>
  <c r="AX92" i="12" s="1"/>
  <c r="AX93" i="12" a="1"/>
  <c r="AX93" i="12" s="1"/>
  <c r="AX94" i="12" a="1"/>
  <c r="AX94" i="12"/>
  <c r="AX95" i="12" a="1"/>
  <c r="AX95" i="12" s="1"/>
  <c r="AX96" i="12" a="1"/>
  <c r="AX96" i="12" s="1"/>
  <c r="AX97" i="12" a="1"/>
  <c r="AX97" i="12" s="1"/>
  <c r="AX98" i="12" a="1"/>
  <c r="AX98" i="12" s="1"/>
  <c r="AX99" i="12" a="1"/>
  <c r="AX99" i="12" s="1"/>
  <c r="AX100" i="12" a="1"/>
  <c r="AX100" i="12"/>
  <c r="AX101" i="12" a="1"/>
  <c r="AX101" i="12" s="1"/>
  <c r="AX102" i="12" a="1"/>
  <c r="AX102" i="12" s="1"/>
  <c r="AX103" i="12" a="1"/>
  <c r="AX103" i="12" s="1"/>
  <c r="AX104" i="12" a="1"/>
  <c r="AX104" i="12" s="1"/>
  <c r="AX105" i="12" a="1"/>
  <c r="AX105" i="12" s="1"/>
  <c r="AX106" i="12" a="1"/>
  <c r="AX106" i="12"/>
  <c r="AX107" i="12" a="1"/>
  <c r="AX107" i="12" s="1"/>
  <c r="AX108" i="12" a="1"/>
  <c r="AX108" i="12" s="1"/>
  <c r="AX109" i="12" a="1"/>
  <c r="AX109" i="12" s="1"/>
  <c r="AX110" i="12" a="1"/>
  <c r="AX110" i="12" s="1"/>
  <c r="AX111" i="12" a="1"/>
  <c r="AX111" i="12" s="1"/>
  <c r="AX112" i="12" a="1"/>
  <c r="AX112" i="12"/>
  <c r="AX113" i="12" a="1"/>
  <c r="AX113" i="12" s="1"/>
  <c r="AX114" i="12" a="1"/>
  <c r="AX114" i="12" s="1"/>
  <c r="AX115" i="12" a="1"/>
  <c r="AX115" i="12" s="1"/>
  <c r="AX116" i="12" a="1"/>
  <c r="AX116" i="12" s="1"/>
  <c r="AX117" i="12" a="1"/>
  <c r="AX117" i="12" s="1"/>
  <c r="AX118" i="12" a="1"/>
  <c r="AX118" i="12"/>
  <c r="AX119" i="12" a="1"/>
  <c r="AX119" i="12" s="1"/>
  <c r="AX120" i="12" a="1"/>
  <c r="AX120" i="12" s="1"/>
  <c r="AX121" i="12" a="1"/>
  <c r="AX121" i="12" s="1"/>
  <c r="AX122" i="12" a="1"/>
  <c r="AX122" i="12" s="1"/>
  <c r="AX123" i="12" a="1"/>
  <c r="AX123" i="12" s="1"/>
  <c r="AX124" i="12" a="1"/>
  <c r="AX124" i="12"/>
  <c r="AX125" i="12" a="1"/>
  <c r="AX125" i="12" s="1"/>
  <c r="AX126" i="12" a="1"/>
  <c r="AX126" i="12" s="1"/>
  <c r="AX127" i="12" a="1"/>
  <c r="AX127" i="12" s="1"/>
  <c r="AX128" i="12" a="1"/>
  <c r="AX128" i="12" s="1"/>
  <c r="AX129" i="12" a="1"/>
  <c r="AX129" i="12" s="1"/>
  <c r="AX130" i="12" a="1"/>
  <c r="AX130" i="12"/>
  <c r="AX131" i="12" a="1"/>
  <c r="AX131" i="12" s="1"/>
  <c r="AX132" i="12" a="1"/>
  <c r="AX132" i="12" s="1"/>
  <c r="AX133" i="12" a="1"/>
  <c r="AX133" i="12" s="1"/>
  <c r="AX134" i="12" a="1"/>
  <c r="AX134" i="12" s="1"/>
  <c r="AX135" i="12" a="1"/>
  <c r="AX135" i="12" s="1"/>
  <c r="AX136" i="12" a="1"/>
  <c r="AX136" i="12"/>
  <c r="AX137" i="12" a="1"/>
  <c r="AX137" i="12" s="1"/>
  <c r="AX138" i="12" a="1"/>
  <c r="AX138" i="12" s="1"/>
  <c r="AX139" i="12" a="1"/>
  <c r="AX139" i="12" s="1"/>
  <c r="AX140" i="12" a="1"/>
  <c r="AX140" i="12" s="1"/>
  <c r="AX141" i="12" a="1"/>
  <c r="AX141" i="12" s="1"/>
  <c r="AX142" i="12" a="1"/>
  <c r="AX142" i="12"/>
  <c r="AX143" i="12" a="1"/>
  <c r="AX143" i="12" s="1"/>
  <c r="AX144" i="12" a="1"/>
  <c r="AX144" i="12" s="1"/>
  <c r="AX145" i="12" a="1"/>
  <c r="AX145" i="12" s="1"/>
  <c r="AX146" i="12" a="1"/>
  <c r="AX146" i="12" s="1"/>
  <c r="AX147" i="12" a="1"/>
  <c r="AX147" i="12" s="1"/>
  <c r="AX148" i="12" a="1"/>
  <c r="AX148" i="12"/>
  <c r="AX149" i="12" a="1"/>
  <c r="AX149" i="12" s="1"/>
  <c r="AX150" i="12" a="1"/>
  <c r="AX150" i="12" s="1"/>
  <c r="AX151" i="12" a="1"/>
  <c r="AX151" i="12" s="1"/>
  <c r="AX152" i="12" a="1"/>
  <c r="AX152" i="12" s="1"/>
  <c r="AX153" i="12" a="1"/>
  <c r="AX153" i="12" s="1"/>
  <c r="AX154" i="12" a="1"/>
  <c r="AX154" i="12"/>
  <c r="AX155" i="12" a="1"/>
  <c r="AX155" i="12" s="1"/>
  <c r="AX156" i="12" a="1"/>
  <c r="AX156" i="12" s="1"/>
  <c r="AX157" i="12" a="1"/>
  <c r="AX157" i="12" s="1"/>
  <c r="AX158" i="12" a="1"/>
  <c r="AX158" i="12" s="1"/>
  <c r="AX159" i="12" a="1"/>
  <c r="AX159" i="12" s="1"/>
  <c r="AX160" i="12" a="1"/>
  <c r="AX160" i="12"/>
  <c r="AX161" i="12" a="1"/>
  <c r="AX161" i="12" s="1"/>
  <c r="AX162" i="12" a="1"/>
  <c r="AX162" i="12" s="1"/>
  <c r="AX163" i="12" a="1"/>
  <c r="AX163" i="12" s="1"/>
  <c r="AX164" i="12" a="1"/>
  <c r="AX164" i="12" s="1"/>
  <c r="AX165" i="12" a="1"/>
  <c r="AX165" i="12" s="1"/>
  <c r="AX166" i="12" a="1"/>
  <c r="AX166" i="12"/>
  <c r="AX167" i="12" a="1"/>
  <c r="AX167" i="12" s="1"/>
  <c r="AX168" i="12" a="1"/>
  <c r="AX168" i="12" s="1"/>
  <c r="AX169" i="12" a="1"/>
  <c r="AX169" i="12" s="1"/>
  <c r="AX170" i="12" a="1"/>
  <c r="AX170" i="12" s="1"/>
  <c r="AX171" i="12" a="1"/>
  <c r="AX171" i="12" s="1"/>
  <c r="AX172" i="12" a="1"/>
  <c r="AX172" i="12"/>
  <c r="AX173" i="12" a="1"/>
  <c r="AX173" i="12" s="1"/>
  <c r="AX174" i="12" a="1"/>
  <c r="AX174" i="12" s="1"/>
  <c r="AX175" i="12" a="1"/>
  <c r="AX175" i="12" s="1"/>
  <c r="AX176" i="12" a="1"/>
  <c r="AX176" i="12" s="1"/>
  <c r="AX177" i="12" a="1"/>
  <c r="AX177" i="12" s="1"/>
  <c r="AX178" i="12" a="1"/>
  <c r="AX178" i="12"/>
  <c r="AX179" i="12" a="1"/>
  <c r="AX179" i="12" s="1"/>
  <c r="AX180" i="12" a="1"/>
  <c r="AX180" i="12" s="1"/>
  <c r="AX181" i="12" a="1"/>
  <c r="AX181" i="12" s="1"/>
  <c r="AX182" i="12" a="1"/>
  <c r="AX182" i="12" s="1"/>
  <c r="AX183" i="12" a="1"/>
  <c r="AX183" i="12" s="1"/>
  <c r="AX184" i="12" a="1"/>
  <c r="AX184" i="12"/>
  <c r="AX185" i="12" a="1"/>
  <c r="AX185" i="12" s="1"/>
  <c r="AX186" i="12" a="1"/>
  <c r="AX186" i="12" s="1"/>
  <c r="AX187" i="12" a="1"/>
  <c r="AX187" i="12" s="1"/>
  <c r="AX188" i="12" a="1"/>
  <c r="AX188" i="12" s="1"/>
  <c r="AX189" i="12" a="1"/>
  <c r="AX189" i="12" s="1"/>
  <c r="AX190" i="12" a="1"/>
  <c r="AX190" i="12"/>
  <c r="AX191" i="12" a="1"/>
  <c r="AX191" i="12" s="1"/>
  <c r="AX192" i="12" a="1"/>
  <c r="AX192" i="12" s="1"/>
  <c r="AX193" i="12" a="1"/>
  <c r="AX193" i="12" s="1"/>
  <c r="AX194" i="12" a="1"/>
  <c r="AX194" i="12" s="1"/>
  <c r="AX195" i="12" a="1"/>
  <c r="AX195" i="12" s="1"/>
  <c r="AX196" i="12" a="1"/>
  <c r="AX196" i="12"/>
  <c r="AX197" i="12" a="1"/>
  <c r="AX197" i="12" s="1"/>
  <c r="AX198" i="12" a="1"/>
  <c r="AX198" i="12" s="1"/>
  <c r="AX199" i="12" a="1"/>
  <c r="AX199" i="12" s="1"/>
  <c r="AX200" i="12" a="1"/>
  <c r="AX200" i="12" s="1"/>
  <c r="AX201" i="12" a="1"/>
  <c r="AX201" i="12" s="1"/>
  <c r="AX202" i="12" a="1"/>
  <c r="AX202" i="12"/>
  <c r="AX203" i="12" a="1"/>
  <c r="AX203" i="12" s="1"/>
  <c r="AX204" i="12" a="1"/>
  <c r="AX204" i="12" s="1"/>
  <c r="AX205" i="12" a="1"/>
  <c r="AX205" i="12" s="1"/>
  <c r="AX206" i="12" a="1"/>
  <c r="AX206" i="12" s="1"/>
  <c r="AX207" i="12" a="1"/>
  <c r="AX207" i="12" s="1"/>
  <c r="AX208" i="12" a="1"/>
  <c r="AX208" i="12"/>
  <c r="AX209" i="12" a="1"/>
  <c r="AX209" i="12" s="1"/>
  <c r="AX210" i="12" a="1"/>
  <c r="AX210" i="12" s="1"/>
  <c r="AX211" i="12" a="1"/>
  <c r="AX211" i="12" s="1"/>
  <c r="AX212" i="12" a="1"/>
  <c r="AX212" i="12" s="1"/>
  <c r="AX213" i="12" a="1"/>
  <c r="AX213" i="12" s="1"/>
  <c r="AX214" i="12" a="1"/>
  <c r="AX214" i="12"/>
  <c r="AX215" i="12" a="1"/>
  <c r="AX215" i="12" s="1"/>
  <c r="AX216" i="12" a="1"/>
  <c r="AX216" i="12" s="1"/>
  <c r="AX217" i="12" a="1"/>
  <c r="AX217" i="12" s="1"/>
  <c r="AX218" i="12" a="1"/>
  <c r="AX218" i="12" s="1"/>
  <c r="AX219" i="12" a="1"/>
  <c r="AX219" i="12" s="1"/>
  <c r="AX220" i="12" a="1"/>
  <c r="AX220" i="12"/>
  <c r="AX221" i="12" a="1"/>
  <c r="AX221" i="12" s="1"/>
  <c r="AX222" i="12" a="1"/>
  <c r="AX222" i="12" s="1"/>
  <c r="AX223" i="12" a="1"/>
  <c r="AX223" i="12" s="1"/>
  <c r="AX224" i="12" a="1"/>
  <c r="AX224" i="12" s="1"/>
  <c r="AX225" i="12" a="1"/>
  <c r="AX225" i="12" s="1"/>
  <c r="AX226" i="12" a="1"/>
  <c r="AX226" i="12"/>
  <c r="AX227" i="12" a="1"/>
  <c r="AX227" i="12" s="1"/>
  <c r="AX228" i="12" a="1"/>
  <c r="AX228" i="12" s="1"/>
  <c r="AX229" i="12" a="1"/>
  <c r="AX229" i="12" s="1"/>
  <c r="AX230" i="12" a="1"/>
  <c r="AX230" i="12" s="1"/>
  <c r="AX231" i="12" a="1"/>
  <c r="AX231" i="12" s="1"/>
  <c r="AX232" i="12" a="1"/>
  <c r="AX232" i="12"/>
  <c r="AX233" i="12" a="1"/>
  <c r="AX233" i="12" s="1"/>
  <c r="AX234" i="12" a="1"/>
  <c r="AX234" i="12" s="1"/>
  <c r="AX235" i="12" a="1"/>
  <c r="AX235" i="12" s="1"/>
  <c r="AX4" i="12" a="1"/>
  <c r="AX4" i="12" s="1"/>
  <c r="AM5" i="12" a="1"/>
  <c r="AM5" i="12" s="1"/>
  <c r="AM6" i="12" a="1"/>
  <c r="AM6" i="12" s="1"/>
  <c r="AM7" i="12" a="1"/>
  <c r="AM7" i="12" s="1"/>
  <c r="AM8" i="12" a="1"/>
  <c r="AM8" i="12" s="1"/>
  <c r="AM9" i="12" a="1"/>
  <c r="AM9" i="12" s="1"/>
  <c r="AM10" i="12" a="1"/>
  <c r="AM10" i="12"/>
  <c r="AM11" i="12" a="1"/>
  <c r="AM11" i="12" s="1"/>
  <c r="AM12" i="12" a="1"/>
  <c r="AM12" i="12" s="1"/>
  <c r="AM13" i="12" a="1"/>
  <c r="AM13" i="12" s="1"/>
  <c r="AM14" i="12" a="1"/>
  <c r="AM14" i="12" s="1"/>
  <c r="AM15" i="12" a="1"/>
  <c r="AM15" i="12" s="1"/>
  <c r="AM16" i="12" a="1"/>
  <c r="AM16" i="12"/>
  <c r="AM17" i="12" a="1"/>
  <c r="AM17" i="12" s="1"/>
  <c r="AM18" i="12" a="1"/>
  <c r="AM18" i="12" s="1"/>
  <c r="AM19" i="12" a="1"/>
  <c r="AM19" i="12" s="1"/>
  <c r="AM20" i="12" a="1"/>
  <c r="AM20" i="12" s="1"/>
  <c r="AM21" i="12" a="1"/>
  <c r="AM21" i="12" s="1"/>
  <c r="AM22" i="12" a="1"/>
  <c r="AM22" i="12"/>
  <c r="AM23" i="12" a="1"/>
  <c r="AM23" i="12" s="1"/>
  <c r="AM24" i="12" a="1"/>
  <c r="AM24" i="12" s="1"/>
  <c r="AM25" i="12" a="1"/>
  <c r="AM25" i="12" s="1"/>
  <c r="AM26" i="12" a="1"/>
  <c r="AM26" i="12" s="1"/>
  <c r="AM27" i="12" a="1"/>
  <c r="AM27" i="12" s="1"/>
  <c r="AM28" i="12" a="1"/>
  <c r="AM28" i="12"/>
  <c r="AM29" i="12" a="1"/>
  <c r="AM29" i="12" s="1"/>
  <c r="AM30" i="12" a="1"/>
  <c r="AM30" i="12" s="1"/>
  <c r="AM31" i="12" a="1"/>
  <c r="AM31" i="12" s="1"/>
  <c r="AM32" i="12" a="1"/>
  <c r="AM32" i="12" s="1"/>
  <c r="AM33" i="12" a="1"/>
  <c r="AM33" i="12" s="1"/>
  <c r="AM34" i="12" a="1"/>
  <c r="AM34" i="12"/>
  <c r="AM35" i="12" a="1"/>
  <c r="AM35" i="12" s="1"/>
  <c r="AM36" i="12" a="1"/>
  <c r="AM36" i="12" s="1"/>
  <c r="AM37" i="12" a="1"/>
  <c r="AM37" i="12" s="1"/>
  <c r="AM38" i="12" a="1"/>
  <c r="AM38" i="12" s="1"/>
  <c r="AM39" i="12" a="1"/>
  <c r="AM39" i="12" s="1"/>
  <c r="AM40" i="12" a="1"/>
  <c r="AM40" i="12"/>
  <c r="AM41" i="12" a="1"/>
  <c r="AM41" i="12" s="1"/>
  <c r="AM42" i="12" a="1"/>
  <c r="AM42" i="12" s="1"/>
  <c r="AM43" i="12" a="1"/>
  <c r="AM43" i="12" s="1"/>
  <c r="AM44" i="12" a="1"/>
  <c r="AM44" i="12" s="1"/>
  <c r="AM45" i="12" a="1"/>
  <c r="AM45" i="12" s="1"/>
  <c r="AM46" i="12" a="1"/>
  <c r="AM46" i="12"/>
  <c r="AM47" i="12" a="1"/>
  <c r="AM47" i="12" s="1"/>
  <c r="AM48" i="12" a="1"/>
  <c r="AM48" i="12" s="1"/>
  <c r="AM49" i="12" a="1"/>
  <c r="AM49" i="12" s="1"/>
  <c r="AM50" i="12" a="1"/>
  <c r="AM50" i="12" s="1"/>
  <c r="AM51" i="12" a="1"/>
  <c r="AM51" i="12" s="1"/>
  <c r="AM52" i="12" a="1"/>
  <c r="AM52" i="12"/>
  <c r="AM53" i="12" a="1"/>
  <c r="AM53" i="12" s="1"/>
  <c r="AM54" i="12" a="1"/>
  <c r="AM54" i="12" s="1"/>
  <c r="AM55" i="12" a="1"/>
  <c r="AM55" i="12" s="1"/>
  <c r="AM56" i="12" a="1"/>
  <c r="AM56" i="12" s="1"/>
  <c r="AM57" i="12" a="1"/>
  <c r="AM57" i="12" s="1"/>
  <c r="AM58" i="12" a="1"/>
  <c r="AM58" i="12"/>
  <c r="AM59" i="12" a="1"/>
  <c r="AM59" i="12" s="1"/>
  <c r="AM60" i="12" a="1"/>
  <c r="AM60" i="12" s="1"/>
  <c r="AM61" i="12" a="1"/>
  <c r="AM61" i="12" s="1"/>
  <c r="AM62" i="12" a="1"/>
  <c r="AM62" i="12" s="1"/>
  <c r="AM63" i="12" a="1"/>
  <c r="AM63" i="12" s="1"/>
  <c r="AM64" i="12" a="1"/>
  <c r="AM64" i="12"/>
  <c r="AM65" i="12" a="1"/>
  <c r="AM65" i="12" s="1"/>
  <c r="AM66" i="12" a="1"/>
  <c r="AM66" i="12" s="1"/>
  <c r="AM67" i="12" a="1"/>
  <c r="AM67" i="12" s="1"/>
  <c r="AM68" i="12" a="1"/>
  <c r="AM68" i="12" s="1"/>
  <c r="AM69" i="12" a="1"/>
  <c r="AM69" i="12" s="1"/>
  <c r="AM70" i="12" a="1"/>
  <c r="AM70" i="12"/>
  <c r="AM71" i="12" a="1"/>
  <c r="AM71" i="12" s="1"/>
  <c r="AM72" i="12" a="1"/>
  <c r="AM72" i="12" s="1"/>
  <c r="AM73" i="12" a="1"/>
  <c r="AM73" i="12" s="1"/>
  <c r="AM74" i="12" a="1"/>
  <c r="AM74" i="12" s="1"/>
  <c r="AM75" i="12" a="1"/>
  <c r="AM75" i="12" s="1"/>
  <c r="AM76" i="12" a="1"/>
  <c r="AM76" i="12"/>
  <c r="AM77" i="12" a="1"/>
  <c r="AM77" i="12" s="1"/>
  <c r="AM78" i="12" a="1"/>
  <c r="AM78" i="12" s="1"/>
  <c r="AM79" i="12" a="1"/>
  <c r="AM79" i="12" s="1"/>
  <c r="AM80" i="12" a="1"/>
  <c r="AM80" i="12" s="1"/>
  <c r="AM81" i="12" a="1"/>
  <c r="AM81" i="12" s="1"/>
  <c r="AM82" i="12" a="1"/>
  <c r="AM82" i="12"/>
  <c r="AM83" i="12" a="1"/>
  <c r="AM83" i="12" s="1"/>
  <c r="AM84" i="12" a="1"/>
  <c r="AM84" i="12" s="1"/>
  <c r="AM85" i="12" a="1"/>
  <c r="AM85" i="12" s="1"/>
  <c r="AM86" i="12" a="1"/>
  <c r="AM86" i="12" s="1"/>
  <c r="AM87" i="12" a="1"/>
  <c r="AM87" i="12" s="1"/>
  <c r="AM88" i="12" a="1"/>
  <c r="AM88" i="12"/>
  <c r="AM89" i="12" a="1"/>
  <c r="AM89" i="12" s="1"/>
  <c r="AM90" i="12" a="1"/>
  <c r="AM90" i="12" s="1"/>
  <c r="AM91" i="12" a="1"/>
  <c r="AM91" i="12" s="1"/>
  <c r="AM92" i="12" a="1"/>
  <c r="AM92" i="12" s="1"/>
  <c r="AM93" i="12" a="1"/>
  <c r="AM93" i="12" s="1"/>
  <c r="AM94" i="12" a="1"/>
  <c r="AM94" i="12"/>
  <c r="AM95" i="12" a="1"/>
  <c r="AM95" i="12" s="1"/>
  <c r="AM96" i="12" a="1"/>
  <c r="AM96" i="12" s="1"/>
  <c r="AM97" i="12" a="1"/>
  <c r="AM97" i="12" s="1"/>
  <c r="AM98" i="12" a="1"/>
  <c r="AM98" i="12" s="1"/>
  <c r="AM99" i="12" a="1"/>
  <c r="AM99" i="12" s="1"/>
  <c r="AM100" i="12" a="1"/>
  <c r="AM100" i="12" s="1"/>
  <c r="AM101" i="12" a="1"/>
  <c r="AM101" i="12" s="1"/>
  <c r="AM102" i="12" a="1"/>
  <c r="AM102" i="12" s="1"/>
  <c r="AM103" i="12" a="1"/>
  <c r="AM103" i="12" s="1"/>
  <c r="AM104" i="12" a="1"/>
  <c r="AM104" i="12" s="1"/>
  <c r="AM105" i="12" a="1"/>
  <c r="AM105" i="12" s="1"/>
  <c r="AM106" i="12" a="1"/>
  <c r="AM106" i="12"/>
  <c r="AM107" i="12" a="1"/>
  <c r="AM107" i="12" s="1"/>
  <c r="AM108" i="12" a="1"/>
  <c r="AM108" i="12" s="1"/>
  <c r="AM109" i="12" a="1"/>
  <c r="AM109" i="12" s="1"/>
  <c r="AM110" i="12" a="1"/>
  <c r="AM110" i="12" s="1"/>
  <c r="AM111" i="12" a="1"/>
  <c r="AM111" i="12" s="1"/>
  <c r="AM112" i="12" a="1"/>
  <c r="AM112" i="12"/>
  <c r="AM113" i="12" a="1"/>
  <c r="AM113" i="12" s="1"/>
  <c r="AM114" i="12" a="1"/>
  <c r="AM114" i="12" s="1"/>
  <c r="AM115" i="12" a="1"/>
  <c r="AM115" i="12" s="1"/>
  <c r="AM116" i="12" a="1"/>
  <c r="AM116" i="12" s="1"/>
  <c r="AM117" i="12" a="1"/>
  <c r="AM117" i="12" s="1"/>
  <c r="AM118" i="12" a="1"/>
  <c r="AM118" i="12"/>
  <c r="AM119" i="12" a="1"/>
  <c r="AM119" i="12" s="1"/>
  <c r="AM120" i="12" a="1"/>
  <c r="AM120" i="12" s="1"/>
  <c r="AM121" i="12" a="1"/>
  <c r="AM121" i="12" s="1"/>
  <c r="AM122" i="12" a="1"/>
  <c r="AM122" i="12" s="1"/>
  <c r="AM123" i="12" a="1"/>
  <c r="AM123" i="12" s="1"/>
  <c r="AM124" i="12" a="1"/>
  <c r="AM124" i="12"/>
  <c r="AM125" i="12" a="1"/>
  <c r="AM125" i="12" s="1"/>
  <c r="AM126" i="12" a="1"/>
  <c r="AM126" i="12" s="1"/>
  <c r="AM127" i="12" a="1"/>
  <c r="AM127" i="12" s="1"/>
  <c r="AM128" i="12" a="1"/>
  <c r="AM128" i="12" s="1"/>
  <c r="AM129" i="12" a="1"/>
  <c r="AM129" i="12" s="1"/>
  <c r="AM130" i="12" a="1"/>
  <c r="AM130" i="12"/>
  <c r="AM131" i="12" a="1"/>
  <c r="AM131" i="12" s="1"/>
  <c r="AM132" i="12" a="1"/>
  <c r="AM132" i="12" s="1"/>
  <c r="AM133" i="12" a="1"/>
  <c r="AM133" i="12" s="1"/>
  <c r="AM134" i="12" a="1"/>
  <c r="AM134" i="12" s="1"/>
  <c r="AM135" i="12" a="1"/>
  <c r="AM135" i="12" s="1"/>
  <c r="AM136" i="12" a="1"/>
  <c r="AM136" i="12"/>
  <c r="AM137" i="12" a="1"/>
  <c r="AM137" i="12" s="1"/>
  <c r="AM138" i="12" a="1"/>
  <c r="AM138" i="12" s="1"/>
  <c r="AM139" i="12" a="1"/>
  <c r="AM139" i="12" s="1"/>
  <c r="AM140" i="12" a="1"/>
  <c r="AM140" i="12" s="1"/>
  <c r="AM141" i="12" a="1"/>
  <c r="AM141" i="12" s="1"/>
  <c r="AM142" i="12" a="1"/>
  <c r="AM142" i="12"/>
  <c r="AM143" i="12" a="1"/>
  <c r="AM143" i="12" s="1"/>
  <c r="AM144" i="12" a="1"/>
  <c r="AM144" i="12" s="1"/>
  <c r="AM145" i="12" a="1"/>
  <c r="AM145" i="12" s="1"/>
  <c r="AM146" i="12" a="1"/>
  <c r="AM146" i="12" s="1"/>
  <c r="AM147" i="12" a="1"/>
  <c r="AM147" i="12" s="1"/>
  <c r="AM148" i="12" a="1"/>
  <c r="AM148" i="12"/>
  <c r="AM149" i="12" a="1"/>
  <c r="AM149" i="12" s="1"/>
  <c r="AM150" i="12" a="1"/>
  <c r="AM150" i="12" s="1"/>
  <c r="AM151" i="12" a="1"/>
  <c r="AM151" i="12" s="1"/>
  <c r="AM152" i="12" a="1"/>
  <c r="AM152" i="12" s="1"/>
  <c r="AM153" i="12" a="1"/>
  <c r="AM153" i="12" s="1"/>
  <c r="AM154" i="12" a="1"/>
  <c r="AM154" i="12"/>
  <c r="AM155" i="12" a="1"/>
  <c r="AM155" i="12" s="1"/>
  <c r="AM156" i="12" a="1"/>
  <c r="AM156" i="12" s="1"/>
  <c r="AM157" i="12" a="1"/>
  <c r="AM157" i="12" s="1"/>
  <c r="AM158" i="12" a="1"/>
  <c r="AM158" i="12" s="1"/>
  <c r="AM159" i="12" a="1"/>
  <c r="AM159" i="12" s="1"/>
  <c r="AM160" i="12" a="1"/>
  <c r="AM160" i="12"/>
  <c r="AM161" i="12" a="1"/>
  <c r="AM161" i="12" s="1"/>
  <c r="AM162" i="12" a="1"/>
  <c r="AM162" i="12" s="1"/>
  <c r="AM163" i="12" a="1"/>
  <c r="AM163" i="12" s="1"/>
  <c r="AM164" i="12" a="1"/>
  <c r="AM164" i="12" s="1"/>
  <c r="AM165" i="12" a="1"/>
  <c r="AM165" i="12" s="1"/>
  <c r="AM166" i="12" a="1"/>
  <c r="AM166" i="12"/>
  <c r="AM167" i="12" a="1"/>
  <c r="AM167" i="12" s="1"/>
  <c r="AM168" i="12" a="1"/>
  <c r="AM168" i="12" s="1"/>
  <c r="AM169" i="12" a="1"/>
  <c r="AM169" i="12" s="1"/>
  <c r="AM170" i="12" a="1"/>
  <c r="AM170" i="12" s="1"/>
  <c r="AM171" i="12" a="1"/>
  <c r="AM171" i="12" s="1"/>
  <c r="AM172" i="12" a="1"/>
  <c r="AM172" i="12"/>
  <c r="AM173" i="12" a="1"/>
  <c r="AM173" i="12" s="1"/>
  <c r="AM174" i="12" a="1"/>
  <c r="AM174" i="12" s="1"/>
  <c r="AM175" i="12" a="1"/>
  <c r="AM175" i="12" s="1"/>
  <c r="AM176" i="12" a="1"/>
  <c r="AM176" i="12" s="1"/>
  <c r="AM177" i="12" a="1"/>
  <c r="AM177" i="12" s="1"/>
  <c r="AM178" i="12" a="1"/>
  <c r="AM178" i="12"/>
  <c r="AM179" i="12" a="1"/>
  <c r="AM179" i="12" s="1"/>
  <c r="AM180" i="12" a="1"/>
  <c r="AM180" i="12" s="1"/>
  <c r="AM181" i="12" a="1"/>
  <c r="AM181" i="12" s="1"/>
  <c r="AM182" i="12" a="1"/>
  <c r="AM182" i="12" s="1"/>
  <c r="AM183" i="12" a="1"/>
  <c r="AM183" i="12" s="1"/>
  <c r="AM184" i="12" a="1"/>
  <c r="AM184" i="12"/>
  <c r="AM185" i="12" a="1"/>
  <c r="AM185" i="12" s="1"/>
  <c r="AM186" i="12" a="1"/>
  <c r="AM186" i="12" s="1"/>
  <c r="AM187" i="12" a="1"/>
  <c r="AM187" i="12" s="1"/>
  <c r="AM188" i="12" a="1"/>
  <c r="AM188" i="12" s="1"/>
  <c r="AM189" i="12" a="1"/>
  <c r="AM189" i="12" s="1"/>
  <c r="AM190" i="12" a="1"/>
  <c r="AM190" i="12"/>
  <c r="AM191" i="12" a="1"/>
  <c r="AM191" i="12" s="1"/>
  <c r="AM192" i="12" a="1"/>
  <c r="AM192" i="12" s="1"/>
  <c r="AM193" i="12" a="1"/>
  <c r="AM193" i="12" s="1"/>
  <c r="AM194" i="12" a="1"/>
  <c r="AM194" i="12" s="1"/>
  <c r="AM195" i="12" a="1"/>
  <c r="AM195" i="12" s="1"/>
  <c r="AM196" i="12" a="1"/>
  <c r="AM196" i="12"/>
  <c r="AM197" i="12" a="1"/>
  <c r="AM197" i="12" s="1"/>
  <c r="AM198" i="12" a="1"/>
  <c r="AM198" i="12" s="1"/>
  <c r="AM199" i="12" a="1"/>
  <c r="AM199" i="12" s="1"/>
  <c r="AM200" i="12" a="1"/>
  <c r="AM200" i="12" s="1"/>
  <c r="AM201" i="12" a="1"/>
  <c r="AM201" i="12" s="1"/>
  <c r="AM202" i="12" a="1"/>
  <c r="AM202" i="12"/>
  <c r="AM203" i="12" a="1"/>
  <c r="AM203" i="12" s="1"/>
  <c r="AM204" i="12" a="1"/>
  <c r="AM204" i="12" s="1"/>
  <c r="AM205" i="12" a="1"/>
  <c r="AM205" i="12" s="1"/>
  <c r="AM206" i="12" a="1"/>
  <c r="AM206" i="12" s="1"/>
  <c r="AM207" i="12" a="1"/>
  <c r="AM207" i="12" s="1"/>
  <c r="AM208" i="12" a="1"/>
  <c r="AM208" i="12"/>
  <c r="AM209" i="12" a="1"/>
  <c r="AM209" i="12" s="1"/>
  <c r="AM210" i="12" a="1"/>
  <c r="AM210" i="12" s="1"/>
  <c r="AM211" i="12" a="1"/>
  <c r="AM211" i="12" s="1"/>
  <c r="AM212" i="12" a="1"/>
  <c r="AM212" i="12" s="1"/>
  <c r="AM213" i="12" a="1"/>
  <c r="AM213" i="12" s="1"/>
  <c r="AM214" i="12" a="1"/>
  <c r="AM214" i="12"/>
  <c r="AM215" i="12" a="1"/>
  <c r="AM215" i="12" s="1"/>
  <c r="AM216" i="12" a="1"/>
  <c r="AM216" i="12" s="1"/>
  <c r="AM217" i="12" a="1"/>
  <c r="AM217" i="12" s="1"/>
  <c r="AM218" i="12" a="1"/>
  <c r="AM218" i="12" s="1"/>
  <c r="AM219" i="12" a="1"/>
  <c r="AM219" i="12" s="1"/>
  <c r="AM220" i="12" a="1"/>
  <c r="AM220" i="12"/>
  <c r="AM221" i="12" a="1"/>
  <c r="AM221" i="12" s="1"/>
  <c r="AM222" i="12" a="1"/>
  <c r="AM222" i="12" s="1"/>
  <c r="AM223" i="12" a="1"/>
  <c r="AM223" i="12" s="1"/>
  <c r="AM224" i="12" a="1"/>
  <c r="AM224" i="12" s="1"/>
  <c r="AM225" i="12" a="1"/>
  <c r="AM225" i="12" s="1"/>
  <c r="AM226" i="12" a="1"/>
  <c r="AM226" i="12"/>
  <c r="AM227" i="12" a="1"/>
  <c r="AM227" i="12" s="1"/>
  <c r="AM228" i="12" a="1"/>
  <c r="AM228" i="12" s="1"/>
  <c r="AM229" i="12" a="1"/>
  <c r="AM229" i="12" s="1"/>
  <c r="AM230" i="12" a="1"/>
  <c r="AM230" i="12" s="1"/>
  <c r="AM231" i="12" a="1"/>
  <c r="AM231" i="12" s="1"/>
  <c r="AM232" i="12" a="1"/>
  <c r="AM232" i="12"/>
  <c r="AM233" i="12" a="1"/>
  <c r="AM233" i="12" s="1"/>
  <c r="AM234" i="12" a="1"/>
  <c r="AM234" i="12" s="1"/>
  <c r="AM235" i="12" a="1"/>
  <c r="AM235" i="12" s="1"/>
  <c r="AM4" i="12" a="1"/>
  <c r="AM4" i="12" s="1"/>
  <c r="AB5" i="12" a="1"/>
  <c r="AB5" i="12" s="1"/>
  <c r="AB6" i="12" a="1"/>
  <c r="AB6" i="12" s="1"/>
  <c r="AB7" i="12" a="1"/>
  <c r="AB7" i="12" s="1"/>
  <c r="AB8" i="12" a="1"/>
  <c r="AB8" i="12" s="1"/>
  <c r="AB9" i="12" a="1"/>
  <c r="AB9" i="12" s="1"/>
  <c r="AB10" i="12" a="1"/>
  <c r="AB10" i="12"/>
  <c r="AB11" i="12" a="1"/>
  <c r="AB11" i="12" s="1"/>
  <c r="AB12" i="12" a="1"/>
  <c r="AB12" i="12" s="1"/>
  <c r="AB13" i="12" a="1"/>
  <c r="AB13" i="12" s="1"/>
  <c r="AB14" i="12" a="1"/>
  <c r="AB14" i="12" s="1"/>
  <c r="AB15" i="12" a="1"/>
  <c r="AB15" i="12" s="1"/>
  <c r="AB16" i="12" a="1"/>
  <c r="AB16" i="12"/>
  <c r="AB17" i="12" a="1"/>
  <c r="AB17" i="12" s="1"/>
  <c r="AB18" i="12" a="1"/>
  <c r="AB18" i="12" s="1"/>
  <c r="AB19" i="12" a="1"/>
  <c r="AB19" i="12" s="1"/>
  <c r="AB20" i="12" a="1"/>
  <c r="AB20" i="12" s="1"/>
  <c r="AB21" i="12" a="1"/>
  <c r="AB21" i="12" s="1"/>
  <c r="AB22" i="12" a="1"/>
  <c r="AB22" i="12"/>
  <c r="AB23" i="12" a="1"/>
  <c r="AB23" i="12" s="1"/>
  <c r="AB24" i="12" a="1"/>
  <c r="AB24" i="12" s="1"/>
  <c r="AB25" i="12" a="1"/>
  <c r="AB25" i="12" s="1"/>
  <c r="AB26" i="12" a="1"/>
  <c r="AB26" i="12" s="1"/>
  <c r="AB27" i="12" a="1"/>
  <c r="AB27" i="12" s="1"/>
  <c r="AB28" i="12" a="1"/>
  <c r="AB28" i="12"/>
  <c r="AB29" i="12" a="1"/>
  <c r="AB29" i="12" s="1"/>
  <c r="AB30" i="12" a="1"/>
  <c r="AB30" i="12" s="1"/>
  <c r="AB31" i="12" a="1"/>
  <c r="AB31" i="12" s="1"/>
  <c r="AB32" i="12" a="1"/>
  <c r="AB32" i="12" s="1"/>
  <c r="AB33" i="12" a="1"/>
  <c r="AB33" i="12" s="1"/>
  <c r="AB34" i="12" a="1"/>
  <c r="AB34" i="12"/>
  <c r="AB35" i="12" a="1"/>
  <c r="AB35" i="12" s="1"/>
  <c r="AB36" i="12" a="1"/>
  <c r="AB36" i="12" s="1"/>
  <c r="AB37" i="12" a="1"/>
  <c r="AB37" i="12" s="1"/>
  <c r="AB38" i="12" a="1"/>
  <c r="AB38" i="12" s="1"/>
  <c r="AB39" i="12" a="1"/>
  <c r="AB39" i="12" s="1"/>
  <c r="AB40" i="12" a="1"/>
  <c r="AB40" i="12"/>
  <c r="AB41" i="12" a="1"/>
  <c r="AB41" i="12" s="1"/>
  <c r="AB42" i="12" a="1"/>
  <c r="AB42" i="12" s="1"/>
  <c r="AB43" i="12" a="1"/>
  <c r="AB43" i="12" s="1"/>
  <c r="AB44" i="12" a="1"/>
  <c r="AB44" i="12" s="1"/>
  <c r="AB45" i="12" a="1"/>
  <c r="AB45" i="12" s="1"/>
  <c r="AB46" i="12" a="1"/>
  <c r="AB46" i="12"/>
  <c r="AB47" i="12" a="1"/>
  <c r="AB47" i="12" s="1"/>
  <c r="AB48" i="12" a="1"/>
  <c r="AB48" i="12" s="1"/>
  <c r="AB49" i="12" a="1"/>
  <c r="AB49" i="12" s="1"/>
  <c r="AB50" i="12" a="1"/>
  <c r="AB50" i="12" s="1"/>
  <c r="AB51" i="12" a="1"/>
  <c r="AB51" i="12" s="1"/>
  <c r="AB52" i="12" a="1"/>
  <c r="AB52" i="12"/>
  <c r="AB53" i="12" a="1"/>
  <c r="AB53" i="12" s="1"/>
  <c r="AB54" i="12" a="1"/>
  <c r="AB54" i="12" s="1"/>
  <c r="AB55" i="12" a="1"/>
  <c r="AB55" i="12" s="1"/>
  <c r="AB56" i="12" a="1"/>
  <c r="AB56" i="12" s="1"/>
  <c r="AB57" i="12" a="1"/>
  <c r="AB57" i="12" s="1"/>
  <c r="AB58" i="12" a="1"/>
  <c r="AB58" i="12"/>
  <c r="AB59" i="12" a="1"/>
  <c r="AB59" i="12" s="1"/>
  <c r="AB60" i="12" a="1"/>
  <c r="AB60" i="12" s="1"/>
  <c r="AB61" i="12" a="1"/>
  <c r="AB61" i="12" s="1"/>
  <c r="AB62" i="12" a="1"/>
  <c r="AB62" i="12" s="1"/>
  <c r="AB63" i="12" a="1"/>
  <c r="AB63" i="12" s="1"/>
  <c r="AB64" i="12" a="1"/>
  <c r="AB64" i="12"/>
  <c r="AB65" i="12" a="1"/>
  <c r="AB65" i="12" s="1"/>
  <c r="AB66" i="12" a="1"/>
  <c r="AB66" i="12" s="1"/>
  <c r="AB67" i="12" a="1"/>
  <c r="AB67" i="12" s="1"/>
  <c r="AB68" i="12" a="1"/>
  <c r="AB68" i="12" s="1"/>
  <c r="AB69" i="12" a="1"/>
  <c r="AB69" i="12" s="1"/>
  <c r="AB70" i="12" a="1"/>
  <c r="AB70" i="12"/>
  <c r="AB71" i="12" a="1"/>
  <c r="AB71" i="12" s="1"/>
  <c r="AB72" i="12" a="1"/>
  <c r="AB72" i="12" s="1"/>
  <c r="AB73" i="12" a="1"/>
  <c r="AB73" i="12" s="1"/>
  <c r="AB74" i="12" a="1"/>
  <c r="AB74" i="12" s="1"/>
  <c r="AB75" i="12" a="1"/>
  <c r="AB75" i="12" s="1"/>
  <c r="AB76" i="12" a="1"/>
  <c r="AB76" i="12"/>
  <c r="AB77" i="12" a="1"/>
  <c r="AB77" i="12" s="1"/>
  <c r="AB78" i="12" a="1"/>
  <c r="AB78" i="12" s="1"/>
  <c r="AB79" i="12" a="1"/>
  <c r="AB79" i="12" s="1"/>
  <c r="AB80" i="12" a="1"/>
  <c r="AB80" i="12" s="1"/>
  <c r="AB81" i="12" a="1"/>
  <c r="AB81" i="12" s="1"/>
  <c r="AB82" i="12" a="1"/>
  <c r="AB82" i="12"/>
  <c r="AB83" i="12" a="1"/>
  <c r="AB83" i="12" s="1"/>
  <c r="AB84" i="12" a="1"/>
  <c r="AB84" i="12" s="1"/>
  <c r="AB85" i="12" a="1"/>
  <c r="AB85" i="12" s="1"/>
  <c r="AB86" i="12" a="1"/>
  <c r="AB86" i="12" s="1"/>
  <c r="AB87" i="12" a="1"/>
  <c r="AB87" i="12" s="1"/>
  <c r="AB88" i="12" a="1"/>
  <c r="AB88" i="12"/>
  <c r="AB89" i="12" a="1"/>
  <c r="AB89" i="12" s="1"/>
  <c r="AB90" i="12" a="1"/>
  <c r="AB90" i="12" s="1"/>
  <c r="AB91" i="12" a="1"/>
  <c r="AB91" i="12" s="1"/>
  <c r="AB92" i="12" a="1"/>
  <c r="AB92" i="12" s="1"/>
  <c r="AB93" i="12" a="1"/>
  <c r="AB93" i="12" s="1"/>
  <c r="AB94" i="12" a="1"/>
  <c r="AB94" i="12"/>
  <c r="AB95" i="12" a="1"/>
  <c r="AB95" i="12" s="1"/>
  <c r="AB96" i="12" a="1"/>
  <c r="AB96" i="12" s="1"/>
  <c r="AB97" i="12" a="1"/>
  <c r="AB97" i="12" s="1"/>
  <c r="AB98" i="12" a="1"/>
  <c r="AB98" i="12" s="1"/>
  <c r="AB99" i="12" a="1"/>
  <c r="AB99" i="12" s="1"/>
  <c r="AB100" i="12" a="1"/>
  <c r="AB100" i="12"/>
  <c r="AB101" i="12" a="1"/>
  <c r="AB101" i="12" s="1"/>
  <c r="AB102" i="12" a="1"/>
  <c r="AB102" i="12" s="1"/>
  <c r="AB103" i="12" a="1"/>
  <c r="AB103" i="12" s="1"/>
  <c r="AB104" i="12" a="1"/>
  <c r="AB104" i="12" s="1"/>
  <c r="AB105" i="12" a="1"/>
  <c r="AB105" i="12" s="1"/>
  <c r="AB106" i="12" a="1"/>
  <c r="AB106" i="12"/>
  <c r="AB107" i="12" a="1"/>
  <c r="AB107" i="12" s="1"/>
  <c r="AB108" i="12" a="1"/>
  <c r="AB108" i="12" s="1"/>
  <c r="AB109" i="12" a="1"/>
  <c r="AB109" i="12" s="1"/>
  <c r="AB110" i="12" a="1"/>
  <c r="AB110" i="12" s="1"/>
  <c r="AB111" i="12" a="1"/>
  <c r="AB111" i="12" s="1"/>
  <c r="AB112" i="12" a="1"/>
  <c r="AB112" i="12"/>
  <c r="AB113" i="12" a="1"/>
  <c r="AB113" i="12" s="1"/>
  <c r="AB114" i="12" a="1"/>
  <c r="AB114" i="12" s="1"/>
  <c r="AB115" i="12" a="1"/>
  <c r="AB115" i="12" s="1"/>
  <c r="AB116" i="12" a="1"/>
  <c r="AB116" i="12" s="1"/>
  <c r="AB117" i="12" a="1"/>
  <c r="AB117" i="12" s="1"/>
  <c r="AB118" i="12" a="1"/>
  <c r="AB118" i="12"/>
  <c r="AB119" i="12" a="1"/>
  <c r="AB119" i="12" s="1"/>
  <c r="AB120" i="12" a="1"/>
  <c r="AB120" i="12" s="1"/>
  <c r="AB121" i="12" a="1"/>
  <c r="AB121" i="12" s="1"/>
  <c r="AB122" i="12" a="1"/>
  <c r="AB122" i="12" s="1"/>
  <c r="AB123" i="12" a="1"/>
  <c r="AB123" i="12" s="1"/>
  <c r="AB124" i="12" a="1"/>
  <c r="AB124" i="12"/>
  <c r="AB125" i="12" a="1"/>
  <c r="AB125" i="12" s="1"/>
  <c r="AB126" i="12" a="1"/>
  <c r="AB126" i="12" s="1"/>
  <c r="AB127" i="12" a="1"/>
  <c r="AB127" i="12" s="1"/>
  <c r="AB128" i="12" a="1"/>
  <c r="AB128" i="12" s="1"/>
  <c r="AB129" i="12" a="1"/>
  <c r="AB129" i="12" s="1"/>
  <c r="AB130" i="12" a="1"/>
  <c r="AB130" i="12"/>
  <c r="AB131" i="12" a="1"/>
  <c r="AB131" i="12" s="1"/>
  <c r="AB132" i="12" a="1"/>
  <c r="AB132" i="12" s="1"/>
  <c r="AB133" i="12" a="1"/>
  <c r="AB133" i="12" s="1"/>
  <c r="AB134" i="12" a="1"/>
  <c r="AB134" i="12" s="1"/>
  <c r="AB135" i="12" a="1"/>
  <c r="AB135" i="12" s="1"/>
  <c r="AB136" i="12" a="1"/>
  <c r="AB136" i="12"/>
  <c r="AB137" i="12" a="1"/>
  <c r="AB137" i="12" s="1"/>
  <c r="AB138" i="12" a="1"/>
  <c r="AB138" i="12" s="1"/>
  <c r="AB139" i="12" a="1"/>
  <c r="AB139" i="12" s="1"/>
  <c r="AB140" i="12" a="1"/>
  <c r="AB140" i="12" s="1"/>
  <c r="AB141" i="12" a="1"/>
  <c r="AB141" i="12" s="1"/>
  <c r="AB142" i="12" a="1"/>
  <c r="AB142" i="12"/>
  <c r="AB143" i="12" a="1"/>
  <c r="AB143" i="12" s="1"/>
  <c r="AB144" i="12" a="1"/>
  <c r="AB144" i="12" s="1"/>
  <c r="AB145" i="12" a="1"/>
  <c r="AB145" i="12" s="1"/>
  <c r="AB146" i="12" a="1"/>
  <c r="AB146" i="12" s="1"/>
  <c r="AB147" i="12" a="1"/>
  <c r="AB147" i="12" s="1"/>
  <c r="AB148" i="12" a="1"/>
  <c r="AB148" i="12"/>
  <c r="AB149" i="12" a="1"/>
  <c r="AB149" i="12" s="1"/>
  <c r="AB150" i="12" a="1"/>
  <c r="AB150" i="12" s="1"/>
  <c r="AB151" i="12" a="1"/>
  <c r="AB151" i="12" s="1"/>
  <c r="AB152" i="12" a="1"/>
  <c r="AB152" i="12" s="1"/>
  <c r="AB153" i="12" a="1"/>
  <c r="AB153" i="12" s="1"/>
  <c r="AB154" i="12" a="1"/>
  <c r="AB154" i="12"/>
  <c r="AB155" i="12" a="1"/>
  <c r="AB155" i="12" s="1"/>
  <c r="AB156" i="12" a="1"/>
  <c r="AB156" i="12" s="1"/>
  <c r="AB157" i="12" a="1"/>
  <c r="AB157" i="12" s="1"/>
  <c r="AB158" i="12" a="1"/>
  <c r="AB158" i="12" s="1"/>
  <c r="AB159" i="12" a="1"/>
  <c r="AB159" i="12" s="1"/>
  <c r="AB160" i="12" a="1"/>
  <c r="AB160" i="12"/>
  <c r="AB161" i="12" a="1"/>
  <c r="AB161" i="12" s="1"/>
  <c r="AB162" i="12" a="1"/>
  <c r="AB162" i="12" s="1"/>
  <c r="AB163" i="12" a="1"/>
  <c r="AB163" i="12" s="1"/>
  <c r="AB164" i="12" a="1"/>
  <c r="AB164" i="12" s="1"/>
  <c r="AB165" i="12" a="1"/>
  <c r="AB165" i="12" s="1"/>
  <c r="AB166" i="12" a="1"/>
  <c r="AB166" i="12"/>
  <c r="AB167" i="12" a="1"/>
  <c r="AB167" i="12" s="1"/>
  <c r="AB168" i="12" a="1"/>
  <c r="AB168" i="12" s="1"/>
  <c r="AB169" i="12" a="1"/>
  <c r="AB169" i="12" s="1"/>
  <c r="AB170" i="12" a="1"/>
  <c r="AB170" i="12" s="1"/>
  <c r="AB171" i="12" a="1"/>
  <c r="AB171" i="12" s="1"/>
  <c r="AB172" i="12" a="1"/>
  <c r="AB172" i="12"/>
  <c r="AB173" i="12" a="1"/>
  <c r="AB173" i="12" s="1"/>
  <c r="AB174" i="12" a="1"/>
  <c r="AB174" i="12" s="1"/>
  <c r="AB175" i="12" a="1"/>
  <c r="AB175" i="12" s="1"/>
  <c r="AB176" i="12" a="1"/>
  <c r="AB176" i="12" s="1"/>
  <c r="AB177" i="12" a="1"/>
  <c r="AB177" i="12" s="1"/>
  <c r="AB178" i="12" a="1"/>
  <c r="AB178" i="12"/>
  <c r="AB179" i="12" a="1"/>
  <c r="AB179" i="12" s="1"/>
  <c r="AB180" i="12" a="1"/>
  <c r="AB180" i="12" s="1"/>
  <c r="AB181" i="12" a="1"/>
  <c r="AB181" i="12" s="1"/>
  <c r="AB182" i="12" a="1"/>
  <c r="AB182" i="12" s="1"/>
  <c r="AB183" i="12" a="1"/>
  <c r="AB183" i="12" s="1"/>
  <c r="AB184" i="12" a="1"/>
  <c r="AB184" i="12"/>
  <c r="AB185" i="12" a="1"/>
  <c r="AB185" i="12" s="1"/>
  <c r="AB186" i="12" a="1"/>
  <c r="AB186" i="12" s="1"/>
  <c r="AB187" i="12" a="1"/>
  <c r="AB187" i="12" s="1"/>
  <c r="AB188" i="12" a="1"/>
  <c r="AB188" i="12" s="1"/>
  <c r="AB189" i="12" a="1"/>
  <c r="AB189" i="12" s="1"/>
  <c r="AB190" i="12" a="1"/>
  <c r="AB190" i="12"/>
  <c r="AB191" i="12" a="1"/>
  <c r="AB191" i="12" s="1"/>
  <c r="AB192" i="12" a="1"/>
  <c r="AB192" i="12" s="1"/>
  <c r="AB193" i="12" a="1"/>
  <c r="AB193" i="12" s="1"/>
  <c r="AB194" i="12" a="1"/>
  <c r="AB194" i="12" s="1"/>
  <c r="AB195" i="12" a="1"/>
  <c r="AB195" i="12" s="1"/>
  <c r="AB196" i="12" a="1"/>
  <c r="AB196" i="12"/>
  <c r="AB197" i="12" a="1"/>
  <c r="AB197" i="12" s="1"/>
  <c r="AB198" i="12" a="1"/>
  <c r="AB198" i="12" s="1"/>
  <c r="AB199" i="12" a="1"/>
  <c r="AB199" i="12" s="1"/>
  <c r="AB200" i="12" a="1"/>
  <c r="AB200" i="12" s="1"/>
  <c r="AB201" i="12" a="1"/>
  <c r="AB201" i="12" s="1"/>
  <c r="AB202" i="12" a="1"/>
  <c r="AB202" i="12"/>
  <c r="AB203" i="12" a="1"/>
  <c r="AB203" i="12" s="1"/>
  <c r="AB204" i="12" a="1"/>
  <c r="AB204" i="12" s="1"/>
  <c r="AB205" i="12" a="1"/>
  <c r="AB205" i="12" s="1"/>
  <c r="AB206" i="12" a="1"/>
  <c r="AB206" i="12" s="1"/>
  <c r="AB207" i="12" a="1"/>
  <c r="AB207" i="12" s="1"/>
  <c r="AB208" i="12" a="1"/>
  <c r="AB208" i="12"/>
  <c r="AB209" i="12" a="1"/>
  <c r="AB209" i="12" s="1"/>
  <c r="AB210" i="12" a="1"/>
  <c r="AB210" i="12" s="1"/>
  <c r="AB211" i="12" a="1"/>
  <c r="AB211" i="12" s="1"/>
  <c r="AB212" i="12" a="1"/>
  <c r="AB212" i="12" s="1"/>
  <c r="AB213" i="12" a="1"/>
  <c r="AB213" i="12" s="1"/>
  <c r="AB214" i="12" a="1"/>
  <c r="AB214" i="12"/>
  <c r="AB215" i="12" a="1"/>
  <c r="AB215" i="12" s="1"/>
  <c r="AB216" i="12" a="1"/>
  <c r="AB216" i="12" s="1"/>
  <c r="AB217" i="12" a="1"/>
  <c r="AB217" i="12" s="1"/>
  <c r="AB218" i="12" a="1"/>
  <c r="AB218" i="12" s="1"/>
  <c r="AB219" i="12" a="1"/>
  <c r="AB219" i="12" s="1"/>
  <c r="AB220" i="12" a="1"/>
  <c r="AB220" i="12"/>
  <c r="AB221" i="12" a="1"/>
  <c r="AB221" i="12" s="1"/>
  <c r="AB222" i="12" a="1"/>
  <c r="AB222" i="12" s="1"/>
  <c r="AB223" i="12" a="1"/>
  <c r="AB223" i="12" s="1"/>
  <c r="AB224" i="12" a="1"/>
  <c r="AB224" i="12" s="1"/>
  <c r="AB225" i="12" a="1"/>
  <c r="AB225" i="12" s="1"/>
  <c r="AB226" i="12" a="1"/>
  <c r="AB226" i="12"/>
  <c r="AB227" i="12" a="1"/>
  <c r="AB227" i="12" s="1"/>
  <c r="AB228" i="12" a="1"/>
  <c r="AB228" i="12" s="1"/>
  <c r="AB229" i="12" a="1"/>
  <c r="AB229" i="12" s="1"/>
  <c r="AB230" i="12" a="1"/>
  <c r="AB230" i="12" s="1"/>
  <c r="AB231" i="12" a="1"/>
  <c r="AB231" i="12" s="1"/>
  <c r="AB232" i="12" a="1"/>
  <c r="AB232" i="12"/>
  <c r="AB233" i="12" a="1"/>
  <c r="AB233" i="12" s="1"/>
  <c r="AB234" i="12" a="1"/>
  <c r="AB234" i="12" s="1"/>
  <c r="AB235" i="12" a="1"/>
  <c r="AB235" i="12" s="1"/>
  <c r="AB4" i="12" a="1"/>
  <c r="AB4" i="12" s="1"/>
  <c r="Q5" i="12" a="1"/>
  <c r="Q5" i="12" s="1"/>
  <c r="Q6" i="12" a="1"/>
  <c r="Q6" i="12" s="1"/>
  <c r="Q7" i="12" a="1"/>
  <c r="Q7" i="12" s="1"/>
  <c r="Q8" i="12" a="1"/>
  <c r="Q8" i="12" s="1"/>
  <c r="Q9" i="12" a="1"/>
  <c r="Q9" i="12" s="1"/>
  <c r="Q10" i="12" a="1"/>
  <c r="Q10" i="12"/>
  <c r="Q11" i="12" a="1"/>
  <c r="Q11" i="12" s="1"/>
  <c r="Q12" i="12" a="1"/>
  <c r="Q12" i="12" s="1"/>
  <c r="Q13" i="12" a="1"/>
  <c r="Q13" i="12" s="1"/>
  <c r="Q14" i="12" a="1"/>
  <c r="Q14" i="12" s="1"/>
  <c r="Q15" i="12" a="1"/>
  <c r="Q15" i="12" s="1"/>
  <c r="Q16" i="12" a="1"/>
  <c r="Q16" i="12"/>
  <c r="Q17" i="12" a="1"/>
  <c r="Q17" i="12" s="1"/>
  <c r="Q18" i="12" a="1"/>
  <c r="Q18" i="12" s="1"/>
  <c r="Q19" i="12" a="1"/>
  <c r="Q19" i="12" s="1"/>
  <c r="Q20" i="12" a="1"/>
  <c r="Q20" i="12" s="1"/>
  <c r="Q21" i="12" a="1"/>
  <c r="Q21" i="12" s="1"/>
  <c r="Q22" i="12" a="1"/>
  <c r="Q22" i="12"/>
  <c r="Q23" i="12" a="1"/>
  <c r="Q23" i="12" s="1"/>
  <c r="Q24" i="12" a="1"/>
  <c r="Q24" i="12" s="1"/>
  <c r="Q25" i="12" a="1"/>
  <c r="Q25" i="12" s="1"/>
  <c r="Q26" i="12" a="1"/>
  <c r="Q26" i="12" s="1"/>
  <c r="Q27" i="12" a="1"/>
  <c r="Q27" i="12" s="1"/>
  <c r="Q28" i="12" a="1"/>
  <c r="Q28" i="12"/>
  <c r="Q29" i="12" a="1"/>
  <c r="Q29" i="12" s="1"/>
  <c r="Q30" i="12" a="1"/>
  <c r="Q30" i="12" s="1"/>
  <c r="Q31" i="12" a="1"/>
  <c r="Q31" i="12" s="1"/>
  <c r="Q32" i="12" a="1"/>
  <c r="Q32" i="12" s="1"/>
  <c r="Q33" i="12" a="1"/>
  <c r="Q33" i="12" s="1"/>
  <c r="Q34" i="12" a="1"/>
  <c r="Q34" i="12"/>
  <c r="Q35" i="12" a="1"/>
  <c r="Q35" i="12" s="1"/>
  <c r="Q36" i="12" a="1"/>
  <c r="Q36" i="12" s="1"/>
  <c r="Q37" i="12" a="1"/>
  <c r="Q37" i="12" s="1"/>
  <c r="Q38" i="12" a="1"/>
  <c r="Q38" i="12" s="1"/>
  <c r="Q39" i="12" a="1"/>
  <c r="Q39" i="12" s="1"/>
  <c r="Q40" i="12" a="1"/>
  <c r="Q40" i="12"/>
  <c r="Q41" i="12" a="1"/>
  <c r="Q41" i="12" s="1"/>
  <c r="Q42" i="12" a="1"/>
  <c r="Q42" i="12" s="1"/>
  <c r="Q43" i="12" a="1"/>
  <c r="Q43" i="12" s="1"/>
  <c r="Q44" i="12" a="1"/>
  <c r="Q44" i="12" s="1"/>
  <c r="Q45" i="12" a="1"/>
  <c r="Q45" i="12" s="1"/>
  <c r="Q46" i="12" a="1"/>
  <c r="Q46" i="12"/>
  <c r="Q47" i="12" a="1"/>
  <c r="Q47" i="12" s="1"/>
  <c r="Q48" i="12" a="1"/>
  <c r="Q48" i="12" s="1"/>
  <c r="Q49" i="12" a="1"/>
  <c r="Q49" i="12" s="1"/>
  <c r="Q50" i="12" a="1"/>
  <c r="Q50" i="12" s="1"/>
  <c r="Q51" i="12" a="1"/>
  <c r="Q51" i="12" s="1"/>
  <c r="Q52" i="12" a="1"/>
  <c r="Q52" i="12"/>
  <c r="Q53" i="12" a="1"/>
  <c r="Q53" i="12" s="1"/>
  <c r="Q54" i="12" a="1"/>
  <c r="Q54" i="12" s="1"/>
  <c r="Q55" i="12" a="1"/>
  <c r="Q55" i="12" s="1"/>
  <c r="Q56" i="12" a="1"/>
  <c r="Q56" i="12" s="1"/>
  <c r="Q57" i="12" a="1"/>
  <c r="Q57" i="12" s="1"/>
  <c r="Q58" i="12" a="1"/>
  <c r="Q58" i="12"/>
  <c r="Q59" i="12" a="1"/>
  <c r="Q59" i="12" s="1"/>
  <c r="Q60" i="12" a="1"/>
  <c r="Q60" i="12" s="1"/>
  <c r="Q61" i="12" a="1"/>
  <c r="Q61" i="12" s="1"/>
  <c r="Q62" i="12" a="1"/>
  <c r="Q62" i="12" s="1"/>
  <c r="Q63" i="12" a="1"/>
  <c r="Q63" i="12" s="1"/>
  <c r="Q64" i="12" a="1"/>
  <c r="Q64" i="12"/>
  <c r="Q65" i="12" a="1"/>
  <c r="Q65" i="12" s="1"/>
  <c r="Q66" i="12" a="1"/>
  <c r="Q66" i="12" s="1"/>
  <c r="Q67" i="12" a="1"/>
  <c r="Q67" i="12" s="1"/>
  <c r="Q68" i="12" a="1"/>
  <c r="Q68" i="12" s="1"/>
  <c r="Q69" i="12" a="1"/>
  <c r="Q69" i="12" s="1"/>
  <c r="Q70" i="12" a="1"/>
  <c r="Q70" i="12"/>
  <c r="Q71" i="12" a="1"/>
  <c r="Q71" i="12" s="1"/>
  <c r="Q72" i="12" a="1"/>
  <c r="Q72" i="12" s="1"/>
  <c r="Q73" i="12" a="1"/>
  <c r="Q73" i="12" s="1"/>
  <c r="Q74" i="12" a="1"/>
  <c r="Q74" i="12" s="1"/>
  <c r="Q75" i="12" a="1"/>
  <c r="Q75" i="12" s="1"/>
  <c r="Q76" i="12" a="1"/>
  <c r="Q76" i="12"/>
  <c r="Q77" i="12" a="1"/>
  <c r="Q77" i="12" s="1"/>
  <c r="Q78" i="12" a="1"/>
  <c r="Q78" i="12" s="1"/>
  <c r="Q79" i="12" a="1"/>
  <c r="Q79" i="12" s="1"/>
  <c r="Q80" i="12" a="1"/>
  <c r="Q80" i="12" s="1"/>
  <c r="Q81" i="12" a="1"/>
  <c r="Q81" i="12" s="1"/>
  <c r="Q82" i="12" a="1"/>
  <c r="Q82" i="12"/>
  <c r="Q83" i="12" a="1"/>
  <c r="Q83" i="12" s="1"/>
  <c r="Q84" i="12" a="1"/>
  <c r="Q84" i="12" s="1"/>
  <c r="Q85" i="12" a="1"/>
  <c r="Q85" i="12" s="1"/>
  <c r="Q86" i="12" a="1"/>
  <c r="Q86" i="12" s="1"/>
  <c r="Q87" i="12" a="1"/>
  <c r="Q87" i="12" s="1"/>
  <c r="Q89" i="12" a="1"/>
  <c r="Q89" i="12" s="1"/>
  <c r="Q101" i="12" a="1"/>
  <c r="Q101" i="12" s="1"/>
  <c r="Q102" i="12" a="1"/>
  <c r="Q102" i="12" s="1"/>
  <c r="Q103" i="12" a="1"/>
  <c r="Q103" i="12" s="1"/>
  <c r="Q104" i="12" a="1"/>
  <c r="Q104" i="12" s="1"/>
  <c r="Q105" i="12" a="1"/>
  <c r="Q105" i="12" s="1"/>
  <c r="Q106" i="12" a="1"/>
  <c r="Q106" i="12"/>
  <c r="Q107" i="12" a="1"/>
  <c r="Q107" i="12" s="1"/>
  <c r="Q108" i="12" a="1"/>
  <c r="Q108" i="12" s="1"/>
  <c r="Q109" i="12" a="1"/>
  <c r="Q109" i="12" s="1"/>
  <c r="Q110" i="12" a="1"/>
  <c r="Q110" i="12" s="1"/>
  <c r="Q111" i="12" a="1"/>
  <c r="Q111" i="12" s="1"/>
  <c r="Q112" i="12" a="1"/>
  <c r="Q112" i="12"/>
  <c r="Q113" i="12" a="1"/>
  <c r="Q113" i="12" s="1"/>
  <c r="Q114" i="12" a="1"/>
  <c r="Q114" i="12" s="1"/>
  <c r="Q115" i="12" a="1"/>
  <c r="Q115" i="12" s="1"/>
  <c r="Q116" i="12" a="1"/>
  <c r="Q116" i="12" s="1"/>
  <c r="Q117" i="12" a="1"/>
  <c r="Q117" i="12" s="1"/>
  <c r="Q118" i="12" a="1"/>
  <c r="Q118" i="12"/>
  <c r="Q119" i="12" a="1"/>
  <c r="Q119" i="12" s="1"/>
  <c r="Q120" i="12" a="1"/>
  <c r="Q120" i="12" s="1"/>
  <c r="Q121" i="12" a="1"/>
  <c r="Q121" i="12" s="1"/>
  <c r="Q122" i="12" a="1"/>
  <c r="Q122" i="12" s="1"/>
  <c r="Q123" i="12" a="1"/>
  <c r="Q123" i="12" s="1"/>
  <c r="Q124" i="12" a="1"/>
  <c r="Q124" i="12"/>
  <c r="Q125" i="12" a="1"/>
  <c r="Q125" i="12" s="1"/>
  <c r="Q126" i="12" a="1"/>
  <c r="Q126" i="12" s="1"/>
  <c r="Q127" i="12" a="1"/>
  <c r="Q127" i="12" s="1"/>
  <c r="Q128" i="12" a="1"/>
  <c r="Q128" i="12" s="1"/>
  <c r="Q129" i="12" a="1"/>
  <c r="Q129" i="12" s="1"/>
  <c r="Q130" i="12" a="1"/>
  <c r="Q130" i="12"/>
  <c r="Q131" i="12" a="1"/>
  <c r="Q131" i="12" s="1"/>
  <c r="Q132" i="12" a="1"/>
  <c r="Q132" i="12" s="1"/>
  <c r="Q133" i="12" a="1"/>
  <c r="Q133" i="12" s="1"/>
  <c r="Q134" i="12" a="1"/>
  <c r="Q134" i="12" s="1"/>
  <c r="Q135" i="12" a="1"/>
  <c r="Q135" i="12" s="1"/>
  <c r="Q136" i="12" a="1"/>
  <c r="Q136" i="12"/>
  <c r="Q137" i="12" a="1"/>
  <c r="Q137" i="12" s="1"/>
  <c r="Q138" i="12" a="1"/>
  <c r="Q138" i="12" s="1"/>
  <c r="Q139" i="12" a="1"/>
  <c r="Q139" i="12" s="1"/>
  <c r="Q140" i="12" a="1"/>
  <c r="Q140" i="12" s="1"/>
  <c r="Q141" i="12" a="1"/>
  <c r="Q141" i="12" s="1"/>
  <c r="Q142" i="12" a="1"/>
  <c r="Q142" i="12"/>
  <c r="Q143" i="12" a="1"/>
  <c r="Q143" i="12" s="1"/>
  <c r="Q144" i="12" a="1"/>
  <c r="Q144" i="12" s="1"/>
  <c r="Q145" i="12" a="1"/>
  <c r="Q145" i="12" s="1"/>
  <c r="Q146" i="12" a="1"/>
  <c r="Q146" i="12" s="1"/>
  <c r="Q147" i="12" a="1"/>
  <c r="Q147" i="12" s="1"/>
  <c r="Q148" i="12" a="1"/>
  <c r="Q148" i="12"/>
  <c r="Q149" i="12" a="1"/>
  <c r="Q149" i="12" s="1"/>
  <c r="Q150" i="12" a="1"/>
  <c r="Q150" i="12" s="1"/>
  <c r="Q151" i="12" a="1"/>
  <c r="Q151" i="12" s="1"/>
  <c r="Q152" i="12" a="1"/>
  <c r="Q152" i="12" s="1"/>
  <c r="Q153" i="12" a="1"/>
  <c r="Q153" i="12" s="1"/>
  <c r="Q154" i="12" a="1"/>
  <c r="Q154" i="12"/>
  <c r="Q155" i="12" a="1"/>
  <c r="Q155" i="12" s="1"/>
  <c r="Q156" i="12" a="1"/>
  <c r="Q156" i="12" s="1"/>
  <c r="Q157" i="12" a="1"/>
  <c r="Q157" i="12" s="1"/>
  <c r="Q158" i="12" a="1"/>
  <c r="Q158" i="12" s="1"/>
  <c r="Q159" i="12" a="1"/>
  <c r="Q159" i="12" s="1"/>
  <c r="Q160" i="12" a="1"/>
  <c r="Q160" i="12"/>
  <c r="Q161" i="12" a="1"/>
  <c r="Q161" i="12" s="1"/>
  <c r="Q162" i="12" a="1"/>
  <c r="Q162" i="12" s="1"/>
  <c r="Q163" i="12" a="1"/>
  <c r="Q163" i="12" s="1"/>
  <c r="Q164" i="12" a="1"/>
  <c r="Q164" i="12" s="1"/>
  <c r="Q165" i="12" a="1"/>
  <c r="Q165" i="12" s="1"/>
  <c r="Q166" i="12" a="1"/>
  <c r="Q166" i="12"/>
  <c r="Q167" i="12" a="1"/>
  <c r="Q167" i="12" s="1"/>
  <c r="Q168" i="12" a="1"/>
  <c r="Q168" i="12" s="1"/>
  <c r="Q169" i="12" a="1"/>
  <c r="Q169" i="12" s="1"/>
  <c r="Q170" i="12" a="1"/>
  <c r="Q170" i="12" s="1"/>
  <c r="Q171" i="12" a="1"/>
  <c r="Q171" i="12" s="1"/>
  <c r="Q172" i="12" a="1"/>
  <c r="Q172" i="12"/>
  <c r="Q173" i="12" a="1"/>
  <c r="Q173" i="12" s="1"/>
  <c r="Q174" i="12" a="1"/>
  <c r="Q174" i="12" s="1"/>
  <c r="Q175" i="12" a="1"/>
  <c r="Q175" i="12" s="1"/>
  <c r="Q176" i="12" a="1"/>
  <c r="Q176" i="12" s="1"/>
  <c r="Q177" i="12" a="1"/>
  <c r="Q177" i="12" s="1"/>
  <c r="Q178" i="12" a="1"/>
  <c r="Q178" i="12"/>
  <c r="Q179" i="12" a="1"/>
  <c r="Q179" i="12" s="1"/>
  <c r="Q180" i="12" a="1"/>
  <c r="Q180" i="12" s="1"/>
  <c r="Q181" i="12" a="1"/>
  <c r="Q181" i="12" s="1"/>
  <c r="Q182" i="12" a="1"/>
  <c r="Q182" i="12" s="1"/>
  <c r="Q183" i="12" a="1"/>
  <c r="Q183" i="12" s="1"/>
  <c r="Q184" i="12" a="1"/>
  <c r="Q184" i="12"/>
  <c r="Q185" i="12" a="1"/>
  <c r="Q185" i="12" s="1"/>
  <c r="Q186" i="12" a="1"/>
  <c r="Q186" i="12" s="1"/>
  <c r="Q187" i="12" a="1"/>
  <c r="Q187" i="12" s="1"/>
  <c r="Q188" i="12" a="1"/>
  <c r="Q188" i="12" s="1"/>
  <c r="Q189" i="12" a="1"/>
  <c r="Q189" i="12" s="1"/>
  <c r="Q190" i="12" a="1"/>
  <c r="Q190" i="12"/>
  <c r="Q191" i="12" a="1"/>
  <c r="Q191" i="12" s="1"/>
  <c r="Q192" i="12" a="1"/>
  <c r="Q192" i="12" s="1"/>
  <c r="Q193" i="12" a="1"/>
  <c r="Q193" i="12" s="1"/>
  <c r="Q194" i="12" a="1"/>
  <c r="Q194" i="12" s="1"/>
  <c r="Q195" i="12" a="1"/>
  <c r="Q195" i="12" s="1"/>
  <c r="Q196" i="12" a="1"/>
  <c r="Q196" i="12"/>
  <c r="Q197" i="12" a="1"/>
  <c r="Q197" i="12" s="1"/>
  <c r="Q198" i="12" a="1"/>
  <c r="Q198" i="12" s="1"/>
  <c r="Q199" i="12" a="1"/>
  <c r="Q199" i="12" s="1"/>
  <c r="Q200" i="12" a="1"/>
  <c r="Q200" i="12" s="1"/>
  <c r="Q201" i="12" a="1"/>
  <c r="Q201" i="12" s="1"/>
  <c r="Q202" i="12" a="1"/>
  <c r="Q202" i="12"/>
  <c r="Q203" i="12" a="1"/>
  <c r="Q203" i="12" s="1"/>
  <c r="Q204" i="12" a="1"/>
  <c r="Q204" i="12" s="1"/>
  <c r="Q205" i="12" a="1"/>
  <c r="Q205" i="12" s="1"/>
  <c r="Q206" i="12" a="1"/>
  <c r="Q206" i="12" s="1"/>
  <c r="Q207" i="12" a="1"/>
  <c r="Q207" i="12" s="1"/>
  <c r="Q208" i="12" a="1"/>
  <c r="Q208" i="12"/>
  <c r="Q209" i="12" a="1"/>
  <c r="Q209" i="12" s="1"/>
  <c r="Q210" i="12" a="1"/>
  <c r="Q210" i="12" s="1"/>
  <c r="Q211" i="12" a="1"/>
  <c r="Q211" i="12" s="1"/>
  <c r="Q212" i="12" a="1"/>
  <c r="Q212" i="12" s="1"/>
  <c r="Q213" i="12" a="1"/>
  <c r="Q213" i="12" s="1"/>
  <c r="Q214" i="12" a="1"/>
  <c r="Q214" i="12"/>
  <c r="Q215" i="12" a="1"/>
  <c r="Q215" i="12" s="1"/>
  <c r="Q216" i="12" a="1"/>
  <c r="Q216" i="12" s="1"/>
  <c r="Q217" i="12" a="1"/>
  <c r="Q217" i="12" s="1"/>
  <c r="Q218" i="12" a="1"/>
  <c r="Q218" i="12" s="1"/>
  <c r="Q219" i="12" a="1"/>
  <c r="Q219" i="12" s="1"/>
  <c r="Q220" i="12" a="1"/>
  <c r="Q220" i="12"/>
  <c r="Q221" i="12" a="1"/>
  <c r="Q221" i="12" s="1"/>
  <c r="Q222" i="12" a="1"/>
  <c r="Q222" i="12" s="1"/>
  <c r="Q223" i="12" a="1"/>
  <c r="Q223" i="12" s="1"/>
  <c r="Q224" i="12" a="1"/>
  <c r="Q224" i="12" s="1"/>
  <c r="Q225" i="12" a="1"/>
  <c r="Q225" i="12" s="1"/>
  <c r="Q226" i="12" a="1"/>
  <c r="Q226" i="12"/>
  <c r="Q227" i="12" a="1"/>
  <c r="Q227" i="12" s="1"/>
  <c r="Q228" i="12" a="1"/>
  <c r="Q228" i="12" s="1"/>
  <c r="Q229" i="12" a="1"/>
  <c r="Q229" i="12" s="1"/>
  <c r="Q230" i="12" a="1"/>
  <c r="Q230" i="12" s="1"/>
  <c r="Q231" i="12" a="1"/>
  <c r="Q231" i="12" s="1"/>
  <c r="Q232" i="12" a="1"/>
  <c r="Q232" i="12"/>
  <c r="Q233" i="12" a="1"/>
  <c r="Q233" i="12" s="1"/>
  <c r="Q234" i="12" a="1"/>
  <c r="Q234" i="12" s="1"/>
  <c r="Q235" i="12" a="1"/>
  <c r="Q235" i="12" s="1"/>
  <c r="Q4" i="12" a="1"/>
  <c r="Q4" i="12" s="1"/>
  <c r="BJ5" i="12" a="1"/>
  <c r="BJ5" i="12" s="1"/>
  <c r="BJ6" i="12" a="1"/>
  <c r="BJ6" i="12" s="1"/>
  <c r="BJ7" i="12" a="1"/>
  <c r="BJ7" i="12" s="1"/>
  <c r="BJ8" i="12" a="1"/>
  <c r="BJ8" i="12" s="1"/>
  <c r="BJ9" i="12" a="1"/>
  <c r="BJ9" i="12"/>
  <c r="BJ10" i="12" a="1"/>
  <c r="BJ10" i="12"/>
  <c r="BJ11" i="12" a="1"/>
  <c r="BJ11" i="12" s="1"/>
  <c r="BJ12" i="12" a="1"/>
  <c r="BJ12" i="12" s="1"/>
  <c r="BJ13" i="12" a="1"/>
  <c r="BJ13" i="12" s="1"/>
  <c r="BJ14" i="12" a="1"/>
  <c r="BJ14" i="12" s="1"/>
  <c r="BJ15" i="12" a="1"/>
  <c r="BJ15" i="12"/>
  <c r="BJ16" i="12" a="1"/>
  <c r="BJ16" i="12"/>
  <c r="BJ17" i="12" a="1"/>
  <c r="BJ17" i="12" s="1"/>
  <c r="BJ18" i="12" a="1"/>
  <c r="BJ18" i="12" s="1"/>
  <c r="BJ19" i="12" a="1"/>
  <c r="BJ19" i="12" s="1"/>
  <c r="BJ20" i="12" a="1"/>
  <c r="BJ20" i="12" s="1"/>
  <c r="BJ21" i="12" a="1"/>
  <c r="BJ21" i="12"/>
  <c r="BJ22" i="12" a="1"/>
  <c r="BJ22" i="12"/>
  <c r="BJ23" i="12" a="1"/>
  <c r="BJ23" i="12" s="1"/>
  <c r="BJ24" i="12" a="1"/>
  <c r="BJ24" i="12" s="1"/>
  <c r="BJ25" i="12" a="1"/>
  <c r="BJ25" i="12" s="1"/>
  <c r="BJ26" i="12" a="1"/>
  <c r="BJ26" i="12" s="1"/>
  <c r="BJ27" i="12" a="1"/>
  <c r="BJ27" i="12"/>
  <c r="BJ28" i="12" a="1"/>
  <c r="BJ28" i="12"/>
  <c r="BJ29" i="12" a="1"/>
  <c r="BJ29" i="12" s="1"/>
  <c r="BJ30" i="12" a="1"/>
  <c r="BJ30" i="12" s="1"/>
  <c r="BJ31" i="12" a="1"/>
  <c r="BJ31" i="12" s="1"/>
  <c r="BJ32" i="12" a="1"/>
  <c r="BJ32" i="12" s="1"/>
  <c r="BJ33" i="12" a="1"/>
  <c r="BJ33" i="12"/>
  <c r="BJ34" i="12" a="1"/>
  <c r="BJ34" i="12"/>
  <c r="BJ35" i="12" a="1"/>
  <c r="BJ35" i="12" s="1"/>
  <c r="BJ36" i="12" a="1"/>
  <c r="BJ36" i="12" s="1"/>
  <c r="BJ37" i="12" a="1"/>
  <c r="BJ37" i="12" s="1"/>
  <c r="BJ38" i="12" a="1"/>
  <c r="BJ38" i="12" s="1"/>
  <c r="BJ39" i="12" a="1"/>
  <c r="BJ39" i="12"/>
  <c r="BJ40" i="12" a="1"/>
  <c r="BJ40" i="12"/>
  <c r="BJ41" i="12" a="1"/>
  <c r="BJ41" i="12" s="1"/>
  <c r="BJ42" i="12" a="1"/>
  <c r="BJ42" i="12" s="1"/>
  <c r="BJ43" i="12" a="1"/>
  <c r="BJ43" i="12" s="1"/>
  <c r="BJ44" i="12" a="1"/>
  <c r="BJ44" i="12" s="1"/>
  <c r="BJ45" i="12" a="1"/>
  <c r="BJ45" i="12"/>
  <c r="BJ46" i="12" a="1"/>
  <c r="BJ46" i="12"/>
  <c r="BJ47" i="12" a="1"/>
  <c r="BJ47" i="12" s="1"/>
  <c r="BJ48" i="12" a="1"/>
  <c r="BJ48" i="12" s="1"/>
  <c r="BJ49" i="12" a="1"/>
  <c r="BJ49" i="12" s="1"/>
  <c r="BJ50" i="12" a="1"/>
  <c r="BJ50" i="12" s="1"/>
  <c r="BJ51" i="12" a="1"/>
  <c r="BJ51" i="12"/>
  <c r="BJ52" i="12" a="1"/>
  <c r="BJ52" i="12"/>
  <c r="BJ53" i="12" a="1"/>
  <c r="BJ53" i="12" s="1"/>
  <c r="BJ54" i="12" a="1"/>
  <c r="BJ54" i="12" s="1"/>
  <c r="BJ55" i="12" a="1"/>
  <c r="BJ55" i="12" s="1"/>
  <c r="BJ56" i="12" a="1"/>
  <c r="BJ56" i="12" s="1"/>
  <c r="BJ57" i="12" a="1"/>
  <c r="BJ57" i="12"/>
  <c r="BJ58" i="12" a="1"/>
  <c r="BJ58" i="12"/>
  <c r="BJ59" i="12" a="1"/>
  <c r="BJ59" i="12" s="1"/>
  <c r="BJ60" i="12" a="1"/>
  <c r="BJ60" i="12" s="1"/>
  <c r="BJ61" i="12" a="1"/>
  <c r="BJ61" i="12" s="1"/>
  <c r="BJ62" i="12" a="1"/>
  <c r="BJ62" i="12" s="1"/>
  <c r="BJ63" i="12" a="1"/>
  <c r="BJ63" i="12"/>
  <c r="BJ64" i="12" a="1"/>
  <c r="BJ64" i="12"/>
  <c r="BJ65" i="12" a="1"/>
  <c r="BJ65" i="12" s="1"/>
  <c r="BJ66" i="12" a="1"/>
  <c r="BJ66" i="12" s="1"/>
  <c r="BJ67" i="12" a="1"/>
  <c r="BJ67" i="12" s="1"/>
  <c r="BJ68" i="12" a="1"/>
  <c r="BJ68" i="12" s="1"/>
  <c r="BJ69" i="12" a="1"/>
  <c r="BJ69" i="12"/>
  <c r="BJ70" i="12" a="1"/>
  <c r="BJ70" i="12"/>
  <c r="BJ71" i="12" a="1"/>
  <c r="BJ71" i="12" s="1"/>
  <c r="BJ72" i="12" a="1"/>
  <c r="BJ72" i="12" s="1"/>
  <c r="BJ73" i="12" a="1"/>
  <c r="BJ73" i="12" s="1"/>
  <c r="BJ74" i="12" a="1"/>
  <c r="BJ74" i="12" s="1"/>
  <c r="BJ75" i="12" a="1"/>
  <c r="BJ75" i="12"/>
  <c r="BJ76" i="12" a="1"/>
  <c r="BJ76" i="12"/>
  <c r="BJ77" i="12" a="1"/>
  <c r="BJ77" i="12" s="1"/>
  <c r="BJ78" i="12" a="1"/>
  <c r="BJ78" i="12" s="1"/>
  <c r="BJ79" i="12" a="1"/>
  <c r="BJ79" i="12" s="1"/>
  <c r="BJ80" i="12" a="1"/>
  <c r="BJ80" i="12" s="1"/>
  <c r="BJ81" i="12" a="1"/>
  <c r="BJ81" i="12"/>
  <c r="BJ82" i="12" a="1"/>
  <c r="BJ82" i="12"/>
  <c r="BJ83" i="12" a="1"/>
  <c r="BJ83" i="12" s="1"/>
  <c r="BJ84" i="12" a="1"/>
  <c r="BJ84" i="12" s="1"/>
  <c r="BJ85" i="12" a="1"/>
  <c r="BJ85" i="12" s="1"/>
  <c r="BJ86" i="12" a="1"/>
  <c r="BJ86" i="12" s="1"/>
  <c r="BJ87" i="12" a="1"/>
  <c r="BJ87" i="12"/>
  <c r="BJ88" i="12" a="1"/>
  <c r="BJ88" i="12"/>
  <c r="BJ89" i="12" a="1"/>
  <c r="BJ89" i="12" s="1"/>
  <c r="BJ90" i="12" a="1"/>
  <c r="BJ90" i="12" s="1"/>
  <c r="BJ91" i="12" a="1"/>
  <c r="BJ91" i="12" s="1"/>
  <c r="BJ92" i="12" a="1"/>
  <c r="BJ92" i="12" s="1"/>
  <c r="BJ93" i="12" a="1"/>
  <c r="BJ93" i="12"/>
  <c r="BJ94" i="12" a="1"/>
  <c r="BJ94" i="12"/>
  <c r="BJ95" i="12" a="1"/>
  <c r="BJ95" i="12" s="1"/>
  <c r="BJ96" i="12" a="1"/>
  <c r="BJ96" i="12" s="1"/>
  <c r="BJ97" i="12" a="1"/>
  <c r="BJ97" i="12" s="1"/>
  <c r="BJ98" i="12" a="1"/>
  <c r="BJ98" i="12" s="1"/>
  <c r="BJ99" i="12" a="1"/>
  <c r="BJ99" i="12"/>
  <c r="BJ100" i="12" a="1"/>
  <c r="BJ100" i="12"/>
  <c r="BJ101" i="12" a="1"/>
  <c r="BJ101" i="12" s="1"/>
  <c r="BJ102" i="12" a="1"/>
  <c r="BJ102" i="12" s="1"/>
  <c r="BJ103" i="12" a="1"/>
  <c r="BJ103" i="12" s="1"/>
  <c r="BJ104" i="12" a="1"/>
  <c r="BJ104" i="12" s="1"/>
  <c r="BJ105" i="12" a="1"/>
  <c r="BJ105" i="12"/>
  <c r="BJ106" i="12" a="1"/>
  <c r="BJ106" i="12"/>
  <c r="BJ107" i="12" a="1"/>
  <c r="BJ107" i="12" s="1"/>
  <c r="BJ109" i="12" a="1"/>
  <c r="BJ109" i="12" s="1"/>
  <c r="BJ110" i="12" a="1"/>
  <c r="BJ110" i="12" s="1"/>
  <c r="BJ111" i="12" a="1"/>
  <c r="BJ111" i="12"/>
  <c r="BJ112" i="12" a="1"/>
  <c r="BJ112" i="12"/>
  <c r="BJ113" i="12" a="1"/>
  <c r="BJ113" i="12" s="1"/>
  <c r="BJ114" i="12" a="1"/>
  <c r="BJ114" i="12" s="1"/>
  <c r="BJ115" i="12" a="1"/>
  <c r="BJ115" i="12" s="1"/>
  <c r="BJ116" i="12" a="1"/>
  <c r="BJ116" i="12" s="1"/>
  <c r="BJ117" i="12" a="1"/>
  <c r="BJ117" i="12"/>
  <c r="BJ118" i="12" a="1"/>
  <c r="BJ118" i="12"/>
  <c r="BJ119" i="12" a="1"/>
  <c r="BJ119" i="12" s="1"/>
  <c r="BJ120" i="12" a="1"/>
  <c r="BJ120" i="12" s="1"/>
  <c r="BJ121" i="12" a="1"/>
  <c r="BJ121" i="12" s="1"/>
  <c r="BJ122" i="12" a="1"/>
  <c r="BJ122" i="12" s="1"/>
  <c r="BJ123" i="12" a="1"/>
  <c r="BJ123" i="12"/>
  <c r="BJ124" i="12" a="1"/>
  <c r="BJ124" i="12"/>
  <c r="BJ125" i="12" a="1"/>
  <c r="BJ125" i="12" s="1"/>
  <c r="BJ126" i="12" a="1"/>
  <c r="BJ126" i="12" s="1"/>
  <c r="BJ127" i="12" a="1"/>
  <c r="BJ127" i="12" s="1"/>
  <c r="BJ128" i="12" a="1"/>
  <c r="BJ128" i="12" s="1"/>
  <c r="BJ129" i="12" a="1"/>
  <c r="BJ129" i="12"/>
  <c r="BJ130" i="12" a="1"/>
  <c r="BJ130" i="12"/>
  <c r="BJ131" i="12" a="1"/>
  <c r="BJ131" i="12" s="1"/>
  <c r="BJ132" i="12" a="1"/>
  <c r="BJ132" i="12" s="1"/>
  <c r="BJ133" i="12" a="1"/>
  <c r="BJ133" i="12" s="1"/>
  <c r="BJ134" i="12" a="1"/>
  <c r="BJ134" i="12" s="1"/>
  <c r="BJ135" i="12" a="1"/>
  <c r="BJ135" i="12"/>
  <c r="BJ136" i="12" a="1"/>
  <c r="BJ136" i="12"/>
  <c r="BJ137" i="12" a="1"/>
  <c r="BJ137" i="12" s="1"/>
  <c r="BJ138" i="12" a="1"/>
  <c r="BJ138" i="12" s="1"/>
  <c r="BJ139" i="12" a="1"/>
  <c r="BJ139" i="12" s="1"/>
  <c r="BJ140" i="12" a="1"/>
  <c r="BJ140" i="12" s="1"/>
  <c r="BJ141" i="12" a="1"/>
  <c r="BJ141" i="12"/>
  <c r="BJ142" i="12" a="1"/>
  <c r="BJ142" i="12"/>
  <c r="BJ143" i="12" a="1"/>
  <c r="BJ143" i="12" s="1"/>
  <c r="BJ144" i="12" a="1"/>
  <c r="BJ144" i="12" s="1"/>
  <c r="BJ145" i="12" a="1"/>
  <c r="BJ145" i="12" s="1"/>
  <c r="BJ146" i="12" a="1"/>
  <c r="BJ146" i="12" s="1"/>
  <c r="BJ147" i="12" a="1"/>
  <c r="BJ147" i="12"/>
  <c r="BJ148" i="12" a="1"/>
  <c r="BJ148" i="12"/>
  <c r="BJ149" i="12" a="1"/>
  <c r="BJ149" i="12" s="1"/>
  <c r="BJ150" i="12" a="1"/>
  <c r="BJ150" i="12" s="1"/>
  <c r="BJ151" i="12" a="1"/>
  <c r="BJ151" i="12" s="1"/>
  <c r="BJ152" i="12" a="1"/>
  <c r="BJ152" i="12" s="1"/>
  <c r="BJ153" i="12" a="1"/>
  <c r="BJ153" i="12"/>
  <c r="BJ154" i="12" a="1"/>
  <c r="BJ154" i="12"/>
  <c r="BJ155" i="12" a="1"/>
  <c r="BJ155" i="12" s="1"/>
  <c r="BJ156" i="12" a="1"/>
  <c r="BJ156" i="12" s="1"/>
  <c r="BJ157" i="12" a="1"/>
  <c r="BJ157" i="12" s="1"/>
  <c r="BJ158" i="12" a="1"/>
  <c r="BJ158" i="12" s="1"/>
  <c r="BJ159" i="12" a="1"/>
  <c r="BJ159" i="12"/>
  <c r="BJ160" i="12" a="1"/>
  <c r="BJ160" i="12"/>
  <c r="BJ161" i="12" a="1"/>
  <c r="BJ161" i="12" s="1"/>
  <c r="BJ162" i="12" a="1"/>
  <c r="BJ162" i="12" s="1"/>
  <c r="BJ163" i="12" a="1"/>
  <c r="BJ163" i="12" s="1"/>
  <c r="BJ164" i="12" a="1"/>
  <c r="BJ164" i="12" s="1"/>
  <c r="BJ165" i="12" a="1"/>
  <c r="BJ165" i="12"/>
  <c r="BJ166" i="12" a="1"/>
  <c r="BJ166" i="12"/>
  <c r="BJ167" i="12" a="1"/>
  <c r="BJ167" i="12" s="1"/>
  <c r="BJ168" i="12" a="1"/>
  <c r="BJ168" i="12" s="1"/>
  <c r="BJ169" i="12" a="1"/>
  <c r="BJ169" i="12" s="1"/>
  <c r="BJ170" i="12" a="1"/>
  <c r="BJ170" i="12" s="1"/>
  <c r="BJ171" i="12" a="1"/>
  <c r="BJ171" i="12"/>
  <c r="BJ172" i="12" a="1"/>
  <c r="BJ172" i="12"/>
  <c r="BJ173" i="12" a="1"/>
  <c r="BJ173" i="12" s="1"/>
  <c r="BJ174" i="12" a="1"/>
  <c r="BJ174" i="12" s="1"/>
  <c r="BJ175" i="12" a="1"/>
  <c r="BJ175" i="12" s="1"/>
  <c r="BJ176" i="12" a="1"/>
  <c r="BJ176" i="12" s="1"/>
  <c r="BJ177" i="12" a="1"/>
  <c r="BJ177" i="12"/>
  <c r="BJ178" i="12" a="1"/>
  <c r="BJ178" i="12"/>
  <c r="BJ179" i="12" a="1"/>
  <c r="BJ179" i="12" s="1"/>
  <c r="BJ180" i="12" a="1"/>
  <c r="BJ180" i="12" s="1"/>
  <c r="BJ181" i="12" a="1"/>
  <c r="BJ181" i="12" s="1"/>
  <c r="BJ182" i="12" a="1"/>
  <c r="BJ182" i="12" s="1"/>
  <c r="BJ183" i="12" a="1"/>
  <c r="BJ183" i="12"/>
  <c r="BJ184" i="12" a="1"/>
  <c r="BJ184" i="12"/>
  <c r="BJ185" i="12" a="1"/>
  <c r="BJ185" i="12" s="1"/>
  <c r="BJ186" i="12" a="1"/>
  <c r="BJ186" i="12" s="1"/>
  <c r="BJ187" i="12" a="1"/>
  <c r="BJ187" i="12" s="1"/>
  <c r="BJ188" i="12" a="1"/>
  <c r="BJ188" i="12" s="1"/>
  <c r="BJ189" i="12" a="1"/>
  <c r="BJ189" i="12"/>
  <c r="BJ190" i="12" a="1"/>
  <c r="BJ190" i="12"/>
  <c r="BJ191" i="12" a="1"/>
  <c r="BJ191" i="12" s="1"/>
  <c r="BJ192" i="12" a="1"/>
  <c r="BJ192" i="12" s="1"/>
  <c r="BJ193" i="12" a="1"/>
  <c r="BJ193" i="12" s="1"/>
  <c r="BJ194" i="12" a="1"/>
  <c r="BJ194" i="12" s="1"/>
  <c r="BJ195" i="12" a="1"/>
  <c r="BJ195" i="12"/>
  <c r="BJ196" i="12" a="1"/>
  <c r="BJ196" i="12"/>
  <c r="BJ197" i="12" a="1"/>
  <c r="BJ197" i="12" s="1"/>
  <c r="BJ198" i="12" a="1"/>
  <c r="BJ198" i="12" s="1"/>
  <c r="BJ199" i="12" a="1"/>
  <c r="BJ199" i="12" s="1"/>
  <c r="BJ200" i="12" a="1"/>
  <c r="BJ200" i="12" s="1"/>
  <c r="BJ201" i="12" a="1"/>
  <c r="BJ201" i="12"/>
  <c r="BJ202" i="12" a="1"/>
  <c r="BJ202" i="12"/>
  <c r="BJ203" i="12" a="1"/>
  <c r="BJ203" i="12" s="1"/>
  <c r="BJ204" i="12" a="1"/>
  <c r="BJ204" i="12" s="1"/>
  <c r="BJ205" i="12" a="1"/>
  <c r="BJ205" i="12" s="1"/>
  <c r="BJ206" i="12" a="1"/>
  <c r="BJ206" i="12" s="1"/>
  <c r="BJ207" i="12" a="1"/>
  <c r="BJ207" i="12"/>
  <c r="BJ208" i="12" a="1"/>
  <c r="BJ208" i="12"/>
  <c r="BJ209" i="12" a="1"/>
  <c r="BJ209" i="12" s="1"/>
  <c r="BJ210" i="12" a="1"/>
  <c r="BJ210" i="12" s="1"/>
  <c r="BJ211" i="12" a="1"/>
  <c r="BJ211" i="12" s="1"/>
  <c r="BJ212" i="12" a="1"/>
  <c r="BJ212" i="12" s="1"/>
  <c r="BJ213" i="12" a="1"/>
  <c r="BJ213" i="12"/>
  <c r="BJ214" i="12" a="1"/>
  <c r="BJ214" i="12"/>
  <c r="BJ215" i="12" a="1"/>
  <c r="BJ215" i="12" s="1"/>
  <c r="BJ216" i="12" a="1"/>
  <c r="BJ216" i="12" s="1"/>
  <c r="BJ217" i="12" a="1"/>
  <c r="BJ217" i="12" s="1"/>
  <c r="BJ218" i="12" a="1"/>
  <c r="BJ218" i="12" s="1"/>
  <c r="BJ219" i="12" a="1"/>
  <c r="BJ219" i="12"/>
  <c r="BJ220" i="12" a="1"/>
  <c r="BJ220" i="12"/>
  <c r="BJ221" i="12" a="1"/>
  <c r="BJ221" i="12" s="1"/>
  <c r="BJ222" i="12" a="1"/>
  <c r="BJ222" i="12" s="1"/>
  <c r="BJ223" i="12" a="1"/>
  <c r="BJ223" i="12" s="1"/>
  <c r="BJ224" i="12" a="1"/>
  <c r="BJ224" i="12" s="1"/>
  <c r="BJ225" i="12" a="1"/>
  <c r="BJ225" i="12"/>
  <c r="BJ226" i="12" a="1"/>
  <c r="BJ226" i="12"/>
  <c r="BJ227" i="12" a="1"/>
  <c r="BJ227" i="12" s="1"/>
  <c r="BJ228" i="12" a="1"/>
  <c r="BJ228" i="12" s="1"/>
  <c r="BJ229" i="12" a="1"/>
  <c r="BJ229" i="12" s="1"/>
  <c r="BJ230" i="12" a="1"/>
  <c r="BJ230" i="12" s="1"/>
  <c r="BJ231" i="12" a="1"/>
  <c r="BJ231" i="12"/>
  <c r="BJ232" i="12" a="1"/>
  <c r="BJ232" i="12"/>
  <c r="BJ233" i="12" a="1"/>
  <c r="BJ233" i="12" s="1"/>
  <c r="BJ234" i="12" a="1"/>
  <c r="BJ234" i="12" s="1"/>
  <c r="BJ235" i="12" a="1"/>
  <c r="BJ235" i="12" s="1"/>
  <c r="BH5" i="12"/>
  <c r="BH6" i="12"/>
  <c r="BH7" i="12"/>
  <c r="BH8" i="12"/>
  <c r="BH9" i="12"/>
  <c r="BH10" i="12"/>
  <c r="BH11" i="12"/>
  <c r="BH12" i="12"/>
  <c r="BH13" i="12"/>
  <c r="BH14" i="12"/>
  <c r="BH15" i="12"/>
  <c r="BH16" i="12"/>
  <c r="BH17" i="12"/>
  <c r="BH18" i="12"/>
  <c r="BH19" i="12"/>
  <c r="BH20" i="12"/>
  <c r="BH21" i="12"/>
  <c r="BH22" i="12"/>
  <c r="BH23" i="12"/>
  <c r="BH24" i="12"/>
  <c r="BH25" i="12"/>
  <c r="BH26" i="12"/>
  <c r="BH27" i="12"/>
  <c r="BH28" i="12"/>
  <c r="BH29" i="12"/>
  <c r="BH30" i="12"/>
  <c r="BH31" i="12"/>
  <c r="BH32" i="12"/>
  <c r="BH33" i="12"/>
  <c r="BH34" i="12"/>
  <c r="BH35" i="12"/>
  <c r="BH36" i="12"/>
  <c r="BH37" i="12"/>
  <c r="BH38" i="12"/>
  <c r="BH39" i="12"/>
  <c r="BH40" i="12"/>
  <c r="BH41" i="12"/>
  <c r="BH42" i="12"/>
  <c r="BH43" i="12"/>
  <c r="BH44" i="12"/>
  <c r="BH45" i="12"/>
  <c r="BH46" i="12"/>
  <c r="BH47" i="12"/>
  <c r="BH48" i="12"/>
  <c r="BH49" i="12"/>
  <c r="BH50" i="12"/>
  <c r="BH51" i="12"/>
  <c r="BH52" i="12"/>
  <c r="BH53" i="12"/>
  <c r="BH54" i="12"/>
  <c r="BH55" i="12"/>
  <c r="BH56" i="12"/>
  <c r="BH57" i="12"/>
  <c r="BH58" i="12"/>
  <c r="BH59" i="12"/>
  <c r="BH60" i="12"/>
  <c r="BH61" i="12"/>
  <c r="BH62" i="12"/>
  <c r="BH63" i="12"/>
  <c r="BH64" i="12"/>
  <c r="BH65" i="12"/>
  <c r="BH66" i="12"/>
  <c r="BH67" i="12"/>
  <c r="BH68" i="12"/>
  <c r="BH69" i="12"/>
  <c r="BH70" i="12"/>
  <c r="BH71" i="12"/>
  <c r="BH72" i="12"/>
  <c r="BH73" i="12"/>
  <c r="BH74" i="12"/>
  <c r="BH75" i="12"/>
  <c r="BH76" i="12"/>
  <c r="BH77" i="12"/>
  <c r="BH78" i="12"/>
  <c r="BH79" i="12"/>
  <c r="BH80" i="12"/>
  <c r="BH81" i="12"/>
  <c r="BH82" i="12"/>
  <c r="BH83" i="12"/>
  <c r="BH84" i="12"/>
  <c r="BH85" i="12"/>
  <c r="BH86" i="12"/>
  <c r="BH87" i="12"/>
  <c r="BH88" i="12"/>
  <c r="BH89" i="12"/>
  <c r="BH90" i="12"/>
  <c r="BH91" i="12"/>
  <c r="BH92" i="12"/>
  <c r="BH93" i="12"/>
  <c r="BH94" i="12"/>
  <c r="BH95" i="12"/>
  <c r="BH96" i="12"/>
  <c r="BH97" i="12"/>
  <c r="BH98" i="12"/>
  <c r="BH99" i="12"/>
  <c r="BH100" i="12"/>
  <c r="BH101" i="12"/>
  <c r="BH102" i="12"/>
  <c r="BH103" i="12"/>
  <c r="BH104" i="12"/>
  <c r="BH105" i="12"/>
  <c r="BH106" i="12"/>
  <c r="BH107" i="12"/>
  <c r="BJ108" i="12" a="1"/>
  <c r="BJ108" i="12" s="1"/>
  <c r="BH109" i="12"/>
  <c r="BH110" i="12"/>
  <c r="BH111" i="12"/>
  <c r="BH112" i="12"/>
  <c r="BH113" i="12"/>
  <c r="BH114" i="12"/>
  <c r="BH115" i="12"/>
  <c r="BH116" i="12"/>
  <c r="BH117" i="12"/>
  <c r="BH118" i="12"/>
  <c r="BH119" i="12"/>
  <c r="BH120" i="12"/>
  <c r="BH121" i="12"/>
  <c r="BH122" i="12"/>
  <c r="BH123" i="12"/>
  <c r="BH124" i="12"/>
  <c r="BH125" i="12"/>
  <c r="BH126" i="12"/>
  <c r="BH127" i="12"/>
  <c r="BH128" i="12"/>
  <c r="BH129" i="12"/>
  <c r="BH130" i="12"/>
  <c r="BH131" i="12"/>
  <c r="BH132" i="12"/>
  <c r="BH133" i="12"/>
  <c r="BH134" i="12"/>
  <c r="BH135" i="12"/>
  <c r="BH136" i="12"/>
  <c r="BH137" i="12"/>
  <c r="BH138" i="12"/>
  <c r="BH139" i="12"/>
  <c r="BH140" i="12"/>
  <c r="BH141" i="12"/>
  <c r="BH142" i="12"/>
  <c r="BH143" i="12"/>
  <c r="BH144" i="12"/>
  <c r="BH145" i="12"/>
  <c r="BH146" i="12"/>
  <c r="BH147" i="12"/>
  <c r="BH148" i="12"/>
  <c r="BH149" i="12"/>
  <c r="BH150" i="12"/>
  <c r="BH151" i="12"/>
  <c r="BH152" i="12"/>
  <c r="BH153" i="12"/>
  <c r="BH154" i="12"/>
  <c r="BH155" i="12"/>
  <c r="BH156" i="12"/>
  <c r="BH157" i="12"/>
  <c r="BH158" i="12"/>
  <c r="BH159" i="12"/>
  <c r="BH160" i="12"/>
  <c r="BH161" i="12"/>
  <c r="BH162" i="12"/>
  <c r="BH163" i="12"/>
  <c r="BH164" i="12"/>
  <c r="BH165" i="12"/>
  <c r="BH166" i="12"/>
  <c r="BH167" i="12"/>
  <c r="BH168" i="12"/>
  <c r="BH169" i="12"/>
  <c r="BH170" i="12"/>
  <c r="BH171" i="12"/>
  <c r="BH172" i="12"/>
  <c r="BH173" i="12"/>
  <c r="BH174" i="12"/>
  <c r="BH175" i="12"/>
  <c r="BH176" i="12"/>
  <c r="BH177" i="12"/>
  <c r="BH178" i="12"/>
  <c r="BH179" i="12"/>
  <c r="BH180" i="12"/>
  <c r="BH181" i="12"/>
  <c r="BH182" i="12"/>
  <c r="BH183" i="12"/>
  <c r="BH184" i="12"/>
  <c r="BH185" i="12"/>
  <c r="BH186" i="12"/>
  <c r="BH187" i="12"/>
  <c r="BH188" i="12"/>
  <c r="BH189" i="12"/>
  <c r="BH190" i="12"/>
  <c r="BH191" i="12"/>
  <c r="BH192" i="12"/>
  <c r="BH193" i="12"/>
  <c r="BH194" i="12"/>
  <c r="BH195" i="12"/>
  <c r="BH196" i="12"/>
  <c r="BH197" i="12"/>
  <c r="BH198" i="12"/>
  <c r="BH199" i="12"/>
  <c r="BH200" i="12"/>
  <c r="BH201" i="12"/>
  <c r="BH202" i="12"/>
  <c r="BH203" i="12"/>
  <c r="BH204" i="12"/>
  <c r="BH205" i="12"/>
  <c r="BH206" i="12"/>
  <c r="BH207" i="12"/>
  <c r="BH208" i="12"/>
  <c r="BH209" i="12"/>
  <c r="BH210" i="12"/>
  <c r="BH211" i="12"/>
  <c r="BH212" i="12"/>
  <c r="BH213" i="12"/>
  <c r="BH214" i="12"/>
  <c r="BH215" i="12"/>
  <c r="BH216" i="12"/>
  <c r="BH217" i="12"/>
  <c r="BH218" i="12"/>
  <c r="BH219" i="12"/>
  <c r="BH220" i="12"/>
  <c r="BH221" i="12"/>
  <c r="BH222" i="12"/>
  <c r="BH223" i="12"/>
  <c r="BH224" i="12"/>
  <c r="BH225" i="12"/>
  <c r="BH226" i="12"/>
  <c r="BH227" i="12"/>
  <c r="BH228" i="12"/>
  <c r="BH229" i="12"/>
  <c r="BH230" i="12"/>
  <c r="BH231" i="12"/>
  <c r="BH232" i="12"/>
  <c r="BH233" i="12"/>
  <c r="BH234" i="12"/>
  <c r="BH235" i="12"/>
  <c r="BG5" i="12"/>
  <c r="BG6" i="12"/>
  <c r="BG7" i="12"/>
  <c r="BG8" i="12"/>
  <c r="BG9" i="12"/>
  <c r="BG10" i="12"/>
  <c r="BG11" i="12"/>
  <c r="BG12" i="12"/>
  <c r="BG13" i="12"/>
  <c r="BG14" i="12"/>
  <c r="BG15" i="12"/>
  <c r="BG16" i="12"/>
  <c r="BG17" i="12"/>
  <c r="BG18" i="12"/>
  <c r="BG19" i="12"/>
  <c r="BG20" i="12"/>
  <c r="BG21" i="12"/>
  <c r="BG22" i="12"/>
  <c r="BG23" i="12"/>
  <c r="BG24" i="12"/>
  <c r="BG25" i="12"/>
  <c r="BG26" i="12"/>
  <c r="BG27" i="12"/>
  <c r="BG28" i="12"/>
  <c r="BG29" i="12"/>
  <c r="BG30" i="12"/>
  <c r="BG31" i="12"/>
  <c r="BG32" i="12"/>
  <c r="BG33" i="12"/>
  <c r="BG34" i="12"/>
  <c r="BG35" i="12"/>
  <c r="BG36" i="12"/>
  <c r="BG37" i="12"/>
  <c r="BG38" i="12"/>
  <c r="BG39" i="12"/>
  <c r="BG40" i="12"/>
  <c r="BG41" i="12"/>
  <c r="BG42" i="12"/>
  <c r="BG43" i="12"/>
  <c r="BG44" i="12"/>
  <c r="BG45" i="12"/>
  <c r="BG46" i="12"/>
  <c r="BG47" i="12"/>
  <c r="BG48" i="12"/>
  <c r="BG49" i="12"/>
  <c r="BG50" i="12"/>
  <c r="BG51" i="12"/>
  <c r="BG52" i="12"/>
  <c r="BG53" i="12"/>
  <c r="BG54" i="12"/>
  <c r="BG55" i="12"/>
  <c r="BG56" i="12"/>
  <c r="BG57" i="12"/>
  <c r="BG58" i="12"/>
  <c r="BG59" i="12"/>
  <c r="BG60" i="12"/>
  <c r="BG61" i="12"/>
  <c r="BG62" i="12"/>
  <c r="BG63" i="12"/>
  <c r="BG64" i="12"/>
  <c r="BG65" i="12"/>
  <c r="BG66" i="12"/>
  <c r="BG67" i="12"/>
  <c r="BG68" i="12"/>
  <c r="BG69" i="12"/>
  <c r="BG70" i="12"/>
  <c r="BG71" i="12"/>
  <c r="BG72" i="12"/>
  <c r="BG73" i="12"/>
  <c r="BG74" i="12"/>
  <c r="BG75" i="12"/>
  <c r="BG76" i="12"/>
  <c r="BG77" i="12"/>
  <c r="BG78" i="12"/>
  <c r="BG79" i="12"/>
  <c r="BG80" i="12"/>
  <c r="BG81" i="12"/>
  <c r="BG82" i="12"/>
  <c r="BG83" i="12"/>
  <c r="BG84" i="12"/>
  <c r="BG85" i="12"/>
  <c r="BG86" i="12"/>
  <c r="BG87" i="12"/>
  <c r="BG88" i="12"/>
  <c r="BG89" i="12"/>
  <c r="BG90" i="12"/>
  <c r="BG91" i="12"/>
  <c r="BG92" i="12"/>
  <c r="BG93" i="12"/>
  <c r="BG94" i="12"/>
  <c r="BG95" i="12"/>
  <c r="BG96" i="12"/>
  <c r="BG97" i="12"/>
  <c r="BG98" i="12"/>
  <c r="BG99" i="12"/>
  <c r="BG100" i="12"/>
  <c r="BG101" i="12"/>
  <c r="BG102" i="12"/>
  <c r="BG103" i="12"/>
  <c r="BG104" i="12"/>
  <c r="BG105" i="12"/>
  <c r="BG106" i="12"/>
  <c r="BG107" i="12"/>
  <c r="BG109" i="12"/>
  <c r="BG110" i="12"/>
  <c r="BG111" i="12"/>
  <c r="BG112" i="12"/>
  <c r="BG113" i="12"/>
  <c r="BG114" i="12"/>
  <c r="BG115" i="12"/>
  <c r="BG116" i="12"/>
  <c r="BG117" i="12"/>
  <c r="BG118" i="12"/>
  <c r="BG119" i="12"/>
  <c r="BG120" i="12"/>
  <c r="BG121" i="12"/>
  <c r="BG122" i="12"/>
  <c r="BG123" i="12"/>
  <c r="BG124" i="12"/>
  <c r="BG125" i="12"/>
  <c r="BG126" i="12"/>
  <c r="BG127" i="12"/>
  <c r="BG128" i="12"/>
  <c r="BG129" i="12"/>
  <c r="BG130" i="12"/>
  <c r="BG131" i="12"/>
  <c r="BG132" i="12"/>
  <c r="BG133" i="12"/>
  <c r="BG134" i="12"/>
  <c r="BG135" i="12"/>
  <c r="BG136" i="12"/>
  <c r="BG137" i="12"/>
  <c r="BG138" i="12"/>
  <c r="BG139" i="12"/>
  <c r="BG140" i="12"/>
  <c r="BG141" i="12"/>
  <c r="BG142" i="12"/>
  <c r="BG143" i="12"/>
  <c r="BG144" i="12"/>
  <c r="BG145" i="12"/>
  <c r="BG146" i="12"/>
  <c r="BG147" i="12"/>
  <c r="BG148" i="12"/>
  <c r="BG149" i="12"/>
  <c r="BG150" i="12"/>
  <c r="BG151" i="12"/>
  <c r="BG152" i="12"/>
  <c r="BG153" i="12"/>
  <c r="BG154" i="12"/>
  <c r="BG155" i="12"/>
  <c r="BG156" i="12"/>
  <c r="BG157" i="12"/>
  <c r="BG158" i="12"/>
  <c r="BG159" i="12"/>
  <c r="BG160" i="12"/>
  <c r="BG161" i="12"/>
  <c r="BG162" i="12"/>
  <c r="BG163" i="12"/>
  <c r="BG164" i="12"/>
  <c r="BG165" i="12"/>
  <c r="BG166" i="12"/>
  <c r="BG167" i="12"/>
  <c r="BG168" i="12"/>
  <c r="BG169" i="12"/>
  <c r="BG170" i="12"/>
  <c r="BG171" i="12"/>
  <c r="BG172" i="12"/>
  <c r="BG173" i="12"/>
  <c r="BG174" i="12"/>
  <c r="BG175" i="12"/>
  <c r="BG176" i="12"/>
  <c r="BG177" i="12"/>
  <c r="BG178" i="12"/>
  <c r="BG179" i="12"/>
  <c r="BG180" i="12"/>
  <c r="BG181" i="12"/>
  <c r="BG182" i="12"/>
  <c r="BG183" i="12"/>
  <c r="BG184" i="12"/>
  <c r="BG185" i="12"/>
  <c r="BG186" i="12"/>
  <c r="BG187" i="12"/>
  <c r="BG188" i="12"/>
  <c r="BG189" i="12"/>
  <c r="BG190" i="12"/>
  <c r="BG191" i="12"/>
  <c r="BG192" i="12"/>
  <c r="BG193" i="12"/>
  <c r="BG194" i="12"/>
  <c r="BG195" i="12"/>
  <c r="BG196" i="12"/>
  <c r="BG197" i="12"/>
  <c r="BG198" i="12"/>
  <c r="BG199" i="12"/>
  <c r="BG200" i="12"/>
  <c r="BG201" i="12"/>
  <c r="BG202" i="12"/>
  <c r="BG203" i="12"/>
  <c r="BG204" i="12"/>
  <c r="BG205" i="12"/>
  <c r="BG206" i="12"/>
  <c r="BG207" i="12"/>
  <c r="BG208" i="12"/>
  <c r="BG209" i="12"/>
  <c r="BG210" i="12"/>
  <c r="BG211" i="12"/>
  <c r="BG212" i="12"/>
  <c r="BG213" i="12"/>
  <c r="BG214" i="12"/>
  <c r="BG215" i="12"/>
  <c r="BG216" i="12"/>
  <c r="BG217" i="12"/>
  <c r="BG218" i="12"/>
  <c r="BG219" i="12"/>
  <c r="BG220" i="12"/>
  <c r="BG221" i="12"/>
  <c r="BG222" i="12"/>
  <c r="BG223" i="12"/>
  <c r="BG224" i="12"/>
  <c r="BG225" i="12"/>
  <c r="BG226" i="12"/>
  <c r="BG227" i="12"/>
  <c r="BG228" i="12"/>
  <c r="BG229" i="12"/>
  <c r="BG230" i="12"/>
  <c r="BG231" i="12"/>
  <c r="BG232" i="12"/>
  <c r="BG233" i="12"/>
  <c r="BG234" i="12"/>
  <c r="BG235" i="12"/>
  <c r="BF5" i="12"/>
  <c r="BF6" i="12"/>
  <c r="BF7" i="12"/>
  <c r="BF8" i="12"/>
  <c r="BF9" i="12"/>
  <c r="BF10" i="12"/>
  <c r="BF11" i="12"/>
  <c r="BF12" i="12"/>
  <c r="BF13" i="12"/>
  <c r="BF14" i="12"/>
  <c r="BF15" i="12"/>
  <c r="BF16" i="12"/>
  <c r="BF17" i="12"/>
  <c r="BF18" i="12"/>
  <c r="BF19" i="12"/>
  <c r="BF20" i="12"/>
  <c r="BF21" i="12"/>
  <c r="BF22" i="12"/>
  <c r="BF23" i="12"/>
  <c r="BF24" i="12"/>
  <c r="BF25" i="12"/>
  <c r="BF26" i="12"/>
  <c r="BF27" i="12"/>
  <c r="BF28" i="12"/>
  <c r="BF29" i="12"/>
  <c r="BF30" i="12"/>
  <c r="BF31" i="12"/>
  <c r="BF32" i="12"/>
  <c r="BF33" i="12"/>
  <c r="BF34" i="12"/>
  <c r="BF35" i="12"/>
  <c r="BF36" i="12"/>
  <c r="BF37" i="12"/>
  <c r="BF38" i="12"/>
  <c r="BF39" i="12"/>
  <c r="BF40" i="12"/>
  <c r="BF41" i="12"/>
  <c r="BF42" i="12"/>
  <c r="BF43" i="12"/>
  <c r="BF44" i="12"/>
  <c r="BF45" i="12"/>
  <c r="BF46" i="12"/>
  <c r="BF47" i="12"/>
  <c r="BF48" i="12"/>
  <c r="BF49" i="12"/>
  <c r="BF50" i="12"/>
  <c r="BF51" i="12"/>
  <c r="BF52" i="12"/>
  <c r="BF53" i="12"/>
  <c r="BF54" i="12"/>
  <c r="BF55" i="12"/>
  <c r="BF56" i="12"/>
  <c r="BF57" i="12"/>
  <c r="BF58" i="12"/>
  <c r="BF59" i="12"/>
  <c r="BF60" i="12"/>
  <c r="BF61" i="12"/>
  <c r="BF62" i="12"/>
  <c r="BF63" i="12"/>
  <c r="BF64" i="12"/>
  <c r="BF65" i="12"/>
  <c r="BF66" i="12"/>
  <c r="BF67" i="12"/>
  <c r="BF68" i="12"/>
  <c r="BF69" i="12"/>
  <c r="BF70" i="12"/>
  <c r="BF71" i="12"/>
  <c r="BF72" i="12"/>
  <c r="BF73" i="12"/>
  <c r="BF74" i="12"/>
  <c r="BF75" i="12"/>
  <c r="BF76" i="12"/>
  <c r="BF77" i="12"/>
  <c r="BF78" i="12"/>
  <c r="BF79" i="12"/>
  <c r="BF80" i="12"/>
  <c r="BF81" i="12"/>
  <c r="BF82" i="12"/>
  <c r="BF83" i="12"/>
  <c r="BF84" i="12"/>
  <c r="BF85" i="12"/>
  <c r="BF86" i="12"/>
  <c r="BF87" i="12"/>
  <c r="BF88" i="12"/>
  <c r="BF89" i="12"/>
  <c r="BF90" i="12"/>
  <c r="BF91" i="12"/>
  <c r="BF92" i="12"/>
  <c r="BF93" i="12"/>
  <c r="BF94" i="12"/>
  <c r="BF95" i="12"/>
  <c r="BF96" i="12"/>
  <c r="BF97" i="12"/>
  <c r="BF98" i="12"/>
  <c r="BF99" i="12"/>
  <c r="BF100" i="12"/>
  <c r="BF101" i="12"/>
  <c r="BF102" i="12"/>
  <c r="BF103" i="12"/>
  <c r="BF104" i="12"/>
  <c r="BF105" i="12"/>
  <c r="BF106" i="12"/>
  <c r="BF107" i="12"/>
  <c r="BF109" i="12"/>
  <c r="BF110" i="12"/>
  <c r="BF111" i="12"/>
  <c r="BF112" i="12"/>
  <c r="BF113" i="12"/>
  <c r="BF114" i="12"/>
  <c r="BF115" i="12"/>
  <c r="BF116" i="12"/>
  <c r="BF117" i="12"/>
  <c r="BF118" i="12"/>
  <c r="BF119" i="12"/>
  <c r="BF120" i="12"/>
  <c r="BF121" i="12"/>
  <c r="BF122" i="12"/>
  <c r="BF123" i="12"/>
  <c r="BF124" i="12"/>
  <c r="BF125" i="12"/>
  <c r="BF126" i="12"/>
  <c r="BF127" i="12"/>
  <c r="BF128" i="12"/>
  <c r="BF129" i="12"/>
  <c r="BF130" i="12"/>
  <c r="BF131" i="12"/>
  <c r="BF132" i="12"/>
  <c r="BF133" i="12"/>
  <c r="BF134" i="12"/>
  <c r="BF135" i="12"/>
  <c r="BF136" i="12"/>
  <c r="BF137" i="12"/>
  <c r="BF138" i="12"/>
  <c r="BF139" i="12"/>
  <c r="BF140" i="12"/>
  <c r="BF141" i="12"/>
  <c r="BF142" i="12"/>
  <c r="BF143" i="12"/>
  <c r="BF144" i="12"/>
  <c r="BF145" i="12"/>
  <c r="BF146" i="12"/>
  <c r="BF147" i="12"/>
  <c r="BF148" i="12"/>
  <c r="BF149" i="12"/>
  <c r="BF150" i="12"/>
  <c r="BF151" i="12"/>
  <c r="BF152" i="12"/>
  <c r="BF153" i="12"/>
  <c r="BF154" i="12"/>
  <c r="BF155" i="12"/>
  <c r="BF156" i="12"/>
  <c r="BF157" i="12"/>
  <c r="BF158" i="12"/>
  <c r="BF159" i="12"/>
  <c r="BF160" i="12"/>
  <c r="BF161" i="12"/>
  <c r="BF162" i="12"/>
  <c r="BF163" i="12"/>
  <c r="BF164" i="12"/>
  <c r="BF165" i="12"/>
  <c r="BF166" i="12"/>
  <c r="BF167" i="12"/>
  <c r="BF168" i="12"/>
  <c r="BF169" i="12"/>
  <c r="BF170" i="12"/>
  <c r="BF171" i="12"/>
  <c r="BF172" i="12"/>
  <c r="BF173" i="12"/>
  <c r="BF174" i="12"/>
  <c r="BF175" i="12"/>
  <c r="BF176" i="12"/>
  <c r="BF177" i="12"/>
  <c r="BF178" i="12"/>
  <c r="BF179" i="12"/>
  <c r="BF180" i="12"/>
  <c r="BF181" i="12"/>
  <c r="BF182" i="12"/>
  <c r="BF183" i="12"/>
  <c r="BF184" i="12"/>
  <c r="BF185" i="12"/>
  <c r="BF186" i="12"/>
  <c r="BF187" i="12"/>
  <c r="BF188" i="12"/>
  <c r="BF189" i="12"/>
  <c r="BF190" i="12"/>
  <c r="BF191" i="12"/>
  <c r="BF192" i="12"/>
  <c r="BF193" i="12"/>
  <c r="BF194" i="12"/>
  <c r="BF195" i="12"/>
  <c r="BF196" i="12"/>
  <c r="BF197" i="12"/>
  <c r="BF198" i="12"/>
  <c r="BF199" i="12"/>
  <c r="BF200" i="12"/>
  <c r="BF201" i="12"/>
  <c r="BF202" i="12"/>
  <c r="BF203" i="12"/>
  <c r="BF204" i="12"/>
  <c r="BF205" i="12"/>
  <c r="BF206" i="12"/>
  <c r="BF207" i="12"/>
  <c r="BF208" i="12"/>
  <c r="BF209" i="12"/>
  <c r="BF210" i="12"/>
  <c r="BF211" i="12"/>
  <c r="BF212" i="12"/>
  <c r="BF213" i="12"/>
  <c r="BF214" i="12"/>
  <c r="BF215" i="12"/>
  <c r="BF216" i="12"/>
  <c r="BF217" i="12"/>
  <c r="BF218" i="12"/>
  <c r="BF219" i="12"/>
  <c r="BF220" i="12"/>
  <c r="BF221" i="12"/>
  <c r="BF222" i="12"/>
  <c r="BF223" i="12"/>
  <c r="BF224" i="12"/>
  <c r="BF225" i="12"/>
  <c r="BF226" i="12"/>
  <c r="BF227" i="12"/>
  <c r="BF228" i="12"/>
  <c r="BF229" i="12"/>
  <c r="BF230" i="12"/>
  <c r="BF231" i="12"/>
  <c r="BF232" i="12"/>
  <c r="BF233" i="12"/>
  <c r="BF234" i="12"/>
  <c r="BF235" i="12"/>
  <c r="BE5" i="12" a="1"/>
  <c r="BE5" i="12" s="1"/>
  <c r="BE6" i="12" a="1"/>
  <c r="BE6" i="12" s="1"/>
  <c r="BE7" i="12" a="1"/>
  <c r="BE7" i="12" s="1"/>
  <c r="BE8" i="12" a="1"/>
  <c r="BE8" i="12" s="1"/>
  <c r="BE9" i="12" a="1"/>
  <c r="BE9" i="12" s="1"/>
  <c r="BE10" i="12" a="1"/>
  <c r="BE10" i="12"/>
  <c r="BE11" i="12" a="1"/>
  <c r="BE11" i="12" s="1"/>
  <c r="BE12" i="12" a="1"/>
  <c r="BE12" i="12" s="1"/>
  <c r="BE13" i="12" a="1"/>
  <c r="BE13" i="12" s="1"/>
  <c r="BE14" i="12" a="1"/>
  <c r="BE14" i="12" s="1"/>
  <c r="BE15" i="12" a="1"/>
  <c r="BE15" i="12" s="1"/>
  <c r="BE16" i="12" a="1"/>
  <c r="BE16" i="12"/>
  <c r="BE17" i="12" a="1"/>
  <c r="BE17" i="12" s="1"/>
  <c r="BE18" i="12" a="1"/>
  <c r="BE18" i="12" s="1"/>
  <c r="BE19" i="12" a="1"/>
  <c r="BE19" i="12" s="1"/>
  <c r="BE20" i="12" a="1"/>
  <c r="BE20" i="12" s="1"/>
  <c r="BE21" i="12" a="1"/>
  <c r="BE21" i="12" s="1"/>
  <c r="BE22" i="12" a="1"/>
  <c r="BE22" i="12"/>
  <c r="BE23" i="12" a="1"/>
  <c r="BE23" i="12" s="1"/>
  <c r="BE24" i="12" a="1"/>
  <c r="BE24" i="12" s="1"/>
  <c r="BE25" i="12" a="1"/>
  <c r="BE25" i="12" s="1"/>
  <c r="BE26" i="12" a="1"/>
  <c r="BE26" i="12" s="1"/>
  <c r="BE27" i="12" a="1"/>
  <c r="BE27" i="12" s="1"/>
  <c r="BE28" i="12" a="1"/>
  <c r="BE28" i="12"/>
  <c r="BE29" i="12" a="1"/>
  <c r="BE29" i="12" s="1"/>
  <c r="BE30" i="12" a="1"/>
  <c r="BE30" i="12" s="1"/>
  <c r="BE31" i="12" a="1"/>
  <c r="BE31" i="12" s="1"/>
  <c r="BE32" i="12" a="1"/>
  <c r="BE32" i="12" s="1"/>
  <c r="BE33" i="12" a="1"/>
  <c r="BE33" i="12" s="1"/>
  <c r="BE34" i="12" a="1"/>
  <c r="BE34" i="12"/>
  <c r="BE35" i="12" a="1"/>
  <c r="BE35" i="12" s="1"/>
  <c r="BE36" i="12" a="1"/>
  <c r="BE36" i="12" s="1"/>
  <c r="BE37" i="12" a="1"/>
  <c r="BE37" i="12" s="1"/>
  <c r="BE38" i="12" a="1"/>
  <c r="BE38" i="12" s="1"/>
  <c r="BE39" i="12" a="1"/>
  <c r="BE39" i="12" s="1"/>
  <c r="BE40" i="12" a="1"/>
  <c r="BE40" i="12"/>
  <c r="BE41" i="12" a="1"/>
  <c r="BE41" i="12" s="1"/>
  <c r="BE42" i="12" a="1"/>
  <c r="BE42" i="12" s="1"/>
  <c r="BE43" i="12" a="1"/>
  <c r="BE43" i="12" s="1"/>
  <c r="BE44" i="12" a="1"/>
  <c r="BE44" i="12" s="1"/>
  <c r="BE45" i="12" a="1"/>
  <c r="BE45" i="12" s="1"/>
  <c r="BE46" i="12" a="1"/>
  <c r="BE46" i="12"/>
  <c r="BE47" i="12" a="1"/>
  <c r="BE47" i="12" s="1"/>
  <c r="BE48" i="12" a="1"/>
  <c r="BE48" i="12" s="1"/>
  <c r="BE49" i="12" a="1"/>
  <c r="BE49" i="12" s="1"/>
  <c r="BE50" i="12" a="1"/>
  <c r="BE50" i="12" s="1"/>
  <c r="BE51" i="12" a="1"/>
  <c r="BE51" i="12" s="1"/>
  <c r="BE52" i="12" a="1"/>
  <c r="BE52" i="12"/>
  <c r="BE53" i="12" a="1"/>
  <c r="BE53" i="12" s="1"/>
  <c r="BE54" i="12" a="1"/>
  <c r="BE54" i="12" s="1"/>
  <c r="BE55" i="12" a="1"/>
  <c r="BE55" i="12" s="1"/>
  <c r="BE56" i="12" a="1"/>
  <c r="BE56" i="12" s="1"/>
  <c r="BE57" i="12" a="1"/>
  <c r="BE57" i="12" s="1"/>
  <c r="BE58" i="12" a="1"/>
  <c r="BE58" i="12"/>
  <c r="BE59" i="12" a="1"/>
  <c r="BE59" i="12" s="1"/>
  <c r="BE60" i="12" a="1"/>
  <c r="BE60" i="12" s="1"/>
  <c r="BE61" i="12" a="1"/>
  <c r="BE61" i="12" s="1"/>
  <c r="BE62" i="12" a="1"/>
  <c r="BE62" i="12" s="1"/>
  <c r="BE63" i="12" a="1"/>
  <c r="BE63" i="12" s="1"/>
  <c r="BE64" i="12" a="1"/>
  <c r="BE64" i="12"/>
  <c r="BE65" i="12" a="1"/>
  <c r="BE65" i="12" s="1"/>
  <c r="BE66" i="12" a="1"/>
  <c r="BE66" i="12" s="1"/>
  <c r="BE67" i="12" a="1"/>
  <c r="BE67" i="12" s="1"/>
  <c r="BE68" i="12" a="1"/>
  <c r="BE68" i="12" s="1"/>
  <c r="BE69" i="12" a="1"/>
  <c r="BE69" i="12" s="1"/>
  <c r="BE70" i="12" a="1"/>
  <c r="BE70" i="12"/>
  <c r="BE71" i="12" a="1"/>
  <c r="BE71" i="12" s="1"/>
  <c r="BE72" i="12" a="1"/>
  <c r="BE72" i="12" s="1"/>
  <c r="BE73" i="12" a="1"/>
  <c r="BE73" i="12" s="1"/>
  <c r="BE74" i="12" a="1"/>
  <c r="BE74" i="12" s="1"/>
  <c r="BE75" i="12" a="1"/>
  <c r="BE75" i="12" s="1"/>
  <c r="BE76" i="12" a="1"/>
  <c r="BE76" i="12"/>
  <c r="BE77" i="12" a="1"/>
  <c r="BE77" i="12" s="1"/>
  <c r="BE78" i="12" a="1"/>
  <c r="BE78" i="12" s="1"/>
  <c r="BE79" i="12" a="1"/>
  <c r="BE79" i="12" s="1"/>
  <c r="BE80" i="12" a="1"/>
  <c r="BE80" i="12" s="1"/>
  <c r="BE81" i="12" a="1"/>
  <c r="BE81" i="12" s="1"/>
  <c r="BE82" i="12" a="1"/>
  <c r="BE82" i="12"/>
  <c r="BE83" i="12" a="1"/>
  <c r="BE83" i="12" s="1"/>
  <c r="BE84" i="12" a="1"/>
  <c r="BE84" i="12" s="1"/>
  <c r="BE85" i="12" a="1"/>
  <c r="BE85" i="12" s="1"/>
  <c r="BE86" i="12" a="1"/>
  <c r="BE86" i="12" s="1"/>
  <c r="BE87" i="12" a="1"/>
  <c r="BE87" i="12" s="1"/>
  <c r="BE88" i="12" a="1"/>
  <c r="BE88" i="12"/>
  <c r="BE89" i="12" a="1"/>
  <c r="BE89" i="12" s="1"/>
  <c r="BE90" i="12" a="1"/>
  <c r="BE90" i="12" s="1"/>
  <c r="BE91" i="12" a="1"/>
  <c r="BE91" i="12" s="1"/>
  <c r="BE92" i="12" a="1"/>
  <c r="BE92" i="12" s="1"/>
  <c r="BE93" i="12" a="1"/>
  <c r="BE93" i="12" s="1"/>
  <c r="BE94" i="12" a="1"/>
  <c r="BE94" i="12"/>
  <c r="BE95" i="12" a="1"/>
  <c r="BE95" i="12" s="1"/>
  <c r="BE96" i="12" a="1"/>
  <c r="BE96" i="12" s="1"/>
  <c r="BE97" i="12" a="1"/>
  <c r="BE97" i="12" s="1"/>
  <c r="BE98" i="12" a="1"/>
  <c r="BE98" i="12" s="1"/>
  <c r="BE99" i="12" a="1"/>
  <c r="BE99" i="12" s="1"/>
  <c r="BE100" i="12" a="1"/>
  <c r="BE100" i="12"/>
  <c r="BE101" i="12" a="1"/>
  <c r="BE101" i="12" s="1"/>
  <c r="BE102" i="12" a="1"/>
  <c r="BE102" i="12" s="1"/>
  <c r="BE103" i="12" a="1"/>
  <c r="BE103" i="12" s="1"/>
  <c r="BE104" i="12" a="1"/>
  <c r="BE104" i="12" s="1"/>
  <c r="BE105" i="12" a="1"/>
  <c r="BE105" i="12" s="1"/>
  <c r="BE106" i="12" a="1"/>
  <c r="BE106" i="12"/>
  <c r="BE107" i="12" a="1"/>
  <c r="BE107" i="12" s="1"/>
  <c r="BE108" i="12" a="1"/>
  <c r="BE108" i="12" s="1"/>
  <c r="BE109" i="12" a="1"/>
  <c r="BE109" i="12" s="1"/>
  <c r="BE110" i="12" a="1"/>
  <c r="BE110" i="12" s="1"/>
  <c r="BE111" i="12" a="1"/>
  <c r="BE111" i="12" s="1"/>
  <c r="BE112" i="12" a="1"/>
  <c r="BE112" i="12"/>
  <c r="BE113" i="12" a="1"/>
  <c r="BE113" i="12" s="1"/>
  <c r="BE114" i="12" a="1"/>
  <c r="BE114" i="12" s="1"/>
  <c r="BE115" i="12" a="1"/>
  <c r="BE115" i="12" s="1"/>
  <c r="BE116" i="12" a="1"/>
  <c r="BE116" i="12" s="1"/>
  <c r="BE117" i="12" a="1"/>
  <c r="BE117" i="12" s="1"/>
  <c r="BE118" i="12" a="1"/>
  <c r="BE118" i="12"/>
  <c r="BE119" i="12" a="1"/>
  <c r="BE119" i="12" s="1"/>
  <c r="BE120" i="12" a="1"/>
  <c r="BE120" i="12" s="1"/>
  <c r="BE121" i="12" a="1"/>
  <c r="BE121" i="12" s="1"/>
  <c r="BE122" i="12" a="1"/>
  <c r="BE122" i="12" s="1"/>
  <c r="BE123" i="12" a="1"/>
  <c r="BE123" i="12" s="1"/>
  <c r="BE124" i="12" a="1"/>
  <c r="BE124" i="12"/>
  <c r="BE125" i="12" a="1"/>
  <c r="BE125" i="12" s="1"/>
  <c r="BE126" i="12" a="1"/>
  <c r="BE126" i="12" s="1"/>
  <c r="BE127" i="12" a="1"/>
  <c r="BE127" i="12" s="1"/>
  <c r="BE128" i="12" a="1"/>
  <c r="BE128" i="12" s="1"/>
  <c r="BE129" i="12" a="1"/>
  <c r="BE129" i="12" s="1"/>
  <c r="BE130" i="12" a="1"/>
  <c r="BE130" i="12"/>
  <c r="BE131" i="12" a="1"/>
  <c r="BE131" i="12" s="1"/>
  <c r="BE132" i="12" a="1"/>
  <c r="BE132" i="12" s="1"/>
  <c r="BE133" i="12" a="1"/>
  <c r="BE133" i="12" s="1"/>
  <c r="BE134" i="12" a="1"/>
  <c r="BE134" i="12" s="1"/>
  <c r="BE135" i="12" a="1"/>
  <c r="BE135" i="12" s="1"/>
  <c r="BE136" i="12" a="1"/>
  <c r="BE136" i="12"/>
  <c r="BE137" i="12" a="1"/>
  <c r="BE137" i="12" s="1"/>
  <c r="BE138" i="12" a="1"/>
  <c r="BE138" i="12" s="1"/>
  <c r="BE139" i="12" a="1"/>
  <c r="BE139" i="12" s="1"/>
  <c r="BE140" i="12" a="1"/>
  <c r="BE140" i="12" s="1"/>
  <c r="BE141" i="12" a="1"/>
  <c r="BE141" i="12" s="1"/>
  <c r="BE142" i="12" a="1"/>
  <c r="BE142" i="12"/>
  <c r="BE143" i="12" a="1"/>
  <c r="BE143" i="12" s="1"/>
  <c r="BE144" i="12" a="1"/>
  <c r="BE144" i="12" s="1"/>
  <c r="BE145" i="12" a="1"/>
  <c r="BE145" i="12" s="1"/>
  <c r="BE146" i="12" a="1"/>
  <c r="BE146" i="12" s="1"/>
  <c r="BE147" i="12" a="1"/>
  <c r="BE147" i="12" s="1"/>
  <c r="BE148" i="12" a="1"/>
  <c r="BE148" i="12"/>
  <c r="BE149" i="12" a="1"/>
  <c r="BE149" i="12" s="1"/>
  <c r="BE150" i="12" a="1"/>
  <c r="BE150" i="12" s="1"/>
  <c r="BE151" i="12" a="1"/>
  <c r="BE151" i="12" s="1"/>
  <c r="BE152" i="12" a="1"/>
  <c r="BE152" i="12" s="1"/>
  <c r="BE153" i="12" a="1"/>
  <c r="BE153" i="12" s="1"/>
  <c r="BE154" i="12" a="1"/>
  <c r="BE154" i="12"/>
  <c r="BE155" i="12" a="1"/>
  <c r="BE155" i="12" s="1"/>
  <c r="BE156" i="12" a="1"/>
  <c r="BE156" i="12" s="1"/>
  <c r="BE157" i="12" a="1"/>
  <c r="BE157" i="12" s="1"/>
  <c r="BE158" i="12" a="1"/>
  <c r="BE158" i="12" s="1"/>
  <c r="BE159" i="12" a="1"/>
  <c r="BE159" i="12" s="1"/>
  <c r="BE160" i="12" a="1"/>
  <c r="BE160" i="12"/>
  <c r="BE161" i="12" a="1"/>
  <c r="BE161" i="12" s="1"/>
  <c r="BE162" i="12" a="1"/>
  <c r="BE162" i="12" s="1"/>
  <c r="BE163" i="12" a="1"/>
  <c r="BE163" i="12" s="1"/>
  <c r="BE164" i="12" a="1"/>
  <c r="BE164" i="12" s="1"/>
  <c r="BE165" i="12" a="1"/>
  <c r="BE165" i="12" s="1"/>
  <c r="BE166" i="12" a="1"/>
  <c r="BE166" i="12"/>
  <c r="BE167" i="12" a="1"/>
  <c r="BE167" i="12" s="1"/>
  <c r="BE168" i="12" a="1"/>
  <c r="BE168" i="12" s="1"/>
  <c r="BE169" i="12" a="1"/>
  <c r="BE169" i="12" s="1"/>
  <c r="BE170" i="12" a="1"/>
  <c r="BE170" i="12" s="1"/>
  <c r="BE171" i="12" a="1"/>
  <c r="BE171" i="12" s="1"/>
  <c r="BE172" i="12" a="1"/>
  <c r="BE172" i="12"/>
  <c r="BE173" i="12" a="1"/>
  <c r="BE173" i="12" s="1"/>
  <c r="BE174" i="12" a="1"/>
  <c r="BE174" i="12" s="1"/>
  <c r="BE175" i="12" a="1"/>
  <c r="BE175" i="12" s="1"/>
  <c r="BE176" i="12" a="1"/>
  <c r="BE176" i="12" s="1"/>
  <c r="BE177" i="12" a="1"/>
  <c r="BE177" i="12" s="1"/>
  <c r="BE178" i="12" a="1"/>
  <c r="BE178" i="12"/>
  <c r="BE179" i="12" a="1"/>
  <c r="BE179" i="12" s="1"/>
  <c r="BE180" i="12" a="1"/>
  <c r="BE180" i="12" s="1"/>
  <c r="BE181" i="12" a="1"/>
  <c r="BE181" i="12" s="1"/>
  <c r="BE182" i="12" a="1"/>
  <c r="BE182" i="12" s="1"/>
  <c r="BE183" i="12" a="1"/>
  <c r="BE183" i="12" s="1"/>
  <c r="BE184" i="12" a="1"/>
  <c r="BE184" i="12"/>
  <c r="BE185" i="12" a="1"/>
  <c r="BE185" i="12" s="1"/>
  <c r="BE186" i="12" a="1"/>
  <c r="BE186" i="12" s="1"/>
  <c r="BE187" i="12" a="1"/>
  <c r="BE187" i="12" s="1"/>
  <c r="BE188" i="12" a="1"/>
  <c r="BE188" i="12" s="1"/>
  <c r="BE189" i="12" a="1"/>
  <c r="BE189" i="12" s="1"/>
  <c r="BE190" i="12" a="1"/>
  <c r="BE190" i="12"/>
  <c r="BE191" i="12" a="1"/>
  <c r="BE191" i="12" s="1"/>
  <c r="BE192" i="12" a="1"/>
  <c r="BE192" i="12" s="1"/>
  <c r="BE193" i="12" a="1"/>
  <c r="BE193" i="12" s="1"/>
  <c r="BE194" i="12" a="1"/>
  <c r="BE194" i="12" s="1"/>
  <c r="BE195" i="12" a="1"/>
  <c r="BE195" i="12" s="1"/>
  <c r="BE196" i="12" a="1"/>
  <c r="BE196" i="12"/>
  <c r="BE197" i="12" a="1"/>
  <c r="BE197" i="12" s="1"/>
  <c r="BE198" i="12" a="1"/>
  <c r="BE198" i="12" s="1"/>
  <c r="BE199" i="12" a="1"/>
  <c r="BE199" i="12" s="1"/>
  <c r="BE200" i="12" a="1"/>
  <c r="BE200" i="12" s="1"/>
  <c r="BE201" i="12" a="1"/>
  <c r="BE201" i="12" s="1"/>
  <c r="BE202" i="12" a="1"/>
  <c r="BE202" i="12"/>
  <c r="BE203" i="12" a="1"/>
  <c r="BE203" i="12" s="1"/>
  <c r="BE204" i="12" a="1"/>
  <c r="BE204" i="12" s="1"/>
  <c r="BE205" i="12" a="1"/>
  <c r="BE205" i="12" s="1"/>
  <c r="BE206" i="12" a="1"/>
  <c r="BE206" i="12" s="1"/>
  <c r="BE207" i="12" a="1"/>
  <c r="BE207" i="12" s="1"/>
  <c r="BE208" i="12" a="1"/>
  <c r="BE208" i="12"/>
  <c r="BE209" i="12" a="1"/>
  <c r="BE209" i="12" s="1"/>
  <c r="BE210" i="12" a="1"/>
  <c r="BE210" i="12" s="1"/>
  <c r="BE211" i="12" a="1"/>
  <c r="BE211" i="12" s="1"/>
  <c r="BE212" i="12" a="1"/>
  <c r="BE212" i="12" s="1"/>
  <c r="BE213" i="12" a="1"/>
  <c r="BE213" i="12" s="1"/>
  <c r="BE214" i="12" a="1"/>
  <c r="BE214" i="12"/>
  <c r="BE215" i="12" a="1"/>
  <c r="BE215" i="12" s="1"/>
  <c r="BE216" i="12" a="1"/>
  <c r="BE216" i="12" s="1"/>
  <c r="BE217" i="12" a="1"/>
  <c r="BE217" i="12" s="1"/>
  <c r="BE218" i="12" a="1"/>
  <c r="BE218" i="12" s="1"/>
  <c r="BE219" i="12" a="1"/>
  <c r="BE219" i="12" s="1"/>
  <c r="BE220" i="12" a="1"/>
  <c r="BE220" i="12"/>
  <c r="BE221" i="12" a="1"/>
  <c r="BE221" i="12" s="1"/>
  <c r="BE222" i="12" a="1"/>
  <c r="BE222" i="12" s="1"/>
  <c r="BE223" i="12" a="1"/>
  <c r="BE223" i="12" s="1"/>
  <c r="BE224" i="12" a="1"/>
  <c r="BE224" i="12" s="1"/>
  <c r="BE225" i="12" a="1"/>
  <c r="BE225" i="12" s="1"/>
  <c r="BE226" i="12" a="1"/>
  <c r="BE226" i="12"/>
  <c r="BE227" i="12" a="1"/>
  <c r="BE227" i="12" s="1"/>
  <c r="BE228" i="12" a="1"/>
  <c r="BE228" i="12" s="1"/>
  <c r="BE229" i="12" a="1"/>
  <c r="BE229" i="12" s="1"/>
  <c r="BE230" i="12" a="1"/>
  <c r="BE230" i="12" s="1"/>
  <c r="BE231" i="12" a="1"/>
  <c r="BE231" i="12" s="1"/>
  <c r="BE232" i="12" a="1"/>
  <c r="BE232" i="12"/>
  <c r="BE233" i="12" a="1"/>
  <c r="BE233" i="12" s="1"/>
  <c r="BE234" i="12" a="1"/>
  <c r="BE234" i="12" s="1"/>
  <c r="BE235" i="12" a="1"/>
  <c r="BE235" i="12" s="1"/>
  <c r="BE4" i="12" a="1"/>
  <c r="BE4" i="12" s="1"/>
  <c r="BD5" i="12" a="1"/>
  <c r="BD5" i="12" s="1"/>
  <c r="BD6" i="12" a="1"/>
  <c r="BD6" i="12" s="1"/>
  <c r="BD7" i="12" a="1"/>
  <c r="BD7" i="12" s="1"/>
  <c r="BD8" i="12" a="1"/>
  <c r="BD8" i="12" s="1"/>
  <c r="BD9" i="12" a="1"/>
  <c r="BD9" i="12" s="1"/>
  <c r="BD10" i="12" a="1"/>
  <c r="BD10" i="12"/>
  <c r="BD11" i="12" a="1"/>
  <c r="BD11" i="12" s="1"/>
  <c r="BD12" i="12" a="1"/>
  <c r="BD12" i="12" s="1"/>
  <c r="BD13" i="12" a="1"/>
  <c r="BD13" i="12" s="1"/>
  <c r="BD14" i="12" a="1"/>
  <c r="BD14" i="12" s="1"/>
  <c r="BD15" i="12" a="1"/>
  <c r="BD15" i="12" s="1"/>
  <c r="BD16" i="12" a="1"/>
  <c r="BD16" i="12"/>
  <c r="BD17" i="12" a="1"/>
  <c r="BD17" i="12" s="1"/>
  <c r="BD18" i="12" a="1"/>
  <c r="BD18" i="12" s="1"/>
  <c r="BD19" i="12" a="1"/>
  <c r="BD19" i="12" s="1"/>
  <c r="BD20" i="12" a="1"/>
  <c r="BD20" i="12" s="1"/>
  <c r="BD21" i="12" a="1"/>
  <c r="BD21" i="12" s="1"/>
  <c r="BD22" i="12" a="1"/>
  <c r="BD22" i="12"/>
  <c r="BD23" i="12" a="1"/>
  <c r="BD23" i="12" s="1"/>
  <c r="BD24" i="12" a="1"/>
  <c r="BD24" i="12" s="1"/>
  <c r="BD25" i="12" a="1"/>
  <c r="BD25" i="12" s="1"/>
  <c r="BD26" i="12" a="1"/>
  <c r="BD26" i="12" s="1"/>
  <c r="BD27" i="12" a="1"/>
  <c r="BD27" i="12" s="1"/>
  <c r="BD28" i="12" a="1"/>
  <c r="BD28" i="12"/>
  <c r="BD29" i="12" a="1"/>
  <c r="BD29" i="12" s="1"/>
  <c r="BD30" i="12" a="1"/>
  <c r="BD30" i="12" s="1"/>
  <c r="BD31" i="12" a="1"/>
  <c r="BD31" i="12" s="1"/>
  <c r="BD32" i="12" a="1"/>
  <c r="BD32" i="12" s="1"/>
  <c r="BD33" i="12" a="1"/>
  <c r="BD33" i="12" s="1"/>
  <c r="BD34" i="12" a="1"/>
  <c r="BD34" i="12"/>
  <c r="BD35" i="12" a="1"/>
  <c r="BD35" i="12" s="1"/>
  <c r="BD36" i="12" a="1"/>
  <c r="BD36" i="12" s="1"/>
  <c r="BD37" i="12" a="1"/>
  <c r="BD37" i="12" s="1"/>
  <c r="BD38" i="12" a="1"/>
  <c r="BD38" i="12" s="1"/>
  <c r="BD39" i="12" a="1"/>
  <c r="BD39" i="12" s="1"/>
  <c r="BD40" i="12" a="1"/>
  <c r="BD40" i="12"/>
  <c r="BD41" i="12" a="1"/>
  <c r="BD41" i="12" s="1"/>
  <c r="BD42" i="12" a="1"/>
  <c r="BD42" i="12" s="1"/>
  <c r="BD43" i="12" a="1"/>
  <c r="BD43" i="12" s="1"/>
  <c r="BD44" i="12" a="1"/>
  <c r="BD44" i="12" s="1"/>
  <c r="BD45" i="12" a="1"/>
  <c r="BD45" i="12" s="1"/>
  <c r="BD46" i="12" a="1"/>
  <c r="BD46" i="12"/>
  <c r="BD47" i="12" a="1"/>
  <c r="BD47" i="12" s="1"/>
  <c r="BD48" i="12" a="1"/>
  <c r="BD48" i="12" s="1"/>
  <c r="BD49" i="12" a="1"/>
  <c r="BD49" i="12" s="1"/>
  <c r="BD50" i="12" a="1"/>
  <c r="BD50" i="12" s="1"/>
  <c r="BD51" i="12" a="1"/>
  <c r="BD51" i="12" s="1"/>
  <c r="BD52" i="12" a="1"/>
  <c r="BD52" i="12"/>
  <c r="BD53" i="12" a="1"/>
  <c r="BD53" i="12" s="1"/>
  <c r="BD54" i="12" a="1"/>
  <c r="BD54" i="12" s="1"/>
  <c r="BD55" i="12" a="1"/>
  <c r="BD55" i="12" s="1"/>
  <c r="BD56" i="12" a="1"/>
  <c r="BD56" i="12" s="1"/>
  <c r="BD57" i="12" a="1"/>
  <c r="BD57" i="12" s="1"/>
  <c r="BD58" i="12" a="1"/>
  <c r="BD58" i="12"/>
  <c r="BD59" i="12" a="1"/>
  <c r="BD59" i="12" s="1"/>
  <c r="BD60" i="12" a="1"/>
  <c r="BD60" i="12" s="1"/>
  <c r="BD61" i="12" a="1"/>
  <c r="BD61" i="12" s="1"/>
  <c r="BD62" i="12" a="1"/>
  <c r="BD62" i="12" s="1"/>
  <c r="BD63" i="12" a="1"/>
  <c r="BD63" i="12" s="1"/>
  <c r="BD64" i="12" a="1"/>
  <c r="BD64" i="12"/>
  <c r="BD65" i="12" a="1"/>
  <c r="BD65" i="12" s="1"/>
  <c r="BD66" i="12" a="1"/>
  <c r="BD66" i="12" s="1"/>
  <c r="BD67" i="12" a="1"/>
  <c r="BD67" i="12" s="1"/>
  <c r="BD68" i="12" a="1"/>
  <c r="BD68" i="12" s="1"/>
  <c r="BD69" i="12" a="1"/>
  <c r="BD69" i="12" s="1"/>
  <c r="BD70" i="12" a="1"/>
  <c r="BD70" i="12"/>
  <c r="BD71" i="12" a="1"/>
  <c r="BD71" i="12" s="1"/>
  <c r="BD72" i="12" a="1"/>
  <c r="BD72" i="12" s="1"/>
  <c r="BD73" i="12" a="1"/>
  <c r="BD73" i="12" s="1"/>
  <c r="BD74" i="12" a="1"/>
  <c r="BD74" i="12" s="1"/>
  <c r="BD75" i="12" a="1"/>
  <c r="BD75" i="12" s="1"/>
  <c r="BD76" i="12" a="1"/>
  <c r="BD76" i="12"/>
  <c r="BD77" i="12" a="1"/>
  <c r="BD77" i="12" s="1"/>
  <c r="BD78" i="12" a="1"/>
  <c r="BD78" i="12" s="1"/>
  <c r="BD79" i="12" a="1"/>
  <c r="BD79" i="12" s="1"/>
  <c r="BD80" i="12" a="1"/>
  <c r="BD80" i="12" s="1"/>
  <c r="BD81" i="12" a="1"/>
  <c r="BD81" i="12" s="1"/>
  <c r="BD82" i="12" a="1"/>
  <c r="BD82" i="12"/>
  <c r="BD83" i="12" a="1"/>
  <c r="BD83" i="12" s="1"/>
  <c r="BD84" i="12" a="1"/>
  <c r="BD84" i="12" s="1"/>
  <c r="BD85" i="12" a="1"/>
  <c r="BD85" i="12" s="1"/>
  <c r="BD86" i="12" a="1"/>
  <c r="BD86" i="12" s="1"/>
  <c r="BD87" i="12" a="1"/>
  <c r="BD87" i="12" s="1"/>
  <c r="BD88" i="12" a="1"/>
  <c r="BD88" i="12"/>
  <c r="BD89" i="12" a="1"/>
  <c r="BD89" i="12" s="1"/>
  <c r="BD90" i="12" a="1"/>
  <c r="BD90" i="12" s="1"/>
  <c r="BD91" i="12" a="1"/>
  <c r="BD91" i="12" s="1"/>
  <c r="BD92" i="12" a="1"/>
  <c r="BD92" i="12" s="1"/>
  <c r="BD93" i="12" a="1"/>
  <c r="BD93" i="12" s="1"/>
  <c r="BD94" i="12" a="1"/>
  <c r="BD94" i="12"/>
  <c r="BD95" i="12" a="1"/>
  <c r="BD95" i="12" s="1"/>
  <c r="BD96" i="12" a="1"/>
  <c r="BD96" i="12" s="1"/>
  <c r="BD97" i="12" a="1"/>
  <c r="BD97" i="12" s="1"/>
  <c r="BD98" i="12" a="1"/>
  <c r="BD98" i="12" s="1"/>
  <c r="BD99" i="12" a="1"/>
  <c r="BD99" i="12" s="1"/>
  <c r="BD100" i="12" a="1"/>
  <c r="BD100" i="12"/>
  <c r="BD101" i="12" a="1"/>
  <c r="BD101" i="12" s="1"/>
  <c r="BD102" i="12" a="1"/>
  <c r="BD102" i="12" s="1"/>
  <c r="BD103" i="12" a="1"/>
  <c r="BD103" i="12" s="1"/>
  <c r="BD104" i="12" a="1"/>
  <c r="BD104" i="12" s="1"/>
  <c r="BD105" i="12" a="1"/>
  <c r="BD105" i="12" s="1"/>
  <c r="BD106" i="12" a="1"/>
  <c r="BD106" i="12"/>
  <c r="BD107" i="12" a="1"/>
  <c r="BD107" i="12" s="1"/>
  <c r="BD108" i="12" a="1"/>
  <c r="BD108" i="12" s="1"/>
  <c r="BD109" i="12" a="1"/>
  <c r="BD109" i="12" s="1"/>
  <c r="BD110" i="12" a="1"/>
  <c r="BD110" i="12" s="1"/>
  <c r="BD111" i="12" a="1"/>
  <c r="BD111" i="12" s="1"/>
  <c r="BD112" i="12" a="1"/>
  <c r="BD112" i="12"/>
  <c r="BD113" i="12" a="1"/>
  <c r="BD113" i="12" s="1"/>
  <c r="BD114" i="12" a="1"/>
  <c r="BD114" i="12" s="1"/>
  <c r="BD115" i="12" a="1"/>
  <c r="BD115" i="12" s="1"/>
  <c r="BD116" i="12" a="1"/>
  <c r="BD116" i="12" s="1"/>
  <c r="BD117" i="12" a="1"/>
  <c r="BD117" i="12" s="1"/>
  <c r="BD118" i="12" a="1"/>
  <c r="BD118" i="12"/>
  <c r="BD119" i="12" a="1"/>
  <c r="BD119" i="12" s="1"/>
  <c r="BD120" i="12" a="1"/>
  <c r="BD120" i="12" s="1"/>
  <c r="BD121" i="12" a="1"/>
  <c r="BD121" i="12" s="1"/>
  <c r="BD122" i="12" a="1"/>
  <c r="BD122" i="12" s="1"/>
  <c r="BD123" i="12" a="1"/>
  <c r="BD123" i="12" s="1"/>
  <c r="BD124" i="12" a="1"/>
  <c r="BD124" i="12"/>
  <c r="BD125" i="12" a="1"/>
  <c r="BD125" i="12" s="1"/>
  <c r="BD126" i="12" a="1"/>
  <c r="BD126" i="12" s="1"/>
  <c r="BD127" i="12" a="1"/>
  <c r="BD127" i="12" s="1"/>
  <c r="BD128" i="12" a="1"/>
  <c r="BD128" i="12" s="1"/>
  <c r="BD129" i="12" a="1"/>
  <c r="BD129" i="12" s="1"/>
  <c r="BD130" i="12" a="1"/>
  <c r="BD130" i="12"/>
  <c r="BD131" i="12" a="1"/>
  <c r="BD131" i="12" s="1"/>
  <c r="BD132" i="12" a="1"/>
  <c r="BD132" i="12" s="1"/>
  <c r="BD133" i="12" a="1"/>
  <c r="BD133" i="12" s="1"/>
  <c r="BD134" i="12" a="1"/>
  <c r="BD134" i="12" s="1"/>
  <c r="BD135" i="12" a="1"/>
  <c r="BD135" i="12" s="1"/>
  <c r="BD136" i="12" a="1"/>
  <c r="BD136" i="12"/>
  <c r="BD137" i="12" a="1"/>
  <c r="BD137" i="12" s="1"/>
  <c r="BD138" i="12" a="1"/>
  <c r="BD138" i="12" s="1"/>
  <c r="BD139" i="12" a="1"/>
  <c r="BD139" i="12" s="1"/>
  <c r="BD140" i="12" a="1"/>
  <c r="BD140" i="12" s="1"/>
  <c r="BD141" i="12" a="1"/>
  <c r="BD141" i="12" s="1"/>
  <c r="BD142" i="12" a="1"/>
  <c r="BD142" i="12"/>
  <c r="BD143" i="12" a="1"/>
  <c r="BD143" i="12" s="1"/>
  <c r="BD144" i="12" a="1"/>
  <c r="BD144" i="12" s="1"/>
  <c r="BD145" i="12" a="1"/>
  <c r="BD145" i="12" s="1"/>
  <c r="BD146" i="12" a="1"/>
  <c r="BD146" i="12" s="1"/>
  <c r="BD147" i="12" a="1"/>
  <c r="BD147" i="12" s="1"/>
  <c r="BD148" i="12" a="1"/>
  <c r="BD148" i="12"/>
  <c r="BD149" i="12" a="1"/>
  <c r="BD149" i="12" s="1"/>
  <c r="BD150" i="12" a="1"/>
  <c r="BD150" i="12" s="1"/>
  <c r="BD151" i="12" a="1"/>
  <c r="BD151" i="12" s="1"/>
  <c r="BD152" i="12" a="1"/>
  <c r="BD152" i="12" s="1"/>
  <c r="BD153" i="12" a="1"/>
  <c r="BD153" i="12" s="1"/>
  <c r="BD154" i="12" a="1"/>
  <c r="BD154" i="12"/>
  <c r="BD155" i="12" a="1"/>
  <c r="BD155" i="12" s="1"/>
  <c r="BD156" i="12" a="1"/>
  <c r="BD156" i="12" s="1"/>
  <c r="BD157" i="12" a="1"/>
  <c r="BD157" i="12" s="1"/>
  <c r="BD158" i="12" a="1"/>
  <c r="BD158" i="12" s="1"/>
  <c r="BD159" i="12" a="1"/>
  <c r="BD159" i="12" s="1"/>
  <c r="BD160" i="12" a="1"/>
  <c r="BD160" i="12"/>
  <c r="BD161" i="12" a="1"/>
  <c r="BD161" i="12" s="1"/>
  <c r="BD162" i="12" a="1"/>
  <c r="BD162" i="12" s="1"/>
  <c r="BD163" i="12" a="1"/>
  <c r="BD163" i="12" s="1"/>
  <c r="BD164" i="12" a="1"/>
  <c r="BD164" i="12" s="1"/>
  <c r="BD165" i="12" a="1"/>
  <c r="BD165" i="12" s="1"/>
  <c r="BD166" i="12" a="1"/>
  <c r="BD166" i="12"/>
  <c r="BD167" i="12" a="1"/>
  <c r="BD167" i="12" s="1"/>
  <c r="BD168" i="12" a="1"/>
  <c r="BD168" i="12" s="1"/>
  <c r="BD169" i="12" a="1"/>
  <c r="BD169" i="12" s="1"/>
  <c r="BD170" i="12" a="1"/>
  <c r="BD170" i="12" s="1"/>
  <c r="BD171" i="12" a="1"/>
  <c r="BD171" i="12" s="1"/>
  <c r="BD172" i="12" a="1"/>
  <c r="BD172" i="12"/>
  <c r="BD173" i="12" a="1"/>
  <c r="BD173" i="12" s="1"/>
  <c r="BD174" i="12" a="1"/>
  <c r="BD174" i="12" s="1"/>
  <c r="BD175" i="12" a="1"/>
  <c r="BD175" i="12" s="1"/>
  <c r="BD176" i="12" a="1"/>
  <c r="BD176" i="12" s="1"/>
  <c r="BD177" i="12" a="1"/>
  <c r="BD177" i="12" s="1"/>
  <c r="BD178" i="12" a="1"/>
  <c r="BD178" i="12"/>
  <c r="BD179" i="12" a="1"/>
  <c r="BD179" i="12" s="1"/>
  <c r="BD180" i="12" a="1"/>
  <c r="BD180" i="12" s="1"/>
  <c r="BD181" i="12" a="1"/>
  <c r="BD181" i="12" s="1"/>
  <c r="BD182" i="12" a="1"/>
  <c r="BD182" i="12" s="1"/>
  <c r="BD183" i="12" a="1"/>
  <c r="BD183" i="12" s="1"/>
  <c r="BD184" i="12" a="1"/>
  <c r="BD184" i="12"/>
  <c r="BD185" i="12" a="1"/>
  <c r="BD185" i="12" s="1"/>
  <c r="BD186" i="12" a="1"/>
  <c r="BD186" i="12" s="1"/>
  <c r="BD187" i="12" a="1"/>
  <c r="BD187" i="12" s="1"/>
  <c r="BD188" i="12" a="1"/>
  <c r="BD188" i="12" s="1"/>
  <c r="BD189" i="12" a="1"/>
  <c r="BD189" i="12" s="1"/>
  <c r="BD190" i="12" a="1"/>
  <c r="BD190" i="12"/>
  <c r="BD191" i="12" a="1"/>
  <c r="BD191" i="12" s="1"/>
  <c r="BD192" i="12" a="1"/>
  <c r="BD192" i="12" s="1"/>
  <c r="BD193" i="12" a="1"/>
  <c r="BD193" i="12" s="1"/>
  <c r="BD194" i="12" a="1"/>
  <c r="BD194" i="12" s="1"/>
  <c r="BD195" i="12" a="1"/>
  <c r="BD195" i="12" s="1"/>
  <c r="BD196" i="12" a="1"/>
  <c r="BD196" i="12"/>
  <c r="BD197" i="12" a="1"/>
  <c r="BD197" i="12" s="1"/>
  <c r="BD198" i="12" a="1"/>
  <c r="BD198" i="12" s="1"/>
  <c r="BD199" i="12" a="1"/>
  <c r="BD199" i="12" s="1"/>
  <c r="BD200" i="12" a="1"/>
  <c r="BD200" i="12" s="1"/>
  <c r="BD201" i="12" a="1"/>
  <c r="BD201" i="12" s="1"/>
  <c r="BD202" i="12" a="1"/>
  <c r="BD202" i="12"/>
  <c r="BD203" i="12" a="1"/>
  <c r="BD203" i="12" s="1"/>
  <c r="BD204" i="12" a="1"/>
  <c r="BD204" i="12" s="1"/>
  <c r="BD205" i="12" a="1"/>
  <c r="BD205" i="12" s="1"/>
  <c r="BD206" i="12" a="1"/>
  <c r="BD206" i="12" s="1"/>
  <c r="BD207" i="12" a="1"/>
  <c r="BD207" i="12" s="1"/>
  <c r="BD208" i="12" a="1"/>
  <c r="BD208" i="12"/>
  <c r="BD209" i="12" a="1"/>
  <c r="BD209" i="12" s="1"/>
  <c r="BD210" i="12" a="1"/>
  <c r="BD210" i="12" s="1"/>
  <c r="BD211" i="12" a="1"/>
  <c r="BD211" i="12" s="1"/>
  <c r="BD212" i="12" a="1"/>
  <c r="BD212" i="12" s="1"/>
  <c r="BD213" i="12" a="1"/>
  <c r="BD213" i="12" s="1"/>
  <c r="BD214" i="12" a="1"/>
  <c r="BD214" i="12"/>
  <c r="BD215" i="12" a="1"/>
  <c r="BD215" i="12" s="1"/>
  <c r="BD216" i="12" a="1"/>
  <c r="BD216" i="12" s="1"/>
  <c r="BD217" i="12" a="1"/>
  <c r="BD217" i="12" s="1"/>
  <c r="BD218" i="12" a="1"/>
  <c r="BD218" i="12" s="1"/>
  <c r="BD219" i="12" a="1"/>
  <c r="BD219" i="12" s="1"/>
  <c r="BD220" i="12" a="1"/>
  <c r="BD220" i="12"/>
  <c r="BD221" i="12" a="1"/>
  <c r="BD221" i="12" s="1"/>
  <c r="BD222" i="12" a="1"/>
  <c r="BD222" i="12" s="1"/>
  <c r="BD223" i="12" a="1"/>
  <c r="BD223" i="12" s="1"/>
  <c r="BD224" i="12" a="1"/>
  <c r="BD224" i="12" s="1"/>
  <c r="BD225" i="12" a="1"/>
  <c r="BD225" i="12" s="1"/>
  <c r="BD226" i="12" a="1"/>
  <c r="BD226" i="12"/>
  <c r="BD227" i="12" a="1"/>
  <c r="BD227" i="12" s="1"/>
  <c r="BD228" i="12" a="1"/>
  <c r="BD228" i="12" s="1"/>
  <c r="BD229" i="12" a="1"/>
  <c r="BD229" i="12" s="1"/>
  <c r="BD230" i="12" a="1"/>
  <c r="BD230" i="12" s="1"/>
  <c r="BD231" i="12" a="1"/>
  <c r="BD231" i="12" s="1"/>
  <c r="BD232" i="12" a="1"/>
  <c r="BD232" i="12"/>
  <c r="BD233" i="12" a="1"/>
  <c r="BD233" i="12" s="1"/>
  <c r="BD234" i="12" a="1"/>
  <c r="BD234" i="12" s="1"/>
  <c r="BD235" i="12" a="1"/>
  <c r="BD235" i="12" s="1"/>
  <c r="BD4" i="12" a="1"/>
  <c r="BD4" i="12" s="1"/>
  <c r="BC5" i="12" a="1"/>
  <c r="BC5" i="12" s="1"/>
  <c r="BC6" i="12" a="1"/>
  <c r="BC6" i="12" s="1"/>
  <c r="BC7" i="12" a="1"/>
  <c r="BC7" i="12" s="1"/>
  <c r="BC8" i="12" a="1"/>
  <c r="BC8" i="12" s="1"/>
  <c r="BC9" i="12" a="1"/>
  <c r="BC9" i="12" s="1"/>
  <c r="BC10" i="12" a="1"/>
  <c r="BC10" i="12"/>
  <c r="BC11" i="12" a="1"/>
  <c r="BC11" i="12" s="1"/>
  <c r="BC12" i="12" a="1"/>
  <c r="BC12" i="12" s="1"/>
  <c r="BC13" i="12" a="1"/>
  <c r="BC13" i="12" s="1"/>
  <c r="BC14" i="12" a="1"/>
  <c r="BC14" i="12" s="1"/>
  <c r="BC15" i="12" a="1"/>
  <c r="BC15" i="12" s="1"/>
  <c r="BC16" i="12" a="1"/>
  <c r="BC16" i="12"/>
  <c r="BC17" i="12" a="1"/>
  <c r="BC17" i="12" s="1"/>
  <c r="BC18" i="12" a="1"/>
  <c r="BC18" i="12" s="1"/>
  <c r="BC19" i="12" a="1"/>
  <c r="BC19" i="12" s="1"/>
  <c r="BC20" i="12" a="1"/>
  <c r="BC20" i="12" s="1"/>
  <c r="BC21" i="12" a="1"/>
  <c r="BC21" i="12" s="1"/>
  <c r="BC22" i="12" a="1"/>
  <c r="BC22" i="12"/>
  <c r="BC23" i="12" a="1"/>
  <c r="BC23" i="12" s="1"/>
  <c r="BC24" i="12" a="1"/>
  <c r="BC24" i="12" s="1"/>
  <c r="BC25" i="12" a="1"/>
  <c r="BC25" i="12" s="1"/>
  <c r="BC26" i="12" a="1"/>
  <c r="BC26" i="12" s="1"/>
  <c r="BC27" i="12" a="1"/>
  <c r="BC27" i="12" s="1"/>
  <c r="BC28" i="12" a="1"/>
  <c r="BC28" i="12"/>
  <c r="BC29" i="12" a="1"/>
  <c r="BC29" i="12" s="1"/>
  <c r="BC30" i="12" a="1"/>
  <c r="BC30" i="12" s="1"/>
  <c r="BC31" i="12" a="1"/>
  <c r="BC31" i="12" s="1"/>
  <c r="BC32" i="12" a="1"/>
  <c r="BC32" i="12" s="1"/>
  <c r="BC33" i="12" a="1"/>
  <c r="BC33" i="12" s="1"/>
  <c r="BC34" i="12" a="1"/>
  <c r="BC34" i="12"/>
  <c r="BC35" i="12" a="1"/>
  <c r="BC35" i="12" s="1"/>
  <c r="BC36" i="12" a="1"/>
  <c r="BC36" i="12" s="1"/>
  <c r="BC37" i="12" a="1"/>
  <c r="BC37" i="12" s="1"/>
  <c r="BC38" i="12" a="1"/>
  <c r="BC38" i="12" s="1"/>
  <c r="BC39" i="12" a="1"/>
  <c r="BC39" i="12" s="1"/>
  <c r="BC40" i="12" a="1"/>
  <c r="BC40" i="12"/>
  <c r="BC41" i="12" a="1"/>
  <c r="BC41" i="12" s="1"/>
  <c r="BC42" i="12" a="1"/>
  <c r="BC42" i="12" s="1"/>
  <c r="BC43" i="12" a="1"/>
  <c r="BC43" i="12" s="1"/>
  <c r="BC44" i="12" a="1"/>
  <c r="BC44" i="12" s="1"/>
  <c r="BC45" i="12" a="1"/>
  <c r="BC45" i="12" s="1"/>
  <c r="BC46" i="12" a="1"/>
  <c r="BC46" i="12"/>
  <c r="BC47" i="12" a="1"/>
  <c r="BC47" i="12" s="1"/>
  <c r="BC48" i="12" a="1"/>
  <c r="BC48" i="12" s="1"/>
  <c r="BC49" i="12" a="1"/>
  <c r="BC49" i="12" s="1"/>
  <c r="BC50" i="12" a="1"/>
  <c r="BC50" i="12" s="1"/>
  <c r="BC51" i="12" a="1"/>
  <c r="BC51" i="12" s="1"/>
  <c r="BC52" i="12" a="1"/>
  <c r="BC52" i="12"/>
  <c r="BC53" i="12" a="1"/>
  <c r="BC53" i="12" s="1"/>
  <c r="BC54" i="12" a="1"/>
  <c r="BC54" i="12" s="1"/>
  <c r="BC55" i="12" a="1"/>
  <c r="BC55" i="12" s="1"/>
  <c r="BC56" i="12" a="1"/>
  <c r="BC56" i="12" s="1"/>
  <c r="BC57" i="12" a="1"/>
  <c r="BC57" i="12" s="1"/>
  <c r="BC58" i="12" a="1"/>
  <c r="BC58" i="12"/>
  <c r="BC59" i="12" a="1"/>
  <c r="BC59" i="12" s="1"/>
  <c r="BC60" i="12" a="1"/>
  <c r="BC60" i="12" s="1"/>
  <c r="BC61" i="12" a="1"/>
  <c r="BC61" i="12" s="1"/>
  <c r="BC62" i="12" a="1"/>
  <c r="BC62" i="12" s="1"/>
  <c r="BC63" i="12" a="1"/>
  <c r="BC63" i="12" s="1"/>
  <c r="BC64" i="12" a="1"/>
  <c r="BC64" i="12"/>
  <c r="BC65" i="12" a="1"/>
  <c r="BC65" i="12" s="1"/>
  <c r="BC66" i="12" a="1"/>
  <c r="BC66" i="12" s="1"/>
  <c r="BC67" i="12" a="1"/>
  <c r="BC67" i="12" s="1"/>
  <c r="BC68" i="12" a="1"/>
  <c r="BC68" i="12" s="1"/>
  <c r="BC69" i="12" a="1"/>
  <c r="BC69" i="12" s="1"/>
  <c r="BC70" i="12" a="1"/>
  <c r="BC70" i="12"/>
  <c r="BC71" i="12" a="1"/>
  <c r="BC71" i="12" s="1"/>
  <c r="BC72" i="12" a="1"/>
  <c r="BC72" i="12" s="1"/>
  <c r="BC73" i="12" a="1"/>
  <c r="BC73" i="12" s="1"/>
  <c r="BC74" i="12" a="1"/>
  <c r="BC74" i="12" s="1"/>
  <c r="BC75" i="12" a="1"/>
  <c r="BC75" i="12" s="1"/>
  <c r="BC76" i="12" a="1"/>
  <c r="BC76" i="12"/>
  <c r="BC77" i="12" a="1"/>
  <c r="BC77" i="12" s="1"/>
  <c r="BC78" i="12" a="1"/>
  <c r="BC78" i="12" s="1"/>
  <c r="BC79" i="12" a="1"/>
  <c r="BC79" i="12" s="1"/>
  <c r="BC80" i="12" a="1"/>
  <c r="BC80" i="12" s="1"/>
  <c r="BC81" i="12" a="1"/>
  <c r="BC81" i="12" s="1"/>
  <c r="BC82" i="12" a="1"/>
  <c r="BC82" i="12"/>
  <c r="BC83" i="12" a="1"/>
  <c r="BC83" i="12" s="1"/>
  <c r="BC84" i="12" a="1"/>
  <c r="BC84" i="12" s="1"/>
  <c r="BC85" i="12" a="1"/>
  <c r="BC85" i="12" s="1"/>
  <c r="BC86" i="12" a="1"/>
  <c r="BC86" i="12" s="1"/>
  <c r="BC87" i="12" a="1"/>
  <c r="BC87" i="12" s="1"/>
  <c r="BC88" i="12" a="1"/>
  <c r="BC88" i="12"/>
  <c r="BC89" i="12" a="1"/>
  <c r="BC89" i="12" s="1"/>
  <c r="BC90" i="12" a="1"/>
  <c r="BC90" i="12" s="1"/>
  <c r="BC91" i="12" a="1"/>
  <c r="BC91" i="12" s="1"/>
  <c r="BC92" i="12" a="1"/>
  <c r="BC92" i="12" s="1"/>
  <c r="BC93" i="12" a="1"/>
  <c r="BC93" i="12" s="1"/>
  <c r="BC94" i="12" a="1"/>
  <c r="BC94" i="12"/>
  <c r="BC95" i="12" a="1"/>
  <c r="BC95" i="12" s="1"/>
  <c r="BC96" i="12" a="1"/>
  <c r="BC96" i="12" s="1"/>
  <c r="BC97" i="12" a="1"/>
  <c r="BC97" i="12" s="1"/>
  <c r="BC98" i="12" a="1"/>
  <c r="BC98" i="12" s="1"/>
  <c r="BC99" i="12" a="1"/>
  <c r="BC99" i="12" s="1"/>
  <c r="BC100" i="12" a="1"/>
  <c r="BC100" i="12"/>
  <c r="BC101" i="12" a="1"/>
  <c r="BC101" i="12" s="1"/>
  <c r="BC102" i="12" a="1"/>
  <c r="BC102" i="12" s="1"/>
  <c r="BC103" i="12" a="1"/>
  <c r="BC103" i="12" s="1"/>
  <c r="BC104" i="12" a="1"/>
  <c r="BC104" i="12" s="1"/>
  <c r="BC105" i="12" a="1"/>
  <c r="BC105" i="12" s="1"/>
  <c r="BC106" i="12" a="1"/>
  <c r="BC106" i="12"/>
  <c r="BC107" i="12" a="1"/>
  <c r="BC107" i="12" s="1"/>
  <c r="BC108" i="12" a="1"/>
  <c r="BC108" i="12" s="1"/>
  <c r="BC109" i="12" a="1"/>
  <c r="BC109" i="12" s="1"/>
  <c r="BC110" i="12" a="1"/>
  <c r="BC110" i="12" s="1"/>
  <c r="BC111" i="12" a="1"/>
  <c r="BC111" i="12" s="1"/>
  <c r="BC112" i="12" a="1"/>
  <c r="BC112" i="12"/>
  <c r="BC113" i="12" a="1"/>
  <c r="BC113" i="12" s="1"/>
  <c r="BC114" i="12" a="1"/>
  <c r="BC114" i="12" s="1"/>
  <c r="BC115" i="12" a="1"/>
  <c r="BC115" i="12" s="1"/>
  <c r="BC116" i="12" a="1"/>
  <c r="BC116" i="12" s="1"/>
  <c r="BC117" i="12" a="1"/>
  <c r="BC117" i="12" s="1"/>
  <c r="BC118" i="12" a="1"/>
  <c r="BC118" i="12"/>
  <c r="BC119" i="12" a="1"/>
  <c r="BC119" i="12" s="1"/>
  <c r="BC120" i="12" a="1"/>
  <c r="BC120" i="12" s="1"/>
  <c r="BC121" i="12" a="1"/>
  <c r="BC121" i="12" s="1"/>
  <c r="BC122" i="12" a="1"/>
  <c r="BC122" i="12" s="1"/>
  <c r="BC123" i="12" a="1"/>
  <c r="BC123" i="12" s="1"/>
  <c r="BC124" i="12" a="1"/>
  <c r="BC124" i="12"/>
  <c r="BC125" i="12" a="1"/>
  <c r="BC125" i="12" s="1"/>
  <c r="BC126" i="12" a="1"/>
  <c r="BC126" i="12" s="1"/>
  <c r="BC127" i="12" a="1"/>
  <c r="BC127" i="12" s="1"/>
  <c r="BC128" i="12" a="1"/>
  <c r="BC128" i="12" s="1"/>
  <c r="BC129" i="12" a="1"/>
  <c r="BC129" i="12" s="1"/>
  <c r="BC130" i="12" a="1"/>
  <c r="BC130" i="12"/>
  <c r="BC131" i="12" a="1"/>
  <c r="BC131" i="12" s="1"/>
  <c r="BC132" i="12" a="1"/>
  <c r="BC132" i="12" s="1"/>
  <c r="BC133" i="12" a="1"/>
  <c r="BC133" i="12" s="1"/>
  <c r="BC134" i="12" a="1"/>
  <c r="BC134" i="12" s="1"/>
  <c r="BC135" i="12" a="1"/>
  <c r="BC135" i="12" s="1"/>
  <c r="BC136" i="12" a="1"/>
  <c r="BC136" i="12"/>
  <c r="BC137" i="12" a="1"/>
  <c r="BC137" i="12" s="1"/>
  <c r="BC138" i="12" a="1"/>
  <c r="BC138" i="12" s="1"/>
  <c r="BC139" i="12" a="1"/>
  <c r="BC139" i="12" s="1"/>
  <c r="BC140" i="12" a="1"/>
  <c r="BC140" i="12" s="1"/>
  <c r="BC141" i="12" a="1"/>
  <c r="BC141" i="12" s="1"/>
  <c r="BC142" i="12" a="1"/>
  <c r="BC142" i="12"/>
  <c r="BC143" i="12" a="1"/>
  <c r="BC143" i="12" s="1"/>
  <c r="BC144" i="12" a="1"/>
  <c r="BC144" i="12" s="1"/>
  <c r="BC145" i="12" a="1"/>
  <c r="BC145" i="12" s="1"/>
  <c r="BC146" i="12" a="1"/>
  <c r="BC146" i="12" s="1"/>
  <c r="BC147" i="12" a="1"/>
  <c r="BC147" i="12" s="1"/>
  <c r="BC148" i="12" a="1"/>
  <c r="BC148" i="12"/>
  <c r="BC149" i="12" a="1"/>
  <c r="BC149" i="12" s="1"/>
  <c r="BC150" i="12" a="1"/>
  <c r="BC150" i="12" s="1"/>
  <c r="BC151" i="12" a="1"/>
  <c r="BC151" i="12" s="1"/>
  <c r="BC152" i="12" a="1"/>
  <c r="BC152" i="12" s="1"/>
  <c r="BC153" i="12" a="1"/>
  <c r="BC153" i="12" s="1"/>
  <c r="BC154" i="12" a="1"/>
  <c r="BC154" i="12"/>
  <c r="BC155" i="12" a="1"/>
  <c r="BC155" i="12" s="1"/>
  <c r="BC156" i="12" a="1"/>
  <c r="BC156" i="12" s="1"/>
  <c r="BC157" i="12" a="1"/>
  <c r="BC157" i="12" s="1"/>
  <c r="BC158" i="12" a="1"/>
  <c r="BC158" i="12" s="1"/>
  <c r="BC159" i="12" a="1"/>
  <c r="BC159" i="12" s="1"/>
  <c r="BC160" i="12" a="1"/>
  <c r="BC160" i="12"/>
  <c r="BC161" i="12" a="1"/>
  <c r="BC161" i="12" s="1"/>
  <c r="BC162" i="12" a="1"/>
  <c r="BC162" i="12" s="1"/>
  <c r="BC163" i="12" a="1"/>
  <c r="BC163" i="12" s="1"/>
  <c r="BC164" i="12" a="1"/>
  <c r="BC164" i="12" s="1"/>
  <c r="BC165" i="12" a="1"/>
  <c r="BC165" i="12" s="1"/>
  <c r="BC166" i="12" a="1"/>
  <c r="BC166" i="12"/>
  <c r="BC167" i="12" a="1"/>
  <c r="BC167" i="12" s="1"/>
  <c r="BC168" i="12" a="1"/>
  <c r="BC168" i="12" s="1"/>
  <c r="BC169" i="12" a="1"/>
  <c r="BC169" i="12" s="1"/>
  <c r="BC170" i="12" a="1"/>
  <c r="BC170" i="12" s="1"/>
  <c r="BC171" i="12" a="1"/>
  <c r="BC171" i="12" s="1"/>
  <c r="BC172" i="12" a="1"/>
  <c r="BC172" i="12"/>
  <c r="BC173" i="12" a="1"/>
  <c r="BC173" i="12" s="1"/>
  <c r="BC174" i="12" a="1"/>
  <c r="BC174" i="12" s="1"/>
  <c r="BC175" i="12" a="1"/>
  <c r="BC175" i="12" s="1"/>
  <c r="BC176" i="12" a="1"/>
  <c r="BC176" i="12" s="1"/>
  <c r="BC177" i="12" a="1"/>
  <c r="BC177" i="12" s="1"/>
  <c r="BC178" i="12" a="1"/>
  <c r="BC178" i="12"/>
  <c r="BC179" i="12" a="1"/>
  <c r="BC179" i="12" s="1"/>
  <c r="BC180" i="12" a="1"/>
  <c r="BC180" i="12" s="1"/>
  <c r="BC181" i="12" a="1"/>
  <c r="BC181" i="12" s="1"/>
  <c r="BC182" i="12" a="1"/>
  <c r="BC182" i="12" s="1"/>
  <c r="BC183" i="12" a="1"/>
  <c r="BC183" i="12" s="1"/>
  <c r="BC184" i="12" a="1"/>
  <c r="BC184" i="12"/>
  <c r="BC185" i="12" a="1"/>
  <c r="BC185" i="12" s="1"/>
  <c r="BC186" i="12" a="1"/>
  <c r="BC186" i="12" s="1"/>
  <c r="BC187" i="12" a="1"/>
  <c r="BC187" i="12" s="1"/>
  <c r="BC188" i="12" a="1"/>
  <c r="BC188" i="12" s="1"/>
  <c r="BC189" i="12" a="1"/>
  <c r="BC189" i="12" s="1"/>
  <c r="BC190" i="12" a="1"/>
  <c r="BC190" i="12"/>
  <c r="BC191" i="12" a="1"/>
  <c r="BC191" i="12" s="1"/>
  <c r="BC192" i="12" a="1"/>
  <c r="BC192" i="12" s="1"/>
  <c r="BC193" i="12" a="1"/>
  <c r="BC193" i="12" s="1"/>
  <c r="BC194" i="12" a="1"/>
  <c r="BC194" i="12" s="1"/>
  <c r="BC195" i="12" a="1"/>
  <c r="BC195" i="12" s="1"/>
  <c r="BC196" i="12" a="1"/>
  <c r="BC196" i="12"/>
  <c r="BC197" i="12" a="1"/>
  <c r="BC197" i="12" s="1"/>
  <c r="BC198" i="12" a="1"/>
  <c r="BC198" i="12" s="1"/>
  <c r="BC199" i="12" a="1"/>
  <c r="BC199" i="12" s="1"/>
  <c r="BC200" i="12" a="1"/>
  <c r="BC200" i="12" s="1"/>
  <c r="BC201" i="12" a="1"/>
  <c r="BC201" i="12" s="1"/>
  <c r="BC202" i="12" a="1"/>
  <c r="BC202" i="12"/>
  <c r="BC203" i="12" a="1"/>
  <c r="BC203" i="12" s="1"/>
  <c r="BC204" i="12" a="1"/>
  <c r="BC204" i="12" s="1"/>
  <c r="BC205" i="12" a="1"/>
  <c r="BC205" i="12" s="1"/>
  <c r="BC206" i="12" a="1"/>
  <c r="BC206" i="12" s="1"/>
  <c r="BC207" i="12" a="1"/>
  <c r="BC207" i="12" s="1"/>
  <c r="BC208" i="12" a="1"/>
  <c r="BC208" i="12"/>
  <c r="BC209" i="12" a="1"/>
  <c r="BC209" i="12" s="1"/>
  <c r="BC210" i="12" a="1"/>
  <c r="BC210" i="12" s="1"/>
  <c r="BC211" i="12" a="1"/>
  <c r="BC211" i="12" s="1"/>
  <c r="BC212" i="12" a="1"/>
  <c r="BC212" i="12" s="1"/>
  <c r="BC213" i="12" a="1"/>
  <c r="BC213" i="12" s="1"/>
  <c r="BC214" i="12" a="1"/>
  <c r="BC214" i="12"/>
  <c r="BC215" i="12" a="1"/>
  <c r="BC215" i="12" s="1"/>
  <c r="BC216" i="12" a="1"/>
  <c r="BC216" i="12" s="1"/>
  <c r="BC217" i="12" a="1"/>
  <c r="BC217" i="12" s="1"/>
  <c r="BC218" i="12" a="1"/>
  <c r="BC218" i="12" s="1"/>
  <c r="BC219" i="12" a="1"/>
  <c r="BC219" i="12" s="1"/>
  <c r="BC220" i="12" a="1"/>
  <c r="BC220" i="12"/>
  <c r="BC221" i="12" a="1"/>
  <c r="BC221" i="12" s="1"/>
  <c r="BC222" i="12" a="1"/>
  <c r="BC222" i="12" s="1"/>
  <c r="BC223" i="12" a="1"/>
  <c r="BC223" i="12" s="1"/>
  <c r="BC224" i="12" a="1"/>
  <c r="BC224" i="12" s="1"/>
  <c r="BC225" i="12" a="1"/>
  <c r="BC225" i="12" s="1"/>
  <c r="BC226" i="12" a="1"/>
  <c r="BC226" i="12"/>
  <c r="BC227" i="12" a="1"/>
  <c r="BC227" i="12" s="1"/>
  <c r="BC228" i="12" a="1"/>
  <c r="BC228" i="12" s="1"/>
  <c r="BC229" i="12" a="1"/>
  <c r="BC229" i="12" s="1"/>
  <c r="BC230" i="12" a="1"/>
  <c r="BC230" i="12" s="1"/>
  <c r="BC231" i="12" a="1"/>
  <c r="BC231" i="12" s="1"/>
  <c r="BC232" i="12" a="1"/>
  <c r="BC232" i="12"/>
  <c r="BC233" i="12" a="1"/>
  <c r="BC233" i="12" s="1"/>
  <c r="BC234" i="12" a="1"/>
  <c r="BC234" i="12" s="1"/>
  <c r="BC235" i="12" a="1"/>
  <c r="BC235" i="12" s="1"/>
  <c r="BB5" i="12"/>
  <c r="BB6" i="12"/>
  <c r="BB7" i="12"/>
  <c r="BB8" i="12"/>
  <c r="BB9" i="12"/>
  <c r="BB10" i="12"/>
  <c r="BB11" i="12"/>
  <c r="BB12" i="12"/>
  <c r="BB13" i="12"/>
  <c r="BB14" i="12"/>
  <c r="BB15" i="12"/>
  <c r="BB16" i="12"/>
  <c r="BB17" i="12"/>
  <c r="BB18" i="12"/>
  <c r="BB19" i="12"/>
  <c r="BB20" i="12"/>
  <c r="BB21" i="12"/>
  <c r="BB22" i="12"/>
  <c r="BB23" i="12"/>
  <c r="BB24" i="12"/>
  <c r="BB25" i="12"/>
  <c r="BB26" i="12"/>
  <c r="BB27" i="12"/>
  <c r="BB28" i="12"/>
  <c r="BB29" i="12"/>
  <c r="BB30" i="12"/>
  <c r="BB31" i="12"/>
  <c r="BB32" i="12"/>
  <c r="BB33" i="12"/>
  <c r="BB34" i="12"/>
  <c r="BB35" i="12"/>
  <c r="BB36" i="12"/>
  <c r="BB37" i="12"/>
  <c r="BB38" i="12"/>
  <c r="BB39" i="12"/>
  <c r="BB40" i="12"/>
  <c r="BB41" i="12"/>
  <c r="BB42" i="12"/>
  <c r="BB43" i="12"/>
  <c r="BB44" i="12"/>
  <c r="BB45" i="12"/>
  <c r="BB46" i="12"/>
  <c r="BB47" i="12"/>
  <c r="BB48" i="12"/>
  <c r="BB49" i="12"/>
  <c r="BB50" i="12"/>
  <c r="BB51" i="12"/>
  <c r="BB52" i="12"/>
  <c r="BB53" i="12"/>
  <c r="BB54" i="12"/>
  <c r="BB55" i="12"/>
  <c r="BB56" i="12"/>
  <c r="BB57" i="12"/>
  <c r="BB58" i="12"/>
  <c r="BB59" i="12"/>
  <c r="BB60" i="12"/>
  <c r="BB61" i="12"/>
  <c r="BB62" i="12"/>
  <c r="BB63" i="12"/>
  <c r="BB64" i="12"/>
  <c r="BB65" i="12"/>
  <c r="BB66" i="12"/>
  <c r="BB67" i="12"/>
  <c r="BB68" i="12"/>
  <c r="BB69" i="12"/>
  <c r="BB70" i="12"/>
  <c r="BB71" i="12"/>
  <c r="BB72" i="12"/>
  <c r="BB73" i="12"/>
  <c r="BB74" i="12"/>
  <c r="BB75" i="12"/>
  <c r="BB76" i="12"/>
  <c r="BB77" i="12"/>
  <c r="BB78" i="12"/>
  <c r="BB79" i="12"/>
  <c r="BB80" i="12"/>
  <c r="BB81" i="12"/>
  <c r="BB82" i="12"/>
  <c r="BB83" i="12"/>
  <c r="BB84" i="12"/>
  <c r="BB85" i="12"/>
  <c r="BB86" i="12"/>
  <c r="BB87" i="12"/>
  <c r="BB88" i="12"/>
  <c r="BB89" i="12"/>
  <c r="BB90" i="12"/>
  <c r="BB91" i="12"/>
  <c r="BB92" i="12"/>
  <c r="BB93" i="12"/>
  <c r="BB94" i="12"/>
  <c r="BB95" i="12"/>
  <c r="BB96" i="12"/>
  <c r="BB97" i="12"/>
  <c r="BB98" i="12"/>
  <c r="BB99" i="12"/>
  <c r="BB100" i="12"/>
  <c r="BB101" i="12"/>
  <c r="BB102" i="12"/>
  <c r="BB103" i="12"/>
  <c r="BB104" i="12"/>
  <c r="BB105" i="12"/>
  <c r="BB106" i="12"/>
  <c r="BB107" i="12"/>
  <c r="BB108" i="12"/>
  <c r="BB109" i="12"/>
  <c r="BB110" i="12"/>
  <c r="BB111" i="12"/>
  <c r="BB112" i="12"/>
  <c r="BB113" i="12"/>
  <c r="BB114" i="12"/>
  <c r="BB115" i="12"/>
  <c r="BB116" i="12"/>
  <c r="BB117" i="12"/>
  <c r="BB118" i="12"/>
  <c r="BB119" i="12"/>
  <c r="BB120" i="12"/>
  <c r="BB121" i="12"/>
  <c r="BB122" i="12"/>
  <c r="BB123" i="12"/>
  <c r="BB124" i="12"/>
  <c r="BB125" i="12"/>
  <c r="BB126" i="12"/>
  <c r="BB127" i="12"/>
  <c r="BB128" i="12"/>
  <c r="BB129" i="12"/>
  <c r="BB130" i="12"/>
  <c r="BB131" i="12"/>
  <c r="BB132" i="12"/>
  <c r="BB133" i="12"/>
  <c r="BB134" i="12"/>
  <c r="BB135" i="12"/>
  <c r="BB136" i="12"/>
  <c r="BB137" i="12"/>
  <c r="BB138" i="12"/>
  <c r="BB139" i="12"/>
  <c r="BB140" i="12"/>
  <c r="BB141" i="12"/>
  <c r="BB142" i="12"/>
  <c r="BB143" i="12"/>
  <c r="BB144" i="12"/>
  <c r="BB145" i="12"/>
  <c r="BB146" i="12"/>
  <c r="BB147" i="12"/>
  <c r="BB148" i="12"/>
  <c r="BB149" i="12"/>
  <c r="BB150" i="12"/>
  <c r="BB151" i="12"/>
  <c r="BB152" i="12"/>
  <c r="BB153" i="12"/>
  <c r="BB154" i="12"/>
  <c r="BB155" i="12"/>
  <c r="BB156" i="12"/>
  <c r="BB157" i="12"/>
  <c r="BB158" i="12"/>
  <c r="BB159" i="12"/>
  <c r="BB160" i="12"/>
  <c r="BB161" i="12"/>
  <c r="BB162" i="12"/>
  <c r="BB163" i="12"/>
  <c r="BB164" i="12"/>
  <c r="BB165" i="12"/>
  <c r="BB166" i="12"/>
  <c r="BB167" i="12"/>
  <c r="BB168" i="12"/>
  <c r="BB169" i="12"/>
  <c r="BB170" i="12"/>
  <c r="BB171" i="12"/>
  <c r="BB172" i="12"/>
  <c r="BB173" i="12"/>
  <c r="BB174" i="12"/>
  <c r="BB175" i="12"/>
  <c r="BB176" i="12"/>
  <c r="BB177" i="12"/>
  <c r="BB178" i="12"/>
  <c r="BB179" i="12"/>
  <c r="BB180" i="12"/>
  <c r="BB181" i="12"/>
  <c r="BB182" i="12"/>
  <c r="BB183" i="12"/>
  <c r="BB184" i="12"/>
  <c r="BB185" i="12"/>
  <c r="BB186" i="12"/>
  <c r="BB187" i="12"/>
  <c r="BB188" i="12"/>
  <c r="BB189" i="12"/>
  <c r="BB190" i="12"/>
  <c r="BB191" i="12"/>
  <c r="BB192" i="12"/>
  <c r="BB193" i="12"/>
  <c r="BB194" i="12"/>
  <c r="BB195" i="12"/>
  <c r="BB196" i="12"/>
  <c r="BB197" i="12"/>
  <c r="BB198" i="12"/>
  <c r="BB199" i="12"/>
  <c r="BB200" i="12"/>
  <c r="BB201" i="12"/>
  <c r="BB202" i="12"/>
  <c r="BB203" i="12"/>
  <c r="BB204" i="12"/>
  <c r="BB205" i="12"/>
  <c r="BB206" i="12"/>
  <c r="BB207" i="12"/>
  <c r="BB208" i="12"/>
  <c r="BB209" i="12"/>
  <c r="BB210" i="12"/>
  <c r="BB211" i="12"/>
  <c r="BB212" i="12"/>
  <c r="BB213" i="12"/>
  <c r="BB214" i="12"/>
  <c r="BB215" i="12"/>
  <c r="BB216" i="12"/>
  <c r="BB217" i="12"/>
  <c r="BB218" i="12"/>
  <c r="BB219" i="12"/>
  <c r="BB220" i="12"/>
  <c r="BB221" i="12"/>
  <c r="BB222" i="12"/>
  <c r="BB223" i="12"/>
  <c r="BB224" i="12"/>
  <c r="BB225" i="12"/>
  <c r="BB226" i="12"/>
  <c r="BB227" i="12"/>
  <c r="BB228" i="12"/>
  <c r="BB229" i="12"/>
  <c r="BB230" i="12"/>
  <c r="BB231" i="12"/>
  <c r="BB232" i="12"/>
  <c r="BB233" i="12"/>
  <c r="BB234" i="12"/>
  <c r="BB235" i="12"/>
  <c r="BA5" i="12" a="1"/>
  <c r="BA5" i="12" s="1"/>
  <c r="BA6" i="12" a="1"/>
  <c r="BA6" i="12" s="1"/>
  <c r="BA7" i="12" a="1"/>
  <c r="BA7" i="12" s="1"/>
  <c r="BA8" i="12" a="1"/>
  <c r="BA8" i="12" s="1"/>
  <c r="BA9" i="12" a="1"/>
  <c r="BA9" i="12" s="1"/>
  <c r="BA10" i="12" a="1"/>
  <c r="BA10" i="12"/>
  <c r="BA11" i="12" a="1"/>
  <c r="BA11" i="12" s="1"/>
  <c r="BA12" i="12" a="1"/>
  <c r="BA12" i="12" s="1"/>
  <c r="BA13" i="12" a="1"/>
  <c r="BA13" i="12" s="1"/>
  <c r="BA14" i="12" a="1"/>
  <c r="BA14" i="12" s="1"/>
  <c r="BA15" i="12" a="1"/>
  <c r="BA15" i="12" s="1"/>
  <c r="BA16" i="12" a="1"/>
  <c r="BA16" i="12"/>
  <c r="BA17" i="12" a="1"/>
  <c r="BA17" i="12" s="1"/>
  <c r="BA18" i="12" a="1"/>
  <c r="BA18" i="12" s="1"/>
  <c r="BA19" i="12" a="1"/>
  <c r="BA19" i="12" s="1"/>
  <c r="BA20" i="12" a="1"/>
  <c r="BA20" i="12" s="1"/>
  <c r="BA21" i="12" a="1"/>
  <c r="BA21" i="12" s="1"/>
  <c r="BA22" i="12" a="1"/>
  <c r="BA22" i="12"/>
  <c r="BA23" i="12" a="1"/>
  <c r="BA23" i="12" s="1"/>
  <c r="BA24" i="12" a="1"/>
  <c r="BA24" i="12" s="1"/>
  <c r="BA25" i="12" a="1"/>
  <c r="BA25" i="12" s="1"/>
  <c r="BA26" i="12" a="1"/>
  <c r="BA26" i="12" s="1"/>
  <c r="BA27" i="12" a="1"/>
  <c r="BA27" i="12" s="1"/>
  <c r="BA28" i="12" a="1"/>
  <c r="BA28" i="12"/>
  <c r="BA29" i="12" a="1"/>
  <c r="BA29" i="12" s="1"/>
  <c r="BA30" i="12" a="1"/>
  <c r="BA30" i="12" s="1"/>
  <c r="BA31" i="12" a="1"/>
  <c r="BA31" i="12" s="1"/>
  <c r="BA32" i="12" a="1"/>
  <c r="BA32" i="12" s="1"/>
  <c r="BA33" i="12" a="1"/>
  <c r="BA33" i="12" s="1"/>
  <c r="BA34" i="12" a="1"/>
  <c r="BA34" i="12"/>
  <c r="BA35" i="12" a="1"/>
  <c r="BA35" i="12" s="1"/>
  <c r="BA36" i="12" a="1"/>
  <c r="BA36" i="12" s="1"/>
  <c r="BA37" i="12" a="1"/>
  <c r="BA37" i="12" s="1"/>
  <c r="BA38" i="12" a="1"/>
  <c r="BA38" i="12" s="1"/>
  <c r="BA39" i="12" a="1"/>
  <c r="BA39" i="12" s="1"/>
  <c r="BA40" i="12" a="1"/>
  <c r="BA40" i="12"/>
  <c r="BA41" i="12" a="1"/>
  <c r="BA41" i="12" s="1"/>
  <c r="BA42" i="12" a="1"/>
  <c r="BA42" i="12" s="1"/>
  <c r="BA43" i="12" a="1"/>
  <c r="BA43" i="12" s="1"/>
  <c r="BA44" i="12" a="1"/>
  <c r="BA44" i="12" s="1"/>
  <c r="BA45" i="12" a="1"/>
  <c r="BA45" i="12" s="1"/>
  <c r="BA46" i="12" a="1"/>
  <c r="BA46" i="12"/>
  <c r="BA47" i="12" a="1"/>
  <c r="BA47" i="12" s="1"/>
  <c r="BA48" i="12" a="1"/>
  <c r="BA48" i="12" s="1"/>
  <c r="BA49" i="12" a="1"/>
  <c r="BA49" i="12" s="1"/>
  <c r="BA50" i="12" a="1"/>
  <c r="BA50" i="12" s="1"/>
  <c r="BA51" i="12" a="1"/>
  <c r="BA51" i="12" s="1"/>
  <c r="BA52" i="12" a="1"/>
  <c r="BA52" i="12"/>
  <c r="BA53" i="12" a="1"/>
  <c r="BA53" i="12" s="1"/>
  <c r="BA54" i="12" a="1"/>
  <c r="BA54" i="12" s="1"/>
  <c r="BA55" i="12" a="1"/>
  <c r="BA55" i="12" s="1"/>
  <c r="BA56" i="12" a="1"/>
  <c r="BA56" i="12" s="1"/>
  <c r="BA57" i="12" a="1"/>
  <c r="BA57" i="12" s="1"/>
  <c r="BA58" i="12" a="1"/>
  <c r="BA58" i="12"/>
  <c r="BA59" i="12" a="1"/>
  <c r="BA59" i="12" s="1"/>
  <c r="BA60" i="12" a="1"/>
  <c r="BA60" i="12" s="1"/>
  <c r="BA61" i="12" a="1"/>
  <c r="BA61" i="12" s="1"/>
  <c r="BA62" i="12" a="1"/>
  <c r="BA62" i="12" s="1"/>
  <c r="BA63" i="12" a="1"/>
  <c r="BA63" i="12" s="1"/>
  <c r="BA64" i="12" a="1"/>
  <c r="BA64" i="12"/>
  <c r="BA65" i="12" a="1"/>
  <c r="BA65" i="12" s="1"/>
  <c r="BA66" i="12" a="1"/>
  <c r="BA66" i="12" s="1"/>
  <c r="BA67" i="12" a="1"/>
  <c r="BA67" i="12" s="1"/>
  <c r="BA68" i="12" a="1"/>
  <c r="BA68" i="12" s="1"/>
  <c r="BA69" i="12" a="1"/>
  <c r="BA69" i="12" s="1"/>
  <c r="BA70" i="12" a="1"/>
  <c r="BA70" i="12"/>
  <c r="BA71" i="12" a="1"/>
  <c r="BA71" i="12" s="1"/>
  <c r="BA72" i="12" a="1"/>
  <c r="BA72" i="12" s="1"/>
  <c r="BA73" i="12" a="1"/>
  <c r="BA73" i="12" s="1"/>
  <c r="BA74" i="12" a="1"/>
  <c r="BA74" i="12" s="1"/>
  <c r="BA75" i="12" a="1"/>
  <c r="BA75" i="12" s="1"/>
  <c r="BA76" i="12" a="1"/>
  <c r="BA76" i="12"/>
  <c r="BA77" i="12" a="1"/>
  <c r="BA77" i="12" s="1"/>
  <c r="BA78" i="12" a="1"/>
  <c r="BA78" i="12" s="1"/>
  <c r="BA79" i="12" a="1"/>
  <c r="BA79" i="12" s="1"/>
  <c r="BA80" i="12" a="1"/>
  <c r="BA80" i="12" s="1"/>
  <c r="BA81" i="12" a="1"/>
  <c r="BA81" i="12" s="1"/>
  <c r="BA82" i="12" a="1"/>
  <c r="BA82" i="12"/>
  <c r="BA83" i="12" a="1"/>
  <c r="BA83" i="12" s="1"/>
  <c r="BA84" i="12" a="1"/>
  <c r="BA84" i="12" s="1"/>
  <c r="BA85" i="12" a="1"/>
  <c r="BA85" i="12" s="1"/>
  <c r="BA86" i="12" a="1"/>
  <c r="BA86" i="12" s="1"/>
  <c r="BA87" i="12" a="1"/>
  <c r="BA87" i="12" s="1"/>
  <c r="BA88" i="12" a="1"/>
  <c r="BA88" i="12"/>
  <c r="BA89" i="12" a="1"/>
  <c r="BA89" i="12" s="1"/>
  <c r="BA90" i="12" a="1"/>
  <c r="BA90" i="12" s="1"/>
  <c r="BA91" i="12" a="1"/>
  <c r="BA91" i="12" s="1"/>
  <c r="BA92" i="12" a="1"/>
  <c r="BA92" i="12" s="1"/>
  <c r="BA93" i="12" a="1"/>
  <c r="BA93" i="12" s="1"/>
  <c r="BA94" i="12" a="1"/>
  <c r="BA94" i="12"/>
  <c r="BA95" i="12" a="1"/>
  <c r="BA95" i="12" s="1"/>
  <c r="BA96" i="12" a="1"/>
  <c r="BA96" i="12" s="1"/>
  <c r="BA97" i="12" a="1"/>
  <c r="BA97" i="12" s="1"/>
  <c r="BA98" i="12" a="1"/>
  <c r="BA98" i="12" s="1"/>
  <c r="BA99" i="12" a="1"/>
  <c r="BA99" i="12" s="1"/>
  <c r="BA100" i="12" a="1"/>
  <c r="BA100" i="12"/>
  <c r="BA101" i="12" a="1"/>
  <c r="BA101" i="12" s="1"/>
  <c r="BA102" i="12" a="1"/>
  <c r="BA102" i="12" s="1"/>
  <c r="BA103" i="12" a="1"/>
  <c r="BA103" i="12" s="1"/>
  <c r="BA104" i="12" a="1"/>
  <c r="BA104" i="12" s="1"/>
  <c r="BA105" i="12" a="1"/>
  <c r="BA105" i="12" s="1"/>
  <c r="BA106" i="12" a="1"/>
  <c r="BA106" i="12"/>
  <c r="BA107" i="12" a="1"/>
  <c r="BA107" i="12" s="1"/>
  <c r="BA108" i="12" a="1"/>
  <c r="BA108" i="12" s="1"/>
  <c r="BA109" i="12" a="1"/>
  <c r="BA109" i="12" s="1"/>
  <c r="BA110" i="12" a="1"/>
  <c r="BA110" i="12" s="1"/>
  <c r="BA111" i="12" a="1"/>
  <c r="BA111" i="12" s="1"/>
  <c r="BA112" i="12" a="1"/>
  <c r="BA112" i="12"/>
  <c r="BA113" i="12" a="1"/>
  <c r="BA113" i="12" s="1"/>
  <c r="BA114" i="12" a="1"/>
  <c r="BA114" i="12" s="1"/>
  <c r="BA115" i="12" a="1"/>
  <c r="BA115" i="12" s="1"/>
  <c r="BA116" i="12" a="1"/>
  <c r="BA116" i="12" s="1"/>
  <c r="BA117" i="12" a="1"/>
  <c r="BA117" i="12" s="1"/>
  <c r="BA118" i="12" a="1"/>
  <c r="BA118" i="12"/>
  <c r="BA119" i="12" a="1"/>
  <c r="BA119" i="12" s="1"/>
  <c r="BA120" i="12" a="1"/>
  <c r="BA120" i="12" s="1"/>
  <c r="BA121" i="12" a="1"/>
  <c r="BA121" i="12" s="1"/>
  <c r="BA122" i="12" a="1"/>
  <c r="BA122" i="12" s="1"/>
  <c r="BA123" i="12" a="1"/>
  <c r="BA123" i="12" s="1"/>
  <c r="BA124" i="12" a="1"/>
  <c r="BA124" i="12"/>
  <c r="BA125" i="12" a="1"/>
  <c r="BA125" i="12" s="1"/>
  <c r="BA126" i="12" a="1"/>
  <c r="BA126" i="12" s="1"/>
  <c r="BA127" i="12" a="1"/>
  <c r="BA127" i="12" s="1"/>
  <c r="BA128" i="12" a="1"/>
  <c r="BA128" i="12" s="1"/>
  <c r="BA129" i="12" a="1"/>
  <c r="BA129" i="12" s="1"/>
  <c r="BA130" i="12" a="1"/>
  <c r="BA130" i="12"/>
  <c r="BA131" i="12" a="1"/>
  <c r="BA131" i="12" s="1"/>
  <c r="BA132" i="12" a="1"/>
  <c r="BA132" i="12" s="1"/>
  <c r="BA133" i="12" a="1"/>
  <c r="BA133" i="12" s="1"/>
  <c r="BA134" i="12" a="1"/>
  <c r="BA134" i="12" s="1"/>
  <c r="BA135" i="12" a="1"/>
  <c r="BA135" i="12" s="1"/>
  <c r="BA136" i="12" a="1"/>
  <c r="BA136" i="12"/>
  <c r="BA137" i="12" a="1"/>
  <c r="BA137" i="12" s="1"/>
  <c r="BA138" i="12" a="1"/>
  <c r="BA138" i="12" s="1"/>
  <c r="BA139" i="12" a="1"/>
  <c r="BA139" i="12" s="1"/>
  <c r="BA140" i="12" a="1"/>
  <c r="BA140" i="12" s="1"/>
  <c r="BA141" i="12" a="1"/>
  <c r="BA141" i="12" s="1"/>
  <c r="BA142" i="12" a="1"/>
  <c r="BA142" i="12"/>
  <c r="BA143" i="12" a="1"/>
  <c r="BA143" i="12" s="1"/>
  <c r="BA144" i="12" a="1"/>
  <c r="BA144" i="12" s="1"/>
  <c r="BA145" i="12" a="1"/>
  <c r="BA145" i="12" s="1"/>
  <c r="BA146" i="12" a="1"/>
  <c r="BA146" i="12" s="1"/>
  <c r="BA147" i="12" a="1"/>
  <c r="BA147" i="12" s="1"/>
  <c r="BA148" i="12" a="1"/>
  <c r="BA148" i="12"/>
  <c r="BA149" i="12" a="1"/>
  <c r="BA149" i="12" s="1"/>
  <c r="BA150" i="12" a="1"/>
  <c r="BA150" i="12" s="1"/>
  <c r="BA151" i="12" a="1"/>
  <c r="BA151" i="12" s="1"/>
  <c r="BA152" i="12" a="1"/>
  <c r="BA152" i="12" s="1"/>
  <c r="BA153" i="12" a="1"/>
  <c r="BA153" i="12" s="1"/>
  <c r="BA154" i="12" a="1"/>
  <c r="BA154" i="12"/>
  <c r="BA155" i="12" a="1"/>
  <c r="BA155" i="12" s="1"/>
  <c r="BA156" i="12" a="1"/>
  <c r="BA156" i="12" s="1"/>
  <c r="BA157" i="12" a="1"/>
  <c r="BA157" i="12" s="1"/>
  <c r="BA158" i="12" a="1"/>
  <c r="BA158" i="12" s="1"/>
  <c r="BA159" i="12" a="1"/>
  <c r="BA159" i="12" s="1"/>
  <c r="BA160" i="12" a="1"/>
  <c r="BA160" i="12"/>
  <c r="BA161" i="12" a="1"/>
  <c r="BA161" i="12" s="1"/>
  <c r="BA162" i="12" a="1"/>
  <c r="BA162" i="12" s="1"/>
  <c r="BA163" i="12" a="1"/>
  <c r="BA163" i="12" s="1"/>
  <c r="BA164" i="12" a="1"/>
  <c r="BA164" i="12" s="1"/>
  <c r="BA165" i="12" a="1"/>
  <c r="BA165" i="12" s="1"/>
  <c r="BA166" i="12" a="1"/>
  <c r="BA166" i="12"/>
  <c r="BA167" i="12" a="1"/>
  <c r="BA167" i="12" s="1"/>
  <c r="BA168" i="12" a="1"/>
  <c r="BA168" i="12" s="1"/>
  <c r="BA169" i="12" a="1"/>
  <c r="BA169" i="12" s="1"/>
  <c r="BA170" i="12" a="1"/>
  <c r="BA170" i="12" s="1"/>
  <c r="BA171" i="12" a="1"/>
  <c r="BA171" i="12" s="1"/>
  <c r="BA172" i="12" a="1"/>
  <c r="BA172" i="12"/>
  <c r="BA173" i="12" a="1"/>
  <c r="BA173" i="12" s="1"/>
  <c r="BA174" i="12" a="1"/>
  <c r="BA174" i="12" s="1"/>
  <c r="BA175" i="12" a="1"/>
  <c r="BA175" i="12" s="1"/>
  <c r="BA176" i="12" a="1"/>
  <c r="BA176" i="12" s="1"/>
  <c r="BA177" i="12" a="1"/>
  <c r="BA177" i="12" s="1"/>
  <c r="BA178" i="12" a="1"/>
  <c r="BA178" i="12"/>
  <c r="BA179" i="12" a="1"/>
  <c r="BA179" i="12" s="1"/>
  <c r="BA180" i="12" a="1"/>
  <c r="BA180" i="12" s="1"/>
  <c r="BA181" i="12" a="1"/>
  <c r="BA181" i="12" s="1"/>
  <c r="BA182" i="12" a="1"/>
  <c r="BA182" i="12" s="1"/>
  <c r="BA183" i="12" a="1"/>
  <c r="BA183" i="12" s="1"/>
  <c r="BA184" i="12" a="1"/>
  <c r="BA184" i="12"/>
  <c r="BA185" i="12" a="1"/>
  <c r="BA185" i="12" s="1"/>
  <c r="BA186" i="12" a="1"/>
  <c r="BA186" i="12" s="1"/>
  <c r="BA187" i="12" a="1"/>
  <c r="BA187" i="12" s="1"/>
  <c r="BA188" i="12" a="1"/>
  <c r="BA188" i="12" s="1"/>
  <c r="BA189" i="12" a="1"/>
  <c r="BA189" i="12" s="1"/>
  <c r="BA190" i="12" a="1"/>
  <c r="BA190" i="12"/>
  <c r="BA191" i="12" a="1"/>
  <c r="BA191" i="12" s="1"/>
  <c r="BA192" i="12" a="1"/>
  <c r="BA192" i="12" s="1"/>
  <c r="BA193" i="12" a="1"/>
  <c r="BA193" i="12" s="1"/>
  <c r="BA194" i="12" a="1"/>
  <c r="BA194" i="12" s="1"/>
  <c r="BA195" i="12" a="1"/>
  <c r="BA195" i="12" s="1"/>
  <c r="BA196" i="12" a="1"/>
  <c r="BA196" i="12"/>
  <c r="BA197" i="12" a="1"/>
  <c r="BA197" i="12" s="1"/>
  <c r="BA198" i="12" a="1"/>
  <c r="BA198" i="12" s="1"/>
  <c r="BA199" i="12" a="1"/>
  <c r="BA199" i="12" s="1"/>
  <c r="BA200" i="12" a="1"/>
  <c r="BA200" i="12" s="1"/>
  <c r="BA201" i="12" a="1"/>
  <c r="BA201" i="12" s="1"/>
  <c r="BA202" i="12" a="1"/>
  <c r="BA202" i="12"/>
  <c r="BA203" i="12" a="1"/>
  <c r="BA203" i="12" s="1"/>
  <c r="BA204" i="12" a="1"/>
  <c r="BA204" i="12" s="1"/>
  <c r="BA205" i="12" a="1"/>
  <c r="BA205" i="12" s="1"/>
  <c r="BA206" i="12" a="1"/>
  <c r="BA206" i="12" s="1"/>
  <c r="BA207" i="12" a="1"/>
  <c r="BA207" i="12" s="1"/>
  <c r="BA208" i="12" a="1"/>
  <c r="BA208" i="12"/>
  <c r="BA209" i="12" a="1"/>
  <c r="BA209" i="12" s="1"/>
  <c r="BA210" i="12" a="1"/>
  <c r="BA210" i="12" s="1"/>
  <c r="BA211" i="12" a="1"/>
  <c r="BA211" i="12" s="1"/>
  <c r="BA212" i="12" a="1"/>
  <c r="BA212" i="12" s="1"/>
  <c r="BA213" i="12" a="1"/>
  <c r="BA213" i="12" s="1"/>
  <c r="BA214" i="12" a="1"/>
  <c r="BA214" i="12"/>
  <c r="BA215" i="12" a="1"/>
  <c r="BA215" i="12" s="1"/>
  <c r="BA216" i="12" a="1"/>
  <c r="BA216" i="12" s="1"/>
  <c r="BA217" i="12" a="1"/>
  <c r="BA217" i="12" s="1"/>
  <c r="BA218" i="12" a="1"/>
  <c r="BA218" i="12" s="1"/>
  <c r="BA219" i="12" a="1"/>
  <c r="BA219" i="12" s="1"/>
  <c r="BA220" i="12" a="1"/>
  <c r="BA220" i="12"/>
  <c r="BA221" i="12" a="1"/>
  <c r="BA221" i="12" s="1"/>
  <c r="BA222" i="12" a="1"/>
  <c r="BA222" i="12" s="1"/>
  <c r="BA223" i="12" a="1"/>
  <c r="BA223" i="12" s="1"/>
  <c r="BA224" i="12" a="1"/>
  <c r="BA224" i="12" s="1"/>
  <c r="BA225" i="12" a="1"/>
  <c r="BA225" i="12" s="1"/>
  <c r="BA226" i="12" a="1"/>
  <c r="BA226" i="12"/>
  <c r="BA227" i="12" a="1"/>
  <c r="BA227" i="12" s="1"/>
  <c r="BA228" i="12" a="1"/>
  <c r="BA228" i="12" s="1"/>
  <c r="BA229" i="12" a="1"/>
  <c r="BA229" i="12" s="1"/>
  <c r="BA230" i="12" a="1"/>
  <c r="BA230" i="12" s="1"/>
  <c r="BA231" i="12" a="1"/>
  <c r="BA231" i="12" s="1"/>
  <c r="BA232" i="12" a="1"/>
  <c r="BA232" i="12"/>
  <c r="BA233" i="12" a="1"/>
  <c r="BA233" i="12" s="1"/>
  <c r="BA234" i="12" a="1"/>
  <c r="BA234" i="12" s="1"/>
  <c r="BA235" i="12" a="1"/>
  <c r="BA235" i="12" s="1"/>
  <c r="AZ5" i="12"/>
  <c r="AZ6" i="12"/>
  <c r="AZ7" i="12"/>
  <c r="AZ8" i="12"/>
  <c r="AZ9" i="12"/>
  <c r="AZ10" i="12"/>
  <c r="AZ11" i="12"/>
  <c r="AZ12" i="12"/>
  <c r="AZ13" i="12"/>
  <c r="AZ14" i="12"/>
  <c r="AZ15" i="12"/>
  <c r="AZ16" i="12"/>
  <c r="AZ17" i="12"/>
  <c r="AZ18" i="12"/>
  <c r="AZ19" i="12"/>
  <c r="AZ20" i="12"/>
  <c r="AZ21" i="12"/>
  <c r="AZ22" i="12"/>
  <c r="AZ23" i="12"/>
  <c r="AZ24" i="12"/>
  <c r="AZ25" i="12"/>
  <c r="AZ26" i="12"/>
  <c r="AZ27" i="12"/>
  <c r="AZ28" i="12"/>
  <c r="AZ29" i="12"/>
  <c r="AZ30" i="12"/>
  <c r="AZ31" i="12"/>
  <c r="AZ32" i="12"/>
  <c r="AZ33" i="12"/>
  <c r="AZ34" i="12"/>
  <c r="AZ35" i="12"/>
  <c r="AZ36" i="12"/>
  <c r="AZ37" i="12"/>
  <c r="AZ38" i="12"/>
  <c r="AZ39" i="12"/>
  <c r="AZ40" i="12"/>
  <c r="AZ41" i="12"/>
  <c r="AZ42" i="12"/>
  <c r="AZ43" i="12"/>
  <c r="AZ44" i="12"/>
  <c r="AZ45" i="12"/>
  <c r="AZ46" i="12"/>
  <c r="AZ47" i="12"/>
  <c r="AZ48" i="12"/>
  <c r="AZ49" i="12"/>
  <c r="AZ50" i="12"/>
  <c r="AZ51" i="12"/>
  <c r="AZ52" i="12"/>
  <c r="AZ53" i="12"/>
  <c r="AZ54" i="12"/>
  <c r="AZ55" i="12"/>
  <c r="AZ56" i="12"/>
  <c r="AZ57" i="12"/>
  <c r="AZ58" i="12"/>
  <c r="AZ59" i="12"/>
  <c r="AZ60" i="12"/>
  <c r="AZ61" i="12"/>
  <c r="AZ62" i="12"/>
  <c r="AZ63" i="12"/>
  <c r="AZ64" i="12"/>
  <c r="AZ65" i="12"/>
  <c r="AZ66" i="12"/>
  <c r="AZ67" i="12"/>
  <c r="AZ68" i="12"/>
  <c r="AZ69" i="12"/>
  <c r="AZ70" i="12"/>
  <c r="AZ71" i="12"/>
  <c r="AZ72" i="12"/>
  <c r="AZ73" i="12"/>
  <c r="AZ74" i="12"/>
  <c r="AZ75" i="12"/>
  <c r="AZ76" i="12"/>
  <c r="AZ77" i="12"/>
  <c r="AZ78" i="12"/>
  <c r="AZ79" i="12"/>
  <c r="AZ80" i="12"/>
  <c r="AZ81" i="12"/>
  <c r="AZ82" i="12"/>
  <c r="AZ83" i="12"/>
  <c r="AZ84" i="12"/>
  <c r="AZ85" i="12"/>
  <c r="AZ86" i="12"/>
  <c r="AZ87" i="12"/>
  <c r="AZ88" i="12"/>
  <c r="AZ89" i="12"/>
  <c r="AZ90" i="12"/>
  <c r="AZ91" i="12"/>
  <c r="AZ92" i="12"/>
  <c r="AZ93" i="12"/>
  <c r="AZ94" i="12"/>
  <c r="AZ95" i="12"/>
  <c r="AZ96" i="12"/>
  <c r="AZ97" i="12"/>
  <c r="AZ98" i="12"/>
  <c r="AZ99" i="12"/>
  <c r="AZ100" i="12"/>
  <c r="AZ101" i="12"/>
  <c r="AZ102" i="12"/>
  <c r="AZ103" i="12"/>
  <c r="AZ104" i="12"/>
  <c r="AZ105" i="12"/>
  <c r="AZ106" i="12"/>
  <c r="AZ107" i="12"/>
  <c r="AZ108" i="12"/>
  <c r="AZ109" i="12"/>
  <c r="AZ110" i="12"/>
  <c r="AZ111" i="12"/>
  <c r="AZ112" i="12"/>
  <c r="AZ113" i="12"/>
  <c r="AZ114" i="12"/>
  <c r="AZ115" i="12"/>
  <c r="AZ116" i="12"/>
  <c r="AZ117" i="12"/>
  <c r="AZ118" i="12"/>
  <c r="AZ119" i="12"/>
  <c r="AZ120" i="12"/>
  <c r="AZ121" i="12"/>
  <c r="AZ122" i="12"/>
  <c r="AZ123" i="12"/>
  <c r="AZ124" i="12"/>
  <c r="AZ125" i="12"/>
  <c r="AZ126" i="12"/>
  <c r="AZ127" i="12"/>
  <c r="AZ128" i="12"/>
  <c r="AZ129" i="12"/>
  <c r="AZ130" i="12"/>
  <c r="AZ131" i="12"/>
  <c r="AZ132" i="12"/>
  <c r="AZ133" i="12"/>
  <c r="AZ134" i="12"/>
  <c r="AZ135" i="12"/>
  <c r="AZ136" i="12"/>
  <c r="AZ137" i="12"/>
  <c r="AZ138" i="12"/>
  <c r="AZ139" i="12"/>
  <c r="AZ140" i="12"/>
  <c r="AZ141" i="12"/>
  <c r="AZ142" i="12"/>
  <c r="AZ143" i="12"/>
  <c r="AZ144" i="12"/>
  <c r="AZ145" i="12"/>
  <c r="AZ146" i="12"/>
  <c r="AZ147" i="12"/>
  <c r="AZ148" i="12"/>
  <c r="AZ149" i="12"/>
  <c r="AZ150" i="12"/>
  <c r="AZ151" i="12"/>
  <c r="AZ152" i="12"/>
  <c r="AZ153" i="12"/>
  <c r="AZ154" i="12"/>
  <c r="AZ155" i="12"/>
  <c r="AZ156" i="12"/>
  <c r="AZ157" i="12"/>
  <c r="AZ158" i="12"/>
  <c r="AZ159" i="12"/>
  <c r="AZ160" i="12"/>
  <c r="AZ161" i="12"/>
  <c r="AZ162" i="12"/>
  <c r="AZ163" i="12"/>
  <c r="AZ164" i="12"/>
  <c r="AZ165" i="12"/>
  <c r="AZ166" i="12"/>
  <c r="AZ167" i="12"/>
  <c r="AZ168" i="12"/>
  <c r="AZ169" i="12"/>
  <c r="AZ170" i="12"/>
  <c r="AZ171" i="12"/>
  <c r="AZ172" i="12"/>
  <c r="AZ173" i="12"/>
  <c r="AZ174" i="12"/>
  <c r="AZ175" i="12"/>
  <c r="AZ176" i="12"/>
  <c r="AZ177" i="12"/>
  <c r="AZ178" i="12"/>
  <c r="AZ179" i="12"/>
  <c r="AZ180" i="12"/>
  <c r="AZ181" i="12"/>
  <c r="AZ182" i="12"/>
  <c r="AZ183" i="12"/>
  <c r="AZ184" i="12"/>
  <c r="AZ185" i="12"/>
  <c r="AZ186" i="12"/>
  <c r="AZ187" i="12"/>
  <c r="AZ188" i="12"/>
  <c r="AZ189" i="12"/>
  <c r="AZ190" i="12"/>
  <c r="AZ191" i="12"/>
  <c r="AZ192" i="12"/>
  <c r="AZ193" i="12"/>
  <c r="AZ194" i="12"/>
  <c r="AZ195" i="12"/>
  <c r="AZ196" i="12"/>
  <c r="AZ197" i="12"/>
  <c r="AZ198" i="12"/>
  <c r="AZ199" i="12"/>
  <c r="AZ200" i="12"/>
  <c r="AZ201" i="12"/>
  <c r="AZ202" i="12"/>
  <c r="AZ203" i="12"/>
  <c r="AZ204" i="12"/>
  <c r="AZ205" i="12"/>
  <c r="AZ206" i="12"/>
  <c r="AZ207" i="12"/>
  <c r="AZ208" i="12"/>
  <c r="AZ209" i="12"/>
  <c r="AZ210" i="12"/>
  <c r="AZ211" i="12"/>
  <c r="AZ212" i="12"/>
  <c r="AZ213" i="12"/>
  <c r="AZ214" i="12"/>
  <c r="AZ215" i="12"/>
  <c r="AZ216" i="12"/>
  <c r="AZ217" i="12"/>
  <c r="AZ218" i="12"/>
  <c r="AZ219" i="12"/>
  <c r="AZ220" i="12"/>
  <c r="AZ221" i="12"/>
  <c r="AZ222" i="12"/>
  <c r="AZ223" i="12"/>
  <c r="AZ224" i="12"/>
  <c r="AZ225" i="12"/>
  <c r="AZ226" i="12"/>
  <c r="AZ227" i="12"/>
  <c r="AZ228" i="12"/>
  <c r="AZ229" i="12"/>
  <c r="AZ230" i="12"/>
  <c r="AZ231" i="12"/>
  <c r="AZ232" i="12"/>
  <c r="AZ233" i="12"/>
  <c r="AZ234" i="12"/>
  <c r="AZ235" i="12"/>
  <c r="BC4" i="12" a="1"/>
  <c r="BC4" i="12" s="1"/>
  <c r="BB4" i="12"/>
  <c r="BA4" i="12" a="1"/>
  <c r="BA4" i="12" s="1"/>
  <c r="AZ4" i="12"/>
  <c r="AY5" i="12" a="1"/>
  <c r="AY5" i="12" s="1"/>
  <c r="AY6" i="12" a="1"/>
  <c r="AY6" i="12" s="1"/>
  <c r="AY7" i="12" a="1"/>
  <c r="AY7" i="12" s="1"/>
  <c r="AY8" i="12" a="1"/>
  <c r="AY8" i="12" s="1"/>
  <c r="AY9" i="12" a="1"/>
  <c r="AY9" i="12" s="1"/>
  <c r="AY10" i="12" a="1"/>
  <c r="AY10" i="12"/>
  <c r="AY11" i="12" a="1"/>
  <c r="AY11" i="12" s="1"/>
  <c r="AY12" i="12" a="1"/>
  <c r="AY12" i="12" s="1"/>
  <c r="AY13" i="12" a="1"/>
  <c r="AY13" i="12" s="1"/>
  <c r="AY14" i="12" a="1"/>
  <c r="AY14" i="12" s="1"/>
  <c r="AY15" i="12" a="1"/>
  <c r="AY15" i="12" s="1"/>
  <c r="AY16" i="12" a="1"/>
  <c r="AY16" i="12"/>
  <c r="AY17" i="12" a="1"/>
  <c r="AY17" i="12" s="1"/>
  <c r="AY18" i="12" a="1"/>
  <c r="AY18" i="12" s="1"/>
  <c r="AY19" i="12" a="1"/>
  <c r="AY19" i="12" s="1"/>
  <c r="AY20" i="12" a="1"/>
  <c r="AY20" i="12" s="1"/>
  <c r="AY21" i="12" a="1"/>
  <c r="AY21" i="12" s="1"/>
  <c r="AY22" i="12" a="1"/>
  <c r="AY22" i="12"/>
  <c r="AY23" i="12" a="1"/>
  <c r="AY23" i="12" s="1"/>
  <c r="AY24" i="12" a="1"/>
  <c r="AY24" i="12" s="1"/>
  <c r="AY25" i="12" a="1"/>
  <c r="AY25" i="12" s="1"/>
  <c r="AY26" i="12" a="1"/>
  <c r="AY26" i="12" s="1"/>
  <c r="AY27" i="12" a="1"/>
  <c r="AY27" i="12" s="1"/>
  <c r="AY28" i="12" a="1"/>
  <c r="AY28" i="12"/>
  <c r="AY29" i="12" a="1"/>
  <c r="AY29" i="12" s="1"/>
  <c r="AY30" i="12" a="1"/>
  <c r="AY30" i="12" s="1"/>
  <c r="AY31" i="12" a="1"/>
  <c r="AY31" i="12" s="1"/>
  <c r="AY32" i="12" a="1"/>
  <c r="AY32" i="12" s="1"/>
  <c r="AY33" i="12" a="1"/>
  <c r="AY33" i="12" s="1"/>
  <c r="AY34" i="12" a="1"/>
  <c r="AY34" i="12"/>
  <c r="AY35" i="12" a="1"/>
  <c r="AY35" i="12" s="1"/>
  <c r="AY36" i="12" a="1"/>
  <c r="AY36" i="12" s="1"/>
  <c r="AY37" i="12" a="1"/>
  <c r="AY37" i="12" s="1"/>
  <c r="AY38" i="12" a="1"/>
  <c r="AY38" i="12" s="1"/>
  <c r="AY39" i="12" a="1"/>
  <c r="AY39" i="12" s="1"/>
  <c r="AY40" i="12" a="1"/>
  <c r="AY40" i="12"/>
  <c r="AY41" i="12" a="1"/>
  <c r="AY41" i="12" s="1"/>
  <c r="AY42" i="12" a="1"/>
  <c r="AY42" i="12" s="1"/>
  <c r="AY43" i="12" a="1"/>
  <c r="AY43" i="12" s="1"/>
  <c r="AY44" i="12" a="1"/>
  <c r="AY44" i="12" s="1"/>
  <c r="AY45" i="12" a="1"/>
  <c r="AY45" i="12" s="1"/>
  <c r="AY46" i="12" a="1"/>
  <c r="AY46" i="12"/>
  <c r="AY47" i="12" a="1"/>
  <c r="AY47" i="12" s="1"/>
  <c r="AY48" i="12" a="1"/>
  <c r="AY48" i="12" s="1"/>
  <c r="AY49" i="12" a="1"/>
  <c r="AY49" i="12" s="1"/>
  <c r="AY50" i="12" a="1"/>
  <c r="AY50" i="12" s="1"/>
  <c r="AY51" i="12" a="1"/>
  <c r="AY51" i="12" s="1"/>
  <c r="AY52" i="12" a="1"/>
  <c r="AY52" i="12"/>
  <c r="AY53" i="12" a="1"/>
  <c r="AY53" i="12" s="1"/>
  <c r="AY54" i="12" a="1"/>
  <c r="AY54" i="12" s="1"/>
  <c r="AY55" i="12" a="1"/>
  <c r="AY55" i="12" s="1"/>
  <c r="AY57" i="12" a="1"/>
  <c r="AY57" i="12" s="1"/>
  <c r="AY58" i="12" a="1"/>
  <c r="AY58" i="12"/>
  <c r="AY59" i="12" a="1"/>
  <c r="AY59" i="12" s="1"/>
  <c r="AY60" i="12" a="1"/>
  <c r="AY60" i="12" s="1"/>
  <c r="AY61" i="12" a="1"/>
  <c r="AY61" i="12" s="1"/>
  <c r="AY62" i="12" a="1"/>
  <c r="AY62" i="12" s="1"/>
  <c r="AY63" i="12" a="1"/>
  <c r="AY63" i="12" s="1"/>
  <c r="AY64" i="12" a="1"/>
  <c r="AY64" i="12"/>
  <c r="AY65" i="12" a="1"/>
  <c r="AY65" i="12" s="1"/>
  <c r="AY66" i="12" a="1"/>
  <c r="AY66" i="12" s="1"/>
  <c r="AY67" i="12" a="1"/>
  <c r="AY67" i="12" s="1"/>
  <c r="AY75" i="12" a="1"/>
  <c r="AY75" i="12" s="1"/>
  <c r="AY76" i="12" a="1"/>
  <c r="AY76" i="12"/>
  <c r="AY77" i="12" a="1"/>
  <c r="AY77" i="12" s="1"/>
  <c r="AY78" i="12" a="1"/>
  <c r="AY78" i="12" s="1"/>
  <c r="AY79" i="12" a="1"/>
  <c r="AY79" i="12" s="1"/>
  <c r="AY80" i="12" a="1"/>
  <c r="AY80" i="12" s="1"/>
  <c r="AY81" i="12" a="1"/>
  <c r="AY81" i="12" s="1"/>
  <c r="AY82" i="12" a="1"/>
  <c r="AY82" i="12"/>
  <c r="AY83" i="12" a="1"/>
  <c r="AY83" i="12" s="1"/>
  <c r="AY84" i="12" a="1"/>
  <c r="AY84" i="12" s="1"/>
  <c r="AY85" i="12" a="1"/>
  <c r="AY85" i="12" s="1"/>
  <c r="AY86" i="12" a="1"/>
  <c r="AY86" i="12" s="1"/>
  <c r="AY87" i="12" a="1"/>
  <c r="AY87" i="12" s="1"/>
  <c r="AY88" i="12" a="1"/>
  <c r="AY88" i="12"/>
  <c r="AY89" i="12" a="1"/>
  <c r="AY89" i="12" s="1"/>
  <c r="AY90" i="12" a="1"/>
  <c r="AY90" i="12" s="1"/>
  <c r="AY91" i="12" a="1"/>
  <c r="AY91" i="12" s="1"/>
  <c r="AY92" i="12" a="1"/>
  <c r="AY92" i="12" s="1"/>
  <c r="AY93" i="12" a="1"/>
  <c r="AY93" i="12" s="1"/>
  <c r="AY94" i="12" a="1"/>
  <c r="AY94" i="12"/>
  <c r="AY95" i="12" a="1"/>
  <c r="AY95" i="12" s="1"/>
  <c r="AY96" i="12" a="1"/>
  <c r="AY96" i="12" s="1"/>
  <c r="AY97" i="12" a="1"/>
  <c r="AY97" i="12" s="1"/>
  <c r="AY98" i="12" a="1"/>
  <c r="AY98" i="12" s="1"/>
  <c r="AY99" i="12" a="1"/>
  <c r="AY99" i="12" s="1"/>
  <c r="AY100" i="12" a="1"/>
  <c r="AY100" i="12"/>
  <c r="AY101" i="12" a="1"/>
  <c r="AY101" i="12" s="1"/>
  <c r="AY102" i="12" a="1"/>
  <c r="AY102" i="12" s="1"/>
  <c r="AY103" i="12" a="1"/>
  <c r="AY103" i="12" s="1"/>
  <c r="AY104" i="12" a="1"/>
  <c r="AY104" i="12" s="1"/>
  <c r="AY105" i="12" a="1"/>
  <c r="AY105" i="12" s="1"/>
  <c r="AY106" i="12" a="1"/>
  <c r="AY106" i="12"/>
  <c r="AY107" i="12" a="1"/>
  <c r="AY107" i="12" s="1"/>
  <c r="AY108" i="12" a="1"/>
  <c r="AY108" i="12" s="1"/>
  <c r="AY109" i="12" a="1"/>
  <c r="AY109" i="12" s="1"/>
  <c r="AY110" i="12" a="1"/>
  <c r="AY110" i="12" s="1"/>
  <c r="AY111" i="12" a="1"/>
  <c r="AY111" i="12" s="1"/>
  <c r="AY112" i="12" a="1"/>
  <c r="AY112" i="12"/>
  <c r="AY113" i="12" a="1"/>
  <c r="AY113" i="12" s="1"/>
  <c r="AY114" i="12" a="1"/>
  <c r="AY114" i="12" s="1"/>
  <c r="AY115" i="12" a="1"/>
  <c r="AY115" i="12" s="1"/>
  <c r="AY116" i="12" a="1"/>
  <c r="AY116" i="12" s="1"/>
  <c r="AY117" i="12" a="1"/>
  <c r="AY117" i="12" s="1"/>
  <c r="AY118" i="12" a="1"/>
  <c r="AY118" i="12"/>
  <c r="AY119" i="12" a="1"/>
  <c r="AY119" i="12" s="1"/>
  <c r="AY120" i="12" a="1"/>
  <c r="AY120" i="12" s="1"/>
  <c r="AY121" i="12" a="1"/>
  <c r="AY121" i="12" s="1"/>
  <c r="AY122" i="12" a="1"/>
  <c r="AY122" i="12" s="1"/>
  <c r="AY123" i="12" a="1"/>
  <c r="AY123" i="12" s="1"/>
  <c r="AY124" i="12" a="1"/>
  <c r="AY124" i="12"/>
  <c r="AY125" i="12" a="1"/>
  <c r="AY125" i="12" s="1"/>
  <c r="AY126" i="12" a="1"/>
  <c r="AY126" i="12" s="1"/>
  <c r="AY127" i="12" a="1"/>
  <c r="AY127" i="12" s="1"/>
  <c r="AY128" i="12" a="1"/>
  <c r="AY128" i="12" s="1"/>
  <c r="AY129" i="12" a="1"/>
  <c r="AY129" i="12" s="1"/>
  <c r="AY130" i="12" a="1"/>
  <c r="AY130" i="12"/>
  <c r="AY131" i="12" a="1"/>
  <c r="AY131" i="12" s="1"/>
  <c r="AY132" i="12" a="1"/>
  <c r="AY132" i="12" s="1"/>
  <c r="AY133" i="12" a="1"/>
  <c r="AY133" i="12" s="1"/>
  <c r="AY134" i="12" a="1"/>
  <c r="AY134" i="12" s="1"/>
  <c r="AY135" i="12" a="1"/>
  <c r="AY135" i="12" s="1"/>
  <c r="AY136" i="12" a="1"/>
  <c r="AY136" i="12"/>
  <c r="AY137" i="12" a="1"/>
  <c r="AY137" i="12" s="1"/>
  <c r="AY138" i="12" a="1"/>
  <c r="AY138" i="12" s="1"/>
  <c r="AY139" i="12" a="1"/>
  <c r="AY139" i="12" s="1"/>
  <c r="AY140" i="12" a="1"/>
  <c r="AY140" i="12" s="1"/>
  <c r="AY141" i="12" a="1"/>
  <c r="AY141" i="12" s="1"/>
  <c r="AY142" i="12" a="1"/>
  <c r="AY142" i="12"/>
  <c r="AY143" i="12" a="1"/>
  <c r="AY143" i="12" s="1"/>
  <c r="AY144" i="12" a="1"/>
  <c r="AY144" i="12" s="1"/>
  <c r="AY145" i="12" a="1"/>
  <c r="AY145" i="12" s="1"/>
  <c r="AY146" i="12" a="1"/>
  <c r="AY146" i="12" s="1"/>
  <c r="AY147" i="12" a="1"/>
  <c r="AY147" i="12" s="1"/>
  <c r="AY148" i="12" a="1"/>
  <c r="AY148" i="12"/>
  <c r="AY149" i="12" a="1"/>
  <c r="AY149" i="12" s="1"/>
  <c r="AY150" i="12" a="1"/>
  <c r="AY150" i="12" s="1"/>
  <c r="AY151" i="12" a="1"/>
  <c r="AY151" i="12" s="1"/>
  <c r="AY152" i="12" a="1"/>
  <c r="AY152" i="12" s="1"/>
  <c r="AY153" i="12" a="1"/>
  <c r="AY153" i="12" s="1"/>
  <c r="AY154" i="12" a="1"/>
  <c r="AY154" i="12"/>
  <c r="AY155" i="12" a="1"/>
  <c r="AY155" i="12" s="1"/>
  <c r="AY156" i="12" a="1"/>
  <c r="AY156" i="12" s="1"/>
  <c r="AY157" i="12" a="1"/>
  <c r="AY157" i="12" s="1"/>
  <c r="AY158" i="12" a="1"/>
  <c r="AY158" i="12" s="1"/>
  <c r="AY159" i="12" a="1"/>
  <c r="AY159" i="12" s="1"/>
  <c r="AY160" i="12" a="1"/>
  <c r="AY160" i="12"/>
  <c r="AY161" i="12" a="1"/>
  <c r="AY161" i="12" s="1"/>
  <c r="AY162" i="12" a="1"/>
  <c r="AY162" i="12" s="1"/>
  <c r="AY163" i="12" a="1"/>
  <c r="AY163" i="12" s="1"/>
  <c r="AY164" i="12" a="1"/>
  <c r="AY164" i="12" s="1"/>
  <c r="AY165" i="12" a="1"/>
  <c r="AY165" i="12" s="1"/>
  <c r="AY166" i="12" a="1"/>
  <c r="AY166" i="12"/>
  <c r="AY167" i="12" a="1"/>
  <c r="AY167" i="12" s="1"/>
  <c r="AY168" i="12" a="1"/>
  <c r="AY168" i="12" s="1"/>
  <c r="AY169" i="12" a="1"/>
  <c r="AY169" i="12" s="1"/>
  <c r="AY170" i="12" a="1"/>
  <c r="AY170" i="12" s="1"/>
  <c r="AY171" i="12" a="1"/>
  <c r="AY171" i="12" s="1"/>
  <c r="AY172" i="12" a="1"/>
  <c r="AY172" i="12"/>
  <c r="AY173" i="12" a="1"/>
  <c r="AY173" i="12" s="1"/>
  <c r="AY174" i="12" a="1"/>
  <c r="AY174" i="12" s="1"/>
  <c r="AY175" i="12" a="1"/>
  <c r="AY175" i="12" s="1"/>
  <c r="AY176" i="12" a="1"/>
  <c r="AY176" i="12" s="1"/>
  <c r="AY177" i="12" a="1"/>
  <c r="AY177" i="12" s="1"/>
  <c r="AY178" i="12" a="1"/>
  <c r="AY178" i="12"/>
  <c r="AY179" i="12" a="1"/>
  <c r="AY179" i="12" s="1"/>
  <c r="AY180" i="12" a="1"/>
  <c r="AY180" i="12" s="1"/>
  <c r="AY181" i="12" a="1"/>
  <c r="AY181" i="12" s="1"/>
  <c r="AY182" i="12" a="1"/>
  <c r="AY182" i="12" s="1"/>
  <c r="AY183" i="12" a="1"/>
  <c r="AY183" i="12" s="1"/>
  <c r="AY184" i="12" a="1"/>
  <c r="AY184" i="12"/>
  <c r="AY185" i="12" a="1"/>
  <c r="AY185" i="12" s="1"/>
  <c r="AY186" i="12" a="1"/>
  <c r="AY186" i="12" s="1"/>
  <c r="AY187" i="12" a="1"/>
  <c r="AY187" i="12" s="1"/>
  <c r="AY188" i="12" a="1"/>
  <c r="AY188" i="12" s="1"/>
  <c r="AY189" i="12" a="1"/>
  <c r="AY189" i="12" s="1"/>
  <c r="AY190" i="12" a="1"/>
  <c r="AY190" i="12"/>
  <c r="AY191" i="12" a="1"/>
  <c r="AY191" i="12" s="1"/>
  <c r="AY192" i="12" a="1"/>
  <c r="AY192" i="12" s="1"/>
  <c r="AY193" i="12" a="1"/>
  <c r="AY193" i="12" s="1"/>
  <c r="AY194" i="12" a="1"/>
  <c r="AY194" i="12" s="1"/>
  <c r="AY195" i="12" a="1"/>
  <c r="AY195" i="12" s="1"/>
  <c r="AY196" i="12" a="1"/>
  <c r="AY196" i="12"/>
  <c r="AY197" i="12" a="1"/>
  <c r="AY197" i="12" s="1"/>
  <c r="AY198" i="12" a="1"/>
  <c r="AY198" i="12" s="1"/>
  <c r="AY199" i="12" a="1"/>
  <c r="AY199" i="12" s="1"/>
  <c r="AY200" i="12" a="1"/>
  <c r="AY200" i="12" s="1"/>
  <c r="AY201" i="12" a="1"/>
  <c r="AY201" i="12" s="1"/>
  <c r="AY202" i="12" a="1"/>
  <c r="AY202" i="12"/>
  <c r="AY203" i="12" a="1"/>
  <c r="AY203" i="12" s="1"/>
  <c r="AY204" i="12" a="1"/>
  <c r="AY204" i="12" s="1"/>
  <c r="AY205" i="12" a="1"/>
  <c r="AY205" i="12" s="1"/>
  <c r="AY206" i="12" a="1"/>
  <c r="AY206" i="12" s="1"/>
  <c r="AY207" i="12" a="1"/>
  <c r="AY207" i="12" s="1"/>
  <c r="AY208" i="12" a="1"/>
  <c r="AY208" i="12"/>
  <c r="AY209" i="12" a="1"/>
  <c r="AY209" i="12" s="1"/>
  <c r="AY210" i="12" a="1"/>
  <c r="AY210" i="12" s="1"/>
  <c r="AY211" i="12" a="1"/>
  <c r="AY211" i="12" s="1"/>
  <c r="AY212" i="12" a="1"/>
  <c r="AY212" i="12" s="1"/>
  <c r="AY213" i="12" a="1"/>
  <c r="AY213" i="12" s="1"/>
  <c r="AY214" i="12" a="1"/>
  <c r="AY214" i="12"/>
  <c r="AY215" i="12" a="1"/>
  <c r="AY215" i="12" s="1"/>
  <c r="AY216" i="12" a="1"/>
  <c r="AY216" i="12" s="1"/>
  <c r="AY217" i="12" a="1"/>
  <c r="AY217" i="12" s="1"/>
  <c r="AY218" i="12" a="1"/>
  <c r="AY218" i="12" s="1"/>
  <c r="AY219" i="12" a="1"/>
  <c r="AY219" i="12" s="1"/>
  <c r="AY220" i="12" a="1"/>
  <c r="AY220" i="12"/>
  <c r="AY221" i="12" a="1"/>
  <c r="AY221" i="12" s="1"/>
  <c r="AY222" i="12" a="1"/>
  <c r="AY222" i="12" s="1"/>
  <c r="AY223" i="12" a="1"/>
  <c r="AY223" i="12" s="1"/>
  <c r="AY224" i="12" a="1"/>
  <c r="AY224" i="12" s="1"/>
  <c r="AY225" i="12" a="1"/>
  <c r="AY225" i="12" s="1"/>
  <c r="AY226" i="12" a="1"/>
  <c r="AY226" i="12"/>
  <c r="AY227" i="12" a="1"/>
  <c r="AY227" i="12" s="1"/>
  <c r="AY228" i="12" a="1"/>
  <c r="AY228" i="12" s="1"/>
  <c r="AY229" i="12" a="1"/>
  <c r="AY229" i="12" s="1"/>
  <c r="AY230" i="12" a="1"/>
  <c r="AY230" i="12" s="1"/>
  <c r="AY231" i="12" a="1"/>
  <c r="AY231" i="12" s="1"/>
  <c r="AY232" i="12" a="1"/>
  <c r="AY232" i="12"/>
  <c r="AY233" i="12" a="1"/>
  <c r="AY233" i="12" s="1"/>
  <c r="AY234" i="12" a="1"/>
  <c r="AY234" i="12" s="1"/>
  <c r="AY235" i="12" a="1"/>
  <c r="AY235" i="12" s="1"/>
  <c r="AW5" i="12"/>
  <c r="AW6" i="12"/>
  <c r="AW7" i="12"/>
  <c r="AW8" i="12"/>
  <c r="AW9" i="12"/>
  <c r="AW10" i="12"/>
  <c r="AW11" i="12"/>
  <c r="AW12" i="12"/>
  <c r="AW13" i="12"/>
  <c r="AW14" i="12"/>
  <c r="AW15" i="12"/>
  <c r="AW16" i="12"/>
  <c r="AW17" i="12"/>
  <c r="AW18" i="12"/>
  <c r="AW19" i="12"/>
  <c r="AW20" i="12"/>
  <c r="AW21" i="12"/>
  <c r="AW22" i="12"/>
  <c r="AW23" i="12"/>
  <c r="AW24" i="12"/>
  <c r="AW25" i="12"/>
  <c r="AW26" i="12"/>
  <c r="AW27" i="12"/>
  <c r="AW28" i="12"/>
  <c r="AW29" i="12"/>
  <c r="AW30" i="12"/>
  <c r="AW31" i="12"/>
  <c r="AW32" i="12"/>
  <c r="AW33" i="12"/>
  <c r="AW34" i="12"/>
  <c r="AW35" i="12"/>
  <c r="AW36" i="12"/>
  <c r="AW37" i="12"/>
  <c r="AW38" i="12"/>
  <c r="AW39" i="12"/>
  <c r="AW40" i="12"/>
  <c r="AW41" i="12"/>
  <c r="AW42" i="12"/>
  <c r="AW43" i="12"/>
  <c r="AW44" i="12"/>
  <c r="AW45" i="12"/>
  <c r="AW46" i="12"/>
  <c r="AW47" i="12"/>
  <c r="AW48" i="12"/>
  <c r="AW49" i="12"/>
  <c r="AW50" i="12"/>
  <c r="AW51" i="12"/>
  <c r="AW52" i="12"/>
  <c r="AW53" i="12"/>
  <c r="AW54" i="12"/>
  <c r="AW55" i="12"/>
  <c r="AY56" i="12" a="1"/>
  <c r="AY56" i="12" s="1"/>
  <c r="AW57" i="12"/>
  <c r="AW58" i="12"/>
  <c r="AW59" i="12"/>
  <c r="AW60" i="12"/>
  <c r="AW61" i="12"/>
  <c r="AW62" i="12"/>
  <c r="AW63" i="12"/>
  <c r="AW64" i="12"/>
  <c r="AW65" i="12"/>
  <c r="AW66" i="12"/>
  <c r="AW67" i="12"/>
  <c r="AW76" i="12"/>
  <c r="AW77" i="12"/>
  <c r="AW78" i="12"/>
  <c r="AW79" i="12"/>
  <c r="AW80" i="12"/>
  <c r="AW81" i="12"/>
  <c r="AW82" i="12"/>
  <c r="AW83" i="12"/>
  <c r="AW84" i="12"/>
  <c r="AW85" i="12"/>
  <c r="AW86" i="12"/>
  <c r="AW87" i="12"/>
  <c r="AW88" i="12"/>
  <c r="AW89" i="12"/>
  <c r="AW90" i="12"/>
  <c r="AW91" i="12"/>
  <c r="AW92" i="12"/>
  <c r="AW93" i="12"/>
  <c r="AW94" i="12"/>
  <c r="AW95" i="12"/>
  <c r="AW96" i="12"/>
  <c r="AW97" i="12"/>
  <c r="AW98" i="12"/>
  <c r="AW99" i="12"/>
  <c r="AW100" i="12"/>
  <c r="AW101" i="12"/>
  <c r="AW102" i="12"/>
  <c r="AW103" i="12"/>
  <c r="AW104" i="12"/>
  <c r="AW105" i="12"/>
  <c r="AW106" i="12"/>
  <c r="AW107" i="12"/>
  <c r="AW108" i="12"/>
  <c r="AW109" i="12"/>
  <c r="AW110" i="12"/>
  <c r="AW111" i="12"/>
  <c r="AW112" i="12"/>
  <c r="AW113" i="12"/>
  <c r="AW114" i="12"/>
  <c r="AW115" i="12"/>
  <c r="AW116" i="12"/>
  <c r="AW117" i="12"/>
  <c r="AW118" i="12"/>
  <c r="AW119" i="12"/>
  <c r="AW120" i="12"/>
  <c r="AW121" i="12"/>
  <c r="AW122" i="12"/>
  <c r="AW123" i="12"/>
  <c r="AW124" i="12"/>
  <c r="AW125" i="12"/>
  <c r="AW126" i="12"/>
  <c r="AW127" i="12"/>
  <c r="AW128" i="12"/>
  <c r="AW129" i="12"/>
  <c r="AW130" i="12"/>
  <c r="AW131" i="12"/>
  <c r="AW132" i="12"/>
  <c r="AW133" i="12"/>
  <c r="AW134" i="12"/>
  <c r="AW135" i="12"/>
  <c r="AW136" i="12"/>
  <c r="AW137" i="12"/>
  <c r="AW138" i="12"/>
  <c r="AW139" i="12"/>
  <c r="AW140" i="12"/>
  <c r="AW141" i="12"/>
  <c r="AW142" i="12"/>
  <c r="AW143" i="12"/>
  <c r="AW144" i="12"/>
  <c r="AW145" i="12"/>
  <c r="AW146" i="12"/>
  <c r="AW147" i="12"/>
  <c r="AW148" i="12"/>
  <c r="AW149" i="12"/>
  <c r="AW150" i="12"/>
  <c r="AW151" i="12"/>
  <c r="AW152" i="12"/>
  <c r="AW153" i="12"/>
  <c r="AW154" i="12"/>
  <c r="AW155" i="12"/>
  <c r="AW156" i="12"/>
  <c r="AW157" i="12"/>
  <c r="AW158" i="12"/>
  <c r="AW159" i="12"/>
  <c r="AW160" i="12"/>
  <c r="AW161" i="12"/>
  <c r="AW162" i="12"/>
  <c r="AW163" i="12"/>
  <c r="AW164" i="12"/>
  <c r="AW165" i="12"/>
  <c r="AW166" i="12"/>
  <c r="AW167" i="12"/>
  <c r="AW168" i="12"/>
  <c r="AW169" i="12"/>
  <c r="AW170" i="12"/>
  <c r="AW171" i="12"/>
  <c r="AW172" i="12"/>
  <c r="AW173" i="12"/>
  <c r="AW174" i="12"/>
  <c r="AW175" i="12"/>
  <c r="AW176" i="12"/>
  <c r="AW177" i="12"/>
  <c r="AW178" i="12"/>
  <c r="AW179" i="12"/>
  <c r="AW180" i="12"/>
  <c r="AW181" i="12"/>
  <c r="AW182" i="12"/>
  <c r="AW183" i="12"/>
  <c r="AW184" i="12"/>
  <c r="AW185" i="12"/>
  <c r="AW186" i="12"/>
  <c r="AW187" i="12"/>
  <c r="AW188" i="12"/>
  <c r="AW189" i="12"/>
  <c r="AW190" i="12"/>
  <c r="AW191" i="12"/>
  <c r="AW192" i="12"/>
  <c r="AW193" i="12"/>
  <c r="AW194" i="12"/>
  <c r="AW195" i="12"/>
  <c r="AW196" i="12"/>
  <c r="AW197" i="12"/>
  <c r="AW198" i="12"/>
  <c r="AW199" i="12"/>
  <c r="AW200" i="12"/>
  <c r="AW201" i="12"/>
  <c r="AW202" i="12"/>
  <c r="AW203" i="12"/>
  <c r="AW204" i="12"/>
  <c r="AW205" i="12"/>
  <c r="AW206" i="12"/>
  <c r="AW207" i="12"/>
  <c r="AW208" i="12"/>
  <c r="AW209" i="12"/>
  <c r="AW210" i="12"/>
  <c r="AW211" i="12"/>
  <c r="AW212" i="12"/>
  <c r="AW213" i="12"/>
  <c r="AW214" i="12"/>
  <c r="AW215" i="12"/>
  <c r="AW216" i="12"/>
  <c r="AW217" i="12"/>
  <c r="AW218" i="12"/>
  <c r="AW219" i="12"/>
  <c r="AW220" i="12"/>
  <c r="AW221" i="12"/>
  <c r="AW222" i="12"/>
  <c r="AW223" i="12"/>
  <c r="AW224" i="12"/>
  <c r="AW225" i="12"/>
  <c r="AW226" i="12"/>
  <c r="AW227" i="12"/>
  <c r="AW228" i="12"/>
  <c r="AW229" i="12"/>
  <c r="AW230" i="12"/>
  <c r="AW231" i="12"/>
  <c r="AW232" i="12"/>
  <c r="AW233" i="12"/>
  <c r="AW234" i="12"/>
  <c r="AW235" i="12"/>
  <c r="AV5" i="12"/>
  <c r="AV6" i="12"/>
  <c r="AV7" i="12"/>
  <c r="AV8" i="12"/>
  <c r="AV9" i="12"/>
  <c r="AV10" i="12"/>
  <c r="AV11" i="12"/>
  <c r="AV12" i="12"/>
  <c r="AV13" i="12"/>
  <c r="AV14" i="12"/>
  <c r="AV15" i="12"/>
  <c r="AV16" i="12"/>
  <c r="AV17" i="12"/>
  <c r="AV18" i="12"/>
  <c r="AV19" i="12"/>
  <c r="AV20" i="12"/>
  <c r="AV21" i="12"/>
  <c r="AV22" i="12"/>
  <c r="AV23" i="12"/>
  <c r="AV24" i="12"/>
  <c r="AV25" i="12"/>
  <c r="AV26" i="12"/>
  <c r="AV27" i="12"/>
  <c r="AV28" i="12"/>
  <c r="AV29" i="12"/>
  <c r="AV30" i="12"/>
  <c r="AV31" i="12"/>
  <c r="AV32" i="12"/>
  <c r="AV33" i="12"/>
  <c r="AV34" i="12"/>
  <c r="AV35" i="12"/>
  <c r="AV36" i="12"/>
  <c r="AV37" i="12"/>
  <c r="AV38" i="12"/>
  <c r="AV39" i="12"/>
  <c r="AV40" i="12"/>
  <c r="AV41" i="12"/>
  <c r="AV42" i="12"/>
  <c r="AV43" i="12"/>
  <c r="AV44" i="12"/>
  <c r="AV45" i="12"/>
  <c r="AV46" i="12"/>
  <c r="AV47" i="12"/>
  <c r="AV48" i="12"/>
  <c r="AV49" i="12"/>
  <c r="AV50" i="12"/>
  <c r="AV51" i="12"/>
  <c r="AV52" i="12"/>
  <c r="AV53" i="12"/>
  <c r="AV54" i="12"/>
  <c r="AV55" i="12"/>
  <c r="AV57" i="12"/>
  <c r="AV58" i="12"/>
  <c r="AV59" i="12"/>
  <c r="AV60" i="12"/>
  <c r="AV61" i="12"/>
  <c r="AV62" i="12"/>
  <c r="AV63" i="12"/>
  <c r="AV64" i="12"/>
  <c r="AV65" i="12"/>
  <c r="AV66" i="12"/>
  <c r="AV67" i="12"/>
  <c r="AV75" i="12"/>
  <c r="AV76" i="12"/>
  <c r="AV77" i="12"/>
  <c r="AV78" i="12"/>
  <c r="AV79" i="12"/>
  <c r="AV80" i="12"/>
  <c r="AV81" i="12"/>
  <c r="AV82" i="12"/>
  <c r="AV83" i="12"/>
  <c r="AV84" i="12"/>
  <c r="AV85" i="12"/>
  <c r="AV86" i="12"/>
  <c r="AV87" i="12"/>
  <c r="AV88" i="12"/>
  <c r="AV89" i="12"/>
  <c r="AV90" i="12"/>
  <c r="AV91" i="12"/>
  <c r="AV92" i="12"/>
  <c r="AV93" i="12"/>
  <c r="AV94" i="12"/>
  <c r="AV95" i="12"/>
  <c r="AV96" i="12"/>
  <c r="AV97" i="12"/>
  <c r="AV98" i="12"/>
  <c r="AV99" i="12"/>
  <c r="AV100" i="12"/>
  <c r="AV101" i="12"/>
  <c r="AV102" i="12"/>
  <c r="AV103" i="12"/>
  <c r="AV104" i="12"/>
  <c r="AV105" i="12"/>
  <c r="AV106" i="12"/>
  <c r="AV107" i="12"/>
  <c r="AV108" i="12"/>
  <c r="AV109" i="12"/>
  <c r="AV110" i="12"/>
  <c r="AV111" i="12"/>
  <c r="AV112" i="12"/>
  <c r="AV113" i="12"/>
  <c r="AV114" i="12"/>
  <c r="AV115" i="12"/>
  <c r="AV116" i="12"/>
  <c r="AV117" i="12"/>
  <c r="AV118" i="12"/>
  <c r="AV119" i="12"/>
  <c r="AV120" i="12"/>
  <c r="AV121" i="12"/>
  <c r="AV122" i="12"/>
  <c r="AV123" i="12"/>
  <c r="AV124" i="12"/>
  <c r="AV125" i="12"/>
  <c r="AV126" i="12"/>
  <c r="AV127" i="12"/>
  <c r="AV128" i="12"/>
  <c r="AV129" i="12"/>
  <c r="AV130" i="12"/>
  <c r="AV131" i="12"/>
  <c r="AV132" i="12"/>
  <c r="AV133" i="12"/>
  <c r="AV134" i="12"/>
  <c r="AV135" i="12"/>
  <c r="AV136" i="12"/>
  <c r="AV137" i="12"/>
  <c r="AV138" i="12"/>
  <c r="AV139" i="12"/>
  <c r="AV140" i="12"/>
  <c r="AV141" i="12"/>
  <c r="AV142" i="12"/>
  <c r="AV143" i="12"/>
  <c r="AV144" i="12"/>
  <c r="AV145" i="12"/>
  <c r="AV146" i="12"/>
  <c r="AV147" i="12"/>
  <c r="AV148" i="12"/>
  <c r="AV149" i="12"/>
  <c r="AV150" i="12"/>
  <c r="AV151" i="12"/>
  <c r="AV152" i="12"/>
  <c r="AV153" i="12"/>
  <c r="AV154" i="12"/>
  <c r="AV155" i="12"/>
  <c r="AV156" i="12"/>
  <c r="AV157" i="12"/>
  <c r="AV158" i="12"/>
  <c r="AV159" i="12"/>
  <c r="AV160" i="12"/>
  <c r="AV161" i="12"/>
  <c r="AV162" i="12"/>
  <c r="AV163" i="12"/>
  <c r="AV164" i="12"/>
  <c r="AV165" i="12"/>
  <c r="AV166" i="12"/>
  <c r="AV167" i="12"/>
  <c r="AV168" i="12"/>
  <c r="AV169" i="12"/>
  <c r="AV170" i="12"/>
  <c r="AV171" i="12"/>
  <c r="AV172" i="12"/>
  <c r="AV173" i="12"/>
  <c r="AV174" i="12"/>
  <c r="AV175" i="12"/>
  <c r="AV176" i="12"/>
  <c r="AV177" i="12"/>
  <c r="AV178" i="12"/>
  <c r="AV179" i="12"/>
  <c r="AV180" i="12"/>
  <c r="AV181" i="12"/>
  <c r="AV182" i="12"/>
  <c r="AV183" i="12"/>
  <c r="AV184" i="12"/>
  <c r="AV185" i="12"/>
  <c r="AV186" i="12"/>
  <c r="AV187" i="12"/>
  <c r="AV188" i="12"/>
  <c r="AV189" i="12"/>
  <c r="AV190" i="12"/>
  <c r="AV191" i="12"/>
  <c r="AV192" i="12"/>
  <c r="AV193" i="12"/>
  <c r="AV194" i="12"/>
  <c r="AV195" i="12"/>
  <c r="AV196" i="12"/>
  <c r="AV197" i="12"/>
  <c r="AV198" i="12"/>
  <c r="AV199" i="12"/>
  <c r="AV200" i="12"/>
  <c r="AV201" i="12"/>
  <c r="AV202" i="12"/>
  <c r="AV203" i="12"/>
  <c r="AV204" i="12"/>
  <c r="AV205" i="12"/>
  <c r="AV206" i="12"/>
  <c r="AV207" i="12"/>
  <c r="AV208" i="12"/>
  <c r="AV209" i="12"/>
  <c r="AV210" i="12"/>
  <c r="AV211" i="12"/>
  <c r="AV212" i="12"/>
  <c r="AV213" i="12"/>
  <c r="AV214" i="12"/>
  <c r="AV215" i="12"/>
  <c r="AV216" i="12"/>
  <c r="AV217" i="12"/>
  <c r="AV218" i="12"/>
  <c r="AV219" i="12"/>
  <c r="AV220" i="12"/>
  <c r="AV221" i="12"/>
  <c r="AV222" i="12"/>
  <c r="AV223" i="12"/>
  <c r="AV224" i="12"/>
  <c r="AV225" i="12"/>
  <c r="AV226" i="12"/>
  <c r="AV227" i="12"/>
  <c r="AV228" i="12"/>
  <c r="AV229" i="12"/>
  <c r="AV230" i="12"/>
  <c r="AV231" i="12"/>
  <c r="AV232" i="12"/>
  <c r="AV233" i="12"/>
  <c r="AV234" i="12"/>
  <c r="AV235" i="12"/>
  <c r="AU5" i="12"/>
  <c r="AU6" i="12"/>
  <c r="AU7" i="12"/>
  <c r="AU8" i="12"/>
  <c r="AU9" i="12"/>
  <c r="AU10" i="12"/>
  <c r="AU11" i="12"/>
  <c r="AU12" i="12"/>
  <c r="AU13" i="12"/>
  <c r="AU14" i="12"/>
  <c r="AU15" i="12"/>
  <c r="AU16" i="12"/>
  <c r="AU17" i="12"/>
  <c r="AU18" i="12"/>
  <c r="AU19" i="12"/>
  <c r="AU20" i="12"/>
  <c r="AU21" i="12"/>
  <c r="AU22" i="12"/>
  <c r="AU23" i="12"/>
  <c r="AU24" i="12"/>
  <c r="AU25" i="12"/>
  <c r="AU26" i="12"/>
  <c r="AU27" i="12"/>
  <c r="AU28" i="12"/>
  <c r="AU29" i="12"/>
  <c r="AU30" i="12"/>
  <c r="AU31" i="12"/>
  <c r="AU32" i="12"/>
  <c r="AU33" i="12"/>
  <c r="AU34" i="12"/>
  <c r="AU35" i="12"/>
  <c r="AU36" i="12"/>
  <c r="AU37" i="12"/>
  <c r="AU38" i="12"/>
  <c r="AU39" i="12"/>
  <c r="AU40" i="12"/>
  <c r="AU41" i="12"/>
  <c r="AU42" i="12"/>
  <c r="AU43" i="12"/>
  <c r="AU44" i="12"/>
  <c r="AU45" i="12"/>
  <c r="AU46" i="12"/>
  <c r="AU47" i="12"/>
  <c r="AU48" i="12"/>
  <c r="AU49" i="12"/>
  <c r="AU50" i="12"/>
  <c r="AU51" i="12"/>
  <c r="AU52" i="12"/>
  <c r="AU53" i="12"/>
  <c r="AU54" i="12"/>
  <c r="AU55" i="12"/>
  <c r="AU57" i="12"/>
  <c r="AU58" i="12"/>
  <c r="AU59" i="12"/>
  <c r="AU60" i="12"/>
  <c r="AU61" i="12"/>
  <c r="AU62" i="12"/>
  <c r="AU63" i="12"/>
  <c r="AU64" i="12"/>
  <c r="AU65" i="12"/>
  <c r="AU66" i="12"/>
  <c r="AU67" i="12"/>
  <c r="AU73" i="12"/>
  <c r="AU74" i="12"/>
  <c r="AU75" i="12"/>
  <c r="AU76" i="12"/>
  <c r="AU77" i="12"/>
  <c r="AU78" i="12"/>
  <c r="AU79" i="12"/>
  <c r="AU80" i="12"/>
  <c r="AU81" i="12"/>
  <c r="AU82" i="12"/>
  <c r="AU83" i="12"/>
  <c r="AU84" i="12"/>
  <c r="AU85" i="12"/>
  <c r="AU86" i="12"/>
  <c r="AU87" i="12"/>
  <c r="AU88" i="12"/>
  <c r="AU89" i="12"/>
  <c r="AU90" i="12"/>
  <c r="AU91" i="12"/>
  <c r="AU92" i="12"/>
  <c r="AU93" i="12"/>
  <c r="AU94" i="12"/>
  <c r="AU95" i="12"/>
  <c r="AU96" i="12"/>
  <c r="AU97" i="12"/>
  <c r="AU98" i="12"/>
  <c r="AU99" i="12"/>
  <c r="AU100" i="12"/>
  <c r="AU101" i="12"/>
  <c r="AU102" i="12"/>
  <c r="AU103" i="12"/>
  <c r="AU104" i="12"/>
  <c r="AU105" i="12"/>
  <c r="AU106" i="12"/>
  <c r="AU107" i="12"/>
  <c r="AU108" i="12"/>
  <c r="AU109" i="12"/>
  <c r="AU110" i="12"/>
  <c r="AU111" i="12"/>
  <c r="AU112" i="12"/>
  <c r="AU113" i="12"/>
  <c r="AU114" i="12"/>
  <c r="AU115" i="12"/>
  <c r="AU116" i="12"/>
  <c r="AU117" i="12"/>
  <c r="AU118" i="12"/>
  <c r="AU119" i="12"/>
  <c r="AU120" i="12"/>
  <c r="AU121" i="12"/>
  <c r="AU122" i="12"/>
  <c r="AU123" i="12"/>
  <c r="AU124" i="12"/>
  <c r="AU125" i="12"/>
  <c r="AU126" i="12"/>
  <c r="AU127" i="12"/>
  <c r="AU128" i="12"/>
  <c r="AU129" i="12"/>
  <c r="AU130" i="12"/>
  <c r="AU131" i="12"/>
  <c r="AU132" i="12"/>
  <c r="AU133" i="12"/>
  <c r="AU134" i="12"/>
  <c r="AU135" i="12"/>
  <c r="AU136" i="12"/>
  <c r="AU137" i="12"/>
  <c r="AU138" i="12"/>
  <c r="AU139" i="12"/>
  <c r="AU140" i="12"/>
  <c r="AU141" i="12"/>
  <c r="AU142" i="12"/>
  <c r="AU143" i="12"/>
  <c r="AU144" i="12"/>
  <c r="AU145" i="12"/>
  <c r="AU146" i="12"/>
  <c r="AU147" i="12"/>
  <c r="AU148" i="12"/>
  <c r="AU149" i="12"/>
  <c r="AU150" i="12"/>
  <c r="AU151" i="12"/>
  <c r="AU152" i="12"/>
  <c r="AU153" i="12"/>
  <c r="AU154" i="12"/>
  <c r="AU155" i="12"/>
  <c r="AU156" i="12"/>
  <c r="AU157" i="12"/>
  <c r="AU158" i="12"/>
  <c r="AU159" i="12"/>
  <c r="AU160" i="12"/>
  <c r="AU161" i="12"/>
  <c r="AU162" i="12"/>
  <c r="AU163" i="12"/>
  <c r="AU164" i="12"/>
  <c r="AU165" i="12"/>
  <c r="AU166" i="12"/>
  <c r="AU167" i="12"/>
  <c r="AU168" i="12"/>
  <c r="AU169" i="12"/>
  <c r="AU170" i="12"/>
  <c r="AU171" i="12"/>
  <c r="AU172" i="12"/>
  <c r="AU173" i="12"/>
  <c r="AU174" i="12"/>
  <c r="AU175" i="12"/>
  <c r="AU176" i="12"/>
  <c r="AU177" i="12"/>
  <c r="AU178" i="12"/>
  <c r="AU179" i="12"/>
  <c r="AU180" i="12"/>
  <c r="AU181" i="12"/>
  <c r="AU182" i="12"/>
  <c r="AU183" i="12"/>
  <c r="AU184" i="12"/>
  <c r="AU185" i="12"/>
  <c r="AU186" i="12"/>
  <c r="AU187" i="12"/>
  <c r="AU188" i="12"/>
  <c r="AU189" i="12"/>
  <c r="AU190" i="12"/>
  <c r="AU191" i="12"/>
  <c r="AU192" i="12"/>
  <c r="AU193" i="12"/>
  <c r="AU194" i="12"/>
  <c r="AU195" i="12"/>
  <c r="AU196" i="12"/>
  <c r="AU197" i="12"/>
  <c r="AU198" i="12"/>
  <c r="AU199" i="12"/>
  <c r="AU200" i="12"/>
  <c r="AU201" i="12"/>
  <c r="AU202" i="12"/>
  <c r="AU203" i="12"/>
  <c r="AU204" i="12"/>
  <c r="AU205" i="12"/>
  <c r="AU206" i="12"/>
  <c r="AU207" i="12"/>
  <c r="AU208" i="12"/>
  <c r="AU209" i="12"/>
  <c r="AU210" i="12"/>
  <c r="AU211" i="12"/>
  <c r="AU212" i="12"/>
  <c r="AU213" i="12"/>
  <c r="AU214" i="12"/>
  <c r="AU215" i="12"/>
  <c r="AU216" i="12"/>
  <c r="AU217" i="12"/>
  <c r="AU218" i="12"/>
  <c r="AU219" i="12"/>
  <c r="AU220" i="12"/>
  <c r="AU221" i="12"/>
  <c r="AU222" i="12"/>
  <c r="AU223" i="12"/>
  <c r="AU224" i="12"/>
  <c r="AU225" i="12"/>
  <c r="AU226" i="12"/>
  <c r="AU227" i="12"/>
  <c r="AU228" i="12"/>
  <c r="AU229" i="12"/>
  <c r="AU230" i="12"/>
  <c r="AU231" i="12"/>
  <c r="AU232" i="12"/>
  <c r="AU233" i="12"/>
  <c r="AU234" i="12"/>
  <c r="AU235" i="12"/>
  <c r="AT4" i="12" a="1"/>
  <c r="AT4" i="12" s="1"/>
  <c r="AS5" i="12" a="1"/>
  <c r="AS5" i="12" s="1"/>
  <c r="AS6" i="12" a="1"/>
  <c r="AS6" i="12" s="1"/>
  <c r="AS7" i="12" a="1"/>
  <c r="AS7" i="12" s="1"/>
  <c r="AS8" i="12" a="1"/>
  <c r="AS8" i="12" s="1"/>
  <c r="AS9" i="12" a="1"/>
  <c r="AS9" i="12" s="1"/>
  <c r="AS10" i="12" a="1"/>
  <c r="AS10" i="12"/>
  <c r="AS11" i="12" a="1"/>
  <c r="AS11" i="12" s="1"/>
  <c r="AS12" i="12" a="1"/>
  <c r="AS12" i="12" s="1"/>
  <c r="AS13" i="12" a="1"/>
  <c r="AS13" i="12" s="1"/>
  <c r="AS14" i="12" a="1"/>
  <c r="AS14" i="12" s="1"/>
  <c r="AS15" i="12" a="1"/>
  <c r="AS15" i="12" s="1"/>
  <c r="AS16" i="12" a="1"/>
  <c r="AS16" i="12"/>
  <c r="AS17" i="12" a="1"/>
  <c r="AS17" i="12" s="1"/>
  <c r="AS18" i="12" a="1"/>
  <c r="AS18" i="12" s="1"/>
  <c r="AS19" i="12" a="1"/>
  <c r="AS19" i="12" s="1"/>
  <c r="AS20" i="12" a="1"/>
  <c r="AS20" i="12" s="1"/>
  <c r="AS21" i="12" a="1"/>
  <c r="AS21" i="12" s="1"/>
  <c r="AS22" i="12" a="1"/>
  <c r="AS22" i="12"/>
  <c r="AS23" i="12" a="1"/>
  <c r="AS23" i="12" s="1"/>
  <c r="AS24" i="12" a="1"/>
  <c r="AS24" i="12" s="1"/>
  <c r="AS25" i="12" a="1"/>
  <c r="AS25" i="12" s="1"/>
  <c r="AS26" i="12" a="1"/>
  <c r="AS26" i="12" s="1"/>
  <c r="AS27" i="12" a="1"/>
  <c r="AS27" i="12" s="1"/>
  <c r="AS28" i="12" a="1"/>
  <c r="AS28" i="12"/>
  <c r="AS29" i="12" a="1"/>
  <c r="AS29" i="12" s="1"/>
  <c r="AS30" i="12" a="1"/>
  <c r="AS30" i="12" s="1"/>
  <c r="AS31" i="12" a="1"/>
  <c r="AS31" i="12" s="1"/>
  <c r="AS32" i="12" a="1"/>
  <c r="AS32" i="12" s="1"/>
  <c r="AS33" i="12" a="1"/>
  <c r="AS33" i="12" s="1"/>
  <c r="AS34" i="12" a="1"/>
  <c r="AS34" i="12"/>
  <c r="AS35" i="12" a="1"/>
  <c r="AS35" i="12" s="1"/>
  <c r="AS36" i="12" a="1"/>
  <c r="AS36" i="12" s="1"/>
  <c r="AS37" i="12" a="1"/>
  <c r="AS37" i="12" s="1"/>
  <c r="AS38" i="12" a="1"/>
  <c r="AS38" i="12" s="1"/>
  <c r="AS39" i="12" a="1"/>
  <c r="AS39" i="12" s="1"/>
  <c r="AS40" i="12" a="1"/>
  <c r="AS40" i="12"/>
  <c r="AS41" i="12" a="1"/>
  <c r="AS41" i="12" s="1"/>
  <c r="AS42" i="12" a="1"/>
  <c r="AS42" i="12" s="1"/>
  <c r="AS43" i="12" a="1"/>
  <c r="AS43" i="12" s="1"/>
  <c r="AS44" i="12" a="1"/>
  <c r="AS44" i="12" s="1"/>
  <c r="AS45" i="12" a="1"/>
  <c r="AS45" i="12" s="1"/>
  <c r="AS46" i="12" a="1"/>
  <c r="AS46" i="12"/>
  <c r="AS47" i="12" a="1"/>
  <c r="AS47" i="12" s="1"/>
  <c r="AS48" i="12" a="1"/>
  <c r="AS48" i="12" s="1"/>
  <c r="AS49" i="12" a="1"/>
  <c r="AS49" i="12" s="1"/>
  <c r="AS50" i="12" a="1"/>
  <c r="AS50" i="12" s="1"/>
  <c r="AS51" i="12" a="1"/>
  <c r="AS51" i="12" s="1"/>
  <c r="AS52" i="12" a="1"/>
  <c r="AS52" i="12"/>
  <c r="AS53" i="12" a="1"/>
  <c r="AS53" i="12" s="1"/>
  <c r="AS54" i="12" a="1"/>
  <c r="AS54" i="12" s="1"/>
  <c r="AS55" i="12" a="1"/>
  <c r="AS55" i="12" s="1"/>
  <c r="AS56" i="12" a="1"/>
  <c r="AS56" i="12" s="1"/>
  <c r="AS57" i="12" a="1"/>
  <c r="AS57" i="12" s="1"/>
  <c r="AS58" i="12" a="1"/>
  <c r="AS58" i="12"/>
  <c r="AS59" i="12" a="1"/>
  <c r="AS59" i="12" s="1"/>
  <c r="AS60" i="12" a="1"/>
  <c r="AS60" i="12" s="1"/>
  <c r="AS61" i="12" a="1"/>
  <c r="AS61" i="12" s="1"/>
  <c r="AS62" i="12" a="1"/>
  <c r="AS62" i="12" s="1"/>
  <c r="AS63" i="12" a="1"/>
  <c r="AS63" i="12" s="1"/>
  <c r="AS64" i="12" a="1"/>
  <c r="AS64" i="12"/>
  <c r="AS65" i="12" a="1"/>
  <c r="AS65" i="12" s="1"/>
  <c r="AS66" i="12" a="1"/>
  <c r="AS66" i="12" s="1"/>
  <c r="AS67" i="12" a="1"/>
  <c r="AS67" i="12" s="1"/>
  <c r="AS68" i="12" a="1"/>
  <c r="AS68" i="12" s="1"/>
  <c r="AS69" i="12" a="1"/>
  <c r="AS69" i="12" s="1"/>
  <c r="AS70" i="12" a="1"/>
  <c r="AS70" i="12"/>
  <c r="AS71" i="12" a="1"/>
  <c r="AS71" i="12" s="1"/>
  <c r="AS72" i="12" a="1"/>
  <c r="AS72" i="12" s="1"/>
  <c r="AS73" i="12" a="1"/>
  <c r="AS73" i="12" s="1"/>
  <c r="AS74" i="12" a="1"/>
  <c r="AS74" i="12" s="1"/>
  <c r="AS75" i="12" a="1"/>
  <c r="AS75" i="12" s="1"/>
  <c r="AS76" i="12" a="1"/>
  <c r="AS76" i="12"/>
  <c r="AS77" i="12" a="1"/>
  <c r="AS77" i="12" s="1"/>
  <c r="AS78" i="12" a="1"/>
  <c r="AS78" i="12" s="1"/>
  <c r="AS79" i="12" a="1"/>
  <c r="AS79" i="12" s="1"/>
  <c r="AS80" i="12" a="1"/>
  <c r="AS80" i="12" s="1"/>
  <c r="AS81" i="12" a="1"/>
  <c r="AS81" i="12" s="1"/>
  <c r="AS82" i="12" a="1"/>
  <c r="AS82" i="12"/>
  <c r="AS83" i="12" a="1"/>
  <c r="AS83" i="12" s="1"/>
  <c r="AS84" i="12" a="1"/>
  <c r="AS84" i="12" s="1"/>
  <c r="AS85" i="12" a="1"/>
  <c r="AS85" i="12" s="1"/>
  <c r="AS86" i="12" a="1"/>
  <c r="AS86" i="12" s="1"/>
  <c r="AS87" i="12" a="1"/>
  <c r="AS87" i="12" s="1"/>
  <c r="AS88" i="12" a="1"/>
  <c r="AS88" i="12"/>
  <c r="AS89" i="12" a="1"/>
  <c r="AS89" i="12" s="1"/>
  <c r="AS90" i="12" a="1"/>
  <c r="AS90" i="12" s="1"/>
  <c r="AS91" i="12" a="1"/>
  <c r="AS91" i="12" s="1"/>
  <c r="AS92" i="12" a="1"/>
  <c r="AS92" i="12" s="1"/>
  <c r="AS93" i="12" a="1"/>
  <c r="AS93" i="12" s="1"/>
  <c r="AS94" i="12" a="1"/>
  <c r="AS94" i="12"/>
  <c r="AS95" i="12" a="1"/>
  <c r="AS95" i="12" s="1"/>
  <c r="AS96" i="12" a="1"/>
  <c r="AS96" i="12" s="1"/>
  <c r="AS97" i="12" a="1"/>
  <c r="AS97" i="12" s="1"/>
  <c r="AS98" i="12" a="1"/>
  <c r="AS98" i="12" s="1"/>
  <c r="AS99" i="12" a="1"/>
  <c r="AS99" i="12" s="1"/>
  <c r="AS100" i="12" a="1"/>
  <c r="AS100" i="12"/>
  <c r="AS101" i="12" a="1"/>
  <c r="AS101" i="12" s="1"/>
  <c r="AS102" i="12" a="1"/>
  <c r="AS102" i="12" s="1"/>
  <c r="AS103" i="12" a="1"/>
  <c r="AS103" i="12" s="1"/>
  <c r="AS104" i="12" a="1"/>
  <c r="AS104" i="12" s="1"/>
  <c r="AS105" i="12" a="1"/>
  <c r="AS105" i="12" s="1"/>
  <c r="AS106" i="12" a="1"/>
  <c r="AS106" i="12"/>
  <c r="AS107" i="12" a="1"/>
  <c r="AS107" i="12" s="1"/>
  <c r="AS108" i="12" a="1"/>
  <c r="AS108" i="12" s="1"/>
  <c r="AS109" i="12" a="1"/>
  <c r="AS109" i="12" s="1"/>
  <c r="AS110" i="12" a="1"/>
  <c r="AS110" i="12" s="1"/>
  <c r="AS111" i="12" a="1"/>
  <c r="AS111" i="12" s="1"/>
  <c r="AS112" i="12" a="1"/>
  <c r="AS112" i="12"/>
  <c r="AS113" i="12" a="1"/>
  <c r="AS113" i="12" s="1"/>
  <c r="AS114" i="12" a="1"/>
  <c r="AS114" i="12" s="1"/>
  <c r="AS115" i="12" a="1"/>
  <c r="AS115" i="12" s="1"/>
  <c r="AS116" i="12" a="1"/>
  <c r="AS116" i="12" s="1"/>
  <c r="AS117" i="12" a="1"/>
  <c r="AS117" i="12" s="1"/>
  <c r="AS118" i="12" a="1"/>
  <c r="AS118" i="12"/>
  <c r="AS119" i="12" a="1"/>
  <c r="AS119" i="12" s="1"/>
  <c r="AS120" i="12" a="1"/>
  <c r="AS120" i="12" s="1"/>
  <c r="AS121" i="12" a="1"/>
  <c r="AS121" i="12" s="1"/>
  <c r="AS122" i="12" a="1"/>
  <c r="AS122" i="12" s="1"/>
  <c r="AS123" i="12" a="1"/>
  <c r="AS123" i="12" s="1"/>
  <c r="AS124" i="12" a="1"/>
  <c r="AS124" i="12"/>
  <c r="AS125" i="12" a="1"/>
  <c r="AS125" i="12" s="1"/>
  <c r="AS126" i="12" a="1"/>
  <c r="AS126" i="12" s="1"/>
  <c r="AS127" i="12" a="1"/>
  <c r="AS127" i="12" s="1"/>
  <c r="AS128" i="12" a="1"/>
  <c r="AS128" i="12" s="1"/>
  <c r="AS129" i="12" a="1"/>
  <c r="AS129" i="12" s="1"/>
  <c r="AS130" i="12" a="1"/>
  <c r="AS130" i="12"/>
  <c r="AS131" i="12" a="1"/>
  <c r="AS131" i="12" s="1"/>
  <c r="AS132" i="12" a="1"/>
  <c r="AS132" i="12" s="1"/>
  <c r="AS133" i="12" a="1"/>
  <c r="AS133" i="12" s="1"/>
  <c r="AS134" i="12" a="1"/>
  <c r="AS134" i="12" s="1"/>
  <c r="AS135" i="12" a="1"/>
  <c r="AS135" i="12" s="1"/>
  <c r="AS136" i="12" a="1"/>
  <c r="AS136" i="12"/>
  <c r="AS137" i="12" a="1"/>
  <c r="AS137" i="12" s="1"/>
  <c r="AS138" i="12" a="1"/>
  <c r="AS138" i="12" s="1"/>
  <c r="AS139" i="12" a="1"/>
  <c r="AS139" i="12" s="1"/>
  <c r="AS140" i="12" a="1"/>
  <c r="AS140" i="12" s="1"/>
  <c r="AS141" i="12" a="1"/>
  <c r="AS141" i="12" s="1"/>
  <c r="AS142" i="12" a="1"/>
  <c r="AS142" i="12"/>
  <c r="AS143" i="12" a="1"/>
  <c r="AS143" i="12" s="1"/>
  <c r="AS144" i="12" a="1"/>
  <c r="AS144" i="12" s="1"/>
  <c r="AS145" i="12" a="1"/>
  <c r="AS145" i="12" s="1"/>
  <c r="AS146" i="12" a="1"/>
  <c r="AS146" i="12" s="1"/>
  <c r="AS147" i="12" a="1"/>
  <c r="AS147" i="12" s="1"/>
  <c r="AS148" i="12" a="1"/>
  <c r="AS148" i="12"/>
  <c r="AS149" i="12" a="1"/>
  <c r="AS149" i="12" s="1"/>
  <c r="AS150" i="12" a="1"/>
  <c r="AS150" i="12" s="1"/>
  <c r="AS151" i="12" a="1"/>
  <c r="AS151" i="12" s="1"/>
  <c r="AS152" i="12" a="1"/>
  <c r="AS152" i="12" s="1"/>
  <c r="AS153" i="12" a="1"/>
  <c r="AS153" i="12" s="1"/>
  <c r="AS154" i="12" a="1"/>
  <c r="AS154" i="12"/>
  <c r="AS155" i="12" a="1"/>
  <c r="AS155" i="12" s="1"/>
  <c r="AS156" i="12" a="1"/>
  <c r="AS156" i="12" s="1"/>
  <c r="AS157" i="12" a="1"/>
  <c r="AS157" i="12" s="1"/>
  <c r="AS158" i="12" a="1"/>
  <c r="AS158" i="12" s="1"/>
  <c r="AS159" i="12" a="1"/>
  <c r="AS159" i="12" s="1"/>
  <c r="AS160" i="12" a="1"/>
  <c r="AS160" i="12"/>
  <c r="AS161" i="12" a="1"/>
  <c r="AS161" i="12" s="1"/>
  <c r="AS162" i="12" a="1"/>
  <c r="AS162" i="12" s="1"/>
  <c r="AS163" i="12" a="1"/>
  <c r="AS163" i="12" s="1"/>
  <c r="AS164" i="12" a="1"/>
  <c r="AS164" i="12" s="1"/>
  <c r="AS165" i="12" a="1"/>
  <c r="AS165" i="12" s="1"/>
  <c r="AS166" i="12" a="1"/>
  <c r="AS166" i="12"/>
  <c r="AS167" i="12" a="1"/>
  <c r="AS167" i="12" s="1"/>
  <c r="AS168" i="12" a="1"/>
  <c r="AS168" i="12" s="1"/>
  <c r="AS169" i="12" a="1"/>
  <c r="AS169" i="12" s="1"/>
  <c r="AS170" i="12" a="1"/>
  <c r="AS170" i="12" s="1"/>
  <c r="AS171" i="12" a="1"/>
  <c r="AS171" i="12" s="1"/>
  <c r="AS172" i="12" a="1"/>
  <c r="AS172" i="12"/>
  <c r="AS173" i="12" a="1"/>
  <c r="AS173" i="12" s="1"/>
  <c r="AS174" i="12" a="1"/>
  <c r="AS174" i="12" s="1"/>
  <c r="AS175" i="12" a="1"/>
  <c r="AS175" i="12" s="1"/>
  <c r="AS176" i="12" a="1"/>
  <c r="AS176" i="12" s="1"/>
  <c r="AS177" i="12" a="1"/>
  <c r="AS177" i="12" s="1"/>
  <c r="AS178" i="12" a="1"/>
  <c r="AS178" i="12"/>
  <c r="AS179" i="12" a="1"/>
  <c r="AS179" i="12" s="1"/>
  <c r="AS180" i="12" a="1"/>
  <c r="AS180" i="12" s="1"/>
  <c r="AS181" i="12" a="1"/>
  <c r="AS181" i="12" s="1"/>
  <c r="AS182" i="12" a="1"/>
  <c r="AS182" i="12" s="1"/>
  <c r="AS183" i="12" a="1"/>
  <c r="AS183" i="12" s="1"/>
  <c r="AS184" i="12" a="1"/>
  <c r="AS184" i="12"/>
  <c r="AS185" i="12" a="1"/>
  <c r="AS185" i="12" s="1"/>
  <c r="AS186" i="12" a="1"/>
  <c r="AS186" i="12" s="1"/>
  <c r="AS187" i="12" a="1"/>
  <c r="AS187" i="12" s="1"/>
  <c r="AS188" i="12" a="1"/>
  <c r="AS188" i="12" s="1"/>
  <c r="AS189" i="12" a="1"/>
  <c r="AS189" i="12" s="1"/>
  <c r="AS190" i="12" a="1"/>
  <c r="AS190" i="12"/>
  <c r="AS191" i="12" a="1"/>
  <c r="AS191" i="12" s="1"/>
  <c r="AS192" i="12" a="1"/>
  <c r="AS192" i="12" s="1"/>
  <c r="AS193" i="12" a="1"/>
  <c r="AS193" i="12" s="1"/>
  <c r="AS194" i="12" a="1"/>
  <c r="AS194" i="12" s="1"/>
  <c r="AS195" i="12" a="1"/>
  <c r="AS195" i="12" s="1"/>
  <c r="AS196" i="12" a="1"/>
  <c r="AS196" i="12"/>
  <c r="AS197" i="12" a="1"/>
  <c r="AS197" i="12" s="1"/>
  <c r="AS198" i="12" a="1"/>
  <c r="AS198" i="12" s="1"/>
  <c r="AS199" i="12" a="1"/>
  <c r="AS199" i="12" s="1"/>
  <c r="AS200" i="12" a="1"/>
  <c r="AS200" i="12" s="1"/>
  <c r="AS201" i="12" a="1"/>
  <c r="AS201" i="12" s="1"/>
  <c r="AS202" i="12" a="1"/>
  <c r="AS202" i="12"/>
  <c r="AS203" i="12" a="1"/>
  <c r="AS203" i="12" s="1"/>
  <c r="AS204" i="12" a="1"/>
  <c r="AS204" i="12" s="1"/>
  <c r="AS205" i="12" a="1"/>
  <c r="AS205" i="12" s="1"/>
  <c r="AS206" i="12" a="1"/>
  <c r="AS206" i="12" s="1"/>
  <c r="AS207" i="12" a="1"/>
  <c r="AS207" i="12" s="1"/>
  <c r="AS208" i="12" a="1"/>
  <c r="AS208" i="12"/>
  <c r="AS209" i="12" a="1"/>
  <c r="AS209" i="12" s="1"/>
  <c r="AS210" i="12" a="1"/>
  <c r="AS210" i="12" s="1"/>
  <c r="AS211" i="12" a="1"/>
  <c r="AS211" i="12" s="1"/>
  <c r="AS212" i="12" a="1"/>
  <c r="AS212" i="12" s="1"/>
  <c r="AS213" i="12" a="1"/>
  <c r="AS213" i="12" s="1"/>
  <c r="AS214" i="12" a="1"/>
  <c r="AS214" i="12"/>
  <c r="AS215" i="12" a="1"/>
  <c r="AS215" i="12" s="1"/>
  <c r="AS216" i="12" a="1"/>
  <c r="AS216" i="12" s="1"/>
  <c r="AS217" i="12" a="1"/>
  <c r="AS217" i="12" s="1"/>
  <c r="AS218" i="12" a="1"/>
  <c r="AS218" i="12" s="1"/>
  <c r="AS219" i="12" a="1"/>
  <c r="AS219" i="12" s="1"/>
  <c r="AS220" i="12" a="1"/>
  <c r="AS220" i="12"/>
  <c r="AS221" i="12" a="1"/>
  <c r="AS221" i="12" s="1"/>
  <c r="AS222" i="12" a="1"/>
  <c r="AS222" i="12" s="1"/>
  <c r="AS223" i="12" a="1"/>
  <c r="AS223" i="12" s="1"/>
  <c r="AS224" i="12" a="1"/>
  <c r="AS224" i="12" s="1"/>
  <c r="AS225" i="12" a="1"/>
  <c r="AS225" i="12" s="1"/>
  <c r="AS226" i="12" a="1"/>
  <c r="AS226" i="12"/>
  <c r="AS227" i="12" a="1"/>
  <c r="AS227" i="12" s="1"/>
  <c r="AS228" i="12" a="1"/>
  <c r="AS228" i="12" s="1"/>
  <c r="AS229" i="12" a="1"/>
  <c r="AS229" i="12" s="1"/>
  <c r="AS230" i="12" a="1"/>
  <c r="AS230" i="12" s="1"/>
  <c r="AS231" i="12" a="1"/>
  <c r="AS231" i="12" s="1"/>
  <c r="AS232" i="12" a="1"/>
  <c r="AS232" i="12"/>
  <c r="AS233" i="12" a="1"/>
  <c r="AS233" i="12" s="1"/>
  <c r="AS234" i="12" a="1"/>
  <c r="AS234" i="12" s="1"/>
  <c r="AS235" i="12" a="1"/>
  <c r="AS235" i="12" s="1"/>
  <c r="AS4" i="12" a="1"/>
  <c r="AS4" i="12" s="1"/>
  <c r="AR5" i="12" a="1"/>
  <c r="AR5" i="12" s="1"/>
  <c r="AR6" i="12" a="1"/>
  <c r="AR6" i="12" s="1"/>
  <c r="AR7" i="12" a="1"/>
  <c r="AR7" i="12" s="1"/>
  <c r="AR8" i="12" a="1"/>
  <c r="AR8" i="12" s="1"/>
  <c r="AR9" i="12" a="1"/>
  <c r="AR9" i="12" s="1"/>
  <c r="AR10" i="12" a="1"/>
  <c r="AR10" i="12"/>
  <c r="AR11" i="12" a="1"/>
  <c r="AR11" i="12" s="1"/>
  <c r="AR12" i="12" a="1"/>
  <c r="AR12" i="12" s="1"/>
  <c r="AR13" i="12" a="1"/>
  <c r="AR13" i="12" s="1"/>
  <c r="AR14" i="12" a="1"/>
  <c r="AR14" i="12" s="1"/>
  <c r="AR15" i="12" a="1"/>
  <c r="AR15" i="12" s="1"/>
  <c r="AR16" i="12" a="1"/>
  <c r="AR16" i="12"/>
  <c r="AR17" i="12" a="1"/>
  <c r="AR17" i="12" s="1"/>
  <c r="AR18" i="12" a="1"/>
  <c r="AR18" i="12" s="1"/>
  <c r="AR19" i="12" a="1"/>
  <c r="AR19" i="12" s="1"/>
  <c r="AR20" i="12" a="1"/>
  <c r="AR20" i="12" s="1"/>
  <c r="AR21" i="12" a="1"/>
  <c r="AR21" i="12" s="1"/>
  <c r="AR22" i="12" a="1"/>
  <c r="AR22" i="12"/>
  <c r="AR23" i="12" a="1"/>
  <c r="AR23" i="12" s="1"/>
  <c r="AR24" i="12" a="1"/>
  <c r="AR24" i="12" s="1"/>
  <c r="AR25" i="12" a="1"/>
  <c r="AR25" i="12" s="1"/>
  <c r="AR26" i="12" a="1"/>
  <c r="AR26" i="12" s="1"/>
  <c r="AR27" i="12" a="1"/>
  <c r="AR27" i="12" s="1"/>
  <c r="AR28" i="12" a="1"/>
  <c r="AR28" i="12"/>
  <c r="AR29" i="12" a="1"/>
  <c r="AR29" i="12" s="1"/>
  <c r="AR30" i="12" a="1"/>
  <c r="AR30" i="12" s="1"/>
  <c r="AR31" i="12" a="1"/>
  <c r="AR31" i="12" s="1"/>
  <c r="AR32" i="12" a="1"/>
  <c r="AR32" i="12" s="1"/>
  <c r="AR33" i="12" a="1"/>
  <c r="AR33" i="12" s="1"/>
  <c r="AR34" i="12" a="1"/>
  <c r="AR34" i="12"/>
  <c r="AR35" i="12" a="1"/>
  <c r="AR35" i="12" s="1"/>
  <c r="AR36" i="12" a="1"/>
  <c r="AR36" i="12" s="1"/>
  <c r="AR37" i="12" a="1"/>
  <c r="AR37" i="12" s="1"/>
  <c r="AR38" i="12" a="1"/>
  <c r="AR38" i="12" s="1"/>
  <c r="AR39" i="12" a="1"/>
  <c r="AR39" i="12" s="1"/>
  <c r="AR40" i="12" a="1"/>
  <c r="AR40" i="12"/>
  <c r="AR41" i="12" a="1"/>
  <c r="AR41" i="12" s="1"/>
  <c r="AR42" i="12" a="1"/>
  <c r="AR42" i="12" s="1"/>
  <c r="AR43" i="12" a="1"/>
  <c r="AR43" i="12" s="1"/>
  <c r="AR44" i="12" a="1"/>
  <c r="AR44" i="12" s="1"/>
  <c r="AR45" i="12" a="1"/>
  <c r="AR45" i="12" s="1"/>
  <c r="AR46" i="12" a="1"/>
  <c r="AR46" i="12"/>
  <c r="AR47" i="12" a="1"/>
  <c r="AR47" i="12" s="1"/>
  <c r="AR48" i="12" a="1"/>
  <c r="AR48" i="12" s="1"/>
  <c r="AR49" i="12" a="1"/>
  <c r="AR49" i="12" s="1"/>
  <c r="AR50" i="12" a="1"/>
  <c r="AR50" i="12" s="1"/>
  <c r="AR51" i="12" a="1"/>
  <c r="AR51" i="12" s="1"/>
  <c r="AR52" i="12" a="1"/>
  <c r="AR52" i="12"/>
  <c r="AR53" i="12" a="1"/>
  <c r="AR53" i="12" s="1"/>
  <c r="AR54" i="12" a="1"/>
  <c r="AR54" i="12" s="1"/>
  <c r="AR55" i="12" a="1"/>
  <c r="AR55" i="12" s="1"/>
  <c r="AR56" i="12" a="1"/>
  <c r="AR56" i="12" s="1"/>
  <c r="AR57" i="12" a="1"/>
  <c r="AR57" i="12" s="1"/>
  <c r="AR58" i="12" a="1"/>
  <c r="AR58" i="12"/>
  <c r="AR59" i="12" a="1"/>
  <c r="AR59" i="12" s="1"/>
  <c r="AR60" i="12" a="1"/>
  <c r="AR60" i="12" s="1"/>
  <c r="AR61" i="12" a="1"/>
  <c r="AR61" i="12" s="1"/>
  <c r="AR62" i="12" a="1"/>
  <c r="AR62" i="12" s="1"/>
  <c r="AR63" i="12" a="1"/>
  <c r="AR63" i="12" s="1"/>
  <c r="AR64" i="12" a="1"/>
  <c r="AR64" i="12"/>
  <c r="AR65" i="12" a="1"/>
  <c r="AR65" i="12" s="1"/>
  <c r="AR66" i="12" a="1"/>
  <c r="AR66" i="12" s="1"/>
  <c r="AR67" i="12" a="1"/>
  <c r="AR67" i="12" s="1"/>
  <c r="AR68" i="12" a="1"/>
  <c r="AR68" i="12" s="1"/>
  <c r="AR69" i="12" a="1"/>
  <c r="AR69" i="12" s="1"/>
  <c r="AR70" i="12" a="1"/>
  <c r="AR70" i="12"/>
  <c r="AR71" i="12" a="1"/>
  <c r="AR71" i="12" s="1"/>
  <c r="AR72" i="12" a="1"/>
  <c r="AR72" i="12" s="1"/>
  <c r="AR73" i="12" a="1"/>
  <c r="AR73" i="12" s="1"/>
  <c r="AR74" i="12" a="1"/>
  <c r="AR74" i="12" s="1"/>
  <c r="AR75" i="12" a="1"/>
  <c r="AR75" i="12" s="1"/>
  <c r="AR76" i="12" a="1"/>
  <c r="AR76" i="12"/>
  <c r="AR77" i="12" a="1"/>
  <c r="AR77" i="12" s="1"/>
  <c r="AR78" i="12" a="1"/>
  <c r="AR78" i="12" s="1"/>
  <c r="AR79" i="12" a="1"/>
  <c r="AR79" i="12" s="1"/>
  <c r="AR80" i="12" a="1"/>
  <c r="AR80" i="12" s="1"/>
  <c r="AR81" i="12" a="1"/>
  <c r="AR81" i="12" s="1"/>
  <c r="AR82" i="12" a="1"/>
  <c r="AR82" i="12"/>
  <c r="AR83" i="12" a="1"/>
  <c r="AR83" i="12" s="1"/>
  <c r="AR84" i="12" a="1"/>
  <c r="AR84" i="12" s="1"/>
  <c r="AR85" i="12" a="1"/>
  <c r="AR85" i="12" s="1"/>
  <c r="AR86" i="12" a="1"/>
  <c r="AR86" i="12" s="1"/>
  <c r="AR87" i="12" a="1"/>
  <c r="AR87" i="12" s="1"/>
  <c r="AR88" i="12" a="1"/>
  <c r="AR88" i="12"/>
  <c r="AR89" i="12" a="1"/>
  <c r="AR89" i="12" s="1"/>
  <c r="AR90" i="12" a="1"/>
  <c r="AR90" i="12" s="1"/>
  <c r="AR91" i="12" a="1"/>
  <c r="AR91" i="12" s="1"/>
  <c r="AR92" i="12" a="1"/>
  <c r="AR92" i="12" s="1"/>
  <c r="AR93" i="12" a="1"/>
  <c r="AR93" i="12" s="1"/>
  <c r="AR94" i="12" a="1"/>
  <c r="AR94" i="12"/>
  <c r="AR95" i="12" a="1"/>
  <c r="AR95" i="12" s="1"/>
  <c r="AR96" i="12" a="1"/>
  <c r="AR96" i="12" s="1"/>
  <c r="AR97" i="12" a="1"/>
  <c r="AR97" i="12" s="1"/>
  <c r="AR98" i="12" a="1"/>
  <c r="AR98" i="12" s="1"/>
  <c r="AR99" i="12" a="1"/>
  <c r="AR99" i="12" s="1"/>
  <c r="AR100" i="12" a="1"/>
  <c r="AR100" i="12"/>
  <c r="AR101" i="12" a="1"/>
  <c r="AR101" i="12" s="1"/>
  <c r="AR102" i="12" a="1"/>
  <c r="AR102" i="12" s="1"/>
  <c r="AR103" i="12" a="1"/>
  <c r="AR103" i="12" s="1"/>
  <c r="AR104" i="12" a="1"/>
  <c r="AR104" i="12" s="1"/>
  <c r="AR105" i="12" a="1"/>
  <c r="AR105" i="12" s="1"/>
  <c r="AR106" i="12" a="1"/>
  <c r="AR106" i="12"/>
  <c r="AR107" i="12" a="1"/>
  <c r="AR107" i="12" s="1"/>
  <c r="AR108" i="12" a="1"/>
  <c r="AR108" i="12" s="1"/>
  <c r="AR109" i="12" a="1"/>
  <c r="AR109" i="12" s="1"/>
  <c r="AR110" i="12" a="1"/>
  <c r="AR110" i="12" s="1"/>
  <c r="AR111" i="12" a="1"/>
  <c r="AR111" i="12" s="1"/>
  <c r="AR112" i="12" a="1"/>
  <c r="AR112" i="12"/>
  <c r="AR113" i="12" a="1"/>
  <c r="AR113" i="12" s="1"/>
  <c r="AR114" i="12" a="1"/>
  <c r="AR114" i="12" s="1"/>
  <c r="AR115" i="12" a="1"/>
  <c r="AR115" i="12" s="1"/>
  <c r="AR116" i="12" a="1"/>
  <c r="AR116" i="12" s="1"/>
  <c r="AR117" i="12" a="1"/>
  <c r="AR117" i="12" s="1"/>
  <c r="AR118" i="12" a="1"/>
  <c r="AR118" i="12"/>
  <c r="AR119" i="12" a="1"/>
  <c r="AR119" i="12" s="1"/>
  <c r="AR120" i="12" a="1"/>
  <c r="AR120" i="12" s="1"/>
  <c r="AR121" i="12" a="1"/>
  <c r="AR121" i="12" s="1"/>
  <c r="AR122" i="12" a="1"/>
  <c r="AR122" i="12" s="1"/>
  <c r="AR123" i="12" a="1"/>
  <c r="AR123" i="12" s="1"/>
  <c r="AR124" i="12" a="1"/>
  <c r="AR124" i="12"/>
  <c r="AR125" i="12" a="1"/>
  <c r="AR125" i="12" s="1"/>
  <c r="AR126" i="12" a="1"/>
  <c r="AR126" i="12" s="1"/>
  <c r="AR127" i="12" a="1"/>
  <c r="AR127" i="12" s="1"/>
  <c r="AR128" i="12" a="1"/>
  <c r="AR128" i="12" s="1"/>
  <c r="AR129" i="12" a="1"/>
  <c r="AR129" i="12" s="1"/>
  <c r="AR130" i="12" a="1"/>
  <c r="AR130" i="12"/>
  <c r="AR131" i="12" a="1"/>
  <c r="AR131" i="12" s="1"/>
  <c r="AR132" i="12" a="1"/>
  <c r="AR132" i="12" s="1"/>
  <c r="AR133" i="12" a="1"/>
  <c r="AR133" i="12" s="1"/>
  <c r="AR134" i="12" a="1"/>
  <c r="AR134" i="12" s="1"/>
  <c r="AR135" i="12" a="1"/>
  <c r="AR135" i="12" s="1"/>
  <c r="AR136" i="12" a="1"/>
  <c r="AR136" i="12"/>
  <c r="AR137" i="12" a="1"/>
  <c r="AR137" i="12" s="1"/>
  <c r="AR138" i="12" a="1"/>
  <c r="AR138" i="12" s="1"/>
  <c r="AR139" i="12" a="1"/>
  <c r="AR139" i="12" s="1"/>
  <c r="AR140" i="12" a="1"/>
  <c r="AR140" i="12" s="1"/>
  <c r="AR141" i="12" a="1"/>
  <c r="AR141" i="12" s="1"/>
  <c r="AR142" i="12" a="1"/>
  <c r="AR142" i="12"/>
  <c r="AR143" i="12" a="1"/>
  <c r="AR143" i="12" s="1"/>
  <c r="AR144" i="12" a="1"/>
  <c r="AR144" i="12" s="1"/>
  <c r="AR145" i="12" a="1"/>
  <c r="AR145" i="12" s="1"/>
  <c r="AR146" i="12" a="1"/>
  <c r="AR146" i="12" s="1"/>
  <c r="AR147" i="12" a="1"/>
  <c r="AR147" i="12" s="1"/>
  <c r="AR148" i="12" a="1"/>
  <c r="AR148" i="12"/>
  <c r="AR149" i="12" a="1"/>
  <c r="AR149" i="12" s="1"/>
  <c r="AR150" i="12" a="1"/>
  <c r="AR150" i="12" s="1"/>
  <c r="AR151" i="12" a="1"/>
  <c r="AR151" i="12" s="1"/>
  <c r="AR152" i="12" a="1"/>
  <c r="AR152" i="12" s="1"/>
  <c r="AR153" i="12" a="1"/>
  <c r="AR153" i="12" s="1"/>
  <c r="AR154" i="12" a="1"/>
  <c r="AR154" i="12"/>
  <c r="AR155" i="12" a="1"/>
  <c r="AR155" i="12" s="1"/>
  <c r="AR156" i="12" a="1"/>
  <c r="AR156" i="12" s="1"/>
  <c r="AR157" i="12" a="1"/>
  <c r="AR157" i="12" s="1"/>
  <c r="AR158" i="12" a="1"/>
  <c r="AR158" i="12" s="1"/>
  <c r="AR159" i="12" a="1"/>
  <c r="AR159" i="12" s="1"/>
  <c r="AR160" i="12" a="1"/>
  <c r="AR160" i="12"/>
  <c r="AR161" i="12" a="1"/>
  <c r="AR161" i="12" s="1"/>
  <c r="AR162" i="12" a="1"/>
  <c r="AR162" i="12" s="1"/>
  <c r="AR163" i="12" a="1"/>
  <c r="AR163" i="12" s="1"/>
  <c r="AR164" i="12" a="1"/>
  <c r="AR164" i="12" s="1"/>
  <c r="AR165" i="12" a="1"/>
  <c r="AR165" i="12" s="1"/>
  <c r="AR166" i="12" a="1"/>
  <c r="AR166" i="12"/>
  <c r="AR167" i="12" a="1"/>
  <c r="AR167" i="12" s="1"/>
  <c r="AR168" i="12" a="1"/>
  <c r="AR168" i="12" s="1"/>
  <c r="AR169" i="12" a="1"/>
  <c r="AR169" i="12" s="1"/>
  <c r="AR170" i="12" a="1"/>
  <c r="AR170" i="12" s="1"/>
  <c r="AR171" i="12" a="1"/>
  <c r="AR171" i="12" s="1"/>
  <c r="AR172" i="12" a="1"/>
  <c r="AR172" i="12"/>
  <c r="AR173" i="12" a="1"/>
  <c r="AR173" i="12" s="1"/>
  <c r="AR174" i="12" a="1"/>
  <c r="AR174" i="12" s="1"/>
  <c r="AR175" i="12" a="1"/>
  <c r="AR175" i="12" s="1"/>
  <c r="AR176" i="12" a="1"/>
  <c r="AR176" i="12" s="1"/>
  <c r="AR177" i="12" a="1"/>
  <c r="AR177" i="12" s="1"/>
  <c r="AR178" i="12" a="1"/>
  <c r="AR178" i="12"/>
  <c r="AR179" i="12" a="1"/>
  <c r="AR179" i="12" s="1"/>
  <c r="AR180" i="12" a="1"/>
  <c r="AR180" i="12" s="1"/>
  <c r="AR181" i="12" a="1"/>
  <c r="AR181" i="12" s="1"/>
  <c r="AR182" i="12" a="1"/>
  <c r="AR182" i="12" s="1"/>
  <c r="AR183" i="12" a="1"/>
  <c r="AR183" i="12" s="1"/>
  <c r="AR184" i="12" a="1"/>
  <c r="AR184" i="12"/>
  <c r="AR185" i="12" a="1"/>
  <c r="AR185" i="12" s="1"/>
  <c r="AR186" i="12" a="1"/>
  <c r="AR186" i="12" s="1"/>
  <c r="AR187" i="12" a="1"/>
  <c r="AR187" i="12" s="1"/>
  <c r="AR188" i="12" a="1"/>
  <c r="AR188" i="12" s="1"/>
  <c r="AR189" i="12" a="1"/>
  <c r="AR189" i="12" s="1"/>
  <c r="AR190" i="12" a="1"/>
  <c r="AR190" i="12"/>
  <c r="AR191" i="12" a="1"/>
  <c r="AR191" i="12" s="1"/>
  <c r="AR192" i="12" a="1"/>
  <c r="AR192" i="12" s="1"/>
  <c r="AR193" i="12" a="1"/>
  <c r="AR193" i="12" s="1"/>
  <c r="AR194" i="12" a="1"/>
  <c r="AR194" i="12" s="1"/>
  <c r="AR195" i="12" a="1"/>
  <c r="AR195" i="12" s="1"/>
  <c r="AR196" i="12" a="1"/>
  <c r="AR196" i="12"/>
  <c r="AR197" i="12" a="1"/>
  <c r="AR197" i="12" s="1"/>
  <c r="AR198" i="12" a="1"/>
  <c r="AR198" i="12" s="1"/>
  <c r="AR199" i="12" a="1"/>
  <c r="AR199" i="12" s="1"/>
  <c r="AR200" i="12" a="1"/>
  <c r="AR200" i="12" s="1"/>
  <c r="AR201" i="12" a="1"/>
  <c r="AR201" i="12" s="1"/>
  <c r="AR202" i="12" a="1"/>
  <c r="AR202" i="12"/>
  <c r="AR203" i="12" a="1"/>
  <c r="AR203" i="12" s="1"/>
  <c r="AR204" i="12" a="1"/>
  <c r="AR204" i="12" s="1"/>
  <c r="AR205" i="12" a="1"/>
  <c r="AR205" i="12" s="1"/>
  <c r="AR206" i="12" a="1"/>
  <c r="AR206" i="12" s="1"/>
  <c r="AR207" i="12" a="1"/>
  <c r="AR207" i="12" s="1"/>
  <c r="AR208" i="12" a="1"/>
  <c r="AR208" i="12"/>
  <c r="AR209" i="12" a="1"/>
  <c r="AR209" i="12" s="1"/>
  <c r="AR210" i="12" a="1"/>
  <c r="AR210" i="12" s="1"/>
  <c r="AR211" i="12" a="1"/>
  <c r="AR211" i="12" s="1"/>
  <c r="AR212" i="12" a="1"/>
  <c r="AR212" i="12" s="1"/>
  <c r="AR213" i="12" a="1"/>
  <c r="AR213" i="12" s="1"/>
  <c r="AR214" i="12" a="1"/>
  <c r="AR214" i="12"/>
  <c r="AR215" i="12" a="1"/>
  <c r="AR215" i="12" s="1"/>
  <c r="AR216" i="12" a="1"/>
  <c r="AR216" i="12" s="1"/>
  <c r="AR217" i="12" a="1"/>
  <c r="AR217" i="12" s="1"/>
  <c r="AR218" i="12" a="1"/>
  <c r="AR218" i="12" s="1"/>
  <c r="AR219" i="12" a="1"/>
  <c r="AR219" i="12" s="1"/>
  <c r="AR220" i="12" a="1"/>
  <c r="AR220" i="12"/>
  <c r="AR221" i="12" a="1"/>
  <c r="AR221" i="12" s="1"/>
  <c r="AR222" i="12" a="1"/>
  <c r="AR222" i="12" s="1"/>
  <c r="AR223" i="12" a="1"/>
  <c r="AR223" i="12" s="1"/>
  <c r="AR224" i="12" a="1"/>
  <c r="AR224" i="12" s="1"/>
  <c r="AR225" i="12" a="1"/>
  <c r="AR225" i="12" s="1"/>
  <c r="AR226" i="12" a="1"/>
  <c r="AR226" i="12"/>
  <c r="AR227" i="12" a="1"/>
  <c r="AR227" i="12" s="1"/>
  <c r="AR228" i="12" a="1"/>
  <c r="AR228" i="12" s="1"/>
  <c r="AR229" i="12" a="1"/>
  <c r="AR229" i="12" s="1"/>
  <c r="AR230" i="12" a="1"/>
  <c r="AR230" i="12" s="1"/>
  <c r="AR231" i="12" a="1"/>
  <c r="AR231" i="12" s="1"/>
  <c r="AR232" i="12" a="1"/>
  <c r="AR232" i="12"/>
  <c r="AR233" i="12" a="1"/>
  <c r="AR233" i="12" s="1"/>
  <c r="AR234" i="12" a="1"/>
  <c r="AR234" i="12" s="1"/>
  <c r="AR235" i="12" a="1"/>
  <c r="AR235" i="12" s="1"/>
  <c r="AQ5" i="12"/>
  <c r="AQ6" i="12"/>
  <c r="AQ7" i="12"/>
  <c r="AQ8" i="12"/>
  <c r="AQ9" i="12"/>
  <c r="AQ10" i="12"/>
  <c r="AQ11" i="12"/>
  <c r="AQ12" i="12"/>
  <c r="AQ13" i="12"/>
  <c r="AQ14" i="12"/>
  <c r="AQ15" i="12"/>
  <c r="AQ16" i="12"/>
  <c r="AQ17" i="12"/>
  <c r="AQ18" i="12"/>
  <c r="AQ19" i="12"/>
  <c r="AQ20" i="12"/>
  <c r="AQ21" i="12"/>
  <c r="AQ22" i="12"/>
  <c r="AQ23" i="12"/>
  <c r="AQ24" i="12"/>
  <c r="AQ25" i="12"/>
  <c r="AQ26" i="12"/>
  <c r="AQ27" i="12"/>
  <c r="AQ28" i="12"/>
  <c r="AQ29" i="12"/>
  <c r="AQ30" i="12"/>
  <c r="AQ31" i="12"/>
  <c r="AQ32" i="12"/>
  <c r="AQ33" i="12"/>
  <c r="AQ34" i="12"/>
  <c r="AQ35" i="12"/>
  <c r="AQ36" i="12"/>
  <c r="AQ37" i="12"/>
  <c r="AQ38" i="12"/>
  <c r="AQ39" i="12"/>
  <c r="AQ40" i="12"/>
  <c r="AQ41" i="12"/>
  <c r="AQ42" i="12"/>
  <c r="AQ43" i="12"/>
  <c r="AQ44" i="12"/>
  <c r="AQ45" i="12"/>
  <c r="AQ46" i="12"/>
  <c r="AQ47" i="12"/>
  <c r="AQ48" i="12"/>
  <c r="AQ49" i="12"/>
  <c r="AQ50" i="12"/>
  <c r="AQ51" i="12"/>
  <c r="AQ52" i="12"/>
  <c r="AQ53" i="12"/>
  <c r="AQ54" i="12"/>
  <c r="AQ55" i="12"/>
  <c r="AQ56" i="12"/>
  <c r="AQ57" i="12"/>
  <c r="AQ58" i="12"/>
  <c r="AQ59" i="12"/>
  <c r="AQ60" i="12"/>
  <c r="AQ61" i="12"/>
  <c r="AQ62" i="12"/>
  <c r="AQ63" i="12"/>
  <c r="AQ64" i="12"/>
  <c r="AQ65" i="12"/>
  <c r="AQ66" i="12"/>
  <c r="AQ67" i="12"/>
  <c r="AQ68" i="12"/>
  <c r="AQ69" i="12"/>
  <c r="AQ70" i="12"/>
  <c r="AQ71" i="12"/>
  <c r="AQ72" i="12"/>
  <c r="AQ73" i="12"/>
  <c r="AQ74" i="12"/>
  <c r="AQ75" i="12"/>
  <c r="AQ76" i="12"/>
  <c r="AQ77" i="12"/>
  <c r="AQ78" i="12"/>
  <c r="AQ79" i="12"/>
  <c r="AQ80" i="12"/>
  <c r="AQ81" i="12"/>
  <c r="AQ82" i="12"/>
  <c r="AQ83" i="12"/>
  <c r="AQ84" i="12"/>
  <c r="AQ85" i="12"/>
  <c r="AQ86" i="12"/>
  <c r="AQ87" i="12"/>
  <c r="AQ88" i="12"/>
  <c r="AQ89" i="12"/>
  <c r="AQ90" i="12"/>
  <c r="AQ91" i="12"/>
  <c r="AQ92" i="12"/>
  <c r="AQ93" i="12"/>
  <c r="AQ94" i="12"/>
  <c r="AQ95" i="12"/>
  <c r="AQ96" i="12"/>
  <c r="AQ97" i="12"/>
  <c r="AQ98" i="12"/>
  <c r="AQ99" i="12"/>
  <c r="AQ100" i="12"/>
  <c r="AQ101" i="12"/>
  <c r="AQ102" i="12"/>
  <c r="AQ103" i="12"/>
  <c r="AQ104" i="12"/>
  <c r="AQ105" i="12"/>
  <c r="AQ106" i="12"/>
  <c r="AQ107" i="12"/>
  <c r="AQ108" i="12"/>
  <c r="AQ109" i="12"/>
  <c r="AQ110" i="12"/>
  <c r="AQ111" i="12"/>
  <c r="AQ112" i="12"/>
  <c r="AQ113" i="12"/>
  <c r="AQ114" i="12"/>
  <c r="AQ115" i="12"/>
  <c r="AQ116" i="12"/>
  <c r="AQ117" i="12"/>
  <c r="AQ118" i="12"/>
  <c r="AQ119" i="12"/>
  <c r="AQ120" i="12"/>
  <c r="AQ121" i="12"/>
  <c r="AQ122" i="12"/>
  <c r="AQ123" i="12"/>
  <c r="AQ124" i="12"/>
  <c r="AQ125" i="12"/>
  <c r="AQ126" i="12"/>
  <c r="AQ127" i="12"/>
  <c r="AQ128" i="12"/>
  <c r="AQ129" i="12"/>
  <c r="AQ130" i="12"/>
  <c r="AQ131" i="12"/>
  <c r="AQ132" i="12"/>
  <c r="AQ133" i="12"/>
  <c r="AQ134" i="12"/>
  <c r="AQ135" i="12"/>
  <c r="AQ136" i="12"/>
  <c r="AQ137" i="12"/>
  <c r="AQ138" i="12"/>
  <c r="AQ139" i="12"/>
  <c r="AQ140" i="12"/>
  <c r="AQ141" i="12"/>
  <c r="AQ142" i="12"/>
  <c r="AQ143" i="12"/>
  <c r="AQ144" i="12"/>
  <c r="AQ145" i="12"/>
  <c r="AQ146" i="12"/>
  <c r="AQ147" i="12"/>
  <c r="AQ148" i="12"/>
  <c r="AQ149" i="12"/>
  <c r="AQ150" i="12"/>
  <c r="AQ151" i="12"/>
  <c r="AQ152" i="12"/>
  <c r="AQ153" i="12"/>
  <c r="AQ154" i="12"/>
  <c r="AQ155" i="12"/>
  <c r="AQ156" i="12"/>
  <c r="AQ157" i="12"/>
  <c r="AQ158" i="12"/>
  <c r="AQ159" i="12"/>
  <c r="AQ160" i="12"/>
  <c r="AQ161" i="12"/>
  <c r="AQ162" i="12"/>
  <c r="AQ163" i="12"/>
  <c r="AQ164" i="12"/>
  <c r="AQ165" i="12"/>
  <c r="AQ166" i="12"/>
  <c r="AQ167" i="12"/>
  <c r="AQ168" i="12"/>
  <c r="AQ169" i="12"/>
  <c r="AQ170" i="12"/>
  <c r="AQ171" i="12"/>
  <c r="AQ172" i="12"/>
  <c r="AQ173" i="12"/>
  <c r="AQ174" i="12"/>
  <c r="AQ175" i="12"/>
  <c r="AQ176" i="12"/>
  <c r="AQ177" i="12"/>
  <c r="AQ178" i="12"/>
  <c r="AQ179" i="12"/>
  <c r="AQ180" i="12"/>
  <c r="AQ181" i="12"/>
  <c r="AQ182" i="12"/>
  <c r="AQ183" i="12"/>
  <c r="AQ184" i="12"/>
  <c r="AQ185" i="12"/>
  <c r="AQ186" i="12"/>
  <c r="AQ187" i="12"/>
  <c r="AQ188" i="12"/>
  <c r="AQ189" i="12"/>
  <c r="AQ190" i="12"/>
  <c r="AQ191" i="12"/>
  <c r="AQ192" i="12"/>
  <c r="AQ193" i="12"/>
  <c r="AQ194" i="12"/>
  <c r="AQ195" i="12"/>
  <c r="AQ196" i="12"/>
  <c r="AQ197" i="12"/>
  <c r="AQ198" i="12"/>
  <c r="AQ199" i="12"/>
  <c r="AQ200" i="12"/>
  <c r="AQ201" i="12"/>
  <c r="AQ202" i="12"/>
  <c r="AQ203" i="12"/>
  <c r="AQ204" i="12"/>
  <c r="AQ205" i="12"/>
  <c r="AQ206" i="12"/>
  <c r="AQ207" i="12"/>
  <c r="AQ208" i="12"/>
  <c r="AQ209" i="12"/>
  <c r="AQ210" i="12"/>
  <c r="AQ211" i="12"/>
  <c r="AQ212" i="12"/>
  <c r="AQ213" i="12"/>
  <c r="AQ214" i="12"/>
  <c r="AQ215" i="12"/>
  <c r="AQ216" i="12"/>
  <c r="AQ217" i="12"/>
  <c r="AQ218" i="12"/>
  <c r="AQ219" i="12"/>
  <c r="AQ220" i="12"/>
  <c r="AQ221" i="12"/>
  <c r="AQ222" i="12"/>
  <c r="AQ223" i="12"/>
  <c r="AQ224" i="12"/>
  <c r="AQ225" i="12"/>
  <c r="AQ226" i="12"/>
  <c r="AQ227" i="12"/>
  <c r="AQ228" i="12"/>
  <c r="AQ229" i="12"/>
  <c r="AQ230" i="12"/>
  <c r="AQ231" i="12"/>
  <c r="AQ232" i="12"/>
  <c r="AQ233" i="12"/>
  <c r="AQ234" i="12"/>
  <c r="AQ235" i="12"/>
  <c r="AP5" i="12" a="1"/>
  <c r="AP5" i="12" s="1"/>
  <c r="AP6" i="12" a="1"/>
  <c r="AP6" i="12" s="1"/>
  <c r="AP7" i="12" a="1"/>
  <c r="AP7" i="12" s="1"/>
  <c r="AP8" i="12" a="1"/>
  <c r="AP8" i="12" s="1"/>
  <c r="AP9" i="12" a="1"/>
  <c r="AP9" i="12"/>
  <c r="AP10" i="12" a="1"/>
  <c r="AP10" i="12"/>
  <c r="AP11" i="12" a="1"/>
  <c r="AP11" i="12" s="1"/>
  <c r="AP12" i="12" a="1"/>
  <c r="AP12" i="12" s="1"/>
  <c r="AP13" i="12" a="1"/>
  <c r="AP13" i="12" s="1"/>
  <c r="AP14" i="12" a="1"/>
  <c r="AP14" i="12" s="1"/>
  <c r="AP15" i="12" a="1"/>
  <c r="AP15" i="12"/>
  <c r="AP16" i="12" a="1"/>
  <c r="AP16" i="12"/>
  <c r="AP17" i="12" a="1"/>
  <c r="AP17" i="12" s="1"/>
  <c r="AP18" i="12" a="1"/>
  <c r="AP18" i="12" s="1"/>
  <c r="AP19" i="12" a="1"/>
  <c r="AP19" i="12" s="1"/>
  <c r="AP20" i="12" a="1"/>
  <c r="AP20" i="12" s="1"/>
  <c r="AP21" i="12" a="1"/>
  <c r="AP21" i="12"/>
  <c r="AP22" i="12" a="1"/>
  <c r="AP22" i="12"/>
  <c r="AP23" i="12" a="1"/>
  <c r="AP23" i="12" s="1"/>
  <c r="AP24" i="12" a="1"/>
  <c r="AP24" i="12" s="1"/>
  <c r="AP25" i="12" a="1"/>
  <c r="AP25" i="12" s="1"/>
  <c r="AP26" i="12" a="1"/>
  <c r="AP26" i="12" s="1"/>
  <c r="AP27" i="12" a="1"/>
  <c r="AP27" i="12"/>
  <c r="AP28" i="12" a="1"/>
  <c r="AP28" i="12"/>
  <c r="AP29" i="12" a="1"/>
  <c r="AP29" i="12" s="1"/>
  <c r="AP30" i="12" a="1"/>
  <c r="AP30" i="12" s="1"/>
  <c r="AP31" i="12" a="1"/>
  <c r="AP31" i="12" s="1"/>
  <c r="AP32" i="12" a="1"/>
  <c r="AP32" i="12" s="1"/>
  <c r="AP33" i="12" a="1"/>
  <c r="AP33" i="12"/>
  <c r="AP34" i="12" a="1"/>
  <c r="AP34" i="12"/>
  <c r="AP35" i="12" a="1"/>
  <c r="AP35" i="12" s="1"/>
  <c r="AP36" i="12" a="1"/>
  <c r="AP36" i="12" s="1"/>
  <c r="AP37" i="12" a="1"/>
  <c r="AP37" i="12" s="1"/>
  <c r="AP38" i="12" a="1"/>
  <c r="AP38" i="12" s="1"/>
  <c r="AP39" i="12" a="1"/>
  <c r="AP39" i="12"/>
  <c r="AP40" i="12" a="1"/>
  <c r="AP40" i="12"/>
  <c r="AP41" i="12" a="1"/>
  <c r="AP41" i="12" s="1"/>
  <c r="AP42" i="12" a="1"/>
  <c r="AP42" i="12" s="1"/>
  <c r="AP43" i="12" a="1"/>
  <c r="AP43" i="12" s="1"/>
  <c r="AP44" i="12" a="1"/>
  <c r="AP44" i="12" s="1"/>
  <c r="AP45" i="12" a="1"/>
  <c r="AP45" i="12"/>
  <c r="AP46" i="12" a="1"/>
  <c r="AP46" i="12"/>
  <c r="AP47" i="12" a="1"/>
  <c r="AP47" i="12" s="1"/>
  <c r="AP48" i="12" a="1"/>
  <c r="AP48" i="12" s="1"/>
  <c r="AP49" i="12" a="1"/>
  <c r="AP49" i="12" s="1"/>
  <c r="AP50" i="12" a="1"/>
  <c r="AP50" i="12" s="1"/>
  <c r="AP51" i="12" a="1"/>
  <c r="AP51" i="12"/>
  <c r="AP52" i="12" a="1"/>
  <c r="AP52" i="12"/>
  <c r="AP53" i="12" a="1"/>
  <c r="AP53" i="12" s="1"/>
  <c r="AP54" i="12" a="1"/>
  <c r="AP54" i="12" s="1"/>
  <c r="AP55" i="12" a="1"/>
  <c r="AP55" i="12" s="1"/>
  <c r="AP56" i="12" a="1"/>
  <c r="AP56" i="12" s="1"/>
  <c r="AP57" i="12" a="1"/>
  <c r="AP57" i="12"/>
  <c r="AP58" i="12" a="1"/>
  <c r="AP58" i="12"/>
  <c r="AP59" i="12" a="1"/>
  <c r="AP59" i="12" s="1"/>
  <c r="AP60" i="12" a="1"/>
  <c r="AP60" i="12" s="1"/>
  <c r="AP61" i="12" a="1"/>
  <c r="AP61" i="12" s="1"/>
  <c r="AP62" i="12" a="1"/>
  <c r="AP62" i="12" s="1"/>
  <c r="AP63" i="12" a="1"/>
  <c r="AP63" i="12"/>
  <c r="AP64" i="12" a="1"/>
  <c r="AP64" i="12"/>
  <c r="AP65" i="12" a="1"/>
  <c r="AP65" i="12" s="1"/>
  <c r="AP66" i="12" a="1"/>
  <c r="AP66" i="12" s="1"/>
  <c r="AP67" i="12" a="1"/>
  <c r="AP67" i="12" s="1"/>
  <c r="AP68" i="12" a="1"/>
  <c r="AP68" i="12" s="1"/>
  <c r="AP69" i="12" a="1"/>
  <c r="AP69" i="12"/>
  <c r="AP70" i="12" a="1"/>
  <c r="AP70" i="12"/>
  <c r="AP71" i="12" a="1"/>
  <c r="AP71" i="12" s="1"/>
  <c r="AP72" i="12" a="1"/>
  <c r="AP72" i="12" s="1"/>
  <c r="AP73" i="12" a="1"/>
  <c r="AP73" i="12" s="1"/>
  <c r="AP74" i="12" a="1"/>
  <c r="AP74" i="12" s="1"/>
  <c r="AP75" i="12" a="1"/>
  <c r="AP75" i="12"/>
  <c r="AP76" i="12" a="1"/>
  <c r="AP76" i="12"/>
  <c r="AP77" i="12" a="1"/>
  <c r="AP77" i="12" s="1"/>
  <c r="AP78" i="12" a="1"/>
  <c r="AP78" i="12" s="1"/>
  <c r="AP79" i="12" a="1"/>
  <c r="AP79" i="12" s="1"/>
  <c r="AP80" i="12" a="1"/>
  <c r="AP80" i="12" s="1"/>
  <c r="AP81" i="12" a="1"/>
  <c r="AP81" i="12"/>
  <c r="AP82" i="12" a="1"/>
  <c r="AP82" i="12"/>
  <c r="AP83" i="12" a="1"/>
  <c r="AP83" i="12" s="1"/>
  <c r="AP84" i="12" a="1"/>
  <c r="AP84" i="12" s="1"/>
  <c r="AP85" i="12" a="1"/>
  <c r="AP85" i="12" s="1"/>
  <c r="AP86" i="12" a="1"/>
  <c r="AP86" i="12" s="1"/>
  <c r="AP87" i="12" a="1"/>
  <c r="AP87" i="12"/>
  <c r="AP88" i="12" a="1"/>
  <c r="AP88" i="12"/>
  <c r="AP89" i="12" a="1"/>
  <c r="AP89" i="12" s="1"/>
  <c r="AP90" i="12" a="1"/>
  <c r="AP90" i="12" s="1"/>
  <c r="AP91" i="12" a="1"/>
  <c r="AP91" i="12" s="1"/>
  <c r="AP92" i="12" a="1"/>
  <c r="AP92" i="12" s="1"/>
  <c r="AP93" i="12" a="1"/>
  <c r="AP93" i="12"/>
  <c r="AP94" i="12" a="1"/>
  <c r="AP94" i="12"/>
  <c r="AP95" i="12" a="1"/>
  <c r="AP95" i="12" s="1"/>
  <c r="AP96" i="12" a="1"/>
  <c r="AP96" i="12" s="1"/>
  <c r="AP97" i="12" a="1"/>
  <c r="AP97" i="12" s="1"/>
  <c r="AP98" i="12" a="1"/>
  <c r="AP98" i="12" s="1"/>
  <c r="AP99" i="12" a="1"/>
  <c r="AP99" i="12"/>
  <c r="AP100" i="12" a="1"/>
  <c r="AP100" i="12"/>
  <c r="AP101" i="12" a="1"/>
  <c r="AP101" i="12" s="1"/>
  <c r="AP102" i="12" a="1"/>
  <c r="AP102" i="12" s="1"/>
  <c r="AP103" i="12" a="1"/>
  <c r="AP103" i="12" s="1"/>
  <c r="AP104" i="12" a="1"/>
  <c r="AP104" i="12" s="1"/>
  <c r="AP105" i="12" a="1"/>
  <c r="AP105" i="12"/>
  <c r="AP106" i="12" a="1"/>
  <c r="AP106" i="12"/>
  <c r="AP107" i="12" a="1"/>
  <c r="AP107" i="12" s="1"/>
  <c r="AP108" i="12" a="1"/>
  <c r="AP108" i="12" s="1"/>
  <c r="AP109" i="12" a="1"/>
  <c r="AP109" i="12" s="1"/>
  <c r="AP110" i="12" a="1"/>
  <c r="AP110" i="12" s="1"/>
  <c r="AP111" i="12" a="1"/>
  <c r="AP111" i="12"/>
  <c r="AP112" i="12" a="1"/>
  <c r="AP112" i="12"/>
  <c r="AP113" i="12" a="1"/>
  <c r="AP113" i="12" s="1"/>
  <c r="AP114" i="12" a="1"/>
  <c r="AP114" i="12" s="1"/>
  <c r="AP115" i="12" a="1"/>
  <c r="AP115" i="12" s="1"/>
  <c r="AP116" i="12" a="1"/>
  <c r="AP116" i="12" s="1"/>
  <c r="AP117" i="12" a="1"/>
  <c r="AP117" i="12"/>
  <c r="AP118" i="12" a="1"/>
  <c r="AP118" i="12"/>
  <c r="AP119" i="12" a="1"/>
  <c r="AP119" i="12" s="1"/>
  <c r="AP120" i="12" a="1"/>
  <c r="AP120" i="12" s="1"/>
  <c r="AP121" i="12" a="1"/>
  <c r="AP121" i="12" s="1"/>
  <c r="AP122" i="12" a="1"/>
  <c r="AP122" i="12" s="1"/>
  <c r="AP123" i="12" a="1"/>
  <c r="AP123" i="12"/>
  <c r="AP124" i="12" a="1"/>
  <c r="AP124" i="12"/>
  <c r="AP125" i="12" a="1"/>
  <c r="AP125" i="12" s="1"/>
  <c r="AP126" i="12" a="1"/>
  <c r="AP126" i="12" s="1"/>
  <c r="AP127" i="12" a="1"/>
  <c r="AP127" i="12" s="1"/>
  <c r="AP128" i="12" a="1"/>
  <c r="AP128" i="12" s="1"/>
  <c r="AP129" i="12" a="1"/>
  <c r="AP129" i="12"/>
  <c r="AP130" i="12" a="1"/>
  <c r="AP130" i="12"/>
  <c r="AP131" i="12" a="1"/>
  <c r="AP131" i="12" s="1"/>
  <c r="AP132" i="12" a="1"/>
  <c r="AP132" i="12" s="1"/>
  <c r="AP133" i="12" a="1"/>
  <c r="AP133" i="12" s="1"/>
  <c r="AP134" i="12" a="1"/>
  <c r="AP134" i="12" s="1"/>
  <c r="AP135" i="12" a="1"/>
  <c r="AP135" i="12"/>
  <c r="AP136" i="12" a="1"/>
  <c r="AP136" i="12"/>
  <c r="AP137" i="12" a="1"/>
  <c r="AP137" i="12" s="1"/>
  <c r="AP138" i="12" a="1"/>
  <c r="AP138" i="12" s="1"/>
  <c r="AP139" i="12" a="1"/>
  <c r="AP139" i="12" s="1"/>
  <c r="AP140" i="12" a="1"/>
  <c r="AP140" i="12" s="1"/>
  <c r="AP141" i="12" a="1"/>
  <c r="AP141" i="12"/>
  <c r="AP142" i="12" a="1"/>
  <c r="AP142" i="12"/>
  <c r="AP143" i="12" a="1"/>
  <c r="AP143" i="12" s="1"/>
  <c r="AP144" i="12" a="1"/>
  <c r="AP144" i="12" s="1"/>
  <c r="AP145" i="12" a="1"/>
  <c r="AP145" i="12" s="1"/>
  <c r="AP146" i="12" a="1"/>
  <c r="AP146" i="12" s="1"/>
  <c r="AP147" i="12" a="1"/>
  <c r="AP147" i="12"/>
  <c r="AP148" i="12" a="1"/>
  <c r="AP148" i="12"/>
  <c r="AP149" i="12" a="1"/>
  <c r="AP149" i="12" s="1"/>
  <c r="AP150" i="12" a="1"/>
  <c r="AP150" i="12" s="1"/>
  <c r="AP151" i="12" a="1"/>
  <c r="AP151" i="12" s="1"/>
  <c r="AP152" i="12" a="1"/>
  <c r="AP152" i="12" s="1"/>
  <c r="AP153" i="12" a="1"/>
  <c r="AP153" i="12"/>
  <c r="AP154" i="12" a="1"/>
  <c r="AP154" i="12"/>
  <c r="AP155" i="12" a="1"/>
  <c r="AP155" i="12" s="1"/>
  <c r="AP156" i="12" a="1"/>
  <c r="AP156" i="12" s="1"/>
  <c r="AP157" i="12" a="1"/>
  <c r="AP157" i="12" s="1"/>
  <c r="AP158" i="12" a="1"/>
  <c r="AP158" i="12" s="1"/>
  <c r="AP159" i="12" a="1"/>
  <c r="AP159" i="12"/>
  <c r="AP160" i="12" a="1"/>
  <c r="AP160" i="12"/>
  <c r="AP161" i="12" a="1"/>
  <c r="AP161" i="12" s="1"/>
  <c r="AP162" i="12" a="1"/>
  <c r="AP162" i="12" s="1"/>
  <c r="AP163" i="12" a="1"/>
  <c r="AP163" i="12" s="1"/>
  <c r="AP164" i="12" a="1"/>
  <c r="AP164" i="12" s="1"/>
  <c r="AP165" i="12" a="1"/>
  <c r="AP165" i="12"/>
  <c r="AP166" i="12" a="1"/>
  <c r="AP166" i="12"/>
  <c r="AP167" i="12" a="1"/>
  <c r="AP167" i="12" s="1"/>
  <c r="AP168" i="12" a="1"/>
  <c r="AP168" i="12" s="1"/>
  <c r="AP169" i="12" a="1"/>
  <c r="AP169" i="12" s="1"/>
  <c r="AP170" i="12" a="1"/>
  <c r="AP170" i="12" s="1"/>
  <c r="AP171" i="12" a="1"/>
  <c r="AP171" i="12"/>
  <c r="AP172" i="12" a="1"/>
  <c r="AP172" i="12"/>
  <c r="AP173" i="12" a="1"/>
  <c r="AP173" i="12" s="1"/>
  <c r="AP174" i="12" a="1"/>
  <c r="AP174" i="12" s="1"/>
  <c r="AP175" i="12" a="1"/>
  <c r="AP175" i="12" s="1"/>
  <c r="AP176" i="12" a="1"/>
  <c r="AP176" i="12" s="1"/>
  <c r="AP177" i="12" a="1"/>
  <c r="AP177" i="12"/>
  <c r="AP178" i="12" a="1"/>
  <c r="AP178" i="12"/>
  <c r="AP179" i="12" a="1"/>
  <c r="AP179" i="12" s="1"/>
  <c r="AP180" i="12" a="1"/>
  <c r="AP180" i="12" s="1"/>
  <c r="AP181" i="12" a="1"/>
  <c r="AP181" i="12" s="1"/>
  <c r="AP182" i="12" a="1"/>
  <c r="AP182" i="12" s="1"/>
  <c r="AP183" i="12" a="1"/>
  <c r="AP183" i="12"/>
  <c r="AP184" i="12" a="1"/>
  <c r="AP184" i="12"/>
  <c r="AP185" i="12" a="1"/>
  <c r="AP185" i="12" s="1"/>
  <c r="AP186" i="12" a="1"/>
  <c r="AP186" i="12" s="1"/>
  <c r="AP187" i="12" a="1"/>
  <c r="AP187" i="12" s="1"/>
  <c r="AP188" i="12" a="1"/>
  <c r="AP188" i="12" s="1"/>
  <c r="AP189" i="12" a="1"/>
  <c r="AP189" i="12"/>
  <c r="AP190" i="12" a="1"/>
  <c r="AP190" i="12"/>
  <c r="AP191" i="12" a="1"/>
  <c r="AP191" i="12" s="1"/>
  <c r="AP192" i="12" a="1"/>
  <c r="AP192" i="12" s="1"/>
  <c r="AP193" i="12" a="1"/>
  <c r="AP193" i="12" s="1"/>
  <c r="AP194" i="12" a="1"/>
  <c r="AP194" i="12" s="1"/>
  <c r="AP195" i="12" a="1"/>
  <c r="AP195" i="12"/>
  <c r="AP196" i="12" a="1"/>
  <c r="AP196" i="12"/>
  <c r="AP197" i="12" a="1"/>
  <c r="AP197" i="12" s="1"/>
  <c r="AP198" i="12" a="1"/>
  <c r="AP198" i="12" s="1"/>
  <c r="AP199" i="12" a="1"/>
  <c r="AP199" i="12" s="1"/>
  <c r="AP200" i="12" a="1"/>
  <c r="AP200" i="12" s="1"/>
  <c r="AP201" i="12" a="1"/>
  <c r="AP201" i="12"/>
  <c r="AP202" i="12" a="1"/>
  <c r="AP202" i="12"/>
  <c r="AP203" i="12" a="1"/>
  <c r="AP203" i="12" s="1"/>
  <c r="AP204" i="12" a="1"/>
  <c r="AP204" i="12" s="1"/>
  <c r="AP205" i="12" a="1"/>
  <c r="AP205" i="12" s="1"/>
  <c r="AP206" i="12" a="1"/>
  <c r="AP206" i="12" s="1"/>
  <c r="AP207" i="12" a="1"/>
  <c r="AP207" i="12"/>
  <c r="AP208" i="12" a="1"/>
  <c r="AP208" i="12"/>
  <c r="AP209" i="12" a="1"/>
  <c r="AP209" i="12" s="1"/>
  <c r="AP210" i="12" a="1"/>
  <c r="AP210" i="12" s="1"/>
  <c r="AP211" i="12" a="1"/>
  <c r="AP211" i="12" s="1"/>
  <c r="AP212" i="12" a="1"/>
  <c r="AP212" i="12" s="1"/>
  <c r="AP213" i="12" a="1"/>
  <c r="AP213" i="12"/>
  <c r="AP214" i="12" a="1"/>
  <c r="AP214" i="12"/>
  <c r="AP215" i="12" a="1"/>
  <c r="AP215" i="12" s="1"/>
  <c r="AP216" i="12" a="1"/>
  <c r="AP216" i="12" s="1"/>
  <c r="AP217" i="12" a="1"/>
  <c r="AP217" i="12" s="1"/>
  <c r="AP218" i="12" a="1"/>
  <c r="AP218" i="12" s="1"/>
  <c r="AP219" i="12" a="1"/>
  <c r="AP219" i="12"/>
  <c r="AP220" i="12" a="1"/>
  <c r="AP220" i="12"/>
  <c r="AP221" i="12" a="1"/>
  <c r="AP221" i="12" s="1"/>
  <c r="AP222" i="12" a="1"/>
  <c r="AP222" i="12" s="1"/>
  <c r="AP223" i="12" a="1"/>
  <c r="AP223" i="12" s="1"/>
  <c r="AP224" i="12" a="1"/>
  <c r="AP224" i="12" s="1"/>
  <c r="AP225" i="12" a="1"/>
  <c r="AP225" i="12"/>
  <c r="AP226" i="12" a="1"/>
  <c r="AP226" i="12"/>
  <c r="AP227" i="12" a="1"/>
  <c r="AP227" i="12" s="1"/>
  <c r="AP228" i="12" a="1"/>
  <c r="AP228" i="12" s="1"/>
  <c r="AP229" i="12" a="1"/>
  <c r="AP229" i="12" s="1"/>
  <c r="AP230" i="12" a="1"/>
  <c r="AP230" i="12" s="1"/>
  <c r="AP231" i="12" a="1"/>
  <c r="AP231" i="12"/>
  <c r="AP232" i="12" a="1"/>
  <c r="AP232" i="12"/>
  <c r="AP233" i="12" a="1"/>
  <c r="AP233" i="12" s="1"/>
  <c r="AP234" i="12" a="1"/>
  <c r="AP234" i="12" s="1"/>
  <c r="AP235" i="12" a="1"/>
  <c r="AP235" i="12" s="1"/>
  <c r="AO5" i="12"/>
  <c r="AO6" i="12"/>
  <c r="AO7" i="12"/>
  <c r="AO8" i="12"/>
  <c r="AO9" i="12"/>
  <c r="AO10" i="12"/>
  <c r="AO11" i="12"/>
  <c r="AO12" i="12"/>
  <c r="AO13" i="12"/>
  <c r="AO14" i="12"/>
  <c r="AO15" i="12"/>
  <c r="AO16" i="12"/>
  <c r="AO17" i="12"/>
  <c r="AO18" i="12"/>
  <c r="AO19" i="12"/>
  <c r="AO20" i="12"/>
  <c r="AO21" i="12"/>
  <c r="AO22" i="12"/>
  <c r="AO23" i="12"/>
  <c r="AO24" i="12"/>
  <c r="AO25" i="12"/>
  <c r="AO26" i="12"/>
  <c r="AO27" i="12"/>
  <c r="AO28" i="12"/>
  <c r="AO29" i="12"/>
  <c r="AO30" i="12"/>
  <c r="AO31" i="12"/>
  <c r="AO32" i="12"/>
  <c r="AO33" i="12"/>
  <c r="AO34" i="12"/>
  <c r="AO35" i="12"/>
  <c r="AO36" i="12"/>
  <c r="AO37" i="12"/>
  <c r="AO38" i="12"/>
  <c r="AO39" i="12"/>
  <c r="AO40" i="12"/>
  <c r="AO41" i="12"/>
  <c r="AO42" i="12"/>
  <c r="AO43" i="12"/>
  <c r="AO44" i="12"/>
  <c r="AO45" i="12"/>
  <c r="AO46" i="12"/>
  <c r="AO47" i="12"/>
  <c r="AO48" i="12"/>
  <c r="AO49" i="12"/>
  <c r="AO50" i="12"/>
  <c r="AO51" i="12"/>
  <c r="AO52" i="12"/>
  <c r="AO53" i="12"/>
  <c r="AO54" i="12"/>
  <c r="AO55" i="12"/>
  <c r="AO56" i="12"/>
  <c r="AO57" i="12"/>
  <c r="AO58" i="12"/>
  <c r="AO59" i="12"/>
  <c r="AO60" i="12"/>
  <c r="AO61" i="12"/>
  <c r="AO62" i="12"/>
  <c r="AO63" i="12"/>
  <c r="AO64" i="12"/>
  <c r="AO65" i="12"/>
  <c r="AO66" i="12"/>
  <c r="AO67" i="12"/>
  <c r="AO68" i="12"/>
  <c r="AO69" i="12"/>
  <c r="AO70" i="12"/>
  <c r="AO71" i="12"/>
  <c r="AO72" i="12"/>
  <c r="AO73" i="12"/>
  <c r="AO74" i="12"/>
  <c r="AO75" i="12"/>
  <c r="AO76" i="12"/>
  <c r="AO77" i="12"/>
  <c r="AO78" i="12"/>
  <c r="AO79" i="12"/>
  <c r="AO80" i="12"/>
  <c r="AO81" i="12"/>
  <c r="AO82" i="12"/>
  <c r="AO83" i="12"/>
  <c r="AO84" i="12"/>
  <c r="AO85" i="12"/>
  <c r="AO86" i="12"/>
  <c r="AO87" i="12"/>
  <c r="AO88" i="12"/>
  <c r="AO89" i="12"/>
  <c r="AO90" i="12"/>
  <c r="AO91" i="12"/>
  <c r="AO92" i="12"/>
  <c r="AO93" i="12"/>
  <c r="AO94" i="12"/>
  <c r="AO95" i="12"/>
  <c r="AO96" i="12"/>
  <c r="AO97" i="12"/>
  <c r="AO98" i="12"/>
  <c r="AO99" i="12"/>
  <c r="AO100" i="12"/>
  <c r="AO101" i="12"/>
  <c r="AO102" i="12"/>
  <c r="AO103" i="12"/>
  <c r="AO104" i="12"/>
  <c r="AO105" i="12"/>
  <c r="AO106" i="12"/>
  <c r="AO107" i="12"/>
  <c r="AO108" i="12"/>
  <c r="AO109" i="12"/>
  <c r="AO110" i="12"/>
  <c r="AO111" i="12"/>
  <c r="AO112" i="12"/>
  <c r="AO113" i="12"/>
  <c r="AO114" i="12"/>
  <c r="AO115" i="12"/>
  <c r="AO116" i="12"/>
  <c r="AO117" i="12"/>
  <c r="AO118" i="12"/>
  <c r="AO119" i="12"/>
  <c r="AO120" i="12"/>
  <c r="AO121" i="12"/>
  <c r="AO122" i="12"/>
  <c r="AO123" i="12"/>
  <c r="AO124" i="12"/>
  <c r="AO125" i="12"/>
  <c r="AO126" i="12"/>
  <c r="AO127" i="12"/>
  <c r="AO128" i="12"/>
  <c r="AO129" i="12"/>
  <c r="AO130" i="12"/>
  <c r="AO131" i="12"/>
  <c r="AO132" i="12"/>
  <c r="AO133" i="12"/>
  <c r="AO134" i="12"/>
  <c r="AO135" i="12"/>
  <c r="AO136" i="12"/>
  <c r="AO137" i="12"/>
  <c r="AO138" i="12"/>
  <c r="AO139" i="12"/>
  <c r="AO140" i="12"/>
  <c r="AO141" i="12"/>
  <c r="AO142" i="12"/>
  <c r="AO143" i="12"/>
  <c r="AO144" i="12"/>
  <c r="AO145" i="12"/>
  <c r="AO146" i="12"/>
  <c r="AO147" i="12"/>
  <c r="AO148" i="12"/>
  <c r="AO149" i="12"/>
  <c r="AO150" i="12"/>
  <c r="AO151" i="12"/>
  <c r="AO152" i="12"/>
  <c r="AO153" i="12"/>
  <c r="AO154" i="12"/>
  <c r="AO155" i="12"/>
  <c r="AO156" i="12"/>
  <c r="AO157" i="12"/>
  <c r="AO158" i="12"/>
  <c r="AO159" i="12"/>
  <c r="AO160" i="12"/>
  <c r="AO161" i="12"/>
  <c r="AO162" i="12"/>
  <c r="AO163" i="12"/>
  <c r="AO164" i="12"/>
  <c r="AO165" i="12"/>
  <c r="AO166" i="12"/>
  <c r="AO167" i="12"/>
  <c r="AO168" i="12"/>
  <c r="AO169" i="12"/>
  <c r="AO170" i="12"/>
  <c r="AO171" i="12"/>
  <c r="AO172" i="12"/>
  <c r="AO173" i="12"/>
  <c r="AO174" i="12"/>
  <c r="AO175" i="12"/>
  <c r="AO176" i="12"/>
  <c r="AO177" i="12"/>
  <c r="AO178" i="12"/>
  <c r="AO179" i="12"/>
  <c r="AO180" i="12"/>
  <c r="AO181" i="12"/>
  <c r="AO182" i="12"/>
  <c r="AO183" i="12"/>
  <c r="AO184" i="12"/>
  <c r="AO185" i="12"/>
  <c r="AO186" i="12"/>
  <c r="AO187" i="12"/>
  <c r="AO188" i="12"/>
  <c r="AO189" i="12"/>
  <c r="AO190" i="12"/>
  <c r="AO191" i="12"/>
  <c r="AO192" i="12"/>
  <c r="AO193" i="12"/>
  <c r="AO194" i="12"/>
  <c r="AO195" i="12"/>
  <c r="AO196" i="12"/>
  <c r="AO197" i="12"/>
  <c r="AO198" i="12"/>
  <c r="AO199" i="12"/>
  <c r="AO200" i="12"/>
  <c r="AO201" i="12"/>
  <c r="AO202" i="12"/>
  <c r="AO203" i="12"/>
  <c r="AO204" i="12"/>
  <c r="AO205" i="12"/>
  <c r="AO206" i="12"/>
  <c r="AO207" i="12"/>
  <c r="AO208" i="12"/>
  <c r="AO209" i="12"/>
  <c r="AO210" i="12"/>
  <c r="AO211" i="12"/>
  <c r="AO212" i="12"/>
  <c r="AO213" i="12"/>
  <c r="AO214" i="12"/>
  <c r="AO215" i="12"/>
  <c r="AO216" i="12"/>
  <c r="AO217" i="12"/>
  <c r="AO218" i="12"/>
  <c r="AO219" i="12"/>
  <c r="AO220" i="12"/>
  <c r="AO221" i="12"/>
  <c r="AO222" i="12"/>
  <c r="AO223" i="12"/>
  <c r="AO224" i="12"/>
  <c r="AO225" i="12"/>
  <c r="AO226" i="12"/>
  <c r="AO227" i="12"/>
  <c r="AO228" i="12"/>
  <c r="AO229" i="12"/>
  <c r="AO230" i="12"/>
  <c r="AO231" i="12"/>
  <c r="AO232" i="12"/>
  <c r="AO233" i="12"/>
  <c r="AO234" i="12"/>
  <c r="AO235" i="12"/>
  <c r="AR4" i="12" a="1"/>
  <c r="AR4" i="12" s="1"/>
  <c r="AP4" i="12" a="1"/>
  <c r="AP4" i="12" s="1"/>
  <c r="AQ4" i="12"/>
  <c r="AO4" i="12"/>
  <c r="AN5" i="12" a="1"/>
  <c r="AN5" i="12" s="1"/>
  <c r="AN6" i="12" a="1"/>
  <c r="AN6" i="12" s="1"/>
  <c r="AN7" i="12" a="1"/>
  <c r="AN7" i="12" s="1"/>
  <c r="AN8" i="12" a="1"/>
  <c r="AN8" i="12" s="1"/>
  <c r="AN9" i="12" a="1"/>
  <c r="AN9" i="12" s="1"/>
  <c r="AN10" i="12" a="1"/>
  <c r="AN10" i="12"/>
  <c r="AN11" i="12" a="1"/>
  <c r="AN11" i="12" s="1"/>
  <c r="AN12" i="12" a="1"/>
  <c r="AN12" i="12" s="1"/>
  <c r="AN13" i="12" a="1"/>
  <c r="AN13" i="12" s="1"/>
  <c r="AN14" i="12" a="1"/>
  <c r="AN14" i="12" s="1"/>
  <c r="AN15" i="12" a="1"/>
  <c r="AN15" i="12" s="1"/>
  <c r="AN16" i="12" a="1"/>
  <c r="AN16" i="12"/>
  <c r="AN17" i="12" a="1"/>
  <c r="AN17" i="12" s="1"/>
  <c r="AN18" i="12" a="1"/>
  <c r="AN18" i="12" s="1"/>
  <c r="AN19" i="12" a="1"/>
  <c r="AN19" i="12" s="1"/>
  <c r="AN20" i="12" a="1"/>
  <c r="AN20" i="12" s="1"/>
  <c r="AN21" i="12" a="1"/>
  <c r="AN21" i="12" s="1"/>
  <c r="AN22" i="12" a="1"/>
  <c r="AN22" i="12"/>
  <c r="AN23" i="12" a="1"/>
  <c r="AN23" i="12" s="1"/>
  <c r="AN24" i="12" a="1"/>
  <c r="AN24" i="12" s="1"/>
  <c r="AN25" i="12" a="1"/>
  <c r="AN25" i="12" s="1"/>
  <c r="AN26" i="12" a="1"/>
  <c r="AN26" i="12" s="1"/>
  <c r="AN27" i="12" a="1"/>
  <c r="AN27" i="12" s="1"/>
  <c r="AN28" i="12" a="1"/>
  <c r="AN28" i="12"/>
  <c r="AN29" i="12" a="1"/>
  <c r="AN29" i="12" s="1"/>
  <c r="AN30" i="12" a="1"/>
  <c r="AN30" i="12" s="1"/>
  <c r="AN31" i="12" a="1"/>
  <c r="AN31" i="12" s="1"/>
  <c r="AN32" i="12" a="1"/>
  <c r="AN32" i="12" s="1"/>
  <c r="AN33" i="12" a="1"/>
  <c r="AN33" i="12" s="1"/>
  <c r="AN34" i="12" a="1"/>
  <c r="AN34" i="12"/>
  <c r="AN35" i="12" a="1"/>
  <c r="AN35" i="12" s="1"/>
  <c r="AN36" i="12" a="1"/>
  <c r="AN36" i="12" s="1"/>
  <c r="AN37" i="12" a="1"/>
  <c r="AN37" i="12" s="1"/>
  <c r="AN38" i="12" a="1"/>
  <c r="AN38" i="12" s="1"/>
  <c r="AN39" i="12" a="1"/>
  <c r="AN39" i="12" s="1"/>
  <c r="AN40" i="12" a="1"/>
  <c r="AN40" i="12"/>
  <c r="AN41" i="12" a="1"/>
  <c r="AN41" i="12" s="1"/>
  <c r="AN42" i="12" a="1"/>
  <c r="AN42" i="12" s="1"/>
  <c r="AN43" i="12" a="1"/>
  <c r="AN43" i="12" s="1"/>
  <c r="AN44" i="12" a="1"/>
  <c r="AN44" i="12" s="1"/>
  <c r="AN45" i="12" a="1"/>
  <c r="AN45" i="12" s="1"/>
  <c r="AN46" i="12" a="1"/>
  <c r="AN46" i="12"/>
  <c r="AN47" i="12" a="1"/>
  <c r="AN47" i="12" s="1"/>
  <c r="AN48" i="12" a="1"/>
  <c r="AN48" i="12" s="1"/>
  <c r="AN49" i="12" a="1"/>
  <c r="AN49" i="12" s="1"/>
  <c r="AN50" i="12" a="1"/>
  <c r="AN50" i="12" s="1"/>
  <c r="AN51" i="12" a="1"/>
  <c r="AN51" i="12" s="1"/>
  <c r="AN52" i="12" a="1"/>
  <c r="AN52" i="12"/>
  <c r="AN53" i="12" a="1"/>
  <c r="AN53" i="12" s="1"/>
  <c r="AN54" i="12" a="1"/>
  <c r="AN54" i="12" s="1"/>
  <c r="AN55" i="12" a="1"/>
  <c r="AN55" i="12" s="1"/>
  <c r="AN56" i="12" a="1"/>
  <c r="AN56" i="12" s="1"/>
  <c r="AN57" i="12" a="1"/>
  <c r="AN57" i="12" s="1"/>
  <c r="AN58" i="12" a="1"/>
  <c r="AN58" i="12"/>
  <c r="AN59" i="12" a="1"/>
  <c r="AN59" i="12" s="1"/>
  <c r="AN60" i="12" a="1"/>
  <c r="AN60" i="12" s="1"/>
  <c r="AN61" i="12" a="1"/>
  <c r="AN61" i="12" s="1"/>
  <c r="AN62" i="12" a="1"/>
  <c r="AN62" i="12" s="1"/>
  <c r="AN63" i="12" a="1"/>
  <c r="AN63" i="12" s="1"/>
  <c r="AN64" i="12" a="1"/>
  <c r="AN64" i="12"/>
  <c r="AN65" i="12" a="1"/>
  <c r="AN65" i="12" s="1"/>
  <c r="AN66" i="12" a="1"/>
  <c r="AN66" i="12" s="1"/>
  <c r="AN67" i="12" a="1"/>
  <c r="AN67" i="12" s="1"/>
  <c r="AN68" i="12" a="1"/>
  <c r="AN68" i="12" s="1"/>
  <c r="AN69" i="12" a="1"/>
  <c r="AN69" i="12" s="1"/>
  <c r="AN70" i="12" a="1"/>
  <c r="AN70" i="12"/>
  <c r="AN71" i="12" a="1"/>
  <c r="AN71" i="12" s="1"/>
  <c r="AN72" i="12" a="1"/>
  <c r="AN72" i="12" s="1"/>
  <c r="AN73" i="12" a="1"/>
  <c r="AN73" i="12" s="1"/>
  <c r="AN74" i="12" a="1"/>
  <c r="AN74" i="12" s="1"/>
  <c r="AN75" i="12" a="1"/>
  <c r="AN75" i="12" s="1"/>
  <c r="AN76" i="12" a="1"/>
  <c r="AN76" i="12"/>
  <c r="AN77" i="12" a="1"/>
  <c r="AN77" i="12" s="1"/>
  <c r="AN78" i="12" a="1"/>
  <c r="AN78" i="12" s="1"/>
  <c r="AN79" i="12" a="1"/>
  <c r="AN79" i="12" s="1"/>
  <c r="AN80" i="12" a="1"/>
  <c r="AN80" i="12" s="1"/>
  <c r="AN81" i="12" a="1"/>
  <c r="AN81" i="12" s="1"/>
  <c r="AN82" i="12" a="1"/>
  <c r="AN82" i="12"/>
  <c r="AN83" i="12" a="1"/>
  <c r="AN83" i="12" s="1"/>
  <c r="AN84" i="12" a="1"/>
  <c r="AN84" i="12" s="1"/>
  <c r="AN85" i="12" a="1"/>
  <c r="AN85" i="12" s="1"/>
  <c r="AN86" i="12" a="1"/>
  <c r="AN86" i="12" s="1"/>
  <c r="AN87" i="12" a="1"/>
  <c r="AN87" i="12" s="1"/>
  <c r="AN88" i="12" a="1"/>
  <c r="AN88" i="12"/>
  <c r="AN89" i="12" a="1"/>
  <c r="AN89" i="12" s="1"/>
  <c r="AN90" i="12" a="1"/>
  <c r="AN90" i="12" s="1"/>
  <c r="AN91" i="12" a="1"/>
  <c r="AN91" i="12" s="1"/>
  <c r="AN92" i="12" a="1"/>
  <c r="AN92" i="12" s="1"/>
  <c r="AN93" i="12" a="1"/>
  <c r="AN93" i="12" s="1"/>
  <c r="AN94" i="12" a="1"/>
  <c r="AN94" i="12"/>
  <c r="AN95" i="12" a="1"/>
  <c r="AN95" i="12" s="1"/>
  <c r="AN96" i="12" a="1"/>
  <c r="AN96" i="12" s="1"/>
  <c r="AN97" i="12" a="1"/>
  <c r="AN97" i="12" s="1"/>
  <c r="AN98" i="12" a="1"/>
  <c r="AN98" i="12" s="1"/>
  <c r="AN99" i="12" a="1"/>
  <c r="AN99" i="12" s="1"/>
  <c r="AN101" i="12" a="1"/>
  <c r="AN101" i="12" s="1"/>
  <c r="AN102" i="12" a="1"/>
  <c r="AN102" i="12" s="1"/>
  <c r="AN103" i="12" a="1"/>
  <c r="AN103" i="12" s="1"/>
  <c r="AN104" i="12" a="1"/>
  <c r="AN104" i="12" s="1"/>
  <c r="AN105" i="12" a="1"/>
  <c r="AN105" i="12" s="1"/>
  <c r="AN106" i="12" a="1"/>
  <c r="AN106" i="12"/>
  <c r="AN107" i="12" a="1"/>
  <c r="AN107" i="12" s="1"/>
  <c r="AN108" i="12" a="1"/>
  <c r="AN108" i="12" s="1"/>
  <c r="AN109" i="12" a="1"/>
  <c r="AN109" i="12" s="1"/>
  <c r="AN110" i="12" a="1"/>
  <c r="AN110" i="12" s="1"/>
  <c r="AN111" i="12" a="1"/>
  <c r="AN111" i="12" s="1"/>
  <c r="AN112" i="12" a="1"/>
  <c r="AN112" i="12"/>
  <c r="AN113" i="12" a="1"/>
  <c r="AN113" i="12" s="1"/>
  <c r="AN114" i="12" a="1"/>
  <c r="AN114" i="12" s="1"/>
  <c r="AN115" i="12" a="1"/>
  <c r="AN115" i="12" s="1"/>
  <c r="AN116" i="12" a="1"/>
  <c r="AN116" i="12" s="1"/>
  <c r="AN117" i="12" a="1"/>
  <c r="AN117" i="12" s="1"/>
  <c r="AN118" i="12" a="1"/>
  <c r="AN118" i="12"/>
  <c r="AN119" i="12" a="1"/>
  <c r="AN119" i="12" s="1"/>
  <c r="AN120" i="12" a="1"/>
  <c r="AN120" i="12" s="1"/>
  <c r="AN121" i="12" a="1"/>
  <c r="AN121" i="12" s="1"/>
  <c r="AN122" i="12" a="1"/>
  <c r="AN122" i="12" s="1"/>
  <c r="AN123" i="12" a="1"/>
  <c r="AN123" i="12" s="1"/>
  <c r="AN124" i="12" a="1"/>
  <c r="AN124" i="12"/>
  <c r="AN125" i="12" a="1"/>
  <c r="AN125" i="12" s="1"/>
  <c r="AN126" i="12" a="1"/>
  <c r="AN126" i="12" s="1"/>
  <c r="AN127" i="12" a="1"/>
  <c r="AN127" i="12" s="1"/>
  <c r="AN128" i="12" a="1"/>
  <c r="AN128" i="12" s="1"/>
  <c r="AN129" i="12" a="1"/>
  <c r="AN129" i="12" s="1"/>
  <c r="AN130" i="12" a="1"/>
  <c r="AN130" i="12"/>
  <c r="AN131" i="12" a="1"/>
  <c r="AN131" i="12" s="1"/>
  <c r="AN132" i="12" a="1"/>
  <c r="AN132" i="12" s="1"/>
  <c r="AN133" i="12" a="1"/>
  <c r="AN133" i="12" s="1"/>
  <c r="AN134" i="12" a="1"/>
  <c r="AN134" i="12" s="1"/>
  <c r="AN135" i="12" a="1"/>
  <c r="AN135" i="12" s="1"/>
  <c r="AN136" i="12" a="1"/>
  <c r="AN136" i="12"/>
  <c r="AN137" i="12" a="1"/>
  <c r="AN137" i="12" s="1"/>
  <c r="AN138" i="12" a="1"/>
  <c r="AN138" i="12" s="1"/>
  <c r="AN139" i="12" a="1"/>
  <c r="AN139" i="12" s="1"/>
  <c r="AN140" i="12" a="1"/>
  <c r="AN140" i="12" s="1"/>
  <c r="AN141" i="12" a="1"/>
  <c r="AN141" i="12" s="1"/>
  <c r="AN142" i="12" a="1"/>
  <c r="AN142" i="12"/>
  <c r="AN143" i="12" a="1"/>
  <c r="AN143" i="12" s="1"/>
  <c r="AN144" i="12" a="1"/>
  <c r="AN144" i="12" s="1"/>
  <c r="AN145" i="12" a="1"/>
  <c r="AN145" i="12" s="1"/>
  <c r="AN146" i="12" a="1"/>
  <c r="AN146" i="12" s="1"/>
  <c r="AN147" i="12" a="1"/>
  <c r="AN147" i="12" s="1"/>
  <c r="AN148" i="12" a="1"/>
  <c r="AN148" i="12"/>
  <c r="AN149" i="12" a="1"/>
  <c r="AN149" i="12" s="1"/>
  <c r="AN150" i="12" a="1"/>
  <c r="AN150" i="12" s="1"/>
  <c r="AN151" i="12" a="1"/>
  <c r="AN151" i="12" s="1"/>
  <c r="AN152" i="12" a="1"/>
  <c r="AN152" i="12" s="1"/>
  <c r="AN153" i="12" a="1"/>
  <c r="AN153" i="12" s="1"/>
  <c r="AN154" i="12" a="1"/>
  <c r="AN154" i="12"/>
  <c r="AN155" i="12" a="1"/>
  <c r="AN155" i="12" s="1"/>
  <c r="AN156" i="12" a="1"/>
  <c r="AN156" i="12" s="1"/>
  <c r="AN157" i="12" a="1"/>
  <c r="AN157" i="12" s="1"/>
  <c r="AN158" i="12" a="1"/>
  <c r="AN158" i="12" s="1"/>
  <c r="AN159" i="12" a="1"/>
  <c r="AN159" i="12" s="1"/>
  <c r="AN160" i="12" a="1"/>
  <c r="AN160" i="12"/>
  <c r="AN161" i="12" a="1"/>
  <c r="AN161" i="12" s="1"/>
  <c r="AN162" i="12" a="1"/>
  <c r="AN162" i="12" s="1"/>
  <c r="AN163" i="12" a="1"/>
  <c r="AN163" i="12" s="1"/>
  <c r="AN164" i="12" a="1"/>
  <c r="AN164" i="12" s="1"/>
  <c r="AN165" i="12" a="1"/>
  <c r="AN165" i="12" s="1"/>
  <c r="AN166" i="12" a="1"/>
  <c r="AN166" i="12"/>
  <c r="AN167" i="12" a="1"/>
  <c r="AN167" i="12" s="1"/>
  <c r="AN168" i="12" a="1"/>
  <c r="AN168" i="12" s="1"/>
  <c r="AN169" i="12" a="1"/>
  <c r="AN169" i="12" s="1"/>
  <c r="AN170" i="12" a="1"/>
  <c r="AN170" i="12" s="1"/>
  <c r="AN171" i="12" a="1"/>
  <c r="AN171" i="12" s="1"/>
  <c r="AN172" i="12" a="1"/>
  <c r="AN172" i="12"/>
  <c r="AN173" i="12" a="1"/>
  <c r="AN173" i="12" s="1"/>
  <c r="AN174" i="12" a="1"/>
  <c r="AN174" i="12" s="1"/>
  <c r="AN175" i="12" a="1"/>
  <c r="AN175" i="12" s="1"/>
  <c r="AN176" i="12" a="1"/>
  <c r="AN176" i="12" s="1"/>
  <c r="AN177" i="12" a="1"/>
  <c r="AN177" i="12" s="1"/>
  <c r="AN178" i="12" a="1"/>
  <c r="AN178" i="12"/>
  <c r="AN179" i="12" a="1"/>
  <c r="AN179" i="12" s="1"/>
  <c r="AN180" i="12" a="1"/>
  <c r="AN180" i="12" s="1"/>
  <c r="AN181" i="12" a="1"/>
  <c r="AN181" i="12" s="1"/>
  <c r="AN182" i="12" a="1"/>
  <c r="AN182" i="12" s="1"/>
  <c r="AN183" i="12" a="1"/>
  <c r="AN183" i="12" s="1"/>
  <c r="AN184" i="12" a="1"/>
  <c r="AN184" i="12"/>
  <c r="AN185" i="12" a="1"/>
  <c r="AN185" i="12" s="1"/>
  <c r="AN186" i="12" a="1"/>
  <c r="AN186" i="12" s="1"/>
  <c r="AN187" i="12" a="1"/>
  <c r="AN187" i="12" s="1"/>
  <c r="AN188" i="12" a="1"/>
  <c r="AN188" i="12" s="1"/>
  <c r="AN189" i="12" a="1"/>
  <c r="AN189" i="12" s="1"/>
  <c r="AN190" i="12" a="1"/>
  <c r="AN190" i="12"/>
  <c r="AN191" i="12" a="1"/>
  <c r="AN191" i="12" s="1"/>
  <c r="AN192" i="12" a="1"/>
  <c r="AN192" i="12" s="1"/>
  <c r="AN193" i="12" a="1"/>
  <c r="AN193" i="12" s="1"/>
  <c r="AN194" i="12" a="1"/>
  <c r="AN194" i="12" s="1"/>
  <c r="AN195" i="12" a="1"/>
  <c r="AN195" i="12" s="1"/>
  <c r="AN196" i="12" a="1"/>
  <c r="AN196" i="12"/>
  <c r="AN197" i="12" a="1"/>
  <c r="AN197" i="12" s="1"/>
  <c r="AN198" i="12" a="1"/>
  <c r="AN198" i="12" s="1"/>
  <c r="AN199" i="12" a="1"/>
  <c r="AN199" i="12" s="1"/>
  <c r="AN200" i="12" a="1"/>
  <c r="AN200" i="12" s="1"/>
  <c r="AN201" i="12" a="1"/>
  <c r="AN201" i="12" s="1"/>
  <c r="AN202" i="12" a="1"/>
  <c r="AN202" i="12"/>
  <c r="AN203" i="12" a="1"/>
  <c r="AN203" i="12" s="1"/>
  <c r="AN204" i="12" a="1"/>
  <c r="AN204" i="12" s="1"/>
  <c r="AN205" i="12" a="1"/>
  <c r="AN205" i="12" s="1"/>
  <c r="AN206" i="12" a="1"/>
  <c r="AN206" i="12" s="1"/>
  <c r="AN207" i="12" a="1"/>
  <c r="AN207" i="12" s="1"/>
  <c r="AN208" i="12" a="1"/>
  <c r="AN208" i="12"/>
  <c r="AN209" i="12" a="1"/>
  <c r="AN209" i="12" s="1"/>
  <c r="AN210" i="12" a="1"/>
  <c r="AN210" i="12" s="1"/>
  <c r="AN211" i="12" a="1"/>
  <c r="AN211" i="12" s="1"/>
  <c r="AN212" i="12" a="1"/>
  <c r="AN212" i="12" s="1"/>
  <c r="AN213" i="12" a="1"/>
  <c r="AN213" i="12" s="1"/>
  <c r="AN214" i="12" a="1"/>
  <c r="AN214" i="12"/>
  <c r="AN215" i="12" a="1"/>
  <c r="AN215" i="12" s="1"/>
  <c r="AN216" i="12" a="1"/>
  <c r="AN216" i="12" s="1"/>
  <c r="AN217" i="12" a="1"/>
  <c r="AN217" i="12" s="1"/>
  <c r="AN218" i="12" a="1"/>
  <c r="AN218" i="12" s="1"/>
  <c r="AN219" i="12" a="1"/>
  <c r="AN219" i="12" s="1"/>
  <c r="AN220" i="12" a="1"/>
  <c r="AN220" i="12"/>
  <c r="AN221" i="12" a="1"/>
  <c r="AN221" i="12" s="1"/>
  <c r="AN222" i="12" a="1"/>
  <c r="AN222" i="12" s="1"/>
  <c r="AN223" i="12" a="1"/>
  <c r="AN223" i="12" s="1"/>
  <c r="AN224" i="12" a="1"/>
  <c r="AN224" i="12" s="1"/>
  <c r="AN225" i="12" a="1"/>
  <c r="AN225" i="12" s="1"/>
  <c r="AN226" i="12" a="1"/>
  <c r="AN226" i="12"/>
  <c r="AN227" i="12" a="1"/>
  <c r="AN227" i="12" s="1"/>
  <c r="AN228" i="12" a="1"/>
  <c r="AN228" i="12" s="1"/>
  <c r="AN229" i="12" a="1"/>
  <c r="AN229" i="12" s="1"/>
  <c r="AN230" i="12" a="1"/>
  <c r="AN230" i="12" s="1"/>
  <c r="AN231" i="12" a="1"/>
  <c r="AN231" i="12" s="1"/>
  <c r="AN232" i="12" a="1"/>
  <c r="AN232" i="12"/>
  <c r="AN233" i="12" a="1"/>
  <c r="AN233" i="12" s="1"/>
  <c r="AN234" i="12" a="1"/>
  <c r="AN234" i="12" s="1"/>
  <c r="AN235" i="12" a="1"/>
  <c r="AN235" i="12" s="1"/>
  <c r="AL5" i="12"/>
  <c r="AL6" i="12"/>
  <c r="AL7" i="12"/>
  <c r="AL8" i="12"/>
  <c r="AL9" i="12"/>
  <c r="AL10" i="12"/>
  <c r="AL11" i="12"/>
  <c r="AL12" i="12"/>
  <c r="AL13" i="12"/>
  <c r="AL14" i="12"/>
  <c r="AL15" i="12"/>
  <c r="AL16" i="12"/>
  <c r="AL17" i="12"/>
  <c r="AL18" i="12"/>
  <c r="AL19" i="12"/>
  <c r="AL20" i="12"/>
  <c r="AL21" i="12"/>
  <c r="AL22" i="12"/>
  <c r="AL23" i="12"/>
  <c r="AL24" i="12"/>
  <c r="AL25" i="12"/>
  <c r="AL26" i="12"/>
  <c r="AL27" i="12"/>
  <c r="AL28" i="12"/>
  <c r="AL29" i="12"/>
  <c r="AL30" i="12"/>
  <c r="AL31" i="12"/>
  <c r="AL32" i="12"/>
  <c r="AL33" i="12"/>
  <c r="AL34" i="12"/>
  <c r="AL35" i="12"/>
  <c r="AL36" i="12"/>
  <c r="AL37" i="12"/>
  <c r="AL38" i="12"/>
  <c r="AL39" i="12"/>
  <c r="AL40" i="12"/>
  <c r="AL41" i="12"/>
  <c r="AL42" i="12"/>
  <c r="AL43" i="12"/>
  <c r="AL44" i="12"/>
  <c r="AL45" i="12"/>
  <c r="AL46" i="12"/>
  <c r="AL47" i="12"/>
  <c r="AL48" i="12"/>
  <c r="AL49" i="12"/>
  <c r="AL50" i="12"/>
  <c r="AL51" i="12"/>
  <c r="AL52" i="12"/>
  <c r="AL53" i="12"/>
  <c r="AL54" i="12"/>
  <c r="AL55" i="12"/>
  <c r="AL56" i="12"/>
  <c r="AL57" i="12"/>
  <c r="AL58" i="12"/>
  <c r="AL59" i="12"/>
  <c r="AL60" i="12"/>
  <c r="AL61" i="12"/>
  <c r="AL62" i="12"/>
  <c r="AL63" i="12"/>
  <c r="AL64" i="12"/>
  <c r="AL65" i="12"/>
  <c r="AL66" i="12"/>
  <c r="AL67" i="12"/>
  <c r="AL68" i="12"/>
  <c r="AL69" i="12"/>
  <c r="AL70" i="12"/>
  <c r="AL71" i="12"/>
  <c r="AL72" i="12"/>
  <c r="AL73" i="12"/>
  <c r="AL74" i="12"/>
  <c r="AL75" i="12"/>
  <c r="AL76" i="12"/>
  <c r="AL77" i="12"/>
  <c r="AL78" i="12"/>
  <c r="AL79" i="12"/>
  <c r="AL80" i="12"/>
  <c r="AL81" i="12"/>
  <c r="AL82" i="12"/>
  <c r="AL83" i="12"/>
  <c r="AL84" i="12"/>
  <c r="AL85" i="12"/>
  <c r="AL86" i="12"/>
  <c r="AL87" i="12"/>
  <c r="AL88" i="12"/>
  <c r="AL89" i="12"/>
  <c r="AL90" i="12"/>
  <c r="AL91" i="12"/>
  <c r="AL92" i="12"/>
  <c r="AL93" i="12"/>
  <c r="AL94" i="12"/>
  <c r="AL95" i="12"/>
  <c r="AL96" i="12"/>
  <c r="AL97" i="12"/>
  <c r="AL98" i="12"/>
  <c r="AL99" i="12"/>
  <c r="AL100" i="12"/>
  <c r="AN100" i="12" s="1" a="1"/>
  <c r="AN100" i="12" s="1"/>
  <c r="AL101" i="12"/>
  <c r="AL102" i="12"/>
  <c r="AL103" i="12"/>
  <c r="AL104" i="12"/>
  <c r="AL105" i="12"/>
  <c r="AL106" i="12"/>
  <c r="AL107" i="12"/>
  <c r="AL108" i="12"/>
  <c r="AL109" i="12"/>
  <c r="AL110" i="12"/>
  <c r="AL111" i="12"/>
  <c r="AL112" i="12"/>
  <c r="AL113" i="12"/>
  <c r="AL114" i="12"/>
  <c r="AL115" i="12"/>
  <c r="AL116" i="12"/>
  <c r="AL117" i="12"/>
  <c r="AL118" i="12"/>
  <c r="AL119" i="12"/>
  <c r="AL120" i="12"/>
  <c r="AL121" i="12"/>
  <c r="AL122" i="12"/>
  <c r="AL123" i="12"/>
  <c r="AL124" i="12"/>
  <c r="AL125" i="12"/>
  <c r="AL126" i="12"/>
  <c r="AL127" i="12"/>
  <c r="AL128" i="12"/>
  <c r="AL129" i="12"/>
  <c r="AL130" i="12"/>
  <c r="AL131" i="12"/>
  <c r="AL132" i="12"/>
  <c r="AL133" i="12"/>
  <c r="AL134" i="12"/>
  <c r="AL135" i="12"/>
  <c r="AL136" i="12"/>
  <c r="AL137" i="12"/>
  <c r="AL138" i="12"/>
  <c r="AL139" i="12"/>
  <c r="AL140" i="12"/>
  <c r="AL141" i="12"/>
  <c r="AL142" i="12"/>
  <c r="AL143" i="12"/>
  <c r="AL144" i="12"/>
  <c r="AL145" i="12"/>
  <c r="AL146" i="12"/>
  <c r="AL147" i="12"/>
  <c r="AL148" i="12"/>
  <c r="AL149" i="12"/>
  <c r="AL150" i="12"/>
  <c r="AL151" i="12"/>
  <c r="AL152" i="12"/>
  <c r="AL153" i="12"/>
  <c r="AL154" i="12"/>
  <c r="AL155" i="12"/>
  <c r="AL156" i="12"/>
  <c r="AL157" i="12"/>
  <c r="AL158" i="12"/>
  <c r="AL159" i="12"/>
  <c r="AL160" i="12"/>
  <c r="AL161" i="12"/>
  <c r="AL162" i="12"/>
  <c r="AL163" i="12"/>
  <c r="AL164" i="12"/>
  <c r="AL165" i="12"/>
  <c r="AL166" i="12"/>
  <c r="AL167" i="12"/>
  <c r="AL168" i="12"/>
  <c r="AL169" i="12"/>
  <c r="AL170" i="12"/>
  <c r="AL171" i="12"/>
  <c r="AL172" i="12"/>
  <c r="AL173" i="12"/>
  <c r="AL174" i="12"/>
  <c r="AL175" i="12"/>
  <c r="AL176" i="12"/>
  <c r="AL177" i="12"/>
  <c r="AL178" i="12"/>
  <c r="AL179" i="12"/>
  <c r="AL180" i="12"/>
  <c r="AL181" i="12"/>
  <c r="AL182" i="12"/>
  <c r="AL183" i="12"/>
  <c r="AL184" i="12"/>
  <c r="AL185" i="12"/>
  <c r="AL186" i="12"/>
  <c r="AL187" i="12"/>
  <c r="AL188" i="12"/>
  <c r="AL189" i="12"/>
  <c r="AL190" i="12"/>
  <c r="AL191" i="12"/>
  <c r="AL192" i="12"/>
  <c r="AL193" i="12"/>
  <c r="AL194" i="12"/>
  <c r="AL195" i="12"/>
  <c r="AL196" i="12"/>
  <c r="AL197" i="12"/>
  <c r="AL198" i="12"/>
  <c r="AL199" i="12"/>
  <c r="AL200" i="12"/>
  <c r="AL201" i="12"/>
  <c r="AL202" i="12"/>
  <c r="AL203" i="12"/>
  <c r="AL204" i="12"/>
  <c r="AL205" i="12"/>
  <c r="AL206" i="12"/>
  <c r="AL207" i="12"/>
  <c r="AL208" i="12"/>
  <c r="AL209" i="12"/>
  <c r="AL210" i="12"/>
  <c r="AL211" i="12"/>
  <c r="AL212" i="12"/>
  <c r="AL213" i="12"/>
  <c r="AL214" i="12"/>
  <c r="AL215" i="12"/>
  <c r="AL216" i="12"/>
  <c r="AL217" i="12"/>
  <c r="AL218" i="12"/>
  <c r="AL219" i="12"/>
  <c r="AL220" i="12"/>
  <c r="AL221" i="12"/>
  <c r="AL222" i="12"/>
  <c r="AL223" i="12"/>
  <c r="AL224" i="12"/>
  <c r="AL225" i="12"/>
  <c r="AL226" i="12"/>
  <c r="AL227" i="12"/>
  <c r="AL228" i="12"/>
  <c r="AL229" i="12"/>
  <c r="AL230" i="12"/>
  <c r="AL231" i="12"/>
  <c r="AL232" i="12"/>
  <c r="AL233" i="12"/>
  <c r="AL234" i="12"/>
  <c r="AL235" i="12"/>
  <c r="AK5" i="12"/>
  <c r="AK6" i="12"/>
  <c r="AK7" i="12"/>
  <c r="AK8" i="12"/>
  <c r="AK9" i="12"/>
  <c r="AK10" i="12"/>
  <c r="AK11" i="12"/>
  <c r="AK12" i="12"/>
  <c r="AK13" i="12"/>
  <c r="AK14" i="12"/>
  <c r="AK15" i="12"/>
  <c r="AK16" i="12"/>
  <c r="AK17" i="12"/>
  <c r="AK18" i="12"/>
  <c r="AK19" i="12"/>
  <c r="AK20" i="12"/>
  <c r="AK21" i="12"/>
  <c r="AK22" i="12"/>
  <c r="AK23" i="12"/>
  <c r="AK24" i="12"/>
  <c r="AK25" i="12"/>
  <c r="AK26" i="12"/>
  <c r="AK27" i="12"/>
  <c r="AK28" i="12"/>
  <c r="AK29" i="12"/>
  <c r="AK30" i="12"/>
  <c r="AK31" i="12"/>
  <c r="AK32" i="12"/>
  <c r="AK33" i="12"/>
  <c r="AK34" i="12"/>
  <c r="AK35" i="12"/>
  <c r="AK36" i="12"/>
  <c r="AK37" i="12"/>
  <c r="AK38" i="12"/>
  <c r="AK39" i="12"/>
  <c r="AK40" i="12"/>
  <c r="AK41" i="12"/>
  <c r="AK42" i="12"/>
  <c r="AK43" i="12"/>
  <c r="AK44" i="12"/>
  <c r="AK45" i="12"/>
  <c r="AK46" i="12"/>
  <c r="AK47" i="12"/>
  <c r="AK48" i="12"/>
  <c r="AK49" i="12"/>
  <c r="AK50" i="12"/>
  <c r="AK51" i="12"/>
  <c r="AK52" i="12"/>
  <c r="AK53" i="12"/>
  <c r="AK54" i="12"/>
  <c r="AK55" i="12"/>
  <c r="AK56" i="12"/>
  <c r="AK57" i="12"/>
  <c r="AK58" i="12"/>
  <c r="AK59" i="12"/>
  <c r="AK60" i="12"/>
  <c r="AK61" i="12"/>
  <c r="AK62" i="12"/>
  <c r="AK63" i="12"/>
  <c r="AK64" i="12"/>
  <c r="AK65" i="12"/>
  <c r="AK66" i="12"/>
  <c r="AK67" i="12"/>
  <c r="AK68" i="12"/>
  <c r="AK69" i="12"/>
  <c r="AK70" i="12"/>
  <c r="AK71" i="12"/>
  <c r="AK72" i="12"/>
  <c r="AK73" i="12"/>
  <c r="AK74" i="12"/>
  <c r="AK75" i="12"/>
  <c r="AK76" i="12"/>
  <c r="AK77" i="12"/>
  <c r="AK78" i="12"/>
  <c r="AK79" i="12"/>
  <c r="AK80" i="12"/>
  <c r="AK81" i="12"/>
  <c r="AK82" i="12"/>
  <c r="AK83" i="12"/>
  <c r="AK84" i="12"/>
  <c r="AK85" i="12"/>
  <c r="AK86" i="12"/>
  <c r="AK87" i="12"/>
  <c r="AK88" i="12"/>
  <c r="AK89" i="12"/>
  <c r="AK90" i="12"/>
  <c r="AK91" i="12"/>
  <c r="AK92" i="12"/>
  <c r="AK93" i="12"/>
  <c r="AK94" i="12"/>
  <c r="AK95" i="12"/>
  <c r="AK96" i="12"/>
  <c r="AK97" i="12"/>
  <c r="AK98" i="12"/>
  <c r="AK99" i="12"/>
  <c r="AK101" i="12"/>
  <c r="AK102" i="12"/>
  <c r="AK103" i="12"/>
  <c r="AK104" i="12"/>
  <c r="AK105" i="12"/>
  <c r="AK106" i="12"/>
  <c r="AK107" i="12"/>
  <c r="AK108" i="12"/>
  <c r="AK109" i="12"/>
  <c r="AK110" i="12"/>
  <c r="AK111" i="12"/>
  <c r="AK112" i="12"/>
  <c r="AK113" i="12"/>
  <c r="AK114" i="12"/>
  <c r="AK115" i="12"/>
  <c r="AK116" i="12"/>
  <c r="AK117" i="12"/>
  <c r="AK118" i="12"/>
  <c r="AK119" i="12"/>
  <c r="AK120" i="12"/>
  <c r="AK121" i="12"/>
  <c r="AK122" i="12"/>
  <c r="AK123" i="12"/>
  <c r="AK124" i="12"/>
  <c r="AK125" i="12"/>
  <c r="AK126" i="12"/>
  <c r="AK127" i="12"/>
  <c r="AK128" i="12"/>
  <c r="AK129" i="12"/>
  <c r="AK130" i="12"/>
  <c r="AK131" i="12"/>
  <c r="AK132" i="12"/>
  <c r="AK133" i="12"/>
  <c r="AK134" i="12"/>
  <c r="AK135" i="12"/>
  <c r="AK136" i="12"/>
  <c r="AK137" i="12"/>
  <c r="AK138" i="12"/>
  <c r="AK139" i="12"/>
  <c r="AK140" i="12"/>
  <c r="AK141" i="12"/>
  <c r="AK142" i="12"/>
  <c r="AK143" i="12"/>
  <c r="AK144" i="12"/>
  <c r="AK145" i="12"/>
  <c r="AK146" i="12"/>
  <c r="AK147" i="12"/>
  <c r="AK148" i="12"/>
  <c r="AK149" i="12"/>
  <c r="AK150" i="12"/>
  <c r="AK151" i="12"/>
  <c r="AK152" i="12"/>
  <c r="AK153" i="12"/>
  <c r="AK154" i="12"/>
  <c r="AK155" i="12"/>
  <c r="AK156" i="12"/>
  <c r="AK157" i="12"/>
  <c r="AK158" i="12"/>
  <c r="AK159" i="12"/>
  <c r="AK160" i="12"/>
  <c r="AK161" i="12"/>
  <c r="AK162" i="12"/>
  <c r="AK163" i="12"/>
  <c r="AK164" i="12"/>
  <c r="AK165" i="12"/>
  <c r="AK166" i="12"/>
  <c r="AK167" i="12"/>
  <c r="AK168" i="12"/>
  <c r="AK169" i="12"/>
  <c r="AK170" i="12"/>
  <c r="AK171" i="12"/>
  <c r="AK172" i="12"/>
  <c r="AK173" i="12"/>
  <c r="AK174" i="12"/>
  <c r="AK175" i="12"/>
  <c r="AK176" i="12"/>
  <c r="AK177" i="12"/>
  <c r="AK178" i="12"/>
  <c r="AK179" i="12"/>
  <c r="AK180" i="12"/>
  <c r="AK181" i="12"/>
  <c r="AK182" i="12"/>
  <c r="AK183" i="12"/>
  <c r="AK184" i="12"/>
  <c r="AK185" i="12"/>
  <c r="AK186" i="12"/>
  <c r="AK187" i="12"/>
  <c r="AK188" i="12"/>
  <c r="AK189" i="12"/>
  <c r="AK190" i="12"/>
  <c r="AK191" i="12"/>
  <c r="AK192" i="12"/>
  <c r="AK193" i="12"/>
  <c r="AK194" i="12"/>
  <c r="AK195" i="12"/>
  <c r="AK196" i="12"/>
  <c r="AK197" i="12"/>
  <c r="AK198" i="12"/>
  <c r="AK199" i="12"/>
  <c r="AK200" i="12"/>
  <c r="AK201" i="12"/>
  <c r="AK202" i="12"/>
  <c r="AK203" i="12"/>
  <c r="AK204" i="12"/>
  <c r="AK205" i="12"/>
  <c r="AK206" i="12"/>
  <c r="AK207" i="12"/>
  <c r="AK208" i="12"/>
  <c r="AK209" i="12"/>
  <c r="AK210" i="12"/>
  <c r="AK211" i="12"/>
  <c r="AK212" i="12"/>
  <c r="AK213" i="12"/>
  <c r="AK214" i="12"/>
  <c r="AK215" i="12"/>
  <c r="AK216" i="12"/>
  <c r="AK217" i="12"/>
  <c r="AK218" i="12"/>
  <c r="AK219" i="12"/>
  <c r="AK220" i="12"/>
  <c r="AK221" i="12"/>
  <c r="AK222" i="12"/>
  <c r="AK223" i="12"/>
  <c r="AK224" i="12"/>
  <c r="AK225" i="12"/>
  <c r="AK226" i="12"/>
  <c r="AK227" i="12"/>
  <c r="AK228" i="12"/>
  <c r="AK229" i="12"/>
  <c r="AK230" i="12"/>
  <c r="AK231" i="12"/>
  <c r="AK232" i="12"/>
  <c r="AK233" i="12"/>
  <c r="AK234" i="12"/>
  <c r="AK235" i="12"/>
  <c r="AJ5" i="12"/>
  <c r="AJ6" i="12"/>
  <c r="AJ7" i="12"/>
  <c r="AJ8" i="12"/>
  <c r="AJ9" i="12"/>
  <c r="AJ10" i="12"/>
  <c r="AJ11" i="12"/>
  <c r="AJ12" i="12"/>
  <c r="AJ13" i="12"/>
  <c r="AJ14" i="12"/>
  <c r="AJ15" i="12"/>
  <c r="AJ16" i="12"/>
  <c r="AJ17" i="12"/>
  <c r="AJ18" i="12"/>
  <c r="AJ19" i="12"/>
  <c r="AJ20" i="12"/>
  <c r="AJ21" i="12"/>
  <c r="AJ22" i="12"/>
  <c r="AJ23" i="12"/>
  <c r="AJ24" i="12"/>
  <c r="AJ25" i="12"/>
  <c r="AJ26" i="12"/>
  <c r="AJ27" i="12"/>
  <c r="AJ28" i="12"/>
  <c r="AJ29" i="12"/>
  <c r="AJ30" i="12"/>
  <c r="AJ31" i="12"/>
  <c r="AJ32" i="12"/>
  <c r="AJ33" i="12"/>
  <c r="AJ34" i="12"/>
  <c r="AJ35" i="12"/>
  <c r="AJ36" i="12"/>
  <c r="AJ37" i="12"/>
  <c r="AJ38" i="12"/>
  <c r="AJ39" i="12"/>
  <c r="AJ40" i="12"/>
  <c r="AJ41" i="12"/>
  <c r="AJ42" i="12"/>
  <c r="AJ43" i="12"/>
  <c r="AJ44" i="12"/>
  <c r="AJ45" i="12"/>
  <c r="AJ46" i="12"/>
  <c r="AJ47" i="12"/>
  <c r="AJ48" i="12"/>
  <c r="AJ49" i="12"/>
  <c r="AJ50" i="12"/>
  <c r="AJ51" i="12"/>
  <c r="AJ52" i="12"/>
  <c r="AJ53" i="12"/>
  <c r="AJ54" i="12"/>
  <c r="AJ55" i="12"/>
  <c r="AJ56" i="12"/>
  <c r="AJ57" i="12"/>
  <c r="AJ58" i="12"/>
  <c r="AJ59" i="12"/>
  <c r="AJ60" i="12"/>
  <c r="AJ61" i="12"/>
  <c r="AJ62" i="12"/>
  <c r="AJ63" i="12"/>
  <c r="AJ64" i="12"/>
  <c r="AJ65" i="12"/>
  <c r="AJ66" i="12"/>
  <c r="AJ67" i="12"/>
  <c r="AJ68" i="12"/>
  <c r="AJ69" i="12"/>
  <c r="AJ70" i="12"/>
  <c r="AJ71" i="12"/>
  <c r="AJ72" i="12"/>
  <c r="AJ73" i="12"/>
  <c r="AJ74" i="12"/>
  <c r="AJ75" i="12"/>
  <c r="AJ76" i="12"/>
  <c r="AJ77" i="12"/>
  <c r="AJ78" i="12"/>
  <c r="AJ79" i="12"/>
  <c r="AJ80" i="12"/>
  <c r="AJ81" i="12"/>
  <c r="AJ82" i="12"/>
  <c r="AJ83" i="12"/>
  <c r="AJ84" i="12"/>
  <c r="AJ85" i="12"/>
  <c r="AJ86" i="12"/>
  <c r="AJ87" i="12"/>
  <c r="AJ88" i="12"/>
  <c r="AJ89" i="12"/>
  <c r="AJ90" i="12"/>
  <c r="AJ91" i="12"/>
  <c r="AJ92" i="12"/>
  <c r="AJ93" i="12"/>
  <c r="AJ94" i="12"/>
  <c r="AJ95" i="12"/>
  <c r="AJ96" i="12"/>
  <c r="AJ97" i="12"/>
  <c r="AJ98" i="12"/>
  <c r="AJ99" i="12"/>
  <c r="AJ101" i="12"/>
  <c r="AJ102" i="12"/>
  <c r="AJ103" i="12"/>
  <c r="AJ104" i="12"/>
  <c r="AJ105" i="12"/>
  <c r="AJ106" i="12"/>
  <c r="AJ107" i="12"/>
  <c r="AJ108" i="12"/>
  <c r="AJ109" i="12"/>
  <c r="AJ110" i="12"/>
  <c r="AJ111" i="12"/>
  <c r="AJ112" i="12"/>
  <c r="AJ113" i="12"/>
  <c r="AJ114" i="12"/>
  <c r="AJ115" i="12"/>
  <c r="AJ116" i="12"/>
  <c r="AJ117" i="12"/>
  <c r="AJ118" i="12"/>
  <c r="AJ119" i="12"/>
  <c r="AJ120" i="12"/>
  <c r="AJ121" i="12"/>
  <c r="AJ122" i="12"/>
  <c r="AJ123" i="12"/>
  <c r="AJ124" i="12"/>
  <c r="AJ125" i="12"/>
  <c r="AJ126" i="12"/>
  <c r="AJ127" i="12"/>
  <c r="AJ128" i="12"/>
  <c r="AJ129" i="12"/>
  <c r="AJ130" i="12"/>
  <c r="AJ131" i="12"/>
  <c r="AJ132" i="12"/>
  <c r="AJ133" i="12"/>
  <c r="AJ134" i="12"/>
  <c r="AJ135" i="12"/>
  <c r="AJ136" i="12"/>
  <c r="AJ137" i="12"/>
  <c r="AJ138" i="12"/>
  <c r="AJ139" i="12"/>
  <c r="AJ140" i="12"/>
  <c r="AJ141" i="12"/>
  <c r="AJ142" i="12"/>
  <c r="AJ143" i="12"/>
  <c r="AJ144" i="12"/>
  <c r="AJ145" i="12"/>
  <c r="AJ146" i="12"/>
  <c r="AJ147" i="12"/>
  <c r="AJ148" i="12"/>
  <c r="AJ149" i="12"/>
  <c r="AJ150" i="12"/>
  <c r="AJ151" i="12"/>
  <c r="AJ152" i="12"/>
  <c r="AJ153" i="12"/>
  <c r="AJ154" i="12"/>
  <c r="AJ155" i="12"/>
  <c r="AJ156" i="12"/>
  <c r="AJ157" i="12"/>
  <c r="AJ158" i="12"/>
  <c r="AJ159" i="12"/>
  <c r="AJ160" i="12"/>
  <c r="AJ161" i="12"/>
  <c r="AJ162" i="12"/>
  <c r="AJ163" i="12"/>
  <c r="AJ164" i="12"/>
  <c r="AJ165" i="12"/>
  <c r="AJ166" i="12"/>
  <c r="AJ167" i="12"/>
  <c r="AJ168" i="12"/>
  <c r="AJ169" i="12"/>
  <c r="AJ170" i="12"/>
  <c r="AJ171" i="12"/>
  <c r="AJ172" i="12"/>
  <c r="AJ173" i="12"/>
  <c r="AJ174" i="12"/>
  <c r="AJ175" i="12"/>
  <c r="AJ176" i="12"/>
  <c r="AJ177" i="12"/>
  <c r="AJ178" i="12"/>
  <c r="AJ179" i="12"/>
  <c r="AJ180" i="12"/>
  <c r="AJ181" i="12"/>
  <c r="AJ182" i="12"/>
  <c r="AJ183" i="12"/>
  <c r="AJ184" i="12"/>
  <c r="AJ185" i="12"/>
  <c r="AJ186" i="12"/>
  <c r="AJ187" i="12"/>
  <c r="AJ188" i="12"/>
  <c r="AJ189" i="12"/>
  <c r="AJ190" i="12"/>
  <c r="AJ191" i="12"/>
  <c r="AJ192" i="12"/>
  <c r="AJ193" i="12"/>
  <c r="AJ194" i="12"/>
  <c r="AJ195" i="12"/>
  <c r="AJ196" i="12"/>
  <c r="AJ197" i="12"/>
  <c r="AJ198" i="12"/>
  <c r="AJ199" i="12"/>
  <c r="AJ200" i="12"/>
  <c r="AJ201" i="12"/>
  <c r="AJ202" i="12"/>
  <c r="AJ203" i="12"/>
  <c r="AJ204" i="12"/>
  <c r="AJ205" i="12"/>
  <c r="AJ206" i="12"/>
  <c r="AJ207" i="12"/>
  <c r="AJ208" i="12"/>
  <c r="AJ209" i="12"/>
  <c r="AJ210" i="12"/>
  <c r="AJ211" i="12"/>
  <c r="AJ212" i="12"/>
  <c r="AJ213" i="12"/>
  <c r="AJ214" i="12"/>
  <c r="AJ215" i="12"/>
  <c r="AJ216" i="12"/>
  <c r="AJ217" i="12"/>
  <c r="AJ218" i="12"/>
  <c r="AJ219" i="12"/>
  <c r="AJ220" i="12"/>
  <c r="AJ221" i="12"/>
  <c r="AJ222" i="12"/>
  <c r="AJ223" i="12"/>
  <c r="AJ224" i="12"/>
  <c r="AJ225" i="12"/>
  <c r="AJ226" i="12"/>
  <c r="AJ227" i="12"/>
  <c r="AJ228" i="12"/>
  <c r="AJ229" i="12"/>
  <c r="AJ230" i="12"/>
  <c r="AJ231" i="12"/>
  <c r="AJ232" i="12"/>
  <c r="AJ233" i="12"/>
  <c r="AJ234" i="12"/>
  <c r="AJ235" i="12"/>
  <c r="AI5" i="12" a="1"/>
  <c r="AI5" i="12" s="1"/>
  <c r="AI6" i="12" a="1"/>
  <c r="AI6" i="12" s="1"/>
  <c r="AI7" i="12" a="1"/>
  <c r="AI7" i="12" s="1"/>
  <c r="AI8" i="12" a="1"/>
  <c r="AI8" i="12" s="1"/>
  <c r="AI9" i="12" a="1"/>
  <c r="AI9" i="12"/>
  <c r="AI10" i="12" a="1"/>
  <c r="AI10" i="12"/>
  <c r="AI11" i="12" a="1"/>
  <c r="AI11" i="12" s="1"/>
  <c r="AI12" i="12" a="1"/>
  <c r="AI12" i="12" s="1"/>
  <c r="AI13" i="12" a="1"/>
  <c r="AI13" i="12" s="1"/>
  <c r="AI14" i="12" a="1"/>
  <c r="AI14" i="12" s="1"/>
  <c r="AI15" i="12" a="1"/>
  <c r="AI15" i="12"/>
  <c r="AI16" i="12" a="1"/>
  <c r="AI16" i="12"/>
  <c r="AI17" i="12" a="1"/>
  <c r="AI17" i="12" s="1"/>
  <c r="AI18" i="12" a="1"/>
  <c r="AI18" i="12" s="1"/>
  <c r="AI19" i="12" a="1"/>
  <c r="AI19" i="12" s="1"/>
  <c r="AI20" i="12" a="1"/>
  <c r="AI20" i="12" s="1"/>
  <c r="AI21" i="12" a="1"/>
  <c r="AI21" i="12"/>
  <c r="AI22" i="12" a="1"/>
  <c r="AI22" i="12"/>
  <c r="AI23" i="12" a="1"/>
  <c r="AI23" i="12" s="1"/>
  <c r="AI24" i="12" a="1"/>
  <c r="AI24" i="12" s="1"/>
  <c r="AI25" i="12" a="1"/>
  <c r="AI25" i="12" s="1"/>
  <c r="AI26" i="12" a="1"/>
  <c r="AI26" i="12" s="1"/>
  <c r="AI27" i="12" a="1"/>
  <c r="AI27" i="12"/>
  <c r="AI28" i="12" a="1"/>
  <c r="AI28" i="12"/>
  <c r="AI29" i="12" a="1"/>
  <c r="AI29" i="12" s="1"/>
  <c r="AI30" i="12" a="1"/>
  <c r="AI30" i="12" s="1"/>
  <c r="AI31" i="12" a="1"/>
  <c r="AI31" i="12" s="1"/>
  <c r="AI32" i="12" a="1"/>
  <c r="AI32" i="12" s="1"/>
  <c r="AI33" i="12" a="1"/>
  <c r="AI33" i="12"/>
  <c r="AI34" i="12" a="1"/>
  <c r="AI34" i="12"/>
  <c r="AI35" i="12" a="1"/>
  <c r="AI35" i="12" s="1"/>
  <c r="AI36" i="12" a="1"/>
  <c r="AI36" i="12" s="1"/>
  <c r="AI37" i="12" a="1"/>
  <c r="AI37" i="12" s="1"/>
  <c r="AI38" i="12" a="1"/>
  <c r="AI38" i="12" s="1"/>
  <c r="AI39" i="12" a="1"/>
  <c r="AI39" i="12"/>
  <c r="AI40" i="12" a="1"/>
  <c r="AI40" i="12"/>
  <c r="AI41" i="12" a="1"/>
  <c r="AI41" i="12" s="1"/>
  <c r="AI42" i="12" a="1"/>
  <c r="AI42" i="12" s="1"/>
  <c r="AI43" i="12" a="1"/>
  <c r="AI43" i="12" s="1"/>
  <c r="AI44" i="12" a="1"/>
  <c r="AI44" i="12" s="1"/>
  <c r="AI45" i="12" a="1"/>
  <c r="AI45" i="12"/>
  <c r="AI46" i="12" a="1"/>
  <c r="AI46" i="12"/>
  <c r="AI47" i="12" a="1"/>
  <c r="AI47" i="12" s="1"/>
  <c r="AI48" i="12" a="1"/>
  <c r="AI48" i="12" s="1"/>
  <c r="AI49" i="12" a="1"/>
  <c r="AI49" i="12" s="1"/>
  <c r="AI50" i="12" a="1"/>
  <c r="AI50" i="12" s="1"/>
  <c r="AI51" i="12" a="1"/>
  <c r="AI51" i="12"/>
  <c r="AI52" i="12" a="1"/>
  <c r="AI52" i="12"/>
  <c r="AI53" i="12" a="1"/>
  <c r="AI53" i="12" s="1"/>
  <c r="AI54" i="12" a="1"/>
  <c r="AI54" i="12" s="1"/>
  <c r="AI55" i="12" a="1"/>
  <c r="AI55" i="12" s="1"/>
  <c r="AI56" i="12" a="1"/>
  <c r="AI56" i="12" s="1"/>
  <c r="AI57" i="12" a="1"/>
  <c r="AI57" i="12"/>
  <c r="AI58" i="12" a="1"/>
  <c r="AI58" i="12"/>
  <c r="AI59" i="12" a="1"/>
  <c r="AI59" i="12" s="1"/>
  <c r="AI60" i="12" a="1"/>
  <c r="AI60" i="12" s="1"/>
  <c r="AI61" i="12" a="1"/>
  <c r="AI61" i="12" s="1"/>
  <c r="AI62" i="12" a="1"/>
  <c r="AI62" i="12" s="1"/>
  <c r="AI63" i="12" a="1"/>
  <c r="AI63" i="12"/>
  <c r="AI64" i="12" a="1"/>
  <c r="AI64" i="12"/>
  <c r="AI65" i="12" a="1"/>
  <c r="AI65" i="12" s="1"/>
  <c r="AI66" i="12" a="1"/>
  <c r="AI66" i="12" s="1"/>
  <c r="AI67" i="12" a="1"/>
  <c r="AI67" i="12" s="1"/>
  <c r="AI68" i="12" a="1"/>
  <c r="AI68" i="12" s="1"/>
  <c r="AI69" i="12" a="1"/>
  <c r="AI69" i="12"/>
  <c r="AI70" i="12" a="1"/>
  <c r="AI70" i="12"/>
  <c r="AI71" i="12" a="1"/>
  <c r="AI71" i="12" s="1"/>
  <c r="AI72" i="12" a="1"/>
  <c r="AI72" i="12" s="1"/>
  <c r="AI73" i="12" a="1"/>
  <c r="AI73" i="12" s="1"/>
  <c r="AI74" i="12" a="1"/>
  <c r="AI74" i="12" s="1"/>
  <c r="AI75" i="12" a="1"/>
  <c r="AI75" i="12"/>
  <c r="AI76" i="12" a="1"/>
  <c r="AI76" i="12"/>
  <c r="AI77" i="12" a="1"/>
  <c r="AI77" i="12" s="1"/>
  <c r="AI78" i="12" a="1"/>
  <c r="AI78" i="12" s="1"/>
  <c r="AI79" i="12" a="1"/>
  <c r="AI79" i="12" s="1"/>
  <c r="AI80" i="12" a="1"/>
  <c r="AI80" i="12" s="1"/>
  <c r="AI81" i="12" a="1"/>
  <c r="AI81" i="12"/>
  <c r="AI82" i="12" a="1"/>
  <c r="AI82" i="12"/>
  <c r="AI83" i="12" a="1"/>
  <c r="AI83" i="12" s="1"/>
  <c r="AI84" i="12" a="1"/>
  <c r="AI84" i="12" s="1"/>
  <c r="AI85" i="12" a="1"/>
  <c r="AI85" i="12" s="1"/>
  <c r="AI86" i="12" a="1"/>
  <c r="AI86" i="12" s="1"/>
  <c r="AI87" i="12" a="1"/>
  <c r="AI87" i="12"/>
  <c r="AI88" i="12" a="1"/>
  <c r="AI88" i="12"/>
  <c r="AI89" i="12" a="1"/>
  <c r="AI89" i="12" s="1"/>
  <c r="AI90" i="12" a="1"/>
  <c r="AI90" i="12" s="1"/>
  <c r="AI91" i="12" a="1"/>
  <c r="AI91" i="12" s="1"/>
  <c r="AI92" i="12" a="1"/>
  <c r="AI92" i="12" s="1"/>
  <c r="AI93" i="12" a="1"/>
  <c r="AI93" i="12"/>
  <c r="AI94" i="12" a="1"/>
  <c r="AI94" i="12"/>
  <c r="AI95" i="12" a="1"/>
  <c r="AI95" i="12" s="1"/>
  <c r="AI96" i="12" a="1"/>
  <c r="AI96" i="12" s="1"/>
  <c r="AI97" i="12" a="1"/>
  <c r="AI97" i="12" s="1"/>
  <c r="AI98" i="12" a="1"/>
  <c r="AI98" i="12" s="1"/>
  <c r="AI99" i="12" a="1"/>
  <c r="AI99" i="12"/>
  <c r="AI100" i="12" a="1"/>
  <c r="AI100" i="12"/>
  <c r="AI101" i="12" a="1"/>
  <c r="AI101" i="12" s="1"/>
  <c r="AI102" i="12" a="1"/>
  <c r="AI102" i="12" s="1"/>
  <c r="AI103" i="12" a="1"/>
  <c r="AI103" i="12" s="1"/>
  <c r="AI104" i="12" a="1"/>
  <c r="AI104" i="12" s="1"/>
  <c r="AI105" i="12" a="1"/>
  <c r="AI105" i="12"/>
  <c r="AI106" i="12" a="1"/>
  <c r="AI106" i="12"/>
  <c r="AI107" i="12" a="1"/>
  <c r="AI107" i="12" s="1"/>
  <c r="AI108" i="12" a="1"/>
  <c r="AI108" i="12" s="1"/>
  <c r="AI109" i="12" a="1"/>
  <c r="AI109" i="12" s="1"/>
  <c r="AI110" i="12" a="1"/>
  <c r="AI110" i="12" s="1"/>
  <c r="AI111" i="12" a="1"/>
  <c r="AI111" i="12"/>
  <c r="AI112" i="12" a="1"/>
  <c r="AI112" i="12"/>
  <c r="AI113" i="12" a="1"/>
  <c r="AI113" i="12" s="1"/>
  <c r="AI114" i="12" a="1"/>
  <c r="AI114" i="12" s="1"/>
  <c r="AI115" i="12" a="1"/>
  <c r="AI115" i="12" s="1"/>
  <c r="AI116" i="12" a="1"/>
  <c r="AI116" i="12" s="1"/>
  <c r="AI117" i="12" a="1"/>
  <c r="AI117" i="12"/>
  <c r="AI118" i="12" a="1"/>
  <c r="AI118" i="12"/>
  <c r="AI119" i="12" a="1"/>
  <c r="AI119" i="12" s="1"/>
  <c r="AI120" i="12" a="1"/>
  <c r="AI120" i="12" s="1"/>
  <c r="AI121" i="12" a="1"/>
  <c r="AI121" i="12" s="1"/>
  <c r="AI122" i="12" a="1"/>
  <c r="AI122" i="12" s="1"/>
  <c r="AI123" i="12" a="1"/>
  <c r="AI123" i="12"/>
  <c r="AI124" i="12" a="1"/>
  <c r="AI124" i="12"/>
  <c r="AI125" i="12" a="1"/>
  <c r="AI125" i="12" s="1"/>
  <c r="AI126" i="12" a="1"/>
  <c r="AI126" i="12" s="1"/>
  <c r="AI127" i="12" a="1"/>
  <c r="AI127" i="12" s="1"/>
  <c r="AI128" i="12" a="1"/>
  <c r="AI128" i="12" s="1"/>
  <c r="AI129" i="12" a="1"/>
  <c r="AI129" i="12"/>
  <c r="AI130" i="12" a="1"/>
  <c r="AI130" i="12"/>
  <c r="AI131" i="12" a="1"/>
  <c r="AI131" i="12" s="1"/>
  <c r="AI132" i="12" a="1"/>
  <c r="AI132" i="12" s="1"/>
  <c r="AI133" i="12" a="1"/>
  <c r="AI133" i="12" s="1"/>
  <c r="AI134" i="12" a="1"/>
  <c r="AI134" i="12" s="1"/>
  <c r="AI135" i="12" a="1"/>
  <c r="AI135" i="12"/>
  <c r="AI136" i="12" a="1"/>
  <c r="AI136" i="12"/>
  <c r="AI137" i="12" a="1"/>
  <c r="AI137" i="12" s="1"/>
  <c r="AI138" i="12" a="1"/>
  <c r="AI138" i="12" s="1"/>
  <c r="AI139" i="12" a="1"/>
  <c r="AI139" i="12" s="1"/>
  <c r="AI140" i="12" a="1"/>
  <c r="AI140" i="12" s="1"/>
  <c r="AI141" i="12" a="1"/>
  <c r="AI141" i="12"/>
  <c r="AI142" i="12" a="1"/>
  <c r="AI142" i="12"/>
  <c r="AI143" i="12" a="1"/>
  <c r="AI143" i="12" s="1"/>
  <c r="AI144" i="12" a="1"/>
  <c r="AI144" i="12" s="1"/>
  <c r="AI145" i="12" a="1"/>
  <c r="AI145" i="12" s="1"/>
  <c r="AI146" i="12" a="1"/>
  <c r="AI146" i="12" s="1"/>
  <c r="AI147" i="12" a="1"/>
  <c r="AI147" i="12"/>
  <c r="AI148" i="12" a="1"/>
  <c r="AI148" i="12"/>
  <c r="AI149" i="12" a="1"/>
  <c r="AI149" i="12" s="1"/>
  <c r="AI150" i="12" a="1"/>
  <c r="AI150" i="12" s="1"/>
  <c r="AI151" i="12" a="1"/>
  <c r="AI151" i="12" s="1"/>
  <c r="AI152" i="12" a="1"/>
  <c r="AI152" i="12" s="1"/>
  <c r="AI153" i="12" a="1"/>
  <c r="AI153" i="12"/>
  <c r="AI154" i="12" a="1"/>
  <c r="AI154" i="12"/>
  <c r="AI155" i="12" a="1"/>
  <c r="AI155" i="12" s="1"/>
  <c r="AI156" i="12" a="1"/>
  <c r="AI156" i="12" s="1"/>
  <c r="AI157" i="12" a="1"/>
  <c r="AI157" i="12" s="1"/>
  <c r="AI158" i="12" a="1"/>
  <c r="AI158" i="12" s="1"/>
  <c r="AI159" i="12" a="1"/>
  <c r="AI159" i="12"/>
  <c r="AI160" i="12" a="1"/>
  <c r="AI160" i="12"/>
  <c r="AI161" i="12" a="1"/>
  <c r="AI161" i="12" s="1"/>
  <c r="AI162" i="12" a="1"/>
  <c r="AI162" i="12" s="1"/>
  <c r="AI163" i="12" a="1"/>
  <c r="AI163" i="12" s="1"/>
  <c r="AI164" i="12" a="1"/>
  <c r="AI164" i="12" s="1"/>
  <c r="AI165" i="12" a="1"/>
  <c r="AI165" i="12"/>
  <c r="AI166" i="12" a="1"/>
  <c r="AI166" i="12"/>
  <c r="AI167" i="12" a="1"/>
  <c r="AI167" i="12" s="1"/>
  <c r="AI168" i="12" a="1"/>
  <c r="AI168" i="12" s="1"/>
  <c r="AI169" i="12" a="1"/>
  <c r="AI169" i="12" s="1"/>
  <c r="AI170" i="12" a="1"/>
  <c r="AI170" i="12" s="1"/>
  <c r="AI171" i="12" a="1"/>
  <c r="AI171" i="12"/>
  <c r="AI172" i="12" a="1"/>
  <c r="AI172" i="12"/>
  <c r="AI173" i="12" a="1"/>
  <c r="AI173" i="12" s="1"/>
  <c r="AI174" i="12" a="1"/>
  <c r="AI174" i="12" s="1"/>
  <c r="AI175" i="12" a="1"/>
  <c r="AI175" i="12" s="1"/>
  <c r="AI176" i="12" a="1"/>
  <c r="AI176" i="12" s="1"/>
  <c r="AI177" i="12" a="1"/>
  <c r="AI177" i="12"/>
  <c r="AI178" i="12" a="1"/>
  <c r="AI178" i="12"/>
  <c r="AI179" i="12" a="1"/>
  <c r="AI179" i="12" s="1"/>
  <c r="AI180" i="12" a="1"/>
  <c r="AI180" i="12" s="1"/>
  <c r="AI181" i="12" a="1"/>
  <c r="AI181" i="12" s="1"/>
  <c r="AI182" i="12" a="1"/>
  <c r="AI182" i="12" s="1"/>
  <c r="AI183" i="12" a="1"/>
  <c r="AI183" i="12"/>
  <c r="AI184" i="12" a="1"/>
  <c r="AI184" i="12"/>
  <c r="AI185" i="12" a="1"/>
  <c r="AI185" i="12" s="1"/>
  <c r="AI186" i="12" a="1"/>
  <c r="AI186" i="12" s="1"/>
  <c r="AI187" i="12" a="1"/>
  <c r="AI187" i="12" s="1"/>
  <c r="AI188" i="12" a="1"/>
  <c r="AI188" i="12" s="1"/>
  <c r="AI189" i="12" a="1"/>
  <c r="AI189" i="12"/>
  <c r="AI190" i="12" a="1"/>
  <c r="AI190" i="12"/>
  <c r="AI191" i="12" a="1"/>
  <c r="AI191" i="12" s="1"/>
  <c r="AI192" i="12" a="1"/>
  <c r="AI192" i="12" s="1"/>
  <c r="AI193" i="12" a="1"/>
  <c r="AI193" i="12" s="1"/>
  <c r="AI194" i="12" a="1"/>
  <c r="AI194" i="12" s="1"/>
  <c r="AI195" i="12" a="1"/>
  <c r="AI195" i="12"/>
  <c r="AI196" i="12" a="1"/>
  <c r="AI196" i="12"/>
  <c r="AI197" i="12" a="1"/>
  <c r="AI197" i="12" s="1"/>
  <c r="AI198" i="12" a="1"/>
  <c r="AI198" i="12" s="1"/>
  <c r="AI199" i="12" a="1"/>
  <c r="AI199" i="12" s="1"/>
  <c r="AI200" i="12" a="1"/>
  <c r="AI200" i="12" s="1"/>
  <c r="AI201" i="12" a="1"/>
  <c r="AI201" i="12"/>
  <c r="AI202" i="12" a="1"/>
  <c r="AI202" i="12"/>
  <c r="AI203" i="12" a="1"/>
  <c r="AI203" i="12" s="1"/>
  <c r="AI204" i="12" a="1"/>
  <c r="AI204" i="12" s="1"/>
  <c r="AI205" i="12" a="1"/>
  <c r="AI205" i="12" s="1"/>
  <c r="AI206" i="12" a="1"/>
  <c r="AI206" i="12" s="1"/>
  <c r="AI207" i="12" a="1"/>
  <c r="AI207" i="12"/>
  <c r="AI208" i="12" a="1"/>
  <c r="AI208" i="12"/>
  <c r="AI209" i="12" a="1"/>
  <c r="AI209" i="12" s="1"/>
  <c r="AI210" i="12" a="1"/>
  <c r="AI210" i="12" s="1"/>
  <c r="AI211" i="12" a="1"/>
  <c r="AI211" i="12" s="1"/>
  <c r="AI212" i="12" a="1"/>
  <c r="AI212" i="12" s="1"/>
  <c r="AI213" i="12" a="1"/>
  <c r="AI213" i="12"/>
  <c r="AI214" i="12" a="1"/>
  <c r="AI214" i="12"/>
  <c r="AI215" i="12" a="1"/>
  <c r="AI215" i="12" s="1"/>
  <c r="AI216" i="12" a="1"/>
  <c r="AI216" i="12" s="1"/>
  <c r="AI217" i="12" a="1"/>
  <c r="AI217" i="12" s="1"/>
  <c r="AI218" i="12" a="1"/>
  <c r="AI218" i="12" s="1"/>
  <c r="AI219" i="12" a="1"/>
  <c r="AI219" i="12"/>
  <c r="AI220" i="12" a="1"/>
  <c r="AI220" i="12"/>
  <c r="AI221" i="12" a="1"/>
  <c r="AI221" i="12" s="1"/>
  <c r="AI222" i="12" a="1"/>
  <c r="AI222" i="12" s="1"/>
  <c r="AI223" i="12" a="1"/>
  <c r="AI223" i="12" s="1"/>
  <c r="AI224" i="12" a="1"/>
  <c r="AI224" i="12" s="1"/>
  <c r="AI225" i="12" a="1"/>
  <c r="AI225" i="12"/>
  <c r="AI226" i="12" a="1"/>
  <c r="AI226" i="12"/>
  <c r="AI227" i="12" a="1"/>
  <c r="AI227" i="12" s="1"/>
  <c r="AI228" i="12" a="1"/>
  <c r="AI228" i="12" s="1"/>
  <c r="AI229" i="12" a="1"/>
  <c r="AI229" i="12" s="1"/>
  <c r="AI230" i="12" a="1"/>
  <c r="AI230" i="12" s="1"/>
  <c r="AI231" i="12" a="1"/>
  <c r="AI231" i="12"/>
  <c r="AI232" i="12" a="1"/>
  <c r="AI232" i="12"/>
  <c r="AI233" i="12" a="1"/>
  <c r="AI233" i="12" s="1"/>
  <c r="AI234" i="12" a="1"/>
  <c r="AI234" i="12" s="1"/>
  <c r="AI235" i="12" a="1"/>
  <c r="AI235" i="12" s="1"/>
  <c r="AI4" i="12" a="1"/>
  <c r="AI4" i="12" s="1"/>
  <c r="AH5" i="12" a="1"/>
  <c r="AH5" i="12" s="1"/>
  <c r="AH6" i="12" a="1"/>
  <c r="AH6" i="12" s="1"/>
  <c r="AH7" i="12" a="1"/>
  <c r="AH7" i="12" s="1"/>
  <c r="AH8" i="12" a="1"/>
  <c r="AH8" i="12" s="1"/>
  <c r="AH9" i="12" a="1"/>
  <c r="AH9" i="12"/>
  <c r="AH10" i="12" a="1"/>
  <c r="AH10" i="12"/>
  <c r="AH11" i="12" a="1"/>
  <c r="AH11" i="12" s="1"/>
  <c r="AH12" i="12" a="1"/>
  <c r="AH12" i="12" s="1"/>
  <c r="AH13" i="12" a="1"/>
  <c r="AH13" i="12" s="1"/>
  <c r="AH14" i="12" a="1"/>
  <c r="AH14" i="12" s="1"/>
  <c r="AH15" i="12" a="1"/>
  <c r="AH15" i="12"/>
  <c r="AH16" i="12" a="1"/>
  <c r="AH16" i="12"/>
  <c r="AH17" i="12" a="1"/>
  <c r="AH17" i="12" s="1"/>
  <c r="AH18" i="12" a="1"/>
  <c r="AH18" i="12" s="1"/>
  <c r="AH19" i="12" a="1"/>
  <c r="AH19" i="12" s="1"/>
  <c r="AH20" i="12" a="1"/>
  <c r="AH20" i="12" s="1"/>
  <c r="AH21" i="12" a="1"/>
  <c r="AH21" i="12"/>
  <c r="AH22" i="12" a="1"/>
  <c r="AH22" i="12"/>
  <c r="AH23" i="12" a="1"/>
  <c r="AH23" i="12" s="1"/>
  <c r="AH24" i="12" a="1"/>
  <c r="AH24" i="12" s="1"/>
  <c r="AH25" i="12" a="1"/>
  <c r="AH25" i="12" s="1"/>
  <c r="AH26" i="12" a="1"/>
  <c r="AH26" i="12" s="1"/>
  <c r="AH27" i="12" a="1"/>
  <c r="AH27" i="12"/>
  <c r="AH28" i="12" a="1"/>
  <c r="AH28" i="12"/>
  <c r="AH29" i="12" a="1"/>
  <c r="AH29" i="12" s="1"/>
  <c r="AH30" i="12" a="1"/>
  <c r="AH30" i="12" s="1"/>
  <c r="AH31" i="12" a="1"/>
  <c r="AH31" i="12" s="1"/>
  <c r="AH32" i="12" a="1"/>
  <c r="AH32" i="12" s="1"/>
  <c r="AH33" i="12" a="1"/>
  <c r="AH33" i="12"/>
  <c r="AH34" i="12" a="1"/>
  <c r="AH34" i="12"/>
  <c r="AH35" i="12" a="1"/>
  <c r="AH35" i="12" s="1"/>
  <c r="AH36" i="12" a="1"/>
  <c r="AH36" i="12" s="1"/>
  <c r="AH37" i="12" a="1"/>
  <c r="AH37" i="12" s="1"/>
  <c r="AH38" i="12" a="1"/>
  <c r="AH38" i="12" s="1"/>
  <c r="AH39" i="12" a="1"/>
  <c r="AH39" i="12"/>
  <c r="AH40" i="12" a="1"/>
  <c r="AH40" i="12"/>
  <c r="AH41" i="12" a="1"/>
  <c r="AH41" i="12" s="1"/>
  <c r="AH42" i="12" a="1"/>
  <c r="AH42" i="12" s="1"/>
  <c r="AH43" i="12" a="1"/>
  <c r="AH43" i="12" s="1"/>
  <c r="AH44" i="12" a="1"/>
  <c r="AH44" i="12" s="1"/>
  <c r="AH45" i="12" a="1"/>
  <c r="AH45" i="12"/>
  <c r="AH46" i="12" a="1"/>
  <c r="AH46" i="12"/>
  <c r="AH47" i="12" a="1"/>
  <c r="AH47" i="12" s="1"/>
  <c r="AH48" i="12" a="1"/>
  <c r="AH48" i="12" s="1"/>
  <c r="AH49" i="12" a="1"/>
  <c r="AH49" i="12" s="1"/>
  <c r="AH50" i="12" a="1"/>
  <c r="AH50" i="12" s="1"/>
  <c r="AH51" i="12" a="1"/>
  <c r="AH51" i="12"/>
  <c r="AH52" i="12" a="1"/>
  <c r="AH52" i="12"/>
  <c r="AH53" i="12" a="1"/>
  <c r="AH53" i="12" s="1"/>
  <c r="AH54" i="12" a="1"/>
  <c r="AH54" i="12" s="1"/>
  <c r="AH55" i="12" a="1"/>
  <c r="AH55" i="12" s="1"/>
  <c r="AH56" i="12" a="1"/>
  <c r="AH56" i="12" s="1"/>
  <c r="AH57" i="12" a="1"/>
  <c r="AH57" i="12"/>
  <c r="AH58" i="12" a="1"/>
  <c r="AH58" i="12"/>
  <c r="AH59" i="12" a="1"/>
  <c r="AH59" i="12" s="1"/>
  <c r="AH60" i="12" a="1"/>
  <c r="AH60" i="12" s="1"/>
  <c r="AH61" i="12" a="1"/>
  <c r="AH61" i="12" s="1"/>
  <c r="AH62" i="12" a="1"/>
  <c r="AH62" i="12" s="1"/>
  <c r="AH63" i="12" a="1"/>
  <c r="AH63" i="12"/>
  <c r="AH64" i="12" a="1"/>
  <c r="AH64" i="12"/>
  <c r="AH65" i="12" a="1"/>
  <c r="AH65" i="12" s="1"/>
  <c r="AH66" i="12" a="1"/>
  <c r="AH66" i="12" s="1"/>
  <c r="AH67" i="12" a="1"/>
  <c r="AH67" i="12" s="1"/>
  <c r="AH68" i="12" a="1"/>
  <c r="AH68" i="12" s="1"/>
  <c r="AH69" i="12" a="1"/>
  <c r="AH69" i="12"/>
  <c r="AH70" i="12" a="1"/>
  <c r="AH70" i="12"/>
  <c r="AH71" i="12" a="1"/>
  <c r="AH71" i="12" s="1"/>
  <c r="AH72" i="12" a="1"/>
  <c r="AH72" i="12" s="1"/>
  <c r="AH73" i="12" a="1"/>
  <c r="AH73" i="12" s="1"/>
  <c r="AH74" i="12" a="1"/>
  <c r="AH74" i="12" s="1"/>
  <c r="AH75" i="12" a="1"/>
  <c r="AH75" i="12"/>
  <c r="AH76" i="12" a="1"/>
  <c r="AH76" i="12"/>
  <c r="AH77" i="12" a="1"/>
  <c r="AH77" i="12" s="1"/>
  <c r="AH78" i="12" a="1"/>
  <c r="AH78" i="12" s="1"/>
  <c r="AH79" i="12" a="1"/>
  <c r="AH79" i="12" s="1"/>
  <c r="AH80" i="12" a="1"/>
  <c r="AH80" i="12" s="1"/>
  <c r="AH81" i="12" a="1"/>
  <c r="AH81" i="12"/>
  <c r="AH82" i="12" a="1"/>
  <c r="AH82" i="12"/>
  <c r="AH83" i="12" a="1"/>
  <c r="AH83" i="12" s="1"/>
  <c r="AH84" i="12" a="1"/>
  <c r="AH84" i="12" s="1"/>
  <c r="AH85" i="12" a="1"/>
  <c r="AH85" i="12" s="1"/>
  <c r="AH86" i="12" a="1"/>
  <c r="AH86" i="12" s="1"/>
  <c r="AH87" i="12" a="1"/>
  <c r="AH87" i="12"/>
  <c r="AH88" i="12" a="1"/>
  <c r="AH88" i="12"/>
  <c r="AH89" i="12" a="1"/>
  <c r="AH89" i="12" s="1"/>
  <c r="AH90" i="12" a="1"/>
  <c r="AH90" i="12" s="1"/>
  <c r="AH91" i="12" a="1"/>
  <c r="AH91" i="12" s="1"/>
  <c r="AH92" i="12" a="1"/>
  <c r="AH92" i="12" s="1"/>
  <c r="AH93" i="12" a="1"/>
  <c r="AH93" i="12"/>
  <c r="AH94" i="12" a="1"/>
  <c r="AH94" i="12"/>
  <c r="AH95" i="12" a="1"/>
  <c r="AH95" i="12" s="1"/>
  <c r="AH96" i="12" a="1"/>
  <c r="AH96" i="12" s="1"/>
  <c r="AH97" i="12" a="1"/>
  <c r="AH97" i="12" s="1"/>
  <c r="AH98" i="12" a="1"/>
  <c r="AH98" i="12" s="1"/>
  <c r="AH99" i="12" a="1"/>
  <c r="AH99" i="12"/>
  <c r="AH100" i="12" a="1"/>
  <c r="AH100" i="12"/>
  <c r="AH101" i="12" a="1"/>
  <c r="AH101" i="12" s="1"/>
  <c r="AH102" i="12" a="1"/>
  <c r="AH102" i="12" s="1"/>
  <c r="AH103" i="12" a="1"/>
  <c r="AH103" i="12" s="1"/>
  <c r="AH104" i="12" a="1"/>
  <c r="AH104" i="12" s="1"/>
  <c r="AH105" i="12" a="1"/>
  <c r="AH105" i="12"/>
  <c r="AH106" i="12" a="1"/>
  <c r="AH106" i="12"/>
  <c r="AH107" i="12" a="1"/>
  <c r="AH107" i="12" s="1"/>
  <c r="AH108" i="12" a="1"/>
  <c r="AH108" i="12" s="1"/>
  <c r="AH109" i="12" a="1"/>
  <c r="AH109" i="12" s="1"/>
  <c r="AH110" i="12" a="1"/>
  <c r="AH110" i="12" s="1"/>
  <c r="AH111" i="12" a="1"/>
  <c r="AH111" i="12"/>
  <c r="AH112" i="12" a="1"/>
  <c r="AH112" i="12"/>
  <c r="AH113" i="12" a="1"/>
  <c r="AH113" i="12" s="1"/>
  <c r="AH114" i="12" a="1"/>
  <c r="AH114" i="12" s="1"/>
  <c r="AH115" i="12" a="1"/>
  <c r="AH115" i="12" s="1"/>
  <c r="AH116" i="12" a="1"/>
  <c r="AH116" i="12" s="1"/>
  <c r="AH117" i="12" a="1"/>
  <c r="AH117" i="12"/>
  <c r="AH118" i="12" a="1"/>
  <c r="AH118" i="12"/>
  <c r="AH119" i="12" a="1"/>
  <c r="AH119" i="12" s="1"/>
  <c r="AH120" i="12" a="1"/>
  <c r="AH120" i="12" s="1"/>
  <c r="AH121" i="12" a="1"/>
  <c r="AH121" i="12" s="1"/>
  <c r="AH122" i="12" a="1"/>
  <c r="AH122" i="12" s="1"/>
  <c r="AH123" i="12" a="1"/>
  <c r="AH123" i="12"/>
  <c r="AH124" i="12" a="1"/>
  <c r="AH124" i="12"/>
  <c r="AH125" i="12" a="1"/>
  <c r="AH125" i="12" s="1"/>
  <c r="AH126" i="12" a="1"/>
  <c r="AH126" i="12" s="1"/>
  <c r="AH127" i="12" a="1"/>
  <c r="AH127" i="12" s="1"/>
  <c r="AH128" i="12" a="1"/>
  <c r="AH128" i="12" s="1"/>
  <c r="AH129" i="12" a="1"/>
  <c r="AH129" i="12"/>
  <c r="AH130" i="12" a="1"/>
  <c r="AH130" i="12"/>
  <c r="AH131" i="12" a="1"/>
  <c r="AH131" i="12" s="1"/>
  <c r="AH132" i="12" a="1"/>
  <c r="AH132" i="12" s="1"/>
  <c r="AH133" i="12" a="1"/>
  <c r="AH133" i="12" s="1"/>
  <c r="AH134" i="12" a="1"/>
  <c r="AH134" i="12" s="1"/>
  <c r="AH135" i="12" a="1"/>
  <c r="AH135" i="12"/>
  <c r="AH136" i="12" a="1"/>
  <c r="AH136" i="12"/>
  <c r="AH137" i="12" a="1"/>
  <c r="AH137" i="12" s="1"/>
  <c r="AH138" i="12" a="1"/>
  <c r="AH138" i="12" s="1"/>
  <c r="AH139" i="12" a="1"/>
  <c r="AH139" i="12" s="1"/>
  <c r="AH140" i="12" a="1"/>
  <c r="AH140" i="12" s="1"/>
  <c r="AH141" i="12" a="1"/>
  <c r="AH141" i="12"/>
  <c r="AH142" i="12" a="1"/>
  <c r="AH142" i="12"/>
  <c r="AH143" i="12" a="1"/>
  <c r="AH143" i="12" s="1"/>
  <c r="AH144" i="12" a="1"/>
  <c r="AH144" i="12" s="1"/>
  <c r="AH145" i="12" a="1"/>
  <c r="AH145" i="12" s="1"/>
  <c r="AH146" i="12" a="1"/>
  <c r="AH146" i="12" s="1"/>
  <c r="AH147" i="12" a="1"/>
  <c r="AH147" i="12"/>
  <c r="AH148" i="12" a="1"/>
  <c r="AH148" i="12"/>
  <c r="AH149" i="12" a="1"/>
  <c r="AH149" i="12" s="1"/>
  <c r="AH150" i="12" a="1"/>
  <c r="AH150" i="12" s="1"/>
  <c r="AH151" i="12" a="1"/>
  <c r="AH151" i="12" s="1"/>
  <c r="AH152" i="12" a="1"/>
  <c r="AH152" i="12" s="1"/>
  <c r="AH153" i="12" a="1"/>
  <c r="AH153" i="12"/>
  <c r="AH154" i="12" a="1"/>
  <c r="AH154" i="12"/>
  <c r="AH155" i="12" a="1"/>
  <c r="AH155" i="12" s="1"/>
  <c r="AH156" i="12" a="1"/>
  <c r="AH156" i="12" s="1"/>
  <c r="AH157" i="12" a="1"/>
  <c r="AH157" i="12" s="1"/>
  <c r="AH158" i="12" a="1"/>
  <c r="AH158" i="12" s="1"/>
  <c r="AH159" i="12" a="1"/>
  <c r="AH159" i="12"/>
  <c r="AH160" i="12" a="1"/>
  <c r="AH160" i="12"/>
  <c r="AH161" i="12" a="1"/>
  <c r="AH161" i="12" s="1"/>
  <c r="AH162" i="12" a="1"/>
  <c r="AH162" i="12" s="1"/>
  <c r="AH163" i="12" a="1"/>
  <c r="AH163" i="12" s="1"/>
  <c r="AH164" i="12" a="1"/>
  <c r="AH164" i="12" s="1"/>
  <c r="AH165" i="12" a="1"/>
  <c r="AH165" i="12"/>
  <c r="AH166" i="12" a="1"/>
  <c r="AH166" i="12"/>
  <c r="AH167" i="12" a="1"/>
  <c r="AH167" i="12" s="1"/>
  <c r="AH168" i="12" a="1"/>
  <c r="AH168" i="12" s="1"/>
  <c r="AH169" i="12" a="1"/>
  <c r="AH169" i="12" s="1"/>
  <c r="AH170" i="12" a="1"/>
  <c r="AH170" i="12" s="1"/>
  <c r="AH171" i="12" a="1"/>
  <c r="AH171" i="12"/>
  <c r="AH172" i="12" a="1"/>
  <c r="AH172" i="12"/>
  <c r="AH173" i="12" a="1"/>
  <c r="AH173" i="12" s="1"/>
  <c r="AH174" i="12" a="1"/>
  <c r="AH174" i="12" s="1"/>
  <c r="AH175" i="12" a="1"/>
  <c r="AH175" i="12" s="1"/>
  <c r="AH176" i="12" a="1"/>
  <c r="AH176" i="12" s="1"/>
  <c r="AH177" i="12" a="1"/>
  <c r="AH177" i="12"/>
  <c r="AH178" i="12" a="1"/>
  <c r="AH178" i="12"/>
  <c r="AH179" i="12" a="1"/>
  <c r="AH179" i="12" s="1"/>
  <c r="AH180" i="12" a="1"/>
  <c r="AH180" i="12" s="1"/>
  <c r="AH181" i="12" a="1"/>
  <c r="AH181" i="12" s="1"/>
  <c r="AH182" i="12" a="1"/>
  <c r="AH182" i="12" s="1"/>
  <c r="AH183" i="12" a="1"/>
  <c r="AH183" i="12"/>
  <c r="AH184" i="12" a="1"/>
  <c r="AH184" i="12"/>
  <c r="AH185" i="12" a="1"/>
  <c r="AH185" i="12" s="1"/>
  <c r="AH186" i="12" a="1"/>
  <c r="AH186" i="12" s="1"/>
  <c r="AH187" i="12" a="1"/>
  <c r="AH187" i="12" s="1"/>
  <c r="AH188" i="12" a="1"/>
  <c r="AH188" i="12" s="1"/>
  <c r="AH189" i="12" a="1"/>
  <c r="AH189" i="12"/>
  <c r="AH190" i="12" a="1"/>
  <c r="AH190" i="12"/>
  <c r="AH191" i="12" a="1"/>
  <c r="AH191" i="12" s="1"/>
  <c r="AH192" i="12" a="1"/>
  <c r="AH192" i="12" s="1"/>
  <c r="AH193" i="12" a="1"/>
  <c r="AH193" i="12" s="1"/>
  <c r="AH194" i="12" a="1"/>
  <c r="AH194" i="12" s="1"/>
  <c r="AH195" i="12" a="1"/>
  <c r="AH195" i="12"/>
  <c r="AH196" i="12" a="1"/>
  <c r="AH196" i="12"/>
  <c r="AH197" i="12" a="1"/>
  <c r="AH197" i="12" s="1"/>
  <c r="AH198" i="12" a="1"/>
  <c r="AH198" i="12" s="1"/>
  <c r="AH199" i="12" a="1"/>
  <c r="AH199" i="12" s="1"/>
  <c r="AH200" i="12" a="1"/>
  <c r="AH200" i="12" s="1"/>
  <c r="AH201" i="12" a="1"/>
  <c r="AH201" i="12"/>
  <c r="AH202" i="12" a="1"/>
  <c r="AH202" i="12"/>
  <c r="AH203" i="12" a="1"/>
  <c r="AH203" i="12" s="1"/>
  <c r="AH204" i="12" a="1"/>
  <c r="AH204" i="12" s="1"/>
  <c r="AH205" i="12" a="1"/>
  <c r="AH205" i="12" s="1"/>
  <c r="AH206" i="12" a="1"/>
  <c r="AH206" i="12" s="1"/>
  <c r="AH207" i="12" a="1"/>
  <c r="AH207" i="12"/>
  <c r="AH208" i="12" a="1"/>
  <c r="AH208" i="12"/>
  <c r="AH209" i="12" a="1"/>
  <c r="AH209" i="12" s="1"/>
  <c r="AH210" i="12" a="1"/>
  <c r="AH210" i="12" s="1"/>
  <c r="AH211" i="12" a="1"/>
  <c r="AH211" i="12" s="1"/>
  <c r="AH212" i="12" a="1"/>
  <c r="AH212" i="12" s="1"/>
  <c r="AH213" i="12" a="1"/>
  <c r="AH213" i="12"/>
  <c r="AH214" i="12" a="1"/>
  <c r="AH214" i="12"/>
  <c r="AH215" i="12" a="1"/>
  <c r="AH215" i="12" s="1"/>
  <c r="AH216" i="12" a="1"/>
  <c r="AH216" i="12" s="1"/>
  <c r="AH217" i="12" a="1"/>
  <c r="AH217" i="12" s="1"/>
  <c r="AH218" i="12" a="1"/>
  <c r="AH218" i="12" s="1"/>
  <c r="AH219" i="12" a="1"/>
  <c r="AH219" i="12"/>
  <c r="AH220" i="12" a="1"/>
  <c r="AH220" i="12"/>
  <c r="AH221" i="12" a="1"/>
  <c r="AH221" i="12" s="1"/>
  <c r="AH222" i="12" a="1"/>
  <c r="AH222" i="12" s="1"/>
  <c r="AH223" i="12" a="1"/>
  <c r="AH223" i="12" s="1"/>
  <c r="AH224" i="12" a="1"/>
  <c r="AH224" i="12" s="1"/>
  <c r="AH225" i="12" a="1"/>
  <c r="AH225" i="12"/>
  <c r="AH226" i="12" a="1"/>
  <c r="AH226" i="12"/>
  <c r="AH227" i="12" a="1"/>
  <c r="AH227" i="12" s="1"/>
  <c r="AH228" i="12" a="1"/>
  <c r="AH228" i="12" s="1"/>
  <c r="AH229" i="12" a="1"/>
  <c r="AH229" i="12" s="1"/>
  <c r="AH230" i="12" a="1"/>
  <c r="AH230" i="12" s="1"/>
  <c r="AH231" i="12" a="1"/>
  <c r="AH231" i="12"/>
  <c r="AH232" i="12" a="1"/>
  <c r="AH232" i="12"/>
  <c r="AH233" i="12" a="1"/>
  <c r="AH233" i="12" s="1"/>
  <c r="AH234" i="12" a="1"/>
  <c r="AH234" i="12" s="1"/>
  <c r="AH235" i="12" a="1"/>
  <c r="AH235" i="12" s="1"/>
  <c r="AH4" i="12" a="1"/>
  <c r="AH4" i="12" s="1"/>
  <c r="AG5" i="12" a="1"/>
  <c r="AG5" i="12" s="1"/>
  <c r="AG6" i="12" a="1"/>
  <c r="AG6" i="12" s="1"/>
  <c r="AG7" i="12" a="1"/>
  <c r="AG7" i="12" s="1"/>
  <c r="AG8" i="12" a="1"/>
  <c r="AG8" i="12" s="1"/>
  <c r="AG9" i="12" a="1"/>
  <c r="AG9" i="12" s="1"/>
  <c r="AG10" i="12" a="1"/>
  <c r="AG10" i="12"/>
  <c r="AG11" i="12" a="1"/>
  <c r="AG11" i="12" s="1"/>
  <c r="AG12" i="12" a="1"/>
  <c r="AG12" i="12" s="1"/>
  <c r="AG13" i="12" a="1"/>
  <c r="AG13" i="12" s="1"/>
  <c r="AG14" i="12" a="1"/>
  <c r="AG14" i="12" s="1"/>
  <c r="AG15" i="12" a="1"/>
  <c r="AG15" i="12" s="1"/>
  <c r="AG16" i="12" a="1"/>
  <c r="AG16" i="12"/>
  <c r="AG17" i="12" a="1"/>
  <c r="AG17" i="12" s="1"/>
  <c r="AG18" i="12" a="1"/>
  <c r="AG18" i="12" s="1"/>
  <c r="AG19" i="12" a="1"/>
  <c r="AG19" i="12" s="1"/>
  <c r="AG20" i="12" a="1"/>
  <c r="AG20" i="12" s="1"/>
  <c r="AG21" i="12" a="1"/>
  <c r="AG21" i="12" s="1"/>
  <c r="AG22" i="12" a="1"/>
  <c r="AG22" i="12"/>
  <c r="AG23" i="12" a="1"/>
  <c r="AG23" i="12" s="1"/>
  <c r="AG24" i="12" a="1"/>
  <c r="AG24" i="12" s="1"/>
  <c r="AG25" i="12" a="1"/>
  <c r="AG25" i="12" s="1"/>
  <c r="AG26" i="12" a="1"/>
  <c r="AG26" i="12" s="1"/>
  <c r="AG27" i="12" a="1"/>
  <c r="AG27" i="12" s="1"/>
  <c r="AG28" i="12" a="1"/>
  <c r="AG28" i="12"/>
  <c r="AG29" i="12" a="1"/>
  <c r="AG29" i="12" s="1"/>
  <c r="AG30" i="12" a="1"/>
  <c r="AG30" i="12" s="1"/>
  <c r="AG31" i="12" a="1"/>
  <c r="AG31" i="12" s="1"/>
  <c r="AG32" i="12" a="1"/>
  <c r="AG32" i="12" s="1"/>
  <c r="AG33" i="12" a="1"/>
  <c r="AG33" i="12" s="1"/>
  <c r="AG34" i="12" a="1"/>
  <c r="AG34" i="12"/>
  <c r="AG35" i="12" a="1"/>
  <c r="AG35" i="12" s="1"/>
  <c r="AG36" i="12" a="1"/>
  <c r="AG36" i="12" s="1"/>
  <c r="AG37" i="12" a="1"/>
  <c r="AG37" i="12" s="1"/>
  <c r="AG38" i="12" a="1"/>
  <c r="AG38" i="12" s="1"/>
  <c r="AG39" i="12" a="1"/>
  <c r="AG39" i="12" s="1"/>
  <c r="AG40" i="12" a="1"/>
  <c r="AG40" i="12"/>
  <c r="AG41" i="12" a="1"/>
  <c r="AG41" i="12" s="1"/>
  <c r="AG42" i="12" a="1"/>
  <c r="AG42" i="12" s="1"/>
  <c r="AG43" i="12" a="1"/>
  <c r="AG43" i="12" s="1"/>
  <c r="AG44" i="12" a="1"/>
  <c r="AG44" i="12" s="1"/>
  <c r="AG45" i="12" a="1"/>
  <c r="AG45" i="12" s="1"/>
  <c r="AG46" i="12" a="1"/>
  <c r="AG46" i="12"/>
  <c r="AG47" i="12" a="1"/>
  <c r="AG47" i="12" s="1"/>
  <c r="AG48" i="12" a="1"/>
  <c r="AG48" i="12" s="1"/>
  <c r="AG49" i="12" a="1"/>
  <c r="AG49" i="12" s="1"/>
  <c r="AG50" i="12" a="1"/>
  <c r="AG50" i="12" s="1"/>
  <c r="AG51" i="12" a="1"/>
  <c r="AG51" i="12" s="1"/>
  <c r="AG52" i="12" a="1"/>
  <c r="AG52" i="12"/>
  <c r="AG53" i="12" a="1"/>
  <c r="AG53" i="12" s="1"/>
  <c r="AG54" i="12" a="1"/>
  <c r="AG54" i="12" s="1"/>
  <c r="AG55" i="12" a="1"/>
  <c r="AG55" i="12" s="1"/>
  <c r="AG56" i="12" a="1"/>
  <c r="AG56" i="12" s="1"/>
  <c r="AG57" i="12" a="1"/>
  <c r="AG57" i="12" s="1"/>
  <c r="AG58" i="12" a="1"/>
  <c r="AG58" i="12"/>
  <c r="AG59" i="12" a="1"/>
  <c r="AG59" i="12" s="1"/>
  <c r="AG60" i="12" a="1"/>
  <c r="AG60" i="12" s="1"/>
  <c r="AG61" i="12" a="1"/>
  <c r="AG61" i="12" s="1"/>
  <c r="AG62" i="12" a="1"/>
  <c r="AG62" i="12" s="1"/>
  <c r="AG63" i="12" a="1"/>
  <c r="AG63" i="12" s="1"/>
  <c r="AG64" i="12" a="1"/>
  <c r="AG64" i="12"/>
  <c r="AG65" i="12" a="1"/>
  <c r="AG65" i="12" s="1"/>
  <c r="AG66" i="12" a="1"/>
  <c r="AG66" i="12" s="1"/>
  <c r="AG67" i="12" a="1"/>
  <c r="AG67" i="12" s="1"/>
  <c r="AG68" i="12" a="1"/>
  <c r="AG68" i="12" s="1"/>
  <c r="AG69" i="12" a="1"/>
  <c r="AG69" i="12" s="1"/>
  <c r="AG70" i="12" a="1"/>
  <c r="AG70" i="12"/>
  <c r="AG71" i="12" a="1"/>
  <c r="AG71" i="12" s="1"/>
  <c r="AG72" i="12" a="1"/>
  <c r="AG72" i="12" s="1"/>
  <c r="AG73" i="12" a="1"/>
  <c r="AG73" i="12" s="1"/>
  <c r="AG74" i="12" a="1"/>
  <c r="AG74" i="12" s="1"/>
  <c r="AG75" i="12" a="1"/>
  <c r="AG75" i="12" s="1"/>
  <c r="AG76" i="12" a="1"/>
  <c r="AG76" i="12"/>
  <c r="AG77" i="12" a="1"/>
  <c r="AG77" i="12" s="1"/>
  <c r="AG78" i="12" a="1"/>
  <c r="AG78" i="12" s="1"/>
  <c r="AG79" i="12" a="1"/>
  <c r="AG79" i="12" s="1"/>
  <c r="AG80" i="12" a="1"/>
  <c r="AG80" i="12" s="1"/>
  <c r="AG81" i="12" a="1"/>
  <c r="AG81" i="12" s="1"/>
  <c r="AG82" i="12" a="1"/>
  <c r="AG82" i="12"/>
  <c r="AG83" i="12" a="1"/>
  <c r="AG83" i="12" s="1"/>
  <c r="AG84" i="12" a="1"/>
  <c r="AG84" i="12" s="1"/>
  <c r="AG85" i="12" a="1"/>
  <c r="AG85" i="12" s="1"/>
  <c r="AG86" i="12" a="1"/>
  <c r="AG86" i="12" s="1"/>
  <c r="AG87" i="12" a="1"/>
  <c r="AG87" i="12" s="1"/>
  <c r="AG88" i="12" a="1"/>
  <c r="AG88" i="12"/>
  <c r="AG89" i="12" a="1"/>
  <c r="AG89" i="12" s="1"/>
  <c r="AG90" i="12" a="1"/>
  <c r="AG90" i="12" s="1"/>
  <c r="AG91" i="12" a="1"/>
  <c r="AG91" i="12" s="1"/>
  <c r="AG92" i="12" a="1"/>
  <c r="AG92" i="12" s="1"/>
  <c r="AG93" i="12" a="1"/>
  <c r="AG93" i="12" s="1"/>
  <c r="AG94" i="12" a="1"/>
  <c r="AG94" i="12"/>
  <c r="AG95" i="12" a="1"/>
  <c r="AG95" i="12" s="1"/>
  <c r="AG96" i="12" a="1"/>
  <c r="AG96" i="12" s="1"/>
  <c r="AG97" i="12" a="1"/>
  <c r="AG97" i="12" s="1"/>
  <c r="AG98" i="12" a="1"/>
  <c r="AG98" i="12" s="1"/>
  <c r="AG99" i="12" a="1"/>
  <c r="AG99" i="12" s="1"/>
  <c r="AG100" i="12" a="1"/>
  <c r="AG100" i="12"/>
  <c r="AG101" i="12" a="1"/>
  <c r="AG101" i="12" s="1"/>
  <c r="AG102" i="12" a="1"/>
  <c r="AG102" i="12" s="1"/>
  <c r="AG103" i="12" a="1"/>
  <c r="AG103" i="12" s="1"/>
  <c r="AG104" i="12" a="1"/>
  <c r="AG104" i="12" s="1"/>
  <c r="AG105" i="12" a="1"/>
  <c r="AG105" i="12" s="1"/>
  <c r="AG106" i="12" a="1"/>
  <c r="AG106" i="12"/>
  <c r="AG107" i="12" a="1"/>
  <c r="AG107" i="12" s="1"/>
  <c r="AG108" i="12" a="1"/>
  <c r="AG108" i="12" s="1"/>
  <c r="AG109" i="12" a="1"/>
  <c r="AG109" i="12" s="1"/>
  <c r="AG110" i="12" a="1"/>
  <c r="AG110" i="12" s="1"/>
  <c r="AG111" i="12" a="1"/>
  <c r="AG111" i="12" s="1"/>
  <c r="AG112" i="12" a="1"/>
  <c r="AG112" i="12"/>
  <c r="AG113" i="12" a="1"/>
  <c r="AG113" i="12" s="1"/>
  <c r="AG114" i="12" a="1"/>
  <c r="AG114" i="12" s="1"/>
  <c r="AG115" i="12" a="1"/>
  <c r="AG115" i="12" s="1"/>
  <c r="AG116" i="12" a="1"/>
  <c r="AG116" i="12" s="1"/>
  <c r="AG117" i="12" a="1"/>
  <c r="AG117" i="12" s="1"/>
  <c r="AG118" i="12" a="1"/>
  <c r="AG118" i="12"/>
  <c r="AG119" i="12" a="1"/>
  <c r="AG119" i="12" s="1"/>
  <c r="AG120" i="12" a="1"/>
  <c r="AG120" i="12" s="1"/>
  <c r="AG121" i="12" a="1"/>
  <c r="AG121" i="12" s="1"/>
  <c r="AG122" i="12" a="1"/>
  <c r="AG122" i="12" s="1"/>
  <c r="AG123" i="12" a="1"/>
  <c r="AG123" i="12" s="1"/>
  <c r="AG124" i="12" a="1"/>
  <c r="AG124" i="12"/>
  <c r="AG125" i="12" a="1"/>
  <c r="AG125" i="12" s="1"/>
  <c r="AG126" i="12" a="1"/>
  <c r="AG126" i="12" s="1"/>
  <c r="AG127" i="12" a="1"/>
  <c r="AG127" i="12" s="1"/>
  <c r="AG128" i="12" a="1"/>
  <c r="AG128" i="12" s="1"/>
  <c r="AG129" i="12" a="1"/>
  <c r="AG129" i="12" s="1"/>
  <c r="AG130" i="12" a="1"/>
  <c r="AG130" i="12"/>
  <c r="AG131" i="12" a="1"/>
  <c r="AG131" i="12" s="1"/>
  <c r="AG132" i="12" a="1"/>
  <c r="AG132" i="12" s="1"/>
  <c r="AG133" i="12" a="1"/>
  <c r="AG133" i="12" s="1"/>
  <c r="AG134" i="12" a="1"/>
  <c r="AG134" i="12" s="1"/>
  <c r="AG135" i="12" a="1"/>
  <c r="AG135" i="12" s="1"/>
  <c r="AG136" i="12" a="1"/>
  <c r="AG136" i="12"/>
  <c r="AG137" i="12" a="1"/>
  <c r="AG137" i="12" s="1"/>
  <c r="AG138" i="12" a="1"/>
  <c r="AG138" i="12" s="1"/>
  <c r="AG139" i="12" a="1"/>
  <c r="AG139" i="12" s="1"/>
  <c r="AG140" i="12" a="1"/>
  <c r="AG140" i="12" s="1"/>
  <c r="AG141" i="12" a="1"/>
  <c r="AG141" i="12" s="1"/>
  <c r="AG142" i="12" a="1"/>
  <c r="AG142" i="12"/>
  <c r="AG143" i="12" a="1"/>
  <c r="AG143" i="12" s="1"/>
  <c r="AG144" i="12" a="1"/>
  <c r="AG144" i="12" s="1"/>
  <c r="AG145" i="12" a="1"/>
  <c r="AG145" i="12" s="1"/>
  <c r="AG146" i="12" a="1"/>
  <c r="AG146" i="12" s="1"/>
  <c r="AG147" i="12" a="1"/>
  <c r="AG147" i="12" s="1"/>
  <c r="AG148" i="12" a="1"/>
  <c r="AG148" i="12"/>
  <c r="AG149" i="12" a="1"/>
  <c r="AG149" i="12" s="1"/>
  <c r="AG150" i="12" a="1"/>
  <c r="AG150" i="12" s="1"/>
  <c r="AG151" i="12" a="1"/>
  <c r="AG151" i="12" s="1"/>
  <c r="AG152" i="12" a="1"/>
  <c r="AG152" i="12" s="1"/>
  <c r="AG153" i="12" a="1"/>
  <c r="AG153" i="12" s="1"/>
  <c r="AG154" i="12" a="1"/>
  <c r="AG154" i="12"/>
  <c r="AG155" i="12" a="1"/>
  <c r="AG155" i="12" s="1"/>
  <c r="AG156" i="12" a="1"/>
  <c r="AG156" i="12" s="1"/>
  <c r="AG157" i="12" a="1"/>
  <c r="AG157" i="12" s="1"/>
  <c r="AG158" i="12" a="1"/>
  <c r="AG158" i="12" s="1"/>
  <c r="AG159" i="12" a="1"/>
  <c r="AG159" i="12" s="1"/>
  <c r="AG160" i="12" a="1"/>
  <c r="AG160" i="12"/>
  <c r="AG161" i="12" a="1"/>
  <c r="AG161" i="12" s="1"/>
  <c r="AG162" i="12" a="1"/>
  <c r="AG162" i="12" s="1"/>
  <c r="AG163" i="12" a="1"/>
  <c r="AG163" i="12" s="1"/>
  <c r="AG164" i="12" a="1"/>
  <c r="AG164" i="12" s="1"/>
  <c r="AG165" i="12" a="1"/>
  <c r="AG165" i="12" s="1"/>
  <c r="AG166" i="12" a="1"/>
  <c r="AG166" i="12"/>
  <c r="AG167" i="12" a="1"/>
  <c r="AG167" i="12" s="1"/>
  <c r="AG168" i="12" a="1"/>
  <c r="AG168" i="12" s="1"/>
  <c r="AG169" i="12" a="1"/>
  <c r="AG169" i="12" s="1"/>
  <c r="AG170" i="12" a="1"/>
  <c r="AG170" i="12" s="1"/>
  <c r="AG171" i="12" a="1"/>
  <c r="AG171" i="12" s="1"/>
  <c r="AG172" i="12" a="1"/>
  <c r="AG172" i="12"/>
  <c r="AG173" i="12" a="1"/>
  <c r="AG173" i="12" s="1"/>
  <c r="AG174" i="12" a="1"/>
  <c r="AG174" i="12" s="1"/>
  <c r="AG175" i="12" a="1"/>
  <c r="AG175" i="12" s="1"/>
  <c r="AG176" i="12" a="1"/>
  <c r="AG176" i="12" s="1"/>
  <c r="AG177" i="12" a="1"/>
  <c r="AG177" i="12" s="1"/>
  <c r="AG178" i="12" a="1"/>
  <c r="AG178" i="12"/>
  <c r="AG179" i="12" a="1"/>
  <c r="AG179" i="12" s="1"/>
  <c r="AG180" i="12" a="1"/>
  <c r="AG180" i="12" s="1"/>
  <c r="AG181" i="12" a="1"/>
  <c r="AG181" i="12" s="1"/>
  <c r="AG182" i="12" a="1"/>
  <c r="AG182" i="12" s="1"/>
  <c r="AG183" i="12" a="1"/>
  <c r="AG183" i="12" s="1"/>
  <c r="AG184" i="12" a="1"/>
  <c r="AG184" i="12"/>
  <c r="AG185" i="12" a="1"/>
  <c r="AG185" i="12" s="1"/>
  <c r="AG186" i="12" a="1"/>
  <c r="AG186" i="12" s="1"/>
  <c r="AG187" i="12" a="1"/>
  <c r="AG187" i="12" s="1"/>
  <c r="AG188" i="12" a="1"/>
  <c r="AG188" i="12" s="1"/>
  <c r="AG189" i="12" a="1"/>
  <c r="AG189" i="12" s="1"/>
  <c r="AG190" i="12" a="1"/>
  <c r="AG190" i="12"/>
  <c r="AG191" i="12" a="1"/>
  <c r="AG191" i="12" s="1"/>
  <c r="AG192" i="12" a="1"/>
  <c r="AG192" i="12" s="1"/>
  <c r="AG193" i="12" a="1"/>
  <c r="AG193" i="12" s="1"/>
  <c r="AG194" i="12" a="1"/>
  <c r="AG194" i="12" s="1"/>
  <c r="AG195" i="12" a="1"/>
  <c r="AG195" i="12" s="1"/>
  <c r="AG196" i="12" a="1"/>
  <c r="AG196" i="12"/>
  <c r="AG197" i="12" a="1"/>
  <c r="AG197" i="12" s="1"/>
  <c r="AG198" i="12" a="1"/>
  <c r="AG198" i="12" s="1"/>
  <c r="AG199" i="12" a="1"/>
  <c r="AG199" i="12" s="1"/>
  <c r="AG200" i="12" a="1"/>
  <c r="AG200" i="12" s="1"/>
  <c r="AG201" i="12" a="1"/>
  <c r="AG201" i="12" s="1"/>
  <c r="AG202" i="12" a="1"/>
  <c r="AG202" i="12"/>
  <c r="AG203" i="12" a="1"/>
  <c r="AG203" i="12" s="1"/>
  <c r="AG204" i="12" a="1"/>
  <c r="AG204" i="12" s="1"/>
  <c r="AG205" i="12" a="1"/>
  <c r="AG205" i="12" s="1"/>
  <c r="AG206" i="12" a="1"/>
  <c r="AG206" i="12" s="1"/>
  <c r="AG207" i="12" a="1"/>
  <c r="AG207" i="12" s="1"/>
  <c r="AG208" i="12" a="1"/>
  <c r="AG208" i="12"/>
  <c r="AG209" i="12" a="1"/>
  <c r="AG209" i="12" s="1"/>
  <c r="AG210" i="12" a="1"/>
  <c r="AG210" i="12" s="1"/>
  <c r="AG211" i="12" a="1"/>
  <c r="AG211" i="12" s="1"/>
  <c r="AG212" i="12" a="1"/>
  <c r="AG212" i="12" s="1"/>
  <c r="AG213" i="12" a="1"/>
  <c r="AG213" i="12" s="1"/>
  <c r="AG214" i="12" a="1"/>
  <c r="AG214" i="12"/>
  <c r="AG215" i="12" a="1"/>
  <c r="AG215" i="12" s="1"/>
  <c r="AG216" i="12" a="1"/>
  <c r="AG216" i="12" s="1"/>
  <c r="AG217" i="12" a="1"/>
  <c r="AG217" i="12" s="1"/>
  <c r="AG218" i="12" a="1"/>
  <c r="AG218" i="12" s="1"/>
  <c r="AG219" i="12" a="1"/>
  <c r="AG219" i="12" s="1"/>
  <c r="AG220" i="12" a="1"/>
  <c r="AG220" i="12"/>
  <c r="AG221" i="12" a="1"/>
  <c r="AG221" i="12" s="1"/>
  <c r="AG222" i="12" a="1"/>
  <c r="AG222" i="12" s="1"/>
  <c r="AG223" i="12" a="1"/>
  <c r="AG223" i="12" s="1"/>
  <c r="AG224" i="12" a="1"/>
  <c r="AG224" i="12" s="1"/>
  <c r="AG225" i="12" a="1"/>
  <c r="AG225" i="12" s="1"/>
  <c r="AG226" i="12" a="1"/>
  <c r="AG226" i="12"/>
  <c r="AG227" i="12" a="1"/>
  <c r="AG227" i="12" s="1"/>
  <c r="AG228" i="12" a="1"/>
  <c r="AG228" i="12" s="1"/>
  <c r="AG229" i="12" a="1"/>
  <c r="AG229" i="12" s="1"/>
  <c r="AG230" i="12" a="1"/>
  <c r="AG230" i="12" s="1"/>
  <c r="AG231" i="12" a="1"/>
  <c r="AG231" i="12" s="1"/>
  <c r="AG232" i="12" a="1"/>
  <c r="AG232" i="12"/>
  <c r="AG233" i="12" a="1"/>
  <c r="AG233" i="12" s="1"/>
  <c r="AG234" i="12" a="1"/>
  <c r="AG234" i="12" s="1"/>
  <c r="AG235" i="12" a="1"/>
  <c r="AG235" i="12" s="1"/>
  <c r="AG4" i="12" a="1"/>
  <c r="AG4" i="12" s="1"/>
  <c r="AF5" i="12"/>
  <c r="AF6" i="12"/>
  <c r="AF7" i="12"/>
  <c r="AF8" i="12"/>
  <c r="AF9" i="12"/>
  <c r="AF10" i="12"/>
  <c r="AF11" i="12"/>
  <c r="AF12" i="12"/>
  <c r="AF13" i="12"/>
  <c r="AF14" i="12"/>
  <c r="AF15" i="12"/>
  <c r="AF16" i="12"/>
  <c r="AF17" i="12"/>
  <c r="AF18" i="12"/>
  <c r="AF19" i="12"/>
  <c r="AF20" i="12"/>
  <c r="AF21" i="12"/>
  <c r="AF22" i="12"/>
  <c r="AF23" i="12"/>
  <c r="AF24" i="12"/>
  <c r="AF25" i="12"/>
  <c r="AF26" i="12"/>
  <c r="AF27" i="12"/>
  <c r="AF28" i="12"/>
  <c r="AF29" i="12"/>
  <c r="AF30" i="12"/>
  <c r="AF31" i="12"/>
  <c r="AF32" i="12"/>
  <c r="AF33" i="12"/>
  <c r="AF34" i="12"/>
  <c r="AF35" i="12"/>
  <c r="AF36" i="12"/>
  <c r="AF37" i="12"/>
  <c r="AF38" i="12"/>
  <c r="AF39" i="12"/>
  <c r="AF40" i="12"/>
  <c r="AF41" i="12"/>
  <c r="AF42" i="12"/>
  <c r="AF43" i="12"/>
  <c r="AF44" i="12"/>
  <c r="AF45" i="12"/>
  <c r="AF46" i="12"/>
  <c r="AF47" i="12"/>
  <c r="AF48" i="12"/>
  <c r="AF49" i="12"/>
  <c r="AF50" i="12"/>
  <c r="AF51" i="12"/>
  <c r="AF52" i="12"/>
  <c r="AF53" i="12"/>
  <c r="AF54" i="12"/>
  <c r="AF55" i="12"/>
  <c r="AF56" i="12"/>
  <c r="AF57" i="12"/>
  <c r="AF58" i="12"/>
  <c r="AF59" i="12"/>
  <c r="AF60" i="12"/>
  <c r="AF61" i="12"/>
  <c r="AF62" i="12"/>
  <c r="AF63" i="12"/>
  <c r="AF64" i="12"/>
  <c r="AF65" i="12"/>
  <c r="AF66" i="12"/>
  <c r="AF67" i="12"/>
  <c r="AF68" i="12"/>
  <c r="AF69" i="12"/>
  <c r="AF70" i="12"/>
  <c r="AF71" i="12"/>
  <c r="AF72" i="12"/>
  <c r="AF73" i="12"/>
  <c r="AF74" i="12"/>
  <c r="AF75" i="12"/>
  <c r="AF76" i="12"/>
  <c r="AF77" i="12"/>
  <c r="AF78" i="12"/>
  <c r="AF79" i="12"/>
  <c r="AF80" i="12"/>
  <c r="AF81" i="12"/>
  <c r="AF82" i="12"/>
  <c r="AF83" i="12"/>
  <c r="AF84" i="12"/>
  <c r="AF85" i="12"/>
  <c r="AF86" i="12"/>
  <c r="AF87" i="12"/>
  <c r="AF88" i="12"/>
  <c r="AF89" i="12"/>
  <c r="AF90" i="12"/>
  <c r="AF91" i="12"/>
  <c r="AF92" i="12"/>
  <c r="AF93" i="12"/>
  <c r="AF94" i="12"/>
  <c r="AF95" i="12"/>
  <c r="AF96" i="12"/>
  <c r="AF97" i="12"/>
  <c r="AF98" i="12"/>
  <c r="AF99" i="12"/>
  <c r="AF100" i="12"/>
  <c r="AF101" i="12"/>
  <c r="AF102" i="12"/>
  <c r="AF103" i="12"/>
  <c r="AF104" i="12"/>
  <c r="AF105" i="12"/>
  <c r="AF106" i="12"/>
  <c r="AF107" i="12"/>
  <c r="AF108" i="12"/>
  <c r="AF109" i="12"/>
  <c r="AF110" i="12"/>
  <c r="AF111" i="12"/>
  <c r="AF112" i="12"/>
  <c r="AF113" i="12"/>
  <c r="AF114" i="12"/>
  <c r="AF115" i="12"/>
  <c r="AF116" i="12"/>
  <c r="AF117" i="12"/>
  <c r="AF118" i="12"/>
  <c r="AF119" i="12"/>
  <c r="AF120" i="12"/>
  <c r="AF121" i="12"/>
  <c r="AF122" i="12"/>
  <c r="AF123" i="12"/>
  <c r="AF124" i="12"/>
  <c r="AF125" i="12"/>
  <c r="AF126" i="12"/>
  <c r="AF127" i="12"/>
  <c r="AF128" i="12"/>
  <c r="AF129" i="12"/>
  <c r="AF130" i="12"/>
  <c r="AF131" i="12"/>
  <c r="AF132" i="12"/>
  <c r="AF133" i="12"/>
  <c r="AF134" i="12"/>
  <c r="AF135" i="12"/>
  <c r="AF136" i="12"/>
  <c r="AF137" i="12"/>
  <c r="AF138" i="12"/>
  <c r="AF139" i="12"/>
  <c r="AF140" i="12"/>
  <c r="AF141" i="12"/>
  <c r="AF142" i="12"/>
  <c r="AF143" i="12"/>
  <c r="AF144" i="12"/>
  <c r="AF145" i="12"/>
  <c r="AF146" i="12"/>
  <c r="AF147" i="12"/>
  <c r="AF148" i="12"/>
  <c r="AF149" i="12"/>
  <c r="AF150" i="12"/>
  <c r="AF151" i="12"/>
  <c r="AF152" i="12"/>
  <c r="AF153" i="12"/>
  <c r="AF154" i="12"/>
  <c r="AF155" i="12"/>
  <c r="AF156" i="12"/>
  <c r="AF157" i="12"/>
  <c r="AF158" i="12"/>
  <c r="AF159" i="12"/>
  <c r="AF160" i="12"/>
  <c r="AF161" i="12"/>
  <c r="AF162" i="12"/>
  <c r="AF163" i="12"/>
  <c r="AF164" i="12"/>
  <c r="AF165" i="12"/>
  <c r="AF166" i="12"/>
  <c r="AF167" i="12"/>
  <c r="AF168" i="12"/>
  <c r="AF169" i="12"/>
  <c r="AF170" i="12"/>
  <c r="AF171" i="12"/>
  <c r="AF172" i="12"/>
  <c r="AF173" i="12"/>
  <c r="AF174" i="12"/>
  <c r="AF175" i="12"/>
  <c r="AF176" i="12"/>
  <c r="AF177" i="12"/>
  <c r="AF178" i="12"/>
  <c r="AF179" i="12"/>
  <c r="AF180" i="12"/>
  <c r="AF181" i="12"/>
  <c r="AF182" i="12"/>
  <c r="AF183" i="12"/>
  <c r="AF184" i="12"/>
  <c r="AF185" i="12"/>
  <c r="AF186" i="12"/>
  <c r="AF187" i="12"/>
  <c r="AF188" i="12"/>
  <c r="AF189" i="12"/>
  <c r="AF190" i="12"/>
  <c r="AF191" i="12"/>
  <c r="AF192" i="12"/>
  <c r="AF193" i="12"/>
  <c r="AF194" i="12"/>
  <c r="AF195" i="12"/>
  <c r="AF196" i="12"/>
  <c r="AF197" i="12"/>
  <c r="AF198" i="12"/>
  <c r="AF199" i="12"/>
  <c r="AF200" i="12"/>
  <c r="AF201" i="12"/>
  <c r="AF202" i="12"/>
  <c r="AF203" i="12"/>
  <c r="AF204" i="12"/>
  <c r="AF205" i="12"/>
  <c r="AF206" i="12"/>
  <c r="AF207" i="12"/>
  <c r="AF208" i="12"/>
  <c r="AF209" i="12"/>
  <c r="AF210" i="12"/>
  <c r="AF211" i="12"/>
  <c r="AF212" i="12"/>
  <c r="AF213" i="12"/>
  <c r="AF214" i="12"/>
  <c r="AF215" i="12"/>
  <c r="AF216" i="12"/>
  <c r="AF217" i="12"/>
  <c r="AF218" i="12"/>
  <c r="AF219" i="12"/>
  <c r="AF220" i="12"/>
  <c r="AF221" i="12"/>
  <c r="AF222" i="12"/>
  <c r="AF223" i="12"/>
  <c r="AF224" i="12"/>
  <c r="AF225" i="12"/>
  <c r="AF226" i="12"/>
  <c r="AF227" i="12"/>
  <c r="AF228" i="12"/>
  <c r="AF229" i="12"/>
  <c r="AF230" i="12"/>
  <c r="AF231" i="12"/>
  <c r="AF232" i="12"/>
  <c r="AF233" i="12"/>
  <c r="AF234" i="12"/>
  <c r="AF235" i="12"/>
  <c r="AF4" i="12"/>
  <c r="AE5" i="12" a="1"/>
  <c r="AE5" i="12" s="1"/>
  <c r="AE6" i="12" a="1"/>
  <c r="AE6" i="12" s="1"/>
  <c r="AE7" i="12" a="1"/>
  <c r="AE7" i="12" s="1"/>
  <c r="AE8" i="12" a="1"/>
  <c r="AE8" i="12" s="1"/>
  <c r="AE9" i="12" a="1"/>
  <c r="AE9" i="12" s="1"/>
  <c r="AE10" i="12" a="1"/>
  <c r="AE10" i="12"/>
  <c r="AE11" i="12" a="1"/>
  <c r="AE11" i="12" s="1"/>
  <c r="AE12" i="12" a="1"/>
  <c r="AE12" i="12" s="1"/>
  <c r="AE13" i="12" a="1"/>
  <c r="AE13" i="12" s="1"/>
  <c r="AE14" i="12" a="1"/>
  <c r="AE14" i="12" s="1"/>
  <c r="AE15" i="12" a="1"/>
  <c r="AE15" i="12" s="1"/>
  <c r="AE16" i="12" a="1"/>
  <c r="AE16" i="12"/>
  <c r="AE17" i="12" a="1"/>
  <c r="AE17" i="12" s="1"/>
  <c r="AE18" i="12" a="1"/>
  <c r="AE18" i="12" s="1"/>
  <c r="AE19" i="12" a="1"/>
  <c r="AE19" i="12" s="1"/>
  <c r="AE20" i="12" a="1"/>
  <c r="AE20" i="12" s="1"/>
  <c r="AE21" i="12" a="1"/>
  <c r="AE21" i="12" s="1"/>
  <c r="AE22" i="12" a="1"/>
  <c r="AE22" i="12"/>
  <c r="AE23" i="12" a="1"/>
  <c r="AE23" i="12" s="1"/>
  <c r="AE24" i="12" a="1"/>
  <c r="AE24" i="12" s="1"/>
  <c r="AE25" i="12" a="1"/>
  <c r="AE25" i="12" s="1"/>
  <c r="AE26" i="12" a="1"/>
  <c r="AE26" i="12" s="1"/>
  <c r="AE27" i="12" a="1"/>
  <c r="AE27" i="12" s="1"/>
  <c r="AE28" i="12" a="1"/>
  <c r="AE28" i="12"/>
  <c r="AE29" i="12" a="1"/>
  <c r="AE29" i="12" s="1"/>
  <c r="AE30" i="12" a="1"/>
  <c r="AE30" i="12" s="1"/>
  <c r="AE31" i="12" a="1"/>
  <c r="AE31" i="12" s="1"/>
  <c r="AE32" i="12" a="1"/>
  <c r="AE32" i="12" s="1"/>
  <c r="AE33" i="12" a="1"/>
  <c r="AE33" i="12" s="1"/>
  <c r="AE34" i="12" a="1"/>
  <c r="AE34" i="12"/>
  <c r="AE35" i="12" a="1"/>
  <c r="AE35" i="12" s="1"/>
  <c r="AE36" i="12" a="1"/>
  <c r="AE36" i="12" s="1"/>
  <c r="AE37" i="12" a="1"/>
  <c r="AE37" i="12" s="1"/>
  <c r="AE38" i="12" a="1"/>
  <c r="AE38" i="12" s="1"/>
  <c r="AE39" i="12" a="1"/>
  <c r="AE39" i="12" s="1"/>
  <c r="AE40" i="12" a="1"/>
  <c r="AE40" i="12"/>
  <c r="AE41" i="12" a="1"/>
  <c r="AE41" i="12" s="1"/>
  <c r="AE42" i="12" a="1"/>
  <c r="AE42" i="12" s="1"/>
  <c r="AE43" i="12" a="1"/>
  <c r="AE43" i="12" s="1"/>
  <c r="AE44" i="12" a="1"/>
  <c r="AE44" i="12" s="1"/>
  <c r="AE45" i="12" a="1"/>
  <c r="AE45" i="12" s="1"/>
  <c r="AE46" i="12" a="1"/>
  <c r="AE46" i="12"/>
  <c r="AE47" i="12" a="1"/>
  <c r="AE47" i="12" s="1"/>
  <c r="AE48" i="12" a="1"/>
  <c r="AE48" i="12" s="1"/>
  <c r="AE49" i="12" a="1"/>
  <c r="AE49" i="12" s="1"/>
  <c r="AE50" i="12" a="1"/>
  <c r="AE50" i="12" s="1"/>
  <c r="AE51" i="12" a="1"/>
  <c r="AE51" i="12" s="1"/>
  <c r="AE52" i="12" a="1"/>
  <c r="AE52" i="12"/>
  <c r="AE53" i="12" a="1"/>
  <c r="AE53" i="12" s="1"/>
  <c r="AE54" i="12" a="1"/>
  <c r="AE54" i="12" s="1"/>
  <c r="AE55" i="12" a="1"/>
  <c r="AE55" i="12" s="1"/>
  <c r="AE56" i="12" a="1"/>
  <c r="AE56" i="12" s="1"/>
  <c r="AE57" i="12" a="1"/>
  <c r="AE57" i="12" s="1"/>
  <c r="AE58" i="12" a="1"/>
  <c r="AE58" i="12"/>
  <c r="AE59" i="12" a="1"/>
  <c r="AE59" i="12" s="1"/>
  <c r="AE60" i="12" a="1"/>
  <c r="AE60" i="12" s="1"/>
  <c r="AE61" i="12" a="1"/>
  <c r="AE61" i="12" s="1"/>
  <c r="AE62" i="12" a="1"/>
  <c r="AE62" i="12" s="1"/>
  <c r="AE63" i="12" a="1"/>
  <c r="AE63" i="12" s="1"/>
  <c r="AE64" i="12" a="1"/>
  <c r="AE64" i="12"/>
  <c r="AE65" i="12" a="1"/>
  <c r="AE65" i="12" s="1"/>
  <c r="AE66" i="12" a="1"/>
  <c r="AE66" i="12" s="1"/>
  <c r="AE67" i="12" a="1"/>
  <c r="AE67" i="12" s="1"/>
  <c r="AE68" i="12" a="1"/>
  <c r="AE68" i="12" s="1"/>
  <c r="AE69" i="12" a="1"/>
  <c r="AE69" i="12" s="1"/>
  <c r="AE70" i="12" a="1"/>
  <c r="AE70" i="12"/>
  <c r="AE71" i="12" a="1"/>
  <c r="AE71" i="12" s="1"/>
  <c r="AE72" i="12" a="1"/>
  <c r="AE72" i="12" s="1"/>
  <c r="AE73" i="12" a="1"/>
  <c r="AE73" i="12" s="1"/>
  <c r="AE74" i="12" a="1"/>
  <c r="AE74" i="12" s="1"/>
  <c r="AE75" i="12" a="1"/>
  <c r="AE75" i="12" s="1"/>
  <c r="AE76" i="12" a="1"/>
  <c r="AE76" i="12"/>
  <c r="AE77" i="12" a="1"/>
  <c r="AE77" i="12" s="1"/>
  <c r="AE78" i="12" a="1"/>
  <c r="AE78" i="12" s="1"/>
  <c r="AE79" i="12" a="1"/>
  <c r="AE79" i="12" s="1"/>
  <c r="AE80" i="12" a="1"/>
  <c r="AE80" i="12" s="1"/>
  <c r="AE81" i="12" a="1"/>
  <c r="AE81" i="12" s="1"/>
  <c r="AE82" i="12" a="1"/>
  <c r="AE82" i="12"/>
  <c r="AE83" i="12" a="1"/>
  <c r="AE83" i="12" s="1"/>
  <c r="AE84" i="12" a="1"/>
  <c r="AE84" i="12" s="1"/>
  <c r="AE85" i="12" a="1"/>
  <c r="AE85" i="12" s="1"/>
  <c r="AE86" i="12" a="1"/>
  <c r="AE86" i="12" s="1"/>
  <c r="AE87" i="12" a="1"/>
  <c r="AE87" i="12" s="1"/>
  <c r="AE88" i="12" a="1"/>
  <c r="AE88" i="12"/>
  <c r="AE89" i="12" a="1"/>
  <c r="AE89" i="12" s="1"/>
  <c r="AE90" i="12" a="1"/>
  <c r="AE90" i="12" s="1"/>
  <c r="AE91" i="12" a="1"/>
  <c r="AE91" i="12" s="1"/>
  <c r="AE92" i="12" a="1"/>
  <c r="AE92" i="12" s="1"/>
  <c r="AE93" i="12" a="1"/>
  <c r="AE93" i="12" s="1"/>
  <c r="AE94" i="12" a="1"/>
  <c r="AE94" i="12"/>
  <c r="AE95" i="12" a="1"/>
  <c r="AE95" i="12" s="1"/>
  <c r="AE96" i="12" a="1"/>
  <c r="AE96" i="12" s="1"/>
  <c r="AE97" i="12" a="1"/>
  <c r="AE97" i="12" s="1"/>
  <c r="AE98" i="12" a="1"/>
  <c r="AE98" i="12" s="1"/>
  <c r="AE99" i="12" a="1"/>
  <c r="AE99" i="12" s="1"/>
  <c r="AE100" i="12" a="1"/>
  <c r="AE100" i="12"/>
  <c r="AE101" i="12" a="1"/>
  <c r="AE101" i="12" s="1"/>
  <c r="AE102" i="12" a="1"/>
  <c r="AE102" i="12" s="1"/>
  <c r="AE103" i="12" a="1"/>
  <c r="AE103" i="12" s="1"/>
  <c r="AE104" i="12" a="1"/>
  <c r="AE104" i="12" s="1"/>
  <c r="AE105" i="12" a="1"/>
  <c r="AE105" i="12" s="1"/>
  <c r="AE106" i="12" a="1"/>
  <c r="AE106" i="12"/>
  <c r="AE107" i="12" a="1"/>
  <c r="AE107" i="12" s="1"/>
  <c r="AE108" i="12" a="1"/>
  <c r="AE108" i="12" s="1"/>
  <c r="AE109" i="12" a="1"/>
  <c r="AE109" i="12" s="1"/>
  <c r="AE110" i="12" a="1"/>
  <c r="AE110" i="12" s="1"/>
  <c r="AE111" i="12" a="1"/>
  <c r="AE111" i="12" s="1"/>
  <c r="AE112" i="12" a="1"/>
  <c r="AE112" i="12"/>
  <c r="AE113" i="12" a="1"/>
  <c r="AE113" i="12" s="1"/>
  <c r="AE114" i="12" a="1"/>
  <c r="AE114" i="12" s="1"/>
  <c r="AE115" i="12" a="1"/>
  <c r="AE115" i="12" s="1"/>
  <c r="AE116" i="12" a="1"/>
  <c r="AE116" i="12" s="1"/>
  <c r="AE117" i="12" a="1"/>
  <c r="AE117" i="12" s="1"/>
  <c r="AE118" i="12" a="1"/>
  <c r="AE118" i="12"/>
  <c r="AE119" i="12" a="1"/>
  <c r="AE119" i="12" s="1"/>
  <c r="AE120" i="12" a="1"/>
  <c r="AE120" i="12" s="1"/>
  <c r="AE121" i="12" a="1"/>
  <c r="AE121" i="12" s="1"/>
  <c r="AE122" i="12" a="1"/>
  <c r="AE122" i="12" s="1"/>
  <c r="AE123" i="12" a="1"/>
  <c r="AE123" i="12" s="1"/>
  <c r="AE124" i="12" a="1"/>
  <c r="AE124" i="12"/>
  <c r="AE125" i="12" a="1"/>
  <c r="AE125" i="12" s="1"/>
  <c r="AE126" i="12" a="1"/>
  <c r="AE126" i="12" s="1"/>
  <c r="AE127" i="12" a="1"/>
  <c r="AE127" i="12" s="1"/>
  <c r="AE128" i="12" a="1"/>
  <c r="AE128" i="12" s="1"/>
  <c r="AE129" i="12" a="1"/>
  <c r="AE129" i="12" s="1"/>
  <c r="AE130" i="12" a="1"/>
  <c r="AE130" i="12"/>
  <c r="AE131" i="12" a="1"/>
  <c r="AE131" i="12" s="1"/>
  <c r="AE132" i="12" a="1"/>
  <c r="AE132" i="12" s="1"/>
  <c r="AE133" i="12" a="1"/>
  <c r="AE133" i="12" s="1"/>
  <c r="AE134" i="12" a="1"/>
  <c r="AE134" i="12" s="1"/>
  <c r="AE135" i="12" a="1"/>
  <c r="AE135" i="12" s="1"/>
  <c r="AE136" i="12" a="1"/>
  <c r="AE136" i="12"/>
  <c r="AE137" i="12" a="1"/>
  <c r="AE137" i="12" s="1"/>
  <c r="AE138" i="12" a="1"/>
  <c r="AE138" i="12" s="1"/>
  <c r="AE139" i="12" a="1"/>
  <c r="AE139" i="12" s="1"/>
  <c r="AE140" i="12" a="1"/>
  <c r="AE140" i="12" s="1"/>
  <c r="AE141" i="12" a="1"/>
  <c r="AE141" i="12" s="1"/>
  <c r="AE142" i="12" a="1"/>
  <c r="AE142" i="12"/>
  <c r="AE143" i="12" a="1"/>
  <c r="AE143" i="12" s="1"/>
  <c r="AE144" i="12" a="1"/>
  <c r="AE144" i="12" s="1"/>
  <c r="AE145" i="12" a="1"/>
  <c r="AE145" i="12" s="1"/>
  <c r="AE146" i="12" a="1"/>
  <c r="AE146" i="12" s="1"/>
  <c r="AE147" i="12" a="1"/>
  <c r="AE147" i="12" s="1"/>
  <c r="AE148" i="12" a="1"/>
  <c r="AE148" i="12"/>
  <c r="AE149" i="12" a="1"/>
  <c r="AE149" i="12" s="1"/>
  <c r="AE150" i="12" a="1"/>
  <c r="AE150" i="12" s="1"/>
  <c r="AE151" i="12" a="1"/>
  <c r="AE151" i="12" s="1"/>
  <c r="AE152" i="12" a="1"/>
  <c r="AE152" i="12" s="1"/>
  <c r="AE153" i="12" a="1"/>
  <c r="AE153" i="12" s="1"/>
  <c r="AE154" i="12" a="1"/>
  <c r="AE154" i="12"/>
  <c r="AE155" i="12" a="1"/>
  <c r="AE155" i="12" s="1"/>
  <c r="AE156" i="12" a="1"/>
  <c r="AE156" i="12" s="1"/>
  <c r="AE157" i="12" a="1"/>
  <c r="AE157" i="12" s="1"/>
  <c r="AE158" i="12" a="1"/>
  <c r="AE158" i="12" s="1"/>
  <c r="AE159" i="12" a="1"/>
  <c r="AE159" i="12" s="1"/>
  <c r="AE160" i="12" a="1"/>
  <c r="AE160" i="12"/>
  <c r="AE161" i="12" a="1"/>
  <c r="AE161" i="12" s="1"/>
  <c r="AE162" i="12" a="1"/>
  <c r="AE162" i="12" s="1"/>
  <c r="AE163" i="12" a="1"/>
  <c r="AE163" i="12" s="1"/>
  <c r="AE164" i="12" a="1"/>
  <c r="AE164" i="12" s="1"/>
  <c r="AE165" i="12" a="1"/>
  <c r="AE165" i="12" s="1"/>
  <c r="AE166" i="12" a="1"/>
  <c r="AE166" i="12"/>
  <c r="AE167" i="12" a="1"/>
  <c r="AE167" i="12" s="1"/>
  <c r="AE168" i="12" a="1"/>
  <c r="AE168" i="12" s="1"/>
  <c r="AE169" i="12" a="1"/>
  <c r="AE169" i="12" s="1"/>
  <c r="AE170" i="12" a="1"/>
  <c r="AE170" i="12" s="1"/>
  <c r="AE171" i="12" a="1"/>
  <c r="AE171" i="12" s="1"/>
  <c r="AE172" i="12" a="1"/>
  <c r="AE172" i="12"/>
  <c r="AE173" i="12" a="1"/>
  <c r="AE173" i="12" s="1"/>
  <c r="AE174" i="12" a="1"/>
  <c r="AE174" i="12" s="1"/>
  <c r="AE175" i="12" a="1"/>
  <c r="AE175" i="12" s="1"/>
  <c r="AE176" i="12" a="1"/>
  <c r="AE176" i="12" s="1"/>
  <c r="AE177" i="12" a="1"/>
  <c r="AE177" i="12" s="1"/>
  <c r="AE178" i="12" a="1"/>
  <c r="AE178" i="12"/>
  <c r="AE179" i="12" a="1"/>
  <c r="AE179" i="12" s="1"/>
  <c r="AE180" i="12" a="1"/>
  <c r="AE180" i="12" s="1"/>
  <c r="AE181" i="12" a="1"/>
  <c r="AE181" i="12" s="1"/>
  <c r="AE182" i="12" a="1"/>
  <c r="AE182" i="12" s="1"/>
  <c r="AE183" i="12" a="1"/>
  <c r="AE183" i="12" s="1"/>
  <c r="AE184" i="12" a="1"/>
  <c r="AE184" i="12"/>
  <c r="AE185" i="12" a="1"/>
  <c r="AE185" i="12" s="1"/>
  <c r="AE186" i="12" a="1"/>
  <c r="AE186" i="12" s="1"/>
  <c r="AE187" i="12" a="1"/>
  <c r="AE187" i="12" s="1"/>
  <c r="AE188" i="12" a="1"/>
  <c r="AE188" i="12" s="1"/>
  <c r="AE189" i="12" a="1"/>
  <c r="AE189" i="12" s="1"/>
  <c r="AE190" i="12" a="1"/>
  <c r="AE190" i="12"/>
  <c r="AE191" i="12" a="1"/>
  <c r="AE191" i="12" s="1"/>
  <c r="AE192" i="12" a="1"/>
  <c r="AE192" i="12" s="1"/>
  <c r="AE193" i="12" a="1"/>
  <c r="AE193" i="12" s="1"/>
  <c r="AE194" i="12" a="1"/>
  <c r="AE194" i="12" s="1"/>
  <c r="AE195" i="12" a="1"/>
  <c r="AE195" i="12" s="1"/>
  <c r="AE196" i="12" a="1"/>
  <c r="AE196" i="12"/>
  <c r="AE197" i="12" a="1"/>
  <c r="AE197" i="12" s="1"/>
  <c r="AE198" i="12" a="1"/>
  <c r="AE198" i="12" s="1"/>
  <c r="AE199" i="12" a="1"/>
  <c r="AE199" i="12" s="1"/>
  <c r="AE200" i="12" a="1"/>
  <c r="AE200" i="12" s="1"/>
  <c r="AE201" i="12" a="1"/>
  <c r="AE201" i="12" s="1"/>
  <c r="AE202" i="12" a="1"/>
  <c r="AE202" i="12"/>
  <c r="AE203" i="12" a="1"/>
  <c r="AE203" i="12" s="1"/>
  <c r="AE204" i="12" a="1"/>
  <c r="AE204" i="12" s="1"/>
  <c r="AE205" i="12" a="1"/>
  <c r="AE205" i="12" s="1"/>
  <c r="AE206" i="12" a="1"/>
  <c r="AE206" i="12" s="1"/>
  <c r="AE207" i="12" a="1"/>
  <c r="AE207" i="12" s="1"/>
  <c r="AE208" i="12" a="1"/>
  <c r="AE208" i="12"/>
  <c r="AE209" i="12" a="1"/>
  <c r="AE209" i="12" s="1"/>
  <c r="AE210" i="12" a="1"/>
  <c r="AE210" i="12" s="1"/>
  <c r="AE211" i="12" a="1"/>
  <c r="AE211" i="12" s="1"/>
  <c r="AE212" i="12" a="1"/>
  <c r="AE212" i="12" s="1"/>
  <c r="AE213" i="12" a="1"/>
  <c r="AE213" i="12" s="1"/>
  <c r="AE214" i="12" a="1"/>
  <c r="AE214" i="12"/>
  <c r="AE215" i="12" a="1"/>
  <c r="AE215" i="12" s="1"/>
  <c r="AE216" i="12" a="1"/>
  <c r="AE216" i="12" s="1"/>
  <c r="AE217" i="12" a="1"/>
  <c r="AE217" i="12" s="1"/>
  <c r="AE218" i="12" a="1"/>
  <c r="AE218" i="12" s="1"/>
  <c r="AE219" i="12" a="1"/>
  <c r="AE219" i="12" s="1"/>
  <c r="AE220" i="12" a="1"/>
  <c r="AE220" i="12"/>
  <c r="AE221" i="12" a="1"/>
  <c r="AE221" i="12" s="1"/>
  <c r="AE222" i="12" a="1"/>
  <c r="AE222" i="12" s="1"/>
  <c r="AE223" i="12" a="1"/>
  <c r="AE223" i="12" s="1"/>
  <c r="AE224" i="12" a="1"/>
  <c r="AE224" i="12" s="1"/>
  <c r="AE225" i="12" a="1"/>
  <c r="AE225" i="12" s="1"/>
  <c r="AE226" i="12" a="1"/>
  <c r="AE226" i="12"/>
  <c r="AE227" i="12" a="1"/>
  <c r="AE227" i="12" s="1"/>
  <c r="AE228" i="12" a="1"/>
  <c r="AE228" i="12" s="1"/>
  <c r="AE229" i="12" a="1"/>
  <c r="AE229" i="12" s="1"/>
  <c r="AE230" i="12" a="1"/>
  <c r="AE230" i="12" s="1"/>
  <c r="AE231" i="12" a="1"/>
  <c r="AE231" i="12" s="1"/>
  <c r="AE232" i="12" a="1"/>
  <c r="AE232" i="12"/>
  <c r="AE233" i="12" a="1"/>
  <c r="AE233" i="12" s="1"/>
  <c r="AE234" i="12" a="1"/>
  <c r="AE234" i="12" s="1"/>
  <c r="AE235" i="12" a="1"/>
  <c r="AE235" i="12" s="1"/>
  <c r="AE4" i="12" a="1"/>
  <c r="AE4" i="12" s="1"/>
  <c r="AD5" i="12"/>
  <c r="AD6" i="12"/>
  <c r="AD7" i="12"/>
  <c r="AD8" i="12"/>
  <c r="AD9" i="12"/>
  <c r="AD10" i="12"/>
  <c r="AD11" i="12"/>
  <c r="AD12" i="12"/>
  <c r="AD13" i="12"/>
  <c r="AD14" i="12"/>
  <c r="AD15" i="12"/>
  <c r="AD16" i="12"/>
  <c r="AD17" i="12"/>
  <c r="AD18" i="12"/>
  <c r="AD19" i="12"/>
  <c r="AD20" i="12"/>
  <c r="AD21" i="12"/>
  <c r="AD22" i="12"/>
  <c r="AD23" i="12"/>
  <c r="AD24" i="12"/>
  <c r="AD25" i="12"/>
  <c r="AD26" i="12"/>
  <c r="AD27" i="12"/>
  <c r="AD28" i="12"/>
  <c r="AD29" i="12"/>
  <c r="AD30" i="12"/>
  <c r="AD31" i="12"/>
  <c r="AD32" i="12"/>
  <c r="AD33" i="12"/>
  <c r="AD34" i="12"/>
  <c r="AD35" i="12"/>
  <c r="AD36" i="12"/>
  <c r="AD37" i="12"/>
  <c r="AD38" i="12"/>
  <c r="AD39" i="12"/>
  <c r="AD40" i="12"/>
  <c r="AD41" i="12"/>
  <c r="AD42" i="12"/>
  <c r="AD43" i="12"/>
  <c r="AD44" i="12"/>
  <c r="AD45" i="12"/>
  <c r="AD46" i="12"/>
  <c r="AD47" i="12"/>
  <c r="AD48" i="12"/>
  <c r="AD49" i="12"/>
  <c r="AD50" i="12"/>
  <c r="AD51" i="12"/>
  <c r="AD52" i="12"/>
  <c r="AD53" i="12"/>
  <c r="AD54" i="12"/>
  <c r="AD55" i="12"/>
  <c r="AD56" i="12"/>
  <c r="AD57" i="12"/>
  <c r="AD58" i="12"/>
  <c r="AD59" i="12"/>
  <c r="AD60" i="12"/>
  <c r="AD61" i="12"/>
  <c r="AD62" i="12"/>
  <c r="AD63" i="12"/>
  <c r="AD64" i="12"/>
  <c r="AD65" i="12"/>
  <c r="AD66" i="12"/>
  <c r="AD67" i="12"/>
  <c r="AD68" i="12"/>
  <c r="AD69" i="12"/>
  <c r="AD70" i="12"/>
  <c r="AD71" i="12"/>
  <c r="AD72" i="12"/>
  <c r="AD73" i="12"/>
  <c r="AD74" i="12"/>
  <c r="AD75" i="12"/>
  <c r="AD76" i="12"/>
  <c r="AD77" i="12"/>
  <c r="AD78" i="12"/>
  <c r="AD79" i="12"/>
  <c r="AD80" i="12"/>
  <c r="AD81" i="12"/>
  <c r="AD82" i="12"/>
  <c r="AD83" i="12"/>
  <c r="AD84" i="12"/>
  <c r="AD85" i="12"/>
  <c r="AD86" i="12"/>
  <c r="AD87" i="12"/>
  <c r="AD88" i="12"/>
  <c r="AD89" i="12"/>
  <c r="AD90" i="12"/>
  <c r="AD91" i="12"/>
  <c r="AD92" i="12"/>
  <c r="AD93" i="12"/>
  <c r="AD94" i="12"/>
  <c r="AD95" i="12"/>
  <c r="AD96" i="12"/>
  <c r="AD97" i="12"/>
  <c r="AD98" i="12"/>
  <c r="AD99" i="12"/>
  <c r="AD100" i="12"/>
  <c r="AD101" i="12"/>
  <c r="AD102" i="12"/>
  <c r="AD103" i="12"/>
  <c r="AD104" i="12"/>
  <c r="AD105" i="12"/>
  <c r="AD106" i="12"/>
  <c r="AD107" i="12"/>
  <c r="AD108" i="12"/>
  <c r="AD109" i="12"/>
  <c r="AD110" i="12"/>
  <c r="AD111" i="12"/>
  <c r="AD112" i="12"/>
  <c r="AD113" i="12"/>
  <c r="AD114" i="12"/>
  <c r="AD115" i="12"/>
  <c r="AD116" i="12"/>
  <c r="AD117" i="12"/>
  <c r="AD118" i="12"/>
  <c r="AD119" i="12"/>
  <c r="AD120" i="12"/>
  <c r="AD121" i="12"/>
  <c r="AD122" i="12"/>
  <c r="AD123" i="12"/>
  <c r="AD124" i="12"/>
  <c r="AD125" i="12"/>
  <c r="AD126" i="12"/>
  <c r="AD127" i="12"/>
  <c r="AD128" i="12"/>
  <c r="AD129" i="12"/>
  <c r="AD130" i="12"/>
  <c r="AD131" i="12"/>
  <c r="AD132" i="12"/>
  <c r="AD133" i="12"/>
  <c r="AD134" i="12"/>
  <c r="AD135" i="12"/>
  <c r="AD136" i="12"/>
  <c r="AD137" i="12"/>
  <c r="AD138" i="12"/>
  <c r="AD139" i="12"/>
  <c r="AD140" i="12"/>
  <c r="AD141" i="12"/>
  <c r="AD142" i="12"/>
  <c r="AD143" i="12"/>
  <c r="AD144" i="12"/>
  <c r="AD145" i="12"/>
  <c r="AD146" i="12"/>
  <c r="AD147" i="12"/>
  <c r="AD148" i="12"/>
  <c r="AD149" i="12"/>
  <c r="AD150" i="12"/>
  <c r="AD151" i="12"/>
  <c r="AD152" i="12"/>
  <c r="AD153" i="12"/>
  <c r="AD154" i="12"/>
  <c r="AD155" i="12"/>
  <c r="AD156" i="12"/>
  <c r="AD157" i="12"/>
  <c r="AD158" i="12"/>
  <c r="AD159" i="12"/>
  <c r="AD160" i="12"/>
  <c r="AD161" i="12"/>
  <c r="AD162" i="12"/>
  <c r="AD163" i="12"/>
  <c r="AD164" i="12"/>
  <c r="AD165" i="12"/>
  <c r="AD166" i="12"/>
  <c r="AD167" i="12"/>
  <c r="AD168" i="12"/>
  <c r="AD169" i="12"/>
  <c r="AD170" i="12"/>
  <c r="AD171" i="12"/>
  <c r="AD172" i="12"/>
  <c r="AD173" i="12"/>
  <c r="AD174" i="12"/>
  <c r="AD175" i="12"/>
  <c r="AD176" i="12"/>
  <c r="AD177" i="12"/>
  <c r="AD178" i="12"/>
  <c r="AD179" i="12"/>
  <c r="AD180" i="12"/>
  <c r="AD181" i="12"/>
  <c r="AD182" i="12"/>
  <c r="AD183" i="12"/>
  <c r="AD184" i="12"/>
  <c r="AD185" i="12"/>
  <c r="AD186" i="12"/>
  <c r="AD187" i="12"/>
  <c r="AD188" i="12"/>
  <c r="AD189" i="12"/>
  <c r="AD190" i="12"/>
  <c r="AD191" i="12"/>
  <c r="AD192" i="12"/>
  <c r="AD193" i="12"/>
  <c r="AD194" i="12"/>
  <c r="AD195" i="12"/>
  <c r="AD196" i="12"/>
  <c r="AD197" i="12"/>
  <c r="AD198" i="12"/>
  <c r="AD199" i="12"/>
  <c r="AD200" i="12"/>
  <c r="AD201" i="12"/>
  <c r="AD202" i="12"/>
  <c r="AD203" i="12"/>
  <c r="AD204" i="12"/>
  <c r="AD205" i="12"/>
  <c r="AD206" i="12"/>
  <c r="AD207" i="12"/>
  <c r="AD208" i="12"/>
  <c r="AD209" i="12"/>
  <c r="AD210" i="12"/>
  <c r="AD211" i="12"/>
  <c r="AD212" i="12"/>
  <c r="AD213" i="12"/>
  <c r="AD214" i="12"/>
  <c r="AD215" i="12"/>
  <c r="AD216" i="12"/>
  <c r="AD217" i="12"/>
  <c r="AD218" i="12"/>
  <c r="AD219" i="12"/>
  <c r="AD220" i="12"/>
  <c r="AD221" i="12"/>
  <c r="AD222" i="12"/>
  <c r="AD223" i="12"/>
  <c r="AD224" i="12"/>
  <c r="AD225" i="12"/>
  <c r="AD226" i="12"/>
  <c r="AD227" i="12"/>
  <c r="AD228" i="12"/>
  <c r="AD229" i="12"/>
  <c r="AD230" i="12"/>
  <c r="AD231" i="12"/>
  <c r="AD232" i="12"/>
  <c r="AD233" i="12"/>
  <c r="AD234" i="12"/>
  <c r="AD235" i="12"/>
  <c r="AD4" i="12"/>
  <c r="AC5" i="12" a="1"/>
  <c r="AC5" i="12" s="1"/>
  <c r="AC6" i="12" a="1"/>
  <c r="AC6" i="12" s="1"/>
  <c r="AC7" i="12" a="1"/>
  <c r="AC7" i="12" s="1"/>
  <c r="AC8" i="12" a="1"/>
  <c r="AC8" i="12" s="1"/>
  <c r="AC9" i="12" a="1"/>
  <c r="AC9" i="12" s="1"/>
  <c r="AC10" i="12" a="1"/>
  <c r="AC10" i="12"/>
  <c r="AC11" i="12" a="1"/>
  <c r="AC11" i="12" s="1"/>
  <c r="AC12" i="12" a="1"/>
  <c r="AC12" i="12" s="1"/>
  <c r="AC13" i="12" a="1"/>
  <c r="AC13" i="12" s="1"/>
  <c r="AC14" i="12" a="1"/>
  <c r="AC14" i="12" s="1"/>
  <c r="AC15" i="12" a="1"/>
  <c r="AC15" i="12" s="1"/>
  <c r="AC16" i="12" a="1"/>
  <c r="AC16" i="12"/>
  <c r="AC17" i="12" a="1"/>
  <c r="AC17" i="12" s="1"/>
  <c r="AC18" i="12" a="1"/>
  <c r="AC18" i="12" s="1"/>
  <c r="AC19" i="12" a="1"/>
  <c r="AC19" i="12" s="1"/>
  <c r="AC20" i="12" a="1"/>
  <c r="AC20" i="12" s="1"/>
  <c r="AC21" i="12" a="1"/>
  <c r="AC21" i="12" s="1"/>
  <c r="AC22" i="12" a="1"/>
  <c r="AC22" i="12"/>
  <c r="AC23" i="12" a="1"/>
  <c r="AC23" i="12" s="1"/>
  <c r="AC24" i="12" a="1"/>
  <c r="AC24" i="12" s="1"/>
  <c r="AC25" i="12" a="1"/>
  <c r="AC25" i="12" s="1"/>
  <c r="AC26" i="12" a="1"/>
  <c r="AC26" i="12" s="1"/>
  <c r="AC27" i="12" a="1"/>
  <c r="AC27" i="12" s="1"/>
  <c r="AC28" i="12" a="1"/>
  <c r="AC28" i="12"/>
  <c r="AC29" i="12" a="1"/>
  <c r="AC29" i="12" s="1"/>
  <c r="AC30" i="12" a="1"/>
  <c r="AC30" i="12" s="1"/>
  <c r="AC31" i="12" a="1"/>
  <c r="AC31" i="12" s="1"/>
  <c r="AC32" i="12" a="1"/>
  <c r="AC32" i="12" s="1"/>
  <c r="AC33" i="12" a="1"/>
  <c r="AC33" i="12" s="1"/>
  <c r="AC34" i="12" a="1"/>
  <c r="AC34" i="12"/>
  <c r="AC35" i="12" a="1"/>
  <c r="AC35" i="12" s="1"/>
  <c r="AC36" i="12" a="1"/>
  <c r="AC36" i="12" s="1"/>
  <c r="AC37" i="12" a="1"/>
  <c r="AC37" i="12" s="1"/>
  <c r="AC38" i="12" a="1"/>
  <c r="AC38" i="12" s="1"/>
  <c r="AC39" i="12" a="1"/>
  <c r="AC39" i="12" s="1"/>
  <c r="AC40" i="12" a="1"/>
  <c r="AC40" i="12"/>
  <c r="AC41" i="12" a="1"/>
  <c r="AC41" i="12" s="1"/>
  <c r="AC42" i="12" a="1"/>
  <c r="AC42" i="12" s="1"/>
  <c r="AC43" i="12" a="1"/>
  <c r="AC43" i="12" s="1"/>
  <c r="AC44" i="12" a="1"/>
  <c r="AC44" i="12" s="1"/>
  <c r="AC45" i="12" a="1"/>
  <c r="AC45" i="12" s="1"/>
  <c r="AC46" i="12" a="1"/>
  <c r="AC46" i="12"/>
  <c r="AC47" i="12" a="1"/>
  <c r="AC47" i="12" s="1"/>
  <c r="AC48" i="12" a="1"/>
  <c r="AC48" i="12" s="1"/>
  <c r="AC49" i="12" a="1"/>
  <c r="AC49" i="12" s="1"/>
  <c r="AC50" i="12" a="1"/>
  <c r="AC50" i="12" s="1"/>
  <c r="AC51" i="12" a="1"/>
  <c r="AC51" i="12" s="1"/>
  <c r="AC52" i="12" a="1"/>
  <c r="AC52" i="12"/>
  <c r="AC53" i="12" a="1"/>
  <c r="AC53" i="12" s="1"/>
  <c r="AC54" i="12" a="1"/>
  <c r="AC54" i="12" s="1"/>
  <c r="AC55" i="12" a="1"/>
  <c r="AC55" i="12" s="1"/>
  <c r="AC57" i="12" a="1"/>
  <c r="AC57" i="12" s="1"/>
  <c r="AC58" i="12" a="1"/>
  <c r="AC58" i="12"/>
  <c r="AC59" i="12" a="1"/>
  <c r="AC59" i="12" s="1"/>
  <c r="AC60" i="12" a="1"/>
  <c r="AC60" i="12" s="1"/>
  <c r="AC61" i="12" a="1"/>
  <c r="AC61" i="12" s="1"/>
  <c r="AC62" i="12" a="1"/>
  <c r="AC62" i="12" s="1"/>
  <c r="AC63" i="12" a="1"/>
  <c r="AC63" i="12" s="1"/>
  <c r="AC64" i="12" a="1"/>
  <c r="AC64" i="12"/>
  <c r="AC65" i="12" a="1"/>
  <c r="AC65" i="12" s="1"/>
  <c r="AC66" i="12" a="1"/>
  <c r="AC66" i="12" s="1"/>
  <c r="AC67" i="12" a="1"/>
  <c r="AC67" i="12" s="1"/>
  <c r="AC68" i="12" a="1"/>
  <c r="AC68" i="12" s="1"/>
  <c r="AC69" i="12" a="1"/>
  <c r="AC69" i="12" s="1"/>
  <c r="AC70" i="12" a="1"/>
  <c r="AC70" i="12"/>
  <c r="AC71" i="12" a="1"/>
  <c r="AC71" i="12" s="1"/>
  <c r="AC72" i="12" a="1"/>
  <c r="AC72" i="12" s="1"/>
  <c r="AC73" i="12" a="1"/>
  <c r="AC73" i="12" s="1"/>
  <c r="AC74" i="12" a="1"/>
  <c r="AC74" i="12" s="1"/>
  <c r="AC75" i="12" a="1"/>
  <c r="AC75" i="12" s="1"/>
  <c r="AC76" i="12" a="1"/>
  <c r="AC76" i="12"/>
  <c r="AC77" i="12" a="1"/>
  <c r="AC77" i="12" s="1"/>
  <c r="AC78" i="12" a="1"/>
  <c r="AC78" i="12" s="1"/>
  <c r="AC79" i="12" a="1"/>
  <c r="AC79" i="12" s="1"/>
  <c r="AC80" i="12" a="1"/>
  <c r="AC80" i="12" s="1"/>
  <c r="AC81" i="12" a="1"/>
  <c r="AC81" i="12" s="1"/>
  <c r="AC82" i="12" a="1"/>
  <c r="AC82" i="12"/>
  <c r="AC83" i="12" a="1"/>
  <c r="AC83" i="12" s="1"/>
  <c r="AC84" i="12" a="1"/>
  <c r="AC84" i="12" s="1"/>
  <c r="AC85" i="12" a="1"/>
  <c r="AC85" i="12" s="1"/>
  <c r="AC86" i="12" a="1"/>
  <c r="AC86" i="12" s="1"/>
  <c r="AC87" i="12" a="1"/>
  <c r="AC87" i="12" s="1"/>
  <c r="AC88" i="12" a="1"/>
  <c r="AC88" i="12"/>
  <c r="AC89" i="12" a="1"/>
  <c r="AC89" i="12" s="1"/>
  <c r="AC90" i="12" a="1"/>
  <c r="AC90" i="12" s="1"/>
  <c r="AC91" i="12" a="1"/>
  <c r="AC91" i="12" s="1"/>
  <c r="AC92" i="12" a="1"/>
  <c r="AC92" i="12" s="1"/>
  <c r="AC93" i="12" a="1"/>
  <c r="AC93" i="12" s="1"/>
  <c r="AC94" i="12" a="1"/>
  <c r="AC94" i="12"/>
  <c r="AC95" i="12" a="1"/>
  <c r="AC95" i="12" s="1"/>
  <c r="AC96" i="12" a="1"/>
  <c r="AC96" i="12" s="1"/>
  <c r="AC97" i="12" a="1"/>
  <c r="AC97" i="12" s="1"/>
  <c r="AC98" i="12" a="1"/>
  <c r="AC98" i="12" s="1"/>
  <c r="AC99" i="12" a="1"/>
  <c r="AC99" i="12" s="1"/>
  <c r="AC100" i="12" a="1"/>
  <c r="AC100" i="12"/>
  <c r="AC101" i="12" a="1"/>
  <c r="AC101" i="12" s="1"/>
  <c r="AC102" i="12" a="1"/>
  <c r="AC102" i="12" s="1"/>
  <c r="AC103" i="12" a="1"/>
  <c r="AC103" i="12" s="1"/>
  <c r="AC104" i="12" a="1"/>
  <c r="AC104" i="12" s="1"/>
  <c r="AC105" i="12" a="1"/>
  <c r="AC105" i="12" s="1"/>
  <c r="AC106" i="12" a="1"/>
  <c r="AC106" i="12"/>
  <c r="AC107" i="12" a="1"/>
  <c r="AC107" i="12" s="1"/>
  <c r="AC108" i="12" a="1"/>
  <c r="AC108" i="12" s="1"/>
  <c r="AC109" i="12" a="1"/>
  <c r="AC109" i="12" s="1"/>
  <c r="AC110" i="12" a="1"/>
  <c r="AC110" i="12" s="1"/>
  <c r="AC111" i="12" a="1"/>
  <c r="AC111" i="12" s="1"/>
  <c r="AC112" i="12" a="1"/>
  <c r="AC112" i="12"/>
  <c r="AC113" i="12" a="1"/>
  <c r="AC113" i="12" s="1"/>
  <c r="AC114" i="12" a="1"/>
  <c r="AC114" i="12" s="1"/>
  <c r="AC115" i="12" a="1"/>
  <c r="AC115" i="12" s="1"/>
  <c r="AC116" i="12" a="1"/>
  <c r="AC116" i="12" s="1"/>
  <c r="AC117" i="12" a="1"/>
  <c r="AC117" i="12" s="1"/>
  <c r="AC118" i="12" a="1"/>
  <c r="AC118" i="12"/>
  <c r="AC119" i="12" a="1"/>
  <c r="AC119" i="12" s="1"/>
  <c r="AC120" i="12" a="1"/>
  <c r="AC120" i="12" s="1"/>
  <c r="AC121" i="12" a="1"/>
  <c r="AC121" i="12" s="1"/>
  <c r="AC122" i="12" a="1"/>
  <c r="AC122" i="12" s="1"/>
  <c r="AC123" i="12" a="1"/>
  <c r="AC123" i="12" s="1"/>
  <c r="AC124" i="12" a="1"/>
  <c r="AC124" i="12"/>
  <c r="AC125" i="12" a="1"/>
  <c r="AC125" i="12" s="1"/>
  <c r="AC126" i="12" a="1"/>
  <c r="AC126" i="12" s="1"/>
  <c r="AC127" i="12" a="1"/>
  <c r="AC127" i="12" s="1"/>
  <c r="AC128" i="12" a="1"/>
  <c r="AC128" i="12" s="1"/>
  <c r="AC129" i="12" a="1"/>
  <c r="AC129" i="12" s="1"/>
  <c r="AC130" i="12" a="1"/>
  <c r="AC130" i="12"/>
  <c r="AC131" i="12" a="1"/>
  <c r="AC131" i="12" s="1"/>
  <c r="AC132" i="12" a="1"/>
  <c r="AC132" i="12" s="1"/>
  <c r="AC133" i="12" a="1"/>
  <c r="AC133" i="12" s="1"/>
  <c r="AC134" i="12" a="1"/>
  <c r="AC134" i="12" s="1"/>
  <c r="AC135" i="12" a="1"/>
  <c r="AC135" i="12" s="1"/>
  <c r="AC136" i="12" a="1"/>
  <c r="AC136" i="12"/>
  <c r="AC137" i="12" a="1"/>
  <c r="AC137" i="12" s="1"/>
  <c r="AC138" i="12" a="1"/>
  <c r="AC138" i="12" s="1"/>
  <c r="AC139" i="12" a="1"/>
  <c r="AC139" i="12" s="1"/>
  <c r="AC140" i="12" a="1"/>
  <c r="AC140" i="12" s="1"/>
  <c r="AC141" i="12" a="1"/>
  <c r="AC141" i="12" s="1"/>
  <c r="AC142" i="12" a="1"/>
  <c r="AC142" i="12"/>
  <c r="AC143" i="12" a="1"/>
  <c r="AC143" i="12" s="1"/>
  <c r="AC144" i="12" a="1"/>
  <c r="AC144" i="12" s="1"/>
  <c r="AC145" i="12" a="1"/>
  <c r="AC145" i="12" s="1"/>
  <c r="AC146" i="12" a="1"/>
  <c r="AC146" i="12" s="1"/>
  <c r="AC147" i="12" a="1"/>
  <c r="AC147" i="12" s="1"/>
  <c r="AC148" i="12" a="1"/>
  <c r="AC148" i="12"/>
  <c r="AC149" i="12" a="1"/>
  <c r="AC149" i="12" s="1"/>
  <c r="AC150" i="12" a="1"/>
  <c r="AC150" i="12" s="1"/>
  <c r="AC151" i="12" a="1"/>
  <c r="AC151" i="12" s="1"/>
  <c r="AC152" i="12" a="1"/>
  <c r="AC152" i="12" s="1"/>
  <c r="AC153" i="12" a="1"/>
  <c r="AC153" i="12" s="1"/>
  <c r="AC154" i="12" a="1"/>
  <c r="AC154" i="12"/>
  <c r="AC155" i="12" a="1"/>
  <c r="AC155" i="12" s="1"/>
  <c r="AC156" i="12" a="1"/>
  <c r="AC156" i="12" s="1"/>
  <c r="AC157" i="12" a="1"/>
  <c r="AC157" i="12" s="1"/>
  <c r="AC158" i="12" a="1"/>
  <c r="AC158" i="12" s="1"/>
  <c r="AC159" i="12" a="1"/>
  <c r="AC159" i="12" s="1"/>
  <c r="AC160" i="12" a="1"/>
  <c r="AC160" i="12"/>
  <c r="AC161" i="12" a="1"/>
  <c r="AC161" i="12" s="1"/>
  <c r="AC162" i="12" a="1"/>
  <c r="AC162" i="12" s="1"/>
  <c r="AC163" i="12" a="1"/>
  <c r="AC163" i="12" s="1"/>
  <c r="AC164" i="12" a="1"/>
  <c r="AC164" i="12" s="1"/>
  <c r="AC165" i="12" a="1"/>
  <c r="AC165" i="12" s="1"/>
  <c r="AC166" i="12" a="1"/>
  <c r="AC166" i="12"/>
  <c r="AC167" i="12" a="1"/>
  <c r="AC167" i="12" s="1"/>
  <c r="AC168" i="12" a="1"/>
  <c r="AC168" i="12" s="1"/>
  <c r="AC169" i="12" a="1"/>
  <c r="AC169" i="12" s="1"/>
  <c r="AC170" i="12" a="1"/>
  <c r="AC170" i="12" s="1"/>
  <c r="AC171" i="12" a="1"/>
  <c r="AC171" i="12" s="1"/>
  <c r="AC172" i="12" a="1"/>
  <c r="AC172" i="12"/>
  <c r="AC173" i="12" a="1"/>
  <c r="AC173" i="12" s="1"/>
  <c r="AC174" i="12" a="1"/>
  <c r="AC174" i="12" s="1"/>
  <c r="AC175" i="12" a="1"/>
  <c r="AC175" i="12" s="1"/>
  <c r="AC176" i="12" a="1"/>
  <c r="AC176" i="12" s="1"/>
  <c r="AC177" i="12" a="1"/>
  <c r="AC177" i="12" s="1"/>
  <c r="AC178" i="12" a="1"/>
  <c r="AC178" i="12"/>
  <c r="AC179" i="12" a="1"/>
  <c r="AC179" i="12" s="1"/>
  <c r="AC180" i="12" a="1"/>
  <c r="AC180" i="12" s="1"/>
  <c r="AC181" i="12" a="1"/>
  <c r="AC181" i="12" s="1"/>
  <c r="AC182" i="12" a="1"/>
  <c r="AC182" i="12" s="1"/>
  <c r="AC183" i="12" a="1"/>
  <c r="AC183" i="12" s="1"/>
  <c r="AC184" i="12" a="1"/>
  <c r="AC184" i="12"/>
  <c r="AC185" i="12" a="1"/>
  <c r="AC185" i="12" s="1"/>
  <c r="AC186" i="12" a="1"/>
  <c r="AC186" i="12" s="1"/>
  <c r="AC187" i="12" a="1"/>
  <c r="AC187" i="12" s="1"/>
  <c r="AC188" i="12" a="1"/>
  <c r="AC188" i="12" s="1"/>
  <c r="AC189" i="12" a="1"/>
  <c r="AC189" i="12" s="1"/>
  <c r="AC190" i="12" a="1"/>
  <c r="AC190" i="12"/>
  <c r="AC191" i="12" a="1"/>
  <c r="AC191" i="12" s="1"/>
  <c r="AC192" i="12" a="1"/>
  <c r="AC192" i="12" s="1"/>
  <c r="AC193" i="12" a="1"/>
  <c r="AC193" i="12" s="1"/>
  <c r="AC194" i="12" a="1"/>
  <c r="AC194" i="12" s="1"/>
  <c r="AC195" i="12" a="1"/>
  <c r="AC195" i="12" s="1"/>
  <c r="AC196" i="12" a="1"/>
  <c r="AC196" i="12"/>
  <c r="AC197" i="12" a="1"/>
  <c r="AC197" i="12" s="1"/>
  <c r="AC198" i="12" a="1"/>
  <c r="AC198" i="12" s="1"/>
  <c r="AC199" i="12" a="1"/>
  <c r="AC199" i="12" s="1"/>
  <c r="AC200" i="12" a="1"/>
  <c r="AC200" i="12" s="1"/>
  <c r="AC201" i="12" a="1"/>
  <c r="AC201" i="12" s="1"/>
  <c r="AC202" i="12" a="1"/>
  <c r="AC202" i="12"/>
  <c r="AC203" i="12" a="1"/>
  <c r="AC203" i="12" s="1"/>
  <c r="AC204" i="12" a="1"/>
  <c r="AC204" i="12" s="1"/>
  <c r="AC205" i="12" a="1"/>
  <c r="AC205" i="12" s="1"/>
  <c r="AC206" i="12" a="1"/>
  <c r="AC206" i="12" s="1"/>
  <c r="AC207" i="12" a="1"/>
  <c r="AC207" i="12" s="1"/>
  <c r="AC208" i="12" a="1"/>
  <c r="AC208" i="12"/>
  <c r="AC209" i="12" a="1"/>
  <c r="AC209" i="12" s="1"/>
  <c r="AC210" i="12" a="1"/>
  <c r="AC210" i="12" s="1"/>
  <c r="AC211" i="12" a="1"/>
  <c r="AC211" i="12" s="1"/>
  <c r="AC212" i="12" a="1"/>
  <c r="AC212" i="12" s="1"/>
  <c r="AC213" i="12" a="1"/>
  <c r="AC213" i="12" s="1"/>
  <c r="AC214" i="12" a="1"/>
  <c r="AC214" i="12"/>
  <c r="AC215" i="12" a="1"/>
  <c r="AC215" i="12" s="1"/>
  <c r="AC216" i="12" a="1"/>
  <c r="AC216" i="12" s="1"/>
  <c r="AC217" i="12" a="1"/>
  <c r="AC217" i="12" s="1"/>
  <c r="AC218" i="12" a="1"/>
  <c r="AC218" i="12" s="1"/>
  <c r="AC219" i="12" a="1"/>
  <c r="AC219" i="12" s="1"/>
  <c r="AC220" i="12" a="1"/>
  <c r="AC220" i="12"/>
  <c r="AC221" i="12" a="1"/>
  <c r="AC221" i="12" s="1"/>
  <c r="AC222" i="12" a="1"/>
  <c r="AC222" i="12" s="1"/>
  <c r="AC223" i="12" a="1"/>
  <c r="AC223" i="12" s="1"/>
  <c r="AC224" i="12" a="1"/>
  <c r="AC224" i="12" s="1"/>
  <c r="AC225" i="12" a="1"/>
  <c r="AC225" i="12" s="1"/>
  <c r="AC226" i="12" a="1"/>
  <c r="AC226" i="12"/>
  <c r="AC227" i="12" a="1"/>
  <c r="AC227" i="12" s="1"/>
  <c r="AC228" i="12" a="1"/>
  <c r="AC228" i="12" s="1"/>
  <c r="AC229" i="12" a="1"/>
  <c r="AC229" i="12" s="1"/>
  <c r="AC230" i="12" a="1"/>
  <c r="AC230" i="12" s="1"/>
  <c r="AC231" i="12" a="1"/>
  <c r="AC231" i="12" s="1"/>
  <c r="AC232" i="12" a="1"/>
  <c r="AC232" i="12"/>
  <c r="AC233" i="12" a="1"/>
  <c r="AC233" i="12" s="1"/>
  <c r="AC234" i="12" a="1"/>
  <c r="AC234" i="12" s="1"/>
  <c r="AC235" i="12" a="1"/>
  <c r="AC235" i="12" s="1"/>
  <c r="AA5" i="12"/>
  <c r="AA6" i="12"/>
  <c r="AA7" i="12"/>
  <c r="AA8" i="12"/>
  <c r="AA9" i="12"/>
  <c r="AA10" i="12"/>
  <c r="AA11" i="12"/>
  <c r="AA12" i="12"/>
  <c r="AA13" i="12"/>
  <c r="AA14" i="12"/>
  <c r="AA15" i="12"/>
  <c r="AA16" i="12"/>
  <c r="AA17" i="12"/>
  <c r="AA18" i="12"/>
  <c r="AA19" i="12"/>
  <c r="AA20" i="12"/>
  <c r="AA21" i="12"/>
  <c r="AA22" i="12"/>
  <c r="AA23" i="12"/>
  <c r="AA24" i="12"/>
  <c r="AA25" i="12"/>
  <c r="AA26" i="12"/>
  <c r="AA27" i="12"/>
  <c r="AA28" i="12"/>
  <c r="AA29" i="12"/>
  <c r="AA30" i="12"/>
  <c r="AA31" i="12"/>
  <c r="AA32" i="12"/>
  <c r="AA33" i="12"/>
  <c r="AA34" i="12"/>
  <c r="AA35" i="12"/>
  <c r="AA36" i="12"/>
  <c r="AA37" i="12"/>
  <c r="AA38" i="12"/>
  <c r="AA39" i="12"/>
  <c r="AA40" i="12"/>
  <c r="AA41" i="12"/>
  <c r="AA42" i="12"/>
  <c r="AA43" i="12"/>
  <c r="AA44" i="12"/>
  <c r="AA45" i="12"/>
  <c r="AA46" i="12"/>
  <c r="AA47" i="12"/>
  <c r="AA48" i="12"/>
  <c r="AA49" i="12"/>
  <c r="AA50" i="12"/>
  <c r="AA51" i="12"/>
  <c r="AA52" i="12"/>
  <c r="AA53" i="12"/>
  <c r="AA54" i="12"/>
  <c r="AA55" i="12"/>
  <c r="AC56" i="12" a="1"/>
  <c r="AC56" i="12" s="1"/>
  <c r="AA57" i="12"/>
  <c r="AA58" i="12"/>
  <c r="AA59" i="12"/>
  <c r="AA60" i="12"/>
  <c r="AA61" i="12"/>
  <c r="AA62" i="12"/>
  <c r="AA63" i="12"/>
  <c r="AA64" i="12"/>
  <c r="AA65" i="12"/>
  <c r="AA66" i="12"/>
  <c r="AA67" i="12"/>
  <c r="AA68" i="12"/>
  <c r="AA69" i="12"/>
  <c r="AA70" i="12"/>
  <c r="AA71" i="12"/>
  <c r="AA72" i="12"/>
  <c r="AA73" i="12"/>
  <c r="AA74" i="12"/>
  <c r="AA75" i="12"/>
  <c r="AA76" i="12"/>
  <c r="AA77" i="12"/>
  <c r="AA78" i="12"/>
  <c r="AA79" i="12"/>
  <c r="AA80" i="12"/>
  <c r="AA81" i="12"/>
  <c r="AA82" i="12"/>
  <c r="AA83" i="12"/>
  <c r="AA84" i="12"/>
  <c r="AA85" i="12"/>
  <c r="AA86" i="12"/>
  <c r="AA87" i="12"/>
  <c r="AA88" i="12"/>
  <c r="AA89" i="12"/>
  <c r="AA90" i="12"/>
  <c r="AA91" i="12"/>
  <c r="AA92" i="12"/>
  <c r="AA93" i="12"/>
  <c r="AA94" i="12"/>
  <c r="AA95" i="12"/>
  <c r="AA96" i="12"/>
  <c r="AA97" i="12"/>
  <c r="AA98" i="12"/>
  <c r="AA99" i="12"/>
  <c r="AA100" i="12"/>
  <c r="AA101" i="12"/>
  <c r="AA102" i="12"/>
  <c r="AA103" i="12"/>
  <c r="AA104" i="12"/>
  <c r="AA105" i="12"/>
  <c r="AA106" i="12"/>
  <c r="AA107" i="12"/>
  <c r="AA108" i="12"/>
  <c r="AA109" i="12"/>
  <c r="AA110" i="12"/>
  <c r="AA111" i="12"/>
  <c r="AA112" i="12"/>
  <c r="AA113" i="12"/>
  <c r="AA114" i="12"/>
  <c r="AA115" i="12"/>
  <c r="AA116" i="12"/>
  <c r="AA117" i="12"/>
  <c r="AA118" i="12"/>
  <c r="AA119" i="12"/>
  <c r="AA120" i="12"/>
  <c r="AA121" i="12"/>
  <c r="AA122" i="12"/>
  <c r="AA123" i="12"/>
  <c r="AA124" i="12"/>
  <c r="AA125" i="12"/>
  <c r="AA126" i="12"/>
  <c r="AA127" i="12"/>
  <c r="AA128" i="12"/>
  <c r="AA129" i="12"/>
  <c r="AA130" i="12"/>
  <c r="AA131" i="12"/>
  <c r="AA132" i="12"/>
  <c r="AA133" i="12"/>
  <c r="AA134" i="12"/>
  <c r="AA135" i="12"/>
  <c r="AA136" i="12"/>
  <c r="AA137" i="12"/>
  <c r="AA138" i="12"/>
  <c r="AA139" i="12"/>
  <c r="AA140" i="12"/>
  <c r="AA141" i="12"/>
  <c r="AA142" i="12"/>
  <c r="AA143" i="12"/>
  <c r="AA144" i="12"/>
  <c r="AA145" i="12"/>
  <c r="AA146" i="12"/>
  <c r="AA147" i="12"/>
  <c r="AA148" i="12"/>
  <c r="AA149" i="12"/>
  <c r="AA150" i="12"/>
  <c r="AA151" i="12"/>
  <c r="AA152" i="12"/>
  <c r="AA153" i="12"/>
  <c r="AA154" i="12"/>
  <c r="AA155" i="12"/>
  <c r="AA156" i="12"/>
  <c r="AA157" i="12"/>
  <c r="AA158" i="12"/>
  <c r="AA159" i="12"/>
  <c r="AA160" i="12"/>
  <c r="AA161" i="12"/>
  <c r="AA162" i="12"/>
  <c r="AA163" i="12"/>
  <c r="AA164" i="12"/>
  <c r="AA165" i="12"/>
  <c r="AA166" i="12"/>
  <c r="AA167" i="12"/>
  <c r="AA168" i="12"/>
  <c r="AA169" i="12"/>
  <c r="AA170" i="12"/>
  <c r="AA171" i="12"/>
  <c r="AA172" i="12"/>
  <c r="AA173" i="12"/>
  <c r="AA174" i="12"/>
  <c r="AA175" i="12"/>
  <c r="AA176" i="12"/>
  <c r="AA177" i="12"/>
  <c r="AA178" i="12"/>
  <c r="AA179" i="12"/>
  <c r="AA180" i="12"/>
  <c r="AA181" i="12"/>
  <c r="AA182" i="12"/>
  <c r="AA183" i="12"/>
  <c r="AA184" i="12"/>
  <c r="AA185" i="12"/>
  <c r="AA186" i="12"/>
  <c r="AA187" i="12"/>
  <c r="AA188" i="12"/>
  <c r="AA189" i="12"/>
  <c r="AA190" i="12"/>
  <c r="AA191" i="12"/>
  <c r="AA192" i="12"/>
  <c r="AA193" i="12"/>
  <c r="AA194" i="12"/>
  <c r="AA195" i="12"/>
  <c r="AA196" i="12"/>
  <c r="AA197" i="12"/>
  <c r="AA198" i="12"/>
  <c r="AA199" i="12"/>
  <c r="AA200" i="12"/>
  <c r="AA201" i="12"/>
  <c r="AA202" i="12"/>
  <c r="AA203" i="12"/>
  <c r="AA204" i="12"/>
  <c r="AA205" i="12"/>
  <c r="AA206" i="12"/>
  <c r="AA207" i="12"/>
  <c r="AA208" i="12"/>
  <c r="AA209" i="12"/>
  <c r="AA210" i="12"/>
  <c r="AA211" i="12"/>
  <c r="AA212" i="12"/>
  <c r="AA213" i="12"/>
  <c r="AA214" i="12"/>
  <c r="AA215" i="12"/>
  <c r="AA216" i="12"/>
  <c r="AA217" i="12"/>
  <c r="AA218" i="12"/>
  <c r="AA219" i="12"/>
  <c r="AA220" i="12"/>
  <c r="AA221" i="12"/>
  <c r="AA222" i="12"/>
  <c r="AA223" i="12"/>
  <c r="AA224" i="12"/>
  <c r="AA225" i="12"/>
  <c r="AA226" i="12"/>
  <c r="AA227" i="12"/>
  <c r="AA228" i="12"/>
  <c r="AA229" i="12"/>
  <c r="AA230" i="12"/>
  <c r="AA231" i="12"/>
  <c r="AA232" i="12"/>
  <c r="AA233" i="12"/>
  <c r="AA234" i="12"/>
  <c r="AA235" i="12"/>
  <c r="Z235" i="12"/>
  <c r="Z5" i="12"/>
  <c r="Z6" i="12"/>
  <c r="Z7" i="12"/>
  <c r="Z8" i="12"/>
  <c r="Z9" i="12"/>
  <c r="Z10" i="12"/>
  <c r="Z11" i="12"/>
  <c r="Z12" i="12"/>
  <c r="Z13" i="12"/>
  <c r="Z14" i="12"/>
  <c r="Z15" i="12"/>
  <c r="Z16" i="12"/>
  <c r="Z17" i="12"/>
  <c r="Z18" i="12"/>
  <c r="Z19" i="12"/>
  <c r="Z20" i="12"/>
  <c r="Z21" i="12"/>
  <c r="Z22" i="12"/>
  <c r="Z23" i="12"/>
  <c r="Z24" i="12"/>
  <c r="Z25" i="12"/>
  <c r="Z26" i="12"/>
  <c r="Z27" i="12"/>
  <c r="Z28" i="12"/>
  <c r="Z29" i="12"/>
  <c r="Z30" i="12"/>
  <c r="Z31" i="12"/>
  <c r="Z32" i="12"/>
  <c r="Z33" i="12"/>
  <c r="Z34" i="12"/>
  <c r="Z35" i="12"/>
  <c r="Z36" i="12"/>
  <c r="Z37" i="12"/>
  <c r="Z38" i="12"/>
  <c r="Z39" i="12"/>
  <c r="Z40" i="12"/>
  <c r="Z41" i="12"/>
  <c r="Z42" i="12"/>
  <c r="Z43" i="12"/>
  <c r="Z44" i="12"/>
  <c r="Z45" i="12"/>
  <c r="Z46" i="12"/>
  <c r="Z47" i="12"/>
  <c r="Z48" i="12"/>
  <c r="Z49" i="12"/>
  <c r="Z50" i="12"/>
  <c r="Z51" i="12"/>
  <c r="Z52" i="12"/>
  <c r="Z53" i="12"/>
  <c r="Z54" i="12"/>
  <c r="Z55" i="12"/>
  <c r="Z57" i="12"/>
  <c r="Z58" i="12"/>
  <c r="Z59" i="12"/>
  <c r="Z60" i="12"/>
  <c r="Z61" i="12"/>
  <c r="Z62" i="12"/>
  <c r="Z63" i="12"/>
  <c r="Z64" i="12"/>
  <c r="Z65" i="12"/>
  <c r="Z66" i="12"/>
  <c r="Z67" i="12"/>
  <c r="Z68" i="12"/>
  <c r="Z69" i="12"/>
  <c r="Z70" i="12"/>
  <c r="Z71" i="12"/>
  <c r="Z72" i="12"/>
  <c r="Z73" i="12"/>
  <c r="Z74" i="12"/>
  <c r="Z75" i="12"/>
  <c r="Z76" i="12"/>
  <c r="Z77" i="12"/>
  <c r="Z78" i="12"/>
  <c r="Z79" i="12"/>
  <c r="Z80" i="12"/>
  <c r="Z81" i="12"/>
  <c r="Z82" i="12"/>
  <c r="Z83" i="12"/>
  <c r="Z84" i="12"/>
  <c r="Z85" i="12"/>
  <c r="Z86" i="12"/>
  <c r="Z87" i="12"/>
  <c r="Z88" i="12"/>
  <c r="Z89" i="12"/>
  <c r="Z90" i="12"/>
  <c r="Z91" i="12"/>
  <c r="Z92" i="12"/>
  <c r="Z93" i="12"/>
  <c r="Z94" i="12"/>
  <c r="Z95" i="12"/>
  <c r="Z96" i="12"/>
  <c r="Z97" i="12"/>
  <c r="Z98" i="12"/>
  <c r="Z99" i="12"/>
  <c r="Z100" i="12"/>
  <c r="Z101" i="12"/>
  <c r="Z102" i="12"/>
  <c r="Z103" i="12"/>
  <c r="Z104" i="12"/>
  <c r="Z105" i="12"/>
  <c r="Z106" i="12"/>
  <c r="Z107" i="12"/>
  <c r="Z108" i="12"/>
  <c r="Z109" i="12"/>
  <c r="Z110" i="12"/>
  <c r="Z111" i="12"/>
  <c r="Z112" i="12"/>
  <c r="Z113" i="12"/>
  <c r="Z114" i="12"/>
  <c r="Z115" i="12"/>
  <c r="Z116" i="12"/>
  <c r="Z117" i="12"/>
  <c r="Z118" i="12"/>
  <c r="Z119" i="12"/>
  <c r="Z120" i="12"/>
  <c r="Z121" i="12"/>
  <c r="Z122" i="12"/>
  <c r="Z123" i="12"/>
  <c r="Z124" i="12"/>
  <c r="Z125" i="12"/>
  <c r="Z126" i="12"/>
  <c r="Z127" i="12"/>
  <c r="Z128" i="12"/>
  <c r="Z129" i="12"/>
  <c r="Z130" i="12"/>
  <c r="Z131" i="12"/>
  <c r="Z132" i="12"/>
  <c r="Z133" i="12"/>
  <c r="Z134" i="12"/>
  <c r="Z135" i="12"/>
  <c r="Z136" i="12"/>
  <c r="Z137" i="12"/>
  <c r="Z138" i="12"/>
  <c r="Z139" i="12"/>
  <c r="Z140" i="12"/>
  <c r="Z141" i="12"/>
  <c r="Z142" i="12"/>
  <c r="Z143" i="12"/>
  <c r="Z144" i="12"/>
  <c r="Z145" i="12"/>
  <c r="Z146" i="12"/>
  <c r="Z147" i="12"/>
  <c r="Z148" i="12"/>
  <c r="Z149" i="12"/>
  <c r="Z150" i="12"/>
  <c r="Z151" i="12"/>
  <c r="Z152" i="12"/>
  <c r="Z153" i="12"/>
  <c r="Z154" i="12"/>
  <c r="Z155" i="12"/>
  <c r="Z156" i="12"/>
  <c r="Z157" i="12"/>
  <c r="Z158" i="12"/>
  <c r="Z159" i="12"/>
  <c r="Z160" i="12"/>
  <c r="Z161" i="12"/>
  <c r="Z162" i="12"/>
  <c r="Z163" i="12"/>
  <c r="Z164" i="12"/>
  <c r="Z165" i="12"/>
  <c r="Z166" i="12"/>
  <c r="Z167" i="12"/>
  <c r="Z168" i="12"/>
  <c r="Z169" i="12"/>
  <c r="Z170" i="12"/>
  <c r="Z171" i="12"/>
  <c r="Z172" i="12"/>
  <c r="Z173" i="12"/>
  <c r="Z174" i="12"/>
  <c r="Z175" i="12"/>
  <c r="Z176" i="12"/>
  <c r="Z177" i="12"/>
  <c r="Z178" i="12"/>
  <c r="Z179" i="12"/>
  <c r="Z180" i="12"/>
  <c r="Z181" i="12"/>
  <c r="Z182" i="12"/>
  <c r="Z183" i="12"/>
  <c r="Z184" i="12"/>
  <c r="Z185" i="12"/>
  <c r="Z186" i="12"/>
  <c r="Z187" i="12"/>
  <c r="Z188" i="12"/>
  <c r="Z189" i="12"/>
  <c r="Z190" i="12"/>
  <c r="Z191" i="12"/>
  <c r="Z192" i="12"/>
  <c r="Z193" i="12"/>
  <c r="Z194" i="12"/>
  <c r="Z195" i="12"/>
  <c r="Z196" i="12"/>
  <c r="Z197" i="12"/>
  <c r="Z198" i="12"/>
  <c r="Z199" i="12"/>
  <c r="Z200" i="12"/>
  <c r="Z201" i="12"/>
  <c r="Z202" i="12"/>
  <c r="Z203" i="12"/>
  <c r="Z204" i="12"/>
  <c r="Z205" i="12"/>
  <c r="Z206" i="12"/>
  <c r="Z207" i="12"/>
  <c r="Z208" i="12"/>
  <c r="Z209" i="12"/>
  <c r="Z210" i="12"/>
  <c r="Z211" i="12"/>
  <c r="Z212" i="12"/>
  <c r="Z213" i="12"/>
  <c r="Z214" i="12"/>
  <c r="Z215" i="12"/>
  <c r="Z216" i="12"/>
  <c r="Z217" i="12"/>
  <c r="Z218" i="12"/>
  <c r="Z219" i="12"/>
  <c r="Z220" i="12"/>
  <c r="Z221" i="12"/>
  <c r="Z222" i="12"/>
  <c r="Z223" i="12"/>
  <c r="Z224" i="12"/>
  <c r="Z225" i="12"/>
  <c r="Z226" i="12"/>
  <c r="Z227" i="12"/>
  <c r="Z228" i="12"/>
  <c r="Z229" i="12"/>
  <c r="Z230" i="12"/>
  <c r="Z231" i="12"/>
  <c r="Z232" i="12"/>
  <c r="Z233" i="12"/>
  <c r="Z234" i="12"/>
  <c r="Y5" i="12"/>
  <c r="Y6" i="12"/>
  <c r="Y7" i="12"/>
  <c r="Y8" i="12"/>
  <c r="Y9" i="12"/>
  <c r="Y10" i="12"/>
  <c r="Y11" i="12"/>
  <c r="Y12" i="12"/>
  <c r="Y13" i="12"/>
  <c r="Y14" i="12"/>
  <c r="Y15" i="12"/>
  <c r="Y16" i="12"/>
  <c r="Y17" i="12"/>
  <c r="Y18" i="12"/>
  <c r="Y19" i="12"/>
  <c r="Y20" i="12"/>
  <c r="Y21" i="12"/>
  <c r="Y22" i="12"/>
  <c r="Y23" i="12"/>
  <c r="Y24" i="12"/>
  <c r="Y25" i="12"/>
  <c r="Y26" i="12"/>
  <c r="Y27" i="12"/>
  <c r="Y28" i="12"/>
  <c r="Y29" i="12"/>
  <c r="Y30" i="12"/>
  <c r="Y31" i="12"/>
  <c r="Y32" i="12"/>
  <c r="Y33" i="12"/>
  <c r="Y34" i="12"/>
  <c r="Y35" i="12"/>
  <c r="Y36" i="12"/>
  <c r="Y37" i="12"/>
  <c r="Y38" i="12"/>
  <c r="Y39" i="12"/>
  <c r="Y40" i="12"/>
  <c r="Y41" i="12"/>
  <c r="Y42" i="12"/>
  <c r="Y43" i="12"/>
  <c r="Y44" i="12"/>
  <c r="Y45" i="12"/>
  <c r="Y46" i="12"/>
  <c r="Y47" i="12"/>
  <c r="Y48" i="12"/>
  <c r="Y49" i="12"/>
  <c r="Y50" i="12"/>
  <c r="Y51" i="12"/>
  <c r="Y52" i="12"/>
  <c r="Y53" i="12"/>
  <c r="Y54" i="12"/>
  <c r="Y55" i="12"/>
  <c r="Y57" i="12"/>
  <c r="Y58" i="12"/>
  <c r="Y59" i="12"/>
  <c r="Y60" i="12"/>
  <c r="Y61" i="12"/>
  <c r="Y62" i="12"/>
  <c r="Y63" i="12"/>
  <c r="Y64" i="12"/>
  <c r="Y65" i="12"/>
  <c r="Y66" i="12"/>
  <c r="Y67" i="12"/>
  <c r="Y68" i="12"/>
  <c r="Y69" i="12"/>
  <c r="Y70" i="12"/>
  <c r="Y71" i="12"/>
  <c r="Y72" i="12"/>
  <c r="Y73" i="12"/>
  <c r="Y74" i="12"/>
  <c r="Y75" i="12"/>
  <c r="Y76" i="12"/>
  <c r="Y77" i="12"/>
  <c r="Y78" i="12"/>
  <c r="Y79" i="12"/>
  <c r="Y80" i="12"/>
  <c r="Y81" i="12"/>
  <c r="Y82" i="12"/>
  <c r="Y83" i="12"/>
  <c r="Y84" i="12"/>
  <c r="Y85" i="12"/>
  <c r="Y86" i="12"/>
  <c r="Y87" i="12"/>
  <c r="Y88" i="12"/>
  <c r="Y89" i="12"/>
  <c r="Y90" i="12"/>
  <c r="Y91" i="12"/>
  <c r="Y92" i="12"/>
  <c r="Y93" i="12"/>
  <c r="Y94" i="12"/>
  <c r="Y95" i="12"/>
  <c r="Y96" i="12"/>
  <c r="Y97" i="12"/>
  <c r="Y98" i="12"/>
  <c r="Y99" i="12"/>
  <c r="Y100" i="12"/>
  <c r="Y101" i="12"/>
  <c r="Y102" i="12"/>
  <c r="Y103" i="12"/>
  <c r="Y104" i="12"/>
  <c r="Y105" i="12"/>
  <c r="Y106" i="12"/>
  <c r="Y107" i="12"/>
  <c r="Y108" i="12"/>
  <c r="Y109" i="12"/>
  <c r="Y110" i="12"/>
  <c r="Y111" i="12"/>
  <c r="Y112" i="12"/>
  <c r="Y113" i="12"/>
  <c r="Y114" i="12"/>
  <c r="Y115" i="12"/>
  <c r="Y116" i="12"/>
  <c r="Y117" i="12"/>
  <c r="Y118" i="12"/>
  <c r="Y119" i="12"/>
  <c r="Y120" i="12"/>
  <c r="Y121" i="12"/>
  <c r="Y122" i="12"/>
  <c r="Y123" i="12"/>
  <c r="Y124" i="12"/>
  <c r="Y125" i="12"/>
  <c r="Y126" i="12"/>
  <c r="Y127" i="12"/>
  <c r="Y128" i="12"/>
  <c r="Y129" i="12"/>
  <c r="Y130" i="12"/>
  <c r="Y131" i="12"/>
  <c r="Y132" i="12"/>
  <c r="Y133" i="12"/>
  <c r="Y134" i="12"/>
  <c r="Y135" i="12"/>
  <c r="Y136" i="12"/>
  <c r="Y137" i="12"/>
  <c r="Y138" i="12"/>
  <c r="Y139" i="12"/>
  <c r="Y140" i="12"/>
  <c r="Y141" i="12"/>
  <c r="Y142" i="12"/>
  <c r="Y143" i="12"/>
  <c r="Y144" i="12"/>
  <c r="Y145" i="12"/>
  <c r="Y146" i="12"/>
  <c r="Y147" i="12"/>
  <c r="Y148" i="12"/>
  <c r="Y149" i="12"/>
  <c r="Y150" i="12"/>
  <c r="Y151" i="12"/>
  <c r="Y152" i="12"/>
  <c r="Y153" i="12"/>
  <c r="Y154" i="12"/>
  <c r="Y155" i="12"/>
  <c r="Y156" i="12"/>
  <c r="Y157" i="12"/>
  <c r="Y158" i="12"/>
  <c r="Y159" i="12"/>
  <c r="Y160" i="12"/>
  <c r="Y161" i="12"/>
  <c r="Y162" i="12"/>
  <c r="Y163" i="12"/>
  <c r="Y164" i="12"/>
  <c r="Y165" i="12"/>
  <c r="Y166" i="12"/>
  <c r="Y167" i="12"/>
  <c r="Y168" i="12"/>
  <c r="Y169" i="12"/>
  <c r="Y170" i="12"/>
  <c r="Y171" i="12"/>
  <c r="Y172" i="12"/>
  <c r="Y173" i="12"/>
  <c r="Y174" i="12"/>
  <c r="Y175" i="12"/>
  <c r="Y176" i="12"/>
  <c r="Y177" i="12"/>
  <c r="Y178" i="12"/>
  <c r="Y179" i="12"/>
  <c r="Y180" i="12"/>
  <c r="Y181" i="12"/>
  <c r="Y182" i="12"/>
  <c r="Y183" i="12"/>
  <c r="Y184" i="12"/>
  <c r="Y185" i="12"/>
  <c r="Y186" i="12"/>
  <c r="Y187" i="12"/>
  <c r="Y188" i="12"/>
  <c r="Y189" i="12"/>
  <c r="Y190" i="12"/>
  <c r="Y191" i="12"/>
  <c r="Y192" i="12"/>
  <c r="Y193" i="12"/>
  <c r="Y194" i="12"/>
  <c r="Y195" i="12"/>
  <c r="Y196" i="12"/>
  <c r="Y197" i="12"/>
  <c r="Y198" i="12"/>
  <c r="Y199" i="12"/>
  <c r="Y200" i="12"/>
  <c r="Y201" i="12"/>
  <c r="Y202" i="12"/>
  <c r="Y203" i="12"/>
  <c r="Y204" i="12"/>
  <c r="Y205" i="12"/>
  <c r="Y206" i="12"/>
  <c r="Y207" i="12"/>
  <c r="Y208" i="12"/>
  <c r="Y209" i="12"/>
  <c r="Y210" i="12"/>
  <c r="Y211" i="12"/>
  <c r="Y212" i="12"/>
  <c r="Y213" i="12"/>
  <c r="Y214" i="12"/>
  <c r="Y215" i="12"/>
  <c r="Y216" i="12"/>
  <c r="Y217" i="12"/>
  <c r="Y218" i="12"/>
  <c r="Y219" i="12"/>
  <c r="Y220" i="12"/>
  <c r="Y221" i="12"/>
  <c r="Y222" i="12"/>
  <c r="Y223" i="12"/>
  <c r="Y224" i="12"/>
  <c r="Y225" i="12"/>
  <c r="Y226" i="12"/>
  <c r="Y227" i="12"/>
  <c r="Y228" i="12"/>
  <c r="Y229" i="12"/>
  <c r="Y230" i="12"/>
  <c r="Y231" i="12"/>
  <c r="Y232" i="12"/>
  <c r="Y233" i="12"/>
  <c r="Y234" i="12"/>
  <c r="Y235" i="12"/>
  <c r="X5" i="12" a="1"/>
  <c r="X5" i="12" s="1"/>
  <c r="X6" i="12" a="1"/>
  <c r="X6" i="12"/>
  <c r="X7" i="12" a="1"/>
  <c r="X7" i="12" s="1"/>
  <c r="X8" i="12" a="1"/>
  <c r="X8" i="12" s="1"/>
  <c r="X9" i="12" a="1"/>
  <c r="X9" i="12" s="1"/>
  <c r="X10" i="12" a="1"/>
  <c r="X10" i="12" s="1"/>
  <c r="X11" i="12" a="1"/>
  <c r="X11" i="12" s="1"/>
  <c r="X12" i="12" a="1"/>
  <c r="X12" i="12"/>
  <c r="X13" i="12" a="1"/>
  <c r="X13" i="12" s="1"/>
  <c r="X14" i="12" a="1"/>
  <c r="X14" i="12" s="1"/>
  <c r="X15" i="12" a="1"/>
  <c r="X15" i="12" s="1"/>
  <c r="X16" i="12" a="1"/>
  <c r="X16" i="12" s="1"/>
  <c r="X17" i="12" a="1"/>
  <c r="X17" i="12" s="1"/>
  <c r="X18" i="12" a="1"/>
  <c r="X18" i="12"/>
  <c r="X19" i="12" a="1"/>
  <c r="X19" i="12" s="1"/>
  <c r="X20" i="12" a="1"/>
  <c r="X20" i="12" s="1"/>
  <c r="X21" i="12" a="1"/>
  <c r="X21" i="12" s="1"/>
  <c r="X22" i="12" a="1"/>
  <c r="X22" i="12" s="1"/>
  <c r="X23" i="12" a="1"/>
  <c r="X23" i="12" s="1"/>
  <c r="X24" i="12" a="1"/>
  <c r="X24" i="12"/>
  <c r="X25" i="12" a="1"/>
  <c r="X25" i="12" s="1"/>
  <c r="X26" i="12" a="1"/>
  <c r="X26" i="12" s="1"/>
  <c r="X27" i="12" a="1"/>
  <c r="X27" i="12" s="1"/>
  <c r="X28" i="12" a="1"/>
  <c r="X28" i="12" s="1"/>
  <c r="X29" i="12" a="1"/>
  <c r="X29" i="12" s="1"/>
  <c r="X30" i="12" a="1"/>
  <c r="X30" i="12"/>
  <c r="X31" i="12" a="1"/>
  <c r="X31" i="12" s="1"/>
  <c r="X32" i="12" a="1"/>
  <c r="X32" i="12" s="1"/>
  <c r="X33" i="12" a="1"/>
  <c r="X33" i="12" s="1"/>
  <c r="X34" i="12" a="1"/>
  <c r="X34" i="12" s="1"/>
  <c r="X35" i="12" a="1"/>
  <c r="X35" i="12" s="1"/>
  <c r="X36" i="12" a="1"/>
  <c r="X36" i="12"/>
  <c r="X37" i="12" a="1"/>
  <c r="X37" i="12" s="1"/>
  <c r="X38" i="12" a="1"/>
  <c r="X38" i="12" s="1"/>
  <c r="X39" i="12" a="1"/>
  <c r="X39" i="12" s="1"/>
  <c r="X40" i="12" a="1"/>
  <c r="X40" i="12" s="1"/>
  <c r="X41" i="12" a="1"/>
  <c r="X41" i="12" s="1"/>
  <c r="X42" i="12" a="1"/>
  <c r="X42" i="12"/>
  <c r="X43" i="12" a="1"/>
  <c r="X43" i="12" s="1"/>
  <c r="X44" i="12" a="1"/>
  <c r="X44" i="12" s="1"/>
  <c r="X45" i="12" a="1"/>
  <c r="X45" i="12" s="1"/>
  <c r="X46" i="12" a="1"/>
  <c r="X46" i="12" s="1"/>
  <c r="X47" i="12" a="1"/>
  <c r="X47" i="12" s="1"/>
  <c r="X48" i="12" a="1"/>
  <c r="X48" i="12"/>
  <c r="X49" i="12" a="1"/>
  <c r="X49" i="12" s="1"/>
  <c r="X50" i="12" a="1"/>
  <c r="X50" i="12" s="1"/>
  <c r="X51" i="12" a="1"/>
  <c r="X51" i="12" s="1"/>
  <c r="X52" i="12" a="1"/>
  <c r="X52" i="12" s="1"/>
  <c r="X53" i="12" a="1"/>
  <c r="X53" i="12" s="1"/>
  <c r="X54" i="12" a="1"/>
  <c r="X54" i="12"/>
  <c r="X55" i="12" a="1"/>
  <c r="X55" i="12" s="1"/>
  <c r="X56" i="12" a="1"/>
  <c r="X56" i="12" s="1"/>
  <c r="X57" i="12" a="1"/>
  <c r="X57" i="12" s="1"/>
  <c r="X58" i="12" a="1"/>
  <c r="X58" i="12" s="1"/>
  <c r="X59" i="12" a="1"/>
  <c r="X59" i="12" s="1"/>
  <c r="X60" i="12" a="1"/>
  <c r="X60" i="12"/>
  <c r="X61" i="12" a="1"/>
  <c r="X61" i="12" s="1"/>
  <c r="X62" i="12" a="1"/>
  <c r="X62" i="12" s="1"/>
  <c r="X63" i="12" a="1"/>
  <c r="X63" i="12" s="1"/>
  <c r="X64" i="12" a="1"/>
  <c r="X64" i="12" s="1"/>
  <c r="X65" i="12" a="1"/>
  <c r="X65" i="12" s="1"/>
  <c r="X66" i="12" a="1"/>
  <c r="X66" i="12"/>
  <c r="X67" i="12" a="1"/>
  <c r="X67" i="12" s="1"/>
  <c r="X68" i="12" a="1"/>
  <c r="X68" i="12" s="1"/>
  <c r="X69" i="12" a="1"/>
  <c r="X69" i="12" s="1"/>
  <c r="X70" i="12" a="1"/>
  <c r="X70" i="12" s="1"/>
  <c r="X71" i="12" a="1"/>
  <c r="X71" i="12" s="1"/>
  <c r="X72" i="12" a="1"/>
  <c r="X72" i="12"/>
  <c r="X73" i="12" a="1"/>
  <c r="X73" i="12" s="1"/>
  <c r="X74" i="12" a="1"/>
  <c r="X74" i="12" s="1"/>
  <c r="X75" i="12" a="1"/>
  <c r="X75" i="12" s="1"/>
  <c r="X76" i="12" a="1"/>
  <c r="X76" i="12" s="1"/>
  <c r="X77" i="12" a="1"/>
  <c r="X77" i="12" s="1"/>
  <c r="X78" i="12" a="1"/>
  <c r="X78" i="12"/>
  <c r="X79" i="12" a="1"/>
  <c r="X79" i="12" s="1"/>
  <c r="X80" i="12" a="1"/>
  <c r="X80" i="12" s="1"/>
  <c r="X81" i="12" a="1"/>
  <c r="X81" i="12" s="1"/>
  <c r="X82" i="12" a="1"/>
  <c r="X82" i="12" s="1"/>
  <c r="X83" i="12" a="1"/>
  <c r="X83" i="12" s="1"/>
  <c r="X84" i="12" a="1"/>
  <c r="X84" i="12"/>
  <c r="X85" i="12" a="1"/>
  <c r="X85" i="12" s="1"/>
  <c r="X86" i="12" a="1"/>
  <c r="X86" i="12" s="1"/>
  <c r="X87" i="12" a="1"/>
  <c r="X87" i="12" s="1"/>
  <c r="X88" i="12" a="1"/>
  <c r="X88" i="12" s="1"/>
  <c r="X89" i="12" a="1"/>
  <c r="X89" i="12" s="1"/>
  <c r="X90" i="12" a="1"/>
  <c r="X90" i="12"/>
  <c r="X91" i="12" a="1"/>
  <c r="X91" i="12" s="1"/>
  <c r="X92" i="12" a="1"/>
  <c r="X92" i="12" s="1"/>
  <c r="X93" i="12" a="1"/>
  <c r="X93" i="12" s="1"/>
  <c r="X94" i="12" a="1"/>
  <c r="X94" i="12" s="1"/>
  <c r="X95" i="12" a="1"/>
  <c r="X95" i="12" s="1"/>
  <c r="X96" i="12" a="1"/>
  <c r="X96" i="12" s="1"/>
  <c r="X97" i="12" a="1"/>
  <c r="X97" i="12" s="1"/>
  <c r="X98" i="12" a="1"/>
  <c r="X98" i="12" s="1"/>
  <c r="X99" i="12" a="1"/>
  <c r="X99" i="12" s="1"/>
  <c r="X100" i="12" a="1"/>
  <c r="X100" i="12" s="1"/>
  <c r="X101" i="12" a="1"/>
  <c r="X101" i="12" s="1"/>
  <c r="X102" i="12" a="1"/>
  <c r="X102" i="12" s="1"/>
  <c r="X103" i="12" a="1"/>
  <c r="X103" i="12" s="1"/>
  <c r="X104" i="12" a="1"/>
  <c r="X104" i="12" s="1"/>
  <c r="X105" i="12" a="1"/>
  <c r="X105" i="12" s="1"/>
  <c r="X106" i="12" a="1"/>
  <c r="X106" i="12" s="1"/>
  <c r="X107" i="12" a="1"/>
  <c r="X107" i="12" s="1"/>
  <c r="X108" i="12" a="1"/>
  <c r="X108" i="12" s="1"/>
  <c r="X109" i="12" a="1"/>
  <c r="X109" i="12" s="1"/>
  <c r="X110" i="12" a="1"/>
  <c r="X110" i="12" s="1"/>
  <c r="X111" i="12" a="1"/>
  <c r="X111" i="12" s="1"/>
  <c r="X112" i="12" a="1"/>
  <c r="X112" i="12" s="1"/>
  <c r="X113" i="12" a="1"/>
  <c r="X113" i="12" s="1"/>
  <c r="X114" i="12" a="1"/>
  <c r="X114" i="12" s="1"/>
  <c r="X115" i="12" a="1"/>
  <c r="X115" i="12" s="1"/>
  <c r="X116" i="12" a="1"/>
  <c r="X116" i="12" s="1"/>
  <c r="X117" i="12" a="1"/>
  <c r="X117" i="12" s="1"/>
  <c r="X118" i="12" a="1"/>
  <c r="X118" i="12" s="1"/>
  <c r="X119" i="12" a="1"/>
  <c r="X119" i="12" s="1"/>
  <c r="X120" i="12" a="1"/>
  <c r="X120" i="12" s="1"/>
  <c r="X121" i="12" a="1"/>
  <c r="X121" i="12" s="1"/>
  <c r="X122" i="12" a="1"/>
  <c r="X122" i="12" s="1"/>
  <c r="X123" i="12" a="1"/>
  <c r="X123" i="12" s="1"/>
  <c r="X124" i="12" a="1"/>
  <c r="X124" i="12" s="1"/>
  <c r="X125" i="12" a="1"/>
  <c r="X125" i="12" s="1"/>
  <c r="X126" i="12" a="1"/>
  <c r="X126" i="12" s="1"/>
  <c r="X127" i="12" a="1"/>
  <c r="X127" i="12" s="1"/>
  <c r="X128" i="12" a="1"/>
  <c r="X128" i="12" s="1"/>
  <c r="X129" i="12" a="1"/>
  <c r="X129" i="12" s="1"/>
  <c r="X130" i="12" a="1"/>
  <c r="X130" i="12" s="1"/>
  <c r="X131" i="12" a="1"/>
  <c r="X131" i="12" s="1"/>
  <c r="X132" i="12" a="1"/>
  <c r="X132" i="12" s="1"/>
  <c r="X133" i="12" a="1"/>
  <c r="X133" i="12" s="1"/>
  <c r="X134" i="12" a="1"/>
  <c r="X134" i="12" s="1"/>
  <c r="X135" i="12" a="1"/>
  <c r="X135" i="12" s="1"/>
  <c r="X136" i="12" a="1"/>
  <c r="X136" i="12" s="1"/>
  <c r="X137" i="12" a="1"/>
  <c r="X137" i="12" s="1"/>
  <c r="X138" i="12" a="1"/>
  <c r="X138" i="12" s="1"/>
  <c r="X139" i="12" a="1"/>
  <c r="X139" i="12" s="1"/>
  <c r="X140" i="12" a="1"/>
  <c r="X140" i="12" s="1"/>
  <c r="X141" i="12" a="1"/>
  <c r="X141" i="12" s="1"/>
  <c r="X142" i="12" a="1"/>
  <c r="X142" i="12" s="1"/>
  <c r="X143" i="12" a="1"/>
  <c r="X143" i="12" s="1"/>
  <c r="X144" i="12" a="1"/>
  <c r="X144" i="12" s="1"/>
  <c r="X145" i="12" a="1"/>
  <c r="X145" i="12" s="1"/>
  <c r="X146" i="12" a="1"/>
  <c r="X146" i="12" s="1"/>
  <c r="X147" i="12" a="1"/>
  <c r="X147" i="12" s="1"/>
  <c r="X148" i="12" a="1"/>
  <c r="X148" i="12" s="1"/>
  <c r="X149" i="12" a="1"/>
  <c r="X149" i="12" s="1"/>
  <c r="X150" i="12" a="1"/>
  <c r="X150" i="12" s="1"/>
  <c r="X151" i="12" a="1"/>
  <c r="X151" i="12" s="1"/>
  <c r="X152" i="12" a="1"/>
  <c r="X152" i="12" s="1"/>
  <c r="X153" i="12" a="1"/>
  <c r="X153" i="12" s="1"/>
  <c r="X154" i="12" a="1"/>
  <c r="X154" i="12" s="1"/>
  <c r="X155" i="12" a="1"/>
  <c r="X155" i="12" s="1"/>
  <c r="X156" i="12" a="1"/>
  <c r="X156" i="12" s="1"/>
  <c r="X157" i="12" a="1"/>
  <c r="X157" i="12" s="1"/>
  <c r="X158" i="12" a="1"/>
  <c r="X158" i="12" s="1"/>
  <c r="X159" i="12" a="1"/>
  <c r="X159" i="12" s="1"/>
  <c r="X160" i="12" a="1"/>
  <c r="X160" i="12" s="1"/>
  <c r="X161" i="12" a="1"/>
  <c r="X161" i="12" s="1"/>
  <c r="X162" i="12" a="1"/>
  <c r="X162" i="12" s="1"/>
  <c r="X163" i="12" a="1"/>
  <c r="X163" i="12" s="1"/>
  <c r="X164" i="12" a="1"/>
  <c r="X164" i="12" s="1"/>
  <c r="X165" i="12" a="1"/>
  <c r="X165" i="12" s="1"/>
  <c r="X166" i="12" a="1"/>
  <c r="X166" i="12" s="1"/>
  <c r="X167" i="12" a="1"/>
  <c r="X167" i="12" s="1"/>
  <c r="X168" i="12" a="1"/>
  <c r="X168" i="12" s="1"/>
  <c r="X169" i="12" a="1"/>
  <c r="X169" i="12" s="1"/>
  <c r="X170" i="12" a="1"/>
  <c r="X170" i="12" s="1"/>
  <c r="X171" i="12" a="1"/>
  <c r="X171" i="12" s="1"/>
  <c r="X172" i="12" a="1"/>
  <c r="X172" i="12" s="1"/>
  <c r="X173" i="12" a="1"/>
  <c r="X173" i="12" s="1"/>
  <c r="X174" i="12" a="1"/>
  <c r="X174" i="12" s="1"/>
  <c r="X175" i="12" a="1"/>
  <c r="X175" i="12" s="1"/>
  <c r="X176" i="12" a="1"/>
  <c r="X176" i="12" s="1"/>
  <c r="X177" i="12" a="1"/>
  <c r="X177" i="12" s="1"/>
  <c r="X178" i="12" a="1"/>
  <c r="X178" i="12" s="1"/>
  <c r="X179" i="12" a="1"/>
  <c r="X179" i="12" s="1"/>
  <c r="X180" i="12" a="1"/>
  <c r="X180" i="12" s="1"/>
  <c r="X181" i="12" a="1"/>
  <c r="X181" i="12" s="1"/>
  <c r="X182" i="12" a="1"/>
  <c r="X182" i="12" s="1"/>
  <c r="X183" i="12" a="1"/>
  <c r="X183" i="12" s="1"/>
  <c r="X184" i="12" a="1"/>
  <c r="X184" i="12" s="1"/>
  <c r="X185" i="12" a="1"/>
  <c r="X185" i="12" s="1"/>
  <c r="X186" i="12" a="1"/>
  <c r="X186" i="12" s="1"/>
  <c r="X187" i="12" a="1"/>
  <c r="X187" i="12" s="1"/>
  <c r="X188" i="12" a="1"/>
  <c r="X188" i="12" s="1"/>
  <c r="X189" i="12" a="1"/>
  <c r="X189" i="12" s="1"/>
  <c r="X190" i="12" a="1"/>
  <c r="X190" i="12" s="1"/>
  <c r="X191" i="12" a="1"/>
  <c r="X191" i="12" s="1"/>
  <c r="X192" i="12" a="1"/>
  <c r="X192" i="12" s="1"/>
  <c r="X193" i="12" a="1"/>
  <c r="X193" i="12" s="1"/>
  <c r="X194" i="12" a="1"/>
  <c r="X194" i="12" s="1"/>
  <c r="X195" i="12" a="1"/>
  <c r="X195" i="12" s="1"/>
  <c r="X196" i="12" a="1"/>
  <c r="X196" i="12" s="1"/>
  <c r="X197" i="12" a="1"/>
  <c r="X197" i="12" s="1"/>
  <c r="X198" i="12" a="1"/>
  <c r="X198" i="12" s="1"/>
  <c r="X199" i="12" a="1"/>
  <c r="X199" i="12" s="1"/>
  <c r="X200" i="12" a="1"/>
  <c r="X200" i="12" s="1"/>
  <c r="X201" i="12" a="1"/>
  <c r="X201" i="12" s="1"/>
  <c r="X202" i="12" a="1"/>
  <c r="X202" i="12" s="1"/>
  <c r="X203" i="12" a="1"/>
  <c r="X203" i="12" s="1"/>
  <c r="X204" i="12" a="1"/>
  <c r="X204" i="12" s="1"/>
  <c r="X205" i="12" a="1"/>
  <c r="X205" i="12" s="1"/>
  <c r="X206" i="12" a="1"/>
  <c r="X206" i="12" s="1"/>
  <c r="X207" i="12" a="1"/>
  <c r="X207" i="12" s="1"/>
  <c r="X208" i="12" a="1"/>
  <c r="X208" i="12" s="1"/>
  <c r="X209" i="12" a="1"/>
  <c r="X209" i="12" s="1"/>
  <c r="X210" i="12" a="1"/>
  <c r="X210" i="12" s="1"/>
  <c r="X211" i="12" a="1"/>
  <c r="X211" i="12" s="1"/>
  <c r="X212" i="12" a="1"/>
  <c r="X212" i="12" s="1"/>
  <c r="X213" i="12" a="1"/>
  <c r="X213" i="12" s="1"/>
  <c r="X214" i="12" a="1"/>
  <c r="X214" i="12" s="1"/>
  <c r="X215" i="12" a="1"/>
  <c r="X215" i="12" s="1"/>
  <c r="X216" i="12" a="1"/>
  <c r="X216" i="12" s="1"/>
  <c r="X217" i="12" a="1"/>
  <c r="X217" i="12" s="1"/>
  <c r="X218" i="12" a="1"/>
  <c r="X218" i="12" s="1"/>
  <c r="X219" i="12" a="1"/>
  <c r="X219" i="12" s="1"/>
  <c r="X220" i="12" a="1"/>
  <c r="X220" i="12" s="1"/>
  <c r="X221" i="12" a="1"/>
  <c r="X221" i="12" s="1"/>
  <c r="X222" i="12" a="1"/>
  <c r="X222" i="12" s="1"/>
  <c r="X223" i="12" a="1"/>
  <c r="X223" i="12" s="1"/>
  <c r="X224" i="12" a="1"/>
  <c r="X224" i="12" s="1"/>
  <c r="X225" i="12" a="1"/>
  <c r="X225" i="12" s="1"/>
  <c r="X226" i="12" a="1"/>
  <c r="X226" i="12" s="1"/>
  <c r="X227" i="12" a="1"/>
  <c r="X227" i="12" s="1"/>
  <c r="X228" i="12" a="1"/>
  <c r="X228" i="12" s="1"/>
  <c r="X229" i="12" a="1"/>
  <c r="X229" i="12" s="1"/>
  <c r="X230" i="12" a="1"/>
  <c r="X230" i="12" s="1"/>
  <c r="X231" i="12" a="1"/>
  <c r="X231" i="12" s="1"/>
  <c r="X232" i="12" a="1"/>
  <c r="X232" i="12" s="1"/>
  <c r="X233" i="12" a="1"/>
  <c r="X233" i="12" s="1"/>
  <c r="X234" i="12" a="1"/>
  <c r="X234" i="12" s="1"/>
  <c r="X235" i="12" a="1"/>
  <c r="X235" i="12" s="1"/>
  <c r="W5" i="12" a="1"/>
  <c r="W5" i="12" s="1"/>
  <c r="W6" i="12" a="1"/>
  <c r="W6" i="12" s="1"/>
  <c r="W7" i="12" a="1"/>
  <c r="W7" i="12" s="1"/>
  <c r="W8" i="12" a="1"/>
  <c r="W8" i="12" s="1"/>
  <c r="W9" i="12" a="1"/>
  <c r="W9" i="12"/>
  <c r="W10" i="12" a="1"/>
  <c r="W10" i="12"/>
  <c r="W11" i="12" a="1"/>
  <c r="W11" i="12" s="1"/>
  <c r="W12" i="12" a="1"/>
  <c r="W12" i="12" s="1"/>
  <c r="W13" i="12" a="1"/>
  <c r="W13" i="12" s="1"/>
  <c r="W14" i="12" a="1"/>
  <c r="W14" i="12" s="1"/>
  <c r="W15" i="12" a="1"/>
  <c r="W15" i="12"/>
  <c r="W16" i="12" a="1"/>
  <c r="W16" i="12"/>
  <c r="W17" i="12" a="1"/>
  <c r="W17" i="12" s="1"/>
  <c r="W18" i="12" a="1"/>
  <c r="W18" i="12" s="1"/>
  <c r="W19" i="12" a="1"/>
  <c r="W19" i="12" s="1"/>
  <c r="W20" i="12" a="1"/>
  <c r="W20" i="12" s="1"/>
  <c r="W21" i="12" a="1"/>
  <c r="W21" i="12" s="1"/>
  <c r="W22" i="12" a="1"/>
  <c r="W22" i="12"/>
  <c r="W23" i="12" a="1"/>
  <c r="W23" i="12" s="1"/>
  <c r="W24" i="12" a="1"/>
  <c r="W24" i="12" s="1"/>
  <c r="W25" i="12" a="1"/>
  <c r="W25" i="12" s="1"/>
  <c r="W26" i="12" a="1"/>
  <c r="W26" i="12" s="1"/>
  <c r="W27" i="12" a="1"/>
  <c r="W27" i="12" s="1"/>
  <c r="W28" i="12" a="1"/>
  <c r="W28" i="12"/>
  <c r="W29" i="12" a="1"/>
  <c r="W29" i="12" s="1"/>
  <c r="W30" i="12" a="1"/>
  <c r="W30" i="12" s="1"/>
  <c r="W31" i="12" a="1"/>
  <c r="W31" i="12" s="1"/>
  <c r="W32" i="12" a="1"/>
  <c r="W32" i="12" s="1"/>
  <c r="W33" i="12" a="1"/>
  <c r="W33" i="12" s="1"/>
  <c r="W34" i="12" a="1"/>
  <c r="W34" i="12"/>
  <c r="W35" i="12" a="1"/>
  <c r="W35" i="12" s="1"/>
  <c r="W36" i="12" a="1"/>
  <c r="W36" i="12" s="1"/>
  <c r="W37" i="12" a="1"/>
  <c r="W37" i="12" s="1"/>
  <c r="W38" i="12" a="1"/>
  <c r="W38" i="12" s="1"/>
  <c r="W39" i="12" a="1"/>
  <c r="W39" i="12" s="1"/>
  <c r="W40" i="12" a="1"/>
  <c r="W40" i="12"/>
  <c r="W41" i="12" a="1"/>
  <c r="W41" i="12" s="1"/>
  <c r="W42" i="12" a="1"/>
  <c r="W42" i="12" s="1"/>
  <c r="W43" i="12" a="1"/>
  <c r="W43" i="12" s="1"/>
  <c r="W44" i="12" a="1"/>
  <c r="W44" i="12" s="1"/>
  <c r="W45" i="12" a="1"/>
  <c r="W45" i="12" s="1"/>
  <c r="W46" i="12" a="1"/>
  <c r="W46" i="12"/>
  <c r="W47" i="12" a="1"/>
  <c r="W47" i="12" s="1"/>
  <c r="W48" i="12" a="1"/>
  <c r="W48" i="12" s="1"/>
  <c r="W49" i="12" a="1"/>
  <c r="W49" i="12" s="1"/>
  <c r="W50" i="12" a="1"/>
  <c r="W50" i="12" s="1"/>
  <c r="W51" i="12" a="1"/>
  <c r="W51" i="12" s="1"/>
  <c r="W52" i="12" a="1"/>
  <c r="W52" i="12"/>
  <c r="W53" i="12" a="1"/>
  <c r="W53" i="12" s="1"/>
  <c r="W54" i="12" a="1"/>
  <c r="W54" i="12" s="1"/>
  <c r="W55" i="12" a="1"/>
  <c r="W55" i="12" s="1"/>
  <c r="W56" i="12" a="1"/>
  <c r="W56" i="12" s="1"/>
  <c r="W57" i="12" a="1"/>
  <c r="W57" i="12" s="1"/>
  <c r="W58" i="12" a="1"/>
  <c r="W58" i="12"/>
  <c r="W59" i="12" a="1"/>
  <c r="W59" i="12" s="1"/>
  <c r="W60" i="12" a="1"/>
  <c r="W60" i="12" s="1"/>
  <c r="W61" i="12" a="1"/>
  <c r="W61" i="12" s="1"/>
  <c r="W62" i="12" a="1"/>
  <c r="W62" i="12" s="1"/>
  <c r="W63" i="12" a="1"/>
  <c r="W63" i="12" s="1"/>
  <c r="W64" i="12" a="1"/>
  <c r="W64" i="12"/>
  <c r="W65" i="12" a="1"/>
  <c r="W65" i="12" s="1"/>
  <c r="W66" i="12" a="1"/>
  <c r="W66" i="12" s="1"/>
  <c r="W67" i="12" a="1"/>
  <c r="W67" i="12" s="1"/>
  <c r="W68" i="12" a="1"/>
  <c r="W68" i="12" s="1"/>
  <c r="W69" i="12" a="1"/>
  <c r="W69" i="12" s="1"/>
  <c r="W70" i="12" a="1"/>
  <c r="W70" i="12"/>
  <c r="W71" i="12" a="1"/>
  <c r="W71" i="12" s="1"/>
  <c r="W72" i="12" a="1"/>
  <c r="W72" i="12" s="1"/>
  <c r="W73" i="12" a="1"/>
  <c r="W73" i="12" s="1"/>
  <c r="W74" i="12" a="1"/>
  <c r="W74" i="12" s="1"/>
  <c r="W75" i="12" a="1"/>
  <c r="W75" i="12" s="1"/>
  <c r="W76" i="12" a="1"/>
  <c r="W76" i="12"/>
  <c r="W77" i="12" a="1"/>
  <c r="W77" i="12" s="1"/>
  <c r="W78" i="12" a="1"/>
  <c r="W78" i="12" s="1"/>
  <c r="W79" i="12" a="1"/>
  <c r="W79" i="12" s="1"/>
  <c r="W80" i="12" a="1"/>
  <c r="W80" i="12" s="1"/>
  <c r="W81" i="12" a="1"/>
  <c r="W81" i="12" s="1"/>
  <c r="W82" i="12" a="1"/>
  <c r="W82" i="12"/>
  <c r="W83" i="12" a="1"/>
  <c r="W83" i="12" s="1"/>
  <c r="W84" i="12" a="1"/>
  <c r="W84" i="12" s="1"/>
  <c r="W85" i="12" a="1"/>
  <c r="W85" i="12" s="1"/>
  <c r="W86" i="12" a="1"/>
  <c r="W86" i="12" s="1"/>
  <c r="W87" i="12" a="1"/>
  <c r="W87" i="12" s="1"/>
  <c r="W88" i="12" a="1"/>
  <c r="W88" i="12"/>
  <c r="W89" i="12" a="1"/>
  <c r="W89" i="12" s="1"/>
  <c r="W90" i="12" a="1"/>
  <c r="W90" i="12" s="1"/>
  <c r="W91" i="12" a="1"/>
  <c r="W91" i="12" s="1"/>
  <c r="W92" i="12" a="1"/>
  <c r="W92" i="12" s="1"/>
  <c r="W93" i="12" a="1"/>
  <c r="W93" i="12" s="1"/>
  <c r="W94" i="12" a="1"/>
  <c r="W94" i="12"/>
  <c r="W95" i="12" a="1"/>
  <c r="W95" i="12" s="1"/>
  <c r="W96" i="12" a="1"/>
  <c r="W96" i="12" s="1"/>
  <c r="W97" i="12" a="1"/>
  <c r="W97" i="12" s="1"/>
  <c r="W98" i="12" a="1"/>
  <c r="W98" i="12" s="1"/>
  <c r="W99" i="12" a="1"/>
  <c r="W99" i="12" s="1"/>
  <c r="W100" i="12" a="1"/>
  <c r="W100" i="12"/>
  <c r="W101" i="12" a="1"/>
  <c r="W101" i="12" s="1"/>
  <c r="W102" i="12" a="1"/>
  <c r="W102" i="12" s="1"/>
  <c r="W103" i="12" a="1"/>
  <c r="W103" i="12" s="1"/>
  <c r="W104" i="12" a="1"/>
  <c r="W104" i="12" s="1"/>
  <c r="W105" i="12" a="1"/>
  <c r="W105" i="12" s="1"/>
  <c r="W106" i="12" a="1"/>
  <c r="W106" i="12"/>
  <c r="W107" i="12" a="1"/>
  <c r="W107" i="12" s="1"/>
  <c r="W108" i="12" a="1"/>
  <c r="W108" i="12" s="1"/>
  <c r="W109" i="12" a="1"/>
  <c r="W109" i="12" s="1"/>
  <c r="W110" i="12" a="1"/>
  <c r="W110" i="12" s="1"/>
  <c r="W111" i="12" a="1"/>
  <c r="W111" i="12" s="1"/>
  <c r="W112" i="12" a="1"/>
  <c r="W112" i="12"/>
  <c r="W113" i="12" a="1"/>
  <c r="W113" i="12" s="1"/>
  <c r="W114" i="12" a="1"/>
  <c r="W114" i="12" s="1"/>
  <c r="W115" i="12" a="1"/>
  <c r="W115" i="12" s="1"/>
  <c r="W116" i="12" a="1"/>
  <c r="W116" i="12" s="1"/>
  <c r="W117" i="12" a="1"/>
  <c r="W117" i="12" s="1"/>
  <c r="W118" i="12" a="1"/>
  <c r="W118" i="12"/>
  <c r="W119" i="12" a="1"/>
  <c r="W119" i="12" s="1"/>
  <c r="W120" i="12" a="1"/>
  <c r="W120" i="12" s="1"/>
  <c r="W121" i="12" a="1"/>
  <c r="W121" i="12" s="1"/>
  <c r="W122" i="12" a="1"/>
  <c r="W122" i="12" s="1"/>
  <c r="W123" i="12" a="1"/>
  <c r="W123" i="12" s="1"/>
  <c r="W124" i="12" a="1"/>
  <c r="W124" i="12"/>
  <c r="W125" i="12" a="1"/>
  <c r="W125" i="12" s="1"/>
  <c r="W126" i="12" a="1"/>
  <c r="W126" i="12" s="1"/>
  <c r="W127" i="12" a="1"/>
  <c r="W127" i="12" s="1"/>
  <c r="W128" i="12" a="1"/>
  <c r="W128" i="12" s="1"/>
  <c r="W129" i="12" a="1"/>
  <c r="W129" i="12" s="1"/>
  <c r="W130" i="12" a="1"/>
  <c r="W130" i="12"/>
  <c r="W131" i="12" a="1"/>
  <c r="W131" i="12" s="1"/>
  <c r="W132" i="12" a="1"/>
  <c r="W132" i="12" s="1"/>
  <c r="W133" i="12" a="1"/>
  <c r="W133" i="12" s="1"/>
  <c r="W134" i="12" a="1"/>
  <c r="W134" i="12" s="1"/>
  <c r="W135" i="12" a="1"/>
  <c r="W135" i="12" s="1"/>
  <c r="W136" i="12" a="1"/>
  <c r="W136" i="12"/>
  <c r="W137" i="12" a="1"/>
  <c r="W137" i="12" s="1"/>
  <c r="W138" i="12" a="1"/>
  <c r="W138" i="12" s="1"/>
  <c r="W139" i="12" a="1"/>
  <c r="W139" i="12" s="1"/>
  <c r="W140" i="12" a="1"/>
  <c r="W140" i="12" s="1"/>
  <c r="W141" i="12" a="1"/>
  <c r="W141" i="12" s="1"/>
  <c r="W142" i="12" a="1"/>
  <c r="W142" i="12"/>
  <c r="W143" i="12" a="1"/>
  <c r="W143" i="12" s="1"/>
  <c r="W144" i="12" a="1"/>
  <c r="W144" i="12" s="1"/>
  <c r="W145" i="12" a="1"/>
  <c r="W145" i="12" s="1"/>
  <c r="W146" i="12" a="1"/>
  <c r="W146" i="12" s="1"/>
  <c r="W147" i="12" a="1"/>
  <c r="W147" i="12" s="1"/>
  <c r="W148" i="12" a="1"/>
  <c r="W148" i="12"/>
  <c r="W149" i="12" a="1"/>
  <c r="W149" i="12" s="1"/>
  <c r="W150" i="12" a="1"/>
  <c r="W150" i="12" s="1"/>
  <c r="W151" i="12" a="1"/>
  <c r="W151" i="12" s="1"/>
  <c r="W152" i="12" a="1"/>
  <c r="W152" i="12" s="1"/>
  <c r="W153" i="12" a="1"/>
  <c r="W153" i="12" s="1"/>
  <c r="W154" i="12" a="1"/>
  <c r="W154" i="12"/>
  <c r="W155" i="12" a="1"/>
  <c r="W155" i="12" s="1"/>
  <c r="W156" i="12" a="1"/>
  <c r="W156" i="12" s="1"/>
  <c r="W157" i="12" a="1"/>
  <c r="W157" i="12" s="1"/>
  <c r="W158" i="12" a="1"/>
  <c r="W158" i="12" s="1"/>
  <c r="W159" i="12" a="1"/>
  <c r="W159" i="12" s="1"/>
  <c r="W160" i="12" a="1"/>
  <c r="W160" i="12"/>
  <c r="W161" i="12" a="1"/>
  <c r="W161" i="12" s="1"/>
  <c r="W162" i="12" a="1"/>
  <c r="W162" i="12" s="1"/>
  <c r="W163" i="12" a="1"/>
  <c r="W163" i="12" s="1"/>
  <c r="W164" i="12" a="1"/>
  <c r="W164" i="12" s="1"/>
  <c r="W165" i="12" a="1"/>
  <c r="W165" i="12" s="1"/>
  <c r="W166" i="12" a="1"/>
  <c r="W166" i="12"/>
  <c r="W167" i="12" a="1"/>
  <c r="W167" i="12" s="1"/>
  <c r="W168" i="12" a="1"/>
  <c r="W168" i="12" s="1"/>
  <c r="W169" i="12" a="1"/>
  <c r="W169" i="12" s="1"/>
  <c r="W170" i="12" a="1"/>
  <c r="W170" i="12" s="1"/>
  <c r="W171" i="12" a="1"/>
  <c r="W171" i="12" s="1"/>
  <c r="W172" i="12" a="1"/>
  <c r="W172" i="12"/>
  <c r="W173" i="12" a="1"/>
  <c r="W173" i="12" s="1"/>
  <c r="W174" i="12" a="1"/>
  <c r="W174" i="12" s="1"/>
  <c r="W175" i="12" a="1"/>
  <c r="W175" i="12" s="1"/>
  <c r="W176" i="12" a="1"/>
  <c r="W176" i="12" s="1"/>
  <c r="W177" i="12" a="1"/>
  <c r="W177" i="12" s="1"/>
  <c r="W178" i="12" a="1"/>
  <c r="W178" i="12"/>
  <c r="W179" i="12" a="1"/>
  <c r="W179" i="12" s="1"/>
  <c r="W180" i="12" a="1"/>
  <c r="W180" i="12" s="1"/>
  <c r="W181" i="12" a="1"/>
  <c r="W181" i="12" s="1"/>
  <c r="W182" i="12" a="1"/>
  <c r="W182" i="12" s="1"/>
  <c r="W183" i="12" a="1"/>
  <c r="W183" i="12" s="1"/>
  <c r="W184" i="12" a="1"/>
  <c r="W184" i="12"/>
  <c r="W185" i="12" a="1"/>
  <c r="W185" i="12" s="1"/>
  <c r="W186" i="12" a="1"/>
  <c r="W186" i="12" s="1"/>
  <c r="W187" i="12" a="1"/>
  <c r="W187" i="12" s="1"/>
  <c r="W188" i="12" a="1"/>
  <c r="W188" i="12" s="1"/>
  <c r="W189" i="12" a="1"/>
  <c r="W189" i="12" s="1"/>
  <c r="W190" i="12" a="1"/>
  <c r="W190" i="12"/>
  <c r="W191" i="12" a="1"/>
  <c r="W191" i="12" s="1"/>
  <c r="W192" i="12" a="1"/>
  <c r="W192" i="12" s="1"/>
  <c r="W193" i="12" a="1"/>
  <c r="W193" i="12" s="1"/>
  <c r="W194" i="12" a="1"/>
  <c r="W194" i="12" s="1"/>
  <c r="W195" i="12" a="1"/>
  <c r="W195" i="12" s="1"/>
  <c r="W196" i="12" a="1"/>
  <c r="W196" i="12"/>
  <c r="W197" i="12" a="1"/>
  <c r="W197" i="12" s="1"/>
  <c r="W198" i="12" a="1"/>
  <c r="W198" i="12" s="1"/>
  <c r="W199" i="12" a="1"/>
  <c r="W199" i="12" s="1"/>
  <c r="W200" i="12" a="1"/>
  <c r="W200" i="12" s="1"/>
  <c r="W201" i="12" a="1"/>
  <c r="W201" i="12" s="1"/>
  <c r="W202" i="12" a="1"/>
  <c r="W202" i="12"/>
  <c r="W203" i="12" a="1"/>
  <c r="W203" i="12" s="1"/>
  <c r="W204" i="12" a="1"/>
  <c r="W204" i="12" s="1"/>
  <c r="W205" i="12" a="1"/>
  <c r="W205" i="12" s="1"/>
  <c r="W206" i="12" a="1"/>
  <c r="W206" i="12" s="1"/>
  <c r="W207" i="12" a="1"/>
  <c r="W207" i="12" s="1"/>
  <c r="W208" i="12" a="1"/>
  <c r="W208" i="12"/>
  <c r="W209" i="12" a="1"/>
  <c r="W209" i="12" s="1"/>
  <c r="W210" i="12" a="1"/>
  <c r="W210" i="12" s="1"/>
  <c r="W211" i="12" a="1"/>
  <c r="W211" i="12" s="1"/>
  <c r="W212" i="12" a="1"/>
  <c r="W212" i="12" s="1"/>
  <c r="W213" i="12" a="1"/>
  <c r="W213" i="12" s="1"/>
  <c r="W214" i="12" a="1"/>
  <c r="W214" i="12"/>
  <c r="W215" i="12" a="1"/>
  <c r="W215" i="12" s="1"/>
  <c r="W216" i="12" a="1"/>
  <c r="W216" i="12" s="1"/>
  <c r="W217" i="12" a="1"/>
  <c r="W217" i="12" s="1"/>
  <c r="W218" i="12" a="1"/>
  <c r="W218" i="12" s="1"/>
  <c r="W219" i="12" a="1"/>
  <c r="W219" i="12" s="1"/>
  <c r="W220" i="12" a="1"/>
  <c r="W220" i="12"/>
  <c r="W221" i="12" a="1"/>
  <c r="W221" i="12" s="1"/>
  <c r="W222" i="12" a="1"/>
  <c r="W222" i="12" s="1"/>
  <c r="W223" i="12" a="1"/>
  <c r="W223" i="12" s="1"/>
  <c r="W224" i="12" a="1"/>
  <c r="W224" i="12" s="1"/>
  <c r="W225" i="12" a="1"/>
  <c r="W225" i="12" s="1"/>
  <c r="W226" i="12" a="1"/>
  <c r="W226" i="12"/>
  <c r="W227" i="12" a="1"/>
  <c r="W227" i="12" s="1"/>
  <c r="W228" i="12" a="1"/>
  <c r="W228" i="12" s="1"/>
  <c r="W229" i="12" a="1"/>
  <c r="W229" i="12" s="1"/>
  <c r="W230" i="12" a="1"/>
  <c r="W230" i="12" s="1"/>
  <c r="W231" i="12" a="1"/>
  <c r="W231" i="12" s="1"/>
  <c r="W232" i="12" a="1"/>
  <c r="W232" i="12"/>
  <c r="W233" i="12" a="1"/>
  <c r="W233" i="12" s="1"/>
  <c r="W234" i="12" a="1"/>
  <c r="W234" i="12" s="1"/>
  <c r="W235" i="12" a="1"/>
  <c r="W235" i="12" s="1"/>
  <c r="W4" i="12" a="1"/>
  <c r="W4" i="12" s="1"/>
  <c r="V5" i="12" a="1"/>
  <c r="V5" i="12" s="1"/>
  <c r="V6" i="12" a="1"/>
  <c r="V6" i="12" s="1"/>
  <c r="V7" i="12" a="1"/>
  <c r="V7" i="12" s="1"/>
  <c r="V8" i="12" a="1"/>
  <c r="V8" i="12" s="1"/>
  <c r="V9" i="12" a="1"/>
  <c r="V9" i="12" s="1"/>
  <c r="V10" i="12" a="1"/>
  <c r="V10" i="12"/>
  <c r="V11" i="12" a="1"/>
  <c r="V11" i="12" s="1"/>
  <c r="V12" i="12" a="1"/>
  <c r="V12" i="12" s="1"/>
  <c r="V13" i="12" a="1"/>
  <c r="V13" i="12" s="1"/>
  <c r="V14" i="12" a="1"/>
  <c r="V14" i="12" s="1"/>
  <c r="V15" i="12" a="1"/>
  <c r="V15" i="12" s="1"/>
  <c r="V16" i="12" a="1"/>
  <c r="V16" i="12"/>
  <c r="V17" i="12" a="1"/>
  <c r="V17" i="12" s="1"/>
  <c r="V18" i="12" a="1"/>
  <c r="V18" i="12" s="1"/>
  <c r="V19" i="12" a="1"/>
  <c r="V19" i="12" s="1"/>
  <c r="V20" i="12" a="1"/>
  <c r="V20" i="12" s="1"/>
  <c r="V21" i="12" a="1"/>
  <c r="V21" i="12" s="1"/>
  <c r="V22" i="12" a="1"/>
  <c r="V22" i="12"/>
  <c r="V23" i="12" a="1"/>
  <c r="V23" i="12" s="1"/>
  <c r="V24" i="12" a="1"/>
  <c r="V24" i="12" s="1"/>
  <c r="V25" i="12" a="1"/>
  <c r="V25" i="12" s="1"/>
  <c r="V26" i="12" a="1"/>
  <c r="V26" i="12" s="1"/>
  <c r="V27" i="12" a="1"/>
  <c r="V27" i="12" s="1"/>
  <c r="V28" i="12" a="1"/>
  <c r="V28" i="12"/>
  <c r="V29" i="12" a="1"/>
  <c r="V29" i="12" s="1"/>
  <c r="V30" i="12" a="1"/>
  <c r="V30" i="12" s="1"/>
  <c r="V31" i="12" a="1"/>
  <c r="V31" i="12" s="1"/>
  <c r="V32" i="12" a="1"/>
  <c r="V32" i="12" s="1"/>
  <c r="V33" i="12" a="1"/>
  <c r="V33" i="12" s="1"/>
  <c r="V34" i="12" a="1"/>
  <c r="V34" i="12"/>
  <c r="V35" i="12" a="1"/>
  <c r="V35" i="12" s="1"/>
  <c r="V36" i="12" a="1"/>
  <c r="V36" i="12" s="1"/>
  <c r="V37" i="12" a="1"/>
  <c r="V37" i="12" s="1"/>
  <c r="V38" i="12" a="1"/>
  <c r="V38" i="12" s="1"/>
  <c r="V39" i="12" a="1"/>
  <c r="V39" i="12" s="1"/>
  <c r="V40" i="12" a="1"/>
  <c r="V40" i="12"/>
  <c r="V41" i="12" a="1"/>
  <c r="V41" i="12" s="1"/>
  <c r="V42" i="12" a="1"/>
  <c r="V42" i="12" s="1"/>
  <c r="V43" i="12" a="1"/>
  <c r="V43" i="12" s="1"/>
  <c r="V44" i="12" a="1"/>
  <c r="V44" i="12" s="1"/>
  <c r="V45" i="12" a="1"/>
  <c r="V45" i="12" s="1"/>
  <c r="V46" i="12" a="1"/>
  <c r="V46" i="12"/>
  <c r="V47" i="12" a="1"/>
  <c r="V47" i="12" s="1"/>
  <c r="V48" i="12" a="1"/>
  <c r="V48" i="12" s="1"/>
  <c r="V49" i="12" a="1"/>
  <c r="V49" i="12" s="1"/>
  <c r="V50" i="12" a="1"/>
  <c r="V50" i="12" s="1"/>
  <c r="V51" i="12" a="1"/>
  <c r="V51" i="12" s="1"/>
  <c r="V52" i="12" a="1"/>
  <c r="V52" i="12"/>
  <c r="V53" i="12" a="1"/>
  <c r="V53" i="12" s="1"/>
  <c r="V54" i="12" a="1"/>
  <c r="V54" i="12" s="1"/>
  <c r="V55" i="12" a="1"/>
  <c r="V55" i="12" s="1"/>
  <c r="V56" i="12" a="1"/>
  <c r="V56" i="12" s="1"/>
  <c r="V57" i="12" a="1"/>
  <c r="V57" i="12" s="1"/>
  <c r="V58" i="12" a="1"/>
  <c r="V58" i="12"/>
  <c r="V59" i="12" a="1"/>
  <c r="V59" i="12" s="1"/>
  <c r="V60" i="12" a="1"/>
  <c r="V60" i="12" s="1"/>
  <c r="V61" i="12" a="1"/>
  <c r="V61" i="12" s="1"/>
  <c r="V62" i="12" a="1"/>
  <c r="V62" i="12" s="1"/>
  <c r="V63" i="12" a="1"/>
  <c r="V63" i="12" s="1"/>
  <c r="V64" i="12" a="1"/>
  <c r="V64" i="12"/>
  <c r="V65" i="12" a="1"/>
  <c r="V65" i="12" s="1"/>
  <c r="V66" i="12" a="1"/>
  <c r="V66" i="12" s="1"/>
  <c r="V67" i="12" a="1"/>
  <c r="V67" i="12" s="1"/>
  <c r="V68" i="12" a="1"/>
  <c r="V68" i="12" s="1"/>
  <c r="V69" i="12" a="1"/>
  <c r="V69" i="12" s="1"/>
  <c r="V70" i="12" a="1"/>
  <c r="V70" i="12"/>
  <c r="V71" i="12" a="1"/>
  <c r="V71" i="12" s="1"/>
  <c r="V72" i="12" a="1"/>
  <c r="V72" i="12" s="1"/>
  <c r="V73" i="12" a="1"/>
  <c r="V73" i="12" s="1"/>
  <c r="V74" i="12" a="1"/>
  <c r="V74" i="12" s="1"/>
  <c r="V75" i="12" a="1"/>
  <c r="V75" i="12" s="1"/>
  <c r="V76" i="12" a="1"/>
  <c r="V76" i="12"/>
  <c r="V77" i="12" a="1"/>
  <c r="V77" i="12" s="1"/>
  <c r="V78" i="12" a="1"/>
  <c r="V78" i="12" s="1"/>
  <c r="V79" i="12" a="1"/>
  <c r="V79" i="12" s="1"/>
  <c r="V80" i="12" a="1"/>
  <c r="V80" i="12" s="1"/>
  <c r="V81" i="12" a="1"/>
  <c r="V81" i="12" s="1"/>
  <c r="V82" i="12" a="1"/>
  <c r="V82" i="12"/>
  <c r="V83" i="12" a="1"/>
  <c r="V83" i="12" s="1"/>
  <c r="V84" i="12" a="1"/>
  <c r="V84" i="12" s="1"/>
  <c r="V85" i="12" a="1"/>
  <c r="V85" i="12" s="1"/>
  <c r="V86" i="12" a="1"/>
  <c r="V86" i="12" s="1"/>
  <c r="V87" i="12" a="1"/>
  <c r="V87" i="12" s="1"/>
  <c r="V88" i="12" a="1"/>
  <c r="V88" i="12"/>
  <c r="V89" i="12" a="1"/>
  <c r="V89" i="12" s="1"/>
  <c r="V90" i="12" a="1"/>
  <c r="V90" i="12" s="1"/>
  <c r="V91" i="12" a="1"/>
  <c r="V91" i="12" s="1"/>
  <c r="V92" i="12" a="1"/>
  <c r="V92" i="12" s="1"/>
  <c r="V93" i="12" a="1"/>
  <c r="V93" i="12" s="1"/>
  <c r="V94" i="12" a="1"/>
  <c r="V94" i="12"/>
  <c r="V95" i="12" a="1"/>
  <c r="V95" i="12" s="1"/>
  <c r="V96" i="12" a="1"/>
  <c r="V96" i="12" s="1"/>
  <c r="V97" i="12" a="1"/>
  <c r="V97" i="12" s="1"/>
  <c r="V98" i="12" a="1"/>
  <c r="V98" i="12" s="1"/>
  <c r="V99" i="12" a="1"/>
  <c r="V99" i="12" s="1"/>
  <c r="V100" i="12" a="1"/>
  <c r="V100" i="12"/>
  <c r="V101" i="12" a="1"/>
  <c r="V101" i="12" s="1"/>
  <c r="V102" i="12" a="1"/>
  <c r="V102" i="12" s="1"/>
  <c r="V103" i="12" a="1"/>
  <c r="V103" i="12" s="1"/>
  <c r="V104" i="12" a="1"/>
  <c r="V104" i="12" s="1"/>
  <c r="V105" i="12" a="1"/>
  <c r="V105" i="12" s="1"/>
  <c r="V106" i="12" a="1"/>
  <c r="V106" i="12"/>
  <c r="V107" i="12" a="1"/>
  <c r="V107" i="12" s="1"/>
  <c r="V108" i="12" a="1"/>
  <c r="V108" i="12" s="1"/>
  <c r="V109" i="12" a="1"/>
  <c r="V109" i="12" s="1"/>
  <c r="V110" i="12" a="1"/>
  <c r="V110" i="12" s="1"/>
  <c r="V111" i="12" a="1"/>
  <c r="V111" i="12" s="1"/>
  <c r="V112" i="12" a="1"/>
  <c r="V112" i="12"/>
  <c r="V113" i="12" a="1"/>
  <c r="V113" i="12" s="1"/>
  <c r="V114" i="12" a="1"/>
  <c r="V114" i="12" s="1"/>
  <c r="V115" i="12" a="1"/>
  <c r="V115" i="12" s="1"/>
  <c r="V116" i="12" a="1"/>
  <c r="V116" i="12" s="1"/>
  <c r="V117" i="12" a="1"/>
  <c r="V117" i="12" s="1"/>
  <c r="V118" i="12" a="1"/>
  <c r="V118" i="12"/>
  <c r="V119" i="12" a="1"/>
  <c r="V119" i="12" s="1"/>
  <c r="V120" i="12" a="1"/>
  <c r="V120" i="12" s="1"/>
  <c r="V121" i="12" a="1"/>
  <c r="V121" i="12" s="1"/>
  <c r="V122" i="12" a="1"/>
  <c r="V122" i="12" s="1"/>
  <c r="V123" i="12" a="1"/>
  <c r="V123" i="12" s="1"/>
  <c r="V124" i="12" a="1"/>
  <c r="V124" i="12"/>
  <c r="V125" i="12" a="1"/>
  <c r="V125" i="12" s="1"/>
  <c r="V126" i="12" a="1"/>
  <c r="V126" i="12" s="1"/>
  <c r="V127" i="12" a="1"/>
  <c r="V127" i="12" s="1"/>
  <c r="V128" i="12" a="1"/>
  <c r="V128" i="12" s="1"/>
  <c r="V129" i="12" a="1"/>
  <c r="V129" i="12" s="1"/>
  <c r="V130" i="12" a="1"/>
  <c r="V130" i="12"/>
  <c r="V131" i="12" a="1"/>
  <c r="V131" i="12" s="1"/>
  <c r="V132" i="12" a="1"/>
  <c r="V132" i="12" s="1"/>
  <c r="V133" i="12" a="1"/>
  <c r="V133" i="12" s="1"/>
  <c r="V134" i="12" a="1"/>
  <c r="V134" i="12" s="1"/>
  <c r="V135" i="12" a="1"/>
  <c r="V135" i="12" s="1"/>
  <c r="V136" i="12" a="1"/>
  <c r="V136" i="12"/>
  <c r="V137" i="12" a="1"/>
  <c r="V137" i="12" s="1"/>
  <c r="V138" i="12" a="1"/>
  <c r="V138" i="12" s="1"/>
  <c r="V139" i="12" a="1"/>
  <c r="V139" i="12" s="1"/>
  <c r="V140" i="12" a="1"/>
  <c r="V140" i="12" s="1"/>
  <c r="V141" i="12" a="1"/>
  <c r="V141" i="12" s="1"/>
  <c r="V142" i="12" a="1"/>
  <c r="V142" i="12"/>
  <c r="V143" i="12" a="1"/>
  <c r="V143" i="12" s="1"/>
  <c r="V144" i="12" a="1"/>
  <c r="V144" i="12" s="1"/>
  <c r="V145" i="12" a="1"/>
  <c r="V145" i="12" s="1"/>
  <c r="V146" i="12" a="1"/>
  <c r="V146" i="12" s="1"/>
  <c r="V147" i="12" a="1"/>
  <c r="V147" i="12" s="1"/>
  <c r="V148" i="12" a="1"/>
  <c r="V148" i="12"/>
  <c r="V149" i="12" a="1"/>
  <c r="V149" i="12" s="1"/>
  <c r="V150" i="12" a="1"/>
  <c r="V150" i="12" s="1"/>
  <c r="V151" i="12" a="1"/>
  <c r="V151" i="12" s="1"/>
  <c r="V152" i="12" a="1"/>
  <c r="V152" i="12" s="1"/>
  <c r="V153" i="12" a="1"/>
  <c r="V153" i="12" s="1"/>
  <c r="V154" i="12" a="1"/>
  <c r="V154" i="12"/>
  <c r="V155" i="12" a="1"/>
  <c r="V155" i="12" s="1"/>
  <c r="V156" i="12" a="1"/>
  <c r="V156" i="12" s="1"/>
  <c r="V157" i="12" a="1"/>
  <c r="V157" i="12" s="1"/>
  <c r="V158" i="12" a="1"/>
  <c r="V158" i="12" s="1"/>
  <c r="V159" i="12" a="1"/>
  <c r="V159" i="12" s="1"/>
  <c r="V160" i="12" a="1"/>
  <c r="V160" i="12"/>
  <c r="V161" i="12" a="1"/>
  <c r="V161" i="12" s="1"/>
  <c r="V162" i="12" a="1"/>
  <c r="V162" i="12" s="1"/>
  <c r="V163" i="12" a="1"/>
  <c r="V163" i="12" s="1"/>
  <c r="V164" i="12" a="1"/>
  <c r="V164" i="12" s="1"/>
  <c r="V165" i="12" a="1"/>
  <c r="V165" i="12" s="1"/>
  <c r="V166" i="12" a="1"/>
  <c r="V166" i="12"/>
  <c r="V167" i="12" a="1"/>
  <c r="V167" i="12" s="1"/>
  <c r="V168" i="12" a="1"/>
  <c r="V168" i="12" s="1"/>
  <c r="V169" i="12" a="1"/>
  <c r="V169" i="12" s="1"/>
  <c r="V170" i="12" a="1"/>
  <c r="V170" i="12" s="1"/>
  <c r="V171" i="12" a="1"/>
  <c r="V171" i="12" s="1"/>
  <c r="V172" i="12" a="1"/>
  <c r="V172" i="12"/>
  <c r="V173" i="12" a="1"/>
  <c r="V173" i="12" s="1"/>
  <c r="V174" i="12" a="1"/>
  <c r="V174" i="12" s="1"/>
  <c r="V175" i="12" a="1"/>
  <c r="V175" i="12" s="1"/>
  <c r="V176" i="12" a="1"/>
  <c r="V176" i="12" s="1"/>
  <c r="V177" i="12" a="1"/>
  <c r="V177" i="12" s="1"/>
  <c r="V178" i="12" a="1"/>
  <c r="V178" i="12"/>
  <c r="V179" i="12" a="1"/>
  <c r="V179" i="12" s="1"/>
  <c r="V180" i="12" a="1"/>
  <c r="V180" i="12" s="1"/>
  <c r="V181" i="12" a="1"/>
  <c r="V181" i="12" s="1"/>
  <c r="V182" i="12" a="1"/>
  <c r="V182" i="12" s="1"/>
  <c r="V183" i="12" a="1"/>
  <c r="V183" i="12" s="1"/>
  <c r="V184" i="12" a="1"/>
  <c r="V184" i="12"/>
  <c r="V185" i="12" a="1"/>
  <c r="V185" i="12" s="1"/>
  <c r="V186" i="12" a="1"/>
  <c r="V186" i="12" s="1"/>
  <c r="V187" i="12" a="1"/>
  <c r="V187" i="12" s="1"/>
  <c r="V188" i="12" a="1"/>
  <c r="V188" i="12" s="1"/>
  <c r="V189" i="12" a="1"/>
  <c r="V189" i="12" s="1"/>
  <c r="V190" i="12" a="1"/>
  <c r="V190" i="12"/>
  <c r="V191" i="12" a="1"/>
  <c r="V191" i="12" s="1"/>
  <c r="V192" i="12" a="1"/>
  <c r="V192" i="12" s="1"/>
  <c r="V193" i="12" a="1"/>
  <c r="V193" i="12" s="1"/>
  <c r="V194" i="12" a="1"/>
  <c r="V194" i="12" s="1"/>
  <c r="V195" i="12" a="1"/>
  <c r="V195" i="12" s="1"/>
  <c r="V196" i="12" a="1"/>
  <c r="V196" i="12"/>
  <c r="V197" i="12" a="1"/>
  <c r="V197" i="12" s="1"/>
  <c r="V198" i="12" a="1"/>
  <c r="V198" i="12" s="1"/>
  <c r="V199" i="12" a="1"/>
  <c r="V199" i="12" s="1"/>
  <c r="V200" i="12" a="1"/>
  <c r="V200" i="12" s="1"/>
  <c r="V201" i="12" a="1"/>
  <c r="V201" i="12" s="1"/>
  <c r="V202" i="12" a="1"/>
  <c r="V202" i="12"/>
  <c r="V203" i="12" a="1"/>
  <c r="V203" i="12" s="1"/>
  <c r="V204" i="12" a="1"/>
  <c r="V204" i="12" s="1"/>
  <c r="V205" i="12" a="1"/>
  <c r="V205" i="12" s="1"/>
  <c r="V206" i="12" a="1"/>
  <c r="V206" i="12" s="1"/>
  <c r="V207" i="12" a="1"/>
  <c r="V207" i="12" s="1"/>
  <c r="V208" i="12" a="1"/>
  <c r="V208" i="12"/>
  <c r="V209" i="12" a="1"/>
  <c r="V209" i="12" s="1"/>
  <c r="V210" i="12" a="1"/>
  <c r="V210" i="12" s="1"/>
  <c r="V211" i="12" a="1"/>
  <c r="V211" i="12" s="1"/>
  <c r="V212" i="12" a="1"/>
  <c r="V212" i="12" s="1"/>
  <c r="V213" i="12" a="1"/>
  <c r="V213" i="12" s="1"/>
  <c r="V214" i="12" a="1"/>
  <c r="V214" i="12"/>
  <c r="V215" i="12" a="1"/>
  <c r="V215" i="12" s="1"/>
  <c r="V216" i="12" a="1"/>
  <c r="V216" i="12" s="1"/>
  <c r="V217" i="12" a="1"/>
  <c r="V217" i="12" s="1"/>
  <c r="V218" i="12" a="1"/>
  <c r="V218" i="12" s="1"/>
  <c r="V219" i="12" a="1"/>
  <c r="V219" i="12" s="1"/>
  <c r="V220" i="12" a="1"/>
  <c r="V220" i="12"/>
  <c r="V221" i="12" a="1"/>
  <c r="V221" i="12" s="1"/>
  <c r="V222" i="12" a="1"/>
  <c r="V222" i="12" s="1"/>
  <c r="V223" i="12" a="1"/>
  <c r="V223" i="12" s="1"/>
  <c r="V224" i="12" a="1"/>
  <c r="V224" i="12" s="1"/>
  <c r="V225" i="12" a="1"/>
  <c r="V225" i="12" s="1"/>
  <c r="V226" i="12" a="1"/>
  <c r="V226" i="12"/>
  <c r="V227" i="12" a="1"/>
  <c r="V227" i="12" s="1"/>
  <c r="V228" i="12" a="1"/>
  <c r="V228" i="12" s="1"/>
  <c r="V229" i="12" a="1"/>
  <c r="V229" i="12" s="1"/>
  <c r="V230" i="12" a="1"/>
  <c r="V230" i="12" s="1"/>
  <c r="V231" i="12" a="1"/>
  <c r="V231" i="12" s="1"/>
  <c r="V232" i="12" a="1"/>
  <c r="V232" i="12"/>
  <c r="V233" i="12" a="1"/>
  <c r="V233" i="12" s="1"/>
  <c r="V234" i="12" a="1"/>
  <c r="V234" i="12" s="1"/>
  <c r="V235" i="12" a="1"/>
  <c r="V235" i="12" s="1"/>
  <c r="V4" i="12" a="1"/>
  <c r="V4" i="12" s="1"/>
  <c r="U5" i="12"/>
  <c r="U6" i="12"/>
  <c r="U7" i="12"/>
  <c r="U8" i="12"/>
  <c r="U9" i="12"/>
  <c r="U10" i="12"/>
  <c r="U11" i="12"/>
  <c r="U12" i="12"/>
  <c r="U13" i="12"/>
  <c r="U14" i="12"/>
  <c r="U15" i="12"/>
  <c r="U16" i="12"/>
  <c r="U17" i="12"/>
  <c r="U18" i="12"/>
  <c r="U19" i="12"/>
  <c r="U20" i="12"/>
  <c r="U21" i="12"/>
  <c r="U22" i="12"/>
  <c r="U23" i="12"/>
  <c r="U24" i="12"/>
  <c r="U25" i="12"/>
  <c r="U26" i="12"/>
  <c r="U27" i="12"/>
  <c r="U28" i="12"/>
  <c r="U29" i="12"/>
  <c r="U30" i="12"/>
  <c r="U31" i="12"/>
  <c r="U32" i="12"/>
  <c r="U33" i="12"/>
  <c r="U34" i="12"/>
  <c r="U35" i="12"/>
  <c r="U36" i="12"/>
  <c r="U37" i="12"/>
  <c r="U38" i="12"/>
  <c r="U39" i="12"/>
  <c r="U40" i="12"/>
  <c r="U41" i="12"/>
  <c r="U42" i="12"/>
  <c r="U43" i="12"/>
  <c r="U44" i="12"/>
  <c r="U45" i="12"/>
  <c r="U46" i="12"/>
  <c r="U47" i="12"/>
  <c r="U48" i="12"/>
  <c r="U49" i="12"/>
  <c r="U50" i="12"/>
  <c r="U51" i="12"/>
  <c r="U52" i="12"/>
  <c r="U53" i="12"/>
  <c r="U54" i="12"/>
  <c r="U55" i="12"/>
  <c r="U56" i="12"/>
  <c r="U57" i="12"/>
  <c r="U58" i="12"/>
  <c r="U59" i="12"/>
  <c r="U60" i="12"/>
  <c r="U61" i="12"/>
  <c r="U62" i="12"/>
  <c r="U63" i="12"/>
  <c r="U64" i="12"/>
  <c r="U65" i="12"/>
  <c r="U66" i="12"/>
  <c r="U67" i="12"/>
  <c r="U68" i="12"/>
  <c r="U69" i="12"/>
  <c r="U70" i="12"/>
  <c r="U71" i="12"/>
  <c r="U72" i="12"/>
  <c r="U73" i="12"/>
  <c r="U74" i="12"/>
  <c r="U75" i="12"/>
  <c r="U76" i="12"/>
  <c r="U77" i="12"/>
  <c r="U78" i="12"/>
  <c r="U79" i="12"/>
  <c r="U80" i="12"/>
  <c r="U81" i="12"/>
  <c r="U82" i="12"/>
  <c r="U83" i="12"/>
  <c r="U84" i="12"/>
  <c r="U85" i="12"/>
  <c r="U86" i="12"/>
  <c r="U87" i="12"/>
  <c r="U88" i="12"/>
  <c r="U89" i="12"/>
  <c r="U90" i="12"/>
  <c r="U91" i="12"/>
  <c r="U92" i="12"/>
  <c r="U93" i="12"/>
  <c r="U94" i="12"/>
  <c r="U95" i="12"/>
  <c r="U96" i="12"/>
  <c r="U97" i="12"/>
  <c r="U98" i="12"/>
  <c r="U99" i="12"/>
  <c r="U100" i="12"/>
  <c r="U101" i="12"/>
  <c r="U102" i="12"/>
  <c r="U103" i="12"/>
  <c r="U104" i="12"/>
  <c r="U105" i="12"/>
  <c r="U106" i="12"/>
  <c r="U107" i="12"/>
  <c r="U108" i="12"/>
  <c r="U109" i="12"/>
  <c r="U110" i="12"/>
  <c r="U111" i="12"/>
  <c r="U112" i="12"/>
  <c r="U113" i="12"/>
  <c r="U114" i="12"/>
  <c r="U115" i="12"/>
  <c r="U116" i="12"/>
  <c r="U117" i="12"/>
  <c r="U118" i="12"/>
  <c r="U119" i="12"/>
  <c r="U120" i="12"/>
  <c r="U121" i="12"/>
  <c r="U122" i="12"/>
  <c r="U123" i="12"/>
  <c r="U124" i="12"/>
  <c r="U125" i="12"/>
  <c r="U126" i="12"/>
  <c r="U127" i="12"/>
  <c r="U128" i="12"/>
  <c r="U129" i="12"/>
  <c r="U130" i="12"/>
  <c r="U131" i="12"/>
  <c r="U132" i="12"/>
  <c r="U133" i="12"/>
  <c r="U134" i="12"/>
  <c r="U135" i="12"/>
  <c r="U136" i="12"/>
  <c r="U137" i="12"/>
  <c r="U138" i="12"/>
  <c r="U139" i="12"/>
  <c r="U140" i="12"/>
  <c r="U141" i="12"/>
  <c r="U142" i="12"/>
  <c r="U143" i="12"/>
  <c r="U144" i="12"/>
  <c r="U145" i="12"/>
  <c r="U146" i="12"/>
  <c r="U147" i="12"/>
  <c r="U148" i="12"/>
  <c r="U149" i="12"/>
  <c r="U150" i="12"/>
  <c r="U151" i="12"/>
  <c r="U152" i="12"/>
  <c r="U153" i="12"/>
  <c r="U154" i="12"/>
  <c r="U155" i="12"/>
  <c r="U156" i="12"/>
  <c r="U157" i="12"/>
  <c r="U158" i="12"/>
  <c r="U159" i="12"/>
  <c r="U160" i="12"/>
  <c r="U161" i="12"/>
  <c r="U162" i="12"/>
  <c r="U163" i="12"/>
  <c r="U164" i="12"/>
  <c r="U165" i="12"/>
  <c r="U166" i="12"/>
  <c r="U167" i="12"/>
  <c r="U168" i="12"/>
  <c r="U169" i="12"/>
  <c r="U170" i="12"/>
  <c r="U171" i="12"/>
  <c r="U172" i="12"/>
  <c r="U173" i="12"/>
  <c r="U174" i="12"/>
  <c r="U175" i="12"/>
  <c r="U176" i="12"/>
  <c r="U177" i="12"/>
  <c r="U178" i="12"/>
  <c r="U179" i="12"/>
  <c r="U180" i="12"/>
  <c r="U181" i="12"/>
  <c r="U182" i="12"/>
  <c r="U183" i="12"/>
  <c r="U184" i="12"/>
  <c r="U185" i="12"/>
  <c r="U186" i="12"/>
  <c r="U187" i="12"/>
  <c r="U188" i="12"/>
  <c r="U189" i="12"/>
  <c r="U190" i="12"/>
  <c r="U191" i="12"/>
  <c r="U192" i="12"/>
  <c r="U193" i="12"/>
  <c r="U194" i="12"/>
  <c r="U195" i="12"/>
  <c r="U196" i="12"/>
  <c r="U197" i="12"/>
  <c r="U198" i="12"/>
  <c r="U199" i="12"/>
  <c r="U200" i="12"/>
  <c r="U201" i="12"/>
  <c r="U202" i="12"/>
  <c r="U203" i="12"/>
  <c r="U204" i="12"/>
  <c r="U205" i="12"/>
  <c r="U206" i="12"/>
  <c r="U207" i="12"/>
  <c r="U208" i="12"/>
  <c r="U209" i="12"/>
  <c r="U210" i="12"/>
  <c r="U211" i="12"/>
  <c r="U212" i="12"/>
  <c r="U213" i="12"/>
  <c r="U214" i="12"/>
  <c r="U215" i="12"/>
  <c r="U216" i="12"/>
  <c r="U217" i="12"/>
  <c r="U218" i="12"/>
  <c r="U219" i="12"/>
  <c r="U220" i="12"/>
  <c r="U221" i="12"/>
  <c r="U222" i="12"/>
  <c r="U223" i="12"/>
  <c r="U224" i="12"/>
  <c r="U225" i="12"/>
  <c r="U226" i="12"/>
  <c r="U227" i="12"/>
  <c r="U228" i="12"/>
  <c r="U229" i="12"/>
  <c r="U230" i="12"/>
  <c r="U231" i="12"/>
  <c r="U232" i="12"/>
  <c r="U233" i="12"/>
  <c r="U234" i="12"/>
  <c r="U235" i="12"/>
  <c r="T5" i="12" a="1"/>
  <c r="T5" i="12" s="1"/>
  <c r="T6" i="12" a="1"/>
  <c r="T6" i="12" s="1"/>
  <c r="T7" i="12" a="1"/>
  <c r="T7" i="12" s="1"/>
  <c r="T8" i="12" a="1"/>
  <c r="T8" i="12" s="1"/>
  <c r="T9" i="12" a="1"/>
  <c r="T9" i="12"/>
  <c r="T10" i="12" a="1"/>
  <c r="T10" i="12"/>
  <c r="T11" i="12" a="1"/>
  <c r="T11" i="12" s="1"/>
  <c r="T12" i="12" a="1"/>
  <c r="T12" i="12" s="1"/>
  <c r="T13" i="12" a="1"/>
  <c r="T13" i="12" s="1"/>
  <c r="T14" i="12" a="1"/>
  <c r="T14" i="12" s="1"/>
  <c r="T15" i="12" a="1"/>
  <c r="T15" i="12"/>
  <c r="T16" i="12" a="1"/>
  <c r="T16" i="12"/>
  <c r="T17" i="12" a="1"/>
  <c r="T17" i="12" s="1"/>
  <c r="T18" i="12" a="1"/>
  <c r="T18" i="12" s="1"/>
  <c r="T19" i="12" a="1"/>
  <c r="T19" i="12" s="1"/>
  <c r="T20" i="12" a="1"/>
  <c r="T20" i="12" s="1"/>
  <c r="T21" i="12" a="1"/>
  <c r="T21" i="12"/>
  <c r="T22" i="12" a="1"/>
  <c r="T22" i="12"/>
  <c r="T23" i="12" a="1"/>
  <c r="T23" i="12" s="1"/>
  <c r="T24" i="12" a="1"/>
  <c r="T24" i="12" s="1"/>
  <c r="T25" i="12" a="1"/>
  <c r="T25" i="12" s="1"/>
  <c r="T26" i="12" a="1"/>
  <c r="T26" i="12" s="1"/>
  <c r="T27" i="12" a="1"/>
  <c r="T27" i="12"/>
  <c r="T28" i="12" a="1"/>
  <c r="T28" i="12"/>
  <c r="T29" i="12" a="1"/>
  <c r="T29" i="12" s="1"/>
  <c r="T30" i="12" a="1"/>
  <c r="T30" i="12" s="1"/>
  <c r="T31" i="12" a="1"/>
  <c r="T31" i="12" s="1"/>
  <c r="T32" i="12" a="1"/>
  <c r="T32" i="12" s="1"/>
  <c r="T33" i="12" a="1"/>
  <c r="T33" i="12"/>
  <c r="T34" i="12" a="1"/>
  <c r="T34" i="12"/>
  <c r="T35" i="12" a="1"/>
  <c r="T35" i="12" s="1"/>
  <c r="T36" i="12" a="1"/>
  <c r="T36" i="12" s="1"/>
  <c r="T37" i="12" a="1"/>
  <c r="T37" i="12" s="1"/>
  <c r="T38" i="12" a="1"/>
  <c r="T38" i="12" s="1"/>
  <c r="T39" i="12" a="1"/>
  <c r="T39" i="12"/>
  <c r="T40" i="12" a="1"/>
  <c r="T40" i="12"/>
  <c r="T41" i="12" a="1"/>
  <c r="T41" i="12" s="1"/>
  <c r="T42" i="12" a="1"/>
  <c r="T42" i="12" s="1"/>
  <c r="T43" i="12" a="1"/>
  <c r="T43" i="12" s="1"/>
  <c r="T44" i="12" a="1"/>
  <c r="T44" i="12" s="1"/>
  <c r="T45" i="12" a="1"/>
  <c r="T45" i="12"/>
  <c r="T46" i="12" a="1"/>
  <c r="T46" i="12"/>
  <c r="T47" i="12" a="1"/>
  <c r="T47" i="12" s="1"/>
  <c r="T48" i="12" a="1"/>
  <c r="T48" i="12" s="1"/>
  <c r="T49" i="12" a="1"/>
  <c r="T49" i="12" s="1"/>
  <c r="T50" i="12" a="1"/>
  <c r="T50" i="12" s="1"/>
  <c r="T51" i="12" a="1"/>
  <c r="T51" i="12"/>
  <c r="T52" i="12" a="1"/>
  <c r="T52" i="12"/>
  <c r="T53" i="12" a="1"/>
  <c r="T53" i="12" s="1"/>
  <c r="T54" i="12" a="1"/>
  <c r="T54" i="12" s="1"/>
  <c r="T55" i="12" a="1"/>
  <c r="T55" i="12" s="1"/>
  <c r="T56" i="12" a="1"/>
  <c r="T56" i="12" s="1"/>
  <c r="T57" i="12" a="1"/>
  <c r="T57" i="12"/>
  <c r="T58" i="12" a="1"/>
  <c r="T58" i="12"/>
  <c r="T59" i="12" a="1"/>
  <c r="T59" i="12" s="1"/>
  <c r="T60" i="12" a="1"/>
  <c r="T60" i="12" s="1"/>
  <c r="T61" i="12" a="1"/>
  <c r="T61" i="12" s="1"/>
  <c r="T62" i="12" a="1"/>
  <c r="T62" i="12" s="1"/>
  <c r="T63" i="12" a="1"/>
  <c r="T63" i="12"/>
  <c r="T64" i="12" a="1"/>
  <c r="T64" i="12"/>
  <c r="T65" i="12" a="1"/>
  <c r="T65" i="12" s="1"/>
  <c r="T66" i="12" a="1"/>
  <c r="T66" i="12" s="1"/>
  <c r="T67" i="12" a="1"/>
  <c r="T67" i="12" s="1"/>
  <c r="T68" i="12" a="1"/>
  <c r="T68" i="12" s="1"/>
  <c r="T69" i="12" a="1"/>
  <c r="T69" i="12"/>
  <c r="T70" i="12" a="1"/>
  <c r="T70" i="12"/>
  <c r="T71" i="12" a="1"/>
  <c r="T71" i="12" s="1"/>
  <c r="T72" i="12" a="1"/>
  <c r="T72" i="12" s="1"/>
  <c r="T73" i="12" a="1"/>
  <c r="T73" i="12" s="1"/>
  <c r="T74" i="12" a="1"/>
  <c r="T74" i="12" s="1"/>
  <c r="T75" i="12" a="1"/>
  <c r="T75" i="12"/>
  <c r="T76" i="12" a="1"/>
  <c r="T76" i="12"/>
  <c r="T77" i="12" a="1"/>
  <c r="T77" i="12" s="1"/>
  <c r="T78" i="12" a="1"/>
  <c r="T78" i="12" s="1"/>
  <c r="T79" i="12" a="1"/>
  <c r="T79" i="12" s="1"/>
  <c r="T80" i="12" a="1"/>
  <c r="T80" i="12" s="1"/>
  <c r="T81" i="12" a="1"/>
  <c r="T81" i="12"/>
  <c r="T82" i="12" a="1"/>
  <c r="T82" i="12"/>
  <c r="T83" i="12" a="1"/>
  <c r="T83" i="12" s="1"/>
  <c r="T84" i="12" a="1"/>
  <c r="T84" i="12" s="1"/>
  <c r="T85" i="12" a="1"/>
  <c r="T85" i="12" s="1"/>
  <c r="T86" i="12" a="1"/>
  <c r="T86" i="12" s="1"/>
  <c r="T87" i="12" a="1"/>
  <c r="T87" i="12"/>
  <c r="T88" i="12" a="1"/>
  <c r="T88" i="12"/>
  <c r="T89" i="12" a="1"/>
  <c r="T89" i="12" s="1"/>
  <c r="T90" i="12" a="1"/>
  <c r="T90" i="12" s="1"/>
  <c r="T91" i="12" a="1"/>
  <c r="T91" i="12" s="1"/>
  <c r="T92" i="12" a="1"/>
  <c r="T92" i="12" s="1"/>
  <c r="T93" i="12" a="1"/>
  <c r="T93" i="12"/>
  <c r="T94" i="12" a="1"/>
  <c r="T94" i="12"/>
  <c r="T95" i="12" a="1"/>
  <c r="T95" i="12" s="1"/>
  <c r="T96" i="12" a="1"/>
  <c r="T96" i="12" s="1"/>
  <c r="T97" i="12" a="1"/>
  <c r="T97" i="12" s="1"/>
  <c r="T98" i="12" a="1"/>
  <c r="T98" i="12" s="1"/>
  <c r="T99" i="12" a="1"/>
  <c r="T99" i="12"/>
  <c r="T100" i="12" a="1"/>
  <c r="T100" i="12"/>
  <c r="T101" i="12" a="1"/>
  <c r="T101" i="12" s="1"/>
  <c r="T102" i="12" a="1"/>
  <c r="T102" i="12" s="1"/>
  <c r="T103" i="12" a="1"/>
  <c r="T103" i="12" s="1"/>
  <c r="T104" i="12" a="1"/>
  <c r="T104" i="12" s="1"/>
  <c r="T105" i="12" a="1"/>
  <c r="T105" i="12"/>
  <c r="T106" i="12" a="1"/>
  <c r="T106" i="12"/>
  <c r="T107" i="12" a="1"/>
  <c r="T107" i="12" s="1"/>
  <c r="T108" i="12" a="1"/>
  <c r="T108" i="12" s="1"/>
  <c r="T109" i="12" a="1"/>
  <c r="T109" i="12" s="1"/>
  <c r="T110" i="12" a="1"/>
  <c r="T110" i="12" s="1"/>
  <c r="T111" i="12" a="1"/>
  <c r="T111" i="12"/>
  <c r="T112" i="12" a="1"/>
  <c r="T112" i="12"/>
  <c r="T113" i="12" a="1"/>
  <c r="T113" i="12" s="1"/>
  <c r="T114" i="12" a="1"/>
  <c r="T114" i="12" s="1"/>
  <c r="T115" i="12" a="1"/>
  <c r="T115" i="12" s="1"/>
  <c r="T116" i="12" a="1"/>
  <c r="T116" i="12" s="1"/>
  <c r="T117" i="12" a="1"/>
  <c r="T117" i="12"/>
  <c r="T118" i="12" a="1"/>
  <c r="T118" i="12"/>
  <c r="T119" i="12" a="1"/>
  <c r="T119" i="12" s="1"/>
  <c r="T120" i="12" a="1"/>
  <c r="T120" i="12" s="1"/>
  <c r="T121" i="12" a="1"/>
  <c r="T121" i="12" s="1"/>
  <c r="T122" i="12" a="1"/>
  <c r="T122" i="12" s="1"/>
  <c r="T123" i="12" a="1"/>
  <c r="T123" i="12"/>
  <c r="T124" i="12" a="1"/>
  <c r="T124" i="12"/>
  <c r="T125" i="12" a="1"/>
  <c r="T125" i="12" s="1"/>
  <c r="T126" i="12" a="1"/>
  <c r="T126" i="12" s="1"/>
  <c r="T127" i="12" a="1"/>
  <c r="T127" i="12" s="1"/>
  <c r="T128" i="12" a="1"/>
  <c r="T128" i="12" s="1"/>
  <c r="T129" i="12" a="1"/>
  <c r="T129" i="12"/>
  <c r="T130" i="12" a="1"/>
  <c r="T130" i="12"/>
  <c r="T131" i="12" a="1"/>
  <c r="T131" i="12" s="1"/>
  <c r="T132" i="12" a="1"/>
  <c r="T132" i="12" s="1"/>
  <c r="T133" i="12" a="1"/>
  <c r="T133" i="12" s="1"/>
  <c r="T134" i="12" a="1"/>
  <c r="T134" i="12" s="1"/>
  <c r="T135" i="12" a="1"/>
  <c r="T135" i="12"/>
  <c r="T136" i="12" a="1"/>
  <c r="T136" i="12"/>
  <c r="T137" i="12" a="1"/>
  <c r="T137" i="12" s="1"/>
  <c r="T138" i="12" a="1"/>
  <c r="T138" i="12" s="1"/>
  <c r="T139" i="12" a="1"/>
  <c r="T139" i="12" s="1"/>
  <c r="T140" i="12" a="1"/>
  <c r="T140" i="12" s="1"/>
  <c r="T141" i="12" a="1"/>
  <c r="T141" i="12"/>
  <c r="T142" i="12" a="1"/>
  <c r="T142" i="12"/>
  <c r="T143" i="12" a="1"/>
  <c r="T143" i="12" s="1"/>
  <c r="T144" i="12" a="1"/>
  <c r="T144" i="12" s="1"/>
  <c r="T145" i="12" a="1"/>
  <c r="T145" i="12" s="1"/>
  <c r="T146" i="12" a="1"/>
  <c r="T146" i="12" s="1"/>
  <c r="T147" i="12" a="1"/>
  <c r="T147" i="12"/>
  <c r="T148" i="12" a="1"/>
  <c r="T148" i="12"/>
  <c r="T149" i="12" a="1"/>
  <c r="T149" i="12" s="1"/>
  <c r="T150" i="12" a="1"/>
  <c r="T150" i="12" s="1"/>
  <c r="T151" i="12" a="1"/>
  <c r="T151" i="12" s="1"/>
  <c r="T152" i="12" a="1"/>
  <c r="T152" i="12" s="1"/>
  <c r="T153" i="12" a="1"/>
  <c r="T153" i="12"/>
  <c r="T154" i="12" a="1"/>
  <c r="T154" i="12"/>
  <c r="T155" i="12" a="1"/>
  <c r="T155" i="12" s="1"/>
  <c r="T156" i="12" a="1"/>
  <c r="T156" i="12" s="1"/>
  <c r="T157" i="12" a="1"/>
  <c r="T157" i="12" s="1"/>
  <c r="T158" i="12" a="1"/>
  <c r="T158" i="12" s="1"/>
  <c r="T159" i="12" a="1"/>
  <c r="T159" i="12"/>
  <c r="T160" i="12" a="1"/>
  <c r="T160" i="12"/>
  <c r="T161" i="12" a="1"/>
  <c r="T161" i="12" s="1"/>
  <c r="T162" i="12" a="1"/>
  <c r="T162" i="12" s="1"/>
  <c r="T163" i="12" a="1"/>
  <c r="T163" i="12" s="1"/>
  <c r="T164" i="12" a="1"/>
  <c r="T164" i="12" s="1"/>
  <c r="T165" i="12" a="1"/>
  <c r="T165" i="12"/>
  <c r="T166" i="12" a="1"/>
  <c r="T166" i="12"/>
  <c r="T167" i="12" a="1"/>
  <c r="T167" i="12" s="1"/>
  <c r="T168" i="12" a="1"/>
  <c r="T168" i="12" s="1"/>
  <c r="T169" i="12" a="1"/>
  <c r="T169" i="12" s="1"/>
  <c r="T170" i="12" a="1"/>
  <c r="T170" i="12" s="1"/>
  <c r="T171" i="12" a="1"/>
  <c r="T171" i="12"/>
  <c r="T172" i="12" a="1"/>
  <c r="T172" i="12"/>
  <c r="T173" i="12" a="1"/>
  <c r="T173" i="12" s="1"/>
  <c r="T174" i="12" a="1"/>
  <c r="T174" i="12" s="1"/>
  <c r="T175" i="12" a="1"/>
  <c r="T175" i="12" s="1"/>
  <c r="T176" i="12" a="1"/>
  <c r="T176" i="12" s="1"/>
  <c r="T177" i="12" a="1"/>
  <c r="T177" i="12"/>
  <c r="T178" i="12" a="1"/>
  <c r="T178" i="12"/>
  <c r="T179" i="12" a="1"/>
  <c r="T179" i="12" s="1"/>
  <c r="T180" i="12" a="1"/>
  <c r="T180" i="12" s="1"/>
  <c r="T181" i="12" a="1"/>
  <c r="T181" i="12" s="1"/>
  <c r="T182" i="12" a="1"/>
  <c r="T182" i="12" s="1"/>
  <c r="T183" i="12" a="1"/>
  <c r="T183" i="12"/>
  <c r="T184" i="12" a="1"/>
  <c r="T184" i="12"/>
  <c r="T185" i="12" a="1"/>
  <c r="T185" i="12" s="1"/>
  <c r="T186" i="12" a="1"/>
  <c r="T186" i="12" s="1"/>
  <c r="T187" i="12" a="1"/>
  <c r="T187" i="12" s="1"/>
  <c r="T188" i="12" a="1"/>
  <c r="T188" i="12" s="1"/>
  <c r="T189" i="12" a="1"/>
  <c r="T189" i="12"/>
  <c r="T190" i="12" a="1"/>
  <c r="T190" i="12"/>
  <c r="T191" i="12" a="1"/>
  <c r="T191" i="12" s="1"/>
  <c r="T192" i="12" a="1"/>
  <c r="T192" i="12" s="1"/>
  <c r="T193" i="12" a="1"/>
  <c r="T193" i="12" s="1"/>
  <c r="T194" i="12" a="1"/>
  <c r="T194" i="12" s="1"/>
  <c r="T195" i="12" a="1"/>
  <c r="T195" i="12"/>
  <c r="T196" i="12" a="1"/>
  <c r="T196" i="12"/>
  <c r="T197" i="12" a="1"/>
  <c r="T197" i="12" s="1"/>
  <c r="T198" i="12" a="1"/>
  <c r="T198" i="12" s="1"/>
  <c r="T199" i="12" a="1"/>
  <c r="T199" i="12" s="1"/>
  <c r="T200" i="12" a="1"/>
  <c r="T200" i="12" s="1"/>
  <c r="T201" i="12" a="1"/>
  <c r="T201" i="12"/>
  <c r="T202" i="12" a="1"/>
  <c r="T202" i="12"/>
  <c r="T203" i="12" a="1"/>
  <c r="T203" i="12" s="1"/>
  <c r="T204" i="12" a="1"/>
  <c r="T204" i="12" s="1"/>
  <c r="T205" i="12" a="1"/>
  <c r="T205" i="12" s="1"/>
  <c r="T206" i="12" a="1"/>
  <c r="T206" i="12" s="1"/>
  <c r="T207" i="12" a="1"/>
  <c r="T207" i="12"/>
  <c r="T208" i="12" a="1"/>
  <c r="T208" i="12"/>
  <c r="T209" i="12" a="1"/>
  <c r="T209" i="12" s="1"/>
  <c r="T210" i="12" a="1"/>
  <c r="T210" i="12" s="1"/>
  <c r="T211" i="12" a="1"/>
  <c r="T211" i="12" s="1"/>
  <c r="T212" i="12" a="1"/>
  <c r="T212" i="12" s="1"/>
  <c r="T213" i="12" a="1"/>
  <c r="T213" i="12"/>
  <c r="T214" i="12" a="1"/>
  <c r="T214" i="12"/>
  <c r="T215" i="12" a="1"/>
  <c r="T215" i="12" s="1"/>
  <c r="T216" i="12" a="1"/>
  <c r="T216" i="12" s="1"/>
  <c r="T217" i="12" a="1"/>
  <c r="T217" i="12" s="1"/>
  <c r="T218" i="12" a="1"/>
  <c r="T218" i="12" s="1"/>
  <c r="T219" i="12" a="1"/>
  <c r="T219" i="12"/>
  <c r="T220" i="12" a="1"/>
  <c r="T220" i="12"/>
  <c r="T221" i="12" a="1"/>
  <c r="T221" i="12" s="1"/>
  <c r="T222" i="12" a="1"/>
  <c r="T222" i="12" s="1"/>
  <c r="T223" i="12" a="1"/>
  <c r="T223" i="12" s="1"/>
  <c r="T224" i="12" a="1"/>
  <c r="T224" i="12" s="1"/>
  <c r="T225" i="12" a="1"/>
  <c r="T225" i="12"/>
  <c r="T226" i="12" a="1"/>
  <c r="T226" i="12"/>
  <c r="T227" i="12" a="1"/>
  <c r="T227" i="12" s="1"/>
  <c r="T228" i="12" a="1"/>
  <c r="T228" i="12" s="1"/>
  <c r="T229" i="12" a="1"/>
  <c r="T229" i="12" s="1"/>
  <c r="T230" i="12" a="1"/>
  <c r="T230" i="12" s="1"/>
  <c r="T231" i="12" a="1"/>
  <c r="T231" i="12"/>
  <c r="T232" i="12" a="1"/>
  <c r="T232" i="12"/>
  <c r="T233" i="12" a="1"/>
  <c r="T233" i="12" s="1"/>
  <c r="T234" i="12" a="1"/>
  <c r="T234" i="12" s="1"/>
  <c r="T235" i="12" a="1"/>
  <c r="T235" i="12" s="1"/>
  <c r="T4" i="12" a="1"/>
  <c r="T4" i="12" s="1"/>
  <c r="S5" i="12"/>
  <c r="S6" i="12"/>
  <c r="S7" i="12"/>
  <c r="S8" i="12"/>
  <c r="S9" i="12"/>
  <c r="S10" i="12"/>
  <c r="S11" i="12"/>
  <c r="S12" i="12"/>
  <c r="S13" i="12"/>
  <c r="S14" i="12"/>
  <c r="S15" i="12"/>
  <c r="S16" i="12"/>
  <c r="S17" i="12"/>
  <c r="S18" i="12"/>
  <c r="S19" i="12"/>
  <c r="S20" i="12"/>
  <c r="S21" i="12"/>
  <c r="S22" i="12"/>
  <c r="S23" i="12"/>
  <c r="S24" i="12"/>
  <c r="S25" i="12"/>
  <c r="S26" i="12"/>
  <c r="S27" i="12"/>
  <c r="S28" i="12"/>
  <c r="S29" i="12"/>
  <c r="S30" i="12"/>
  <c r="S31" i="12"/>
  <c r="S32" i="12"/>
  <c r="S33" i="12"/>
  <c r="S34" i="12"/>
  <c r="S35" i="12"/>
  <c r="S36" i="12"/>
  <c r="S37" i="12"/>
  <c r="S38" i="12"/>
  <c r="S39" i="12"/>
  <c r="S40" i="12"/>
  <c r="S41" i="12"/>
  <c r="S42" i="12"/>
  <c r="S43" i="12"/>
  <c r="S44" i="12"/>
  <c r="S45" i="12"/>
  <c r="S46" i="12"/>
  <c r="S47" i="12"/>
  <c r="S48" i="12"/>
  <c r="S49" i="12"/>
  <c r="S50" i="12"/>
  <c r="S51" i="12"/>
  <c r="S52" i="12"/>
  <c r="S53" i="12"/>
  <c r="S54" i="12"/>
  <c r="S55" i="12"/>
  <c r="S56" i="12"/>
  <c r="S57" i="12"/>
  <c r="S58" i="12"/>
  <c r="S59" i="12"/>
  <c r="S60" i="12"/>
  <c r="S61" i="12"/>
  <c r="S62" i="12"/>
  <c r="S63" i="12"/>
  <c r="S64" i="12"/>
  <c r="S65" i="12"/>
  <c r="S66" i="12"/>
  <c r="S67" i="12"/>
  <c r="S68" i="12"/>
  <c r="S69" i="12"/>
  <c r="S70" i="12"/>
  <c r="S71" i="12"/>
  <c r="S72" i="12"/>
  <c r="S73" i="12"/>
  <c r="S74" i="12"/>
  <c r="S75" i="12"/>
  <c r="S76" i="12"/>
  <c r="S77" i="12"/>
  <c r="S78" i="12"/>
  <c r="S79" i="12"/>
  <c r="S80" i="12"/>
  <c r="S81" i="12"/>
  <c r="S82" i="12"/>
  <c r="S83" i="12"/>
  <c r="S84" i="12"/>
  <c r="S85" i="12"/>
  <c r="S86" i="12"/>
  <c r="S87" i="12"/>
  <c r="S88" i="12"/>
  <c r="S89" i="12"/>
  <c r="S90" i="12"/>
  <c r="S91" i="12"/>
  <c r="S92" i="12"/>
  <c r="S93" i="12"/>
  <c r="S94" i="12"/>
  <c r="S95" i="12"/>
  <c r="S96" i="12"/>
  <c r="S97" i="12"/>
  <c r="S98" i="12"/>
  <c r="S99" i="12"/>
  <c r="S100" i="12"/>
  <c r="S101" i="12"/>
  <c r="S102" i="12"/>
  <c r="S103" i="12"/>
  <c r="S104" i="12"/>
  <c r="S105" i="12"/>
  <c r="S106" i="12"/>
  <c r="S107" i="12"/>
  <c r="S108" i="12"/>
  <c r="S109" i="12"/>
  <c r="S110" i="12"/>
  <c r="S111" i="12"/>
  <c r="S112" i="12"/>
  <c r="S113" i="12"/>
  <c r="S114" i="12"/>
  <c r="S115" i="12"/>
  <c r="S116" i="12"/>
  <c r="S117" i="12"/>
  <c r="S118" i="12"/>
  <c r="S119" i="12"/>
  <c r="S120" i="12"/>
  <c r="S121" i="12"/>
  <c r="S122" i="12"/>
  <c r="S123" i="12"/>
  <c r="S124" i="12"/>
  <c r="S125" i="12"/>
  <c r="S126" i="12"/>
  <c r="S127" i="12"/>
  <c r="S128" i="12"/>
  <c r="S129" i="12"/>
  <c r="S130" i="12"/>
  <c r="S131" i="12"/>
  <c r="S132" i="12"/>
  <c r="S133" i="12"/>
  <c r="S134" i="12"/>
  <c r="S135" i="12"/>
  <c r="S136" i="12"/>
  <c r="S137" i="12"/>
  <c r="S138" i="12"/>
  <c r="S139" i="12"/>
  <c r="S140" i="12"/>
  <c r="S141" i="12"/>
  <c r="S142" i="12"/>
  <c r="S143" i="12"/>
  <c r="S144" i="12"/>
  <c r="S145" i="12"/>
  <c r="S146" i="12"/>
  <c r="S147" i="12"/>
  <c r="S148" i="12"/>
  <c r="S149" i="12"/>
  <c r="S150" i="12"/>
  <c r="S151" i="12"/>
  <c r="S152" i="12"/>
  <c r="S153" i="12"/>
  <c r="S154" i="12"/>
  <c r="S155" i="12"/>
  <c r="S156" i="12"/>
  <c r="S157" i="12"/>
  <c r="S158" i="12"/>
  <c r="S159" i="12"/>
  <c r="S160" i="12"/>
  <c r="S161" i="12"/>
  <c r="S162" i="12"/>
  <c r="S163" i="12"/>
  <c r="S164" i="12"/>
  <c r="S165" i="12"/>
  <c r="S166" i="12"/>
  <c r="S167" i="12"/>
  <c r="S168" i="12"/>
  <c r="S169" i="12"/>
  <c r="S170" i="12"/>
  <c r="S171" i="12"/>
  <c r="S172" i="12"/>
  <c r="S173" i="12"/>
  <c r="S174" i="12"/>
  <c r="S175" i="12"/>
  <c r="S176" i="12"/>
  <c r="S177" i="12"/>
  <c r="S178" i="12"/>
  <c r="S179" i="12"/>
  <c r="S180" i="12"/>
  <c r="S181" i="12"/>
  <c r="S182" i="12"/>
  <c r="S183" i="12"/>
  <c r="S184" i="12"/>
  <c r="S185" i="12"/>
  <c r="S186" i="12"/>
  <c r="S187" i="12"/>
  <c r="S188" i="12"/>
  <c r="S189" i="12"/>
  <c r="S190" i="12"/>
  <c r="S191" i="12"/>
  <c r="S192" i="12"/>
  <c r="S193" i="12"/>
  <c r="S194" i="12"/>
  <c r="S195" i="12"/>
  <c r="S196" i="12"/>
  <c r="S197" i="12"/>
  <c r="S198" i="12"/>
  <c r="S199" i="12"/>
  <c r="S200" i="12"/>
  <c r="S201" i="12"/>
  <c r="S202" i="12"/>
  <c r="S203" i="12"/>
  <c r="S204" i="12"/>
  <c r="S205" i="12"/>
  <c r="S206" i="12"/>
  <c r="S207" i="12"/>
  <c r="S208" i="12"/>
  <c r="S209" i="12"/>
  <c r="S210" i="12"/>
  <c r="S211" i="12"/>
  <c r="S212" i="12"/>
  <c r="S213" i="12"/>
  <c r="S214" i="12"/>
  <c r="S215" i="12"/>
  <c r="S216" i="12"/>
  <c r="S217" i="12"/>
  <c r="S218" i="12"/>
  <c r="S219" i="12"/>
  <c r="S220" i="12"/>
  <c r="S221" i="12"/>
  <c r="S222" i="12"/>
  <c r="S223" i="12"/>
  <c r="S224" i="12"/>
  <c r="S225" i="12"/>
  <c r="S226" i="12"/>
  <c r="S227" i="12"/>
  <c r="S228" i="12"/>
  <c r="S229" i="12"/>
  <c r="S230" i="12"/>
  <c r="S231" i="12"/>
  <c r="S232" i="12"/>
  <c r="S233" i="12"/>
  <c r="S234" i="12"/>
  <c r="S235" i="12"/>
  <c r="O5" i="12"/>
  <c r="O6" i="12"/>
  <c r="O7" i="12"/>
  <c r="O8" i="12"/>
  <c r="O9" i="12"/>
  <c r="O10" i="12"/>
  <c r="O11" i="12"/>
  <c r="O12" i="12"/>
  <c r="O13" i="12"/>
  <c r="O14" i="12"/>
  <c r="O15" i="12"/>
  <c r="O16" i="12"/>
  <c r="P16" i="12" s="1"/>
  <c r="O17" i="12"/>
  <c r="O18" i="12"/>
  <c r="O19" i="12"/>
  <c r="O20" i="12"/>
  <c r="O21" i="12"/>
  <c r="O22" i="12"/>
  <c r="O23" i="12"/>
  <c r="O24" i="12"/>
  <c r="O25" i="12"/>
  <c r="O26" i="12"/>
  <c r="O27" i="12"/>
  <c r="O28" i="12"/>
  <c r="P28" i="12" s="1"/>
  <c r="O29" i="12"/>
  <c r="O30" i="12"/>
  <c r="O31" i="12"/>
  <c r="O32" i="12"/>
  <c r="O33" i="12"/>
  <c r="O34" i="12"/>
  <c r="O35" i="12"/>
  <c r="O36" i="12"/>
  <c r="O37" i="12"/>
  <c r="O38" i="12"/>
  <c r="O39" i="12"/>
  <c r="O40" i="12"/>
  <c r="P40" i="12" s="1"/>
  <c r="O41" i="12"/>
  <c r="O42" i="12"/>
  <c r="O43" i="12"/>
  <c r="O44" i="12"/>
  <c r="O45" i="12"/>
  <c r="O46" i="12"/>
  <c r="O47" i="12"/>
  <c r="O48" i="12"/>
  <c r="O49" i="12"/>
  <c r="O50" i="12"/>
  <c r="O51" i="12"/>
  <c r="O52" i="12"/>
  <c r="P52" i="12" s="1"/>
  <c r="O53" i="12"/>
  <c r="O54" i="12"/>
  <c r="O55" i="12"/>
  <c r="O56" i="12"/>
  <c r="O57" i="12"/>
  <c r="O58" i="12"/>
  <c r="O59" i="12"/>
  <c r="O60" i="12"/>
  <c r="O61" i="12"/>
  <c r="O62" i="12"/>
  <c r="O63" i="12"/>
  <c r="O64" i="12"/>
  <c r="P64" i="12" s="1"/>
  <c r="O65" i="12"/>
  <c r="O66" i="12"/>
  <c r="O67" i="12"/>
  <c r="O68" i="12"/>
  <c r="O69" i="12"/>
  <c r="O70" i="12"/>
  <c r="O71" i="12"/>
  <c r="O72" i="12"/>
  <c r="O73" i="12"/>
  <c r="O74" i="12"/>
  <c r="O75" i="12"/>
  <c r="O76" i="12"/>
  <c r="P76" i="12" s="1"/>
  <c r="O77" i="12"/>
  <c r="O78" i="12"/>
  <c r="O79" i="12"/>
  <c r="O80" i="12"/>
  <c r="O81" i="12"/>
  <c r="O82" i="12"/>
  <c r="O83" i="12"/>
  <c r="O84" i="12"/>
  <c r="O85" i="12"/>
  <c r="O86" i="12"/>
  <c r="O87" i="12"/>
  <c r="O89" i="12"/>
  <c r="O91" i="12"/>
  <c r="O93" i="12"/>
  <c r="O95" i="12"/>
  <c r="O97" i="12"/>
  <c r="O99" i="12"/>
  <c r="O101" i="12"/>
  <c r="O102" i="12"/>
  <c r="O103" i="12"/>
  <c r="O104" i="12"/>
  <c r="O105" i="12"/>
  <c r="O106" i="12"/>
  <c r="O107" i="12"/>
  <c r="O108" i="12"/>
  <c r="O109" i="12"/>
  <c r="O110" i="12"/>
  <c r="O111" i="12"/>
  <c r="O112" i="12"/>
  <c r="P112" i="12" s="1"/>
  <c r="O113" i="12"/>
  <c r="O114" i="12"/>
  <c r="O115" i="12"/>
  <c r="O116" i="12"/>
  <c r="O117" i="12"/>
  <c r="O118" i="12"/>
  <c r="O119" i="12"/>
  <c r="O120" i="12"/>
  <c r="O121" i="12"/>
  <c r="O122" i="12"/>
  <c r="O123" i="12"/>
  <c r="O124" i="12"/>
  <c r="P124" i="12" s="1"/>
  <c r="O125" i="12"/>
  <c r="O126" i="12"/>
  <c r="O127" i="12"/>
  <c r="O128" i="12"/>
  <c r="O129" i="12"/>
  <c r="O130" i="12"/>
  <c r="O131" i="12"/>
  <c r="O132" i="12"/>
  <c r="O133" i="12"/>
  <c r="O134" i="12"/>
  <c r="O135" i="12"/>
  <c r="O136" i="12"/>
  <c r="P136" i="12" s="1"/>
  <c r="O137" i="12"/>
  <c r="O138" i="12"/>
  <c r="O139" i="12"/>
  <c r="O140" i="12"/>
  <c r="O141" i="12"/>
  <c r="O142" i="12"/>
  <c r="O143" i="12"/>
  <c r="O144" i="12"/>
  <c r="O145" i="12"/>
  <c r="O146" i="12"/>
  <c r="O147" i="12"/>
  <c r="O148" i="12"/>
  <c r="P148" i="12" s="1"/>
  <c r="O149" i="12"/>
  <c r="O150" i="12"/>
  <c r="O151" i="12"/>
  <c r="O152" i="12"/>
  <c r="O153" i="12"/>
  <c r="O154" i="12"/>
  <c r="O155" i="12"/>
  <c r="O156" i="12"/>
  <c r="O157" i="12"/>
  <c r="O158" i="12"/>
  <c r="O159" i="12"/>
  <c r="O160" i="12"/>
  <c r="P160" i="12" s="1"/>
  <c r="O161" i="12"/>
  <c r="O162" i="12"/>
  <c r="O163" i="12"/>
  <c r="O164" i="12"/>
  <c r="O165" i="12"/>
  <c r="O166" i="12"/>
  <c r="O167" i="12"/>
  <c r="O168" i="12"/>
  <c r="O169" i="12"/>
  <c r="O170" i="12"/>
  <c r="O171" i="12"/>
  <c r="O172" i="12"/>
  <c r="P172" i="12" s="1"/>
  <c r="O173" i="12"/>
  <c r="O174" i="12"/>
  <c r="O175" i="12"/>
  <c r="O176" i="12"/>
  <c r="O177" i="12"/>
  <c r="O178" i="12"/>
  <c r="O179" i="12"/>
  <c r="O180" i="12"/>
  <c r="O181" i="12"/>
  <c r="O182" i="12"/>
  <c r="O183" i="12"/>
  <c r="O184" i="12"/>
  <c r="P184" i="12" s="1"/>
  <c r="O185" i="12"/>
  <c r="O186" i="12"/>
  <c r="O187" i="12"/>
  <c r="O188" i="12"/>
  <c r="O189" i="12"/>
  <c r="O190" i="12"/>
  <c r="O191" i="12"/>
  <c r="O192" i="12"/>
  <c r="O193" i="12"/>
  <c r="O194" i="12"/>
  <c r="O195" i="12"/>
  <c r="O196" i="12"/>
  <c r="P196" i="12" s="1"/>
  <c r="O197" i="12"/>
  <c r="O198" i="12"/>
  <c r="O199" i="12"/>
  <c r="O200" i="12"/>
  <c r="O201" i="12"/>
  <c r="O202" i="12"/>
  <c r="O203" i="12"/>
  <c r="O204" i="12"/>
  <c r="O205" i="12"/>
  <c r="O206" i="12"/>
  <c r="O207" i="12"/>
  <c r="O208" i="12"/>
  <c r="P208" i="12" s="1"/>
  <c r="O209" i="12"/>
  <c r="O210" i="12"/>
  <c r="O211" i="12"/>
  <c r="O212" i="12"/>
  <c r="O213" i="12"/>
  <c r="O214" i="12"/>
  <c r="O215" i="12"/>
  <c r="O216" i="12"/>
  <c r="O217" i="12"/>
  <c r="O218" i="12"/>
  <c r="O219" i="12"/>
  <c r="O220" i="12"/>
  <c r="P220" i="12" s="1"/>
  <c r="O221" i="12"/>
  <c r="O222" i="12"/>
  <c r="O223" i="12"/>
  <c r="O224" i="12"/>
  <c r="O225" i="12"/>
  <c r="O226" i="12"/>
  <c r="O227" i="12"/>
  <c r="O228" i="12"/>
  <c r="O229" i="12"/>
  <c r="O230" i="12"/>
  <c r="O231" i="12"/>
  <c r="O232" i="12"/>
  <c r="P232" i="12" s="1"/>
  <c r="O233" i="12"/>
  <c r="O234" i="12"/>
  <c r="O235" i="12"/>
  <c r="O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31" i="12"/>
  <c r="N32" i="12"/>
  <c r="N33" i="12"/>
  <c r="N34" i="12"/>
  <c r="N35" i="12"/>
  <c r="N36" i="12"/>
  <c r="N37" i="12"/>
  <c r="N38" i="12"/>
  <c r="N39" i="12"/>
  <c r="N40" i="12"/>
  <c r="N41" i="12"/>
  <c r="N42" i="12"/>
  <c r="N43" i="12"/>
  <c r="N44" i="12"/>
  <c r="N45" i="12"/>
  <c r="N46" i="12"/>
  <c r="N47" i="12"/>
  <c r="N48" i="12"/>
  <c r="N49" i="12"/>
  <c r="N50" i="12"/>
  <c r="N51" i="12"/>
  <c r="N52" i="12"/>
  <c r="N53" i="12"/>
  <c r="N54" i="12"/>
  <c r="N55" i="12"/>
  <c r="N56" i="12"/>
  <c r="N57" i="12"/>
  <c r="N58" i="12"/>
  <c r="N59" i="12"/>
  <c r="N60" i="12"/>
  <c r="N61" i="12"/>
  <c r="N62" i="12"/>
  <c r="N63" i="12"/>
  <c r="N64" i="12"/>
  <c r="N65" i="12"/>
  <c r="N66" i="12"/>
  <c r="N67" i="12"/>
  <c r="N68" i="12"/>
  <c r="N69" i="12"/>
  <c r="N70" i="12"/>
  <c r="N71" i="12"/>
  <c r="N72" i="12"/>
  <c r="N73" i="12"/>
  <c r="N74" i="12"/>
  <c r="N75" i="12"/>
  <c r="N76" i="12"/>
  <c r="N77" i="12"/>
  <c r="N78" i="12"/>
  <c r="N79" i="12"/>
  <c r="N80" i="12"/>
  <c r="N81" i="12"/>
  <c r="N82" i="12"/>
  <c r="N83" i="12"/>
  <c r="N84" i="12"/>
  <c r="N85" i="12"/>
  <c r="N86" i="12"/>
  <c r="N87" i="12"/>
  <c r="N89" i="12"/>
  <c r="N91" i="12"/>
  <c r="Q91" i="12" s="1" a="1"/>
  <c r="Q91" i="12" s="1"/>
  <c r="N93" i="12"/>
  <c r="Q93" i="12" s="1" a="1"/>
  <c r="Q93" i="12" s="1"/>
  <c r="N95" i="12"/>
  <c r="Q95" i="12" s="1" a="1"/>
  <c r="Q95" i="12" s="1"/>
  <c r="N97" i="12"/>
  <c r="Q97" i="12" s="1" a="1"/>
  <c r="Q97" i="12" s="1"/>
  <c r="N99" i="12"/>
  <c r="Q99" i="12" s="1" a="1"/>
  <c r="Q99" i="12" s="1"/>
  <c r="N100" i="12"/>
  <c r="Q100" i="12" s="1" a="1"/>
  <c r="Q100" i="12" s="1"/>
  <c r="N101" i="12"/>
  <c r="N102" i="12"/>
  <c r="N103" i="12"/>
  <c r="N104" i="12"/>
  <c r="N105" i="12"/>
  <c r="N106" i="12"/>
  <c r="N107" i="12"/>
  <c r="N108" i="12"/>
  <c r="N109" i="12"/>
  <c r="N110" i="12"/>
  <c r="N111" i="12"/>
  <c r="N112" i="12"/>
  <c r="N113" i="12"/>
  <c r="N114" i="12"/>
  <c r="N115" i="12"/>
  <c r="N116" i="12"/>
  <c r="N117" i="12"/>
  <c r="N118" i="12"/>
  <c r="N119" i="12"/>
  <c r="N120" i="12"/>
  <c r="N121" i="12"/>
  <c r="N122" i="12"/>
  <c r="N123" i="12"/>
  <c r="N124" i="12"/>
  <c r="N125" i="12"/>
  <c r="N126" i="12"/>
  <c r="N127" i="12"/>
  <c r="N128" i="12"/>
  <c r="N129" i="12"/>
  <c r="N130" i="12"/>
  <c r="N131" i="12"/>
  <c r="N132" i="12"/>
  <c r="N133" i="12"/>
  <c r="N134" i="12"/>
  <c r="N135" i="12"/>
  <c r="N136" i="12"/>
  <c r="N137" i="12"/>
  <c r="N138" i="12"/>
  <c r="N139" i="12"/>
  <c r="N140" i="12"/>
  <c r="N141" i="12"/>
  <c r="N142" i="12"/>
  <c r="N143" i="12"/>
  <c r="N144" i="12"/>
  <c r="N145" i="12"/>
  <c r="N146" i="12"/>
  <c r="N147" i="12"/>
  <c r="N148" i="12"/>
  <c r="N149" i="12"/>
  <c r="N150" i="12"/>
  <c r="N151" i="12"/>
  <c r="N152" i="12"/>
  <c r="N153" i="12"/>
  <c r="N154" i="12"/>
  <c r="N155" i="12"/>
  <c r="N156" i="12"/>
  <c r="N157" i="12"/>
  <c r="N158" i="12"/>
  <c r="N159" i="12"/>
  <c r="N160" i="12"/>
  <c r="N161" i="12"/>
  <c r="N162" i="12"/>
  <c r="N163" i="12"/>
  <c r="N164" i="12"/>
  <c r="N165" i="12"/>
  <c r="N166" i="12"/>
  <c r="N167" i="12"/>
  <c r="N168" i="12"/>
  <c r="N169" i="12"/>
  <c r="N170" i="12"/>
  <c r="N171" i="12"/>
  <c r="N172" i="12"/>
  <c r="N173" i="12"/>
  <c r="N174" i="12"/>
  <c r="N175" i="12"/>
  <c r="N176" i="12"/>
  <c r="N177" i="12"/>
  <c r="N178" i="12"/>
  <c r="N179" i="12"/>
  <c r="N180" i="12"/>
  <c r="N181" i="12"/>
  <c r="N182" i="12"/>
  <c r="N183" i="12"/>
  <c r="N184" i="12"/>
  <c r="N185" i="12"/>
  <c r="N186" i="12"/>
  <c r="N187" i="12"/>
  <c r="N188" i="12"/>
  <c r="N189" i="12"/>
  <c r="N190" i="12"/>
  <c r="N191" i="12"/>
  <c r="N192" i="12"/>
  <c r="N193" i="12"/>
  <c r="N194" i="12"/>
  <c r="N195" i="12"/>
  <c r="N196" i="12"/>
  <c r="N197" i="12"/>
  <c r="N198" i="12"/>
  <c r="N199" i="12"/>
  <c r="N200" i="12"/>
  <c r="N201" i="12"/>
  <c r="N202" i="12"/>
  <c r="N203" i="12"/>
  <c r="N204" i="12"/>
  <c r="N205" i="12"/>
  <c r="N206" i="12"/>
  <c r="N207" i="12"/>
  <c r="N208" i="12"/>
  <c r="N209" i="12"/>
  <c r="N210" i="12"/>
  <c r="N211" i="12"/>
  <c r="N212" i="12"/>
  <c r="N213" i="12"/>
  <c r="N214" i="12"/>
  <c r="N215" i="12"/>
  <c r="N216" i="12"/>
  <c r="N217" i="12"/>
  <c r="N218" i="12"/>
  <c r="N219" i="12"/>
  <c r="N220" i="12"/>
  <c r="N221" i="12"/>
  <c r="N222" i="12"/>
  <c r="N223" i="12"/>
  <c r="N224" i="12"/>
  <c r="N225" i="12"/>
  <c r="N226" i="12"/>
  <c r="N227" i="12"/>
  <c r="N228" i="12"/>
  <c r="N229" i="12"/>
  <c r="N230" i="12"/>
  <c r="N231" i="12"/>
  <c r="N232" i="12"/>
  <c r="N233" i="12"/>
  <c r="N234" i="12"/>
  <c r="N235" i="12"/>
  <c r="N4" i="12"/>
  <c r="U4" i="12"/>
  <c r="S4" i="12"/>
  <c r="R8" i="12" a="1"/>
  <c r="R8" i="12" s="1"/>
  <c r="R21" i="12" a="1"/>
  <c r="R21" i="12" s="1"/>
  <c r="R34" i="12" a="1"/>
  <c r="R34" i="12" s="1"/>
  <c r="R47" i="12" a="1"/>
  <c r="R47" i="12" s="1"/>
  <c r="R58" i="12" a="1"/>
  <c r="R58" i="12" s="1"/>
  <c r="R81" i="12" a="1"/>
  <c r="R81" i="12" s="1"/>
  <c r="R106" i="12" a="1"/>
  <c r="R106" i="12" s="1"/>
  <c r="R119" i="12" a="1"/>
  <c r="R119" i="12" s="1"/>
  <c r="R132" i="12" a="1"/>
  <c r="R132" i="12" s="1"/>
  <c r="R144" i="12" a="1"/>
  <c r="R144" i="12" s="1"/>
  <c r="R156" i="12" a="1"/>
  <c r="R156" i="12" s="1"/>
  <c r="R168" i="12" a="1"/>
  <c r="R168" i="12" s="1"/>
  <c r="R181" i="12" a="1"/>
  <c r="R181" i="12" s="1"/>
  <c r="R193" i="12" a="1"/>
  <c r="R193" i="12" s="1"/>
  <c r="R206" i="12" a="1"/>
  <c r="R206" i="12" s="1"/>
  <c r="R218" i="12" a="1"/>
  <c r="R218" i="12" s="1"/>
  <c r="R230" i="12" a="1"/>
  <c r="R230" i="12" s="1"/>
  <c r="P5" i="12"/>
  <c r="R5" i="12" s="1" a="1"/>
  <c r="R5" i="12" s="1"/>
  <c r="P6" i="12"/>
  <c r="R6" i="12" s="1" a="1"/>
  <c r="R6" i="12" s="1"/>
  <c r="P7" i="12"/>
  <c r="R7" i="12" s="1" a="1"/>
  <c r="R7" i="12" s="1"/>
  <c r="P8" i="12"/>
  <c r="P9" i="12"/>
  <c r="R9" i="12" s="1" a="1"/>
  <c r="R9" i="12" s="1"/>
  <c r="P10" i="12"/>
  <c r="R10" i="12" s="1" a="1"/>
  <c r="R10" i="12" s="1"/>
  <c r="P11" i="12"/>
  <c r="R11" i="12" s="1" a="1"/>
  <c r="R11" i="12" s="1"/>
  <c r="P12" i="12"/>
  <c r="R12" i="12" s="1" a="1"/>
  <c r="R12" i="12" s="1"/>
  <c r="P13" i="12"/>
  <c r="R13" i="12" s="1" a="1"/>
  <c r="R13" i="12" s="1"/>
  <c r="P14" i="12"/>
  <c r="R14" i="12" s="1" a="1"/>
  <c r="R14" i="12" s="1"/>
  <c r="P15" i="12"/>
  <c r="R15" i="12" s="1" a="1"/>
  <c r="R15" i="12" s="1"/>
  <c r="P17" i="12"/>
  <c r="R17" i="12" s="1" a="1"/>
  <c r="R17" i="12" s="1"/>
  <c r="P18" i="12"/>
  <c r="R18" i="12" s="1" a="1"/>
  <c r="R18" i="12" s="1"/>
  <c r="P19" i="12"/>
  <c r="R19" i="12" s="1" a="1"/>
  <c r="R19" i="12" s="1"/>
  <c r="P20" i="12"/>
  <c r="R20" i="12" s="1" a="1"/>
  <c r="R20" i="12" s="1"/>
  <c r="P21" i="12"/>
  <c r="P22" i="12"/>
  <c r="R22" i="12" s="1" a="1"/>
  <c r="R22" i="12" s="1"/>
  <c r="P23" i="12"/>
  <c r="R23" i="12" s="1" a="1"/>
  <c r="R23" i="12" s="1"/>
  <c r="P24" i="12"/>
  <c r="R24" i="12" s="1" a="1"/>
  <c r="R24" i="12" s="1"/>
  <c r="P25" i="12"/>
  <c r="R25" i="12" s="1" a="1"/>
  <c r="R25" i="12" s="1"/>
  <c r="P26" i="12"/>
  <c r="R26" i="12" s="1" a="1"/>
  <c r="R26" i="12" s="1"/>
  <c r="P27" i="12"/>
  <c r="R27" i="12" s="1" a="1"/>
  <c r="R27" i="12" s="1"/>
  <c r="P29" i="12"/>
  <c r="R29" i="12" s="1" a="1"/>
  <c r="R29" i="12" s="1"/>
  <c r="P30" i="12"/>
  <c r="R30" i="12" s="1" a="1"/>
  <c r="R30" i="12" s="1"/>
  <c r="P31" i="12"/>
  <c r="R31" i="12" s="1" a="1"/>
  <c r="R31" i="12" s="1"/>
  <c r="P32" i="12"/>
  <c r="R32" i="12" s="1" a="1"/>
  <c r="R32" i="12" s="1"/>
  <c r="P33" i="12"/>
  <c r="R33" i="12" s="1" a="1"/>
  <c r="R33" i="12" s="1"/>
  <c r="P34" i="12"/>
  <c r="P35" i="12"/>
  <c r="R35" i="12" s="1" a="1"/>
  <c r="R35" i="12" s="1"/>
  <c r="P36" i="12"/>
  <c r="R36" i="12" s="1" a="1"/>
  <c r="R36" i="12" s="1"/>
  <c r="P37" i="12"/>
  <c r="R37" i="12" s="1" a="1"/>
  <c r="R37" i="12" s="1"/>
  <c r="P38" i="12"/>
  <c r="R38" i="12" s="1" a="1"/>
  <c r="R38" i="12" s="1"/>
  <c r="P39" i="12"/>
  <c r="R39" i="12" s="1" a="1"/>
  <c r="R39" i="12" s="1"/>
  <c r="P41" i="12"/>
  <c r="R41" i="12" s="1" a="1"/>
  <c r="R41" i="12" s="1"/>
  <c r="P42" i="12"/>
  <c r="R42" i="12" s="1" a="1"/>
  <c r="R42" i="12" s="1"/>
  <c r="P43" i="12"/>
  <c r="R43" i="12" s="1" a="1"/>
  <c r="R43" i="12" s="1"/>
  <c r="P44" i="12"/>
  <c r="R44" i="12" s="1" a="1"/>
  <c r="R44" i="12" s="1"/>
  <c r="P45" i="12"/>
  <c r="R45" i="12" s="1" a="1"/>
  <c r="R45" i="12" s="1"/>
  <c r="P46" i="12"/>
  <c r="R46" i="12" s="1" a="1"/>
  <c r="R46" i="12" s="1"/>
  <c r="P47" i="12"/>
  <c r="P48" i="12"/>
  <c r="R48" i="12" s="1" a="1"/>
  <c r="R48" i="12" s="1"/>
  <c r="P49" i="12"/>
  <c r="R49" i="12" s="1" a="1"/>
  <c r="R49" i="12" s="1"/>
  <c r="P50" i="12"/>
  <c r="R50" i="12" s="1" a="1"/>
  <c r="R50" i="12" s="1"/>
  <c r="P51" i="12"/>
  <c r="R51" i="12" s="1" a="1"/>
  <c r="R51" i="12" s="1"/>
  <c r="P53" i="12"/>
  <c r="R53" i="12" s="1" a="1"/>
  <c r="R53" i="12" s="1"/>
  <c r="P54" i="12"/>
  <c r="R54" i="12" s="1" a="1"/>
  <c r="R54" i="12" s="1"/>
  <c r="P55" i="12"/>
  <c r="R55" i="12" s="1" a="1"/>
  <c r="R55" i="12" s="1"/>
  <c r="P56" i="12"/>
  <c r="R56" i="12" s="1" a="1"/>
  <c r="R56" i="12" s="1"/>
  <c r="P57" i="12"/>
  <c r="R57" i="12" s="1" a="1"/>
  <c r="R57" i="12" s="1"/>
  <c r="P58" i="12"/>
  <c r="P59" i="12"/>
  <c r="R59" i="12" s="1" a="1"/>
  <c r="R59" i="12" s="1"/>
  <c r="P60" i="12"/>
  <c r="R60" i="12" s="1" a="1"/>
  <c r="R60" i="12" s="1"/>
  <c r="P61" i="12"/>
  <c r="R61" i="12" s="1" a="1"/>
  <c r="R61" i="12" s="1"/>
  <c r="P62" i="12"/>
  <c r="R62" i="12" s="1" a="1"/>
  <c r="R62" i="12" s="1"/>
  <c r="P63" i="12"/>
  <c r="R63" i="12" s="1" a="1"/>
  <c r="R63" i="12" s="1"/>
  <c r="P65" i="12"/>
  <c r="R65" i="12" s="1" a="1"/>
  <c r="R65" i="12" s="1"/>
  <c r="P66" i="12"/>
  <c r="R66" i="12" s="1" a="1"/>
  <c r="R66" i="12" s="1"/>
  <c r="P67" i="12"/>
  <c r="R67" i="12" s="1" a="1"/>
  <c r="R67" i="12" s="1"/>
  <c r="P68" i="12"/>
  <c r="R68" i="12" s="1" a="1"/>
  <c r="R68" i="12" s="1"/>
  <c r="P69" i="12"/>
  <c r="R69" i="12" s="1" a="1"/>
  <c r="R69" i="12" s="1"/>
  <c r="P70" i="12"/>
  <c r="R70" i="12" s="1" a="1"/>
  <c r="R70" i="12" s="1"/>
  <c r="P71" i="12"/>
  <c r="R71" i="12" s="1" a="1"/>
  <c r="R71" i="12" s="1"/>
  <c r="P72" i="12"/>
  <c r="R72" i="12" s="1" a="1"/>
  <c r="R72" i="12" s="1"/>
  <c r="P73" i="12"/>
  <c r="R73" i="12" s="1" a="1"/>
  <c r="R73" i="12" s="1"/>
  <c r="P74" i="12"/>
  <c r="R74" i="12" s="1" a="1"/>
  <c r="R74" i="12" s="1"/>
  <c r="P75" i="12"/>
  <c r="R75" i="12" s="1" a="1"/>
  <c r="R75" i="12" s="1"/>
  <c r="P77" i="12"/>
  <c r="R77" i="12" s="1" a="1"/>
  <c r="R77" i="12" s="1"/>
  <c r="P78" i="12"/>
  <c r="R78" i="12" s="1" a="1"/>
  <c r="R78" i="12" s="1"/>
  <c r="P79" i="12"/>
  <c r="R79" i="12" s="1" a="1"/>
  <c r="R79" i="12" s="1"/>
  <c r="P80" i="12"/>
  <c r="R80" i="12" s="1" a="1"/>
  <c r="R80" i="12" s="1"/>
  <c r="P81" i="12"/>
  <c r="P82" i="12"/>
  <c r="R82" i="12" s="1" a="1"/>
  <c r="R82" i="12" s="1"/>
  <c r="P83" i="12"/>
  <c r="R83" i="12" s="1" a="1"/>
  <c r="R83" i="12" s="1"/>
  <c r="P84" i="12"/>
  <c r="R84" i="12" s="1" a="1"/>
  <c r="R84" i="12" s="1"/>
  <c r="P85" i="12"/>
  <c r="R85" i="12" s="1" a="1"/>
  <c r="R85" i="12" s="1"/>
  <c r="P86" i="12"/>
  <c r="R86" i="12" s="1" a="1"/>
  <c r="R86" i="12" s="1"/>
  <c r="P87" i="12"/>
  <c r="R87" i="12" s="1" a="1"/>
  <c r="R87" i="12" s="1"/>
  <c r="P89" i="12"/>
  <c r="R89" i="12" s="1" a="1"/>
  <c r="R89" i="12" s="1"/>
  <c r="P91" i="12"/>
  <c r="R91" i="12" s="1" a="1"/>
  <c r="R91" i="12" s="1"/>
  <c r="P93" i="12"/>
  <c r="R93" i="12" s="1" a="1"/>
  <c r="R93" i="12" s="1"/>
  <c r="P94" i="12"/>
  <c r="P95" i="12"/>
  <c r="R95" i="12" s="1" a="1"/>
  <c r="R95" i="12" s="1"/>
  <c r="P97" i="12"/>
  <c r="R97" i="12" s="1" a="1"/>
  <c r="R97" i="12" s="1"/>
  <c r="P99" i="12"/>
  <c r="R99" i="12" s="1" a="1"/>
  <c r="R99" i="12" s="1"/>
  <c r="P101" i="12"/>
  <c r="R101" i="12" s="1" a="1"/>
  <c r="R101" i="12" s="1"/>
  <c r="P102" i="12"/>
  <c r="R102" i="12" s="1" a="1"/>
  <c r="R102" i="12" s="1"/>
  <c r="P103" i="12"/>
  <c r="R103" i="12" s="1" a="1"/>
  <c r="R103" i="12" s="1"/>
  <c r="P104" i="12"/>
  <c r="R104" i="12" s="1" a="1"/>
  <c r="R104" i="12" s="1"/>
  <c r="P105" i="12"/>
  <c r="R105" i="12" s="1" a="1"/>
  <c r="R105" i="12" s="1"/>
  <c r="P106" i="12"/>
  <c r="P107" i="12"/>
  <c r="R107" i="12" s="1" a="1"/>
  <c r="R107" i="12" s="1"/>
  <c r="P108" i="12"/>
  <c r="R108" i="12" s="1" a="1"/>
  <c r="R108" i="12" s="1"/>
  <c r="P109" i="12"/>
  <c r="R109" i="12" s="1" a="1"/>
  <c r="R109" i="12" s="1"/>
  <c r="P110" i="12"/>
  <c r="R110" i="12" s="1" a="1"/>
  <c r="R110" i="12" s="1"/>
  <c r="P111" i="12"/>
  <c r="R111" i="12" s="1" a="1"/>
  <c r="R111" i="12" s="1"/>
  <c r="P113" i="12"/>
  <c r="R113" i="12" s="1" a="1"/>
  <c r="R113" i="12" s="1"/>
  <c r="P114" i="12"/>
  <c r="R114" i="12" s="1" a="1"/>
  <c r="R114" i="12" s="1"/>
  <c r="P115" i="12"/>
  <c r="R115" i="12" s="1" a="1"/>
  <c r="R115" i="12" s="1"/>
  <c r="P116" i="12"/>
  <c r="R116" i="12" s="1" a="1"/>
  <c r="R116" i="12" s="1"/>
  <c r="P117" i="12"/>
  <c r="R117" i="12" s="1" a="1"/>
  <c r="R117" i="12" s="1"/>
  <c r="P118" i="12"/>
  <c r="R118" i="12" s="1" a="1"/>
  <c r="R118" i="12" s="1"/>
  <c r="P119" i="12"/>
  <c r="P120" i="12"/>
  <c r="R120" i="12" s="1" a="1"/>
  <c r="R120" i="12" s="1"/>
  <c r="P121" i="12"/>
  <c r="R121" i="12" s="1" a="1"/>
  <c r="R121" i="12" s="1"/>
  <c r="P122" i="12"/>
  <c r="R122" i="12" s="1" a="1"/>
  <c r="R122" i="12" s="1"/>
  <c r="P123" i="12"/>
  <c r="R123" i="12" s="1" a="1"/>
  <c r="R123" i="12" s="1"/>
  <c r="P125" i="12"/>
  <c r="R125" i="12" s="1" a="1"/>
  <c r="R125" i="12" s="1"/>
  <c r="P126" i="12"/>
  <c r="R126" i="12" s="1" a="1"/>
  <c r="R126" i="12" s="1"/>
  <c r="P127" i="12"/>
  <c r="R127" i="12" s="1" a="1"/>
  <c r="R127" i="12" s="1"/>
  <c r="P128" i="12"/>
  <c r="R128" i="12" s="1" a="1"/>
  <c r="R128" i="12" s="1"/>
  <c r="P129" i="12"/>
  <c r="R129" i="12" s="1" a="1"/>
  <c r="R129" i="12" s="1"/>
  <c r="P130" i="12"/>
  <c r="R130" i="12" s="1" a="1"/>
  <c r="R130" i="12" s="1"/>
  <c r="P131" i="12"/>
  <c r="R131" i="12" s="1" a="1"/>
  <c r="R131" i="12" s="1"/>
  <c r="P132" i="12"/>
  <c r="P133" i="12"/>
  <c r="R133" i="12" s="1" a="1"/>
  <c r="R133" i="12" s="1"/>
  <c r="P134" i="12"/>
  <c r="R134" i="12" s="1" a="1"/>
  <c r="R134" i="12" s="1"/>
  <c r="P135" i="12"/>
  <c r="R135" i="12" s="1" a="1"/>
  <c r="R135" i="12" s="1"/>
  <c r="P137" i="12"/>
  <c r="R137" i="12" s="1" a="1"/>
  <c r="R137" i="12" s="1"/>
  <c r="P138" i="12"/>
  <c r="R138" i="12" s="1" a="1"/>
  <c r="R138" i="12" s="1"/>
  <c r="P139" i="12"/>
  <c r="R139" i="12" s="1" a="1"/>
  <c r="R139" i="12" s="1"/>
  <c r="P140" i="12"/>
  <c r="R140" i="12" s="1" a="1"/>
  <c r="R140" i="12" s="1"/>
  <c r="P141" i="12"/>
  <c r="R141" i="12" s="1" a="1"/>
  <c r="R141" i="12" s="1"/>
  <c r="P142" i="12"/>
  <c r="R142" i="12" s="1" a="1"/>
  <c r="R142" i="12" s="1"/>
  <c r="P143" i="12"/>
  <c r="R143" i="12" s="1" a="1"/>
  <c r="R143" i="12" s="1"/>
  <c r="P144" i="12"/>
  <c r="P145" i="12"/>
  <c r="R145" i="12" s="1" a="1"/>
  <c r="R145" i="12" s="1"/>
  <c r="P146" i="12"/>
  <c r="R146" i="12" s="1" a="1"/>
  <c r="R146" i="12" s="1"/>
  <c r="P147" i="12"/>
  <c r="R147" i="12" s="1" a="1"/>
  <c r="R147" i="12" s="1"/>
  <c r="P149" i="12"/>
  <c r="R149" i="12" s="1" a="1"/>
  <c r="R149" i="12" s="1"/>
  <c r="P150" i="12"/>
  <c r="R150" i="12" s="1" a="1"/>
  <c r="R150" i="12" s="1"/>
  <c r="P151" i="12"/>
  <c r="R151" i="12" s="1" a="1"/>
  <c r="R151" i="12" s="1"/>
  <c r="P152" i="12"/>
  <c r="R152" i="12" s="1" a="1"/>
  <c r="R152" i="12" s="1"/>
  <c r="P153" i="12"/>
  <c r="R153" i="12" s="1" a="1"/>
  <c r="R153" i="12" s="1"/>
  <c r="P154" i="12"/>
  <c r="R154" i="12" s="1" a="1"/>
  <c r="R154" i="12" s="1"/>
  <c r="P155" i="12"/>
  <c r="R155" i="12" s="1" a="1"/>
  <c r="R155" i="12" s="1"/>
  <c r="P156" i="12"/>
  <c r="P157" i="12"/>
  <c r="R157" i="12" s="1" a="1"/>
  <c r="R157" i="12" s="1"/>
  <c r="P158" i="12"/>
  <c r="R158" i="12" s="1" a="1"/>
  <c r="R158" i="12" s="1"/>
  <c r="P159" i="12"/>
  <c r="R159" i="12" s="1" a="1"/>
  <c r="R159" i="12" s="1"/>
  <c r="P161" i="12"/>
  <c r="R161" i="12" s="1" a="1"/>
  <c r="R161" i="12" s="1"/>
  <c r="P162" i="12"/>
  <c r="R162" i="12" s="1" a="1"/>
  <c r="R162" i="12" s="1"/>
  <c r="P163" i="12"/>
  <c r="R163" i="12" s="1" a="1"/>
  <c r="R163" i="12" s="1"/>
  <c r="P164" i="12"/>
  <c r="R164" i="12" s="1" a="1"/>
  <c r="R164" i="12" s="1"/>
  <c r="P165" i="12"/>
  <c r="R165" i="12" s="1" a="1"/>
  <c r="R165" i="12" s="1"/>
  <c r="P166" i="12"/>
  <c r="R166" i="12" s="1" a="1"/>
  <c r="R166" i="12" s="1"/>
  <c r="P167" i="12"/>
  <c r="R167" i="12" s="1" a="1"/>
  <c r="R167" i="12" s="1"/>
  <c r="P168" i="12"/>
  <c r="P169" i="12"/>
  <c r="R169" i="12" s="1" a="1"/>
  <c r="R169" i="12" s="1"/>
  <c r="P170" i="12"/>
  <c r="R170" i="12" s="1" a="1"/>
  <c r="R170" i="12" s="1"/>
  <c r="P171" i="12"/>
  <c r="R171" i="12" s="1" a="1"/>
  <c r="R171" i="12" s="1"/>
  <c r="P173" i="12"/>
  <c r="R173" i="12" s="1" a="1"/>
  <c r="R173" i="12" s="1"/>
  <c r="P174" i="12"/>
  <c r="R174" i="12" s="1" a="1"/>
  <c r="R174" i="12" s="1"/>
  <c r="P175" i="12"/>
  <c r="R175" i="12" s="1" a="1"/>
  <c r="R175" i="12" s="1"/>
  <c r="P176" i="12"/>
  <c r="R176" i="12" s="1" a="1"/>
  <c r="R176" i="12" s="1"/>
  <c r="P177" i="12"/>
  <c r="R177" i="12" s="1" a="1"/>
  <c r="R177" i="12" s="1"/>
  <c r="P178" i="12"/>
  <c r="R178" i="12" s="1" a="1"/>
  <c r="R178" i="12" s="1"/>
  <c r="P179" i="12"/>
  <c r="R179" i="12" s="1" a="1"/>
  <c r="R179" i="12" s="1"/>
  <c r="P180" i="12"/>
  <c r="R180" i="12" s="1" a="1"/>
  <c r="R180" i="12" s="1"/>
  <c r="P181" i="12"/>
  <c r="P182" i="12"/>
  <c r="R182" i="12" s="1" a="1"/>
  <c r="R182" i="12" s="1"/>
  <c r="P183" i="12"/>
  <c r="R183" i="12" s="1" a="1"/>
  <c r="R183" i="12" s="1"/>
  <c r="P185" i="12"/>
  <c r="R185" i="12" s="1" a="1"/>
  <c r="R185" i="12" s="1"/>
  <c r="P186" i="12"/>
  <c r="R186" i="12" s="1" a="1"/>
  <c r="R186" i="12" s="1"/>
  <c r="P187" i="12"/>
  <c r="R187" i="12" s="1" a="1"/>
  <c r="R187" i="12" s="1"/>
  <c r="P188" i="12"/>
  <c r="R188" i="12" s="1" a="1"/>
  <c r="R188" i="12" s="1"/>
  <c r="P189" i="12"/>
  <c r="R189" i="12" s="1" a="1"/>
  <c r="R189" i="12" s="1"/>
  <c r="P190" i="12"/>
  <c r="R190" i="12" s="1" a="1"/>
  <c r="R190" i="12" s="1"/>
  <c r="P191" i="12"/>
  <c r="R191" i="12" s="1" a="1"/>
  <c r="R191" i="12" s="1"/>
  <c r="P192" i="12"/>
  <c r="R192" i="12" s="1" a="1"/>
  <c r="R192" i="12" s="1"/>
  <c r="P193" i="12"/>
  <c r="P194" i="12"/>
  <c r="R194" i="12" s="1" a="1"/>
  <c r="R194" i="12" s="1"/>
  <c r="P195" i="12"/>
  <c r="R195" i="12" s="1" a="1"/>
  <c r="R195" i="12" s="1"/>
  <c r="P197" i="12"/>
  <c r="R197" i="12" s="1" a="1"/>
  <c r="R197" i="12" s="1"/>
  <c r="P198" i="12"/>
  <c r="R198" i="12" s="1" a="1"/>
  <c r="R198" i="12" s="1"/>
  <c r="P199" i="12"/>
  <c r="R199" i="12" s="1" a="1"/>
  <c r="R199" i="12" s="1"/>
  <c r="P200" i="12"/>
  <c r="R200" i="12" s="1" a="1"/>
  <c r="R200" i="12" s="1"/>
  <c r="P201" i="12"/>
  <c r="R201" i="12" s="1" a="1"/>
  <c r="R201" i="12" s="1"/>
  <c r="P202" i="12"/>
  <c r="R202" i="12" s="1" a="1"/>
  <c r="R202" i="12" s="1"/>
  <c r="P203" i="12"/>
  <c r="R203" i="12" s="1" a="1"/>
  <c r="R203" i="12" s="1"/>
  <c r="P204" i="12"/>
  <c r="R204" i="12" s="1" a="1"/>
  <c r="R204" i="12" s="1"/>
  <c r="P205" i="12"/>
  <c r="R205" i="12" s="1" a="1"/>
  <c r="R205" i="12" s="1"/>
  <c r="P206" i="12"/>
  <c r="P207" i="12"/>
  <c r="R207" i="12" s="1" a="1"/>
  <c r="R207" i="12" s="1"/>
  <c r="P209" i="12"/>
  <c r="R209" i="12" s="1" a="1"/>
  <c r="R209" i="12" s="1"/>
  <c r="P210" i="12"/>
  <c r="R210" i="12" s="1" a="1"/>
  <c r="R210" i="12" s="1"/>
  <c r="P211" i="12"/>
  <c r="R211" i="12" s="1" a="1"/>
  <c r="R211" i="12" s="1"/>
  <c r="P212" i="12"/>
  <c r="R212" i="12" s="1" a="1"/>
  <c r="R212" i="12" s="1"/>
  <c r="P213" i="12"/>
  <c r="R213" i="12" s="1" a="1"/>
  <c r="R213" i="12" s="1"/>
  <c r="P214" i="12"/>
  <c r="R214" i="12" s="1" a="1"/>
  <c r="R214" i="12" s="1"/>
  <c r="P215" i="12"/>
  <c r="R215" i="12" s="1" a="1"/>
  <c r="R215" i="12" s="1"/>
  <c r="P216" i="12"/>
  <c r="R216" i="12" s="1" a="1"/>
  <c r="R216" i="12" s="1"/>
  <c r="P217" i="12"/>
  <c r="R217" i="12" s="1" a="1"/>
  <c r="R217" i="12" s="1"/>
  <c r="P218" i="12"/>
  <c r="P219" i="12"/>
  <c r="R219" i="12" s="1" a="1"/>
  <c r="R219" i="12" s="1"/>
  <c r="P221" i="12"/>
  <c r="R221" i="12" s="1" a="1"/>
  <c r="R221" i="12" s="1"/>
  <c r="P222" i="12"/>
  <c r="R222" i="12" s="1" a="1"/>
  <c r="R222" i="12" s="1"/>
  <c r="P223" i="12"/>
  <c r="R223" i="12" s="1" a="1"/>
  <c r="R223" i="12" s="1"/>
  <c r="P224" i="12"/>
  <c r="R224" i="12" s="1" a="1"/>
  <c r="R224" i="12" s="1"/>
  <c r="P225" i="12"/>
  <c r="R225" i="12" s="1" a="1"/>
  <c r="R225" i="12" s="1"/>
  <c r="P226" i="12"/>
  <c r="R226" i="12" s="1" a="1"/>
  <c r="R226" i="12" s="1"/>
  <c r="P227" i="12"/>
  <c r="R227" i="12" s="1" a="1"/>
  <c r="R227" i="12" s="1"/>
  <c r="P228" i="12"/>
  <c r="R228" i="12" s="1" a="1"/>
  <c r="R228" i="12" s="1"/>
  <c r="P229" i="12"/>
  <c r="R229" i="12" s="1" a="1"/>
  <c r="R229" i="12" s="1"/>
  <c r="P230" i="12"/>
  <c r="P231" i="12"/>
  <c r="R231" i="12" s="1" a="1"/>
  <c r="R231" i="12" s="1"/>
  <c r="P233" i="12"/>
  <c r="R233" i="12" s="1" a="1"/>
  <c r="R233" i="12" s="1"/>
  <c r="P234" i="12"/>
  <c r="R234" i="12" s="1" a="1"/>
  <c r="R234" i="12" s="1"/>
  <c r="P235" i="12"/>
  <c r="R235" i="12" s="1" a="1"/>
  <c r="R235" i="12" s="1"/>
  <c r="M5" i="12" a="1"/>
  <c r="M5" i="12" s="1"/>
  <c r="M6" i="12" a="1"/>
  <c r="M6" i="12" s="1"/>
  <c r="M7" i="12" a="1"/>
  <c r="M7" i="12" s="1"/>
  <c r="M8" i="12" a="1"/>
  <c r="M8" i="12"/>
  <c r="M9" i="12" a="1"/>
  <c r="M9" i="12"/>
  <c r="M10" i="12" a="1"/>
  <c r="M10" i="12"/>
  <c r="M11" i="12" a="1"/>
  <c r="M11" i="12" s="1"/>
  <c r="M12" i="12" a="1"/>
  <c r="M12" i="12" s="1"/>
  <c r="M13" i="12" a="1"/>
  <c r="M13" i="12" s="1"/>
  <c r="M14" i="12" a="1"/>
  <c r="M14" i="12"/>
  <c r="M15" i="12" a="1"/>
  <c r="M15" i="12"/>
  <c r="M16" i="12" a="1"/>
  <c r="M16" i="12"/>
  <c r="M17" i="12" a="1"/>
  <c r="M17" i="12" s="1"/>
  <c r="M18" i="12" a="1"/>
  <c r="M18" i="12" s="1"/>
  <c r="M19" i="12" a="1"/>
  <c r="M19" i="12" s="1"/>
  <c r="M20" i="12" a="1"/>
  <c r="M20" i="12"/>
  <c r="M21" i="12" a="1"/>
  <c r="M21" i="12"/>
  <c r="M22" i="12" a="1"/>
  <c r="M22" i="12"/>
  <c r="M23" i="12" a="1"/>
  <c r="M23" i="12" s="1"/>
  <c r="M24" i="12" a="1"/>
  <c r="M24" i="12" s="1"/>
  <c r="M25" i="12" a="1"/>
  <c r="M25" i="12" s="1"/>
  <c r="M26" i="12" a="1"/>
  <c r="M26" i="12"/>
  <c r="M27" i="12" a="1"/>
  <c r="M27" i="12"/>
  <c r="M28" i="12" a="1"/>
  <c r="M28" i="12"/>
  <c r="M29" i="12" a="1"/>
  <c r="M29" i="12" s="1"/>
  <c r="M30" i="12" a="1"/>
  <c r="M30" i="12" s="1"/>
  <c r="M31" i="12" a="1"/>
  <c r="M31" i="12" s="1"/>
  <c r="M32" i="12" a="1"/>
  <c r="M32" i="12"/>
  <c r="M33" i="12" a="1"/>
  <c r="M33" i="12"/>
  <c r="M34" i="12" a="1"/>
  <c r="M34" i="12"/>
  <c r="M35" i="12" a="1"/>
  <c r="M35" i="12" s="1"/>
  <c r="M36" i="12" a="1"/>
  <c r="M36" i="12" s="1"/>
  <c r="M37" i="12" a="1"/>
  <c r="M37" i="12" s="1"/>
  <c r="M38" i="12" a="1"/>
  <c r="M38" i="12"/>
  <c r="M39" i="12" a="1"/>
  <c r="M39" i="12"/>
  <c r="M40" i="12" a="1"/>
  <c r="M40" i="12"/>
  <c r="M41" i="12" a="1"/>
  <c r="M41" i="12" s="1"/>
  <c r="M42" i="12" a="1"/>
  <c r="M42" i="12" s="1"/>
  <c r="M43" i="12" a="1"/>
  <c r="M43" i="12" s="1"/>
  <c r="M44" i="12" a="1"/>
  <c r="M44" i="12"/>
  <c r="M45" i="12" a="1"/>
  <c r="M45" i="12"/>
  <c r="M46" i="12" a="1"/>
  <c r="M46" i="12"/>
  <c r="M47" i="12" a="1"/>
  <c r="M47" i="12" s="1"/>
  <c r="M48" i="12" a="1"/>
  <c r="M48" i="12" s="1"/>
  <c r="M49" i="12" a="1"/>
  <c r="M49" i="12" s="1"/>
  <c r="M50" i="12" a="1"/>
  <c r="M50" i="12"/>
  <c r="M51" i="12" a="1"/>
  <c r="M51" i="12"/>
  <c r="M52" i="12" a="1"/>
  <c r="M52" i="12"/>
  <c r="M53" i="12" a="1"/>
  <c r="M53" i="12" s="1"/>
  <c r="M54" i="12" a="1"/>
  <c r="M54" i="12" s="1"/>
  <c r="M55" i="12" a="1"/>
  <c r="M55" i="12" s="1"/>
  <c r="M56" i="12" a="1"/>
  <c r="M56" i="12"/>
  <c r="M57" i="12" a="1"/>
  <c r="M57" i="12"/>
  <c r="M58" i="12" a="1"/>
  <c r="M58" i="12"/>
  <c r="M59" i="12" a="1"/>
  <c r="M59" i="12" s="1"/>
  <c r="M60" i="12" a="1"/>
  <c r="M60" i="12" s="1"/>
  <c r="M61" i="12" a="1"/>
  <c r="M61" i="12" s="1"/>
  <c r="M62" i="12" a="1"/>
  <c r="M62" i="12"/>
  <c r="M63" i="12" a="1"/>
  <c r="M63" i="12"/>
  <c r="M64" i="12" a="1"/>
  <c r="M64" i="12"/>
  <c r="M65" i="12" a="1"/>
  <c r="M65" i="12" s="1"/>
  <c r="M66" i="12" a="1"/>
  <c r="M66" i="12" s="1"/>
  <c r="M67" i="12" a="1"/>
  <c r="M67" i="12" s="1"/>
  <c r="M68" i="12" a="1"/>
  <c r="M68" i="12"/>
  <c r="M69" i="12" a="1"/>
  <c r="M69" i="12"/>
  <c r="M70" i="12" a="1"/>
  <c r="M70" i="12"/>
  <c r="M71" i="12" a="1"/>
  <c r="M71" i="12" s="1"/>
  <c r="M72" i="12" a="1"/>
  <c r="M72" i="12" s="1"/>
  <c r="M73" i="12" a="1"/>
  <c r="M73" i="12" s="1"/>
  <c r="M74" i="12" a="1"/>
  <c r="M74" i="12"/>
  <c r="M75" i="12" a="1"/>
  <c r="M75" i="12"/>
  <c r="M76" i="12" a="1"/>
  <c r="M76" i="12"/>
  <c r="M77" i="12" a="1"/>
  <c r="M77" i="12" s="1"/>
  <c r="M78" i="12" a="1"/>
  <c r="M78" i="12" s="1"/>
  <c r="M79" i="12" a="1"/>
  <c r="M79" i="12" s="1"/>
  <c r="M80" i="12" a="1"/>
  <c r="M80" i="12"/>
  <c r="M81" i="12" a="1"/>
  <c r="M81" i="12"/>
  <c r="M82" i="12" a="1"/>
  <c r="M82" i="12"/>
  <c r="M83" i="12" a="1"/>
  <c r="M83" i="12" s="1"/>
  <c r="M84" i="12" a="1"/>
  <c r="M84" i="12" s="1"/>
  <c r="M85" i="12" a="1"/>
  <c r="M85" i="12" s="1"/>
  <c r="M86" i="12" a="1"/>
  <c r="M86" i="12"/>
  <c r="M87" i="12" a="1"/>
  <c r="M87" i="12"/>
  <c r="M88" i="12" a="1"/>
  <c r="M88" i="12"/>
  <c r="M101" i="12" a="1"/>
  <c r="M101" i="12" s="1"/>
  <c r="M102" i="12" a="1"/>
  <c r="M102" i="12" s="1"/>
  <c r="M103" i="12" a="1"/>
  <c r="M103" i="12" s="1"/>
  <c r="M104" i="12" a="1"/>
  <c r="M104" i="12"/>
  <c r="M105" i="12" a="1"/>
  <c r="M105" i="12"/>
  <c r="M106" i="12" a="1"/>
  <c r="M106" i="12"/>
  <c r="M107" i="12" a="1"/>
  <c r="M107" i="12" s="1"/>
  <c r="M108" i="12" a="1"/>
  <c r="M108" i="12" s="1"/>
  <c r="M109" i="12" a="1"/>
  <c r="M109" i="12" s="1"/>
  <c r="M110" i="12" a="1"/>
  <c r="M110" i="12"/>
  <c r="M111" i="12" a="1"/>
  <c r="M111" i="12"/>
  <c r="M112" i="12" a="1"/>
  <c r="M112" i="12"/>
  <c r="M113" i="12" a="1"/>
  <c r="M113" i="12" s="1"/>
  <c r="M114" i="12" a="1"/>
  <c r="M114" i="12" s="1"/>
  <c r="M115" i="12" a="1"/>
  <c r="M115" i="12" s="1"/>
  <c r="M116" i="12" a="1"/>
  <c r="M116" i="12"/>
  <c r="M117" i="12" a="1"/>
  <c r="M117" i="12"/>
  <c r="M118" i="12" a="1"/>
  <c r="M118" i="12"/>
  <c r="M119" i="12" a="1"/>
  <c r="M119" i="12" s="1"/>
  <c r="M120" i="12" a="1"/>
  <c r="M120" i="12" s="1"/>
  <c r="M121" i="12" a="1"/>
  <c r="M121" i="12" s="1"/>
  <c r="M122" i="12" a="1"/>
  <c r="M122" i="12"/>
  <c r="M123" i="12" a="1"/>
  <c r="M123" i="12"/>
  <c r="M124" i="12" a="1"/>
  <c r="M124" i="12"/>
  <c r="M125" i="12" a="1"/>
  <c r="M125" i="12" s="1"/>
  <c r="M126" i="12" a="1"/>
  <c r="M126" i="12" s="1"/>
  <c r="M127" i="12" a="1"/>
  <c r="M127" i="12" s="1"/>
  <c r="M128" i="12" a="1"/>
  <c r="M128" i="12"/>
  <c r="M129" i="12" a="1"/>
  <c r="M129" i="12"/>
  <c r="M130" i="12" a="1"/>
  <c r="M130" i="12"/>
  <c r="M131" i="12" a="1"/>
  <c r="M131" i="12" s="1"/>
  <c r="M132" i="12" a="1"/>
  <c r="M132" i="12" s="1"/>
  <c r="M133" i="12" a="1"/>
  <c r="M133" i="12" s="1"/>
  <c r="M134" i="12" a="1"/>
  <c r="M134" i="12"/>
  <c r="M135" i="12" a="1"/>
  <c r="M135" i="12"/>
  <c r="M136" i="12" a="1"/>
  <c r="M136" i="12"/>
  <c r="M137" i="12" a="1"/>
  <c r="M137" i="12" s="1"/>
  <c r="M138" i="12" a="1"/>
  <c r="M138" i="12" s="1"/>
  <c r="M139" i="12" a="1"/>
  <c r="M139" i="12" s="1"/>
  <c r="M140" i="12" a="1"/>
  <c r="M140" i="12"/>
  <c r="M141" i="12" a="1"/>
  <c r="M141" i="12"/>
  <c r="M142" i="12" a="1"/>
  <c r="M142" i="12"/>
  <c r="M143" i="12" a="1"/>
  <c r="M143" i="12" s="1"/>
  <c r="M144" i="12" a="1"/>
  <c r="M144" i="12" s="1"/>
  <c r="M145" i="12" a="1"/>
  <c r="M145" i="12" s="1"/>
  <c r="M146" i="12" a="1"/>
  <c r="M146" i="12"/>
  <c r="M147" i="12" a="1"/>
  <c r="M147" i="12"/>
  <c r="M148" i="12" a="1"/>
  <c r="M148" i="12"/>
  <c r="M149" i="12" a="1"/>
  <c r="M149" i="12" s="1"/>
  <c r="M150" i="12" a="1"/>
  <c r="M150" i="12" s="1"/>
  <c r="M151" i="12" a="1"/>
  <c r="M151" i="12" s="1"/>
  <c r="M152" i="12" a="1"/>
  <c r="M152" i="12"/>
  <c r="M153" i="12" a="1"/>
  <c r="M153" i="12"/>
  <c r="M154" i="12" a="1"/>
  <c r="M154" i="12"/>
  <c r="M155" i="12" a="1"/>
  <c r="M155" i="12" s="1"/>
  <c r="M156" i="12" a="1"/>
  <c r="M156" i="12" s="1"/>
  <c r="M157" i="12" a="1"/>
  <c r="M157" i="12" s="1"/>
  <c r="M158" i="12" a="1"/>
  <c r="M158" i="12"/>
  <c r="M159" i="12" a="1"/>
  <c r="M159" i="12"/>
  <c r="M160" i="12" a="1"/>
  <c r="M160" i="12"/>
  <c r="M161" i="12" a="1"/>
  <c r="M161" i="12" s="1"/>
  <c r="M162" i="12" a="1"/>
  <c r="M162" i="12" s="1"/>
  <c r="M163" i="12" a="1"/>
  <c r="M163" i="12" s="1"/>
  <c r="M164" i="12" a="1"/>
  <c r="M164" i="12"/>
  <c r="M165" i="12" a="1"/>
  <c r="M165" i="12"/>
  <c r="M166" i="12" a="1"/>
  <c r="M166" i="12"/>
  <c r="M167" i="12" a="1"/>
  <c r="M167" i="12" s="1"/>
  <c r="M168" i="12" a="1"/>
  <c r="M168" i="12" s="1"/>
  <c r="M169" i="12" a="1"/>
  <c r="M169" i="12" s="1"/>
  <c r="M170" i="12" a="1"/>
  <c r="M170" i="12"/>
  <c r="M171" i="12" a="1"/>
  <c r="M171" i="12"/>
  <c r="M172" i="12" a="1"/>
  <c r="M172" i="12"/>
  <c r="M173" i="12" a="1"/>
  <c r="M173" i="12" s="1"/>
  <c r="M174" i="12" a="1"/>
  <c r="M174" i="12" s="1"/>
  <c r="M175" i="12" a="1"/>
  <c r="M175" i="12" s="1"/>
  <c r="M176" i="12" a="1"/>
  <c r="M176" i="12"/>
  <c r="M177" i="12" a="1"/>
  <c r="M177" i="12"/>
  <c r="M178" i="12" a="1"/>
  <c r="M178" i="12"/>
  <c r="M179" i="12" a="1"/>
  <c r="M179" i="12" s="1"/>
  <c r="M180" i="12" a="1"/>
  <c r="M180" i="12" s="1"/>
  <c r="M181" i="12" a="1"/>
  <c r="M181" i="12" s="1"/>
  <c r="M182" i="12" a="1"/>
  <c r="M182" i="12"/>
  <c r="M183" i="12" a="1"/>
  <c r="M183" i="12"/>
  <c r="M184" i="12" a="1"/>
  <c r="M184" i="12"/>
  <c r="M185" i="12" a="1"/>
  <c r="M185" i="12" s="1"/>
  <c r="M186" i="12" a="1"/>
  <c r="M186" i="12" s="1"/>
  <c r="M187" i="12" a="1"/>
  <c r="M187" i="12" s="1"/>
  <c r="M188" i="12" a="1"/>
  <c r="M188" i="12"/>
  <c r="M189" i="12" a="1"/>
  <c r="M189" i="12"/>
  <c r="M190" i="12" a="1"/>
  <c r="M190" i="12"/>
  <c r="M191" i="12" a="1"/>
  <c r="M191" i="12" s="1"/>
  <c r="M192" i="12" a="1"/>
  <c r="M192" i="12" s="1"/>
  <c r="M193" i="12" a="1"/>
  <c r="M193" i="12" s="1"/>
  <c r="M194" i="12" a="1"/>
  <c r="M194" i="12"/>
  <c r="M195" i="12" a="1"/>
  <c r="M195" i="12"/>
  <c r="M196" i="12" a="1"/>
  <c r="M196" i="12"/>
  <c r="M197" i="12" a="1"/>
  <c r="M197" i="12" s="1"/>
  <c r="M198" i="12" a="1"/>
  <c r="M198" i="12" s="1"/>
  <c r="M199" i="12" a="1"/>
  <c r="M199" i="12" s="1"/>
  <c r="M200" i="12" a="1"/>
  <c r="M200" i="12"/>
  <c r="M201" i="12" a="1"/>
  <c r="M201" i="12"/>
  <c r="M202" i="12" a="1"/>
  <c r="M202" i="12"/>
  <c r="M203" i="12" a="1"/>
  <c r="M203" i="12" s="1"/>
  <c r="M204" i="12" a="1"/>
  <c r="M204" i="12" s="1"/>
  <c r="M205" i="12" a="1"/>
  <c r="M205" i="12" s="1"/>
  <c r="M206" i="12" a="1"/>
  <c r="M206" i="12"/>
  <c r="M207" i="12" a="1"/>
  <c r="M207" i="12"/>
  <c r="M208" i="12" a="1"/>
  <c r="M208" i="12"/>
  <c r="M209" i="12" a="1"/>
  <c r="M209" i="12" s="1"/>
  <c r="M210" i="12" a="1"/>
  <c r="M210" i="12" s="1"/>
  <c r="M211" i="12" a="1"/>
  <c r="M211" i="12" s="1"/>
  <c r="M212" i="12" a="1"/>
  <c r="M212" i="12"/>
  <c r="M213" i="12" a="1"/>
  <c r="M213" i="12"/>
  <c r="M214" i="12" a="1"/>
  <c r="M214" i="12"/>
  <c r="M215" i="12" a="1"/>
  <c r="M215" i="12" s="1"/>
  <c r="M216" i="12" a="1"/>
  <c r="M216" i="12" s="1"/>
  <c r="M217" i="12" a="1"/>
  <c r="M217" i="12" s="1"/>
  <c r="M218" i="12" a="1"/>
  <c r="M218" i="12"/>
  <c r="M219" i="12" a="1"/>
  <c r="M219" i="12"/>
  <c r="M220" i="12" a="1"/>
  <c r="M220" i="12"/>
  <c r="M221" i="12" a="1"/>
  <c r="M221" i="12" s="1"/>
  <c r="M222" i="12" a="1"/>
  <c r="M222" i="12" s="1"/>
  <c r="M223" i="12" a="1"/>
  <c r="M223" i="12" s="1"/>
  <c r="M224" i="12" a="1"/>
  <c r="M224" i="12"/>
  <c r="M225" i="12" a="1"/>
  <c r="M225" i="12"/>
  <c r="M226" i="12" a="1"/>
  <c r="M226" i="12"/>
  <c r="M227" i="12" a="1"/>
  <c r="M227" i="12" s="1"/>
  <c r="M228" i="12" a="1"/>
  <c r="M228" i="12" s="1"/>
  <c r="M229" i="12" a="1"/>
  <c r="M229" i="12" s="1"/>
  <c r="M230" i="12" a="1"/>
  <c r="M230" i="12"/>
  <c r="M231" i="12" a="1"/>
  <c r="M231" i="12"/>
  <c r="M232" i="12" a="1"/>
  <c r="M232" i="12"/>
  <c r="M233" i="12" a="1"/>
  <c r="M233" i="12" s="1"/>
  <c r="M234" i="12" a="1"/>
  <c r="M234" i="12" s="1"/>
  <c r="M235" i="12" a="1"/>
  <c r="M235" i="12" s="1"/>
  <c r="M4" i="12" a="1"/>
  <c r="M4" i="12" s="1"/>
  <c r="L5" i="12" a="1"/>
  <c r="L5" i="12" s="1"/>
  <c r="L6" i="12" a="1"/>
  <c r="L6" i="12" s="1"/>
  <c r="L7" i="12" a="1"/>
  <c r="L7" i="12" s="1"/>
  <c r="L8" i="12" a="1"/>
  <c r="L8" i="12"/>
  <c r="L9" i="12" a="1"/>
  <c r="L9" i="12"/>
  <c r="L10" i="12" a="1"/>
  <c r="L10" i="12" s="1"/>
  <c r="L11" i="12" a="1"/>
  <c r="L11" i="12" s="1"/>
  <c r="L12" i="12" a="1"/>
  <c r="L12" i="12" s="1"/>
  <c r="L13" i="12" a="1"/>
  <c r="L13" i="12" s="1"/>
  <c r="L14" i="12" a="1"/>
  <c r="L14" i="12"/>
  <c r="L15" i="12" a="1"/>
  <c r="L15" i="12"/>
  <c r="L16" i="12" a="1"/>
  <c r="L16" i="12" s="1"/>
  <c r="L17" i="12" a="1"/>
  <c r="L17" i="12" s="1"/>
  <c r="L18" i="12" a="1"/>
  <c r="L18" i="12" s="1"/>
  <c r="L19" i="12" a="1"/>
  <c r="L19" i="12" s="1"/>
  <c r="L20" i="12" a="1"/>
  <c r="L20" i="12"/>
  <c r="L21" i="12" a="1"/>
  <c r="L21" i="12"/>
  <c r="L22" i="12" a="1"/>
  <c r="L22" i="12" s="1"/>
  <c r="L23" i="12" a="1"/>
  <c r="L23" i="12" s="1"/>
  <c r="L24" i="12" a="1"/>
  <c r="L24" i="12" s="1"/>
  <c r="L25" i="12" a="1"/>
  <c r="L25" i="12" s="1"/>
  <c r="L26" i="12" a="1"/>
  <c r="L26" i="12"/>
  <c r="L27" i="12" a="1"/>
  <c r="L27" i="12"/>
  <c r="L28" i="12" a="1"/>
  <c r="L28" i="12" s="1"/>
  <c r="L29" i="12" a="1"/>
  <c r="L29" i="12" s="1"/>
  <c r="L30" i="12" a="1"/>
  <c r="L30" i="12" s="1"/>
  <c r="L31" i="12" a="1"/>
  <c r="L31" i="12" s="1"/>
  <c r="L32" i="12" a="1"/>
  <c r="L32" i="12"/>
  <c r="L33" i="12" a="1"/>
  <c r="L33" i="12"/>
  <c r="L34" i="12" a="1"/>
  <c r="L34" i="12" s="1"/>
  <c r="L35" i="12" a="1"/>
  <c r="L35" i="12" s="1"/>
  <c r="L36" i="12" a="1"/>
  <c r="L36" i="12" s="1"/>
  <c r="L37" i="12" a="1"/>
  <c r="L37" i="12" s="1"/>
  <c r="L38" i="12" a="1"/>
  <c r="L38" i="12" s="1"/>
  <c r="L39" i="12" a="1"/>
  <c r="L39" i="12"/>
  <c r="L40" i="12" a="1"/>
  <c r="L40" i="12" s="1"/>
  <c r="L41" i="12" a="1"/>
  <c r="L41" i="12" s="1"/>
  <c r="L42" i="12" a="1"/>
  <c r="L42" i="12" s="1"/>
  <c r="L43" i="12" a="1"/>
  <c r="L43" i="12" s="1"/>
  <c r="L44" i="12" a="1"/>
  <c r="L44" i="12" s="1"/>
  <c r="L45" i="12" a="1"/>
  <c r="L45" i="12"/>
  <c r="L46" i="12" a="1"/>
  <c r="L46" i="12" s="1"/>
  <c r="L47" i="12" a="1"/>
  <c r="L47" i="12" s="1"/>
  <c r="L48" i="12" a="1"/>
  <c r="L48" i="12" s="1"/>
  <c r="L49" i="12" a="1"/>
  <c r="L49" i="12" s="1"/>
  <c r="L50" i="12" a="1"/>
  <c r="L50" i="12" s="1"/>
  <c r="L51" i="12" a="1"/>
  <c r="L51" i="12"/>
  <c r="L52" i="12" a="1"/>
  <c r="L52" i="12" s="1"/>
  <c r="L53" i="12" a="1"/>
  <c r="L53" i="12" s="1"/>
  <c r="L54" i="12" a="1"/>
  <c r="L54" i="12" s="1"/>
  <c r="L55" i="12" a="1"/>
  <c r="L55" i="12" s="1"/>
  <c r="L56" i="12" a="1"/>
  <c r="L56" i="12" s="1"/>
  <c r="L57" i="12" a="1"/>
  <c r="L57" i="12"/>
  <c r="L58" i="12" a="1"/>
  <c r="L58" i="12" s="1"/>
  <c r="L59" i="12" a="1"/>
  <c r="L59" i="12" s="1"/>
  <c r="L60" i="12" a="1"/>
  <c r="L60" i="12" s="1"/>
  <c r="L61" i="12" a="1"/>
  <c r="L61" i="12" s="1"/>
  <c r="L62" i="12" a="1"/>
  <c r="L62" i="12" s="1"/>
  <c r="L63" i="12" a="1"/>
  <c r="L63" i="12"/>
  <c r="L64" i="12" a="1"/>
  <c r="L64" i="12" s="1"/>
  <c r="L65" i="12" a="1"/>
  <c r="L65" i="12" s="1"/>
  <c r="L66" i="12" a="1"/>
  <c r="L66" i="12" s="1"/>
  <c r="L67" i="12" a="1"/>
  <c r="L67" i="12" s="1"/>
  <c r="L68" i="12" a="1"/>
  <c r="L68" i="12" s="1"/>
  <c r="L69" i="12" a="1"/>
  <c r="L69" i="12"/>
  <c r="L70" i="12" a="1"/>
  <c r="L70" i="12" s="1"/>
  <c r="L71" i="12" a="1"/>
  <c r="L71" i="12" s="1"/>
  <c r="L72" i="12" a="1"/>
  <c r="L72" i="12" s="1"/>
  <c r="L73" i="12" a="1"/>
  <c r="L73" i="12" s="1"/>
  <c r="L74" i="12" a="1"/>
  <c r="L74" i="12" s="1"/>
  <c r="L75" i="12" a="1"/>
  <c r="L75" i="12"/>
  <c r="L76" i="12" a="1"/>
  <c r="L76" i="12" s="1"/>
  <c r="L77" i="12" a="1"/>
  <c r="L77" i="12" s="1"/>
  <c r="L78" i="12" a="1"/>
  <c r="L78" i="12" s="1"/>
  <c r="L79" i="12" a="1"/>
  <c r="L79" i="12" s="1"/>
  <c r="L80" i="12" a="1"/>
  <c r="L80" i="12" s="1"/>
  <c r="L81" i="12" a="1"/>
  <c r="L81" i="12"/>
  <c r="L82" i="12" a="1"/>
  <c r="L82" i="12" s="1"/>
  <c r="L83" i="12" a="1"/>
  <c r="L83" i="12" s="1"/>
  <c r="L84" i="12" a="1"/>
  <c r="L84" i="12" s="1"/>
  <c r="L85" i="12" a="1"/>
  <c r="L85" i="12" s="1"/>
  <c r="L86" i="12" a="1"/>
  <c r="L86" i="12" s="1"/>
  <c r="L87" i="12" a="1"/>
  <c r="L87" i="12"/>
  <c r="L88" i="12" a="1"/>
  <c r="L88" i="12" s="1"/>
  <c r="L89" i="12" a="1"/>
  <c r="L89" i="12" s="1"/>
  <c r="L90" i="12" a="1"/>
  <c r="L90" i="12" s="1"/>
  <c r="L91" i="12" a="1"/>
  <c r="L91" i="12" s="1"/>
  <c r="L92" i="12" a="1"/>
  <c r="L92" i="12" s="1"/>
  <c r="L93" i="12" a="1"/>
  <c r="L93" i="12"/>
  <c r="L94" i="12" a="1"/>
  <c r="L94" i="12" s="1"/>
  <c r="L95" i="12" a="1"/>
  <c r="L95" i="12" s="1"/>
  <c r="L96" i="12" a="1"/>
  <c r="L96" i="12" s="1"/>
  <c r="L97" i="12" a="1"/>
  <c r="L97" i="12" s="1"/>
  <c r="L98" i="12" a="1"/>
  <c r="L98" i="12" s="1"/>
  <c r="L99" i="12" a="1"/>
  <c r="L99" i="12"/>
  <c r="L100" i="12" a="1"/>
  <c r="L100" i="12" s="1"/>
  <c r="L101" i="12" a="1"/>
  <c r="L101" i="12" s="1"/>
  <c r="L102" i="12" a="1"/>
  <c r="L102" i="12" s="1"/>
  <c r="L103" i="12" a="1"/>
  <c r="L103" i="12" s="1"/>
  <c r="L104" i="12" a="1"/>
  <c r="L104" i="12" s="1"/>
  <c r="L105" i="12" a="1"/>
  <c r="L105" i="12"/>
  <c r="L106" i="12" a="1"/>
  <c r="L106" i="12" s="1"/>
  <c r="L107" i="12" a="1"/>
  <c r="L107" i="12" s="1"/>
  <c r="L108" i="12" a="1"/>
  <c r="L108" i="12" s="1"/>
  <c r="L109" i="12" a="1"/>
  <c r="L109" i="12" s="1"/>
  <c r="L110" i="12" a="1"/>
  <c r="L110" i="12" s="1"/>
  <c r="L111" i="12" a="1"/>
  <c r="L111" i="12"/>
  <c r="L112" i="12" a="1"/>
  <c r="L112" i="12" s="1"/>
  <c r="L113" i="12" a="1"/>
  <c r="L113" i="12" s="1"/>
  <c r="L114" i="12" a="1"/>
  <c r="L114" i="12" s="1"/>
  <c r="L115" i="12" a="1"/>
  <c r="L115" i="12" s="1"/>
  <c r="L116" i="12" a="1"/>
  <c r="L116" i="12" s="1"/>
  <c r="L117" i="12" a="1"/>
  <c r="L117" i="12"/>
  <c r="L118" i="12" a="1"/>
  <c r="L118" i="12" s="1"/>
  <c r="L119" i="12" a="1"/>
  <c r="L119" i="12" s="1"/>
  <c r="L120" i="12" a="1"/>
  <c r="L120" i="12" s="1"/>
  <c r="L121" i="12" a="1"/>
  <c r="L121" i="12" s="1"/>
  <c r="L122" i="12" a="1"/>
  <c r="L122" i="12" s="1"/>
  <c r="L123" i="12" a="1"/>
  <c r="L123" i="12"/>
  <c r="L124" i="12" a="1"/>
  <c r="L124" i="12" s="1"/>
  <c r="L125" i="12" a="1"/>
  <c r="L125" i="12" s="1"/>
  <c r="L126" i="12" a="1"/>
  <c r="L126" i="12" s="1"/>
  <c r="L127" i="12" a="1"/>
  <c r="L127" i="12" s="1"/>
  <c r="L128" i="12" a="1"/>
  <c r="L128" i="12" s="1"/>
  <c r="L129" i="12" a="1"/>
  <c r="L129" i="12"/>
  <c r="L130" i="12" a="1"/>
  <c r="L130" i="12" s="1"/>
  <c r="L131" i="12" a="1"/>
  <c r="L131" i="12" s="1"/>
  <c r="L132" i="12" a="1"/>
  <c r="L132" i="12" s="1"/>
  <c r="L133" i="12" a="1"/>
  <c r="L133" i="12" s="1"/>
  <c r="L134" i="12" a="1"/>
  <c r="L134" i="12" s="1"/>
  <c r="L135" i="12" a="1"/>
  <c r="L135" i="12"/>
  <c r="L136" i="12" a="1"/>
  <c r="L136" i="12" s="1"/>
  <c r="L137" i="12" a="1"/>
  <c r="L137" i="12" s="1"/>
  <c r="L138" i="12" a="1"/>
  <c r="L138" i="12" s="1"/>
  <c r="L139" i="12" a="1"/>
  <c r="L139" i="12" s="1"/>
  <c r="L140" i="12" a="1"/>
  <c r="L140" i="12" s="1"/>
  <c r="L141" i="12" a="1"/>
  <c r="L141" i="12"/>
  <c r="L142" i="12" a="1"/>
  <c r="L142" i="12" s="1"/>
  <c r="L143" i="12" a="1"/>
  <c r="L143" i="12" s="1"/>
  <c r="L144" i="12" a="1"/>
  <c r="L144" i="12" s="1"/>
  <c r="L145" i="12" a="1"/>
  <c r="L145" i="12" s="1"/>
  <c r="L146" i="12" a="1"/>
  <c r="L146" i="12" s="1"/>
  <c r="L147" i="12" a="1"/>
  <c r="L147" i="12"/>
  <c r="L148" i="12" a="1"/>
  <c r="L148" i="12" s="1"/>
  <c r="L149" i="12" a="1"/>
  <c r="L149" i="12" s="1"/>
  <c r="L150" i="12" a="1"/>
  <c r="L150" i="12" s="1"/>
  <c r="L151" i="12" a="1"/>
  <c r="L151" i="12" s="1"/>
  <c r="L152" i="12" a="1"/>
  <c r="L152" i="12" s="1"/>
  <c r="L153" i="12" a="1"/>
  <c r="L153" i="12"/>
  <c r="L154" i="12" a="1"/>
  <c r="L154" i="12" s="1"/>
  <c r="L155" i="12" a="1"/>
  <c r="L155" i="12" s="1"/>
  <c r="L156" i="12" a="1"/>
  <c r="L156" i="12" s="1"/>
  <c r="L157" i="12" a="1"/>
  <c r="L157" i="12" s="1"/>
  <c r="L158" i="12" a="1"/>
  <c r="L158" i="12" s="1"/>
  <c r="L159" i="12" a="1"/>
  <c r="L159" i="12"/>
  <c r="L160" i="12" a="1"/>
  <c r="L160" i="12" s="1"/>
  <c r="L161" i="12" a="1"/>
  <c r="L161" i="12" s="1"/>
  <c r="L162" i="12" a="1"/>
  <c r="L162" i="12" s="1"/>
  <c r="L163" i="12" a="1"/>
  <c r="L163" i="12" s="1"/>
  <c r="L164" i="12" a="1"/>
  <c r="L164" i="12" s="1"/>
  <c r="L165" i="12" a="1"/>
  <c r="L165" i="12"/>
  <c r="L166" i="12" a="1"/>
  <c r="L166" i="12" s="1"/>
  <c r="L167" i="12" a="1"/>
  <c r="L167" i="12" s="1"/>
  <c r="L168" i="12" a="1"/>
  <c r="L168" i="12" s="1"/>
  <c r="L169" i="12" a="1"/>
  <c r="L169" i="12" s="1"/>
  <c r="L170" i="12" a="1"/>
  <c r="L170" i="12" s="1"/>
  <c r="L171" i="12" a="1"/>
  <c r="L171" i="12"/>
  <c r="L172" i="12" a="1"/>
  <c r="L172" i="12" s="1"/>
  <c r="L173" i="12" a="1"/>
  <c r="L173" i="12" s="1"/>
  <c r="L174" i="12" a="1"/>
  <c r="L174" i="12" s="1"/>
  <c r="L175" i="12" a="1"/>
  <c r="L175" i="12" s="1"/>
  <c r="L176" i="12" a="1"/>
  <c r="L176" i="12" s="1"/>
  <c r="L177" i="12" a="1"/>
  <c r="L177" i="12"/>
  <c r="L178" i="12" a="1"/>
  <c r="L178" i="12" s="1"/>
  <c r="L179" i="12" a="1"/>
  <c r="L179" i="12" s="1"/>
  <c r="L180" i="12" a="1"/>
  <c r="L180" i="12" s="1"/>
  <c r="L181" i="12" a="1"/>
  <c r="L181" i="12" s="1"/>
  <c r="L182" i="12" a="1"/>
  <c r="L182" i="12" s="1"/>
  <c r="L183" i="12" a="1"/>
  <c r="L183" i="12"/>
  <c r="L184" i="12" a="1"/>
  <c r="L184" i="12" s="1"/>
  <c r="L185" i="12" a="1"/>
  <c r="L185" i="12" s="1"/>
  <c r="L186" i="12" a="1"/>
  <c r="L186" i="12" s="1"/>
  <c r="L187" i="12" a="1"/>
  <c r="L187" i="12" s="1"/>
  <c r="L188" i="12" a="1"/>
  <c r="L188" i="12" s="1"/>
  <c r="L189" i="12" a="1"/>
  <c r="L189" i="12"/>
  <c r="L190" i="12" a="1"/>
  <c r="L190" i="12" s="1"/>
  <c r="L191" i="12" a="1"/>
  <c r="L191" i="12" s="1"/>
  <c r="L192" i="12" a="1"/>
  <c r="L192" i="12" s="1"/>
  <c r="L193" i="12" a="1"/>
  <c r="L193" i="12" s="1"/>
  <c r="L194" i="12" a="1"/>
  <c r="L194" i="12" s="1"/>
  <c r="L195" i="12" a="1"/>
  <c r="L195" i="12"/>
  <c r="L196" i="12" a="1"/>
  <c r="L196" i="12" s="1"/>
  <c r="L197" i="12" a="1"/>
  <c r="L197" i="12" s="1"/>
  <c r="L198" i="12" a="1"/>
  <c r="L198" i="12" s="1"/>
  <c r="L199" i="12" a="1"/>
  <c r="L199" i="12" s="1"/>
  <c r="L200" i="12" a="1"/>
  <c r="L200" i="12" s="1"/>
  <c r="L201" i="12" a="1"/>
  <c r="L201" i="12"/>
  <c r="L202" i="12" a="1"/>
  <c r="L202" i="12" s="1"/>
  <c r="L203" i="12" a="1"/>
  <c r="L203" i="12" s="1"/>
  <c r="L204" i="12" a="1"/>
  <c r="L204" i="12" s="1"/>
  <c r="L205" i="12" a="1"/>
  <c r="L205" i="12" s="1"/>
  <c r="L206" i="12" a="1"/>
  <c r="L206" i="12" s="1"/>
  <c r="L207" i="12" a="1"/>
  <c r="L207" i="12"/>
  <c r="L208" i="12" a="1"/>
  <c r="L208" i="12" s="1"/>
  <c r="L209" i="12" a="1"/>
  <c r="L209" i="12" s="1"/>
  <c r="L210" i="12" a="1"/>
  <c r="L210" i="12" s="1"/>
  <c r="L211" i="12" a="1"/>
  <c r="L211" i="12" s="1"/>
  <c r="L212" i="12" a="1"/>
  <c r="L212" i="12" s="1"/>
  <c r="L213" i="12" a="1"/>
  <c r="L213" i="12"/>
  <c r="L214" i="12" a="1"/>
  <c r="L214" i="12" s="1"/>
  <c r="L215" i="12" a="1"/>
  <c r="L215" i="12" s="1"/>
  <c r="L216" i="12" a="1"/>
  <c r="L216" i="12" s="1"/>
  <c r="L217" i="12" a="1"/>
  <c r="L217" i="12" s="1"/>
  <c r="L218" i="12" a="1"/>
  <c r="L218" i="12" s="1"/>
  <c r="L219" i="12" a="1"/>
  <c r="L219" i="12"/>
  <c r="L220" i="12" a="1"/>
  <c r="L220" i="12" s="1"/>
  <c r="L221" i="12" a="1"/>
  <c r="L221" i="12" s="1"/>
  <c r="L222" i="12" a="1"/>
  <c r="L222" i="12" s="1"/>
  <c r="L223" i="12" a="1"/>
  <c r="L223" i="12" s="1"/>
  <c r="L224" i="12" a="1"/>
  <c r="L224" i="12" s="1"/>
  <c r="L225" i="12" a="1"/>
  <c r="L225" i="12"/>
  <c r="L226" i="12" a="1"/>
  <c r="L226" i="12" s="1"/>
  <c r="L227" i="12" a="1"/>
  <c r="L227" i="12" s="1"/>
  <c r="L228" i="12" a="1"/>
  <c r="L228" i="12" s="1"/>
  <c r="L229" i="12" a="1"/>
  <c r="L229" i="12" s="1"/>
  <c r="L230" i="12" a="1"/>
  <c r="L230" i="12" s="1"/>
  <c r="L231" i="12" a="1"/>
  <c r="L231" i="12"/>
  <c r="L232" i="12" a="1"/>
  <c r="L232" i="12" s="1"/>
  <c r="L233" i="12" a="1"/>
  <c r="L233" i="12" s="1"/>
  <c r="L234" i="12" a="1"/>
  <c r="L234" i="12" s="1"/>
  <c r="L235" i="12" a="1"/>
  <c r="L235" i="12" s="1"/>
  <c r="L4" i="12" a="1"/>
  <c r="L4" i="12" s="1"/>
  <c r="K5" i="12" a="1"/>
  <c r="K5" i="12" s="1"/>
  <c r="K6" i="12" a="1"/>
  <c r="K6" i="12" s="1"/>
  <c r="K7" i="12" a="1"/>
  <c r="K7" i="12" s="1"/>
  <c r="K8" i="12" a="1"/>
  <c r="K8" i="12" s="1"/>
  <c r="K9" i="12" a="1"/>
  <c r="K9" i="12"/>
  <c r="K10" i="12" a="1"/>
  <c r="K10" i="12" s="1"/>
  <c r="K11" i="12" a="1"/>
  <c r="K11" i="12" s="1"/>
  <c r="K12" i="12" a="1"/>
  <c r="K12" i="12" s="1"/>
  <c r="K13" i="12" a="1"/>
  <c r="K13" i="12" s="1"/>
  <c r="K14" i="12" a="1"/>
  <c r="K14" i="12" s="1"/>
  <c r="K15" i="12" a="1"/>
  <c r="K15" i="12"/>
  <c r="K16" i="12" a="1"/>
  <c r="K16" i="12" s="1"/>
  <c r="K17" i="12" a="1"/>
  <c r="K17" i="12" s="1"/>
  <c r="K18" i="12" a="1"/>
  <c r="K18" i="12" s="1"/>
  <c r="K19" i="12" a="1"/>
  <c r="K19" i="12" s="1"/>
  <c r="K20" i="12" a="1"/>
  <c r="K20" i="12" s="1"/>
  <c r="K21" i="12" a="1"/>
  <c r="K21" i="12"/>
  <c r="K22" i="12" a="1"/>
  <c r="K22" i="12" s="1"/>
  <c r="K23" i="12" a="1"/>
  <c r="K23" i="12" s="1"/>
  <c r="K24" i="12" a="1"/>
  <c r="K24" i="12" s="1"/>
  <c r="K25" i="12" a="1"/>
  <c r="K25" i="12" s="1"/>
  <c r="K26" i="12" a="1"/>
  <c r="K26" i="12" s="1"/>
  <c r="K27" i="12" a="1"/>
  <c r="K27" i="12"/>
  <c r="K28" i="12" a="1"/>
  <c r="K28" i="12" s="1"/>
  <c r="K29" i="12" a="1"/>
  <c r="K29" i="12" s="1"/>
  <c r="K30" i="12" a="1"/>
  <c r="K30" i="12" s="1"/>
  <c r="K31" i="12" a="1"/>
  <c r="K31" i="12" s="1"/>
  <c r="K32" i="12" a="1"/>
  <c r="K32" i="12" s="1"/>
  <c r="K33" i="12" a="1"/>
  <c r="K33" i="12"/>
  <c r="K34" i="12" a="1"/>
  <c r="K34" i="12" s="1"/>
  <c r="K35" i="12" a="1"/>
  <c r="K35" i="12" s="1"/>
  <c r="K36" i="12" a="1"/>
  <c r="K36" i="12" s="1"/>
  <c r="K37" i="12" a="1"/>
  <c r="K37" i="12" s="1"/>
  <c r="K38" i="12" a="1"/>
  <c r="K38" i="12" s="1"/>
  <c r="K39" i="12" a="1"/>
  <c r="K39" i="12"/>
  <c r="K40" i="12" a="1"/>
  <c r="K40" i="12" s="1"/>
  <c r="K41" i="12" a="1"/>
  <c r="K41" i="12" s="1"/>
  <c r="K42" i="12" a="1"/>
  <c r="K42" i="12" s="1"/>
  <c r="K43" i="12" a="1"/>
  <c r="K43" i="12" s="1"/>
  <c r="K44" i="12" a="1"/>
  <c r="K44" i="12" s="1"/>
  <c r="K45" i="12" a="1"/>
  <c r="K45" i="12"/>
  <c r="K46" i="12" a="1"/>
  <c r="K46" i="12" s="1"/>
  <c r="K47" i="12" a="1"/>
  <c r="K47" i="12" s="1"/>
  <c r="K48" i="12" a="1"/>
  <c r="K48" i="12" s="1"/>
  <c r="K49" i="12" a="1"/>
  <c r="K49" i="12" s="1"/>
  <c r="K50" i="12" a="1"/>
  <c r="K50" i="12" s="1"/>
  <c r="K51" i="12" a="1"/>
  <c r="K51" i="12"/>
  <c r="K52" i="12" a="1"/>
  <c r="K52" i="12" s="1"/>
  <c r="K53" i="12" a="1"/>
  <c r="K53" i="12" s="1"/>
  <c r="K54" i="12" a="1"/>
  <c r="K54" i="12" s="1"/>
  <c r="K55" i="12" a="1"/>
  <c r="K55" i="12" s="1"/>
  <c r="K56" i="12" a="1"/>
  <c r="K56" i="12" s="1"/>
  <c r="K57" i="12" a="1"/>
  <c r="K57" i="12"/>
  <c r="K58" i="12" a="1"/>
  <c r="K58" i="12" s="1"/>
  <c r="K59" i="12" a="1"/>
  <c r="K59" i="12" s="1"/>
  <c r="K60" i="12" a="1"/>
  <c r="K60" i="12" s="1"/>
  <c r="K61" i="12" a="1"/>
  <c r="K61" i="12" s="1"/>
  <c r="K62" i="12" a="1"/>
  <c r="K62" i="12" s="1"/>
  <c r="K63" i="12" a="1"/>
  <c r="K63" i="12"/>
  <c r="K64" i="12" a="1"/>
  <c r="K64" i="12" s="1"/>
  <c r="K65" i="12" a="1"/>
  <c r="K65" i="12" s="1"/>
  <c r="K66" i="12" a="1"/>
  <c r="K66" i="12" s="1"/>
  <c r="K67" i="12" a="1"/>
  <c r="K67" i="12" s="1"/>
  <c r="K68" i="12" a="1"/>
  <c r="K68" i="12" s="1"/>
  <c r="K69" i="12" a="1"/>
  <c r="K69" i="12"/>
  <c r="K70" i="12" a="1"/>
  <c r="K70" i="12" s="1"/>
  <c r="K71" i="12" a="1"/>
  <c r="K71" i="12" s="1"/>
  <c r="K72" i="12" a="1"/>
  <c r="K72" i="12" s="1"/>
  <c r="K73" i="12" a="1"/>
  <c r="K73" i="12" s="1"/>
  <c r="K74" i="12" a="1"/>
  <c r="K74" i="12" s="1"/>
  <c r="K75" i="12" a="1"/>
  <c r="K75" i="12"/>
  <c r="K76" i="12" a="1"/>
  <c r="K76" i="12" s="1"/>
  <c r="K77" i="12" a="1"/>
  <c r="K77" i="12" s="1"/>
  <c r="K78" i="12" a="1"/>
  <c r="K78" i="12" s="1"/>
  <c r="K79" i="12" a="1"/>
  <c r="K79" i="12" s="1"/>
  <c r="K80" i="12" a="1"/>
  <c r="K80" i="12" s="1"/>
  <c r="K81" i="12" a="1"/>
  <c r="K81" i="12"/>
  <c r="K82" i="12" a="1"/>
  <c r="K82" i="12" s="1"/>
  <c r="K83" i="12" a="1"/>
  <c r="K83" i="12" s="1"/>
  <c r="K84" i="12" a="1"/>
  <c r="K84" i="12" s="1"/>
  <c r="K85" i="12" a="1"/>
  <c r="K85" i="12" s="1"/>
  <c r="K86" i="12" a="1"/>
  <c r="K86" i="12" s="1"/>
  <c r="K87" i="12" a="1"/>
  <c r="K87" i="12"/>
  <c r="K88" i="12" a="1"/>
  <c r="K88" i="12" s="1"/>
  <c r="K89" i="12" a="1"/>
  <c r="K89" i="12" s="1"/>
  <c r="K90" i="12" a="1"/>
  <c r="K90" i="12" s="1"/>
  <c r="K91" i="12" a="1"/>
  <c r="K91" i="12" s="1"/>
  <c r="K92" i="12" a="1"/>
  <c r="K92" i="12" s="1"/>
  <c r="K93" i="12" a="1"/>
  <c r="K93" i="12"/>
  <c r="K94" i="12" a="1"/>
  <c r="K94" i="12" s="1"/>
  <c r="K95" i="12" a="1"/>
  <c r="K95" i="12" s="1"/>
  <c r="K96" i="12" a="1"/>
  <c r="K96" i="12" s="1"/>
  <c r="K97" i="12" a="1"/>
  <c r="K97" i="12" s="1"/>
  <c r="K98" i="12" a="1"/>
  <c r="K98" i="12" s="1"/>
  <c r="K99" i="12" a="1"/>
  <c r="K99" i="12"/>
  <c r="K100" i="12" a="1"/>
  <c r="K100" i="12" s="1"/>
  <c r="K101" i="12" a="1"/>
  <c r="K101" i="12" s="1"/>
  <c r="K102" i="12" a="1"/>
  <c r="K102" i="12" s="1"/>
  <c r="K103" i="12" a="1"/>
  <c r="K103" i="12" s="1"/>
  <c r="K104" i="12" a="1"/>
  <c r="K104" i="12" s="1"/>
  <c r="K105" i="12" a="1"/>
  <c r="K105" i="12"/>
  <c r="K106" i="12" a="1"/>
  <c r="K106" i="12" s="1"/>
  <c r="K107" i="12" a="1"/>
  <c r="K107" i="12" s="1"/>
  <c r="K108" i="12" a="1"/>
  <c r="K108" i="12" s="1"/>
  <c r="K109" i="12" a="1"/>
  <c r="K109" i="12" s="1"/>
  <c r="K110" i="12" a="1"/>
  <c r="K110" i="12" s="1"/>
  <c r="K111" i="12" a="1"/>
  <c r="K111" i="12"/>
  <c r="K112" i="12" a="1"/>
  <c r="K112" i="12" s="1"/>
  <c r="K113" i="12" a="1"/>
  <c r="K113" i="12" s="1"/>
  <c r="K114" i="12" a="1"/>
  <c r="K114" i="12" s="1"/>
  <c r="K115" i="12" a="1"/>
  <c r="K115" i="12" s="1"/>
  <c r="K116" i="12" a="1"/>
  <c r="K116" i="12" s="1"/>
  <c r="K117" i="12" a="1"/>
  <c r="K117" i="12"/>
  <c r="K118" i="12" a="1"/>
  <c r="K118" i="12" s="1"/>
  <c r="K119" i="12" a="1"/>
  <c r="K119" i="12" s="1"/>
  <c r="K120" i="12" a="1"/>
  <c r="K120" i="12" s="1"/>
  <c r="K121" i="12" a="1"/>
  <c r="K121" i="12" s="1"/>
  <c r="K122" i="12" a="1"/>
  <c r="K122" i="12" s="1"/>
  <c r="K123" i="12" a="1"/>
  <c r="K123" i="12"/>
  <c r="K124" i="12" a="1"/>
  <c r="K124" i="12" s="1"/>
  <c r="K125" i="12" a="1"/>
  <c r="K125" i="12" s="1"/>
  <c r="K126" i="12" a="1"/>
  <c r="K126" i="12" s="1"/>
  <c r="K127" i="12" a="1"/>
  <c r="K127" i="12" s="1"/>
  <c r="K128" i="12" a="1"/>
  <c r="K128" i="12" s="1"/>
  <c r="K129" i="12" a="1"/>
  <c r="K129" i="12"/>
  <c r="K130" i="12" a="1"/>
  <c r="K130" i="12" s="1"/>
  <c r="K131" i="12" a="1"/>
  <c r="K131" i="12" s="1"/>
  <c r="K132" i="12" a="1"/>
  <c r="K132" i="12" s="1"/>
  <c r="K133" i="12" a="1"/>
  <c r="K133" i="12" s="1"/>
  <c r="K134" i="12" a="1"/>
  <c r="K134" i="12" s="1"/>
  <c r="K135" i="12" a="1"/>
  <c r="K135" i="12"/>
  <c r="K136" i="12" a="1"/>
  <c r="K136" i="12" s="1"/>
  <c r="K137" i="12" a="1"/>
  <c r="K137" i="12" s="1"/>
  <c r="K138" i="12" a="1"/>
  <c r="K138" i="12" s="1"/>
  <c r="K139" i="12" a="1"/>
  <c r="K139" i="12" s="1"/>
  <c r="K140" i="12" a="1"/>
  <c r="K140" i="12" s="1"/>
  <c r="K141" i="12" a="1"/>
  <c r="K141" i="12"/>
  <c r="K142" i="12" a="1"/>
  <c r="K142" i="12" s="1"/>
  <c r="K143" i="12" a="1"/>
  <c r="K143" i="12" s="1"/>
  <c r="K144" i="12" a="1"/>
  <c r="K144" i="12" s="1"/>
  <c r="K145" i="12" a="1"/>
  <c r="K145" i="12" s="1"/>
  <c r="K146" i="12" a="1"/>
  <c r="K146" i="12" s="1"/>
  <c r="K147" i="12" a="1"/>
  <c r="K147" i="12"/>
  <c r="K148" i="12" a="1"/>
  <c r="K148" i="12" s="1"/>
  <c r="K149" i="12" a="1"/>
  <c r="K149" i="12" s="1"/>
  <c r="K150" i="12" a="1"/>
  <c r="K150" i="12" s="1"/>
  <c r="K151" i="12" a="1"/>
  <c r="K151" i="12" s="1"/>
  <c r="K152" i="12" a="1"/>
  <c r="K152" i="12" s="1"/>
  <c r="K153" i="12" a="1"/>
  <c r="K153" i="12"/>
  <c r="K154" i="12" a="1"/>
  <c r="K154" i="12" s="1"/>
  <c r="K155" i="12" a="1"/>
  <c r="K155" i="12" s="1"/>
  <c r="K156" i="12" a="1"/>
  <c r="K156" i="12" s="1"/>
  <c r="K157" i="12" a="1"/>
  <c r="K157" i="12" s="1"/>
  <c r="K158" i="12" a="1"/>
  <c r="K158" i="12" s="1"/>
  <c r="K159" i="12" a="1"/>
  <c r="K159" i="12"/>
  <c r="K160" i="12" a="1"/>
  <c r="K160" i="12" s="1"/>
  <c r="K161" i="12" a="1"/>
  <c r="K161" i="12" s="1"/>
  <c r="K162" i="12" a="1"/>
  <c r="K162" i="12" s="1"/>
  <c r="K163" i="12" a="1"/>
  <c r="K163" i="12" s="1"/>
  <c r="K164" i="12" a="1"/>
  <c r="K164" i="12" s="1"/>
  <c r="K165" i="12" a="1"/>
  <c r="K165" i="12"/>
  <c r="K166" i="12" a="1"/>
  <c r="K166" i="12" s="1"/>
  <c r="K167" i="12" a="1"/>
  <c r="K167" i="12" s="1"/>
  <c r="K168" i="12" a="1"/>
  <c r="K168" i="12" s="1"/>
  <c r="K169" i="12" a="1"/>
  <c r="K169" i="12" s="1"/>
  <c r="K170" i="12" a="1"/>
  <c r="K170" i="12" s="1"/>
  <c r="K171" i="12" a="1"/>
  <c r="K171" i="12"/>
  <c r="K172" i="12" a="1"/>
  <c r="K172" i="12" s="1"/>
  <c r="K173" i="12" a="1"/>
  <c r="K173" i="12" s="1"/>
  <c r="K174" i="12" a="1"/>
  <c r="K174" i="12" s="1"/>
  <c r="K175" i="12" a="1"/>
  <c r="K175" i="12" s="1"/>
  <c r="K176" i="12" a="1"/>
  <c r="K176" i="12" s="1"/>
  <c r="K177" i="12" a="1"/>
  <c r="K177" i="12"/>
  <c r="K178" i="12" a="1"/>
  <c r="K178" i="12" s="1"/>
  <c r="K179" i="12" a="1"/>
  <c r="K179" i="12" s="1"/>
  <c r="K180" i="12" a="1"/>
  <c r="K180" i="12" s="1"/>
  <c r="K181" i="12" a="1"/>
  <c r="K181" i="12" s="1"/>
  <c r="K182" i="12" a="1"/>
  <c r="K182" i="12" s="1"/>
  <c r="K183" i="12" a="1"/>
  <c r="K183" i="12"/>
  <c r="K184" i="12" a="1"/>
  <c r="K184" i="12" s="1"/>
  <c r="K185" i="12" a="1"/>
  <c r="K185" i="12" s="1"/>
  <c r="K186" i="12" a="1"/>
  <c r="K186" i="12" s="1"/>
  <c r="K187" i="12" a="1"/>
  <c r="K187" i="12" s="1"/>
  <c r="K188" i="12" a="1"/>
  <c r="K188" i="12" s="1"/>
  <c r="K189" i="12" a="1"/>
  <c r="K189" i="12"/>
  <c r="K190" i="12" a="1"/>
  <c r="K190" i="12" s="1"/>
  <c r="K191" i="12" a="1"/>
  <c r="K191" i="12" s="1"/>
  <c r="K192" i="12" a="1"/>
  <c r="K192" i="12" s="1"/>
  <c r="K193" i="12" a="1"/>
  <c r="K193" i="12" s="1"/>
  <c r="K194" i="12" a="1"/>
  <c r="K194" i="12" s="1"/>
  <c r="K195" i="12" a="1"/>
  <c r="K195" i="12"/>
  <c r="K196" i="12" a="1"/>
  <c r="K196" i="12" s="1"/>
  <c r="K197" i="12" a="1"/>
  <c r="K197" i="12" s="1"/>
  <c r="K198" i="12" a="1"/>
  <c r="K198" i="12" s="1"/>
  <c r="K199" i="12" a="1"/>
  <c r="K199" i="12" s="1"/>
  <c r="K200" i="12" a="1"/>
  <c r="K200" i="12" s="1"/>
  <c r="K201" i="12" a="1"/>
  <c r="K201" i="12"/>
  <c r="K202" i="12" a="1"/>
  <c r="K202" i="12" s="1"/>
  <c r="K203" i="12" a="1"/>
  <c r="K203" i="12" s="1"/>
  <c r="K204" i="12" a="1"/>
  <c r="K204" i="12" s="1"/>
  <c r="K205" i="12" a="1"/>
  <c r="K205" i="12" s="1"/>
  <c r="K206" i="12" a="1"/>
  <c r="K206" i="12" s="1"/>
  <c r="K207" i="12" a="1"/>
  <c r="K207" i="12"/>
  <c r="K208" i="12" a="1"/>
  <c r="K208" i="12" s="1"/>
  <c r="K209" i="12" a="1"/>
  <c r="K209" i="12" s="1"/>
  <c r="K210" i="12" a="1"/>
  <c r="K210" i="12" s="1"/>
  <c r="K211" i="12" a="1"/>
  <c r="K211" i="12" s="1"/>
  <c r="K212" i="12" a="1"/>
  <c r="K212" i="12" s="1"/>
  <c r="K213" i="12" a="1"/>
  <c r="K213" i="12"/>
  <c r="K214" i="12" a="1"/>
  <c r="K214" i="12" s="1"/>
  <c r="K215" i="12" a="1"/>
  <c r="K215" i="12" s="1"/>
  <c r="K216" i="12" a="1"/>
  <c r="K216" i="12" s="1"/>
  <c r="K217" i="12" a="1"/>
  <c r="K217" i="12" s="1"/>
  <c r="K218" i="12" a="1"/>
  <c r="K218" i="12" s="1"/>
  <c r="K219" i="12" a="1"/>
  <c r="K219" i="12"/>
  <c r="K220" i="12" a="1"/>
  <c r="K220" i="12" s="1"/>
  <c r="K221" i="12" a="1"/>
  <c r="K221" i="12" s="1"/>
  <c r="K222" i="12" a="1"/>
  <c r="K222" i="12" s="1"/>
  <c r="K223" i="12" a="1"/>
  <c r="K223" i="12" s="1"/>
  <c r="K224" i="12" a="1"/>
  <c r="K224" i="12" s="1"/>
  <c r="K225" i="12" a="1"/>
  <c r="K225" i="12"/>
  <c r="K226" i="12" a="1"/>
  <c r="K226" i="12" s="1"/>
  <c r="K227" i="12" a="1"/>
  <c r="K227" i="12" s="1"/>
  <c r="K228" i="12" a="1"/>
  <c r="K228" i="12" s="1"/>
  <c r="K229" i="12" a="1"/>
  <c r="K229" i="12" s="1"/>
  <c r="K230" i="12" a="1"/>
  <c r="K230" i="12" s="1"/>
  <c r="K231" i="12" a="1"/>
  <c r="K231" i="12"/>
  <c r="K232" i="12" a="1"/>
  <c r="K232" i="12" s="1"/>
  <c r="K233" i="12" a="1"/>
  <c r="K233" i="12" s="1"/>
  <c r="K234" i="12" a="1"/>
  <c r="K234" i="12" s="1"/>
  <c r="K235" i="12" a="1"/>
  <c r="K235" i="12" s="1"/>
  <c r="J5" i="12"/>
  <c r="J6" i="12"/>
  <c r="J7" i="12"/>
  <c r="J8" i="12"/>
  <c r="J9" i="12"/>
  <c r="J10" i="12"/>
  <c r="J11" i="12"/>
  <c r="J12" i="12"/>
  <c r="J13" i="12"/>
  <c r="J14" i="12"/>
  <c r="J15" i="12"/>
  <c r="J16" i="12"/>
  <c r="J17" i="12"/>
  <c r="J18" i="12"/>
  <c r="J19" i="12"/>
  <c r="J20" i="12"/>
  <c r="J21" i="12"/>
  <c r="J22" i="12"/>
  <c r="J23" i="12"/>
  <c r="J24" i="12"/>
  <c r="J25" i="12"/>
  <c r="J26" i="12"/>
  <c r="J27" i="12"/>
  <c r="J28" i="12"/>
  <c r="J29" i="12"/>
  <c r="J30" i="12"/>
  <c r="J31" i="12"/>
  <c r="J32" i="12"/>
  <c r="J33" i="12"/>
  <c r="J34" i="12"/>
  <c r="J35" i="12"/>
  <c r="J36" i="12"/>
  <c r="J37" i="12"/>
  <c r="J38" i="12"/>
  <c r="J39" i="12"/>
  <c r="J40" i="12"/>
  <c r="J41" i="12"/>
  <c r="J42" i="12"/>
  <c r="J43" i="12"/>
  <c r="J44" i="12"/>
  <c r="J45" i="12"/>
  <c r="J46" i="12"/>
  <c r="J47" i="12"/>
  <c r="J48" i="12"/>
  <c r="J49" i="12"/>
  <c r="J50" i="12"/>
  <c r="J51" i="12"/>
  <c r="J52" i="12"/>
  <c r="J53" i="12"/>
  <c r="J54" i="12"/>
  <c r="J55" i="12"/>
  <c r="J56" i="12"/>
  <c r="J57" i="12"/>
  <c r="J58" i="12"/>
  <c r="J59" i="12"/>
  <c r="J60" i="12"/>
  <c r="J61" i="12"/>
  <c r="J62" i="12"/>
  <c r="J63" i="12"/>
  <c r="J64" i="12"/>
  <c r="J65" i="12"/>
  <c r="J66" i="12"/>
  <c r="J67" i="12"/>
  <c r="J68" i="12"/>
  <c r="J69" i="12"/>
  <c r="J70" i="12"/>
  <c r="J71" i="12"/>
  <c r="J72" i="12"/>
  <c r="J73" i="12"/>
  <c r="J74" i="12"/>
  <c r="J75" i="12"/>
  <c r="J76" i="12"/>
  <c r="J77" i="12"/>
  <c r="J78" i="12"/>
  <c r="J79" i="12"/>
  <c r="J80" i="12"/>
  <c r="J81" i="12"/>
  <c r="J82" i="12"/>
  <c r="J83" i="12"/>
  <c r="J84" i="12"/>
  <c r="J85" i="12"/>
  <c r="J86" i="12"/>
  <c r="J87" i="12"/>
  <c r="J88" i="12"/>
  <c r="J89" i="12"/>
  <c r="J90" i="12"/>
  <c r="J91" i="12"/>
  <c r="J92" i="12"/>
  <c r="J93" i="12"/>
  <c r="J94" i="12"/>
  <c r="J95" i="12"/>
  <c r="J96" i="12"/>
  <c r="J97" i="12"/>
  <c r="J98" i="12"/>
  <c r="J99" i="12"/>
  <c r="J100" i="12"/>
  <c r="J101" i="12"/>
  <c r="J102" i="12"/>
  <c r="J103" i="12"/>
  <c r="J104" i="12"/>
  <c r="J105" i="12"/>
  <c r="J106" i="12"/>
  <c r="J107" i="12"/>
  <c r="J108" i="12"/>
  <c r="J109" i="12"/>
  <c r="J110" i="12"/>
  <c r="J111" i="12"/>
  <c r="J112" i="12"/>
  <c r="J113" i="12"/>
  <c r="J114" i="12"/>
  <c r="J115" i="12"/>
  <c r="J116" i="12"/>
  <c r="J117" i="12"/>
  <c r="J118" i="12"/>
  <c r="J119" i="12"/>
  <c r="J120" i="12"/>
  <c r="J121" i="12"/>
  <c r="J122" i="12"/>
  <c r="J123" i="12"/>
  <c r="J124" i="12"/>
  <c r="J125" i="12"/>
  <c r="J126" i="12"/>
  <c r="J127" i="12"/>
  <c r="J128" i="12"/>
  <c r="J129" i="12"/>
  <c r="J130" i="12"/>
  <c r="J131" i="12"/>
  <c r="J132" i="12"/>
  <c r="J133" i="12"/>
  <c r="J134" i="12"/>
  <c r="J135" i="12"/>
  <c r="J136" i="12"/>
  <c r="J137" i="12"/>
  <c r="J138" i="12"/>
  <c r="J139" i="12"/>
  <c r="J140" i="12"/>
  <c r="J141" i="12"/>
  <c r="J142" i="12"/>
  <c r="J143" i="12"/>
  <c r="J144" i="12"/>
  <c r="J145" i="12"/>
  <c r="J146" i="12"/>
  <c r="J147" i="12"/>
  <c r="J148" i="12"/>
  <c r="J149" i="12"/>
  <c r="J150" i="12"/>
  <c r="J151" i="12"/>
  <c r="J152" i="12"/>
  <c r="J153" i="12"/>
  <c r="J154" i="12"/>
  <c r="J155" i="12"/>
  <c r="J156" i="12"/>
  <c r="J157" i="12"/>
  <c r="J158" i="12"/>
  <c r="J159" i="12"/>
  <c r="J160" i="12"/>
  <c r="J161" i="12"/>
  <c r="J162" i="12"/>
  <c r="J163" i="12"/>
  <c r="J164" i="12"/>
  <c r="J165" i="12"/>
  <c r="J166" i="12"/>
  <c r="J167" i="12"/>
  <c r="J168" i="12"/>
  <c r="J169" i="12"/>
  <c r="J170" i="12"/>
  <c r="J171" i="12"/>
  <c r="J172" i="12"/>
  <c r="J173" i="12"/>
  <c r="J174" i="12"/>
  <c r="J175" i="12"/>
  <c r="J176" i="12"/>
  <c r="J177" i="12"/>
  <c r="J178" i="12"/>
  <c r="J179" i="12"/>
  <c r="J180" i="12"/>
  <c r="J181" i="12"/>
  <c r="J182" i="12"/>
  <c r="J183" i="12"/>
  <c r="J184" i="12"/>
  <c r="J185" i="12"/>
  <c r="J186" i="12"/>
  <c r="J187" i="12"/>
  <c r="J188" i="12"/>
  <c r="J189" i="12"/>
  <c r="J190" i="12"/>
  <c r="J191" i="12"/>
  <c r="J192" i="12"/>
  <c r="J193" i="12"/>
  <c r="J194" i="12"/>
  <c r="J195" i="12"/>
  <c r="J196" i="12"/>
  <c r="J197" i="12"/>
  <c r="J198" i="12"/>
  <c r="J199" i="12"/>
  <c r="J200" i="12"/>
  <c r="J201" i="12"/>
  <c r="J202" i="12"/>
  <c r="J203" i="12"/>
  <c r="J204" i="12"/>
  <c r="J205" i="12"/>
  <c r="J206" i="12"/>
  <c r="J207" i="12"/>
  <c r="J208" i="12"/>
  <c r="J209" i="12"/>
  <c r="J210" i="12"/>
  <c r="J211" i="12"/>
  <c r="J212" i="12"/>
  <c r="J213" i="12"/>
  <c r="J214" i="12"/>
  <c r="J215" i="12"/>
  <c r="J216" i="12"/>
  <c r="J217" i="12"/>
  <c r="J218" i="12"/>
  <c r="J219" i="12"/>
  <c r="J220" i="12"/>
  <c r="J221" i="12"/>
  <c r="J222" i="12"/>
  <c r="J223" i="12"/>
  <c r="J224" i="12"/>
  <c r="J225" i="12"/>
  <c r="J226" i="12"/>
  <c r="J227" i="12"/>
  <c r="J228" i="12"/>
  <c r="J229" i="12"/>
  <c r="J230" i="12"/>
  <c r="J231" i="12"/>
  <c r="J232" i="12"/>
  <c r="J233" i="12"/>
  <c r="J234" i="12"/>
  <c r="J235" i="12"/>
  <c r="I5" i="12" a="1"/>
  <c r="I5" i="12"/>
  <c r="I6" i="12" a="1"/>
  <c r="I6" i="12" s="1"/>
  <c r="I7" i="12" a="1"/>
  <c r="I7" i="12" s="1"/>
  <c r="I8" i="12" a="1"/>
  <c r="I8" i="12" s="1"/>
  <c r="I9" i="12" a="1"/>
  <c r="I9" i="12" s="1"/>
  <c r="I10" i="12" a="1"/>
  <c r="I10" i="12" s="1"/>
  <c r="I11" i="12" a="1"/>
  <c r="I11" i="12"/>
  <c r="I12" i="12" a="1"/>
  <c r="I12" i="12" s="1"/>
  <c r="I13" i="12" a="1"/>
  <c r="I13" i="12" s="1"/>
  <c r="I14" i="12" a="1"/>
  <c r="I14" i="12" s="1"/>
  <c r="I15" i="12" a="1"/>
  <c r="I15" i="12" s="1"/>
  <c r="I16" i="12" a="1"/>
  <c r="I16" i="12" s="1"/>
  <c r="I17" i="12" a="1"/>
  <c r="I17" i="12"/>
  <c r="I18" i="12" a="1"/>
  <c r="I18" i="12" s="1"/>
  <c r="I19" i="12" a="1"/>
  <c r="I19" i="12" s="1"/>
  <c r="I20" i="12" a="1"/>
  <c r="I20" i="12" s="1"/>
  <c r="I21" i="12" a="1"/>
  <c r="I21" i="12" s="1"/>
  <c r="I22" i="12" a="1"/>
  <c r="I22" i="12" s="1"/>
  <c r="I23" i="12" a="1"/>
  <c r="I23" i="12"/>
  <c r="I24" i="12" a="1"/>
  <c r="I24" i="12" s="1"/>
  <c r="I25" i="12" a="1"/>
  <c r="I25" i="12" s="1"/>
  <c r="I26" i="12" a="1"/>
  <c r="I26" i="12" s="1"/>
  <c r="I27" i="12" a="1"/>
  <c r="I27" i="12" s="1"/>
  <c r="I28" i="12" a="1"/>
  <c r="I28" i="12" s="1"/>
  <c r="I29" i="12" a="1"/>
  <c r="I29" i="12"/>
  <c r="I30" i="12" a="1"/>
  <c r="I30" i="12" s="1"/>
  <c r="I31" i="12" a="1"/>
  <c r="I31" i="12" s="1"/>
  <c r="I32" i="12" a="1"/>
  <c r="I32" i="12" s="1"/>
  <c r="I33" i="12" a="1"/>
  <c r="I33" i="12" s="1"/>
  <c r="I34" i="12" a="1"/>
  <c r="I34" i="12" s="1"/>
  <c r="I35" i="12" a="1"/>
  <c r="I35" i="12"/>
  <c r="I36" i="12" a="1"/>
  <c r="I36" i="12" s="1"/>
  <c r="I37" i="12" a="1"/>
  <c r="I37" i="12" s="1"/>
  <c r="I38" i="12" a="1"/>
  <c r="I38" i="12" s="1"/>
  <c r="I39" i="12" a="1"/>
  <c r="I39" i="12" s="1"/>
  <c r="I40" i="12" a="1"/>
  <c r="I40" i="12" s="1"/>
  <c r="I41" i="12" a="1"/>
  <c r="I41" i="12"/>
  <c r="I42" i="12" a="1"/>
  <c r="I42" i="12" s="1"/>
  <c r="I43" i="12" a="1"/>
  <c r="I43" i="12" s="1"/>
  <c r="I44" i="12" a="1"/>
  <c r="I44" i="12" s="1"/>
  <c r="I45" i="12" a="1"/>
  <c r="I45" i="12" s="1"/>
  <c r="I46" i="12" a="1"/>
  <c r="I46" i="12" s="1"/>
  <c r="I47" i="12" a="1"/>
  <c r="I47" i="12"/>
  <c r="I48" i="12" a="1"/>
  <c r="I48" i="12" s="1"/>
  <c r="I49" i="12" a="1"/>
  <c r="I49" i="12" s="1"/>
  <c r="I50" i="12" a="1"/>
  <c r="I50" i="12" s="1"/>
  <c r="I51" i="12" a="1"/>
  <c r="I51" i="12" s="1"/>
  <c r="I52" i="12" a="1"/>
  <c r="I52" i="12" s="1"/>
  <c r="I53" i="12" a="1"/>
  <c r="I53" i="12"/>
  <c r="I54" i="12" a="1"/>
  <c r="I54" i="12" s="1"/>
  <c r="I55" i="12" a="1"/>
  <c r="I55" i="12" s="1"/>
  <c r="I56" i="12" a="1"/>
  <c r="I56" i="12" s="1"/>
  <c r="I57" i="12" a="1"/>
  <c r="I57" i="12" s="1"/>
  <c r="I58" i="12" a="1"/>
  <c r="I58" i="12" s="1"/>
  <c r="I59" i="12" a="1"/>
  <c r="I59" i="12"/>
  <c r="I60" i="12" a="1"/>
  <c r="I60" i="12" s="1"/>
  <c r="I61" i="12" a="1"/>
  <c r="I61" i="12" s="1"/>
  <c r="I62" i="12" a="1"/>
  <c r="I62" i="12" s="1"/>
  <c r="I63" i="12" a="1"/>
  <c r="I63" i="12" s="1"/>
  <c r="I64" i="12" a="1"/>
  <c r="I64" i="12" s="1"/>
  <c r="I65" i="12" a="1"/>
  <c r="I65" i="12"/>
  <c r="I66" i="12" a="1"/>
  <c r="I66" i="12" s="1"/>
  <c r="I67" i="12" a="1"/>
  <c r="I67" i="12" s="1"/>
  <c r="I68" i="12" a="1"/>
  <c r="I68" i="12" s="1"/>
  <c r="I69" i="12" a="1"/>
  <c r="I69" i="12" s="1"/>
  <c r="I70" i="12" a="1"/>
  <c r="I70" i="12" s="1"/>
  <c r="I71" i="12" a="1"/>
  <c r="I71" i="12"/>
  <c r="I72" i="12" a="1"/>
  <c r="I72" i="12" s="1"/>
  <c r="I73" i="12" a="1"/>
  <c r="I73" i="12" s="1"/>
  <c r="I74" i="12" a="1"/>
  <c r="I74" i="12" s="1"/>
  <c r="I75" i="12" a="1"/>
  <c r="I75" i="12" s="1"/>
  <c r="I76" i="12" a="1"/>
  <c r="I76" i="12" s="1"/>
  <c r="I77" i="12" a="1"/>
  <c r="I77" i="12"/>
  <c r="I78" i="12" a="1"/>
  <c r="I78" i="12" s="1"/>
  <c r="I79" i="12" a="1"/>
  <c r="I79" i="12" s="1"/>
  <c r="I80" i="12" a="1"/>
  <c r="I80" i="12" s="1"/>
  <c r="I81" i="12" a="1"/>
  <c r="I81" i="12" s="1"/>
  <c r="I82" i="12" a="1"/>
  <c r="I82" i="12" s="1"/>
  <c r="I83" i="12" a="1"/>
  <c r="I83" i="12"/>
  <c r="I84" i="12" a="1"/>
  <c r="I84" i="12" s="1"/>
  <c r="I85" i="12" a="1"/>
  <c r="I85" i="12" s="1"/>
  <c r="I86" i="12" a="1"/>
  <c r="I86" i="12" s="1"/>
  <c r="I87" i="12" a="1"/>
  <c r="I87" i="12" s="1"/>
  <c r="I88" i="12" a="1"/>
  <c r="I88" i="12" s="1"/>
  <c r="I89" i="12" a="1"/>
  <c r="I89" i="12"/>
  <c r="I90" i="12" a="1"/>
  <c r="I90" i="12" s="1"/>
  <c r="I91" i="12" a="1"/>
  <c r="I91" i="12" s="1"/>
  <c r="I92" i="12" a="1"/>
  <c r="I92" i="12" s="1"/>
  <c r="I93" i="12" a="1"/>
  <c r="I93" i="12" s="1"/>
  <c r="I94" i="12" a="1"/>
  <c r="I94" i="12" s="1"/>
  <c r="I95" i="12" a="1"/>
  <c r="I95" i="12"/>
  <c r="I96" i="12" a="1"/>
  <c r="I96" i="12" s="1"/>
  <c r="I97" i="12" a="1"/>
  <c r="I97" i="12" s="1"/>
  <c r="I98" i="12" a="1"/>
  <c r="I98" i="12" s="1"/>
  <c r="I99" i="12" a="1"/>
  <c r="I99" i="12" s="1"/>
  <c r="I100" i="12" a="1"/>
  <c r="I100" i="12" s="1"/>
  <c r="I101" i="12" a="1"/>
  <c r="I101" i="12"/>
  <c r="I102" i="12" a="1"/>
  <c r="I102" i="12" s="1"/>
  <c r="I103" i="12" a="1"/>
  <c r="I103" i="12" s="1"/>
  <c r="I104" i="12" a="1"/>
  <c r="I104" i="12" s="1"/>
  <c r="I105" i="12" a="1"/>
  <c r="I105" i="12" s="1"/>
  <c r="I106" i="12" a="1"/>
  <c r="I106" i="12" s="1"/>
  <c r="I107" i="12" a="1"/>
  <c r="I107" i="12"/>
  <c r="I108" i="12" a="1"/>
  <c r="I108" i="12" s="1"/>
  <c r="I109" i="12" a="1"/>
  <c r="I109" i="12" s="1"/>
  <c r="I110" i="12" a="1"/>
  <c r="I110" i="12" s="1"/>
  <c r="I111" i="12" a="1"/>
  <c r="I111" i="12" s="1"/>
  <c r="I112" i="12" a="1"/>
  <c r="I112" i="12" s="1"/>
  <c r="I113" i="12" a="1"/>
  <c r="I113" i="12"/>
  <c r="I114" i="12" a="1"/>
  <c r="I114" i="12" s="1"/>
  <c r="I115" i="12" a="1"/>
  <c r="I115" i="12" s="1"/>
  <c r="I116" i="12" a="1"/>
  <c r="I116" i="12" s="1"/>
  <c r="I117" i="12" a="1"/>
  <c r="I117" i="12" s="1"/>
  <c r="I118" i="12" a="1"/>
  <c r="I118" i="12" s="1"/>
  <c r="I119" i="12" a="1"/>
  <c r="I119" i="12"/>
  <c r="I120" i="12" a="1"/>
  <c r="I120" i="12" s="1"/>
  <c r="I121" i="12" a="1"/>
  <c r="I121" i="12" s="1"/>
  <c r="I122" i="12" a="1"/>
  <c r="I122" i="12" s="1"/>
  <c r="I123" i="12" a="1"/>
  <c r="I123" i="12" s="1"/>
  <c r="I124" i="12" a="1"/>
  <c r="I124" i="12" s="1"/>
  <c r="I125" i="12" a="1"/>
  <c r="I125" i="12"/>
  <c r="I126" i="12" a="1"/>
  <c r="I126" i="12" s="1"/>
  <c r="I127" i="12" a="1"/>
  <c r="I127" i="12" s="1"/>
  <c r="I128" i="12" a="1"/>
  <c r="I128" i="12" s="1"/>
  <c r="I129" i="12" a="1"/>
  <c r="I129" i="12" s="1"/>
  <c r="I130" i="12" a="1"/>
  <c r="I130" i="12" s="1"/>
  <c r="I131" i="12" a="1"/>
  <c r="I131" i="12"/>
  <c r="I132" i="12" a="1"/>
  <c r="I132" i="12" s="1"/>
  <c r="I133" i="12" a="1"/>
  <c r="I133" i="12" s="1"/>
  <c r="I134" i="12" a="1"/>
  <c r="I134" i="12" s="1"/>
  <c r="I135" i="12" a="1"/>
  <c r="I135" i="12" s="1"/>
  <c r="I136" i="12" a="1"/>
  <c r="I136" i="12" s="1"/>
  <c r="I137" i="12" a="1"/>
  <c r="I137" i="12"/>
  <c r="I138" i="12" a="1"/>
  <c r="I138" i="12" s="1"/>
  <c r="I139" i="12" a="1"/>
  <c r="I139" i="12" s="1"/>
  <c r="I140" i="12" a="1"/>
  <c r="I140" i="12" s="1"/>
  <c r="I141" i="12" a="1"/>
  <c r="I141" i="12" s="1"/>
  <c r="I142" i="12" a="1"/>
  <c r="I142" i="12" s="1"/>
  <c r="I143" i="12" a="1"/>
  <c r="I143" i="12"/>
  <c r="I144" i="12" a="1"/>
  <c r="I144" i="12" s="1"/>
  <c r="I145" i="12" a="1"/>
  <c r="I145" i="12" s="1"/>
  <c r="I146" i="12" a="1"/>
  <c r="I146" i="12" s="1"/>
  <c r="I147" i="12" a="1"/>
  <c r="I147" i="12" s="1"/>
  <c r="I148" i="12" a="1"/>
  <c r="I148" i="12" s="1"/>
  <c r="I149" i="12" a="1"/>
  <c r="I149" i="12"/>
  <c r="I150" i="12" a="1"/>
  <c r="I150" i="12" s="1"/>
  <c r="I151" i="12" a="1"/>
  <c r="I151" i="12" s="1"/>
  <c r="I152" i="12" a="1"/>
  <c r="I152" i="12" s="1"/>
  <c r="I153" i="12" a="1"/>
  <c r="I153" i="12" s="1"/>
  <c r="I154" i="12" a="1"/>
  <c r="I154" i="12" s="1"/>
  <c r="I155" i="12" a="1"/>
  <c r="I155" i="12"/>
  <c r="I156" i="12" a="1"/>
  <c r="I156" i="12" s="1"/>
  <c r="I157" i="12" a="1"/>
  <c r="I157" i="12" s="1"/>
  <c r="I158" i="12" a="1"/>
  <c r="I158" i="12" s="1"/>
  <c r="I159" i="12" a="1"/>
  <c r="I159" i="12" s="1"/>
  <c r="I160" i="12" a="1"/>
  <c r="I160" i="12" s="1"/>
  <c r="I161" i="12" a="1"/>
  <c r="I161" i="12"/>
  <c r="I162" i="12" a="1"/>
  <c r="I162" i="12" s="1"/>
  <c r="I163" i="12" a="1"/>
  <c r="I163" i="12" s="1"/>
  <c r="I164" i="12" a="1"/>
  <c r="I164" i="12" s="1"/>
  <c r="I165" i="12" a="1"/>
  <c r="I165" i="12" s="1"/>
  <c r="I166" i="12" a="1"/>
  <c r="I166" i="12" s="1"/>
  <c r="I167" i="12" a="1"/>
  <c r="I167" i="12"/>
  <c r="I168" i="12" a="1"/>
  <c r="I168" i="12" s="1"/>
  <c r="I169" i="12" a="1"/>
  <c r="I169" i="12" s="1"/>
  <c r="I170" i="12" a="1"/>
  <c r="I170" i="12" s="1"/>
  <c r="I171" i="12" a="1"/>
  <c r="I171" i="12" s="1"/>
  <c r="I172" i="12" a="1"/>
  <c r="I172" i="12" s="1"/>
  <c r="I173" i="12" a="1"/>
  <c r="I173" i="12"/>
  <c r="I174" i="12" a="1"/>
  <c r="I174" i="12" s="1"/>
  <c r="I175" i="12" a="1"/>
  <c r="I175" i="12" s="1"/>
  <c r="I176" i="12" a="1"/>
  <c r="I176" i="12" s="1"/>
  <c r="I177" i="12" a="1"/>
  <c r="I177" i="12" s="1"/>
  <c r="I178" i="12" a="1"/>
  <c r="I178" i="12" s="1"/>
  <c r="I179" i="12" a="1"/>
  <c r="I179" i="12"/>
  <c r="I180" i="12" a="1"/>
  <c r="I180" i="12" s="1"/>
  <c r="I181" i="12" a="1"/>
  <c r="I181" i="12" s="1"/>
  <c r="I182" i="12" a="1"/>
  <c r="I182" i="12" s="1"/>
  <c r="I183" i="12" a="1"/>
  <c r="I183" i="12" s="1"/>
  <c r="I184" i="12" a="1"/>
  <c r="I184" i="12" s="1"/>
  <c r="I185" i="12" a="1"/>
  <c r="I185" i="12"/>
  <c r="I186" i="12" a="1"/>
  <c r="I186" i="12" s="1"/>
  <c r="I187" i="12" a="1"/>
  <c r="I187" i="12" s="1"/>
  <c r="I188" i="12" a="1"/>
  <c r="I188" i="12" s="1"/>
  <c r="I189" i="12" a="1"/>
  <c r="I189" i="12" s="1"/>
  <c r="I190" i="12" a="1"/>
  <c r="I190" i="12" s="1"/>
  <c r="I191" i="12" a="1"/>
  <c r="I191" i="12"/>
  <c r="I192" i="12" a="1"/>
  <c r="I192" i="12" s="1"/>
  <c r="I193" i="12" a="1"/>
  <c r="I193" i="12" s="1"/>
  <c r="I194" i="12" a="1"/>
  <c r="I194" i="12" s="1"/>
  <c r="I195" i="12" a="1"/>
  <c r="I195" i="12" s="1"/>
  <c r="I196" i="12" a="1"/>
  <c r="I196" i="12" s="1"/>
  <c r="I197" i="12" a="1"/>
  <c r="I197" i="12"/>
  <c r="I198" i="12" a="1"/>
  <c r="I198" i="12" s="1"/>
  <c r="I199" i="12" a="1"/>
  <c r="I199" i="12" s="1"/>
  <c r="I200" i="12" a="1"/>
  <c r="I200" i="12" s="1"/>
  <c r="I201" i="12" a="1"/>
  <c r="I201" i="12" s="1"/>
  <c r="I202" i="12" a="1"/>
  <c r="I202" i="12" s="1"/>
  <c r="I203" i="12" a="1"/>
  <c r="I203" i="12"/>
  <c r="I204" i="12" a="1"/>
  <c r="I204" i="12" s="1"/>
  <c r="I205" i="12" a="1"/>
  <c r="I205" i="12" s="1"/>
  <c r="I206" i="12" a="1"/>
  <c r="I206" i="12" s="1"/>
  <c r="I207" i="12" a="1"/>
  <c r="I207" i="12" s="1"/>
  <c r="I208" i="12" a="1"/>
  <c r="I208" i="12" s="1"/>
  <c r="I209" i="12" a="1"/>
  <c r="I209" i="12"/>
  <c r="I210" i="12" a="1"/>
  <c r="I210" i="12" s="1"/>
  <c r="I211" i="12" a="1"/>
  <c r="I211" i="12" s="1"/>
  <c r="I212" i="12" a="1"/>
  <c r="I212" i="12" s="1"/>
  <c r="I213" i="12" a="1"/>
  <c r="I213" i="12" s="1"/>
  <c r="I214" i="12" a="1"/>
  <c r="I214" i="12" s="1"/>
  <c r="I215" i="12" a="1"/>
  <c r="I215" i="12"/>
  <c r="I216" i="12" a="1"/>
  <c r="I216" i="12" s="1"/>
  <c r="I217" i="12" a="1"/>
  <c r="I217" i="12" s="1"/>
  <c r="I218" i="12" a="1"/>
  <c r="I218" i="12" s="1"/>
  <c r="I219" i="12" a="1"/>
  <c r="I219" i="12" s="1"/>
  <c r="I220" i="12" a="1"/>
  <c r="I220" i="12" s="1"/>
  <c r="I221" i="12" a="1"/>
  <c r="I221" i="12"/>
  <c r="I222" i="12" a="1"/>
  <c r="I222" i="12" s="1"/>
  <c r="I223" i="12" a="1"/>
  <c r="I223" i="12" s="1"/>
  <c r="I224" i="12" a="1"/>
  <c r="I224" i="12" s="1"/>
  <c r="I225" i="12" a="1"/>
  <c r="I225" i="12" s="1"/>
  <c r="I226" i="12" a="1"/>
  <c r="I226" i="12" s="1"/>
  <c r="I227" i="12" a="1"/>
  <c r="I227" i="12"/>
  <c r="I228" i="12" a="1"/>
  <c r="I228" i="12" s="1"/>
  <c r="I229" i="12" a="1"/>
  <c r="I229" i="12" s="1"/>
  <c r="I230" i="12" a="1"/>
  <c r="I230" i="12" s="1"/>
  <c r="I231" i="12" a="1"/>
  <c r="I231" i="12" s="1"/>
  <c r="I232" i="12" a="1"/>
  <c r="I232" i="12" s="1"/>
  <c r="I233" i="12" a="1"/>
  <c r="I233" i="12"/>
  <c r="I234" i="12" a="1"/>
  <c r="I234" i="12" s="1"/>
  <c r="I235" i="12" a="1"/>
  <c r="I235" i="12" s="1"/>
  <c r="H5" i="12"/>
  <c r="H6" i="12"/>
  <c r="H7" i="12"/>
  <c r="H8" i="12"/>
  <c r="H9" i="12"/>
  <c r="H10" i="12"/>
  <c r="H11" i="12"/>
  <c r="H12" i="12"/>
  <c r="H13" i="12"/>
  <c r="H14" i="12"/>
  <c r="H15" i="12"/>
  <c r="H16" i="12"/>
  <c r="H17" i="12"/>
  <c r="H18" i="12"/>
  <c r="H19" i="12"/>
  <c r="H20" i="12"/>
  <c r="H21" i="12"/>
  <c r="H22" i="12"/>
  <c r="H23" i="12"/>
  <c r="H24" i="12"/>
  <c r="H25" i="12"/>
  <c r="H26" i="12"/>
  <c r="H27" i="12"/>
  <c r="H28" i="12"/>
  <c r="H29" i="12"/>
  <c r="H30" i="12"/>
  <c r="H31" i="12"/>
  <c r="H32" i="12"/>
  <c r="H33" i="12"/>
  <c r="H34" i="12"/>
  <c r="H35" i="12"/>
  <c r="H36" i="12"/>
  <c r="H37" i="12"/>
  <c r="H38" i="12"/>
  <c r="H39" i="12"/>
  <c r="H40" i="12"/>
  <c r="H41" i="12"/>
  <c r="H42" i="12"/>
  <c r="H43" i="12"/>
  <c r="H44" i="12"/>
  <c r="H45" i="12"/>
  <c r="H46" i="12"/>
  <c r="H47" i="12"/>
  <c r="H48" i="12"/>
  <c r="H49" i="12"/>
  <c r="H50" i="12"/>
  <c r="H51" i="12"/>
  <c r="H52" i="12"/>
  <c r="H53" i="12"/>
  <c r="H54" i="12"/>
  <c r="H55" i="12"/>
  <c r="H56" i="12"/>
  <c r="H57" i="12"/>
  <c r="H58" i="12"/>
  <c r="H59" i="12"/>
  <c r="H60" i="12"/>
  <c r="H61" i="12"/>
  <c r="H62" i="12"/>
  <c r="H63" i="12"/>
  <c r="H64" i="12"/>
  <c r="H65" i="12"/>
  <c r="H66" i="12"/>
  <c r="H67" i="12"/>
  <c r="H68" i="12"/>
  <c r="H69" i="12"/>
  <c r="H70" i="12"/>
  <c r="H71" i="12"/>
  <c r="H72" i="12"/>
  <c r="H73" i="12"/>
  <c r="H74" i="12"/>
  <c r="H75" i="12"/>
  <c r="H76" i="12"/>
  <c r="H77" i="12"/>
  <c r="H78" i="12"/>
  <c r="H79" i="12"/>
  <c r="H80" i="12"/>
  <c r="H81" i="12"/>
  <c r="H82" i="12"/>
  <c r="H83" i="12"/>
  <c r="H84" i="12"/>
  <c r="H85" i="12"/>
  <c r="H86" i="12"/>
  <c r="H87" i="12"/>
  <c r="H88" i="12"/>
  <c r="H89" i="12"/>
  <c r="H90" i="12"/>
  <c r="H91" i="12"/>
  <c r="H92" i="12"/>
  <c r="H93" i="12"/>
  <c r="H94" i="12"/>
  <c r="H95" i="12"/>
  <c r="H96" i="12"/>
  <c r="H97" i="12"/>
  <c r="H98" i="12"/>
  <c r="H99" i="12"/>
  <c r="H100" i="12"/>
  <c r="H101" i="12"/>
  <c r="H102" i="12"/>
  <c r="H103" i="12"/>
  <c r="H104" i="12"/>
  <c r="H105" i="12"/>
  <c r="H106" i="12"/>
  <c r="H107" i="12"/>
  <c r="H108" i="12"/>
  <c r="H109" i="12"/>
  <c r="H110" i="12"/>
  <c r="H111" i="12"/>
  <c r="H112" i="12"/>
  <c r="H113" i="12"/>
  <c r="H114" i="12"/>
  <c r="H115" i="12"/>
  <c r="H116" i="12"/>
  <c r="H117" i="12"/>
  <c r="H118" i="12"/>
  <c r="H119" i="12"/>
  <c r="H120" i="12"/>
  <c r="H121" i="12"/>
  <c r="H122" i="12"/>
  <c r="H123" i="12"/>
  <c r="H124" i="12"/>
  <c r="H125" i="12"/>
  <c r="H126" i="12"/>
  <c r="H127" i="12"/>
  <c r="H128" i="12"/>
  <c r="H129" i="12"/>
  <c r="H130" i="12"/>
  <c r="H131" i="12"/>
  <c r="H132" i="12"/>
  <c r="H133" i="12"/>
  <c r="H134" i="12"/>
  <c r="H135" i="12"/>
  <c r="H136" i="12"/>
  <c r="H137" i="12"/>
  <c r="H138" i="12"/>
  <c r="H139" i="12"/>
  <c r="H140" i="12"/>
  <c r="H141" i="12"/>
  <c r="H142" i="12"/>
  <c r="H143" i="12"/>
  <c r="H144" i="12"/>
  <c r="H145" i="12"/>
  <c r="H146" i="12"/>
  <c r="H147" i="12"/>
  <c r="H148" i="12"/>
  <c r="H149" i="12"/>
  <c r="H150" i="12"/>
  <c r="H151" i="12"/>
  <c r="H152" i="12"/>
  <c r="H153" i="12"/>
  <c r="H154" i="12"/>
  <c r="H155" i="12"/>
  <c r="H156" i="12"/>
  <c r="H157" i="12"/>
  <c r="H158" i="12"/>
  <c r="H159" i="12"/>
  <c r="H160" i="12"/>
  <c r="H161" i="12"/>
  <c r="H162" i="12"/>
  <c r="H163" i="12"/>
  <c r="H164" i="12"/>
  <c r="H165" i="12"/>
  <c r="H166" i="12"/>
  <c r="H167" i="12"/>
  <c r="H168" i="12"/>
  <c r="H169" i="12"/>
  <c r="H170" i="12"/>
  <c r="H171" i="12"/>
  <c r="H172" i="12"/>
  <c r="H173" i="12"/>
  <c r="H174" i="12"/>
  <c r="H175" i="12"/>
  <c r="H176" i="12"/>
  <c r="H177" i="12"/>
  <c r="H178" i="12"/>
  <c r="H179" i="12"/>
  <c r="H180" i="12"/>
  <c r="H181" i="12"/>
  <c r="H182" i="12"/>
  <c r="H183" i="12"/>
  <c r="H184" i="12"/>
  <c r="H185" i="12"/>
  <c r="H186" i="12"/>
  <c r="H187" i="12"/>
  <c r="H188" i="12"/>
  <c r="H189" i="12"/>
  <c r="H190" i="12"/>
  <c r="H191" i="12"/>
  <c r="H192" i="12"/>
  <c r="H193" i="12"/>
  <c r="H194" i="12"/>
  <c r="H195" i="12"/>
  <c r="H196" i="12"/>
  <c r="H197" i="12"/>
  <c r="H198" i="12"/>
  <c r="H199" i="12"/>
  <c r="H200" i="12"/>
  <c r="H201" i="12"/>
  <c r="H202" i="12"/>
  <c r="H203" i="12"/>
  <c r="H204" i="12"/>
  <c r="H205" i="12"/>
  <c r="H206" i="12"/>
  <c r="H207" i="12"/>
  <c r="H208" i="12"/>
  <c r="H209" i="12"/>
  <c r="H210" i="12"/>
  <c r="H211" i="12"/>
  <c r="H212" i="12"/>
  <c r="H213" i="12"/>
  <c r="H214" i="12"/>
  <c r="H215" i="12"/>
  <c r="H216" i="12"/>
  <c r="H217" i="12"/>
  <c r="H218" i="12"/>
  <c r="H219" i="12"/>
  <c r="H220" i="12"/>
  <c r="H221" i="12"/>
  <c r="H222" i="12"/>
  <c r="H223" i="12"/>
  <c r="H224" i="12"/>
  <c r="H225" i="12"/>
  <c r="H226" i="12"/>
  <c r="H227" i="12"/>
  <c r="H228" i="12"/>
  <c r="H229" i="12"/>
  <c r="H230" i="12"/>
  <c r="H231" i="12"/>
  <c r="H232" i="12"/>
  <c r="H233" i="12"/>
  <c r="H234" i="12"/>
  <c r="H235" i="12"/>
  <c r="F5" i="12"/>
  <c r="G5" i="12"/>
  <c r="F6" i="12"/>
  <c r="G6" i="12"/>
  <c r="F7" i="12"/>
  <c r="G7" i="12"/>
  <c r="F8" i="12"/>
  <c r="G8" i="12"/>
  <c r="F9" i="12"/>
  <c r="G9" i="12"/>
  <c r="F10" i="12"/>
  <c r="G10" i="12"/>
  <c r="F11" i="12"/>
  <c r="G11" i="12"/>
  <c r="F12" i="12"/>
  <c r="G12" i="12"/>
  <c r="F13" i="12"/>
  <c r="G13" i="12"/>
  <c r="F14" i="12"/>
  <c r="G14" i="12"/>
  <c r="F15" i="12"/>
  <c r="G15" i="12"/>
  <c r="F16" i="12"/>
  <c r="G16" i="12"/>
  <c r="F17" i="12"/>
  <c r="G17" i="12"/>
  <c r="F18" i="12"/>
  <c r="G18" i="12"/>
  <c r="F19" i="12"/>
  <c r="G19" i="12"/>
  <c r="F20" i="12"/>
  <c r="G20" i="12"/>
  <c r="F21" i="12"/>
  <c r="G21" i="12"/>
  <c r="F22" i="12"/>
  <c r="G22" i="12"/>
  <c r="F23" i="12"/>
  <c r="G23" i="12"/>
  <c r="F24" i="12"/>
  <c r="G24" i="12"/>
  <c r="F25" i="12"/>
  <c r="G25" i="12"/>
  <c r="F26" i="12"/>
  <c r="G26" i="12"/>
  <c r="F27" i="12"/>
  <c r="G27" i="12"/>
  <c r="F28" i="12"/>
  <c r="G28" i="12"/>
  <c r="F29" i="12"/>
  <c r="G29" i="12"/>
  <c r="F30" i="12"/>
  <c r="G30" i="12"/>
  <c r="F31" i="12"/>
  <c r="G31" i="12"/>
  <c r="F32" i="12"/>
  <c r="G32" i="12"/>
  <c r="F33" i="12"/>
  <c r="G33" i="12"/>
  <c r="F34" i="12"/>
  <c r="G34" i="12"/>
  <c r="F35" i="12"/>
  <c r="G35" i="12"/>
  <c r="F36" i="12"/>
  <c r="G36" i="12"/>
  <c r="F37" i="12"/>
  <c r="G37" i="12"/>
  <c r="F38" i="12"/>
  <c r="G38" i="12"/>
  <c r="F39" i="12"/>
  <c r="G39" i="12"/>
  <c r="F40" i="12"/>
  <c r="G40" i="12"/>
  <c r="F41" i="12"/>
  <c r="G41" i="12"/>
  <c r="F42" i="12"/>
  <c r="G42" i="12"/>
  <c r="F43" i="12"/>
  <c r="G43" i="12"/>
  <c r="F44" i="12"/>
  <c r="G44" i="12"/>
  <c r="F45" i="12"/>
  <c r="G45" i="12"/>
  <c r="F46" i="12"/>
  <c r="G46" i="12"/>
  <c r="F47" i="12"/>
  <c r="G47" i="12"/>
  <c r="F48" i="12"/>
  <c r="G48" i="12"/>
  <c r="F49" i="12"/>
  <c r="G49" i="12"/>
  <c r="F50" i="12"/>
  <c r="G50" i="12"/>
  <c r="F51" i="12"/>
  <c r="G51" i="12"/>
  <c r="F52" i="12"/>
  <c r="G52" i="12"/>
  <c r="F53" i="12"/>
  <c r="G53" i="12"/>
  <c r="F54" i="12"/>
  <c r="G54" i="12"/>
  <c r="F55" i="12"/>
  <c r="G55" i="12"/>
  <c r="F56" i="12"/>
  <c r="G56" i="12"/>
  <c r="F57" i="12"/>
  <c r="G57" i="12"/>
  <c r="F58" i="12"/>
  <c r="G58" i="12"/>
  <c r="F59" i="12"/>
  <c r="G59" i="12"/>
  <c r="F60" i="12"/>
  <c r="G60" i="12"/>
  <c r="F61" i="12"/>
  <c r="G61" i="12"/>
  <c r="F62" i="12"/>
  <c r="G62" i="12"/>
  <c r="F63" i="12"/>
  <c r="G63" i="12"/>
  <c r="F64" i="12"/>
  <c r="G64" i="12"/>
  <c r="F65" i="12"/>
  <c r="G65" i="12"/>
  <c r="F66" i="12"/>
  <c r="G66" i="12"/>
  <c r="F67" i="12"/>
  <c r="G67" i="12"/>
  <c r="F68" i="12"/>
  <c r="G68" i="12"/>
  <c r="F69" i="12"/>
  <c r="G69" i="12"/>
  <c r="F70" i="12"/>
  <c r="G70" i="12"/>
  <c r="F71" i="12"/>
  <c r="G71" i="12"/>
  <c r="F72" i="12"/>
  <c r="G72" i="12"/>
  <c r="F73" i="12"/>
  <c r="G73" i="12"/>
  <c r="F74" i="12"/>
  <c r="G74" i="12"/>
  <c r="F75" i="12"/>
  <c r="G75" i="12"/>
  <c r="F76" i="12"/>
  <c r="G76" i="12"/>
  <c r="F77" i="12"/>
  <c r="G77" i="12"/>
  <c r="F78" i="12"/>
  <c r="G78" i="12"/>
  <c r="F79" i="12"/>
  <c r="G79" i="12"/>
  <c r="F80" i="12"/>
  <c r="G80" i="12"/>
  <c r="F81" i="12"/>
  <c r="G81" i="12"/>
  <c r="F82" i="12"/>
  <c r="G82" i="12"/>
  <c r="F83" i="12"/>
  <c r="G83" i="12"/>
  <c r="F84" i="12"/>
  <c r="G84" i="12"/>
  <c r="F85" i="12"/>
  <c r="G85" i="12"/>
  <c r="F86" i="12"/>
  <c r="G86" i="12"/>
  <c r="F87" i="12"/>
  <c r="G87" i="12"/>
  <c r="F88" i="12"/>
  <c r="G88" i="12"/>
  <c r="F89" i="12"/>
  <c r="G89" i="12"/>
  <c r="F90" i="12"/>
  <c r="G90" i="12"/>
  <c r="F91" i="12"/>
  <c r="G91" i="12"/>
  <c r="F92" i="12"/>
  <c r="G92" i="12"/>
  <c r="F93" i="12"/>
  <c r="G93" i="12"/>
  <c r="F94" i="12"/>
  <c r="G94" i="12"/>
  <c r="F95" i="12"/>
  <c r="G95" i="12"/>
  <c r="F96" i="12"/>
  <c r="G96" i="12"/>
  <c r="F97" i="12"/>
  <c r="G97" i="12"/>
  <c r="F98" i="12"/>
  <c r="G98" i="12"/>
  <c r="F99" i="12"/>
  <c r="G99" i="12"/>
  <c r="F100" i="12"/>
  <c r="G100" i="12"/>
  <c r="F101" i="12"/>
  <c r="G101" i="12"/>
  <c r="F102" i="12"/>
  <c r="G102" i="12"/>
  <c r="F103" i="12"/>
  <c r="G103" i="12"/>
  <c r="F104" i="12"/>
  <c r="G104" i="12"/>
  <c r="F105" i="12"/>
  <c r="G105" i="12"/>
  <c r="F106" i="12"/>
  <c r="G106" i="12"/>
  <c r="F107" i="12"/>
  <c r="G107" i="12"/>
  <c r="F108" i="12"/>
  <c r="G108" i="12"/>
  <c r="F109" i="12"/>
  <c r="G109" i="12"/>
  <c r="F110" i="12"/>
  <c r="G110" i="12"/>
  <c r="F111" i="12"/>
  <c r="G111" i="12"/>
  <c r="F112" i="12"/>
  <c r="G112" i="12"/>
  <c r="F113" i="12"/>
  <c r="G113" i="12"/>
  <c r="F114" i="12"/>
  <c r="G114" i="12"/>
  <c r="F115" i="12"/>
  <c r="G115" i="12"/>
  <c r="F116" i="12"/>
  <c r="G116" i="12"/>
  <c r="F117" i="12"/>
  <c r="G117" i="12"/>
  <c r="F118" i="12"/>
  <c r="G118" i="12"/>
  <c r="F119" i="12"/>
  <c r="G119" i="12"/>
  <c r="F120" i="12"/>
  <c r="G120" i="12"/>
  <c r="F121" i="12"/>
  <c r="G121" i="12"/>
  <c r="F122" i="12"/>
  <c r="G122" i="12"/>
  <c r="F123" i="12"/>
  <c r="G123" i="12"/>
  <c r="F124" i="12"/>
  <c r="G124" i="12"/>
  <c r="F125" i="12"/>
  <c r="G125" i="12"/>
  <c r="F126" i="12"/>
  <c r="G126" i="12"/>
  <c r="F127" i="12"/>
  <c r="G127" i="12"/>
  <c r="F128" i="12"/>
  <c r="G128" i="12"/>
  <c r="F129" i="12"/>
  <c r="G129" i="12"/>
  <c r="F130" i="12"/>
  <c r="G130" i="12"/>
  <c r="F131" i="12"/>
  <c r="G131" i="12"/>
  <c r="F132" i="12"/>
  <c r="G132" i="12"/>
  <c r="F133" i="12"/>
  <c r="G133" i="12"/>
  <c r="F134" i="12"/>
  <c r="G134" i="12"/>
  <c r="F135" i="12"/>
  <c r="G135" i="12"/>
  <c r="F136" i="12"/>
  <c r="G136" i="12"/>
  <c r="F137" i="12"/>
  <c r="G137" i="12"/>
  <c r="F138" i="12"/>
  <c r="G138" i="12"/>
  <c r="F139" i="12"/>
  <c r="G139" i="12"/>
  <c r="F140" i="12"/>
  <c r="G140" i="12"/>
  <c r="F141" i="12"/>
  <c r="G141" i="12"/>
  <c r="F142" i="12"/>
  <c r="G142" i="12"/>
  <c r="F143" i="12"/>
  <c r="G143" i="12"/>
  <c r="F144" i="12"/>
  <c r="G144" i="12"/>
  <c r="F145" i="12"/>
  <c r="G145" i="12"/>
  <c r="F146" i="12"/>
  <c r="G146" i="12"/>
  <c r="F147" i="12"/>
  <c r="G147" i="12"/>
  <c r="F148" i="12"/>
  <c r="G148" i="12"/>
  <c r="F149" i="12"/>
  <c r="G149" i="12"/>
  <c r="F150" i="12"/>
  <c r="G150" i="12"/>
  <c r="F151" i="12"/>
  <c r="G151" i="12"/>
  <c r="F152" i="12"/>
  <c r="G152" i="12"/>
  <c r="F153" i="12"/>
  <c r="G153" i="12"/>
  <c r="F154" i="12"/>
  <c r="G154" i="12"/>
  <c r="F155" i="12"/>
  <c r="G155" i="12"/>
  <c r="F156" i="12"/>
  <c r="G156" i="12"/>
  <c r="F157" i="12"/>
  <c r="G157" i="12"/>
  <c r="F158" i="12"/>
  <c r="G158" i="12"/>
  <c r="F159" i="12"/>
  <c r="G159" i="12"/>
  <c r="F160" i="12"/>
  <c r="G160" i="12"/>
  <c r="F161" i="12"/>
  <c r="G161" i="12"/>
  <c r="F162" i="12"/>
  <c r="G162" i="12"/>
  <c r="F163" i="12"/>
  <c r="G163" i="12"/>
  <c r="F164" i="12"/>
  <c r="G164" i="12"/>
  <c r="F165" i="12"/>
  <c r="G165" i="12"/>
  <c r="F166" i="12"/>
  <c r="G166" i="12"/>
  <c r="F167" i="12"/>
  <c r="G167" i="12"/>
  <c r="F168" i="12"/>
  <c r="G168" i="12"/>
  <c r="F169" i="12"/>
  <c r="G169" i="12"/>
  <c r="F170" i="12"/>
  <c r="G170" i="12"/>
  <c r="F171" i="12"/>
  <c r="G171" i="12"/>
  <c r="F172" i="12"/>
  <c r="G172" i="12"/>
  <c r="F173" i="12"/>
  <c r="G173" i="12"/>
  <c r="F174" i="12"/>
  <c r="G174" i="12"/>
  <c r="F175" i="12"/>
  <c r="G175" i="12"/>
  <c r="F176" i="12"/>
  <c r="G176" i="12"/>
  <c r="F177" i="12"/>
  <c r="G177" i="12"/>
  <c r="F178" i="12"/>
  <c r="G178" i="12"/>
  <c r="F179" i="12"/>
  <c r="G179" i="12"/>
  <c r="F180" i="12"/>
  <c r="G180" i="12"/>
  <c r="F181" i="12"/>
  <c r="G181" i="12"/>
  <c r="F182" i="12"/>
  <c r="G182" i="12"/>
  <c r="F183" i="12"/>
  <c r="G183" i="12"/>
  <c r="F184" i="12"/>
  <c r="G184" i="12"/>
  <c r="F185" i="12"/>
  <c r="G185" i="12"/>
  <c r="F186" i="12"/>
  <c r="G186" i="12"/>
  <c r="F187" i="12"/>
  <c r="G187" i="12"/>
  <c r="F188" i="12"/>
  <c r="G188" i="12"/>
  <c r="F189" i="12"/>
  <c r="G189" i="12"/>
  <c r="F190" i="12"/>
  <c r="G190" i="12"/>
  <c r="F191" i="12"/>
  <c r="G191" i="12"/>
  <c r="F192" i="12"/>
  <c r="G192" i="12"/>
  <c r="F193" i="12"/>
  <c r="G193" i="12"/>
  <c r="F194" i="12"/>
  <c r="G194" i="12"/>
  <c r="F195" i="12"/>
  <c r="G195" i="12"/>
  <c r="F196" i="12"/>
  <c r="G196" i="12"/>
  <c r="F197" i="12"/>
  <c r="G197" i="12"/>
  <c r="F198" i="12"/>
  <c r="G198" i="12"/>
  <c r="F199" i="12"/>
  <c r="G199" i="12"/>
  <c r="F200" i="12"/>
  <c r="G200" i="12"/>
  <c r="F201" i="12"/>
  <c r="G201" i="12"/>
  <c r="F202" i="12"/>
  <c r="G202" i="12"/>
  <c r="F203" i="12"/>
  <c r="G203" i="12"/>
  <c r="F204" i="12"/>
  <c r="G204" i="12"/>
  <c r="F205" i="12"/>
  <c r="G205" i="12"/>
  <c r="F206" i="12"/>
  <c r="G206" i="12"/>
  <c r="F207" i="12"/>
  <c r="G207" i="12"/>
  <c r="F208" i="12"/>
  <c r="G208" i="12"/>
  <c r="F209" i="12"/>
  <c r="G209" i="12"/>
  <c r="F210" i="12"/>
  <c r="G210" i="12"/>
  <c r="F211" i="12"/>
  <c r="G211" i="12"/>
  <c r="F212" i="12"/>
  <c r="G212" i="12"/>
  <c r="F213" i="12"/>
  <c r="G213" i="12"/>
  <c r="F214" i="12"/>
  <c r="G214" i="12"/>
  <c r="F215" i="12"/>
  <c r="G215" i="12"/>
  <c r="F216" i="12"/>
  <c r="G216" i="12"/>
  <c r="F217" i="12"/>
  <c r="G217" i="12"/>
  <c r="F218" i="12"/>
  <c r="G218" i="12"/>
  <c r="F219" i="12"/>
  <c r="G219" i="12"/>
  <c r="F220" i="12"/>
  <c r="G220" i="12"/>
  <c r="F221" i="12"/>
  <c r="G221" i="12"/>
  <c r="F222" i="12"/>
  <c r="G222" i="12"/>
  <c r="F223" i="12"/>
  <c r="G223" i="12"/>
  <c r="F224" i="12"/>
  <c r="G224" i="12"/>
  <c r="F225" i="12"/>
  <c r="G225" i="12"/>
  <c r="F226" i="12"/>
  <c r="G226" i="12"/>
  <c r="F227" i="12"/>
  <c r="G227" i="12"/>
  <c r="F228" i="12"/>
  <c r="G228" i="12"/>
  <c r="F229" i="12"/>
  <c r="G229" i="12"/>
  <c r="F230" i="12"/>
  <c r="G230" i="12"/>
  <c r="F231" i="12"/>
  <c r="G231" i="12"/>
  <c r="F232" i="12"/>
  <c r="G232" i="12"/>
  <c r="F233" i="12"/>
  <c r="G233" i="12"/>
  <c r="F234" i="12"/>
  <c r="G234" i="12"/>
  <c r="F235" i="12"/>
  <c r="G235" i="12"/>
  <c r="D5" i="12"/>
  <c r="E5" i="12" s="1"/>
  <c r="D6" i="12"/>
  <c r="E6" i="12" s="1"/>
  <c r="D7" i="12"/>
  <c r="E7" i="12" s="1"/>
  <c r="D8" i="12"/>
  <c r="E8" i="12" s="1"/>
  <c r="D9" i="12"/>
  <c r="E9" i="12"/>
  <c r="D10" i="12"/>
  <c r="E10" i="12"/>
  <c r="D11" i="12"/>
  <c r="E11" i="12" s="1"/>
  <c r="D12" i="12"/>
  <c r="E12" i="12" s="1"/>
  <c r="D13" i="12"/>
  <c r="E13" i="12" s="1"/>
  <c r="D14" i="12"/>
  <c r="E14" i="12" s="1"/>
  <c r="D15" i="12"/>
  <c r="E15" i="12"/>
  <c r="D16" i="12"/>
  <c r="E16" i="12"/>
  <c r="D17" i="12"/>
  <c r="E17" i="12" s="1"/>
  <c r="D18" i="12"/>
  <c r="E18" i="12" s="1"/>
  <c r="D19" i="12"/>
  <c r="E19" i="12" s="1"/>
  <c r="D20" i="12"/>
  <c r="E20" i="12" s="1"/>
  <c r="D21" i="12"/>
  <c r="E21" i="12"/>
  <c r="D22" i="12"/>
  <c r="E22" i="12"/>
  <c r="D23" i="12"/>
  <c r="E23" i="12" s="1"/>
  <c r="D24" i="12"/>
  <c r="E24" i="12" s="1"/>
  <c r="D25" i="12"/>
  <c r="E25" i="12" s="1"/>
  <c r="D26" i="12"/>
  <c r="E26" i="12" s="1"/>
  <c r="D27" i="12"/>
  <c r="E27" i="12"/>
  <c r="D28" i="12"/>
  <c r="E28" i="12"/>
  <c r="D29" i="12"/>
  <c r="E29" i="12" s="1"/>
  <c r="D30" i="12"/>
  <c r="E30" i="12" s="1"/>
  <c r="D31" i="12"/>
  <c r="E31" i="12" s="1"/>
  <c r="D32" i="12"/>
  <c r="E32" i="12" s="1"/>
  <c r="D33" i="12"/>
  <c r="E33" i="12"/>
  <c r="D34" i="12"/>
  <c r="E34" i="12"/>
  <c r="D35" i="12"/>
  <c r="E35" i="12" s="1"/>
  <c r="D36" i="12"/>
  <c r="E36" i="12" s="1"/>
  <c r="D37" i="12"/>
  <c r="E37" i="12" s="1"/>
  <c r="D38" i="12"/>
  <c r="E38" i="12" s="1"/>
  <c r="D39" i="12"/>
  <c r="E39" i="12"/>
  <c r="D40" i="12"/>
  <c r="E40" i="12"/>
  <c r="D41" i="12"/>
  <c r="E41" i="12" s="1"/>
  <c r="D42" i="12"/>
  <c r="E42" i="12" s="1"/>
  <c r="D43" i="12"/>
  <c r="E43" i="12" s="1"/>
  <c r="D44" i="12"/>
  <c r="E44" i="12" s="1"/>
  <c r="D45" i="12"/>
  <c r="E45" i="12"/>
  <c r="D46" i="12"/>
  <c r="E46" i="12"/>
  <c r="D47" i="12"/>
  <c r="E47" i="12" s="1"/>
  <c r="D48" i="12"/>
  <c r="E48" i="12" s="1"/>
  <c r="D49" i="12"/>
  <c r="E49" i="12" s="1"/>
  <c r="D50" i="12"/>
  <c r="E50" i="12" s="1"/>
  <c r="D51" i="12"/>
  <c r="E51" i="12"/>
  <c r="D52" i="12"/>
  <c r="E52" i="12"/>
  <c r="D53" i="12"/>
  <c r="E53" i="12" s="1"/>
  <c r="D54" i="12"/>
  <c r="E54" i="12" s="1"/>
  <c r="D55" i="12"/>
  <c r="E55" i="12" s="1"/>
  <c r="D56" i="12"/>
  <c r="E56" i="12" s="1"/>
  <c r="D57" i="12"/>
  <c r="E57" i="12"/>
  <c r="D58" i="12"/>
  <c r="E58" i="12"/>
  <c r="D59" i="12"/>
  <c r="E59" i="12" s="1"/>
  <c r="D60" i="12"/>
  <c r="E60" i="12" s="1"/>
  <c r="D61" i="12"/>
  <c r="E61" i="12" s="1"/>
  <c r="D62" i="12"/>
  <c r="E62" i="12" s="1"/>
  <c r="D63" i="12"/>
  <c r="E63" i="12"/>
  <c r="D64" i="12"/>
  <c r="E64" i="12"/>
  <c r="D65" i="12"/>
  <c r="E65" i="12" s="1"/>
  <c r="D66" i="12"/>
  <c r="E66" i="12" s="1"/>
  <c r="D67" i="12"/>
  <c r="E67" i="12" s="1"/>
  <c r="D68" i="12"/>
  <c r="E68" i="12" s="1"/>
  <c r="D69" i="12"/>
  <c r="E69" i="12"/>
  <c r="D70" i="12"/>
  <c r="E70" i="12"/>
  <c r="D71" i="12"/>
  <c r="E71" i="12" s="1"/>
  <c r="D72" i="12"/>
  <c r="E72" i="12" s="1"/>
  <c r="D73" i="12"/>
  <c r="E73" i="12" s="1"/>
  <c r="D74" i="12"/>
  <c r="E74" i="12" s="1"/>
  <c r="D75" i="12"/>
  <c r="E75" i="12"/>
  <c r="D76" i="12"/>
  <c r="E76" i="12"/>
  <c r="D77" i="12"/>
  <c r="E77" i="12" s="1"/>
  <c r="D78" i="12"/>
  <c r="E78" i="12" s="1"/>
  <c r="D79" i="12"/>
  <c r="E79" i="12" s="1"/>
  <c r="D80" i="12"/>
  <c r="E80" i="12" s="1"/>
  <c r="D81" i="12"/>
  <c r="E81" i="12"/>
  <c r="D82" i="12"/>
  <c r="E82" i="12"/>
  <c r="D83" i="12"/>
  <c r="E83" i="12" s="1"/>
  <c r="D84" i="12"/>
  <c r="E84" i="12" s="1"/>
  <c r="D85" i="12"/>
  <c r="E85" i="12" s="1"/>
  <c r="D86" i="12"/>
  <c r="E86" i="12" s="1"/>
  <c r="D87" i="12"/>
  <c r="E87" i="12"/>
  <c r="D88" i="12"/>
  <c r="E88" i="12"/>
  <c r="D89" i="12"/>
  <c r="E89" i="12" s="1"/>
  <c r="D90" i="12"/>
  <c r="E90" i="12" s="1"/>
  <c r="D91" i="12"/>
  <c r="E91" i="12" s="1"/>
  <c r="D92" i="12"/>
  <c r="E92" i="12" s="1"/>
  <c r="D93" i="12"/>
  <c r="E93" i="12"/>
  <c r="D94" i="12"/>
  <c r="E94" i="12"/>
  <c r="D95" i="12"/>
  <c r="E95" i="12" s="1"/>
  <c r="D96" i="12"/>
  <c r="E96" i="12" s="1"/>
  <c r="D97" i="12"/>
  <c r="E97" i="12" s="1"/>
  <c r="D98" i="12"/>
  <c r="E98" i="12" s="1"/>
  <c r="D99" i="12"/>
  <c r="E99" i="12"/>
  <c r="D100" i="12"/>
  <c r="E100" i="12"/>
  <c r="D101" i="12"/>
  <c r="E101" i="12" s="1"/>
  <c r="D102" i="12"/>
  <c r="E102" i="12" s="1"/>
  <c r="D103" i="12"/>
  <c r="E103" i="12" s="1"/>
  <c r="D104" i="12"/>
  <c r="E104" i="12" s="1"/>
  <c r="D105" i="12"/>
  <c r="E105" i="12"/>
  <c r="D106" i="12"/>
  <c r="E106" i="12"/>
  <c r="D107" i="12"/>
  <c r="E107" i="12" s="1"/>
  <c r="D108" i="12"/>
  <c r="E108" i="12" s="1"/>
  <c r="D109" i="12"/>
  <c r="E109" i="12" s="1"/>
  <c r="D110" i="12"/>
  <c r="E110" i="12" s="1"/>
  <c r="D111" i="12"/>
  <c r="E111" i="12"/>
  <c r="D112" i="12"/>
  <c r="E112" i="12"/>
  <c r="D113" i="12"/>
  <c r="E113" i="12" s="1"/>
  <c r="D114" i="12"/>
  <c r="E114" i="12" s="1"/>
  <c r="D115" i="12"/>
  <c r="E115" i="12" s="1"/>
  <c r="D116" i="12"/>
  <c r="E116" i="12" s="1"/>
  <c r="D117" i="12"/>
  <c r="E117" i="12"/>
  <c r="D118" i="12"/>
  <c r="E118" i="12"/>
  <c r="D119" i="12"/>
  <c r="E119" i="12" s="1"/>
  <c r="D120" i="12"/>
  <c r="E120" i="12" s="1"/>
  <c r="D121" i="12"/>
  <c r="E121" i="12" s="1"/>
  <c r="D122" i="12"/>
  <c r="E122" i="12" s="1"/>
  <c r="D123" i="12"/>
  <c r="E123" i="12"/>
  <c r="D124" i="12"/>
  <c r="E124" i="12"/>
  <c r="D125" i="12"/>
  <c r="E125" i="12" s="1"/>
  <c r="D126" i="12"/>
  <c r="E126" i="12" s="1"/>
  <c r="D127" i="12"/>
  <c r="E127" i="12" s="1"/>
  <c r="D128" i="12"/>
  <c r="E128" i="12" s="1"/>
  <c r="D129" i="12"/>
  <c r="E129" i="12"/>
  <c r="D130" i="12"/>
  <c r="E130" i="12"/>
  <c r="D131" i="12"/>
  <c r="E131" i="12" s="1"/>
  <c r="D132" i="12"/>
  <c r="E132" i="12" s="1"/>
  <c r="D133" i="12"/>
  <c r="E133" i="12" s="1"/>
  <c r="D134" i="12"/>
  <c r="E134" i="12" s="1"/>
  <c r="D135" i="12"/>
  <c r="E135" i="12"/>
  <c r="D136" i="12"/>
  <c r="E136" i="12"/>
  <c r="D137" i="12"/>
  <c r="E137" i="12" s="1"/>
  <c r="D138" i="12"/>
  <c r="E138" i="12" s="1"/>
  <c r="D139" i="12"/>
  <c r="E139" i="12" s="1"/>
  <c r="D140" i="12"/>
  <c r="E140" i="12" s="1"/>
  <c r="D141" i="12"/>
  <c r="E141" i="12"/>
  <c r="D142" i="12"/>
  <c r="E142" i="12"/>
  <c r="D143" i="12"/>
  <c r="E143" i="12" s="1"/>
  <c r="D144" i="12"/>
  <c r="E144" i="12" s="1"/>
  <c r="D145" i="12"/>
  <c r="E145" i="12" s="1"/>
  <c r="D146" i="12"/>
  <c r="E146" i="12" s="1"/>
  <c r="D147" i="12"/>
  <c r="E147" i="12"/>
  <c r="D148" i="12"/>
  <c r="E148" i="12"/>
  <c r="D149" i="12"/>
  <c r="E149" i="12" s="1"/>
  <c r="D150" i="12"/>
  <c r="E150" i="12" s="1"/>
  <c r="D151" i="12"/>
  <c r="E151" i="12" s="1"/>
  <c r="D152" i="12"/>
  <c r="E152" i="12" s="1"/>
  <c r="D153" i="12"/>
  <c r="E153" i="12"/>
  <c r="D154" i="12"/>
  <c r="E154" i="12"/>
  <c r="D155" i="12"/>
  <c r="E155" i="12" s="1"/>
  <c r="D156" i="12"/>
  <c r="E156" i="12" s="1"/>
  <c r="D157" i="12"/>
  <c r="E157" i="12" s="1"/>
  <c r="D158" i="12"/>
  <c r="E158" i="12" s="1"/>
  <c r="D159" i="12"/>
  <c r="E159" i="12"/>
  <c r="D160" i="12"/>
  <c r="E160" i="12"/>
  <c r="D161" i="12"/>
  <c r="E161" i="12" s="1"/>
  <c r="D162" i="12"/>
  <c r="E162" i="12" s="1"/>
  <c r="D163" i="12"/>
  <c r="E163" i="12" s="1"/>
  <c r="D164" i="12"/>
  <c r="E164" i="12" s="1"/>
  <c r="D165" i="12"/>
  <c r="E165" i="12"/>
  <c r="D166" i="12"/>
  <c r="E166" i="12"/>
  <c r="D167" i="12"/>
  <c r="E167" i="12" s="1"/>
  <c r="D168" i="12"/>
  <c r="E168" i="12" s="1"/>
  <c r="D169" i="12"/>
  <c r="E169" i="12" s="1"/>
  <c r="D170" i="12"/>
  <c r="E170" i="12" s="1"/>
  <c r="D171" i="12"/>
  <c r="E171" i="12"/>
  <c r="D172" i="12"/>
  <c r="E172" i="12"/>
  <c r="D173" i="12"/>
  <c r="E173" i="12" s="1"/>
  <c r="D174" i="12"/>
  <c r="E174" i="12" s="1"/>
  <c r="D175" i="12"/>
  <c r="E175" i="12" s="1"/>
  <c r="D176" i="12"/>
  <c r="E176" i="12" s="1"/>
  <c r="D177" i="12"/>
  <c r="E177" i="12"/>
  <c r="D178" i="12"/>
  <c r="E178" i="12"/>
  <c r="D179" i="12"/>
  <c r="E179" i="12" s="1"/>
  <c r="D180" i="12"/>
  <c r="E180" i="12" s="1"/>
  <c r="D181" i="12"/>
  <c r="E181" i="12" s="1"/>
  <c r="D182" i="12"/>
  <c r="E182" i="12" s="1"/>
  <c r="D183" i="12"/>
  <c r="E183" i="12"/>
  <c r="D184" i="12"/>
  <c r="E184" i="12"/>
  <c r="D185" i="12"/>
  <c r="E185" i="12" s="1"/>
  <c r="D186" i="12"/>
  <c r="E186" i="12" s="1"/>
  <c r="D187" i="12"/>
  <c r="E187" i="12" s="1"/>
  <c r="D188" i="12"/>
  <c r="E188" i="12" s="1"/>
  <c r="D189" i="12"/>
  <c r="E189" i="12"/>
  <c r="D190" i="12"/>
  <c r="E190" i="12"/>
  <c r="D191" i="12"/>
  <c r="E191" i="12" s="1"/>
  <c r="D192" i="12"/>
  <c r="E192" i="12" s="1"/>
  <c r="D193" i="12"/>
  <c r="E193" i="12" s="1"/>
  <c r="D194" i="12"/>
  <c r="E194" i="12" s="1"/>
  <c r="D195" i="12"/>
  <c r="E195" i="12"/>
  <c r="D196" i="12"/>
  <c r="E196" i="12"/>
  <c r="D197" i="12"/>
  <c r="E197" i="12" s="1"/>
  <c r="D198" i="12"/>
  <c r="E198" i="12" s="1"/>
  <c r="D199" i="12"/>
  <c r="E199" i="12" s="1"/>
  <c r="D200" i="12"/>
  <c r="E200" i="12" s="1"/>
  <c r="D201" i="12"/>
  <c r="E201" i="12"/>
  <c r="D202" i="12"/>
  <c r="E202" i="12"/>
  <c r="D203" i="12"/>
  <c r="E203" i="12" s="1"/>
  <c r="D204" i="12"/>
  <c r="E204" i="12" s="1"/>
  <c r="D205" i="12"/>
  <c r="E205" i="12" s="1"/>
  <c r="D206" i="12"/>
  <c r="E206" i="12" s="1"/>
  <c r="D207" i="12"/>
  <c r="E207" i="12"/>
  <c r="D208" i="12"/>
  <c r="E208" i="12"/>
  <c r="D209" i="12"/>
  <c r="E209" i="12" s="1"/>
  <c r="D210" i="12"/>
  <c r="E210" i="12" s="1"/>
  <c r="D211" i="12"/>
  <c r="E211" i="12" s="1"/>
  <c r="D212" i="12"/>
  <c r="E212" i="12" s="1"/>
  <c r="D213" i="12"/>
  <c r="E213" i="12"/>
  <c r="D214" i="12"/>
  <c r="E214" i="12"/>
  <c r="D215" i="12"/>
  <c r="E215" i="12" s="1"/>
  <c r="D216" i="12"/>
  <c r="E216" i="12" s="1"/>
  <c r="D217" i="12"/>
  <c r="E217" i="12" s="1"/>
  <c r="D218" i="12"/>
  <c r="E218" i="12" s="1"/>
  <c r="D219" i="12"/>
  <c r="E219" i="12"/>
  <c r="D220" i="12"/>
  <c r="E220" i="12"/>
  <c r="D221" i="12"/>
  <c r="E221" i="12" s="1"/>
  <c r="D222" i="12"/>
  <c r="E222" i="12" s="1"/>
  <c r="D223" i="12"/>
  <c r="E223" i="12" s="1"/>
  <c r="D224" i="12"/>
  <c r="E224" i="12" s="1"/>
  <c r="D225" i="12"/>
  <c r="E225" i="12"/>
  <c r="D226" i="12"/>
  <c r="E226" i="12"/>
  <c r="D227" i="12"/>
  <c r="E227" i="12" s="1"/>
  <c r="D228" i="12"/>
  <c r="E228" i="12" s="1"/>
  <c r="D229" i="12"/>
  <c r="E229" i="12" s="1"/>
  <c r="D230" i="12"/>
  <c r="E230" i="12" s="1"/>
  <c r="D231" i="12"/>
  <c r="E231" i="12"/>
  <c r="D232" i="12"/>
  <c r="E232" i="12"/>
  <c r="D233" i="12"/>
  <c r="E233" i="12" s="1"/>
  <c r="D234" i="12"/>
  <c r="E234" i="12" s="1"/>
  <c r="D235" i="12"/>
  <c r="E235" i="12" s="1"/>
  <c r="C5" i="12"/>
  <c r="C6" i="12"/>
  <c r="C7" i="12"/>
  <c r="C8" i="12"/>
  <c r="C9" i="12"/>
  <c r="C10" i="12"/>
  <c r="C11" i="12"/>
  <c r="C12" i="12"/>
  <c r="C13" i="12"/>
  <c r="C14" i="12"/>
  <c r="C15" i="12"/>
  <c r="C16" i="12"/>
  <c r="C17" i="12"/>
  <c r="C18" i="12"/>
  <c r="C19" i="12"/>
  <c r="C20" i="12"/>
  <c r="C21" i="12"/>
  <c r="C22" i="12"/>
  <c r="C23" i="12"/>
  <c r="C24" i="12"/>
  <c r="C25" i="12"/>
  <c r="C26" i="12"/>
  <c r="C27" i="12"/>
  <c r="C28" i="12"/>
  <c r="C29" i="12"/>
  <c r="C30" i="12"/>
  <c r="C31" i="12"/>
  <c r="C32" i="12"/>
  <c r="C33" i="12"/>
  <c r="C34" i="12"/>
  <c r="C35" i="12"/>
  <c r="C36" i="12"/>
  <c r="C37" i="12"/>
  <c r="C38" i="12"/>
  <c r="C39" i="12"/>
  <c r="C40" i="12"/>
  <c r="C41" i="12"/>
  <c r="C42" i="12"/>
  <c r="C43" i="12"/>
  <c r="C44" i="12"/>
  <c r="C45" i="12"/>
  <c r="C46" i="12"/>
  <c r="C47" i="12"/>
  <c r="C48" i="12"/>
  <c r="C49" i="12"/>
  <c r="C50" i="12"/>
  <c r="C51" i="12"/>
  <c r="C52" i="12"/>
  <c r="C53" i="12"/>
  <c r="C54" i="12"/>
  <c r="C55" i="12"/>
  <c r="C56" i="12"/>
  <c r="C57" i="12"/>
  <c r="C58" i="12"/>
  <c r="C59" i="12"/>
  <c r="C60" i="12"/>
  <c r="C61" i="12"/>
  <c r="C62" i="12"/>
  <c r="C63" i="12"/>
  <c r="C64" i="12"/>
  <c r="C65" i="12"/>
  <c r="C66" i="12"/>
  <c r="C67" i="12"/>
  <c r="C68" i="12"/>
  <c r="C69" i="12"/>
  <c r="C70" i="12"/>
  <c r="C71" i="12"/>
  <c r="C72" i="12"/>
  <c r="C73" i="12"/>
  <c r="C74" i="12"/>
  <c r="C75" i="12"/>
  <c r="C76" i="12"/>
  <c r="C77" i="12"/>
  <c r="C78" i="12"/>
  <c r="C79" i="12"/>
  <c r="C80" i="12"/>
  <c r="C81" i="12"/>
  <c r="C82" i="12"/>
  <c r="C83" i="12"/>
  <c r="C84" i="12"/>
  <c r="C85" i="12"/>
  <c r="C86" i="12"/>
  <c r="C87" i="12"/>
  <c r="C88" i="12"/>
  <c r="C89" i="12"/>
  <c r="C90" i="12"/>
  <c r="C91" i="12"/>
  <c r="C92" i="12"/>
  <c r="C93" i="12"/>
  <c r="C94" i="12"/>
  <c r="C95" i="12"/>
  <c r="C96" i="12"/>
  <c r="C97" i="12"/>
  <c r="C98" i="12"/>
  <c r="C99" i="12"/>
  <c r="C100" i="12"/>
  <c r="C101" i="12"/>
  <c r="C102" i="12"/>
  <c r="C103" i="12"/>
  <c r="C104" i="12"/>
  <c r="C105" i="12"/>
  <c r="C106" i="12"/>
  <c r="C107" i="12"/>
  <c r="C108" i="12"/>
  <c r="C109" i="12"/>
  <c r="C110" i="12"/>
  <c r="C111" i="12"/>
  <c r="C112" i="12"/>
  <c r="C113" i="12"/>
  <c r="C114" i="12"/>
  <c r="C115" i="12"/>
  <c r="C116" i="12"/>
  <c r="C117" i="12"/>
  <c r="C118" i="12"/>
  <c r="C119" i="12"/>
  <c r="C120" i="12"/>
  <c r="C121" i="12"/>
  <c r="C122" i="12"/>
  <c r="C123" i="12"/>
  <c r="C124" i="12"/>
  <c r="C125" i="12"/>
  <c r="C126" i="12"/>
  <c r="C127" i="12"/>
  <c r="C128" i="12"/>
  <c r="C129" i="12"/>
  <c r="C130" i="12"/>
  <c r="C131" i="12"/>
  <c r="C132" i="12"/>
  <c r="C133" i="12"/>
  <c r="C134" i="12"/>
  <c r="C135" i="12"/>
  <c r="C136" i="12"/>
  <c r="C137" i="12"/>
  <c r="C138" i="12"/>
  <c r="C139" i="12"/>
  <c r="C140" i="12"/>
  <c r="C141" i="12"/>
  <c r="C142" i="12"/>
  <c r="C143" i="12"/>
  <c r="C144" i="12"/>
  <c r="C145" i="12"/>
  <c r="C146" i="12"/>
  <c r="C147" i="12"/>
  <c r="C148" i="12"/>
  <c r="C149" i="12"/>
  <c r="C150" i="12"/>
  <c r="C151" i="12"/>
  <c r="C152" i="12"/>
  <c r="C153" i="12"/>
  <c r="C154" i="12"/>
  <c r="C155" i="12"/>
  <c r="C156" i="12"/>
  <c r="C157" i="12"/>
  <c r="C158" i="12"/>
  <c r="C159" i="12"/>
  <c r="C160" i="12"/>
  <c r="C161" i="12"/>
  <c r="C162" i="12"/>
  <c r="C163" i="12"/>
  <c r="C164" i="12"/>
  <c r="C165" i="12"/>
  <c r="C166" i="12"/>
  <c r="C167" i="12"/>
  <c r="C168" i="12"/>
  <c r="C169" i="12"/>
  <c r="C170" i="12"/>
  <c r="C171" i="12"/>
  <c r="C172" i="12"/>
  <c r="C173" i="12"/>
  <c r="C174" i="12"/>
  <c r="C175" i="12"/>
  <c r="C176" i="12"/>
  <c r="C177" i="12"/>
  <c r="C178" i="12"/>
  <c r="C179" i="12"/>
  <c r="C180" i="12"/>
  <c r="C181" i="12"/>
  <c r="C182" i="12"/>
  <c r="C183" i="12"/>
  <c r="C184" i="12"/>
  <c r="C185" i="12"/>
  <c r="C186" i="12"/>
  <c r="C187" i="12"/>
  <c r="C188" i="12"/>
  <c r="C189" i="12"/>
  <c r="C190" i="12"/>
  <c r="C191" i="12"/>
  <c r="C192" i="12"/>
  <c r="C193" i="12"/>
  <c r="C194" i="12"/>
  <c r="C195" i="12"/>
  <c r="C196" i="12"/>
  <c r="C197" i="12"/>
  <c r="C198" i="12"/>
  <c r="C199" i="12"/>
  <c r="C200" i="12"/>
  <c r="C201" i="12"/>
  <c r="C202" i="12"/>
  <c r="C203" i="12"/>
  <c r="C204" i="12"/>
  <c r="C205" i="12"/>
  <c r="C206" i="12"/>
  <c r="C207" i="12"/>
  <c r="C208" i="12"/>
  <c r="C209" i="12"/>
  <c r="C210" i="12"/>
  <c r="C211" i="12"/>
  <c r="C212" i="12"/>
  <c r="C213" i="12"/>
  <c r="C214" i="12"/>
  <c r="C215" i="12"/>
  <c r="C216" i="12"/>
  <c r="C217" i="12"/>
  <c r="C218" i="12"/>
  <c r="C219" i="12"/>
  <c r="C220" i="12"/>
  <c r="C221" i="12"/>
  <c r="C222" i="12"/>
  <c r="C223" i="12"/>
  <c r="C224" i="12"/>
  <c r="C225" i="12"/>
  <c r="C226" i="12"/>
  <c r="C227" i="12"/>
  <c r="C228" i="12"/>
  <c r="C229" i="12"/>
  <c r="C230" i="12"/>
  <c r="C231" i="12"/>
  <c r="C232" i="12"/>
  <c r="C233" i="12"/>
  <c r="C234" i="12"/>
  <c r="C235" i="12"/>
  <c r="B5" i="12" a="1"/>
  <c r="B5" i="12" s="1"/>
  <c r="B6" i="12" a="1"/>
  <c r="B6" i="12" s="1"/>
  <c r="B7" i="12" a="1"/>
  <c r="B7" i="12" s="1"/>
  <c r="B8" i="12" a="1"/>
  <c r="B8" i="12" s="1"/>
  <c r="B9" i="12" a="1"/>
  <c r="B9" i="12"/>
  <c r="B10" i="12" a="1"/>
  <c r="B10" i="12"/>
  <c r="B11" i="12" a="1"/>
  <c r="B11" i="12" s="1"/>
  <c r="B12" i="12" a="1"/>
  <c r="B12" i="12" s="1"/>
  <c r="B13" i="12" a="1"/>
  <c r="B13" i="12" s="1"/>
  <c r="B14" i="12" a="1"/>
  <c r="B14" i="12" s="1"/>
  <c r="B15" i="12" a="1"/>
  <c r="B15" i="12"/>
  <c r="B16" i="12" a="1"/>
  <c r="B16" i="12"/>
  <c r="B17" i="12" a="1"/>
  <c r="B17" i="12" s="1"/>
  <c r="B18" i="12" a="1"/>
  <c r="B18" i="12" s="1"/>
  <c r="B19" i="12" a="1"/>
  <c r="B19" i="12" s="1"/>
  <c r="B20" i="12" a="1"/>
  <c r="B20" i="12" s="1"/>
  <c r="B21" i="12" a="1"/>
  <c r="B21" i="12"/>
  <c r="B22" i="12" a="1"/>
  <c r="B22" i="12"/>
  <c r="B23" i="12" a="1"/>
  <c r="B23" i="12" s="1"/>
  <c r="B24" i="12" a="1"/>
  <c r="B24" i="12" s="1"/>
  <c r="B25" i="12" a="1"/>
  <c r="B25" i="12" s="1"/>
  <c r="B26" i="12" a="1"/>
  <c r="B26" i="12" s="1"/>
  <c r="B27" i="12" a="1"/>
  <c r="B27" i="12"/>
  <c r="B28" i="12" a="1"/>
  <c r="B28" i="12"/>
  <c r="B29" i="12" a="1"/>
  <c r="B29" i="12" s="1"/>
  <c r="B30" i="12" a="1"/>
  <c r="B30" i="12" s="1"/>
  <c r="B31" i="12" a="1"/>
  <c r="B31" i="12" s="1"/>
  <c r="B32" i="12" a="1"/>
  <c r="B32" i="12" s="1"/>
  <c r="B33" i="12" a="1"/>
  <c r="B33" i="12"/>
  <c r="B34" i="12" a="1"/>
  <c r="B34" i="12" s="1"/>
  <c r="B35" i="12" a="1"/>
  <c r="B35" i="12" s="1"/>
  <c r="B36" i="12" a="1"/>
  <c r="B36" i="12" s="1"/>
  <c r="B37" i="12" a="1"/>
  <c r="B37" i="12" s="1"/>
  <c r="B38" i="12" a="1"/>
  <c r="B38" i="12" s="1"/>
  <c r="B39" i="12" a="1"/>
  <c r="B39" i="12"/>
  <c r="B40" i="12" a="1"/>
  <c r="B40" i="12" s="1"/>
  <c r="B41" i="12" a="1"/>
  <c r="B41" i="12" s="1"/>
  <c r="B42" i="12" a="1"/>
  <c r="B42" i="12" s="1"/>
  <c r="B43" i="12" a="1"/>
  <c r="B43" i="12" s="1"/>
  <c r="B44" i="12" a="1"/>
  <c r="B44" i="12" s="1"/>
  <c r="B45" i="12" a="1"/>
  <c r="B45" i="12"/>
  <c r="B46" i="12" a="1"/>
  <c r="B46" i="12" s="1"/>
  <c r="B47" i="12" a="1"/>
  <c r="B47" i="12" s="1"/>
  <c r="B48" i="12" a="1"/>
  <c r="B48" i="12" s="1"/>
  <c r="B49" i="12" a="1"/>
  <c r="B49" i="12" s="1"/>
  <c r="B50" i="12" a="1"/>
  <c r="B50" i="12" s="1"/>
  <c r="B51" i="12" a="1"/>
  <c r="B51" i="12"/>
  <c r="B52" i="12" a="1"/>
  <c r="B52" i="12" s="1"/>
  <c r="B53" i="12" a="1"/>
  <c r="B53" i="12" s="1"/>
  <c r="B54" i="12" a="1"/>
  <c r="B54" i="12" s="1"/>
  <c r="B55" i="12" a="1"/>
  <c r="B55" i="12" s="1"/>
  <c r="B56" i="12" a="1"/>
  <c r="B56" i="12" s="1"/>
  <c r="B57" i="12" a="1"/>
  <c r="B57" i="12"/>
  <c r="B58" i="12" a="1"/>
  <c r="B58" i="12" s="1"/>
  <c r="B59" i="12" a="1"/>
  <c r="B59" i="12" s="1"/>
  <c r="B60" i="12" a="1"/>
  <c r="B60" i="12" s="1"/>
  <c r="B61" i="12" a="1"/>
  <c r="B61" i="12" s="1"/>
  <c r="B62" i="12" a="1"/>
  <c r="B62" i="12" s="1"/>
  <c r="B63" i="12" a="1"/>
  <c r="B63" i="12"/>
  <c r="B64" i="12" a="1"/>
  <c r="B64" i="12" s="1"/>
  <c r="B65" i="12" a="1"/>
  <c r="B65" i="12" s="1"/>
  <c r="B66" i="12" a="1"/>
  <c r="B66" i="12" s="1"/>
  <c r="B67" i="12" a="1"/>
  <c r="B67" i="12" s="1"/>
  <c r="B68" i="12" a="1"/>
  <c r="B68" i="12" s="1"/>
  <c r="B69" i="12" a="1"/>
  <c r="B69" i="12"/>
  <c r="B70" i="12" a="1"/>
  <c r="B70" i="12" s="1"/>
  <c r="B71" i="12" a="1"/>
  <c r="B71" i="12" s="1"/>
  <c r="B72" i="12" a="1"/>
  <c r="B72" i="12" s="1"/>
  <c r="B73" i="12" a="1"/>
  <c r="B73" i="12" s="1"/>
  <c r="B74" i="12" a="1"/>
  <c r="B74" i="12" s="1"/>
  <c r="B75" i="12" a="1"/>
  <c r="B75" i="12"/>
  <c r="B76" i="12" a="1"/>
  <c r="B76" i="12" s="1"/>
  <c r="B77" i="12" a="1"/>
  <c r="B77" i="12" s="1"/>
  <c r="B78" i="12" a="1"/>
  <c r="B78" i="12" s="1"/>
  <c r="B79" i="12" a="1"/>
  <c r="B79" i="12" s="1"/>
  <c r="B80" i="12" a="1"/>
  <c r="B80" i="12" s="1"/>
  <c r="B81" i="12" a="1"/>
  <c r="B81" i="12"/>
  <c r="B82" i="12" a="1"/>
  <c r="B82" i="12" s="1"/>
  <c r="B83" i="12" a="1"/>
  <c r="B83" i="12" s="1"/>
  <c r="B84" i="12" a="1"/>
  <c r="B84" i="12" s="1"/>
  <c r="B85" i="12" a="1"/>
  <c r="B85" i="12" s="1"/>
  <c r="B86" i="12" a="1"/>
  <c r="B86" i="12" s="1"/>
  <c r="B87" i="12" a="1"/>
  <c r="B87" i="12"/>
  <c r="B88" i="12" a="1"/>
  <c r="B88" i="12" s="1"/>
  <c r="B89" i="12" a="1"/>
  <c r="B89" i="12" s="1"/>
  <c r="B90" i="12" a="1"/>
  <c r="B90" i="12" s="1"/>
  <c r="B91" i="12" a="1"/>
  <c r="B91" i="12" s="1"/>
  <c r="B92" i="12" a="1"/>
  <c r="B92" i="12" s="1"/>
  <c r="B93" i="12" a="1"/>
  <c r="B93" i="12"/>
  <c r="B94" i="12" a="1"/>
  <c r="B94" i="12" s="1"/>
  <c r="B95" i="12" a="1"/>
  <c r="B95" i="12" s="1"/>
  <c r="B96" i="12" a="1"/>
  <c r="B96" i="12" s="1"/>
  <c r="B97" i="12" a="1"/>
  <c r="B97" i="12" s="1"/>
  <c r="B98" i="12" a="1"/>
  <c r="B98" i="12" s="1"/>
  <c r="B99" i="12" a="1"/>
  <c r="B99" i="12"/>
  <c r="B100" i="12" a="1"/>
  <c r="B100" i="12" s="1"/>
  <c r="B101" i="12" a="1"/>
  <c r="B101" i="12" s="1"/>
  <c r="B102" i="12" a="1"/>
  <c r="B102" i="12" s="1"/>
  <c r="B103" i="12" a="1"/>
  <c r="B103" i="12" s="1"/>
  <c r="B104" i="12" a="1"/>
  <c r="B104" i="12" s="1"/>
  <c r="B105" i="12" a="1"/>
  <c r="B105" i="12"/>
  <c r="B106" i="12" a="1"/>
  <c r="B106" i="12" s="1"/>
  <c r="B107" i="12" a="1"/>
  <c r="B107" i="12" s="1"/>
  <c r="B108" i="12" a="1"/>
  <c r="B108" i="12" s="1"/>
  <c r="B109" i="12" a="1"/>
  <c r="B109" i="12" s="1"/>
  <c r="B110" i="12" a="1"/>
  <c r="B110" i="12" s="1"/>
  <c r="B111" i="12" a="1"/>
  <c r="B111" i="12"/>
  <c r="B112" i="12" a="1"/>
  <c r="B112" i="12" s="1"/>
  <c r="B113" i="12" a="1"/>
  <c r="B113" i="12" s="1"/>
  <c r="B114" i="12" a="1"/>
  <c r="B114" i="12" s="1"/>
  <c r="B115" i="12" a="1"/>
  <c r="B115" i="12" s="1"/>
  <c r="B116" i="12" a="1"/>
  <c r="B116" i="12" s="1"/>
  <c r="B117" i="12" a="1"/>
  <c r="B117" i="12"/>
  <c r="B118" i="12" a="1"/>
  <c r="B118" i="12" s="1"/>
  <c r="B119" i="12" a="1"/>
  <c r="B119" i="12" s="1"/>
  <c r="B120" i="12" a="1"/>
  <c r="B120" i="12" s="1"/>
  <c r="B121" i="12" a="1"/>
  <c r="B121" i="12" s="1"/>
  <c r="B122" i="12" a="1"/>
  <c r="B122" i="12" s="1"/>
  <c r="B123" i="12" a="1"/>
  <c r="B123" i="12"/>
  <c r="B124" i="12" a="1"/>
  <c r="B124" i="12" s="1"/>
  <c r="B125" i="12" a="1"/>
  <c r="B125" i="12" s="1"/>
  <c r="B126" i="12" a="1"/>
  <c r="B126" i="12" s="1"/>
  <c r="B127" i="12" a="1"/>
  <c r="B127" i="12" s="1"/>
  <c r="B128" i="12" a="1"/>
  <c r="B128" i="12" s="1"/>
  <c r="B129" i="12" a="1"/>
  <c r="B129" i="12"/>
  <c r="B130" i="12" a="1"/>
  <c r="B130" i="12" s="1"/>
  <c r="B131" i="12" a="1"/>
  <c r="B131" i="12" s="1"/>
  <c r="B132" i="12" a="1"/>
  <c r="B132" i="12" s="1"/>
  <c r="B133" i="12" a="1"/>
  <c r="B133" i="12" s="1"/>
  <c r="B134" i="12" a="1"/>
  <c r="B134" i="12" s="1"/>
  <c r="B135" i="12" a="1"/>
  <c r="B135" i="12"/>
  <c r="B136" i="12" a="1"/>
  <c r="B136" i="12" s="1"/>
  <c r="B137" i="12" a="1"/>
  <c r="B137" i="12" s="1"/>
  <c r="B138" i="12" a="1"/>
  <c r="B138" i="12" s="1"/>
  <c r="B139" i="12" a="1"/>
  <c r="B139" i="12" s="1"/>
  <c r="B140" i="12" a="1"/>
  <c r="B140" i="12" s="1"/>
  <c r="B141" i="12" a="1"/>
  <c r="B141" i="12"/>
  <c r="B142" i="12" a="1"/>
  <c r="B142" i="12" s="1"/>
  <c r="B143" i="12" a="1"/>
  <c r="B143" i="12" s="1"/>
  <c r="B144" i="12" a="1"/>
  <c r="B144" i="12" s="1"/>
  <c r="B145" i="12" a="1"/>
  <c r="B145" i="12" s="1"/>
  <c r="B146" i="12" a="1"/>
  <c r="B146" i="12" s="1"/>
  <c r="B147" i="12" a="1"/>
  <c r="B147" i="12"/>
  <c r="B148" i="12" a="1"/>
  <c r="B148" i="12" s="1"/>
  <c r="B149" i="12" a="1"/>
  <c r="B149" i="12" s="1"/>
  <c r="B150" i="12" a="1"/>
  <c r="B150" i="12" s="1"/>
  <c r="B151" i="12" a="1"/>
  <c r="B151" i="12" s="1"/>
  <c r="B152" i="12" a="1"/>
  <c r="B152" i="12" s="1"/>
  <c r="B153" i="12" a="1"/>
  <c r="B153" i="12"/>
  <c r="B154" i="12" a="1"/>
  <c r="B154" i="12" s="1"/>
  <c r="B155" i="12" a="1"/>
  <c r="B155" i="12" s="1"/>
  <c r="B156" i="12" a="1"/>
  <c r="B156" i="12" s="1"/>
  <c r="B157" i="12" a="1"/>
  <c r="B157" i="12" s="1"/>
  <c r="B158" i="12" a="1"/>
  <c r="B158" i="12" s="1"/>
  <c r="B159" i="12" a="1"/>
  <c r="B159" i="12"/>
  <c r="B160" i="12" a="1"/>
  <c r="B160" i="12" s="1"/>
  <c r="B161" i="12" a="1"/>
  <c r="B161" i="12" s="1"/>
  <c r="B162" i="12" a="1"/>
  <c r="B162" i="12" s="1"/>
  <c r="B163" i="12" a="1"/>
  <c r="B163" i="12" s="1"/>
  <c r="B164" i="12" a="1"/>
  <c r="B164" i="12" s="1"/>
  <c r="B165" i="12" a="1"/>
  <c r="B165" i="12"/>
  <c r="B166" i="12" a="1"/>
  <c r="B166" i="12" s="1"/>
  <c r="B167" i="12" a="1"/>
  <c r="B167" i="12" s="1"/>
  <c r="B168" i="12" a="1"/>
  <c r="B168" i="12" s="1"/>
  <c r="B169" i="12" a="1"/>
  <c r="B169" i="12" s="1"/>
  <c r="B170" i="12" a="1"/>
  <c r="B170" i="12" s="1"/>
  <c r="B171" i="12" a="1"/>
  <c r="B171" i="12"/>
  <c r="B172" i="12" a="1"/>
  <c r="B172" i="12" s="1"/>
  <c r="B173" i="12" a="1"/>
  <c r="B173" i="12" s="1"/>
  <c r="B174" i="12" a="1"/>
  <c r="B174" i="12" s="1"/>
  <c r="B175" i="12" a="1"/>
  <c r="B175" i="12" s="1"/>
  <c r="B176" i="12" a="1"/>
  <c r="B176" i="12" s="1"/>
  <c r="B177" i="12" a="1"/>
  <c r="B177" i="12"/>
  <c r="B178" i="12" a="1"/>
  <c r="B178" i="12" s="1"/>
  <c r="B179" i="12" a="1"/>
  <c r="B179" i="12" s="1"/>
  <c r="B180" i="12" a="1"/>
  <c r="B180" i="12" s="1"/>
  <c r="B181" i="12" a="1"/>
  <c r="B181" i="12" s="1"/>
  <c r="B182" i="12" a="1"/>
  <c r="B182" i="12" s="1"/>
  <c r="B183" i="12" a="1"/>
  <c r="B183" i="12"/>
  <c r="B184" i="12" a="1"/>
  <c r="B184" i="12" s="1"/>
  <c r="B185" i="12" a="1"/>
  <c r="B185" i="12" s="1"/>
  <c r="B186" i="12" a="1"/>
  <c r="B186" i="12" s="1"/>
  <c r="B187" i="12" a="1"/>
  <c r="B187" i="12" s="1"/>
  <c r="B188" i="12" a="1"/>
  <c r="B188" i="12" s="1"/>
  <c r="B189" i="12" a="1"/>
  <c r="B189" i="12"/>
  <c r="B190" i="12" a="1"/>
  <c r="B190" i="12" s="1"/>
  <c r="B191" i="12" a="1"/>
  <c r="B191" i="12" s="1"/>
  <c r="B192" i="12" a="1"/>
  <c r="B192" i="12" s="1"/>
  <c r="B193" i="12" a="1"/>
  <c r="B193" i="12" s="1"/>
  <c r="B194" i="12" a="1"/>
  <c r="B194" i="12" s="1"/>
  <c r="B195" i="12" a="1"/>
  <c r="B195" i="12"/>
  <c r="B196" i="12" a="1"/>
  <c r="B196" i="12" s="1"/>
  <c r="B197" i="12" a="1"/>
  <c r="B197" i="12" s="1"/>
  <c r="B198" i="12" a="1"/>
  <c r="B198" i="12" s="1"/>
  <c r="B199" i="12" a="1"/>
  <c r="B199" i="12" s="1"/>
  <c r="B200" i="12" a="1"/>
  <c r="B200" i="12" s="1"/>
  <c r="B201" i="12" a="1"/>
  <c r="B201" i="12"/>
  <c r="B202" i="12" a="1"/>
  <c r="B202" i="12" s="1"/>
  <c r="B203" i="12" a="1"/>
  <c r="B203" i="12" s="1"/>
  <c r="B204" i="12" a="1"/>
  <c r="B204" i="12" s="1"/>
  <c r="B205" i="12" a="1"/>
  <c r="B205" i="12" s="1"/>
  <c r="B206" i="12" a="1"/>
  <c r="B206" i="12" s="1"/>
  <c r="B207" i="12" a="1"/>
  <c r="B207" i="12"/>
  <c r="B208" i="12" a="1"/>
  <c r="B208" i="12" s="1"/>
  <c r="B209" i="12" a="1"/>
  <c r="B209" i="12" s="1"/>
  <c r="B210" i="12" a="1"/>
  <c r="B210" i="12" s="1"/>
  <c r="B211" i="12" a="1"/>
  <c r="B211" i="12" s="1"/>
  <c r="B212" i="12" a="1"/>
  <c r="B212" i="12" s="1"/>
  <c r="B213" i="12" a="1"/>
  <c r="B213" i="12"/>
  <c r="B214" i="12" a="1"/>
  <c r="B214" i="12" s="1"/>
  <c r="B215" i="12" a="1"/>
  <c r="B215" i="12" s="1"/>
  <c r="B216" i="12" a="1"/>
  <c r="B216" i="12" s="1"/>
  <c r="B217" i="12" a="1"/>
  <c r="B217" i="12" s="1"/>
  <c r="B218" i="12" a="1"/>
  <c r="B218" i="12" s="1"/>
  <c r="B219" i="12" a="1"/>
  <c r="B219" i="12"/>
  <c r="B220" i="12" a="1"/>
  <c r="B220" i="12" s="1"/>
  <c r="B221" i="12" a="1"/>
  <c r="B221" i="12" s="1"/>
  <c r="B222" i="12" a="1"/>
  <c r="B222" i="12" s="1"/>
  <c r="B223" i="12" a="1"/>
  <c r="B223" i="12" s="1"/>
  <c r="B224" i="12" a="1"/>
  <c r="B224" i="12" s="1"/>
  <c r="B225" i="12" a="1"/>
  <c r="B225" i="12"/>
  <c r="B226" i="12" a="1"/>
  <c r="B226" i="12" s="1"/>
  <c r="B227" i="12" a="1"/>
  <c r="B227" i="12" s="1"/>
  <c r="B228" i="12" a="1"/>
  <c r="B228" i="12" s="1"/>
  <c r="B229" i="12" a="1"/>
  <c r="B229" i="12" s="1"/>
  <c r="B230" i="12" a="1"/>
  <c r="B230" i="12" s="1"/>
  <c r="B231" i="12" a="1"/>
  <c r="B231" i="12"/>
  <c r="B232" i="12" a="1"/>
  <c r="B232" i="12" s="1"/>
  <c r="B233" i="12" a="1"/>
  <c r="B233" i="12" s="1"/>
  <c r="B234" i="12" a="1"/>
  <c r="B234" i="12" s="1"/>
  <c r="B235" i="12" a="1"/>
  <c r="B235" i="12" s="1"/>
  <c r="B4" i="12" a="1"/>
  <c r="B4" i="12" s="1"/>
  <c r="A5" i="12"/>
  <c r="A6" i="12"/>
  <c r="A7" i="12"/>
  <c r="A8" i="12"/>
  <c r="A9" i="12"/>
  <c r="A10" i="12"/>
  <c r="A11" i="12"/>
  <c r="A12" i="12"/>
  <c r="A13" i="12"/>
  <c r="A14" i="12"/>
  <c r="A15" i="12"/>
  <c r="A16" i="12"/>
  <c r="A17" i="12"/>
  <c r="A18" i="12"/>
  <c r="A19" i="12"/>
  <c r="A20" i="12"/>
  <c r="A21" i="12"/>
  <c r="A22" i="12"/>
  <c r="A23" i="12"/>
  <c r="A24" i="12"/>
  <c r="A25" i="12"/>
  <c r="A26" i="12"/>
  <c r="A27" i="12"/>
  <c r="A28" i="12"/>
  <c r="A29" i="12"/>
  <c r="A30" i="12"/>
  <c r="A31" i="12"/>
  <c r="A32" i="12"/>
  <c r="A33" i="12"/>
  <c r="A34" i="12"/>
  <c r="A35" i="12"/>
  <c r="A36" i="12"/>
  <c r="A37" i="12"/>
  <c r="A38" i="12"/>
  <c r="A39" i="12"/>
  <c r="A40" i="12"/>
  <c r="A41" i="12"/>
  <c r="A42" i="12"/>
  <c r="A43" i="12"/>
  <c r="A44" i="12"/>
  <c r="A45" i="12"/>
  <c r="A46" i="12"/>
  <c r="A47" i="12"/>
  <c r="A48" i="12"/>
  <c r="A49" i="12"/>
  <c r="A50" i="12"/>
  <c r="A51" i="12"/>
  <c r="A52" i="12"/>
  <c r="A53" i="12"/>
  <c r="A54" i="12"/>
  <c r="A55" i="12"/>
  <c r="A56" i="12"/>
  <c r="A57" i="12"/>
  <c r="A58" i="12"/>
  <c r="A59" i="12"/>
  <c r="A60" i="12"/>
  <c r="A61" i="12"/>
  <c r="A62" i="12"/>
  <c r="A63" i="12"/>
  <c r="A64" i="12"/>
  <c r="A65" i="12"/>
  <c r="A66" i="12"/>
  <c r="A67" i="12"/>
  <c r="A68" i="12"/>
  <c r="A69" i="12"/>
  <c r="A70" i="12"/>
  <c r="A71" i="12"/>
  <c r="A72" i="12"/>
  <c r="A73" i="12"/>
  <c r="A74" i="12"/>
  <c r="A75" i="12"/>
  <c r="A76" i="12"/>
  <c r="A77" i="12"/>
  <c r="A78" i="12"/>
  <c r="A79" i="12"/>
  <c r="A80" i="12"/>
  <c r="A81" i="12"/>
  <c r="A82" i="12"/>
  <c r="A83" i="12"/>
  <c r="A84" i="12"/>
  <c r="A85" i="12"/>
  <c r="A86" i="12"/>
  <c r="A87" i="12"/>
  <c r="A88" i="12"/>
  <c r="A89" i="12"/>
  <c r="A90" i="12"/>
  <c r="A91" i="12"/>
  <c r="A92" i="12"/>
  <c r="A93" i="12"/>
  <c r="A94" i="12"/>
  <c r="A95" i="12"/>
  <c r="A96" i="12"/>
  <c r="A97" i="12"/>
  <c r="A98" i="12"/>
  <c r="A99" i="12"/>
  <c r="A100" i="12"/>
  <c r="A101" i="12"/>
  <c r="A102" i="12"/>
  <c r="A103" i="12"/>
  <c r="A104" i="12"/>
  <c r="A105" i="12"/>
  <c r="A106" i="12"/>
  <c r="A107" i="12"/>
  <c r="A108" i="12"/>
  <c r="A109" i="12"/>
  <c r="A110" i="12"/>
  <c r="A111" i="12"/>
  <c r="A112" i="12"/>
  <c r="A113" i="12"/>
  <c r="A114" i="12"/>
  <c r="A115" i="12"/>
  <c r="A116" i="12"/>
  <c r="A117" i="12"/>
  <c r="A118" i="12"/>
  <c r="A119" i="12"/>
  <c r="A120" i="12"/>
  <c r="A121" i="12"/>
  <c r="A122" i="12"/>
  <c r="A123" i="12"/>
  <c r="A124" i="12"/>
  <c r="A125" i="12"/>
  <c r="A126" i="12"/>
  <c r="A127" i="12"/>
  <c r="A128" i="12"/>
  <c r="A129" i="12"/>
  <c r="A130" i="12"/>
  <c r="A131" i="12"/>
  <c r="A132" i="12"/>
  <c r="A133" i="12"/>
  <c r="A134" i="12"/>
  <c r="A135" i="12"/>
  <c r="A136" i="12"/>
  <c r="A137" i="12"/>
  <c r="A138" i="12"/>
  <c r="A139" i="12"/>
  <c r="A140" i="12"/>
  <c r="A141" i="12"/>
  <c r="A142" i="12"/>
  <c r="A143" i="12"/>
  <c r="A144" i="12"/>
  <c r="A145" i="12"/>
  <c r="A146" i="12"/>
  <c r="A147" i="12"/>
  <c r="A148" i="12"/>
  <c r="A149" i="12"/>
  <c r="A150" i="12"/>
  <c r="A151" i="12"/>
  <c r="A152" i="12"/>
  <c r="A153" i="12"/>
  <c r="A154" i="12"/>
  <c r="A155" i="12"/>
  <c r="A156" i="12"/>
  <c r="A157" i="12"/>
  <c r="A158" i="12"/>
  <c r="A159" i="12"/>
  <c r="A160" i="12"/>
  <c r="A161" i="12"/>
  <c r="A162" i="12"/>
  <c r="A163" i="12"/>
  <c r="A164" i="12"/>
  <c r="A165" i="12"/>
  <c r="A166" i="12"/>
  <c r="A167" i="12"/>
  <c r="A168" i="12"/>
  <c r="A169" i="12"/>
  <c r="A170" i="12"/>
  <c r="A171" i="12"/>
  <c r="A172" i="12"/>
  <c r="A173" i="12"/>
  <c r="A174" i="12"/>
  <c r="A175" i="12"/>
  <c r="A176" i="12"/>
  <c r="A177" i="12"/>
  <c r="A178" i="12"/>
  <c r="A179" i="12"/>
  <c r="A180" i="12"/>
  <c r="A181" i="12"/>
  <c r="A182" i="12"/>
  <c r="A183" i="12"/>
  <c r="A184" i="12"/>
  <c r="A185" i="12"/>
  <c r="A186" i="12"/>
  <c r="A187" i="12"/>
  <c r="A188" i="12"/>
  <c r="A189" i="12"/>
  <c r="A190" i="12"/>
  <c r="A191" i="12"/>
  <c r="A192" i="12"/>
  <c r="A193" i="12"/>
  <c r="A194" i="12"/>
  <c r="A195" i="12"/>
  <c r="A196" i="12"/>
  <c r="A197" i="12"/>
  <c r="A198" i="12"/>
  <c r="A199" i="12"/>
  <c r="A200" i="12"/>
  <c r="A201" i="12"/>
  <c r="A202" i="12"/>
  <c r="A203" i="12"/>
  <c r="A204" i="12"/>
  <c r="A205" i="12"/>
  <c r="A206" i="12"/>
  <c r="A207" i="12"/>
  <c r="A208" i="12"/>
  <c r="A209" i="12"/>
  <c r="A210" i="12"/>
  <c r="A211" i="12"/>
  <c r="A212" i="12"/>
  <c r="A213" i="12"/>
  <c r="A214" i="12"/>
  <c r="A215" i="12"/>
  <c r="A216" i="12"/>
  <c r="A217" i="12"/>
  <c r="A218" i="12"/>
  <c r="A219" i="12"/>
  <c r="A220" i="12"/>
  <c r="A221" i="12"/>
  <c r="A222" i="12"/>
  <c r="A223" i="12"/>
  <c r="A224" i="12"/>
  <c r="A225" i="12"/>
  <c r="A226" i="12"/>
  <c r="A227" i="12"/>
  <c r="A228" i="12"/>
  <c r="A229" i="12"/>
  <c r="A230" i="12"/>
  <c r="A231" i="12"/>
  <c r="A232" i="12"/>
  <c r="A233" i="12"/>
  <c r="A234" i="12"/>
  <c r="A235" i="12"/>
  <c r="D13" i="18" l="1" a="1"/>
  <c r="D13" i="18" s="1"/>
  <c r="B14" i="18" a="1"/>
  <c r="B14" i="18" s="1"/>
  <c r="C14" i="18" s="1"/>
  <c r="O98" i="12"/>
  <c r="P98" i="12" s="1"/>
  <c r="R98" i="12" s="1" a="1"/>
  <c r="R98" i="12" s="1"/>
  <c r="N98" i="12"/>
  <c r="Q98" i="12" s="1" a="1"/>
  <c r="Q98" i="12" s="1"/>
  <c r="O96" i="12"/>
  <c r="P96" i="12" s="1"/>
  <c r="R96" i="12" s="1" a="1"/>
  <c r="R96" i="12" s="1"/>
  <c r="N96" i="12"/>
  <c r="Q96" i="12" s="1" a="1"/>
  <c r="Q96" i="12" s="1"/>
  <c r="O92" i="12"/>
  <c r="P92" i="12" s="1"/>
  <c r="R92" i="12" s="1" a="1"/>
  <c r="R92" i="12" s="1"/>
  <c r="N92" i="12"/>
  <c r="Q92" i="12" s="1" a="1"/>
  <c r="Q92" i="12" s="1"/>
  <c r="N90" i="12"/>
  <c r="Q90" i="12" s="1" a="1"/>
  <c r="Q90" i="12" s="1"/>
  <c r="O90" i="12"/>
  <c r="P90" i="12" s="1"/>
  <c r="R90" i="12" s="1" a="1"/>
  <c r="R90" i="12" s="1"/>
  <c r="N88" i="12"/>
  <c r="Q88" i="12" s="1" a="1"/>
  <c r="Q88" i="12" s="1"/>
  <c r="O88" i="12"/>
  <c r="P88" i="12" s="1"/>
  <c r="R94" i="12" a="1"/>
  <c r="R94" i="12" s="1"/>
  <c r="BG4" i="12"/>
  <c r="BH4" i="12" s="1"/>
  <c r="AT20" i="12" a="1"/>
  <c r="AT20" i="12" s="1"/>
  <c r="AT160" i="12" a="1"/>
  <c r="AT160" i="12" s="1"/>
  <c r="AT8" i="12" a="1"/>
  <c r="AT8" i="12" s="1"/>
  <c r="AT234" i="12" a="1"/>
  <c r="AT234" i="12" s="1"/>
  <c r="AT210" i="12" a="1"/>
  <c r="AT210" i="12" s="1"/>
  <c r="AT186" i="12" a="1"/>
  <c r="AT186" i="12" s="1"/>
  <c r="AT162" i="12" a="1"/>
  <c r="AT162" i="12" s="1"/>
  <c r="AT114" i="12" a="1"/>
  <c r="AT114" i="12" s="1"/>
  <c r="AT90" i="12" a="1"/>
  <c r="AT90" i="12" s="1"/>
  <c r="AT42" i="12" a="1"/>
  <c r="AT42" i="12" s="1"/>
  <c r="AT18" i="12" a="1"/>
  <c r="AT18" i="12" s="1"/>
  <c r="AT233" i="12" a="1"/>
  <c r="AT233" i="12" s="1"/>
  <c r="AT209" i="12" a="1"/>
  <c r="AT209" i="12" s="1"/>
  <c r="AT201" i="12" a="1"/>
  <c r="AT201" i="12" s="1"/>
  <c r="AT185" i="12" a="1"/>
  <c r="AT185" i="12" s="1"/>
  <c r="AT177" i="12" a="1"/>
  <c r="AT177" i="12" s="1"/>
  <c r="AT161" i="12" a="1"/>
  <c r="AT161" i="12" s="1"/>
  <c r="AT153" i="12" a="1"/>
  <c r="AT153" i="12" s="1"/>
  <c r="AT129" i="12" a="1"/>
  <c r="AT129" i="12" s="1"/>
  <c r="AT113" i="12" a="1"/>
  <c r="AT113" i="12" s="1"/>
  <c r="AT105" i="12" a="1"/>
  <c r="AT105" i="12" s="1"/>
  <c r="AT89" i="12" a="1"/>
  <c r="AT89" i="12" s="1"/>
  <c r="AT81" i="12" a="1"/>
  <c r="AT81" i="12" s="1"/>
  <c r="AT57" i="12" a="1"/>
  <c r="AT57" i="12" s="1"/>
  <c r="AT41" i="12" a="1"/>
  <c r="AT41" i="12" s="1"/>
  <c r="AT33" i="12" a="1"/>
  <c r="AT33" i="12" s="1"/>
  <c r="AT17" i="12" a="1"/>
  <c r="AT17" i="12" s="1"/>
  <c r="AT9" i="12" a="1"/>
  <c r="AT9" i="12" s="1"/>
  <c r="AT158" i="12" a="1"/>
  <c r="AT158" i="12" s="1"/>
  <c r="AT146" i="12" a="1"/>
  <c r="AT146" i="12" s="1"/>
  <c r="AT134" i="12" a="1"/>
  <c r="AT134" i="12" s="1"/>
  <c r="AT50" i="12" a="1"/>
  <c r="AT50" i="12" s="1"/>
  <c r="AT26" i="12" a="1"/>
  <c r="AT26" i="12" s="1"/>
  <c r="AT65" i="12" a="1"/>
  <c r="AT65" i="12" s="1"/>
  <c r="AT147" i="12" a="1"/>
  <c r="AT147" i="12" s="1"/>
  <c r="AT51" i="12" a="1"/>
  <c r="AT51" i="12" s="1"/>
  <c r="AT194" i="12" a="1"/>
  <c r="AT194" i="12" s="1"/>
  <c r="AT182" i="12" a="1"/>
  <c r="AT182" i="12" s="1"/>
  <c r="AT170" i="12" a="1"/>
  <c r="AT170" i="12" s="1"/>
  <c r="AT235" i="12" a="1"/>
  <c r="AT235" i="12" s="1"/>
  <c r="AT226" i="12" a="1"/>
  <c r="AT226" i="12" s="1"/>
  <c r="AT211" i="12" a="1"/>
  <c r="AT211" i="12" s="1"/>
  <c r="AT202" i="12" a="1"/>
  <c r="AT202" i="12" s="1"/>
  <c r="AT187" i="12" a="1"/>
  <c r="AT187" i="12" s="1"/>
  <c r="AT178" i="12" a="1"/>
  <c r="AT178" i="12" s="1"/>
  <c r="AT163" i="12" a="1"/>
  <c r="AT163" i="12" s="1"/>
  <c r="AT154" i="12" a="1"/>
  <c r="AT154" i="12" s="1"/>
  <c r="AT139" i="12" a="1"/>
  <c r="AT139" i="12" s="1"/>
  <c r="AT130" i="12" a="1"/>
  <c r="AT130" i="12" s="1"/>
  <c r="AT115" i="12" a="1"/>
  <c r="AT115" i="12" s="1"/>
  <c r="AT106" i="12" a="1"/>
  <c r="AT106" i="12" s="1"/>
  <c r="AT91" i="12" a="1"/>
  <c r="AT91" i="12" s="1"/>
  <c r="AT82" i="12" a="1"/>
  <c r="AT82" i="12" s="1"/>
  <c r="AT67" i="12" a="1"/>
  <c r="AT67" i="12" s="1"/>
  <c r="AT58" i="12" a="1"/>
  <c r="AT58" i="12" s="1"/>
  <c r="AT43" i="12" a="1"/>
  <c r="AT43" i="12" s="1"/>
  <c r="AT34" i="12" a="1"/>
  <c r="AT34" i="12" s="1"/>
  <c r="AT19" i="12" a="1"/>
  <c r="AT19" i="12" s="1"/>
  <c r="AT10" i="12" a="1"/>
  <c r="AT10" i="12" s="1"/>
  <c r="AT195" i="12" a="1"/>
  <c r="AT195" i="12" s="1"/>
  <c r="AT123" i="12" a="1"/>
  <c r="AT123" i="12" s="1"/>
  <c r="AT74" i="12" a="1"/>
  <c r="AT74" i="12" s="1"/>
  <c r="AT232" i="12" a="1"/>
  <c r="AT232" i="12" s="1"/>
  <c r="AT217" i="12" a="1"/>
  <c r="AT217" i="12" s="1"/>
  <c r="AT208" i="12" a="1"/>
  <c r="AT208" i="12" s="1"/>
  <c r="AT193" i="12" a="1"/>
  <c r="AT193" i="12" s="1"/>
  <c r="AT184" i="12" a="1"/>
  <c r="AT184" i="12" s="1"/>
  <c r="AT169" i="12" a="1"/>
  <c r="AT169" i="12" s="1"/>
  <c r="AT145" i="12" a="1"/>
  <c r="AT145" i="12" s="1"/>
  <c r="AT136" i="12" a="1"/>
  <c r="AT136" i="12" s="1"/>
  <c r="AT121" i="12" a="1"/>
  <c r="AT121" i="12" s="1"/>
  <c r="AT112" i="12" a="1"/>
  <c r="AT112" i="12" s="1"/>
  <c r="AT88" i="12" a="1"/>
  <c r="AT88" i="12" s="1"/>
  <c r="AT73" i="12" a="1"/>
  <c r="AT73" i="12" s="1"/>
  <c r="AT64" i="12" a="1"/>
  <c r="AT64" i="12" s="1"/>
  <c r="AT49" i="12" a="1"/>
  <c r="AT49" i="12" s="1"/>
  <c r="AT40" i="12" a="1"/>
  <c r="AT40" i="12" s="1"/>
  <c r="AT16" i="12" a="1"/>
  <c r="AT16" i="12" s="1"/>
  <c r="AT122" i="12" a="1"/>
  <c r="AT122" i="12" s="1"/>
  <c r="AT63" i="12" a="1"/>
  <c r="AT63" i="12" s="1"/>
  <c r="AT224" i="12" a="1"/>
  <c r="AT224" i="12" s="1"/>
  <c r="AT216" i="12" a="1"/>
  <c r="AT216" i="12" s="1"/>
  <c r="AT200" i="12" a="1"/>
  <c r="AT200" i="12" s="1"/>
  <c r="AT192" i="12" a="1"/>
  <c r="AT192" i="12" s="1"/>
  <c r="AT176" i="12" a="1"/>
  <c r="AT176" i="12" s="1"/>
  <c r="AT168" i="12" a="1"/>
  <c r="AT168" i="12" s="1"/>
  <c r="AT152" i="12" a="1"/>
  <c r="AT152" i="12" s="1"/>
  <c r="AT144" i="12" a="1"/>
  <c r="AT144" i="12" s="1"/>
  <c r="AT120" i="12" a="1"/>
  <c r="AT120" i="12" s="1"/>
  <c r="AT104" i="12" a="1"/>
  <c r="AT104" i="12" s="1"/>
  <c r="AT96" i="12" a="1"/>
  <c r="AT96" i="12" s="1"/>
  <c r="AT80" i="12" a="1"/>
  <c r="AT80" i="12" s="1"/>
  <c r="AT72" i="12" a="1"/>
  <c r="AT72" i="12" s="1"/>
  <c r="AT48" i="12" a="1"/>
  <c r="AT48" i="12" s="1"/>
  <c r="AT32" i="12" a="1"/>
  <c r="AT32" i="12" s="1"/>
  <c r="AT24" i="12" a="1"/>
  <c r="AT24" i="12" s="1"/>
  <c r="AT183" i="12" a="1"/>
  <c r="AT183" i="12" s="1"/>
  <c r="AT111" i="12" a="1"/>
  <c r="AT111" i="12" s="1"/>
  <c r="AT62" i="12" a="1"/>
  <c r="AT62" i="12" s="1"/>
  <c r="AT231" i="12" a="1"/>
  <c r="AT231" i="12" s="1"/>
  <c r="AT215" i="12" a="1"/>
  <c r="AT215" i="12" s="1"/>
  <c r="AT207" i="12" a="1"/>
  <c r="AT207" i="12" s="1"/>
  <c r="AT191" i="12" a="1"/>
  <c r="AT191" i="12" s="1"/>
  <c r="AT167" i="12" a="1"/>
  <c r="AT167" i="12" s="1"/>
  <c r="AT143" i="12" a="1"/>
  <c r="AT143" i="12" s="1"/>
  <c r="AT135" i="12" a="1"/>
  <c r="AT135" i="12" s="1"/>
  <c r="AT119" i="12" a="1"/>
  <c r="AT119" i="12" s="1"/>
  <c r="AT95" i="12" a="1"/>
  <c r="AT95" i="12" s="1"/>
  <c r="AT71" i="12" a="1"/>
  <c r="AT71" i="12" s="1"/>
  <c r="AT47" i="12" a="1"/>
  <c r="AT47" i="12" s="1"/>
  <c r="AT23" i="12" a="1"/>
  <c r="AT23" i="12" s="1"/>
  <c r="AT218" i="12" a="1"/>
  <c r="AT218" i="12" s="1"/>
  <c r="AT110" i="12" a="1"/>
  <c r="AT110" i="12" s="1"/>
  <c r="AT223" i="12" a="1"/>
  <c r="AT223" i="12" s="1"/>
  <c r="AT214" i="12" a="1"/>
  <c r="AT214" i="12" s="1"/>
  <c r="AT199" i="12" a="1"/>
  <c r="AT199" i="12" s="1"/>
  <c r="AT190" i="12" a="1"/>
  <c r="AT190" i="12" s="1"/>
  <c r="AT175" i="12" a="1"/>
  <c r="AT175" i="12" s="1"/>
  <c r="AT166" i="12" a="1"/>
  <c r="AT166" i="12" s="1"/>
  <c r="AT151" i="12" a="1"/>
  <c r="AT151" i="12" s="1"/>
  <c r="AT142" i="12" a="1"/>
  <c r="AT142" i="12" s="1"/>
  <c r="AT127" i="12" a="1"/>
  <c r="AT127" i="12" s="1"/>
  <c r="AT118" i="12" a="1"/>
  <c r="AT118" i="12" s="1"/>
  <c r="AT103" i="12" a="1"/>
  <c r="AT103" i="12" s="1"/>
  <c r="AT94" i="12" a="1"/>
  <c r="AT94" i="12" s="1"/>
  <c r="AT79" i="12" a="1"/>
  <c r="AT79" i="12" s="1"/>
  <c r="AT70" i="12" a="1"/>
  <c r="AT70" i="12" s="1"/>
  <c r="AT55" i="12" a="1"/>
  <c r="AT55" i="12" s="1"/>
  <c r="AT46" i="12" a="1"/>
  <c r="AT46" i="12" s="1"/>
  <c r="AT31" i="12" a="1"/>
  <c r="AT31" i="12" s="1"/>
  <c r="AT22" i="12" a="1"/>
  <c r="AT22" i="12" s="1"/>
  <c r="AT7" i="12" a="1"/>
  <c r="AT7" i="12" s="1"/>
  <c r="AT99" i="12" a="1"/>
  <c r="AT99" i="12" s="1"/>
  <c r="AT230" i="12" a="1"/>
  <c r="AT230" i="12" s="1"/>
  <c r="AT222" i="12" a="1"/>
  <c r="AT222" i="12" s="1"/>
  <c r="AT206" i="12" a="1"/>
  <c r="AT206" i="12" s="1"/>
  <c r="AT198" i="12" a="1"/>
  <c r="AT198" i="12" s="1"/>
  <c r="AT174" i="12" a="1"/>
  <c r="AT174" i="12" s="1"/>
  <c r="AT150" i="12" a="1"/>
  <c r="AT150" i="12" s="1"/>
  <c r="AT126" i="12" a="1"/>
  <c r="AT126" i="12" s="1"/>
  <c r="AT102" i="12" a="1"/>
  <c r="AT102" i="12" s="1"/>
  <c r="AT86" i="12" a="1"/>
  <c r="AT86" i="12" s="1"/>
  <c r="AT78" i="12" a="1"/>
  <c r="AT78" i="12" s="1"/>
  <c r="AT54" i="12" a="1"/>
  <c r="AT54" i="12" s="1"/>
  <c r="AT38" i="12" a="1"/>
  <c r="AT38" i="12" s="1"/>
  <c r="AT30" i="12" a="1"/>
  <c r="AT30" i="12" s="1"/>
  <c r="AT14" i="12" a="1"/>
  <c r="AT14" i="12" s="1"/>
  <c r="AT6" i="12" a="1"/>
  <c r="AT6" i="12" s="1"/>
  <c r="AT137" i="12" a="1"/>
  <c r="AT137" i="12" s="1"/>
  <c r="AT171" i="12" a="1"/>
  <c r="AT171" i="12" s="1"/>
  <c r="AT98" i="12" a="1"/>
  <c r="AT98" i="12" s="1"/>
  <c r="AT39" i="12" a="1"/>
  <c r="AT39" i="12" s="1"/>
  <c r="AT221" i="12" a="1"/>
  <c r="AT221" i="12" s="1"/>
  <c r="AT213" i="12" a="1"/>
  <c r="AT213" i="12" s="1"/>
  <c r="AT197" i="12" a="1"/>
  <c r="AT197" i="12" s="1"/>
  <c r="AT189" i="12" a="1"/>
  <c r="AT189" i="12" s="1"/>
  <c r="AT173" i="12" a="1"/>
  <c r="AT173" i="12" s="1"/>
  <c r="AT165" i="12" a="1"/>
  <c r="AT165" i="12" s="1"/>
  <c r="AT149" i="12" a="1"/>
  <c r="AT149" i="12" s="1"/>
  <c r="AT141" i="12" a="1"/>
  <c r="AT141" i="12" s="1"/>
  <c r="AT125" i="12" a="1"/>
  <c r="AT125" i="12" s="1"/>
  <c r="AT117" i="12" a="1"/>
  <c r="AT117" i="12" s="1"/>
  <c r="AT101" i="12" a="1"/>
  <c r="AT101" i="12" s="1"/>
  <c r="AT93" i="12" a="1"/>
  <c r="AT93" i="12" s="1"/>
  <c r="AT77" i="12" a="1"/>
  <c r="AT77" i="12" s="1"/>
  <c r="AT69" i="12" a="1"/>
  <c r="AT69" i="12" s="1"/>
  <c r="AT53" i="12" a="1"/>
  <c r="AT53" i="12" s="1"/>
  <c r="AT45" i="12" a="1"/>
  <c r="AT45" i="12" s="1"/>
  <c r="AT29" i="12" a="1"/>
  <c r="AT29" i="12" s="1"/>
  <c r="AT21" i="12" a="1"/>
  <c r="AT21" i="12" s="1"/>
  <c r="AT5" i="12" a="1"/>
  <c r="AT5" i="12" s="1"/>
  <c r="AT229" i="12" a="1"/>
  <c r="AT229" i="12" s="1"/>
  <c r="AT220" i="12" a="1"/>
  <c r="AT220" i="12" s="1"/>
  <c r="AT205" i="12" a="1"/>
  <c r="AT205" i="12" s="1"/>
  <c r="AT196" i="12" a="1"/>
  <c r="AT196" i="12" s="1"/>
  <c r="AT181" i="12" a="1"/>
  <c r="AT181" i="12" s="1"/>
  <c r="AT172" i="12" a="1"/>
  <c r="AT172" i="12" s="1"/>
  <c r="AT157" i="12" a="1"/>
  <c r="AT157" i="12" s="1"/>
  <c r="AT133" i="12" a="1"/>
  <c r="AT133" i="12" s="1"/>
  <c r="AT124" i="12" a="1"/>
  <c r="AT124" i="12" s="1"/>
  <c r="AT109" i="12" a="1"/>
  <c r="AT109" i="12" s="1"/>
  <c r="AT100" i="12" a="1"/>
  <c r="AT100" i="12" s="1"/>
  <c r="AT85" i="12" a="1"/>
  <c r="AT85" i="12" s="1"/>
  <c r="AT61" i="12" a="1"/>
  <c r="AT61" i="12" s="1"/>
  <c r="AT52" i="12" a="1"/>
  <c r="AT52" i="12" s="1"/>
  <c r="AT37" i="12" a="1"/>
  <c r="AT37" i="12" s="1"/>
  <c r="AT28" i="12" a="1"/>
  <c r="AT28" i="12" s="1"/>
  <c r="AT13" i="12" a="1"/>
  <c r="AT13" i="12" s="1"/>
  <c r="AT228" i="12" a="1"/>
  <c r="AT228" i="12" s="1"/>
  <c r="AT212" i="12" a="1"/>
  <c r="AT212" i="12" s="1"/>
  <c r="AT204" i="12" a="1"/>
  <c r="AT204" i="12" s="1"/>
  <c r="AT188" i="12" a="1"/>
  <c r="AT188" i="12" s="1"/>
  <c r="AT180" i="12" a="1"/>
  <c r="AT180" i="12" s="1"/>
  <c r="AT164" i="12" a="1"/>
  <c r="AT164" i="12" s="1"/>
  <c r="AT156" i="12" a="1"/>
  <c r="AT156" i="12" s="1"/>
  <c r="AT140" i="12" a="1"/>
  <c r="AT140" i="12" s="1"/>
  <c r="AT132" i="12" a="1"/>
  <c r="AT132" i="12" s="1"/>
  <c r="AT116" i="12" a="1"/>
  <c r="AT116" i="12" s="1"/>
  <c r="AT108" i="12" a="1"/>
  <c r="AT108" i="12" s="1"/>
  <c r="AT92" i="12" a="1"/>
  <c r="AT92" i="12" s="1"/>
  <c r="AT84" i="12" a="1"/>
  <c r="AT84" i="12" s="1"/>
  <c r="AT68" i="12" a="1"/>
  <c r="AT68" i="12" s="1"/>
  <c r="AT60" i="12" a="1"/>
  <c r="AT60" i="12" s="1"/>
  <c r="AT44" i="12" a="1"/>
  <c r="AT44" i="12" s="1"/>
  <c r="AT36" i="12" a="1"/>
  <c r="AT36" i="12" s="1"/>
  <c r="AT12" i="12" a="1"/>
  <c r="AT12" i="12" s="1"/>
  <c r="AT225" i="12" a="1"/>
  <c r="AT225" i="12" s="1"/>
  <c r="AT227" i="12" a="1"/>
  <c r="AT227" i="12" s="1"/>
  <c r="AT219" i="12" a="1"/>
  <c r="AT219" i="12" s="1"/>
  <c r="AT203" i="12" a="1"/>
  <c r="AT203" i="12" s="1"/>
  <c r="AT179" i="12" a="1"/>
  <c r="AT179" i="12" s="1"/>
  <c r="AT155" i="12" a="1"/>
  <c r="AT155" i="12" s="1"/>
  <c r="AT131" i="12" a="1"/>
  <c r="AT131" i="12" s="1"/>
  <c r="AT83" i="12" a="1"/>
  <c r="AT83" i="12" s="1"/>
  <c r="AT75" i="12" a="1"/>
  <c r="AT75" i="12" s="1"/>
  <c r="AT59" i="12" a="1"/>
  <c r="AT59" i="12" s="1"/>
  <c r="AT27" i="12" a="1"/>
  <c r="AT27" i="12" s="1"/>
  <c r="AT11" i="12" a="1"/>
  <c r="AT11" i="12" s="1"/>
  <c r="AT159" i="12" a="1"/>
  <c r="AT159" i="12" s="1"/>
  <c r="AT148" i="12" a="1"/>
  <c r="AT148" i="12" s="1"/>
  <c r="AT138" i="12" a="1"/>
  <c r="AT138" i="12" s="1"/>
  <c r="AT128" i="12" a="1"/>
  <c r="AT128" i="12" s="1"/>
  <c r="AT107" i="12" a="1"/>
  <c r="AT107" i="12" s="1"/>
  <c r="AT97" i="12" a="1"/>
  <c r="AT97" i="12" s="1"/>
  <c r="AT87" i="12" a="1"/>
  <c r="AT87" i="12" s="1"/>
  <c r="AT76" i="12" a="1"/>
  <c r="AT76" i="12" s="1"/>
  <c r="AT66" i="12" a="1"/>
  <c r="AT66" i="12" s="1"/>
  <c r="AT56" i="12" a="1"/>
  <c r="AT56" i="12" s="1"/>
  <c r="AT35" i="12" a="1"/>
  <c r="AT35" i="12" s="1"/>
  <c r="AT25" i="12" a="1"/>
  <c r="AT25" i="12" s="1"/>
  <c r="AT15" i="12" a="1"/>
  <c r="AT15" i="12" s="1"/>
  <c r="AV4" i="12"/>
  <c r="AW4" i="12" s="1"/>
  <c r="AK4" i="12"/>
  <c r="AL4" i="12" s="1"/>
  <c r="R232" i="12" a="1"/>
  <c r="R232" i="12" s="1"/>
  <c r="R220" i="12" a="1"/>
  <c r="R220" i="12" s="1"/>
  <c r="R208" i="12" a="1"/>
  <c r="R208" i="12" s="1"/>
  <c r="R172" i="12" a="1"/>
  <c r="R172" i="12" s="1"/>
  <c r="R160" i="12" a="1"/>
  <c r="R160" i="12" s="1"/>
  <c r="R148" i="12" a="1"/>
  <c r="R148" i="12" s="1"/>
  <c r="R136" i="12" a="1"/>
  <c r="R136" i="12" s="1"/>
  <c r="R100" i="12" a="1"/>
  <c r="R100" i="12" s="1"/>
  <c r="R88" i="12" a="1"/>
  <c r="R88" i="12" s="1"/>
  <c r="R76" i="12" a="1"/>
  <c r="R76" i="12" s="1"/>
  <c r="R64" i="12" a="1"/>
  <c r="R64" i="12" s="1"/>
  <c r="R28" i="12" a="1"/>
  <c r="R28" i="12" s="1"/>
  <c r="R16" i="12" a="1"/>
  <c r="R16" i="12" s="1"/>
  <c r="R196" i="12" a="1"/>
  <c r="R196" i="12" s="1"/>
  <c r="R124" i="12" a="1"/>
  <c r="R124" i="12" s="1"/>
  <c r="R52" i="12" a="1"/>
  <c r="R52" i="12" s="1"/>
  <c r="R184" i="12" a="1"/>
  <c r="R184" i="12" s="1"/>
  <c r="R112" i="12" a="1"/>
  <c r="R112" i="12" s="1"/>
  <c r="R40" i="12" a="1"/>
  <c r="R40" i="12" s="1"/>
  <c r="X4" i="12" a="1"/>
  <c r="X4" i="12" s="1"/>
  <c r="B15" i="18" l="1" a="1"/>
  <c r="B15" i="18" s="1"/>
  <c r="D14" i="18" a="1"/>
  <c r="D14" i="18" s="1"/>
  <c r="BF4" i="12"/>
  <c r="BJ4" i="12" s="1" a="1"/>
  <c r="BJ4" i="12" s="1"/>
  <c r="AU4" i="12"/>
  <c r="AY4" i="12" s="1" a="1"/>
  <c r="AY4" i="12" s="1"/>
  <c r="AJ4" i="12"/>
  <c r="AN4" i="12" s="1" a="1"/>
  <c r="AN4" i="12" s="1"/>
  <c r="Z4" i="12"/>
  <c r="AA4" i="12" s="1"/>
  <c r="Y4" i="12"/>
  <c r="B16" i="18" l="1" a="1"/>
  <c r="B16" i="18" s="1"/>
  <c r="C15" i="18"/>
  <c r="D15" i="18" s="1" a="1"/>
  <c r="D15" i="18" s="1"/>
  <c r="AC4" i="12" a="1"/>
  <c r="AC4" i="12" s="1"/>
  <c r="B17" i="18" l="1" a="1"/>
  <c r="B17" i="18" s="1"/>
  <c r="C16" i="18"/>
  <c r="D16" i="18" s="1" a="1"/>
  <c r="D16" i="18" s="1"/>
  <c r="J4" i="12"/>
  <c r="K4" i="12" s="1" a="1"/>
  <c r="K4" i="12" s="1"/>
  <c r="H4" i="12"/>
  <c r="G4" i="12"/>
  <c r="F4" i="12"/>
  <c r="C4" i="12"/>
  <c r="A4" i="12"/>
  <c r="D4" i="12" s="1"/>
  <c r="E4" i="12" s="1"/>
  <c r="B18" i="18" l="1" a="1"/>
  <c r="B18" i="18" s="1"/>
  <c r="C17" i="18"/>
  <c r="D17" i="18" s="1" a="1"/>
  <c r="D17" i="18" s="1"/>
  <c r="I4" i="12" a="1"/>
  <c r="I4" i="12" s="1"/>
  <c r="B19" i="18" l="1" a="1"/>
  <c r="B19" i="18" s="1"/>
  <c r="C18" i="18"/>
  <c r="D18" i="18" s="1" a="1"/>
  <c r="D18" i="18" s="1"/>
  <c r="P4" i="12"/>
  <c r="R4" i="12" s="1" a="1"/>
  <c r="R4" i="12" s="1"/>
  <c r="B20" i="18" l="1" a="1"/>
  <c r="B20" i="18" s="1"/>
  <c r="C19" i="18"/>
  <c r="D19" i="18" s="1" a="1"/>
  <c r="D19" i="18" s="1"/>
  <c r="H12" i="11"/>
  <c r="E12" i="11"/>
  <c r="B12" i="11"/>
  <c r="L12" i="11" s="1"/>
  <c r="H11" i="11"/>
  <c r="E11" i="11"/>
  <c r="K11" i="11" s="1"/>
  <c r="B11" i="11"/>
  <c r="L11" i="11" s="1"/>
  <c r="M11" i="11" s="1"/>
  <c r="H10" i="11"/>
  <c r="E10" i="11"/>
  <c r="L10" i="11" s="1"/>
  <c r="L9" i="11"/>
  <c r="M9" i="11" s="1"/>
  <c r="K9" i="11"/>
  <c r="L8" i="11"/>
  <c r="M8" i="11" s="1"/>
  <c r="K8" i="11"/>
  <c r="H8" i="11"/>
  <c r="E8" i="11"/>
  <c r="B8" i="11"/>
  <c r="H7" i="11"/>
  <c r="E7" i="11"/>
  <c r="B7" i="11"/>
  <c r="L7" i="11" s="1"/>
  <c r="L6" i="11"/>
  <c r="M6" i="11" s="1"/>
  <c r="K6" i="11"/>
  <c r="H6" i="11"/>
  <c r="E6" i="11"/>
  <c r="B6" i="11"/>
  <c r="L5" i="11"/>
  <c r="K5" i="11"/>
  <c r="B21" i="18" l="1" a="1"/>
  <c r="B21" i="18" s="1"/>
  <c r="C20" i="18"/>
  <c r="D20" i="18" s="1" a="1"/>
  <c r="D20" i="18" s="1"/>
  <c r="K7" i="11"/>
  <c r="M7" i="11" s="1"/>
  <c r="K10" i="11"/>
  <c r="M10" i="11" s="1"/>
  <c r="K12" i="11"/>
  <c r="M12" i="11" s="1"/>
  <c r="AL235" i="2"/>
  <c r="AI235" i="2"/>
  <c r="AF235" i="2"/>
  <c r="AC235" i="2"/>
  <c r="Z235" i="2"/>
  <c r="W235" i="2"/>
  <c r="T235" i="2"/>
  <c r="Q235" i="2"/>
  <c r="M235" i="2"/>
  <c r="N235" i="2" s="1"/>
  <c r="I235" i="2"/>
  <c r="J235" i="2" s="1"/>
  <c r="AL234" i="2"/>
  <c r="AI234" i="2"/>
  <c r="AF234" i="2"/>
  <c r="AC234" i="2"/>
  <c r="Z234" i="2"/>
  <c r="W234" i="2"/>
  <c r="T234" i="2"/>
  <c r="Q234" i="2"/>
  <c r="M234" i="2"/>
  <c r="N234" i="2" s="1"/>
  <c r="I234" i="2"/>
  <c r="J234" i="2" s="1"/>
  <c r="AL233" i="2"/>
  <c r="AI233" i="2"/>
  <c r="AF233" i="2"/>
  <c r="AC233" i="2"/>
  <c r="Z233" i="2"/>
  <c r="W233" i="2"/>
  <c r="T233" i="2"/>
  <c r="Q233" i="2"/>
  <c r="M233" i="2"/>
  <c r="N233" i="2" s="1"/>
  <c r="I233" i="2"/>
  <c r="J233" i="2" s="1"/>
  <c r="AL232" i="2"/>
  <c r="AI232" i="2"/>
  <c r="AF232" i="2"/>
  <c r="AC232" i="2"/>
  <c r="Z232" i="2"/>
  <c r="W232" i="2"/>
  <c r="T232" i="2"/>
  <c r="Q232" i="2"/>
  <c r="M232" i="2"/>
  <c r="N232" i="2" s="1"/>
  <c r="I232" i="2"/>
  <c r="J232" i="2" s="1"/>
  <c r="AL231" i="2"/>
  <c r="AI231" i="2"/>
  <c r="AF231" i="2"/>
  <c r="AC231" i="2"/>
  <c r="Z231" i="2"/>
  <c r="W231" i="2"/>
  <c r="T231" i="2"/>
  <c r="Q231" i="2"/>
  <c r="M231" i="2"/>
  <c r="N231" i="2" s="1"/>
  <c r="I231" i="2"/>
  <c r="J231" i="2" s="1"/>
  <c r="AL230" i="2"/>
  <c r="AI230" i="2"/>
  <c r="AF230" i="2"/>
  <c r="AC230" i="2"/>
  <c r="Z230" i="2"/>
  <c r="W230" i="2"/>
  <c r="T230" i="2"/>
  <c r="Q230" i="2"/>
  <c r="M230" i="2"/>
  <c r="N230" i="2" s="1"/>
  <c r="I230" i="2"/>
  <c r="J230" i="2" s="1"/>
  <c r="AL229" i="2"/>
  <c r="AI229" i="2"/>
  <c r="AF229" i="2"/>
  <c r="AC229" i="2"/>
  <c r="Z229" i="2"/>
  <c r="W229" i="2"/>
  <c r="T229" i="2"/>
  <c r="Q229" i="2"/>
  <c r="M229" i="2"/>
  <c r="N229" i="2" s="1"/>
  <c r="I229" i="2"/>
  <c r="J229" i="2" s="1"/>
  <c r="AL228" i="2"/>
  <c r="AI228" i="2"/>
  <c r="AF228" i="2"/>
  <c r="AC228" i="2"/>
  <c r="Z228" i="2"/>
  <c r="W228" i="2"/>
  <c r="T228" i="2"/>
  <c r="Q228" i="2"/>
  <c r="M228" i="2"/>
  <c r="N228" i="2" s="1"/>
  <c r="I228" i="2"/>
  <c r="J228" i="2" s="1"/>
  <c r="AL227" i="2"/>
  <c r="AI227" i="2"/>
  <c r="AF227" i="2"/>
  <c r="AC227" i="2"/>
  <c r="Z227" i="2"/>
  <c r="W227" i="2"/>
  <c r="T227" i="2"/>
  <c r="Q227" i="2"/>
  <c r="M227" i="2"/>
  <c r="N227" i="2" s="1"/>
  <c r="I227" i="2"/>
  <c r="J227" i="2" s="1"/>
  <c r="AL226" i="2"/>
  <c r="AI226" i="2"/>
  <c r="AF226" i="2"/>
  <c r="AC226" i="2"/>
  <c r="Z226" i="2"/>
  <c r="W226" i="2"/>
  <c r="T226" i="2"/>
  <c r="Q226" i="2"/>
  <c r="M226" i="2"/>
  <c r="N226" i="2" s="1"/>
  <c r="I226" i="2"/>
  <c r="J226" i="2" s="1"/>
  <c r="AL225" i="2"/>
  <c r="AI225" i="2"/>
  <c r="AF225" i="2"/>
  <c r="AC225" i="2"/>
  <c r="Z225" i="2"/>
  <c r="W225" i="2"/>
  <c r="T225" i="2"/>
  <c r="Q225" i="2"/>
  <c r="M225" i="2"/>
  <c r="N225" i="2" s="1"/>
  <c r="I225" i="2"/>
  <c r="J225" i="2" s="1"/>
  <c r="AL224" i="2"/>
  <c r="AI224" i="2"/>
  <c r="AF224" i="2"/>
  <c r="AC224" i="2"/>
  <c r="Z224" i="2"/>
  <c r="W224" i="2"/>
  <c r="T224" i="2"/>
  <c r="Q224" i="2"/>
  <c r="M224" i="2"/>
  <c r="N224" i="2" s="1"/>
  <c r="I224" i="2"/>
  <c r="J224" i="2" s="1"/>
  <c r="AL223" i="2"/>
  <c r="AI223" i="2"/>
  <c r="AF223" i="2"/>
  <c r="AC223" i="2"/>
  <c r="Z223" i="2"/>
  <c r="W223" i="2"/>
  <c r="T223" i="2"/>
  <c r="Q223" i="2"/>
  <c r="M223" i="2"/>
  <c r="N223" i="2" s="1"/>
  <c r="I223" i="2"/>
  <c r="J223" i="2" s="1"/>
  <c r="AL222" i="2"/>
  <c r="AI222" i="2"/>
  <c r="AF222" i="2"/>
  <c r="AC222" i="2"/>
  <c r="Z222" i="2"/>
  <c r="W222" i="2"/>
  <c r="T222" i="2"/>
  <c r="Q222" i="2"/>
  <c r="M222" i="2"/>
  <c r="N222" i="2" s="1"/>
  <c r="I222" i="2"/>
  <c r="J222" i="2" s="1"/>
  <c r="AL221" i="2"/>
  <c r="AI221" i="2"/>
  <c r="AF221" i="2"/>
  <c r="AC221" i="2"/>
  <c r="Z221" i="2"/>
  <c r="W221" i="2"/>
  <c r="T221" i="2"/>
  <c r="Q221" i="2"/>
  <c r="M221" i="2"/>
  <c r="N221" i="2" s="1"/>
  <c r="I221" i="2"/>
  <c r="J221" i="2" s="1"/>
  <c r="AL220" i="2"/>
  <c r="AI220" i="2"/>
  <c r="AF220" i="2"/>
  <c r="AC220" i="2"/>
  <c r="Z220" i="2"/>
  <c r="W220" i="2"/>
  <c r="T220" i="2"/>
  <c r="Q220" i="2"/>
  <c r="M220" i="2"/>
  <c r="N220" i="2" s="1"/>
  <c r="I220" i="2"/>
  <c r="J220" i="2" s="1"/>
  <c r="AL219" i="2"/>
  <c r="AI219" i="2"/>
  <c r="AF219" i="2"/>
  <c r="AC219" i="2"/>
  <c r="Z219" i="2"/>
  <c r="W219" i="2"/>
  <c r="T219" i="2"/>
  <c r="Q219" i="2"/>
  <c r="M219" i="2"/>
  <c r="N219" i="2" s="1"/>
  <c r="I219" i="2"/>
  <c r="J219" i="2" s="1"/>
  <c r="AL218" i="2"/>
  <c r="AI218" i="2"/>
  <c r="AF218" i="2"/>
  <c r="AC218" i="2"/>
  <c r="Z218" i="2"/>
  <c r="W218" i="2"/>
  <c r="T218" i="2"/>
  <c r="Q218" i="2"/>
  <c r="M218" i="2"/>
  <c r="N218" i="2" s="1"/>
  <c r="I218" i="2"/>
  <c r="J218" i="2" s="1"/>
  <c r="AL217" i="2"/>
  <c r="AI217" i="2"/>
  <c r="AF217" i="2"/>
  <c r="AC217" i="2"/>
  <c r="Z217" i="2"/>
  <c r="W217" i="2"/>
  <c r="T217" i="2"/>
  <c r="Q217" i="2"/>
  <c r="M217" i="2"/>
  <c r="N217" i="2" s="1"/>
  <c r="I217" i="2"/>
  <c r="J217" i="2" s="1"/>
  <c r="AL216" i="2"/>
  <c r="AI216" i="2"/>
  <c r="AF216" i="2"/>
  <c r="AC216" i="2"/>
  <c r="Z216" i="2"/>
  <c r="W216" i="2"/>
  <c r="T216" i="2"/>
  <c r="Q216" i="2"/>
  <c r="M216" i="2"/>
  <c r="N216" i="2" s="1"/>
  <c r="I216" i="2"/>
  <c r="J216" i="2" s="1"/>
  <c r="AL215" i="2"/>
  <c r="AI215" i="2"/>
  <c r="AF215" i="2"/>
  <c r="AC215" i="2"/>
  <c r="Z215" i="2"/>
  <c r="W215" i="2"/>
  <c r="T215" i="2"/>
  <c r="Q215" i="2"/>
  <c r="M215" i="2"/>
  <c r="N215" i="2" s="1"/>
  <c r="I215" i="2"/>
  <c r="J215" i="2" s="1"/>
  <c r="AL214" i="2"/>
  <c r="AI214" i="2"/>
  <c r="AF214" i="2"/>
  <c r="AC214" i="2"/>
  <c r="Z214" i="2"/>
  <c r="W214" i="2"/>
  <c r="T214" i="2"/>
  <c r="Q214" i="2"/>
  <c r="M214" i="2"/>
  <c r="N214" i="2" s="1"/>
  <c r="I214" i="2"/>
  <c r="J214" i="2" s="1"/>
  <c r="AL213" i="2"/>
  <c r="AI213" i="2"/>
  <c r="AF213" i="2"/>
  <c r="AC213" i="2"/>
  <c r="Z213" i="2"/>
  <c r="W213" i="2"/>
  <c r="T213" i="2"/>
  <c r="Q213" i="2"/>
  <c r="M213" i="2"/>
  <c r="N213" i="2" s="1"/>
  <c r="I213" i="2"/>
  <c r="J213" i="2" s="1"/>
  <c r="AL212" i="2"/>
  <c r="AI212" i="2"/>
  <c r="AF212" i="2"/>
  <c r="AC212" i="2"/>
  <c r="Z212" i="2"/>
  <c r="W212" i="2"/>
  <c r="T212" i="2"/>
  <c r="Q212" i="2"/>
  <c r="M212" i="2"/>
  <c r="N212" i="2" s="1"/>
  <c r="I212" i="2"/>
  <c r="J212" i="2" s="1"/>
  <c r="AL211" i="2"/>
  <c r="AI211" i="2"/>
  <c r="AF211" i="2"/>
  <c r="AC211" i="2"/>
  <c r="Z211" i="2"/>
  <c r="W211" i="2"/>
  <c r="T211" i="2"/>
  <c r="Q211" i="2"/>
  <c r="M211" i="2"/>
  <c r="N211" i="2" s="1"/>
  <c r="I211" i="2"/>
  <c r="J211" i="2" s="1"/>
  <c r="AL210" i="2"/>
  <c r="AI210" i="2"/>
  <c r="AF210" i="2"/>
  <c r="AC210" i="2"/>
  <c r="Z210" i="2"/>
  <c r="W210" i="2"/>
  <c r="T210" i="2"/>
  <c r="Q210" i="2"/>
  <c r="M210" i="2"/>
  <c r="N210" i="2" s="1"/>
  <c r="I210" i="2"/>
  <c r="J210" i="2" s="1"/>
  <c r="AL209" i="2"/>
  <c r="AI209" i="2"/>
  <c r="AF209" i="2"/>
  <c r="AC209" i="2"/>
  <c r="Z209" i="2"/>
  <c r="W209" i="2"/>
  <c r="T209" i="2"/>
  <c r="Q209" i="2"/>
  <c r="M209" i="2"/>
  <c r="N209" i="2" s="1"/>
  <c r="I209" i="2"/>
  <c r="J209" i="2" s="1"/>
  <c r="AL208" i="2"/>
  <c r="AI208" i="2"/>
  <c r="AF208" i="2"/>
  <c r="AC208" i="2"/>
  <c r="Z208" i="2"/>
  <c r="W208" i="2"/>
  <c r="T208" i="2"/>
  <c r="Q208" i="2"/>
  <c r="M208" i="2"/>
  <c r="N208" i="2" s="1"/>
  <c r="I208" i="2"/>
  <c r="J208" i="2" s="1"/>
  <c r="AL207" i="2"/>
  <c r="AI207" i="2"/>
  <c r="AF207" i="2"/>
  <c r="AC207" i="2"/>
  <c r="Z207" i="2"/>
  <c r="W207" i="2"/>
  <c r="T207" i="2"/>
  <c r="Q207" i="2"/>
  <c r="M207" i="2"/>
  <c r="N207" i="2" s="1"/>
  <c r="I207" i="2"/>
  <c r="J207" i="2" s="1"/>
  <c r="AL206" i="2"/>
  <c r="AI206" i="2"/>
  <c r="AF206" i="2"/>
  <c r="AC206" i="2"/>
  <c r="Z206" i="2"/>
  <c r="W206" i="2"/>
  <c r="T206" i="2"/>
  <c r="Q206" i="2"/>
  <c r="M206" i="2"/>
  <c r="N206" i="2" s="1"/>
  <c r="I206" i="2"/>
  <c r="J206" i="2" s="1"/>
  <c r="AL205" i="2"/>
  <c r="AI205" i="2"/>
  <c r="AF205" i="2"/>
  <c r="AC205" i="2"/>
  <c r="Z205" i="2"/>
  <c r="W205" i="2"/>
  <c r="T205" i="2"/>
  <c r="Q205" i="2"/>
  <c r="M205" i="2"/>
  <c r="N205" i="2" s="1"/>
  <c r="I205" i="2"/>
  <c r="J205" i="2" s="1"/>
  <c r="AL204" i="2"/>
  <c r="AI204" i="2"/>
  <c r="AF204" i="2"/>
  <c r="AC204" i="2"/>
  <c r="Z204" i="2"/>
  <c r="W204" i="2"/>
  <c r="T204" i="2"/>
  <c r="Q204" i="2"/>
  <c r="M204" i="2"/>
  <c r="N204" i="2" s="1"/>
  <c r="I204" i="2"/>
  <c r="J204" i="2" s="1"/>
  <c r="AL203" i="2"/>
  <c r="AI203" i="2"/>
  <c r="AF203" i="2"/>
  <c r="AC203" i="2"/>
  <c r="Z203" i="2"/>
  <c r="W203" i="2"/>
  <c r="T203" i="2"/>
  <c r="Q203" i="2"/>
  <c r="M203" i="2"/>
  <c r="N203" i="2" s="1"/>
  <c r="I203" i="2"/>
  <c r="J203" i="2" s="1"/>
  <c r="AL202" i="2"/>
  <c r="AI202" i="2"/>
  <c r="AF202" i="2"/>
  <c r="AC202" i="2"/>
  <c r="Z202" i="2"/>
  <c r="W202" i="2"/>
  <c r="T202" i="2"/>
  <c r="Q202" i="2"/>
  <c r="M202" i="2"/>
  <c r="N202" i="2" s="1"/>
  <c r="I202" i="2"/>
  <c r="J202" i="2" s="1"/>
  <c r="AL201" i="2"/>
  <c r="AI201" i="2"/>
  <c r="AF201" i="2"/>
  <c r="AC201" i="2"/>
  <c r="Z201" i="2"/>
  <c r="W201" i="2"/>
  <c r="T201" i="2"/>
  <c r="Q201" i="2"/>
  <c r="M201" i="2"/>
  <c r="N201" i="2" s="1"/>
  <c r="I201" i="2"/>
  <c r="J201" i="2" s="1"/>
  <c r="AL200" i="2"/>
  <c r="AI200" i="2"/>
  <c r="AF200" i="2"/>
  <c r="AC200" i="2"/>
  <c r="Z200" i="2"/>
  <c r="W200" i="2"/>
  <c r="T200" i="2"/>
  <c r="Q200" i="2"/>
  <c r="M200" i="2"/>
  <c r="N200" i="2" s="1"/>
  <c r="I200" i="2"/>
  <c r="J200" i="2" s="1"/>
  <c r="AL199" i="2"/>
  <c r="AI199" i="2"/>
  <c r="AF199" i="2"/>
  <c r="AC199" i="2"/>
  <c r="Z199" i="2"/>
  <c r="W199" i="2"/>
  <c r="T199" i="2"/>
  <c r="Q199" i="2"/>
  <c r="M199" i="2"/>
  <c r="N199" i="2" s="1"/>
  <c r="I199" i="2"/>
  <c r="J199" i="2" s="1"/>
  <c r="AL198" i="2"/>
  <c r="AI198" i="2"/>
  <c r="AF198" i="2"/>
  <c r="AC198" i="2"/>
  <c r="Z198" i="2"/>
  <c r="W198" i="2"/>
  <c r="T198" i="2"/>
  <c r="Q198" i="2"/>
  <c r="M198" i="2"/>
  <c r="N198" i="2" s="1"/>
  <c r="I198" i="2"/>
  <c r="J198" i="2" s="1"/>
  <c r="AL197" i="2"/>
  <c r="AI197" i="2"/>
  <c r="AF197" i="2"/>
  <c r="AC197" i="2"/>
  <c r="Z197" i="2"/>
  <c r="W197" i="2"/>
  <c r="T197" i="2"/>
  <c r="Q197" i="2"/>
  <c r="M197" i="2"/>
  <c r="N197" i="2" s="1"/>
  <c r="I197" i="2"/>
  <c r="J197" i="2" s="1"/>
  <c r="AL196" i="2"/>
  <c r="AI196" i="2"/>
  <c r="AF196" i="2"/>
  <c r="AC196" i="2"/>
  <c r="Z196" i="2"/>
  <c r="W196" i="2"/>
  <c r="T196" i="2"/>
  <c r="Q196" i="2"/>
  <c r="M196" i="2"/>
  <c r="N196" i="2" s="1"/>
  <c r="I196" i="2"/>
  <c r="J196" i="2" s="1"/>
  <c r="AL195" i="2"/>
  <c r="AI195" i="2"/>
  <c r="AF195" i="2"/>
  <c r="AC195" i="2"/>
  <c r="Z195" i="2"/>
  <c r="W195" i="2"/>
  <c r="T195" i="2"/>
  <c r="Q195" i="2"/>
  <c r="M195" i="2"/>
  <c r="N195" i="2" s="1"/>
  <c r="I195" i="2"/>
  <c r="J195" i="2" s="1"/>
  <c r="AL194" i="2"/>
  <c r="AI194" i="2"/>
  <c r="AF194" i="2"/>
  <c r="AC194" i="2"/>
  <c r="Z194" i="2"/>
  <c r="W194" i="2"/>
  <c r="T194" i="2"/>
  <c r="Q194" i="2"/>
  <c r="M194" i="2"/>
  <c r="N194" i="2" s="1"/>
  <c r="I194" i="2"/>
  <c r="J194" i="2" s="1"/>
  <c r="AL193" i="2"/>
  <c r="AI193" i="2"/>
  <c r="AF193" i="2"/>
  <c r="AC193" i="2"/>
  <c r="Z193" i="2"/>
  <c r="W193" i="2"/>
  <c r="T193" i="2"/>
  <c r="Q193" i="2"/>
  <c r="M193" i="2"/>
  <c r="N193" i="2" s="1"/>
  <c r="I193" i="2"/>
  <c r="J193" i="2" s="1"/>
  <c r="AL192" i="2"/>
  <c r="AI192" i="2"/>
  <c r="AF192" i="2"/>
  <c r="AC192" i="2"/>
  <c r="Z192" i="2"/>
  <c r="W192" i="2"/>
  <c r="T192" i="2"/>
  <c r="Q192" i="2"/>
  <c r="M192" i="2"/>
  <c r="N192" i="2" s="1"/>
  <c r="I192" i="2"/>
  <c r="J192" i="2" s="1"/>
  <c r="AL191" i="2"/>
  <c r="AI191" i="2"/>
  <c r="AF191" i="2"/>
  <c r="AC191" i="2"/>
  <c r="Z191" i="2"/>
  <c r="W191" i="2"/>
  <c r="T191" i="2"/>
  <c r="Q191" i="2"/>
  <c r="M191" i="2"/>
  <c r="N191" i="2" s="1"/>
  <c r="I191" i="2"/>
  <c r="J191" i="2" s="1"/>
  <c r="AL190" i="2"/>
  <c r="AI190" i="2"/>
  <c r="AF190" i="2"/>
  <c r="AC190" i="2"/>
  <c r="Z190" i="2"/>
  <c r="W190" i="2"/>
  <c r="T190" i="2"/>
  <c r="Q190" i="2"/>
  <c r="M190" i="2"/>
  <c r="N190" i="2" s="1"/>
  <c r="I190" i="2"/>
  <c r="J190" i="2" s="1"/>
  <c r="AL189" i="2"/>
  <c r="AI189" i="2"/>
  <c r="AF189" i="2"/>
  <c r="AC189" i="2"/>
  <c r="Z189" i="2"/>
  <c r="W189" i="2"/>
  <c r="T189" i="2"/>
  <c r="Q189" i="2"/>
  <c r="M189" i="2"/>
  <c r="N189" i="2" s="1"/>
  <c r="I189" i="2"/>
  <c r="J189" i="2" s="1"/>
  <c r="AL188" i="2"/>
  <c r="AI188" i="2"/>
  <c r="AF188" i="2"/>
  <c r="AC188" i="2"/>
  <c r="Z188" i="2"/>
  <c r="W188" i="2"/>
  <c r="T188" i="2"/>
  <c r="Q188" i="2"/>
  <c r="M188" i="2"/>
  <c r="N188" i="2" s="1"/>
  <c r="I188" i="2"/>
  <c r="J188" i="2" s="1"/>
  <c r="AL187" i="2"/>
  <c r="AI187" i="2"/>
  <c r="AF187" i="2"/>
  <c r="AC187" i="2"/>
  <c r="Z187" i="2"/>
  <c r="W187" i="2"/>
  <c r="T187" i="2"/>
  <c r="Q187" i="2"/>
  <c r="M187" i="2"/>
  <c r="N187" i="2" s="1"/>
  <c r="I187" i="2"/>
  <c r="J187" i="2" s="1"/>
  <c r="AL186" i="2"/>
  <c r="AI186" i="2"/>
  <c r="AF186" i="2"/>
  <c r="AC186" i="2"/>
  <c r="Z186" i="2"/>
  <c r="W186" i="2"/>
  <c r="T186" i="2"/>
  <c r="Q186" i="2"/>
  <c r="M186" i="2"/>
  <c r="N186" i="2" s="1"/>
  <c r="I186" i="2"/>
  <c r="J186" i="2" s="1"/>
  <c r="AL185" i="2"/>
  <c r="AI185" i="2"/>
  <c r="AF185" i="2"/>
  <c r="AC185" i="2"/>
  <c r="Z185" i="2"/>
  <c r="W185" i="2"/>
  <c r="T185" i="2"/>
  <c r="Q185" i="2"/>
  <c r="M185" i="2"/>
  <c r="N185" i="2" s="1"/>
  <c r="I185" i="2"/>
  <c r="J185" i="2" s="1"/>
  <c r="AL184" i="2"/>
  <c r="AI184" i="2"/>
  <c r="AF184" i="2"/>
  <c r="AC184" i="2"/>
  <c r="Z184" i="2"/>
  <c r="W184" i="2"/>
  <c r="T184" i="2"/>
  <c r="Q184" i="2"/>
  <c r="M184" i="2"/>
  <c r="N184" i="2" s="1"/>
  <c r="I184" i="2"/>
  <c r="J184" i="2" s="1"/>
  <c r="AL183" i="2"/>
  <c r="AI183" i="2"/>
  <c r="AF183" i="2"/>
  <c r="AC183" i="2"/>
  <c r="Z183" i="2"/>
  <c r="W183" i="2"/>
  <c r="T183" i="2"/>
  <c r="Q183" i="2"/>
  <c r="M183" i="2"/>
  <c r="N183" i="2" s="1"/>
  <c r="I183" i="2"/>
  <c r="J183" i="2" s="1"/>
  <c r="AL182" i="2"/>
  <c r="AI182" i="2"/>
  <c r="AF182" i="2"/>
  <c r="AC182" i="2"/>
  <c r="Z182" i="2"/>
  <c r="W182" i="2"/>
  <c r="T182" i="2"/>
  <c r="Q182" i="2"/>
  <c r="M182" i="2"/>
  <c r="N182" i="2" s="1"/>
  <c r="I182" i="2"/>
  <c r="J182" i="2" s="1"/>
  <c r="AL181" i="2"/>
  <c r="AI181" i="2"/>
  <c r="AF181" i="2"/>
  <c r="AC181" i="2"/>
  <c r="Z181" i="2"/>
  <c r="W181" i="2"/>
  <c r="T181" i="2"/>
  <c r="Q181" i="2"/>
  <c r="M181" i="2"/>
  <c r="N181" i="2" s="1"/>
  <c r="I181" i="2"/>
  <c r="J181" i="2" s="1"/>
  <c r="AL180" i="2"/>
  <c r="AI180" i="2"/>
  <c r="AF180" i="2"/>
  <c r="AC180" i="2"/>
  <c r="Z180" i="2"/>
  <c r="W180" i="2"/>
  <c r="T180" i="2"/>
  <c r="Q180" i="2"/>
  <c r="M180" i="2"/>
  <c r="N180" i="2" s="1"/>
  <c r="I180" i="2"/>
  <c r="J180" i="2" s="1"/>
  <c r="AL179" i="2"/>
  <c r="AI179" i="2"/>
  <c r="AF179" i="2"/>
  <c r="AC179" i="2"/>
  <c r="Z179" i="2"/>
  <c r="W179" i="2"/>
  <c r="T179" i="2"/>
  <c r="Q179" i="2"/>
  <c r="M179" i="2"/>
  <c r="N179" i="2" s="1"/>
  <c r="I179" i="2"/>
  <c r="J179" i="2" s="1"/>
  <c r="AL178" i="2"/>
  <c r="AI178" i="2"/>
  <c r="AF178" i="2"/>
  <c r="AC178" i="2"/>
  <c r="Z178" i="2"/>
  <c r="W178" i="2"/>
  <c r="T178" i="2"/>
  <c r="Q178" i="2"/>
  <c r="M178" i="2"/>
  <c r="N178" i="2" s="1"/>
  <c r="I178" i="2"/>
  <c r="J178" i="2" s="1"/>
  <c r="AL177" i="2"/>
  <c r="AI177" i="2"/>
  <c r="AF177" i="2"/>
  <c r="AC177" i="2"/>
  <c r="Z177" i="2"/>
  <c r="W177" i="2"/>
  <c r="T177" i="2"/>
  <c r="Q177" i="2"/>
  <c r="M177" i="2"/>
  <c r="N177" i="2" s="1"/>
  <c r="I177" i="2"/>
  <c r="J177" i="2" s="1"/>
  <c r="AL176" i="2"/>
  <c r="AI176" i="2"/>
  <c r="AF176" i="2"/>
  <c r="AC176" i="2"/>
  <c r="Z176" i="2"/>
  <c r="W176" i="2"/>
  <c r="T176" i="2"/>
  <c r="Q176" i="2"/>
  <c r="M176" i="2"/>
  <c r="N176" i="2" s="1"/>
  <c r="I176" i="2"/>
  <c r="J176" i="2" s="1"/>
  <c r="AL175" i="2"/>
  <c r="AI175" i="2"/>
  <c r="AF175" i="2"/>
  <c r="AC175" i="2"/>
  <c r="Z175" i="2"/>
  <c r="W175" i="2"/>
  <c r="T175" i="2"/>
  <c r="Q175" i="2"/>
  <c r="M175" i="2"/>
  <c r="N175" i="2" s="1"/>
  <c r="I175" i="2"/>
  <c r="J175" i="2" s="1"/>
  <c r="AL174" i="2"/>
  <c r="AI174" i="2"/>
  <c r="AF174" i="2"/>
  <c r="AC174" i="2"/>
  <c r="Z174" i="2"/>
  <c r="W174" i="2"/>
  <c r="T174" i="2"/>
  <c r="Q174" i="2"/>
  <c r="M174" i="2"/>
  <c r="N174" i="2" s="1"/>
  <c r="I174" i="2"/>
  <c r="J174" i="2" s="1"/>
  <c r="AL173" i="2"/>
  <c r="AI173" i="2"/>
  <c r="AF173" i="2"/>
  <c r="AC173" i="2"/>
  <c r="Z173" i="2"/>
  <c r="W173" i="2"/>
  <c r="T173" i="2"/>
  <c r="Q173" i="2"/>
  <c r="M173" i="2"/>
  <c r="N173" i="2" s="1"/>
  <c r="I173" i="2"/>
  <c r="J173" i="2" s="1"/>
  <c r="AL172" i="2"/>
  <c r="AI172" i="2"/>
  <c r="AF172" i="2"/>
  <c r="AC172" i="2"/>
  <c r="Z172" i="2"/>
  <c r="W172" i="2"/>
  <c r="T172" i="2"/>
  <c r="Q172" i="2"/>
  <c r="M172" i="2"/>
  <c r="N172" i="2" s="1"/>
  <c r="I172" i="2"/>
  <c r="J172" i="2" s="1"/>
  <c r="AL171" i="2"/>
  <c r="AI171" i="2"/>
  <c r="AF171" i="2"/>
  <c r="AC171" i="2"/>
  <c r="Z171" i="2"/>
  <c r="W171" i="2"/>
  <c r="T171" i="2"/>
  <c r="Q171" i="2"/>
  <c r="M171" i="2"/>
  <c r="N171" i="2" s="1"/>
  <c r="I171" i="2"/>
  <c r="J171" i="2" s="1"/>
  <c r="AL170" i="2"/>
  <c r="AI170" i="2"/>
  <c r="AF170" i="2"/>
  <c r="AC170" i="2"/>
  <c r="Z170" i="2"/>
  <c r="W170" i="2"/>
  <c r="T170" i="2"/>
  <c r="Q170" i="2"/>
  <c r="M170" i="2"/>
  <c r="N170" i="2" s="1"/>
  <c r="I170" i="2"/>
  <c r="J170" i="2" s="1"/>
  <c r="AL169" i="2"/>
  <c r="AI169" i="2"/>
  <c r="AF169" i="2"/>
  <c r="AC169" i="2"/>
  <c r="Z169" i="2"/>
  <c r="W169" i="2"/>
  <c r="T169" i="2"/>
  <c r="Q169" i="2"/>
  <c r="M169" i="2"/>
  <c r="N169" i="2" s="1"/>
  <c r="I169" i="2"/>
  <c r="J169" i="2" s="1"/>
  <c r="AL168" i="2"/>
  <c r="AI168" i="2"/>
  <c r="AF168" i="2"/>
  <c r="AC168" i="2"/>
  <c r="Z168" i="2"/>
  <c r="W168" i="2"/>
  <c r="T168" i="2"/>
  <c r="Q168" i="2"/>
  <c r="M168" i="2"/>
  <c r="N168" i="2" s="1"/>
  <c r="I168" i="2"/>
  <c r="J168" i="2" s="1"/>
  <c r="AL167" i="2"/>
  <c r="AI167" i="2"/>
  <c r="AF167" i="2"/>
  <c r="AC167" i="2"/>
  <c r="Z167" i="2"/>
  <c r="W167" i="2"/>
  <c r="T167" i="2"/>
  <c r="Q167" i="2"/>
  <c r="M167" i="2"/>
  <c r="N167" i="2" s="1"/>
  <c r="I167" i="2"/>
  <c r="J167" i="2" s="1"/>
  <c r="AL166" i="2"/>
  <c r="AI166" i="2"/>
  <c r="AF166" i="2"/>
  <c r="AC166" i="2"/>
  <c r="Z166" i="2"/>
  <c r="W166" i="2"/>
  <c r="T166" i="2"/>
  <c r="Q166" i="2"/>
  <c r="M166" i="2"/>
  <c r="N166" i="2" s="1"/>
  <c r="I166" i="2"/>
  <c r="J166" i="2" s="1"/>
  <c r="AL165" i="2"/>
  <c r="AI165" i="2"/>
  <c r="AF165" i="2"/>
  <c r="AC165" i="2"/>
  <c r="Z165" i="2"/>
  <c r="W165" i="2"/>
  <c r="T165" i="2"/>
  <c r="Q165" i="2"/>
  <c r="M165" i="2"/>
  <c r="N165" i="2" s="1"/>
  <c r="I165" i="2"/>
  <c r="J165" i="2" s="1"/>
  <c r="AL164" i="2"/>
  <c r="AI164" i="2"/>
  <c r="AF164" i="2"/>
  <c r="AC164" i="2"/>
  <c r="Z164" i="2"/>
  <c r="W164" i="2"/>
  <c r="T164" i="2"/>
  <c r="Q164" i="2"/>
  <c r="AL163" i="2"/>
  <c r="AI163" i="2"/>
  <c r="AF163" i="2"/>
  <c r="AC163" i="2"/>
  <c r="Z163" i="2"/>
  <c r="W163" i="2"/>
  <c r="T163" i="2"/>
  <c r="Q163" i="2"/>
  <c r="M163" i="2"/>
  <c r="N163" i="2" s="1"/>
  <c r="I163" i="2"/>
  <c r="J163" i="2" s="1"/>
  <c r="AL162" i="2"/>
  <c r="AI162" i="2"/>
  <c r="AF162" i="2"/>
  <c r="AC162" i="2"/>
  <c r="Z162" i="2"/>
  <c r="W162" i="2"/>
  <c r="T162" i="2"/>
  <c r="Q162" i="2"/>
  <c r="M162" i="2"/>
  <c r="N162" i="2" s="1"/>
  <c r="I162" i="2"/>
  <c r="J162" i="2" s="1"/>
  <c r="AL161" i="2"/>
  <c r="AI161" i="2"/>
  <c r="AF161" i="2"/>
  <c r="AC161" i="2"/>
  <c r="Z161" i="2"/>
  <c r="W161" i="2"/>
  <c r="T161" i="2"/>
  <c r="Q161" i="2"/>
  <c r="M161" i="2"/>
  <c r="N161" i="2" s="1"/>
  <c r="I161" i="2"/>
  <c r="J161" i="2" s="1"/>
  <c r="AL160" i="2"/>
  <c r="AI160" i="2"/>
  <c r="AF160" i="2"/>
  <c r="AC160" i="2"/>
  <c r="Z160" i="2"/>
  <c r="W160" i="2"/>
  <c r="T160" i="2"/>
  <c r="Q160" i="2"/>
  <c r="M160" i="2"/>
  <c r="N160" i="2" s="1"/>
  <c r="I160" i="2"/>
  <c r="J160" i="2" s="1"/>
  <c r="AL159" i="2"/>
  <c r="AI159" i="2"/>
  <c r="AF159" i="2"/>
  <c r="AC159" i="2"/>
  <c r="Z159" i="2"/>
  <c r="W159" i="2"/>
  <c r="T159" i="2"/>
  <c r="Q159" i="2"/>
  <c r="M159" i="2"/>
  <c r="N159" i="2" s="1"/>
  <c r="I159" i="2"/>
  <c r="J159" i="2" s="1"/>
  <c r="AL158" i="2"/>
  <c r="AI158" i="2"/>
  <c r="AF158" i="2"/>
  <c r="AC158" i="2"/>
  <c r="Z158" i="2"/>
  <c r="W158" i="2"/>
  <c r="T158" i="2"/>
  <c r="Q158" i="2"/>
  <c r="M158" i="2"/>
  <c r="N158" i="2" s="1"/>
  <c r="I158" i="2"/>
  <c r="J158" i="2" s="1"/>
  <c r="AL157" i="2"/>
  <c r="AI157" i="2"/>
  <c r="AF157" i="2"/>
  <c r="AC157" i="2"/>
  <c r="Z157" i="2"/>
  <c r="W157" i="2"/>
  <c r="T157" i="2"/>
  <c r="Q157" i="2"/>
  <c r="M157" i="2"/>
  <c r="N157" i="2" s="1"/>
  <c r="I157" i="2"/>
  <c r="J157" i="2" s="1"/>
  <c r="AL156" i="2"/>
  <c r="AI156" i="2"/>
  <c r="AF156" i="2"/>
  <c r="AC156" i="2"/>
  <c r="Z156" i="2"/>
  <c r="W156" i="2"/>
  <c r="T156" i="2"/>
  <c r="Q156" i="2"/>
  <c r="M156" i="2"/>
  <c r="N156" i="2" s="1"/>
  <c r="I156" i="2"/>
  <c r="J156" i="2" s="1"/>
  <c r="AL155" i="2"/>
  <c r="AI155" i="2"/>
  <c r="AF155" i="2"/>
  <c r="AC155" i="2"/>
  <c r="Z155" i="2"/>
  <c r="W155" i="2"/>
  <c r="T155" i="2"/>
  <c r="Q155" i="2"/>
  <c r="M155" i="2"/>
  <c r="N155" i="2" s="1"/>
  <c r="I155" i="2"/>
  <c r="J155" i="2" s="1"/>
  <c r="AL154" i="2"/>
  <c r="AI154" i="2"/>
  <c r="AF154" i="2"/>
  <c r="AC154" i="2"/>
  <c r="Z154" i="2"/>
  <c r="W154" i="2"/>
  <c r="T154" i="2"/>
  <c r="Q154" i="2"/>
  <c r="M154" i="2"/>
  <c r="N154" i="2" s="1"/>
  <c r="I154" i="2"/>
  <c r="J154" i="2" s="1"/>
  <c r="AL153" i="2"/>
  <c r="AI153" i="2"/>
  <c r="AF153" i="2"/>
  <c r="AC153" i="2"/>
  <c r="Z153" i="2"/>
  <c r="W153" i="2"/>
  <c r="T153" i="2"/>
  <c r="Q153" i="2"/>
  <c r="M153" i="2"/>
  <c r="N153" i="2" s="1"/>
  <c r="I153" i="2"/>
  <c r="J153" i="2" s="1"/>
  <c r="AL152" i="2"/>
  <c r="AI152" i="2"/>
  <c r="AF152" i="2"/>
  <c r="AC152" i="2"/>
  <c r="Z152" i="2"/>
  <c r="W152" i="2"/>
  <c r="T152" i="2"/>
  <c r="Q152" i="2"/>
  <c r="M152" i="2"/>
  <c r="N152" i="2" s="1"/>
  <c r="I152" i="2"/>
  <c r="J152" i="2" s="1"/>
  <c r="AL151" i="2"/>
  <c r="AI151" i="2"/>
  <c r="AF151" i="2"/>
  <c r="AC151" i="2"/>
  <c r="Z151" i="2"/>
  <c r="W151" i="2"/>
  <c r="T151" i="2"/>
  <c r="Q151" i="2"/>
  <c r="M151" i="2"/>
  <c r="N151" i="2" s="1"/>
  <c r="I151" i="2"/>
  <c r="J151" i="2" s="1"/>
  <c r="AL150" i="2"/>
  <c r="AI150" i="2"/>
  <c r="AF150" i="2"/>
  <c r="AC150" i="2"/>
  <c r="Z150" i="2"/>
  <c r="W150" i="2"/>
  <c r="T150" i="2"/>
  <c r="Q150" i="2"/>
  <c r="M150" i="2"/>
  <c r="N150" i="2" s="1"/>
  <c r="I150" i="2"/>
  <c r="J150" i="2" s="1"/>
  <c r="AL149" i="2"/>
  <c r="AI149" i="2"/>
  <c r="AF149" i="2"/>
  <c r="AC149" i="2"/>
  <c r="Z149" i="2"/>
  <c r="W149" i="2"/>
  <c r="T149" i="2"/>
  <c r="Q149" i="2"/>
  <c r="M149" i="2"/>
  <c r="N149" i="2" s="1"/>
  <c r="I149" i="2"/>
  <c r="J149" i="2" s="1"/>
  <c r="AL148" i="2"/>
  <c r="AI148" i="2"/>
  <c r="AF148" i="2"/>
  <c r="AC148" i="2"/>
  <c r="Z148" i="2"/>
  <c r="W148" i="2"/>
  <c r="T148" i="2"/>
  <c r="Q148" i="2"/>
  <c r="M148" i="2"/>
  <c r="N148" i="2" s="1"/>
  <c r="I148" i="2"/>
  <c r="J148" i="2" s="1"/>
  <c r="AL147" i="2"/>
  <c r="AI147" i="2"/>
  <c r="AF147" i="2"/>
  <c r="AC147" i="2"/>
  <c r="Z147" i="2"/>
  <c r="W147" i="2"/>
  <c r="T147" i="2"/>
  <c r="Q147" i="2"/>
  <c r="M147" i="2"/>
  <c r="N147" i="2" s="1"/>
  <c r="I147" i="2"/>
  <c r="J147" i="2" s="1"/>
  <c r="AL146" i="2"/>
  <c r="AI146" i="2"/>
  <c r="AF146" i="2"/>
  <c r="AC146" i="2"/>
  <c r="Z146" i="2"/>
  <c r="W146" i="2"/>
  <c r="T146" i="2"/>
  <c r="Q146" i="2"/>
  <c r="M146" i="2"/>
  <c r="N146" i="2" s="1"/>
  <c r="I146" i="2"/>
  <c r="J146" i="2" s="1"/>
  <c r="AL145" i="2"/>
  <c r="AI145" i="2"/>
  <c r="AF145" i="2"/>
  <c r="AC145" i="2"/>
  <c r="Z145" i="2"/>
  <c r="W145" i="2"/>
  <c r="T145" i="2"/>
  <c r="Q145" i="2"/>
  <c r="M145" i="2"/>
  <c r="N145" i="2" s="1"/>
  <c r="I145" i="2"/>
  <c r="J145" i="2" s="1"/>
  <c r="AL144" i="2"/>
  <c r="AI144" i="2"/>
  <c r="AF144" i="2"/>
  <c r="AC144" i="2"/>
  <c r="Z144" i="2"/>
  <c r="W144" i="2"/>
  <c r="T144" i="2"/>
  <c r="Q144" i="2"/>
  <c r="M144" i="2"/>
  <c r="N144" i="2" s="1"/>
  <c r="I144" i="2"/>
  <c r="J144" i="2" s="1"/>
  <c r="AL143" i="2"/>
  <c r="AI143" i="2"/>
  <c r="AF143" i="2"/>
  <c r="AC143" i="2"/>
  <c r="Z143" i="2"/>
  <c r="W143" i="2"/>
  <c r="T143" i="2"/>
  <c r="Q143" i="2"/>
  <c r="M143" i="2"/>
  <c r="N143" i="2" s="1"/>
  <c r="I143" i="2"/>
  <c r="J143" i="2" s="1"/>
  <c r="AL142" i="2"/>
  <c r="AI142" i="2"/>
  <c r="AF142" i="2"/>
  <c r="AC142" i="2"/>
  <c r="Z142" i="2"/>
  <c r="W142" i="2"/>
  <c r="T142" i="2"/>
  <c r="Q142" i="2"/>
  <c r="M142" i="2"/>
  <c r="N142" i="2" s="1"/>
  <c r="I142" i="2"/>
  <c r="J142" i="2" s="1"/>
  <c r="AL141" i="2"/>
  <c r="AI141" i="2"/>
  <c r="AF141" i="2"/>
  <c r="AC141" i="2"/>
  <c r="Z141" i="2"/>
  <c r="W141" i="2"/>
  <c r="T141" i="2"/>
  <c r="Q141" i="2"/>
  <c r="M141" i="2"/>
  <c r="N141" i="2" s="1"/>
  <c r="I141" i="2"/>
  <c r="J141" i="2" s="1"/>
  <c r="AL140" i="2"/>
  <c r="AI140" i="2"/>
  <c r="AF140" i="2"/>
  <c r="AC140" i="2"/>
  <c r="Z140" i="2"/>
  <c r="W140" i="2"/>
  <c r="T140" i="2"/>
  <c r="Q140" i="2"/>
  <c r="M140" i="2"/>
  <c r="N140" i="2" s="1"/>
  <c r="I140" i="2"/>
  <c r="J140" i="2" s="1"/>
  <c r="AL139" i="2"/>
  <c r="AI139" i="2"/>
  <c r="AF139" i="2"/>
  <c r="AC139" i="2"/>
  <c r="Z139" i="2"/>
  <c r="W139" i="2"/>
  <c r="T139" i="2"/>
  <c r="Q139" i="2"/>
  <c r="M139" i="2"/>
  <c r="N139" i="2" s="1"/>
  <c r="I139" i="2"/>
  <c r="J139" i="2" s="1"/>
  <c r="AL138" i="2"/>
  <c r="AI138" i="2"/>
  <c r="AF138" i="2"/>
  <c r="AC138" i="2"/>
  <c r="Z138" i="2"/>
  <c r="W138" i="2"/>
  <c r="T138" i="2"/>
  <c r="Q138" i="2"/>
  <c r="M138" i="2"/>
  <c r="N138" i="2" s="1"/>
  <c r="I138" i="2"/>
  <c r="J138" i="2" s="1"/>
  <c r="AL137" i="2"/>
  <c r="AI137" i="2"/>
  <c r="AF137" i="2"/>
  <c r="AC137" i="2"/>
  <c r="Z137" i="2"/>
  <c r="W137" i="2"/>
  <c r="T137" i="2"/>
  <c r="Q137" i="2"/>
  <c r="M137" i="2"/>
  <c r="N137" i="2" s="1"/>
  <c r="I137" i="2"/>
  <c r="J137" i="2" s="1"/>
  <c r="AL136" i="2"/>
  <c r="AI136" i="2"/>
  <c r="AF136" i="2"/>
  <c r="AC136" i="2"/>
  <c r="Z136" i="2"/>
  <c r="W136" i="2"/>
  <c r="T136" i="2"/>
  <c r="Q136" i="2"/>
  <c r="M136" i="2"/>
  <c r="N136" i="2" s="1"/>
  <c r="I136" i="2"/>
  <c r="J136" i="2" s="1"/>
  <c r="AL135" i="2"/>
  <c r="AI135" i="2"/>
  <c r="AF135" i="2"/>
  <c r="AC135" i="2"/>
  <c r="Z135" i="2"/>
  <c r="W135" i="2"/>
  <c r="T135" i="2"/>
  <c r="Q135" i="2"/>
  <c r="M135" i="2"/>
  <c r="N135" i="2" s="1"/>
  <c r="I135" i="2"/>
  <c r="J135" i="2" s="1"/>
  <c r="AL134" i="2"/>
  <c r="AI134" i="2"/>
  <c r="AF134" i="2"/>
  <c r="AC134" i="2"/>
  <c r="Z134" i="2"/>
  <c r="W134" i="2"/>
  <c r="T134" i="2"/>
  <c r="Q134" i="2"/>
  <c r="M134" i="2"/>
  <c r="N134" i="2" s="1"/>
  <c r="I134" i="2"/>
  <c r="J134" i="2" s="1"/>
  <c r="AL133" i="2"/>
  <c r="AI133" i="2"/>
  <c r="AF133" i="2"/>
  <c r="AC133" i="2"/>
  <c r="Z133" i="2"/>
  <c r="W133" i="2"/>
  <c r="T133" i="2"/>
  <c r="Q133" i="2"/>
  <c r="M133" i="2"/>
  <c r="N133" i="2" s="1"/>
  <c r="I133" i="2"/>
  <c r="J133" i="2" s="1"/>
  <c r="AL132" i="2"/>
  <c r="AI132" i="2"/>
  <c r="AF132" i="2"/>
  <c r="AC132" i="2"/>
  <c r="Z132" i="2"/>
  <c r="W132" i="2"/>
  <c r="T132" i="2"/>
  <c r="Q132" i="2"/>
  <c r="M132" i="2"/>
  <c r="N132" i="2" s="1"/>
  <c r="I132" i="2"/>
  <c r="J132" i="2" s="1"/>
  <c r="AL131" i="2"/>
  <c r="AI131" i="2"/>
  <c r="AF131" i="2"/>
  <c r="AC131" i="2"/>
  <c r="Z131" i="2"/>
  <c r="W131" i="2"/>
  <c r="T131" i="2"/>
  <c r="Q131" i="2"/>
  <c r="M131" i="2"/>
  <c r="N131" i="2" s="1"/>
  <c r="I131" i="2"/>
  <c r="J131" i="2" s="1"/>
  <c r="AL130" i="2"/>
  <c r="AI130" i="2"/>
  <c r="AF130" i="2"/>
  <c r="AC130" i="2"/>
  <c r="Z130" i="2"/>
  <c r="W130" i="2"/>
  <c r="T130" i="2"/>
  <c r="Q130" i="2"/>
  <c r="M130" i="2"/>
  <c r="N130" i="2" s="1"/>
  <c r="I130" i="2"/>
  <c r="J130" i="2" s="1"/>
  <c r="AL129" i="2"/>
  <c r="AI129" i="2"/>
  <c r="AF129" i="2"/>
  <c r="AC129" i="2"/>
  <c r="Z129" i="2"/>
  <c r="W129" i="2"/>
  <c r="T129" i="2"/>
  <c r="Q129" i="2"/>
  <c r="M129" i="2"/>
  <c r="N129" i="2" s="1"/>
  <c r="I129" i="2"/>
  <c r="J129" i="2" s="1"/>
  <c r="AL128" i="2"/>
  <c r="AI128" i="2"/>
  <c r="AF128" i="2"/>
  <c r="AC128" i="2"/>
  <c r="Z128" i="2"/>
  <c r="W128" i="2"/>
  <c r="T128" i="2"/>
  <c r="Q128" i="2"/>
  <c r="M128" i="2"/>
  <c r="N128" i="2" s="1"/>
  <c r="I128" i="2"/>
  <c r="J128" i="2" s="1"/>
  <c r="AL127" i="2"/>
  <c r="AI127" i="2"/>
  <c r="AF127" i="2"/>
  <c r="AC127" i="2"/>
  <c r="Z127" i="2"/>
  <c r="W127" i="2"/>
  <c r="T127" i="2"/>
  <c r="Q127" i="2"/>
  <c r="M127" i="2"/>
  <c r="N127" i="2" s="1"/>
  <c r="I127" i="2"/>
  <c r="J127" i="2" s="1"/>
  <c r="AL126" i="2"/>
  <c r="AI126" i="2"/>
  <c r="AF126" i="2"/>
  <c r="AC126" i="2"/>
  <c r="Z126" i="2"/>
  <c r="W126" i="2"/>
  <c r="T126" i="2"/>
  <c r="Q126" i="2"/>
  <c r="M126" i="2"/>
  <c r="N126" i="2" s="1"/>
  <c r="I126" i="2"/>
  <c r="J126" i="2" s="1"/>
  <c r="AL125" i="2"/>
  <c r="AI125" i="2"/>
  <c r="AF125" i="2"/>
  <c r="AC125" i="2"/>
  <c r="Z125" i="2"/>
  <c r="W125" i="2"/>
  <c r="T125" i="2"/>
  <c r="Q125" i="2"/>
  <c r="M125" i="2"/>
  <c r="N125" i="2" s="1"/>
  <c r="I125" i="2"/>
  <c r="J125" i="2" s="1"/>
  <c r="AL124" i="2"/>
  <c r="AI124" i="2"/>
  <c r="AF124" i="2"/>
  <c r="AC124" i="2"/>
  <c r="Z124" i="2"/>
  <c r="W124" i="2"/>
  <c r="T124" i="2"/>
  <c r="Q124" i="2"/>
  <c r="M124" i="2"/>
  <c r="N124" i="2" s="1"/>
  <c r="I124" i="2"/>
  <c r="J124" i="2" s="1"/>
  <c r="AL123" i="2"/>
  <c r="AI123" i="2"/>
  <c r="AF123" i="2"/>
  <c r="AC123" i="2"/>
  <c r="Z123" i="2"/>
  <c r="W123" i="2"/>
  <c r="T123" i="2"/>
  <c r="Q123" i="2"/>
  <c r="M123" i="2"/>
  <c r="N123" i="2" s="1"/>
  <c r="I123" i="2"/>
  <c r="J123" i="2" s="1"/>
  <c r="AL122" i="2"/>
  <c r="AI122" i="2"/>
  <c r="AF122" i="2"/>
  <c r="AC122" i="2"/>
  <c r="Z122" i="2"/>
  <c r="W122" i="2"/>
  <c r="T122" i="2"/>
  <c r="Q122" i="2"/>
  <c r="M122" i="2"/>
  <c r="N122" i="2" s="1"/>
  <c r="I122" i="2"/>
  <c r="J122" i="2" s="1"/>
  <c r="AL121" i="2"/>
  <c r="AI121" i="2"/>
  <c r="AF121" i="2"/>
  <c r="AC121" i="2"/>
  <c r="Z121" i="2"/>
  <c r="W121" i="2"/>
  <c r="T121" i="2"/>
  <c r="Q121" i="2"/>
  <c r="M121" i="2"/>
  <c r="N121" i="2" s="1"/>
  <c r="I121" i="2"/>
  <c r="J121" i="2" s="1"/>
  <c r="AL120" i="2"/>
  <c r="AI120" i="2"/>
  <c r="AF120" i="2"/>
  <c r="AC120" i="2"/>
  <c r="Z120" i="2"/>
  <c r="W120" i="2"/>
  <c r="T120" i="2"/>
  <c r="Q120" i="2"/>
  <c r="M120" i="2"/>
  <c r="N120" i="2" s="1"/>
  <c r="I120" i="2"/>
  <c r="J120" i="2" s="1"/>
  <c r="AL119" i="2"/>
  <c r="AI119" i="2"/>
  <c r="AF119" i="2"/>
  <c r="AC119" i="2"/>
  <c r="Z119" i="2"/>
  <c r="W119" i="2"/>
  <c r="T119" i="2"/>
  <c r="Q119" i="2"/>
  <c r="M119" i="2"/>
  <c r="N119" i="2" s="1"/>
  <c r="I119" i="2"/>
  <c r="J119" i="2" s="1"/>
  <c r="AL118" i="2"/>
  <c r="AI118" i="2"/>
  <c r="AF118" i="2"/>
  <c r="AC118" i="2"/>
  <c r="Z118" i="2"/>
  <c r="W118" i="2"/>
  <c r="T118" i="2"/>
  <c r="Q118" i="2"/>
  <c r="M118" i="2"/>
  <c r="N118" i="2" s="1"/>
  <c r="I118" i="2"/>
  <c r="J118" i="2" s="1"/>
  <c r="AL117" i="2"/>
  <c r="AI117" i="2"/>
  <c r="AF117" i="2"/>
  <c r="AC117" i="2"/>
  <c r="Z117" i="2"/>
  <c r="W117" i="2"/>
  <c r="T117" i="2"/>
  <c r="Q117" i="2"/>
  <c r="M117" i="2"/>
  <c r="N117" i="2" s="1"/>
  <c r="I117" i="2"/>
  <c r="J117" i="2" s="1"/>
  <c r="AL116" i="2"/>
  <c r="AI116" i="2"/>
  <c r="AF116" i="2"/>
  <c r="AC116" i="2"/>
  <c r="Z116" i="2"/>
  <c r="W116" i="2"/>
  <c r="T116" i="2"/>
  <c r="Q116" i="2"/>
  <c r="M116" i="2"/>
  <c r="N116" i="2" s="1"/>
  <c r="I116" i="2"/>
  <c r="J116" i="2" s="1"/>
  <c r="AL115" i="2"/>
  <c r="AI115" i="2"/>
  <c r="AF115" i="2"/>
  <c r="AC115" i="2"/>
  <c r="Z115" i="2"/>
  <c r="W115" i="2"/>
  <c r="T115" i="2"/>
  <c r="Q115" i="2"/>
  <c r="M115" i="2"/>
  <c r="N115" i="2" s="1"/>
  <c r="I115" i="2"/>
  <c r="J115" i="2" s="1"/>
  <c r="AL114" i="2"/>
  <c r="AI114" i="2"/>
  <c r="AF114" i="2"/>
  <c r="AC114" i="2"/>
  <c r="Z114" i="2"/>
  <c r="W114" i="2"/>
  <c r="T114" i="2"/>
  <c r="Q114" i="2"/>
  <c r="M114" i="2"/>
  <c r="N114" i="2" s="1"/>
  <c r="I114" i="2"/>
  <c r="J114" i="2" s="1"/>
  <c r="AL113" i="2"/>
  <c r="AI113" i="2"/>
  <c r="AF113" i="2"/>
  <c r="AC113" i="2"/>
  <c r="Z113" i="2"/>
  <c r="W113" i="2"/>
  <c r="T113" i="2"/>
  <c r="Q113" i="2"/>
  <c r="M113" i="2"/>
  <c r="N113" i="2" s="1"/>
  <c r="I113" i="2"/>
  <c r="J113" i="2" s="1"/>
  <c r="AL112" i="2"/>
  <c r="AI112" i="2"/>
  <c r="AF112" i="2"/>
  <c r="AC112" i="2"/>
  <c r="Z112" i="2"/>
  <c r="W112" i="2"/>
  <c r="T112" i="2"/>
  <c r="Q112" i="2"/>
  <c r="M112" i="2"/>
  <c r="N112" i="2" s="1"/>
  <c r="I112" i="2"/>
  <c r="J112" i="2" s="1"/>
  <c r="AL111" i="2"/>
  <c r="AI111" i="2"/>
  <c r="AF111" i="2"/>
  <c r="AC111" i="2"/>
  <c r="Z111" i="2"/>
  <c r="W111" i="2"/>
  <c r="T111" i="2"/>
  <c r="Q111" i="2"/>
  <c r="M111" i="2"/>
  <c r="N111" i="2" s="1"/>
  <c r="I111" i="2"/>
  <c r="J111" i="2" s="1"/>
  <c r="AL110" i="2"/>
  <c r="AI110" i="2"/>
  <c r="AF110" i="2"/>
  <c r="AC110" i="2"/>
  <c r="Z110" i="2"/>
  <c r="W110" i="2"/>
  <c r="T110" i="2"/>
  <c r="Q110" i="2"/>
  <c r="M110" i="2"/>
  <c r="N110" i="2" s="1"/>
  <c r="I110" i="2"/>
  <c r="J110" i="2" s="1"/>
  <c r="AL109" i="2"/>
  <c r="AI109" i="2"/>
  <c r="AF109" i="2"/>
  <c r="AC109" i="2"/>
  <c r="Z109" i="2"/>
  <c r="W109" i="2"/>
  <c r="T109" i="2"/>
  <c r="Q109" i="2"/>
  <c r="M109" i="2"/>
  <c r="N109" i="2" s="1"/>
  <c r="I109" i="2"/>
  <c r="J109" i="2" s="1"/>
  <c r="AL108" i="2"/>
  <c r="AI108" i="2"/>
  <c r="AF108" i="2"/>
  <c r="AC108" i="2"/>
  <c r="Z108" i="2"/>
  <c r="W108" i="2"/>
  <c r="T108" i="2"/>
  <c r="Q108" i="2"/>
  <c r="M108" i="2"/>
  <c r="N108" i="2" s="1"/>
  <c r="I108" i="2"/>
  <c r="J108" i="2" s="1"/>
  <c r="AL107" i="2"/>
  <c r="AI107" i="2"/>
  <c r="AF107" i="2"/>
  <c r="AC107" i="2"/>
  <c r="Z107" i="2"/>
  <c r="W107" i="2"/>
  <c r="T107" i="2"/>
  <c r="Q107" i="2"/>
  <c r="M107" i="2"/>
  <c r="N107" i="2" s="1"/>
  <c r="I107" i="2"/>
  <c r="J107" i="2" s="1"/>
  <c r="AL106" i="2"/>
  <c r="AI106" i="2"/>
  <c r="AF106" i="2"/>
  <c r="AC106" i="2"/>
  <c r="Z106" i="2"/>
  <c r="W106" i="2"/>
  <c r="T106" i="2"/>
  <c r="Q106" i="2"/>
  <c r="M106" i="2"/>
  <c r="N106" i="2" s="1"/>
  <c r="I106" i="2"/>
  <c r="J106" i="2" s="1"/>
  <c r="AL105" i="2"/>
  <c r="AI105" i="2"/>
  <c r="AF105" i="2"/>
  <c r="AC105" i="2"/>
  <c r="Z105" i="2"/>
  <c r="W105" i="2"/>
  <c r="T105" i="2"/>
  <c r="Q105" i="2"/>
  <c r="M105" i="2"/>
  <c r="N105" i="2" s="1"/>
  <c r="I105" i="2"/>
  <c r="J105" i="2" s="1"/>
  <c r="AL104" i="2"/>
  <c r="AI104" i="2"/>
  <c r="AF104" i="2"/>
  <c r="AC104" i="2"/>
  <c r="Z104" i="2"/>
  <c r="W104" i="2"/>
  <c r="T104" i="2"/>
  <c r="Q104" i="2"/>
  <c r="M104" i="2"/>
  <c r="N104" i="2" s="1"/>
  <c r="I104" i="2"/>
  <c r="J104" i="2" s="1"/>
  <c r="AL103" i="2"/>
  <c r="AI103" i="2"/>
  <c r="AF103" i="2"/>
  <c r="AC103" i="2"/>
  <c r="Z103" i="2"/>
  <c r="W103" i="2"/>
  <c r="T103" i="2"/>
  <c r="Q103" i="2"/>
  <c r="M103" i="2"/>
  <c r="N103" i="2" s="1"/>
  <c r="I103" i="2"/>
  <c r="J103" i="2" s="1"/>
  <c r="AL102" i="2"/>
  <c r="AI102" i="2"/>
  <c r="AF102" i="2"/>
  <c r="AC102" i="2"/>
  <c r="Z102" i="2"/>
  <c r="W102" i="2"/>
  <c r="T102" i="2"/>
  <c r="Q102" i="2"/>
  <c r="M102" i="2"/>
  <c r="N102" i="2" s="1"/>
  <c r="I102" i="2"/>
  <c r="J102" i="2" s="1"/>
  <c r="AL101" i="2"/>
  <c r="AI101" i="2"/>
  <c r="AF101" i="2"/>
  <c r="AC101" i="2"/>
  <c r="Z101" i="2"/>
  <c r="W101" i="2"/>
  <c r="T101" i="2"/>
  <c r="Q101" i="2"/>
  <c r="M101" i="2"/>
  <c r="N101" i="2" s="1"/>
  <c r="AL100" i="2"/>
  <c r="AI100" i="2"/>
  <c r="AF100" i="2"/>
  <c r="AC100" i="2"/>
  <c r="Z100" i="2"/>
  <c r="W100" i="2"/>
  <c r="T100" i="2"/>
  <c r="Q100" i="2"/>
  <c r="M100" i="2"/>
  <c r="N100" i="2" s="1"/>
  <c r="I100" i="2"/>
  <c r="J100" i="2" s="1"/>
  <c r="AL99" i="2"/>
  <c r="AI99" i="2"/>
  <c r="AF99" i="2"/>
  <c r="AC99" i="2"/>
  <c r="Z99" i="2"/>
  <c r="W99" i="2"/>
  <c r="T99" i="2"/>
  <c r="Q99" i="2"/>
  <c r="M99" i="2"/>
  <c r="N99" i="2" s="1"/>
  <c r="I99" i="2"/>
  <c r="J99" i="2" s="1"/>
  <c r="AL98" i="2"/>
  <c r="AI98" i="2"/>
  <c r="AF98" i="2"/>
  <c r="AC98" i="2"/>
  <c r="Z98" i="2"/>
  <c r="W98" i="2"/>
  <c r="T98" i="2"/>
  <c r="Q98" i="2"/>
  <c r="M98" i="2"/>
  <c r="N98" i="2" s="1"/>
  <c r="I98" i="2"/>
  <c r="J98" i="2" s="1"/>
  <c r="AL97" i="2"/>
  <c r="AI97" i="2"/>
  <c r="AF97" i="2"/>
  <c r="AC97" i="2"/>
  <c r="Z97" i="2"/>
  <c r="W97" i="2"/>
  <c r="T97" i="2"/>
  <c r="Q97" i="2"/>
  <c r="M97" i="2"/>
  <c r="N97" i="2" s="1"/>
  <c r="I97" i="2"/>
  <c r="J97" i="2" s="1"/>
  <c r="AL96" i="2"/>
  <c r="AI96" i="2"/>
  <c r="AF96" i="2"/>
  <c r="AC96" i="2"/>
  <c r="Z96" i="2"/>
  <c r="W96" i="2"/>
  <c r="T96" i="2"/>
  <c r="Q96" i="2"/>
  <c r="M96" i="2"/>
  <c r="N96" i="2" s="1"/>
  <c r="I96" i="2"/>
  <c r="J96" i="2" s="1"/>
  <c r="AL95" i="2"/>
  <c r="AI95" i="2"/>
  <c r="AF95" i="2"/>
  <c r="AC95" i="2"/>
  <c r="Z95" i="2"/>
  <c r="W95" i="2"/>
  <c r="T95" i="2"/>
  <c r="Q95" i="2"/>
  <c r="M95" i="2"/>
  <c r="N95" i="2" s="1"/>
  <c r="I95" i="2"/>
  <c r="J95" i="2" s="1"/>
  <c r="AL94" i="2"/>
  <c r="AI94" i="2"/>
  <c r="AF94" i="2"/>
  <c r="AC94" i="2"/>
  <c r="Z94" i="2"/>
  <c r="W94" i="2"/>
  <c r="T94" i="2"/>
  <c r="Q94" i="2"/>
  <c r="M94" i="2"/>
  <c r="N94" i="2" s="1"/>
  <c r="I94" i="2"/>
  <c r="J94" i="2" s="1"/>
  <c r="AL93" i="2"/>
  <c r="AI93" i="2"/>
  <c r="AF93" i="2"/>
  <c r="AC93" i="2"/>
  <c r="Z93" i="2"/>
  <c r="W93" i="2"/>
  <c r="T93" i="2"/>
  <c r="Q93" i="2"/>
  <c r="M93" i="2"/>
  <c r="N93" i="2" s="1"/>
  <c r="I93" i="2"/>
  <c r="J93" i="2" s="1"/>
  <c r="AL92" i="2"/>
  <c r="AI92" i="2"/>
  <c r="AF92" i="2"/>
  <c r="AC92" i="2"/>
  <c r="Z92" i="2"/>
  <c r="W92" i="2"/>
  <c r="T92" i="2"/>
  <c r="Q92" i="2"/>
  <c r="M92" i="2"/>
  <c r="N92" i="2" s="1"/>
  <c r="I92" i="2"/>
  <c r="J92" i="2" s="1"/>
  <c r="AL91" i="2"/>
  <c r="AI91" i="2"/>
  <c r="AF91" i="2"/>
  <c r="AC91" i="2"/>
  <c r="Z91" i="2"/>
  <c r="W91" i="2"/>
  <c r="T91" i="2"/>
  <c r="Q91" i="2"/>
  <c r="M91" i="2"/>
  <c r="N91" i="2" s="1"/>
  <c r="I91" i="2"/>
  <c r="J91" i="2" s="1"/>
  <c r="AL90" i="2"/>
  <c r="AI90" i="2"/>
  <c r="AF90" i="2"/>
  <c r="AC90" i="2"/>
  <c r="Z90" i="2"/>
  <c r="W90" i="2"/>
  <c r="T90" i="2"/>
  <c r="Q90" i="2"/>
  <c r="M90" i="2"/>
  <c r="N90" i="2" s="1"/>
  <c r="I90" i="2"/>
  <c r="J90" i="2" s="1"/>
  <c r="AL89" i="2"/>
  <c r="AI89" i="2"/>
  <c r="AF89" i="2"/>
  <c r="AC89" i="2"/>
  <c r="Z89" i="2"/>
  <c r="W89" i="2"/>
  <c r="T89" i="2"/>
  <c r="Q89" i="2"/>
  <c r="M89" i="2"/>
  <c r="N89" i="2" s="1"/>
  <c r="I89" i="2"/>
  <c r="J89" i="2" s="1"/>
  <c r="AL88" i="2"/>
  <c r="AI88" i="2"/>
  <c r="AF88" i="2"/>
  <c r="AC88" i="2"/>
  <c r="Z88" i="2"/>
  <c r="W88" i="2"/>
  <c r="T88" i="2"/>
  <c r="Q88" i="2"/>
  <c r="M88" i="2"/>
  <c r="N88" i="2" s="1"/>
  <c r="I88" i="2"/>
  <c r="J88" i="2" s="1"/>
  <c r="AL87" i="2"/>
  <c r="AI87" i="2"/>
  <c r="AF87" i="2"/>
  <c r="AC87" i="2"/>
  <c r="Z87" i="2"/>
  <c r="W87" i="2"/>
  <c r="T87" i="2"/>
  <c r="Q87" i="2"/>
  <c r="M87" i="2"/>
  <c r="N87" i="2" s="1"/>
  <c r="I87" i="2"/>
  <c r="J87" i="2" s="1"/>
  <c r="AL86" i="2"/>
  <c r="AI86" i="2"/>
  <c r="AF86" i="2"/>
  <c r="AC86" i="2"/>
  <c r="Z86" i="2"/>
  <c r="W86" i="2"/>
  <c r="T86" i="2"/>
  <c r="Q86" i="2"/>
  <c r="M86" i="2"/>
  <c r="N86" i="2" s="1"/>
  <c r="I86" i="2"/>
  <c r="J86" i="2" s="1"/>
  <c r="AL85" i="2"/>
  <c r="AI85" i="2"/>
  <c r="AF85" i="2"/>
  <c r="AC85" i="2"/>
  <c r="Z85" i="2"/>
  <c r="W85" i="2"/>
  <c r="T85" i="2"/>
  <c r="Q85" i="2"/>
  <c r="M85" i="2"/>
  <c r="N85" i="2" s="1"/>
  <c r="I85" i="2"/>
  <c r="J85" i="2" s="1"/>
  <c r="AL84" i="2"/>
  <c r="AI84" i="2"/>
  <c r="AF84" i="2"/>
  <c r="AC84" i="2"/>
  <c r="Z84" i="2"/>
  <c r="W84" i="2"/>
  <c r="T84" i="2"/>
  <c r="Q84" i="2"/>
  <c r="M84" i="2"/>
  <c r="N84" i="2" s="1"/>
  <c r="I84" i="2"/>
  <c r="J84" i="2" s="1"/>
  <c r="AL83" i="2"/>
  <c r="AI83" i="2"/>
  <c r="AF83" i="2"/>
  <c r="AC83" i="2"/>
  <c r="Z83" i="2"/>
  <c r="W83" i="2"/>
  <c r="T83" i="2"/>
  <c r="Q83" i="2"/>
  <c r="M83" i="2"/>
  <c r="N83" i="2" s="1"/>
  <c r="I83" i="2"/>
  <c r="J83" i="2" s="1"/>
  <c r="AL82" i="2"/>
  <c r="AI82" i="2"/>
  <c r="AF82" i="2"/>
  <c r="AC82" i="2"/>
  <c r="Z82" i="2"/>
  <c r="W82" i="2"/>
  <c r="T82" i="2"/>
  <c r="Q82" i="2"/>
  <c r="M82" i="2"/>
  <c r="N82" i="2" s="1"/>
  <c r="I82" i="2"/>
  <c r="J82" i="2" s="1"/>
  <c r="AL81" i="2"/>
  <c r="AI81" i="2"/>
  <c r="AF81" i="2"/>
  <c r="AC81" i="2"/>
  <c r="Z81" i="2"/>
  <c r="W81" i="2"/>
  <c r="T81" i="2"/>
  <c r="Q81" i="2"/>
  <c r="M81" i="2"/>
  <c r="N81" i="2" s="1"/>
  <c r="I81" i="2"/>
  <c r="J81" i="2" s="1"/>
  <c r="AL80" i="2"/>
  <c r="AI80" i="2"/>
  <c r="AF80" i="2"/>
  <c r="AC80" i="2"/>
  <c r="Z80" i="2"/>
  <c r="W80" i="2"/>
  <c r="T80" i="2"/>
  <c r="Q80" i="2"/>
  <c r="M80" i="2"/>
  <c r="N80" i="2" s="1"/>
  <c r="I80" i="2"/>
  <c r="J80" i="2" s="1"/>
  <c r="AL79" i="2"/>
  <c r="AI79" i="2"/>
  <c r="AF79" i="2"/>
  <c r="AC79" i="2"/>
  <c r="Z79" i="2"/>
  <c r="W79" i="2"/>
  <c r="T79" i="2"/>
  <c r="Q79" i="2"/>
  <c r="M79" i="2"/>
  <c r="N79" i="2" s="1"/>
  <c r="I79" i="2"/>
  <c r="J79" i="2" s="1"/>
  <c r="AL78" i="2"/>
  <c r="AI78" i="2"/>
  <c r="AF78" i="2"/>
  <c r="AC78" i="2"/>
  <c r="Z78" i="2"/>
  <c r="W78" i="2"/>
  <c r="T78" i="2"/>
  <c r="Q78" i="2"/>
  <c r="M78" i="2"/>
  <c r="N78" i="2" s="1"/>
  <c r="I78" i="2"/>
  <c r="J78" i="2" s="1"/>
  <c r="AL77" i="2"/>
  <c r="AI77" i="2"/>
  <c r="AF77" i="2"/>
  <c r="AC77" i="2"/>
  <c r="Z77" i="2"/>
  <c r="W77" i="2"/>
  <c r="T77" i="2"/>
  <c r="Q77" i="2"/>
  <c r="M77" i="2"/>
  <c r="N77" i="2" s="1"/>
  <c r="I77" i="2"/>
  <c r="J77" i="2" s="1"/>
  <c r="AL76" i="2"/>
  <c r="AI76" i="2"/>
  <c r="AF76" i="2"/>
  <c r="AC76" i="2"/>
  <c r="Z76" i="2"/>
  <c r="W76" i="2"/>
  <c r="T76" i="2"/>
  <c r="Q76" i="2"/>
  <c r="M76" i="2"/>
  <c r="N76" i="2" s="1"/>
  <c r="I76" i="2"/>
  <c r="J76" i="2" s="1"/>
  <c r="AL75" i="2"/>
  <c r="AI75" i="2"/>
  <c r="AF75" i="2"/>
  <c r="AC75" i="2"/>
  <c r="Z75" i="2"/>
  <c r="W75" i="2"/>
  <c r="T75" i="2"/>
  <c r="Q75" i="2"/>
  <c r="M75" i="2"/>
  <c r="N75" i="2" s="1"/>
  <c r="I75" i="2"/>
  <c r="J75" i="2" s="1"/>
  <c r="AL74" i="2"/>
  <c r="AI74" i="2"/>
  <c r="AF74" i="2"/>
  <c r="AC74" i="2"/>
  <c r="Z74" i="2"/>
  <c r="W74" i="2"/>
  <c r="T74" i="2"/>
  <c r="Q74" i="2"/>
  <c r="M74" i="2"/>
  <c r="N74" i="2" s="1"/>
  <c r="I74" i="2"/>
  <c r="J74" i="2" s="1"/>
  <c r="AL73" i="2"/>
  <c r="AI73" i="2"/>
  <c r="AF73" i="2"/>
  <c r="AC73" i="2"/>
  <c r="Z73" i="2"/>
  <c r="W73" i="2"/>
  <c r="T73" i="2"/>
  <c r="Q73" i="2"/>
  <c r="M73" i="2"/>
  <c r="N73" i="2" s="1"/>
  <c r="I73" i="2"/>
  <c r="J73" i="2" s="1"/>
  <c r="AL72" i="2"/>
  <c r="AI72" i="2"/>
  <c r="AF72" i="2"/>
  <c r="AC72" i="2"/>
  <c r="Z72" i="2"/>
  <c r="W72" i="2"/>
  <c r="T72" i="2"/>
  <c r="Q72" i="2"/>
  <c r="M72" i="2"/>
  <c r="N72" i="2" s="1"/>
  <c r="I72" i="2"/>
  <c r="J72" i="2" s="1"/>
  <c r="AL71" i="2"/>
  <c r="AI71" i="2"/>
  <c r="AF71" i="2"/>
  <c r="AC71" i="2"/>
  <c r="Z71" i="2"/>
  <c r="W71" i="2"/>
  <c r="T71" i="2"/>
  <c r="Q71" i="2"/>
  <c r="M71" i="2"/>
  <c r="N71" i="2" s="1"/>
  <c r="I71" i="2"/>
  <c r="J71" i="2" s="1"/>
  <c r="AL70" i="2"/>
  <c r="AI70" i="2"/>
  <c r="AF70" i="2"/>
  <c r="AC70" i="2"/>
  <c r="Z70" i="2"/>
  <c r="W70" i="2"/>
  <c r="T70" i="2"/>
  <c r="Q70" i="2"/>
  <c r="M70" i="2"/>
  <c r="N70" i="2" s="1"/>
  <c r="I70" i="2"/>
  <c r="J70" i="2" s="1"/>
  <c r="AL69" i="2"/>
  <c r="AI69" i="2"/>
  <c r="AF69" i="2"/>
  <c r="AC69" i="2"/>
  <c r="Z69" i="2"/>
  <c r="W69" i="2"/>
  <c r="T69" i="2"/>
  <c r="Q69" i="2"/>
  <c r="M69" i="2"/>
  <c r="N69" i="2" s="1"/>
  <c r="I69" i="2"/>
  <c r="J69" i="2" s="1"/>
  <c r="AL68" i="2"/>
  <c r="AI68" i="2"/>
  <c r="AF68" i="2"/>
  <c r="AC68" i="2"/>
  <c r="Z68" i="2"/>
  <c r="W68" i="2"/>
  <c r="T68" i="2"/>
  <c r="Q68" i="2"/>
  <c r="M68" i="2"/>
  <c r="N68" i="2" s="1"/>
  <c r="I68" i="2"/>
  <c r="J68" i="2" s="1"/>
  <c r="AL67" i="2"/>
  <c r="AI67" i="2"/>
  <c r="AF67" i="2"/>
  <c r="AC67" i="2"/>
  <c r="Z67" i="2"/>
  <c r="W67" i="2"/>
  <c r="T67" i="2"/>
  <c r="Q67" i="2"/>
  <c r="M67" i="2"/>
  <c r="N67" i="2" s="1"/>
  <c r="I67" i="2"/>
  <c r="J67" i="2" s="1"/>
  <c r="AL66" i="2"/>
  <c r="AI66" i="2"/>
  <c r="AF66" i="2"/>
  <c r="AC66" i="2"/>
  <c r="Z66" i="2"/>
  <c r="W66" i="2"/>
  <c r="T66" i="2"/>
  <c r="Q66" i="2"/>
  <c r="M66" i="2"/>
  <c r="N66" i="2" s="1"/>
  <c r="I66" i="2"/>
  <c r="J66" i="2" s="1"/>
  <c r="AL65" i="2"/>
  <c r="AI65" i="2"/>
  <c r="AF65" i="2"/>
  <c r="AC65" i="2"/>
  <c r="Z65" i="2"/>
  <c r="W65" i="2"/>
  <c r="T65" i="2"/>
  <c r="Q65" i="2"/>
  <c r="M65" i="2"/>
  <c r="N65" i="2" s="1"/>
  <c r="I65" i="2"/>
  <c r="J65" i="2" s="1"/>
  <c r="AL64" i="2"/>
  <c r="AI64" i="2"/>
  <c r="AF64" i="2"/>
  <c r="AC64" i="2"/>
  <c r="Z64" i="2"/>
  <c r="W64" i="2"/>
  <c r="T64" i="2"/>
  <c r="Q64" i="2"/>
  <c r="M64" i="2"/>
  <c r="N64" i="2" s="1"/>
  <c r="I64" i="2"/>
  <c r="J64" i="2" s="1"/>
  <c r="AL63" i="2"/>
  <c r="AI63" i="2"/>
  <c r="AF63" i="2"/>
  <c r="AC63" i="2"/>
  <c r="Z63" i="2"/>
  <c r="W63" i="2"/>
  <c r="T63" i="2"/>
  <c r="Q63" i="2"/>
  <c r="M63" i="2"/>
  <c r="N63" i="2" s="1"/>
  <c r="I63" i="2"/>
  <c r="J63" i="2" s="1"/>
  <c r="AL62" i="2"/>
  <c r="AI62" i="2"/>
  <c r="AF62" i="2"/>
  <c r="AC62" i="2"/>
  <c r="Z62" i="2"/>
  <c r="W62" i="2"/>
  <c r="T62" i="2"/>
  <c r="Q62" i="2"/>
  <c r="M62" i="2"/>
  <c r="N62" i="2" s="1"/>
  <c r="I62" i="2"/>
  <c r="J62" i="2" s="1"/>
  <c r="AL61" i="2"/>
  <c r="AI61" i="2"/>
  <c r="AF61" i="2"/>
  <c r="AC61" i="2"/>
  <c r="Z61" i="2"/>
  <c r="W61" i="2"/>
  <c r="T61" i="2"/>
  <c r="Q61" i="2"/>
  <c r="M61" i="2"/>
  <c r="N61" i="2" s="1"/>
  <c r="I61" i="2"/>
  <c r="J61" i="2" s="1"/>
  <c r="AL60" i="2"/>
  <c r="AI60" i="2"/>
  <c r="AF60" i="2"/>
  <c r="AC60" i="2"/>
  <c r="Z60" i="2"/>
  <c r="W60" i="2"/>
  <c r="T60" i="2"/>
  <c r="Q60" i="2"/>
  <c r="M60" i="2"/>
  <c r="N60" i="2" s="1"/>
  <c r="I60" i="2"/>
  <c r="J60" i="2" s="1"/>
  <c r="AL59" i="2"/>
  <c r="AI59" i="2"/>
  <c r="AF59" i="2"/>
  <c r="AC59" i="2"/>
  <c r="W59" i="2"/>
  <c r="T59" i="2"/>
  <c r="Q59" i="2"/>
  <c r="M59" i="2"/>
  <c r="N59" i="2" s="1"/>
  <c r="I59" i="2"/>
  <c r="J59" i="2" s="1"/>
  <c r="AL58" i="2"/>
  <c r="AI58" i="2"/>
  <c r="AF58" i="2"/>
  <c r="AC58" i="2"/>
  <c r="Z58" i="2"/>
  <c r="W58" i="2"/>
  <c r="T58" i="2"/>
  <c r="Q58" i="2"/>
  <c r="M58" i="2"/>
  <c r="N58" i="2" s="1"/>
  <c r="I58" i="2"/>
  <c r="J58" i="2" s="1"/>
  <c r="AL57" i="2"/>
  <c r="AI57" i="2"/>
  <c r="AF57" i="2"/>
  <c r="AC57" i="2"/>
  <c r="Z57" i="2"/>
  <c r="W57" i="2"/>
  <c r="T57" i="2"/>
  <c r="Q57" i="2"/>
  <c r="M57" i="2"/>
  <c r="N57" i="2" s="1"/>
  <c r="I57" i="2"/>
  <c r="J57" i="2" s="1"/>
  <c r="AL56" i="2"/>
  <c r="AI56" i="2"/>
  <c r="AF56" i="2"/>
  <c r="AC56" i="2"/>
  <c r="Z56" i="2"/>
  <c r="W56" i="2"/>
  <c r="T56" i="2"/>
  <c r="Q56" i="2"/>
  <c r="M56" i="2"/>
  <c r="N56" i="2" s="1"/>
  <c r="I56" i="2"/>
  <c r="J56" i="2" s="1"/>
  <c r="AL55" i="2"/>
  <c r="AI55" i="2"/>
  <c r="AF55" i="2"/>
  <c r="AC55" i="2"/>
  <c r="Z55" i="2"/>
  <c r="W55" i="2"/>
  <c r="T55" i="2"/>
  <c r="Q55" i="2"/>
  <c r="M55" i="2"/>
  <c r="N55" i="2" s="1"/>
  <c r="I55" i="2"/>
  <c r="J55" i="2" s="1"/>
  <c r="AL54" i="2"/>
  <c r="AI54" i="2"/>
  <c r="AF54" i="2"/>
  <c r="AC54" i="2"/>
  <c r="Z54" i="2"/>
  <c r="W54" i="2"/>
  <c r="T54" i="2"/>
  <c r="Q54" i="2"/>
  <c r="M54" i="2"/>
  <c r="N54" i="2" s="1"/>
  <c r="I54" i="2"/>
  <c r="J54" i="2" s="1"/>
  <c r="AL53" i="2"/>
  <c r="AI53" i="2"/>
  <c r="AF53" i="2"/>
  <c r="AC53" i="2"/>
  <c r="Z53" i="2"/>
  <c r="W53" i="2"/>
  <c r="T53" i="2"/>
  <c r="Q53" i="2"/>
  <c r="M53" i="2"/>
  <c r="N53" i="2" s="1"/>
  <c r="I53" i="2"/>
  <c r="J53" i="2" s="1"/>
  <c r="AL52" i="2"/>
  <c r="AI52" i="2"/>
  <c r="AF52" i="2"/>
  <c r="AC52" i="2"/>
  <c r="Z52" i="2"/>
  <c r="W52" i="2"/>
  <c r="T52" i="2"/>
  <c r="Q52" i="2"/>
  <c r="M52" i="2"/>
  <c r="N52" i="2" s="1"/>
  <c r="I52" i="2"/>
  <c r="J52" i="2" s="1"/>
  <c r="AL51" i="2"/>
  <c r="AI51" i="2"/>
  <c r="AF51" i="2"/>
  <c r="AC51" i="2"/>
  <c r="Z51" i="2"/>
  <c r="W51" i="2"/>
  <c r="T51" i="2"/>
  <c r="Q51" i="2"/>
  <c r="AL50" i="2"/>
  <c r="AI50" i="2"/>
  <c r="AF50" i="2"/>
  <c r="AC50" i="2"/>
  <c r="Z50" i="2"/>
  <c r="W50" i="2"/>
  <c r="T50" i="2"/>
  <c r="Q50" i="2"/>
  <c r="AL49" i="2"/>
  <c r="AI49" i="2"/>
  <c r="AF49" i="2"/>
  <c r="AC49" i="2"/>
  <c r="Z49" i="2"/>
  <c r="W49" i="2"/>
  <c r="T49" i="2"/>
  <c r="Q49" i="2"/>
  <c r="M49" i="2"/>
  <c r="N49" i="2" s="1"/>
  <c r="I49" i="2"/>
  <c r="J49" i="2" s="1"/>
  <c r="AL48" i="2"/>
  <c r="AI48" i="2"/>
  <c r="AF48" i="2"/>
  <c r="AC48" i="2"/>
  <c r="Z48" i="2"/>
  <c r="W48" i="2"/>
  <c r="T48" i="2"/>
  <c r="Q48" i="2"/>
  <c r="M48" i="2"/>
  <c r="N48" i="2" s="1"/>
  <c r="I48" i="2"/>
  <c r="J48" i="2" s="1"/>
  <c r="AL47" i="2"/>
  <c r="AI47" i="2"/>
  <c r="AF47" i="2"/>
  <c r="AC47" i="2"/>
  <c r="Z47" i="2"/>
  <c r="W47" i="2"/>
  <c r="T47" i="2"/>
  <c r="Q47" i="2"/>
  <c r="M47" i="2"/>
  <c r="N47" i="2" s="1"/>
  <c r="I47" i="2"/>
  <c r="J47" i="2" s="1"/>
  <c r="AL46" i="2"/>
  <c r="AI46" i="2"/>
  <c r="AF46" i="2"/>
  <c r="AC46" i="2"/>
  <c r="Z46" i="2"/>
  <c r="W46" i="2"/>
  <c r="T46" i="2"/>
  <c r="Q46" i="2"/>
  <c r="M46" i="2"/>
  <c r="N46" i="2" s="1"/>
  <c r="I46" i="2"/>
  <c r="J46" i="2" s="1"/>
  <c r="AL45" i="2"/>
  <c r="AI45" i="2"/>
  <c r="AF45" i="2"/>
  <c r="AC45" i="2"/>
  <c r="Z45" i="2"/>
  <c r="W45" i="2"/>
  <c r="T45" i="2"/>
  <c r="Q45" i="2"/>
  <c r="M45" i="2"/>
  <c r="N45" i="2" s="1"/>
  <c r="I45" i="2"/>
  <c r="J45" i="2" s="1"/>
  <c r="AL44" i="2"/>
  <c r="AI44" i="2"/>
  <c r="AF44" i="2"/>
  <c r="AC44" i="2"/>
  <c r="Z44" i="2"/>
  <c r="W44" i="2"/>
  <c r="T44" i="2"/>
  <c r="Q44" i="2"/>
  <c r="M44" i="2"/>
  <c r="N44" i="2" s="1"/>
  <c r="I44" i="2"/>
  <c r="J44" i="2" s="1"/>
  <c r="AL43" i="2"/>
  <c r="AI43" i="2"/>
  <c r="AF43" i="2"/>
  <c r="AC43" i="2"/>
  <c r="Z43" i="2"/>
  <c r="W43" i="2"/>
  <c r="T43" i="2"/>
  <c r="Q43" i="2"/>
  <c r="AL42" i="2"/>
  <c r="AI42" i="2"/>
  <c r="AF42" i="2"/>
  <c r="AC42" i="2"/>
  <c r="Z42" i="2"/>
  <c r="W42" i="2"/>
  <c r="T42" i="2"/>
  <c r="Q42" i="2"/>
  <c r="M42" i="2"/>
  <c r="N42" i="2" s="1"/>
  <c r="I42" i="2"/>
  <c r="J42" i="2" s="1"/>
  <c r="AL41" i="2"/>
  <c r="AI41" i="2"/>
  <c r="AF41" i="2"/>
  <c r="AC41" i="2"/>
  <c r="Z41" i="2"/>
  <c r="W41" i="2"/>
  <c r="T41" i="2"/>
  <c r="Q41" i="2"/>
  <c r="M41" i="2"/>
  <c r="N41" i="2" s="1"/>
  <c r="I41" i="2"/>
  <c r="J41" i="2" s="1"/>
  <c r="AL40" i="2"/>
  <c r="AI40" i="2"/>
  <c r="AF40" i="2"/>
  <c r="AC40" i="2"/>
  <c r="Z40" i="2"/>
  <c r="W40" i="2"/>
  <c r="T40" i="2"/>
  <c r="Q40" i="2"/>
  <c r="M40" i="2"/>
  <c r="N40" i="2" s="1"/>
  <c r="I40" i="2"/>
  <c r="J40" i="2" s="1"/>
  <c r="AL39" i="2"/>
  <c r="AI39" i="2"/>
  <c r="AF39" i="2"/>
  <c r="AC39" i="2"/>
  <c r="Z39" i="2"/>
  <c r="W39" i="2"/>
  <c r="T39" i="2"/>
  <c r="Q39" i="2"/>
  <c r="M39" i="2"/>
  <c r="N39" i="2" s="1"/>
  <c r="I39" i="2"/>
  <c r="J39" i="2" s="1"/>
  <c r="AL38" i="2"/>
  <c r="AI38" i="2"/>
  <c r="AF38" i="2"/>
  <c r="AC38" i="2"/>
  <c r="Z38" i="2"/>
  <c r="W38" i="2"/>
  <c r="T38" i="2"/>
  <c r="Q38" i="2"/>
  <c r="M38" i="2"/>
  <c r="N38" i="2" s="1"/>
  <c r="I38" i="2"/>
  <c r="J38" i="2" s="1"/>
  <c r="AL37" i="2"/>
  <c r="AI37" i="2"/>
  <c r="AF37" i="2"/>
  <c r="AC37" i="2"/>
  <c r="Z37" i="2"/>
  <c r="W37" i="2"/>
  <c r="T37" i="2"/>
  <c r="Q37" i="2"/>
  <c r="M37" i="2"/>
  <c r="N37" i="2" s="1"/>
  <c r="I37" i="2"/>
  <c r="J37" i="2" s="1"/>
  <c r="AL36" i="2"/>
  <c r="AI36" i="2"/>
  <c r="AF36" i="2"/>
  <c r="AC36" i="2"/>
  <c r="Z36" i="2"/>
  <c r="W36" i="2"/>
  <c r="T36" i="2"/>
  <c r="Q36" i="2"/>
  <c r="M36" i="2"/>
  <c r="N36" i="2" s="1"/>
  <c r="I36" i="2"/>
  <c r="J36" i="2" s="1"/>
  <c r="AL35" i="2"/>
  <c r="AI35" i="2"/>
  <c r="AF35" i="2"/>
  <c r="AC35" i="2"/>
  <c r="Z35" i="2"/>
  <c r="W35" i="2"/>
  <c r="T35" i="2"/>
  <c r="Q35" i="2"/>
  <c r="M35" i="2"/>
  <c r="N35" i="2" s="1"/>
  <c r="I35" i="2"/>
  <c r="J35" i="2" s="1"/>
  <c r="AL34" i="2"/>
  <c r="AI34" i="2"/>
  <c r="AF34" i="2"/>
  <c r="AC34" i="2"/>
  <c r="Z34" i="2"/>
  <c r="W34" i="2"/>
  <c r="T34" i="2"/>
  <c r="Q34" i="2"/>
  <c r="M34" i="2"/>
  <c r="N34" i="2" s="1"/>
  <c r="I34" i="2"/>
  <c r="J34" i="2" s="1"/>
  <c r="AL33" i="2"/>
  <c r="AI33" i="2"/>
  <c r="AF33" i="2"/>
  <c r="AC33" i="2"/>
  <c r="Z33" i="2"/>
  <c r="W33" i="2"/>
  <c r="T33" i="2"/>
  <c r="Q33" i="2"/>
  <c r="M33" i="2"/>
  <c r="N33" i="2" s="1"/>
  <c r="I33" i="2"/>
  <c r="J33" i="2" s="1"/>
  <c r="AL32" i="2"/>
  <c r="AI32" i="2"/>
  <c r="AF32" i="2"/>
  <c r="AC32" i="2"/>
  <c r="Z32" i="2"/>
  <c r="W32" i="2"/>
  <c r="T32" i="2"/>
  <c r="Q32" i="2"/>
  <c r="M32" i="2"/>
  <c r="N32" i="2" s="1"/>
  <c r="I32" i="2"/>
  <c r="J32" i="2" s="1"/>
  <c r="AL31" i="2"/>
  <c r="AI31" i="2"/>
  <c r="AF31" i="2"/>
  <c r="AC31" i="2"/>
  <c r="Z31" i="2"/>
  <c r="W31" i="2"/>
  <c r="T31" i="2"/>
  <c r="Q31" i="2"/>
  <c r="M31" i="2"/>
  <c r="N31" i="2" s="1"/>
  <c r="I31" i="2"/>
  <c r="J31" i="2" s="1"/>
  <c r="AL30" i="2"/>
  <c r="AI30" i="2"/>
  <c r="AF30" i="2"/>
  <c r="AC30" i="2"/>
  <c r="Z30" i="2"/>
  <c r="W30" i="2"/>
  <c r="T30" i="2"/>
  <c r="Q30" i="2"/>
  <c r="M30" i="2"/>
  <c r="N30" i="2" s="1"/>
  <c r="I30" i="2"/>
  <c r="J30" i="2" s="1"/>
  <c r="AL29" i="2"/>
  <c r="AI29" i="2"/>
  <c r="AF29" i="2"/>
  <c r="AC29" i="2"/>
  <c r="Z29" i="2"/>
  <c r="W29" i="2"/>
  <c r="T29" i="2"/>
  <c r="Q29" i="2"/>
  <c r="M29" i="2"/>
  <c r="N29" i="2" s="1"/>
  <c r="I29" i="2"/>
  <c r="J29" i="2" s="1"/>
  <c r="AL28" i="2"/>
  <c r="AI28" i="2"/>
  <c r="AF28" i="2"/>
  <c r="AC28" i="2"/>
  <c r="Z28" i="2"/>
  <c r="W28" i="2"/>
  <c r="T28" i="2"/>
  <c r="Q28" i="2"/>
  <c r="M28" i="2"/>
  <c r="N28" i="2" s="1"/>
  <c r="I28" i="2"/>
  <c r="J28" i="2" s="1"/>
  <c r="AL27" i="2"/>
  <c r="AI27" i="2"/>
  <c r="AF27" i="2"/>
  <c r="AC27" i="2"/>
  <c r="Z27" i="2"/>
  <c r="W27" i="2"/>
  <c r="T27" i="2"/>
  <c r="Q27" i="2"/>
  <c r="M27" i="2"/>
  <c r="N27" i="2" s="1"/>
  <c r="I27" i="2"/>
  <c r="J27" i="2" s="1"/>
  <c r="AL26" i="2"/>
  <c r="AI26" i="2"/>
  <c r="AF26" i="2"/>
  <c r="AC26" i="2"/>
  <c r="Z26" i="2"/>
  <c r="W26" i="2"/>
  <c r="T26" i="2"/>
  <c r="Q26" i="2"/>
  <c r="M26" i="2"/>
  <c r="N26" i="2" s="1"/>
  <c r="I26" i="2"/>
  <c r="J26" i="2" s="1"/>
  <c r="AL25" i="2"/>
  <c r="AI25" i="2"/>
  <c r="AF25" i="2"/>
  <c r="AC25" i="2"/>
  <c r="Z25" i="2"/>
  <c r="W25" i="2"/>
  <c r="T25" i="2"/>
  <c r="Q25" i="2"/>
  <c r="M25" i="2"/>
  <c r="N25" i="2" s="1"/>
  <c r="I25" i="2"/>
  <c r="J25" i="2" s="1"/>
  <c r="AL24" i="2"/>
  <c r="AI24" i="2"/>
  <c r="AF24" i="2"/>
  <c r="AC24" i="2"/>
  <c r="Z24" i="2"/>
  <c r="W24" i="2"/>
  <c r="T24" i="2"/>
  <c r="Q24" i="2"/>
  <c r="M24" i="2"/>
  <c r="N24" i="2" s="1"/>
  <c r="I24" i="2"/>
  <c r="J24" i="2" s="1"/>
  <c r="AL23" i="2"/>
  <c r="AI23" i="2"/>
  <c r="AF23" i="2"/>
  <c r="AC23" i="2"/>
  <c r="Z23" i="2"/>
  <c r="W23" i="2"/>
  <c r="T23" i="2"/>
  <c r="Q23" i="2"/>
  <c r="M23" i="2"/>
  <c r="N23" i="2" s="1"/>
  <c r="I23" i="2"/>
  <c r="J23" i="2" s="1"/>
  <c r="AL22" i="2"/>
  <c r="AI22" i="2"/>
  <c r="AF22" i="2"/>
  <c r="AC22" i="2"/>
  <c r="Z22" i="2"/>
  <c r="W22" i="2"/>
  <c r="T22" i="2"/>
  <c r="Q22" i="2"/>
  <c r="M22" i="2"/>
  <c r="N22" i="2" s="1"/>
  <c r="I22" i="2"/>
  <c r="J22" i="2" s="1"/>
  <c r="AL21" i="2"/>
  <c r="AI21" i="2"/>
  <c r="AF21" i="2"/>
  <c r="AC21" i="2"/>
  <c r="Z21" i="2"/>
  <c r="W21" i="2"/>
  <c r="T21" i="2"/>
  <c r="Q21" i="2"/>
  <c r="M21" i="2"/>
  <c r="N21" i="2" s="1"/>
  <c r="I21" i="2"/>
  <c r="J21" i="2" s="1"/>
  <c r="AL20" i="2"/>
  <c r="AI20" i="2"/>
  <c r="AF20" i="2"/>
  <c r="AC20" i="2"/>
  <c r="Z20" i="2"/>
  <c r="W20" i="2"/>
  <c r="T20" i="2"/>
  <c r="Q20" i="2"/>
  <c r="M20" i="2"/>
  <c r="N20" i="2" s="1"/>
  <c r="I20" i="2"/>
  <c r="J20" i="2" s="1"/>
  <c r="AL19" i="2"/>
  <c r="AI19" i="2"/>
  <c r="AF19" i="2"/>
  <c r="AC19" i="2"/>
  <c r="Z19" i="2"/>
  <c r="W19" i="2"/>
  <c r="T19" i="2"/>
  <c r="Q19" i="2"/>
  <c r="M19" i="2"/>
  <c r="N19" i="2" s="1"/>
  <c r="I19" i="2"/>
  <c r="J19" i="2" s="1"/>
  <c r="AL18" i="2"/>
  <c r="AI18" i="2"/>
  <c r="AF18" i="2"/>
  <c r="AC18" i="2"/>
  <c r="Z18" i="2"/>
  <c r="W18" i="2"/>
  <c r="T18" i="2"/>
  <c r="Q18" i="2"/>
  <c r="M18" i="2"/>
  <c r="N18" i="2" s="1"/>
  <c r="I18" i="2"/>
  <c r="J18" i="2" s="1"/>
  <c r="AL17" i="2"/>
  <c r="AI17" i="2"/>
  <c r="AF17" i="2"/>
  <c r="AC17" i="2"/>
  <c r="Z17" i="2"/>
  <c r="W17" i="2"/>
  <c r="T17" i="2"/>
  <c r="Q17" i="2"/>
  <c r="M17" i="2"/>
  <c r="N17" i="2" s="1"/>
  <c r="I17" i="2"/>
  <c r="J17" i="2" s="1"/>
  <c r="AL16" i="2"/>
  <c r="AI16" i="2"/>
  <c r="AF16" i="2"/>
  <c r="AC16" i="2"/>
  <c r="Z16" i="2"/>
  <c r="W16" i="2"/>
  <c r="T16" i="2"/>
  <c r="Q16" i="2"/>
  <c r="M16" i="2"/>
  <c r="N16" i="2" s="1"/>
  <c r="I16" i="2"/>
  <c r="J16" i="2" s="1"/>
  <c r="AL15" i="2"/>
  <c r="AI15" i="2"/>
  <c r="AF15" i="2"/>
  <c r="AC15" i="2"/>
  <c r="Z15" i="2"/>
  <c r="W15" i="2"/>
  <c r="T15" i="2"/>
  <c r="Q15" i="2"/>
  <c r="M15" i="2"/>
  <c r="N15" i="2" s="1"/>
  <c r="I15" i="2"/>
  <c r="J15" i="2" s="1"/>
  <c r="AL14" i="2"/>
  <c r="AI14" i="2"/>
  <c r="AF14" i="2"/>
  <c r="AC14" i="2"/>
  <c r="Z14" i="2"/>
  <c r="W14" i="2"/>
  <c r="T14" i="2"/>
  <c r="Q14" i="2"/>
  <c r="M14" i="2"/>
  <c r="N14" i="2" s="1"/>
  <c r="I14" i="2"/>
  <c r="J14" i="2" s="1"/>
  <c r="AL13" i="2"/>
  <c r="AI13" i="2"/>
  <c r="AF13" i="2"/>
  <c r="AC13" i="2"/>
  <c r="Z13" i="2"/>
  <c r="W13" i="2"/>
  <c r="T13" i="2"/>
  <c r="Q13" i="2"/>
  <c r="M13" i="2"/>
  <c r="N13" i="2" s="1"/>
  <c r="I13" i="2"/>
  <c r="J13" i="2" s="1"/>
  <c r="AL12" i="2"/>
  <c r="AI12" i="2"/>
  <c r="AF12" i="2"/>
  <c r="AC12" i="2"/>
  <c r="Z12" i="2"/>
  <c r="W12" i="2"/>
  <c r="T12" i="2"/>
  <c r="Q12" i="2"/>
  <c r="M12" i="2"/>
  <c r="N12" i="2" s="1"/>
  <c r="I12" i="2"/>
  <c r="J12" i="2" s="1"/>
  <c r="AL11" i="2"/>
  <c r="AI11" i="2"/>
  <c r="AF11" i="2"/>
  <c r="AC11" i="2"/>
  <c r="Z11" i="2"/>
  <c r="W11" i="2"/>
  <c r="T11" i="2"/>
  <c r="Q11" i="2"/>
  <c r="M11" i="2"/>
  <c r="N11" i="2" s="1"/>
  <c r="I11" i="2"/>
  <c r="J11" i="2" s="1"/>
  <c r="AL10" i="2"/>
  <c r="AI10" i="2"/>
  <c r="AF10" i="2"/>
  <c r="AC10" i="2"/>
  <c r="Z10" i="2"/>
  <c r="W10" i="2"/>
  <c r="T10" i="2"/>
  <c r="Q10" i="2"/>
  <c r="M10" i="2"/>
  <c r="N10" i="2" s="1"/>
  <c r="I10" i="2"/>
  <c r="J10" i="2" s="1"/>
  <c r="AL9" i="2"/>
  <c r="AI9" i="2"/>
  <c r="AF9" i="2"/>
  <c r="AC9" i="2"/>
  <c r="Z9" i="2"/>
  <c r="W9" i="2"/>
  <c r="T9" i="2"/>
  <c r="Q9" i="2"/>
  <c r="M9" i="2"/>
  <c r="N9" i="2" s="1"/>
  <c r="I9" i="2"/>
  <c r="J9" i="2" s="1"/>
  <c r="AL8" i="2"/>
  <c r="AI8" i="2"/>
  <c r="AF8" i="2"/>
  <c r="AC8" i="2"/>
  <c r="Z8" i="2"/>
  <c r="W8" i="2"/>
  <c r="T8" i="2"/>
  <c r="Q8" i="2"/>
  <c r="M8" i="2"/>
  <c r="N8" i="2" s="1"/>
  <c r="I8" i="2"/>
  <c r="J8" i="2" s="1"/>
  <c r="AL7" i="2"/>
  <c r="AI7" i="2"/>
  <c r="AF7" i="2"/>
  <c r="AC7" i="2"/>
  <c r="Z7" i="2"/>
  <c r="W7" i="2"/>
  <c r="T7" i="2"/>
  <c r="Q7" i="2"/>
  <c r="M7" i="2"/>
  <c r="N7" i="2" s="1"/>
  <c r="I7" i="2"/>
  <c r="J7" i="2" s="1"/>
  <c r="AL6" i="2"/>
  <c r="AI6" i="2"/>
  <c r="AF6" i="2"/>
  <c r="AC6" i="2"/>
  <c r="Z6" i="2"/>
  <c r="W6" i="2"/>
  <c r="T6" i="2"/>
  <c r="Q6" i="2"/>
  <c r="M6" i="2"/>
  <c r="N6" i="2" s="1"/>
  <c r="I6" i="2"/>
  <c r="J6" i="2" s="1"/>
  <c r="AL5" i="2"/>
  <c r="AI5" i="2"/>
  <c r="AF5" i="2"/>
  <c r="AC5" i="2"/>
  <c r="Z5" i="2"/>
  <c r="W5" i="2"/>
  <c r="T5" i="2"/>
  <c r="Q5" i="2"/>
  <c r="M5" i="2"/>
  <c r="N5" i="2" s="1"/>
  <c r="I5" i="2"/>
  <c r="J5" i="2" s="1"/>
  <c r="AL4" i="2"/>
  <c r="AI4" i="2"/>
  <c r="AF4" i="2"/>
  <c r="AC4" i="2"/>
  <c r="Z4" i="2"/>
  <c r="W4" i="2"/>
  <c r="T4" i="2"/>
  <c r="Q4" i="2"/>
  <c r="M4" i="2"/>
  <c r="N4" i="2" s="1"/>
  <c r="I4" i="2"/>
  <c r="J4" i="2" s="1"/>
  <c r="B22" i="18" l="1" a="1"/>
  <c r="B22" i="18" s="1"/>
  <c r="C21" i="18"/>
  <c r="D21" i="18" s="1" a="1"/>
  <c r="D21" i="18" s="1"/>
  <c r="B23" i="18" l="1" a="1"/>
  <c r="B23" i="18" s="1"/>
  <c r="C22" i="18"/>
  <c r="B24" i="18" l="1" a="1"/>
  <c r="B24" i="18" s="1"/>
  <c r="C23" i="18"/>
  <c r="B25" i="18" l="1" a="1"/>
  <c r="B25" i="18" s="1"/>
  <c r="C24" i="18"/>
  <c r="B26" i="18" l="1" a="1"/>
  <c r="B26" i="18" s="1"/>
  <c r="C25" i="18"/>
  <c r="B27" i="18" l="1" a="1"/>
  <c r="B27" i="18" s="1"/>
  <c r="C26" i="18"/>
  <c r="B28" i="18" l="1" a="1"/>
  <c r="B28" i="18" s="1"/>
  <c r="C27" i="18"/>
  <c r="B29" i="18" l="1" a="1"/>
  <c r="B29" i="18" s="1"/>
  <c r="C28" i="18"/>
  <c r="B30" i="18" l="1" a="1"/>
  <c r="B30" i="18" s="1"/>
  <c r="C29" i="18"/>
  <c r="B31" i="18" l="1" a="1"/>
  <c r="B31" i="18" s="1"/>
  <c r="C30" i="18"/>
  <c r="B32" i="18" l="1" a="1"/>
  <c r="B32" i="18" s="1"/>
  <c r="C31" i="18"/>
  <c r="B33" i="18" l="1" a="1"/>
  <c r="B33" i="18" s="1"/>
  <c r="C32" i="18"/>
  <c r="B34" i="18" l="1" a="1"/>
  <c r="B34" i="18" s="1"/>
  <c r="C33" i="18"/>
  <c r="B35" i="18" l="1" a="1"/>
  <c r="B35" i="18" s="1"/>
  <c r="C34" i="18"/>
  <c r="B36" i="18" l="1" a="1"/>
  <c r="B36" i="18" s="1"/>
  <c r="C35" i="18"/>
  <c r="B37" i="18" l="1" a="1"/>
  <c r="B37" i="18" s="1"/>
  <c r="C36" i="18"/>
  <c r="B38" i="18" l="1" a="1"/>
  <c r="B38" i="18" s="1"/>
  <c r="C37" i="18"/>
  <c r="B39" i="18" l="1" a="1"/>
  <c r="B39" i="18" s="1"/>
  <c r="C38" i="18"/>
  <c r="B40" i="18" l="1" a="1"/>
  <c r="B40" i="18" s="1"/>
  <c r="C39" i="18"/>
  <c r="B41" i="18" l="1" a="1"/>
  <c r="B41" i="18" s="1"/>
  <c r="C40" i="18"/>
  <c r="B42" i="18" l="1" a="1"/>
  <c r="B42" i="18" s="1"/>
  <c r="C41" i="18"/>
  <c r="B43" i="18" l="1" a="1"/>
  <c r="B43" i="18" s="1"/>
  <c r="C42" i="18"/>
  <c r="B44" i="18" l="1" a="1"/>
  <c r="B44" i="18" s="1"/>
  <c r="C43" i="18"/>
  <c r="B45" i="18" l="1" a="1"/>
  <c r="B45" i="18" s="1"/>
  <c r="C44" i="18"/>
  <c r="B46" i="18" l="1" a="1"/>
  <c r="B46" i="18" s="1"/>
  <c r="C45" i="18"/>
  <c r="B47" i="18" l="1" a="1"/>
  <c r="B47" i="18" s="1"/>
  <c r="C46" i="18"/>
  <c r="B48" i="18" l="1" a="1"/>
  <c r="B48" i="18" s="1"/>
  <c r="C47" i="18"/>
  <c r="B49" i="18" l="1" a="1"/>
  <c r="B49" i="18" s="1"/>
  <c r="C48" i="18"/>
  <c r="B50" i="18" l="1" a="1"/>
  <c r="B50" i="18" s="1"/>
  <c r="C49" i="18"/>
  <c r="B51" i="18" l="1" a="1"/>
  <c r="B51" i="18" s="1"/>
  <c r="C50" i="18"/>
  <c r="B52" i="18" l="1" a="1"/>
  <c r="B52" i="18" s="1"/>
  <c r="C51" i="18"/>
  <c r="B53" i="18" l="1" a="1"/>
  <c r="B53" i="18" s="1"/>
  <c r="C52" i="18"/>
  <c r="B54" i="18" l="1" a="1"/>
  <c r="B54" i="18" s="1"/>
  <c r="C53" i="18"/>
  <c r="B55" i="18" l="1" a="1"/>
  <c r="B55" i="18" s="1"/>
  <c r="C54" i="18"/>
  <c r="B56" i="18" l="1" a="1"/>
  <c r="B56" i="18" s="1"/>
  <c r="C55" i="18"/>
  <c r="B57" i="18" l="1" a="1"/>
  <c r="B57" i="18" s="1"/>
  <c r="C56" i="18"/>
  <c r="B58" i="18" l="1" a="1"/>
  <c r="B58" i="18" s="1"/>
  <c r="C57" i="18"/>
  <c r="B59" i="18" l="1" a="1"/>
  <c r="B59" i="18" s="1"/>
  <c r="C58" i="18"/>
  <c r="B60" i="18" l="1" a="1"/>
  <c r="B60" i="18" s="1"/>
  <c r="C59" i="18"/>
  <c r="B61" i="18" l="1" a="1"/>
  <c r="B61" i="18" s="1"/>
  <c r="C60" i="18"/>
  <c r="B62" i="18" l="1" a="1"/>
  <c r="B62" i="18" s="1"/>
  <c r="C61" i="18"/>
  <c r="B63" i="18" l="1" a="1"/>
  <c r="B63" i="18" s="1"/>
  <c r="C62" i="18"/>
  <c r="B64" i="18" l="1" a="1"/>
  <c r="B64" i="18" s="1"/>
  <c r="C63" i="18"/>
  <c r="B65" i="18" l="1" a="1"/>
  <c r="B65" i="18" s="1"/>
  <c r="C64" i="18"/>
  <c r="B66" i="18" l="1" a="1"/>
  <c r="B66" i="18" s="1"/>
  <c r="C65" i="18"/>
  <c r="B67" i="18" l="1" a="1"/>
  <c r="B67" i="18" s="1"/>
  <c r="C66" i="18"/>
  <c r="B68" i="18" l="1" a="1"/>
  <c r="B68" i="18" s="1"/>
  <c r="C67" i="18"/>
  <c r="B69" i="18" l="1" a="1"/>
  <c r="B69" i="18" s="1"/>
  <c r="C68" i="18"/>
  <c r="B70" i="18" l="1" a="1"/>
  <c r="B70" i="18" s="1"/>
  <c r="C69" i="18"/>
  <c r="B71" i="18" l="1" a="1"/>
  <c r="B71" i="18" s="1"/>
  <c r="C70" i="18"/>
  <c r="B72" i="18" l="1" a="1"/>
  <c r="B72" i="18" s="1"/>
  <c r="C71" i="18"/>
  <c r="B73" i="18" l="1" a="1"/>
  <c r="B73" i="18" s="1"/>
  <c r="C72" i="18"/>
  <c r="B74" i="18" l="1" a="1"/>
  <c r="B74" i="18" s="1"/>
  <c r="C73" i="18"/>
  <c r="B75" i="18" l="1" a="1"/>
  <c r="B75" i="18" s="1"/>
  <c r="C74" i="18"/>
  <c r="B76" i="18" l="1" a="1"/>
  <c r="B76" i="18" s="1"/>
  <c r="C75" i="18"/>
  <c r="B77" i="18" l="1" a="1"/>
  <c r="B77" i="18" s="1"/>
  <c r="C76" i="18"/>
  <c r="B78" i="18" l="1" a="1"/>
  <c r="B78" i="18" s="1"/>
  <c r="C77" i="18"/>
  <c r="B79" i="18" l="1" a="1"/>
  <c r="B79" i="18" s="1"/>
  <c r="C78" i="18"/>
  <c r="B80" i="18" l="1" a="1"/>
  <c r="B80" i="18" s="1"/>
  <c r="C79" i="18"/>
  <c r="B81" i="18" l="1" a="1"/>
  <c r="B81" i="18" s="1"/>
  <c r="C80" i="18"/>
  <c r="B82" i="18" l="1" a="1"/>
  <c r="B82" i="18" s="1"/>
  <c r="C81" i="18"/>
  <c r="B83" i="18" l="1" a="1"/>
  <c r="B83" i="18" s="1"/>
  <c r="C82" i="18"/>
  <c r="B84" i="18" l="1" a="1"/>
  <c r="B84" i="18" s="1"/>
  <c r="C83" i="18"/>
  <c r="B85" i="18" l="1" a="1"/>
  <c r="B85" i="18" s="1"/>
  <c r="C84" i="18"/>
  <c r="B86" i="18" l="1" a="1"/>
  <c r="B86" i="18" s="1"/>
  <c r="C85" i="18"/>
  <c r="B87" i="18" l="1" a="1"/>
  <c r="B87" i="18" s="1"/>
  <c r="C86" i="18"/>
  <c r="B88" i="18" l="1" a="1"/>
  <c r="B88" i="18" s="1"/>
  <c r="C87" i="18"/>
  <c r="B89" i="18" l="1" a="1"/>
  <c r="B89" i="18" s="1"/>
  <c r="C88" i="18"/>
  <c r="B90" i="18" l="1" a="1"/>
  <c r="B90" i="18" s="1"/>
  <c r="C89" i="18"/>
  <c r="B91" i="18" l="1" a="1"/>
  <c r="B91" i="18" s="1"/>
  <c r="C90" i="18"/>
  <c r="B92" i="18" l="1" a="1"/>
  <c r="B92" i="18" s="1"/>
  <c r="C91" i="18"/>
  <c r="B93" i="18" l="1" a="1"/>
  <c r="B93" i="18" s="1"/>
  <c r="C92" i="18"/>
  <c r="B94" i="18" l="1" a="1"/>
  <c r="B94" i="18" s="1"/>
  <c r="C93" i="18"/>
  <c r="B95" i="18" l="1" a="1"/>
  <c r="B95" i="18" s="1"/>
  <c r="C94" i="18"/>
  <c r="B96" i="18" l="1" a="1"/>
  <c r="B96" i="18" s="1"/>
  <c r="C95" i="18"/>
  <c r="B97" i="18" l="1" a="1"/>
  <c r="B97" i="18" s="1"/>
  <c r="C96" i="18"/>
  <c r="B98" i="18" l="1" a="1"/>
  <c r="B98" i="18" s="1"/>
  <c r="C97" i="18"/>
  <c r="B99" i="18" l="1" a="1"/>
  <c r="B99" i="18" s="1"/>
  <c r="C98" i="18"/>
  <c r="B100" i="18" l="1" a="1"/>
  <c r="B100" i="18" s="1"/>
  <c r="C99" i="18"/>
  <c r="B101" i="18" l="1" a="1"/>
  <c r="B101" i="18" s="1"/>
  <c r="C100" i="18"/>
  <c r="B102" i="18" l="1" a="1"/>
  <c r="B102" i="18" s="1"/>
  <c r="C101" i="18"/>
  <c r="B103" i="18" l="1" a="1"/>
  <c r="B103" i="18" s="1"/>
  <c r="C102" i="18"/>
  <c r="B104" i="18" l="1" a="1"/>
  <c r="B104" i="18" s="1"/>
  <c r="C103" i="18"/>
  <c r="B105" i="18" l="1" a="1"/>
  <c r="B105" i="18" s="1"/>
  <c r="C104" i="18"/>
  <c r="B106" i="18" l="1" a="1"/>
  <c r="B106" i="18" s="1"/>
  <c r="C105" i="18"/>
  <c r="B107" i="18" l="1" a="1"/>
  <c r="B107" i="18" s="1"/>
  <c r="C106" i="18"/>
  <c r="B108" i="18" l="1" a="1"/>
  <c r="B108" i="18" s="1"/>
  <c r="C107" i="18"/>
  <c r="B109" i="18" l="1" a="1"/>
  <c r="B109" i="18" s="1"/>
  <c r="C108" i="18"/>
  <c r="B110" i="18" l="1" a="1"/>
  <c r="B110" i="18" s="1"/>
  <c r="C109" i="18"/>
  <c r="B111" i="18" l="1" a="1"/>
  <c r="B111" i="18" s="1"/>
  <c r="C110" i="18"/>
  <c r="B112" i="18" l="1" a="1"/>
  <c r="B112" i="18" s="1"/>
  <c r="C111" i="18"/>
  <c r="B113" i="18" l="1" a="1"/>
  <c r="B113" i="18" s="1"/>
  <c r="C112" i="18"/>
  <c r="B114" i="18" l="1" a="1"/>
  <c r="B114" i="18" s="1"/>
  <c r="C113" i="18"/>
  <c r="B115" i="18" l="1" a="1"/>
  <c r="B115" i="18" s="1"/>
  <c r="C114" i="18"/>
  <c r="B116" i="18" l="1" a="1"/>
  <c r="B116" i="18" s="1"/>
  <c r="C115" i="18"/>
  <c r="B117" i="18" l="1" a="1"/>
  <c r="B117" i="18" s="1"/>
  <c r="C116" i="18"/>
  <c r="B118" i="18" l="1" a="1"/>
  <c r="B118" i="18" s="1"/>
  <c r="C117" i="18"/>
  <c r="B119" i="18" l="1" a="1"/>
  <c r="B119" i="18" s="1"/>
  <c r="C118" i="18"/>
  <c r="B120" i="18" l="1" a="1"/>
  <c r="B120" i="18" s="1"/>
  <c r="C119" i="18"/>
  <c r="B121" i="18" l="1" a="1"/>
  <c r="B121" i="18" s="1"/>
  <c r="C120" i="18"/>
  <c r="B122" i="18" l="1" a="1"/>
  <c r="B122" i="18" s="1"/>
  <c r="C121" i="18"/>
  <c r="B123" i="18" l="1" a="1"/>
  <c r="B123" i="18" s="1"/>
  <c r="C122" i="18"/>
  <c r="B124" i="18" l="1" a="1"/>
  <c r="B124" i="18" s="1"/>
  <c r="C123" i="18"/>
  <c r="B125" i="18" l="1" a="1"/>
  <c r="B125" i="18" s="1"/>
  <c r="C124" i="18"/>
  <c r="B126" i="18" l="1" a="1"/>
  <c r="B126" i="18" s="1"/>
  <c r="C125" i="18"/>
  <c r="B127" i="18" l="1" a="1"/>
  <c r="B127" i="18" s="1"/>
  <c r="C126" i="18"/>
  <c r="B128" i="18" l="1" a="1"/>
  <c r="B128" i="18" s="1"/>
  <c r="C127" i="18"/>
  <c r="B129" i="18" l="1" a="1"/>
  <c r="B129" i="18" s="1"/>
  <c r="C128" i="18"/>
  <c r="B130" i="18" l="1" a="1"/>
  <c r="B130" i="18" s="1"/>
  <c r="C129" i="18"/>
  <c r="B131" i="18" l="1" a="1"/>
  <c r="B131" i="18" s="1"/>
  <c r="C130" i="18"/>
  <c r="B132" i="18" l="1" a="1"/>
  <c r="B132" i="18" s="1"/>
  <c r="C131" i="18"/>
  <c r="B133" i="18" l="1" a="1"/>
  <c r="B133" i="18" s="1"/>
  <c r="C132" i="18"/>
  <c r="B134" i="18" l="1" a="1"/>
  <c r="B134" i="18" s="1"/>
  <c r="C133" i="18"/>
  <c r="B135" i="18" l="1" a="1"/>
  <c r="B135" i="18" s="1"/>
  <c r="C134" i="18"/>
  <c r="B136" i="18" l="1" a="1"/>
  <c r="B136" i="18" s="1"/>
  <c r="C135" i="18"/>
  <c r="B137" i="18" l="1" a="1"/>
  <c r="B137" i="18" s="1"/>
  <c r="C136" i="18"/>
  <c r="B138" i="18" l="1" a="1"/>
  <c r="B138" i="18" s="1"/>
  <c r="C137" i="18"/>
  <c r="B139" i="18" l="1" a="1"/>
  <c r="B139" i="18" s="1"/>
  <c r="C138" i="18"/>
  <c r="B140" i="18" l="1" a="1"/>
  <c r="B140" i="18" s="1"/>
  <c r="C139" i="18"/>
  <c r="B141" i="18" l="1" a="1"/>
  <c r="B141" i="18" s="1"/>
  <c r="C140" i="18"/>
  <c r="B142" i="18" l="1" a="1"/>
  <c r="B142" i="18" s="1"/>
  <c r="C141" i="18"/>
  <c r="B143" i="18" l="1" a="1"/>
  <c r="B143" i="18" s="1"/>
  <c r="C142" i="18"/>
  <c r="B144" i="18" l="1" a="1"/>
  <c r="B144" i="18" s="1"/>
  <c r="C143" i="18"/>
  <c r="B145" i="18" l="1" a="1"/>
  <c r="B145" i="18" s="1"/>
  <c r="C144" i="18"/>
  <c r="B146" i="18" l="1" a="1"/>
  <c r="B146" i="18" s="1"/>
  <c r="C145" i="18"/>
  <c r="B147" i="18" l="1" a="1"/>
  <c r="B147" i="18" s="1"/>
  <c r="C146" i="18"/>
  <c r="B148" i="18" l="1" a="1"/>
  <c r="B148" i="18" s="1"/>
  <c r="C147" i="18"/>
  <c r="B149" i="18" l="1" a="1"/>
  <c r="B149" i="18" s="1"/>
  <c r="C148" i="18"/>
  <c r="B150" i="18" l="1" a="1"/>
  <c r="B150" i="18" s="1"/>
  <c r="C149" i="18"/>
  <c r="B151" i="18" l="1" a="1"/>
  <c r="B151" i="18" s="1"/>
  <c r="C150" i="18"/>
  <c r="B152" i="18" l="1" a="1"/>
  <c r="B152" i="18" s="1"/>
  <c r="C151" i="18"/>
  <c r="B153" i="18" l="1" a="1"/>
  <c r="B153" i="18" s="1"/>
  <c r="C152" i="18"/>
  <c r="B154" i="18" l="1" a="1"/>
  <c r="B154" i="18" s="1"/>
  <c r="C153" i="18"/>
  <c r="B155" i="18" l="1" a="1"/>
  <c r="B155" i="18" s="1"/>
  <c r="C154" i="18"/>
  <c r="B156" i="18" l="1" a="1"/>
  <c r="B156" i="18" s="1"/>
  <c r="C155" i="18"/>
  <c r="B157" i="18" l="1" a="1"/>
  <c r="B157" i="18" s="1"/>
  <c r="C156" i="18"/>
  <c r="B158" i="18" l="1" a="1"/>
  <c r="B158" i="18" s="1"/>
  <c r="C157" i="18"/>
  <c r="B159" i="18" l="1" a="1"/>
  <c r="B159" i="18" s="1"/>
  <c r="C158" i="18"/>
  <c r="B160" i="18" l="1" a="1"/>
  <c r="B160" i="18" s="1"/>
  <c r="C159" i="18"/>
  <c r="B161" i="18" l="1" a="1"/>
  <c r="B161" i="18" s="1"/>
  <c r="C160" i="18"/>
  <c r="B162" i="18" l="1" a="1"/>
  <c r="B162" i="18" s="1"/>
  <c r="C161" i="18"/>
  <c r="B163" i="18" l="1" a="1"/>
  <c r="B163" i="18" s="1"/>
  <c r="C162" i="18"/>
  <c r="B164" i="18" l="1" a="1"/>
  <c r="B164" i="18" s="1"/>
  <c r="C163" i="18"/>
  <c r="B165" i="18" l="1" a="1"/>
  <c r="B165" i="18" s="1"/>
  <c r="C164" i="18"/>
  <c r="B166" i="18" l="1" a="1"/>
  <c r="B166" i="18" s="1"/>
  <c r="C165" i="18"/>
  <c r="B167" i="18" l="1" a="1"/>
  <c r="B167" i="18" s="1"/>
  <c r="C166" i="18"/>
  <c r="B168" i="18" l="1" a="1"/>
  <c r="B168" i="18" s="1"/>
  <c r="C167" i="18"/>
  <c r="B169" i="18" l="1" a="1"/>
  <c r="B169" i="18" s="1"/>
  <c r="C168" i="18"/>
  <c r="B170" i="18" l="1" a="1"/>
  <c r="B170" i="18" s="1"/>
  <c r="C169" i="18"/>
  <c r="B171" i="18" l="1" a="1"/>
  <c r="B171" i="18" s="1"/>
  <c r="C170" i="18"/>
  <c r="B172" i="18" l="1" a="1"/>
  <c r="B172" i="18" s="1"/>
  <c r="C171" i="18"/>
  <c r="B173" i="18" l="1" a="1"/>
  <c r="B173" i="18" s="1"/>
  <c r="C172" i="18"/>
  <c r="B174" i="18" l="1" a="1"/>
  <c r="B174" i="18" s="1"/>
  <c r="C173" i="18"/>
  <c r="B175" i="18" l="1" a="1"/>
  <c r="B175" i="18" s="1"/>
  <c r="C174" i="18"/>
  <c r="B176" i="18" l="1" a="1"/>
  <c r="B176" i="18" s="1"/>
  <c r="C175" i="18"/>
  <c r="B177" i="18" l="1" a="1"/>
  <c r="B177" i="18" s="1"/>
  <c r="C176" i="18"/>
  <c r="B178" i="18" l="1" a="1"/>
  <c r="B178" i="18" s="1"/>
  <c r="C177" i="18"/>
  <c r="B179" i="18" l="1" a="1"/>
  <c r="B179" i="18" s="1"/>
  <c r="C178" i="18"/>
  <c r="B180" i="18" l="1" a="1"/>
  <c r="B180" i="18" s="1"/>
  <c r="C179" i="18"/>
  <c r="B181" i="18" l="1" a="1"/>
  <c r="B181" i="18" s="1"/>
  <c r="C180" i="18"/>
  <c r="B182" i="18" l="1" a="1"/>
  <c r="B182" i="18" s="1"/>
  <c r="C181" i="18"/>
  <c r="B183" i="18" l="1" a="1"/>
  <c r="B183" i="18" s="1"/>
  <c r="C182" i="18"/>
  <c r="B184" i="18" l="1" a="1"/>
  <c r="B184" i="18" s="1"/>
  <c r="C183" i="18"/>
  <c r="B185" i="18" l="1" a="1"/>
  <c r="B185" i="18" s="1"/>
  <c r="C184" i="18"/>
  <c r="B186" i="18" l="1" a="1"/>
  <c r="B186" i="18" s="1"/>
  <c r="C185" i="18"/>
  <c r="B187" i="18" l="1" a="1"/>
  <c r="B187" i="18" s="1"/>
  <c r="C186" i="18"/>
  <c r="B188" i="18" l="1" a="1"/>
  <c r="B188" i="18" s="1"/>
  <c r="C187" i="18"/>
  <c r="B189" i="18" l="1" a="1"/>
  <c r="B189" i="18" s="1"/>
  <c r="C188" i="18"/>
  <c r="B190" i="18" l="1" a="1"/>
  <c r="B190" i="18" s="1"/>
  <c r="C189" i="18"/>
  <c r="B191" i="18" l="1" a="1"/>
  <c r="B191" i="18" s="1"/>
  <c r="C190" i="18"/>
  <c r="B192" i="18" l="1" a="1"/>
  <c r="B192" i="18" s="1"/>
  <c r="C191" i="18"/>
  <c r="B193" i="18" l="1" a="1"/>
  <c r="B193" i="18" s="1"/>
  <c r="C192" i="18"/>
  <c r="B194" i="18" l="1" a="1"/>
  <c r="B194" i="18" s="1"/>
  <c r="C193" i="18"/>
  <c r="B195" i="18" l="1" a="1"/>
  <c r="B195" i="18" s="1"/>
  <c r="C194" i="18"/>
  <c r="B196" i="18" l="1" a="1"/>
  <c r="B196" i="18" s="1"/>
  <c r="C195" i="18"/>
  <c r="B197" i="18" l="1" a="1"/>
  <c r="B197" i="18" s="1"/>
  <c r="C196" i="18"/>
  <c r="B198" i="18" l="1" a="1"/>
  <c r="B198" i="18" s="1"/>
  <c r="C197" i="18"/>
  <c r="B199" i="18" l="1" a="1"/>
  <c r="B199" i="18" s="1"/>
  <c r="C198" i="18"/>
  <c r="B200" i="18" l="1" a="1"/>
  <c r="B200" i="18" s="1"/>
  <c r="C199" i="18"/>
  <c r="B201" i="18" l="1" a="1"/>
  <c r="B201" i="18" s="1"/>
  <c r="C200" i="18"/>
  <c r="B202" i="18" l="1" a="1"/>
  <c r="B202" i="18" s="1"/>
  <c r="C201" i="18"/>
  <c r="B203" i="18" l="1" a="1"/>
  <c r="B203" i="18" s="1"/>
  <c r="C202" i="18"/>
  <c r="B204" i="18" l="1" a="1"/>
  <c r="B204" i="18" s="1"/>
  <c r="C203" i="18"/>
  <c r="B205" i="18" l="1" a="1"/>
  <c r="B205" i="18" s="1"/>
  <c r="C204" i="18"/>
  <c r="B206" i="18" l="1" a="1"/>
  <c r="B206" i="18" s="1"/>
  <c r="C205" i="18"/>
  <c r="B207" i="18" l="1" a="1"/>
  <c r="B207" i="18" s="1"/>
  <c r="C206" i="18"/>
  <c r="B208" i="18" l="1" a="1"/>
  <c r="B208" i="18" s="1"/>
  <c r="C207" i="18"/>
  <c r="B209" i="18" l="1" a="1"/>
  <c r="B209" i="18" s="1"/>
  <c r="C208" i="18"/>
  <c r="B210" i="18" l="1" a="1"/>
  <c r="B210" i="18" s="1"/>
  <c r="C209" i="18"/>
  <c r="B211" i="18" l="1" a="1"/>
  <c r="B211" i="18" s="1"/>
  <c r="C210" i="18"/>
  <c r="B212" i="18" l="1" a="1"/>
  <c r="B212" i="18" s="1"/>
  <c r="C212" i="18" s="1"/>
  <c r="D22" i="18" s="1" a="1"/>
  <c r="D22" i="18" s="1"/>
  <c r="C211" i="18"/>
  <c r="D23" i="18" l="1" a="1"/>
  <c r="D23" i="18" s="1"/>
  <c r="D24" i="18" l="1" a="1"/>
  <c r="D24" i="18" s="1"/>
  <c r="D25" i="18" l="1" a="1"/>
  <c r="D25" i="18" s="1"/>
  <c r="D26" i="18" l="1" a="1"/>
  <c r="D26" i="18" s="1"/>
  <c r="D27" i="18" l="1" a="1"/>
  <c r="D27" i="18" s="1"/>
  <c r="D28" i="18" l="1" a="1"/>
  <c r="D28" i="18" s="1"/>
  <c r="D29" i="18" l="1" a="1"/>
  <c r="D29" i="18" s="1"/>
  <c r="D30" i="18" l="1" a="1"/>
  <c r="D30" i="18" s="1"/>
  <c r="D31" i="18" l="1" a="1"/>
  <c r="D31" i="18" s="1"/>
  <c r="D32" i="18" l="1" a="1"/>
  <c r="D32" i="18" s="1"/>
  <c r="D33" i="18" l="1" a="1"/>
  <c r="D33" i="18" s="1"/>
  <c r="D34" i="18" l="1" a="1"/>
  <c r="D34" i="18" s="1"/>
  <c r="D35" i="18" l="1" a="1"/>
  <c r="D35" i="18" s="1"/>
  <c r="D36" i="18" l="1" a="1"/>
  <c r="D36" i="18" s="1"/>
  <c r="D37" i="18" l="1" a="1"/>
  <c r="D37" i="18" s="1"/>
  <c r="D38" i="18" l="1" a="1"/>
  <c r="D38" i="18"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<sst xmlns="http://schemas.openxmlformats.org/spreadsheetml/2006/main" count="14884" uniqueCount="496">
  <si>
    <t>Target microorganism</t>
  </si>
  <si>
    <r>
      <t>LOD in DNA samples (GCN·μL</t>
    </r>
    <r>
      <rPr>
        <b/>
        <vertAlign val="superscript"/>
        <sz val="12"/>
        <color theme="1"/>
        <rFont val="Times New Roman"/>
        <family val="1"/>
      </rPr>
      <t>-1</t>
    </r>
    <r>
      <rPr>
        <b/>
        <sz val="12"/>
        <color theme="1"/>
        <rFont val="Times New Roman"/>
        <family val="1"/>
      </rPr>
      <t>)</t>
    </r>
  </si>
  <si>
    <r>
      <t>Concentration in drinking water samples (GCN·μL</t>
    </r>
    <r>
      <rPr>
        <b/>
        <vertAlign val="superscript"/>
        <sz val="12"/>
        <color theme="1"/>
        <rFont val="Times New Roman"/>
        <family val="1"/>
      </rPr>
      <t>-1</t>
    </r>
    <r>
      <rPr>
        <b/>
        <sz val="12"/>
        <color theme="1"/>
        <rFont val="Times New Roman"/>
        <family val="1"/>
      </rPr>
      <t>)</t>
    </r>
  </si>
  <si>
    <t>Legionella</t>
  </si>
  <si>
    <r>
      <rPr>
        <i/>
        <sz val="12"/>
        <color theme="1"/>
        <rFont val="Times New Roman"/>
        <family val="1"/>
      </rPr>
      <t>C</t>
    </r>
    <r>
      <rPr>
        <i/>
        <vertAlign val="subscript"/>
        <sz val="12"/>
        <color theme="1"/>
        <rFont val="Times New Roman"/>
        <family val="1"/>
      </rPr>
      <t>Water</t>
    </r>
    <r>
      <rPr>
        <sz val="12"/>
        <color theme="1"/>
        <rFont val="Times New Roman"/>
        <family val="1"/>
      </rPr>
      <t xml:space="preserve"> = </t>
    </r>
    <r>
      <rPr>
        <i/>
        <sz val="12"/>
        <color theme="1"/>
        <rFont val="Times New Roman"/>
        <family val="1"/>
      </rPr>
      <t>C</t>
    </r>
    <r>
      <rPr>
        <i/>
        <vertAlign val="subscript"/>
        <sz val="12"/>
        <color theme="1"/>
        <rFont val="Times New Roman"/>
        <family val="1"/>
      </rPr>
      <t>DNA</t>
    </r>
    <r>
      <rPr>
        <sz val="12"/>
        <color theme="1"/>
        <rFont val="Times New Roman"/>
        <family val="1"/>
      </rPr>
      <t xml:space="preserve"> × </t>
    </r>
    <r>
      <rPr>
        <i/>
        <sz val="12"/>
        <color theme="1"/>
        <rFont val="Times New Roman"/>
        <family val="1"/>
      </rPr>
      <t>V</t>
    </r>
    <r>
      <rPr>
        <i/>
        <vertAlign val="subscript"/>
        <sz val="12"/>
        <color theme="1"/>
        <rFont val="Times New Roman"/>
        <family val="1"/>
      </rPr>
      <t>E</t>
    </r>
    <r>
      <rPr>
        <sz val="12"/>
        <color theme="1"/>
        <rFont val="Times New Roman"/>
        <family val="1"/>
      </rPr>
      <t xml:space="preserve"> × </t>
    </r>
    <r>
      <rPr>
        <i/>
        <sz val="12"/>
        <color theme="1"/>
        <rFont val="Times New Roman"/>
        <family val="1"/>
      </rPr>
      <t>D</t>
    </r>
    <r>
      <rPr>
        <sz val="12"/>
        <color theme="1"/>
        <rFont val="Times New Roman"/>
        <family val="1"/>
      </rPr>
      <t xml:space="preserve"> ÷ (</t>
    </r>
    <r>
      <rPr>
        <i/>
        <sz val="12"/>
        <color theme="1"/>
        <rFont val="Times New Roman"/>
        <family val="1"/>
      </rPr>
      <t>V</t>
    </r>
    <r>
      <rPr>
        <i/>
        <vertAlign val="subscript"/>
        <sz val="12"/>
        <color theme="1"/>
        <rFont val="Times New Roman"/>
        <family val="1"/>
      </rPr>
      <t>F</t>
    </r>
    <r>
      <rPr>
        <sz val="12"/>
        <color theme="1"/>
        <rFont val="Times New Roman"/>
        <family val="1"/>
      </rPr>
      <t xml:space="preserve"> × 1,000 mL/L)</t>
    </r>
  </si>
  <si>
    <t>Mycobacterium</t>
  </si>
  <si>
    <t>Pseudomonas</t>
  </si>
  <si>
    <t>V. vermiformis</t>
  </si>
  <si>
    <t>Total bacteria</t>
  </si>
  <si>
    <r>
      <rPr>
        <i/>
        <sz val="12"/>
        <color theme="1"/>
        <rFont val="Times New Roman"/>
        <family val="1"/>
      </rPr>
      <t>C</t>
    </r>
    <r>
      <rPr>
        <i/>
        <vertAlign val="subscript"/>
        <sz val="12"/>
        <color theme="1"/>
        <rFont val="Times New Roman"/>
        <family val="1"/>
      </rPr>
      <t>Water</t>
    </r>
    <r>
      <rPr>
        <sz val="12"/>
        <color theme="1"/>
        <rFont val="Times New Roman"/>
        <family val="1"/>
      </rPr>
      <t xml:space="preserve"> = (</t>
    </r>
    <r>
      <rPr>
        <i/>
        <sz val="12"/>
        <color theme="1"/>
        <rFont val="Times New Roman"/>
        <family val="1"/>
      </rPr>
      <t>C</t>
    </r>
    <r>
      <rPr>
        <i/>
        <vertAlign val="subscript"/>
        <sz val="12"/>
        <color theme="1"/>
        <rFont val="Times New Roman"/>
        <family val="1"/>
      </rPr>
      <t>DNA</t>
    </r>
    <r>
      <rPr>
        <sz val="12"/>
        <color theme="1"/>
        <rFont val="Times New Roman"/>
        <family val="1"/>
      </rPr>
      <t xml:space="preserve"> - </t>
    </r>
    <r>
      <rPr>
        <i/>
        <sz val="12"/>
        <color theme="1"/>
        <rFont val="Times New Roman"/>
        <family val="1"/>
      </rPr>
      <t>C</t>
    </r>
    <r>
      <rPr>
        <i/>
        <vertAlign val="subscript"/>
        <sz val="12"/>
        <color theme="1"/>
        <rFont val="Times New Roman"/>
        <family val="1"/>
      </rPr>
      <t>Blank</t>
    </r>
    <r>
      <rPr>
        <sz val="12"/>
        <color theme="1"/>
        <rFont val="Times New Roman"/>
        <family val="1"/>
      </rPr>
      <t xml:space="preserve">) × </t>
    </r>
    <r>
      <rPr>
        <i/>
        <sz val="12"/>
        <color theme="1"/>
        <rFont val="Times New Roman"/>
        <family val="1"/>
      </rPr>
      <t>V</t>
    </r>
    <r>
      <rPr>
        <i/>
        <vertAlign val="subscript"/>
        <sz val="12"/>
        <color theme="1"/>
        <rFont val="Times New Roman"/>
        <family val="1"/>
      </rPr>
      <t>E</t>
    </r>
    <r>
      <rPr>
        <sz val="12"/>
        <color theme="1"/>
        <rFont val="Times New Roman"/>
        <family val="1"/>
      </rPr>
      <t xml:space="preserve"> × </t>
    </r>
    <r>
      <rPr>
        <i/>
        <sz val="12"/>
        <color theme="1"/>
        <rFont val="Times New Roman"/>
        <family val="1"/>
      </rPr>
      <t>D</t>
    </r>
    <r>
      <rPr>
        <sz val="12"/>
        <color theme="1"/>
        <rFont val="Times New Roman"/>
        <family val="1"/>
      </rPr>
      <t xml:space="preserve"> ÷ (</t>
    </r>
    <r>
      <rPr>
        <i/>
        <sz val="12"/>
        <color theme="1"/>
        <rFont val="Times New Roman"/>
        <family val="1"/>
      </rPr>
      <t>V</t>
    </r>
    <r>
      <rPr>
        <i/>
        <vertAlign val="subscript"/>
        <sz val="12"/>
        <color theme="1"/>
        <rFont val="Times New Roman"/>
        <family val="1"/>
      </rPr>
      <t>F</t>
    </r>
    <r>
      <rPr>
        <sz val="12"/>
        <color theme="1"/>
        <rFont val="Times New Roman"/>
        <family val="1"/>
      </rPr>
      <t xml:space="preserve"> × 1,000 mL/L)</t>
    </r>
  </si>
  <si>
    <r>
      <rPr>
        <b/>
        <i/>
        <sz val="12"/>
        <color theme="1"/>
        <rFont val="Times New Roman"/>
        <family val="1"/>
      </rPr>
      <t>V</t>
    </r>
    <r>
      <rPr>
        <b/>
        <i/>
        <vertAlign val="subscript"/>
        <sz val="12"/>
        <color theme="1"/>
        <rFont val="Times New Roman"/>
        <family val="1"/>
      </rPr>
      <t>E</t>
    </r>
    <r>
      <rPr>
        <b/>
        <sz val="12"/>
        <color theme="1"/>
        <rFont val="Times New Roman"/>
        <family val="1"/>
      </rPr>
      <t>:</t>
    </r>
    <r>
      <rPr>
        <sz val="12"/>
        <color theme="1"/>
        <rFont val="Times New Roman"/>
        <family val="1"/>
      </rPr>
      <t xml:space="preserve"> The volume of molecular grade water used to resuspend the DNA extract of each drinking water sample (100 μL)</t>
    </r>
  </si>
  <si>
    <r>
      <rPr>
        <b/>
        <i/>
        <sz val="12"/>
        <color theme="1"/>
        <rFont val="Times New Roman"/>
        <family val="1"/>
      </rPr>
      <t>D</t>
    </r>
    <r>
      <rPr>
        <sz val="12"/>
        <color theme="1"/>
        <rFont val="Times New Roman"/>
        <family val="1"/>
      </rPr>
      <t>: The dilution factor (1 for an undiluted DNA sample and 10 for a ten-times diluted DNA solution)</t>
    </r>
  </si>
  <si>
    <r>
      <rPr>
        <b/>
        <i/>
        <sz val="12"/>
        <color theme="1"/>
        <rFont val="Times New Roman"/>
        <family val="1"/>
      </rPr>
      <t>V</t>
    </r>
    <r>
      <rPr>
        <b/>
        <i/>
        <vertAlign val="subscript"/>
        <sz val="12"/>
        <color theme="1"/>
        <rFont val="Times New Roman"/>
        <family val="1"/>
      </rPr>
      <t>F</t>
    </r>
    <r>
      <rPr>
        <sz val="12"/>
        <color theme="1"/>
        <rFont val="Times New Roman"/>
        <family val="1"/>
      </rPr>
      <t>: The volume of a drinking water sample filtered (mL)</t>
    </r>
  </si>
  <si>
    <t>Location</t>
  </si>
  <si>
    <t>Abbreviation</t>
  </si>
  <si>
    <t>Note</t>
  </si>
  <si>
    <r>
      <rPr>
        <b/>
        <sz val="12"/>
        <color rgb="FFFF0000"/>
        <rFont val="Times New Roman"/>
        <family val="1"/>
      </rPr>
      <t>E</t>
    </r>
    <r>
      <rPr>
        <sz val="12"/>
        <rFont val="Times New Roman"/>
        <family val="1"/>
      </rPr>
      <t xml:space="preserve">ntry </t>
    </r>
    <r>
      <rPr>
        <b/>
        <sz val="12"/>
        <color rgb="FFFF0000"/>
        <rFont val="Times New Roman"/>
        <family val="1"/>
      </rPr>
      <t>P</t>
    </r>
    <r>
      <rPr>
        <sz val="12"/>
        <rFont val="Times New Roman"/>
        <family val="1"/>
      </rPr>
      <t xml:space="preserve">oint of the Distribution System. </t>
    </r>
  </si>
  <si>
    <t>EP</t>
  </si>
  <si>
    <t>The plant effluent</t>
  </si>
  <si>
    <r>
      <t xml:space="preserve">Water Storage Tank </t>
    </r>
    <r>
      <rPr>
        <b/>
        <sz val="12"/>
        <color rgb="FFFF0000"/>
        <rFont val="Times New Roman"/>
        <family val="1"/>
      </rPr>
      <t>S</t>
    </r>
    <r>
      <rPr>
        <sz val="12"/>
        <rFont val="Times New Roman"/>
        <family val="1"/>
      </rPr>
      <t>tand</t>
    </r>
    <r>
      <rPr>
        <b/>
        <sz val="12"/>
        <color rgb="FFFF0000"/>
        <rFont val="Times New Roman"/>
        <family val="1"/>
      </rPr>
      <t>p</t>
    </r>
    <r>
      <rPr>
        <sz val="12"/>
        <rFont val="Times New Roman"/>
        <family val="1"/>
      </rPr>
      <t xml:space="preserve">ipe </t>
    </r>
    <r>
      <rPr>
        <b/>
        <sz val="12"/>
        <color rgb="FFFF0000"/>
        <rFont val="Times New Roman"/>
        <family val="1"/>
      </rPr>
      <t>I</t>
    </r>
    <r>
      <rPr>
        <sz val="12"/>
        <rFont val="Times New Roman"/>
        <family val="1"/>
      </rPr>
      <t>nlet</t>
    </r>
  </si>
  <si>
    <t>SPI</t>
  </si>
  <si>
    <t>The site "STb" in the raw dataset</t>
  </si>
  <si>
    <r>
      <t xml:space="preserve">Water Storage Tank </t>
    </r>
    <r>
      <rPr>
        <b/>
        <sz val="12"/>
        <color rgb="FFFF0000"/>
        <rFont val="Times New Roman"/>
        <family val="1"/>
      </rPr>
      <t>S</t>
    </r>
    <r>
      <rPr>
        <sz val="12"/>
        <rFont val="Times New Roman"/>
        <family val="1"/>
      </rPr>
      <t>tand</t>
    </r>
    <r>
      <rPr>
        <b/>
        <sz val="12"/>
        <color rgb="FFFF0000"/>
        <rFont val="Times New Roman"/>
        <family val="1"/>
      </rPr>
      <t>p</t>
    </r>
    <r>
      <rPr>
        <sz val="12"/>
        <rFont val="Times New Roman"/>
        <family val="1"/>
      </rPr>
      <t xml:space="preserve">ipe </t>
    </r>
    <r>
      <rPr>
        <b/>
        <sz val="12"/>
        <color rgb="FFFF0000"/>
        <rFont val="Times New Roman"/>
        <family val="1"/>
      </rPr>
      <t>O</t>
    </r>
    <r>
      <rPr>
        <sz val="12"/>
        <rFont val="Times New Roman"/>
        <family val="1"/>
      </rPr>
      <t>utlet</t>
    </r>
  </si>
  <si>
    <t>SPO</t>
  </si>
  <si>
    <t>The site "STa" in the raw dataset</t>
  </si>
  <si>
    <t>Extreme End of the Distribution System</t>
  </si>
  <si>
    <t>MRT</t>
  </si>
  <si>
    <r>
      <t xml:space="preserve">Represents the </t>
    </r>
    <r>
      <rPr>
        <b/>
        <sz val="12"/>
        <color rgb="FFFF0000"/>
        <rFont val="Times New Roman"/>
        <family val="1"/>
      </rPr>
      <t>m</t>
    </r>
    <r>
      <rPr>
        <sz val="12"/>
        <rFont val="Times New Roman"/>
        <family val="1"/>
      </rPr>
      <t xml:space="preserve">aximum hydraulic </t>
    </r>
    <r>
      <rPr>
        <b/>
        <sz val="12"/>
        <color rgb="FFFF0000"/>
        <rFont val="Times New Roman"/>
        <family val="1"/>
      </rPr>
      <t>r</t>
    </r>
    <r>
      <rPr>
        <sz val="12"/>
        <rFont val="Times New Roman"/>
        <family val="1"/>
      </rPr>
      <t xml:space="preserve">esidence </t>
    </r>
    <r>
      <rPr>
        <b/>
        <sz val="12"/>
        <color rgb="FFFF0000"/>
        <rFont val="Times New Roman"/>
        <family val="1"/>
      </rPr>
      <t>t</t>
    </r>
    <r>
      <rPr>
        <sz val="12"/>
        <rFont val="Times New Roman"/>
        <family val="1"/>
      </rPr>
      <t>ime</t>
    </r>
  </si>
  <si>
    <r>
      <rPr>
        <b/>
        <sz val="12"/>
        <color rgb="FFFF0000"/>
        <rFont val="Times New Roman"/>
        <family val="1"/>
      </rPr>
      <t>N</t>
    </r>
    <r>
      <rPr>
        <sz val="12"/>
        <rFont val="Times New Roman"/>
        <family val="1"/>
      </rPr>
      <t xml:space="preserve">orthern </t>
    </r>
    <r>
      <rPr>
        <b/>
        <sz val="12"/>
        <color rgb="FFFF0000"/>
        <rFont val="Times New Roman"/>
        <family val="1"/>
      </rPr>
      <t>R</t>
    </r>
    <r>
      <rPr>
        <sz val="12"/>
        <rFont val="Times New Roman"/>
        <family val="1"/>
      </rPr>
      <t>esidential Sampling Site</t>
    </r>
  </si>
  <si>
    <t>RN</t>
  </si>
  <si>
    <t>The site "RG" in the raw dataset</t>
  </si>
  <si>
    <r>
      <rPr>
        <b/>
        <sz val="12"/>
        <color rgb="FFFF0000"/>
        <rFont val="Times New Roman"/>
        <family val="1"/>
      </rPr>
      <t>U</t>
    </r>
    <r>
      <rPr>
        <sz val="12"/>
        <rFont val="Times New Roman"/>
        <family val="1"/>
      </rPr>
      <t xml:space="preserve">pper Midtown </t>
    </r>
    <r>
      <rPr>
        <b/>
        <sz val="12"/>
        <color rgb="FFFF0000"/>
        <rFont val="Times New Roman"/>
        <family val="1"/>
      </rPr>
      <t>R</t>
    </r>
    <r>
      <rPr>
        <sz val="12"/>
        <rFont val="Times New Roman"/>
        <family val="1"/>
      </rPr>
      <t>esidential Sampling Site</t>
    </r>
  </si>
  <si>
    <t>RU</t>
  </si>
  <si>
    <t>The site "RT" in the raw dataset</t>
  </si>
  <si>
    <r>
      <rPr>
        <b/>
        <sz val="12"/>
        <color rgb="FFFF0000"/>
        <rFont val="Times New Roman"/>
        <family val="1"/>
      </rPr>
      <t>L</t>
    </r>
    <r>
      <rPr>
        <sz val="12"/>
        <rFont val="Times New Roman"/>
        <family val="1"/>
      </rPr>
      <t xml:space="preserve">ower Midtown </t>
    </r>
    <r>
      <rPr>
        <b/>
        <sz val="12"/>
        <color rgb="FFFF0000"/>
        <rFont val="Times New Roman"/>
        <family val="1"/>
      </rPr>
      <t>R</t>
    </r>
    <r>
      <rPr>
        <sz val="12"/>
        <rFont val="Times New Roman"/>
        <family val="1"/>
      </rPr>
      <t>esidential Sampling Site</t>
    </r>
  </si>
  <si>
    <t>RL</t>
  </si>
  <si>
    <t>The site "RW" in the raw dataset</t>
  </si>
  <si>
    <r>
      <rPr>
        <b/>
        <sz val="12"/>
        <color rgb="FFFF0000"/>
        <rFont val="Times New Roman"/>
        <family val="1"/>
      </rPr>
      <t>S</t>
    </r>
    <r>
      <rPr>
        <sz val="12"/>
        <rFont val="Times New Roman"/>
        <family val="1"/>
      </rPr>
      <t xml:space="preserve">ourthern </t>
    </r>
    <r>
      <rPr>
        <b/>
        <sz val="12"/>
        <color rgb="FFFF0000"/>
        <rFont val="Times New Roman"/>
        <family val="1"/>
      </rPr>
      <t>R</t>
    </r>
    <r>
      <rPr>
        <sz val="12"/>
        <rFont val="Times New Roman"/>
        <family val="1"/>
      </rPr>
      <t>esidential Sampling Site</t>
    </r>
  </si>
  <si>
    <t>RS</t>
  </si>
  <si>
    <t>The site "RC" in the raw dataset</t>
  </si>
  <si>
    <t>Original file name</t>
  </si>
  <si>
    <t>Original tab name</t>
  </si>
  <si>
    <t>Tab name in this file</t>
  </si>
  <si>
    <t>Notes for data transfer</t>
  </si>
  <si>
    <t>2021 Region 6_qPCR_Sum2_Edit.xlsx</t>
  </si>
  <si>
    <t>qPCR_Raw</t>
  </si>
  <si>
    <t>Summarized Data 1</t>
  </si>
  <si>
    <t>Univeral 16S Bacteria</t>
  </si>
  <si>
    <t>16S Legionella</t>
  </si>
  <si>
    <t>23S Myco</t>
  </si>
  <si>
    <t>Pseudomonas aeruginosa</t>
  </si>
  <si>
    <t>Vermamoeba vermiformis</t>
  </si>
  <si>
    <t>DNA</t>
  </si>
  <si>
    <t>1:10 Dilution</t>
  </si>
  <si>
    <t>Sample Name</t>
  </si>
  <si>
    <t>Date</t>
  </si>
  <si>
    <t>Filtered Volume (mL)</t>
  </si>
  <si>
    <t>Extracted? (Y/N)</t>
  </si>
  <si>
    <t>Date Extracted</t>
  </si>
  <si>
    <t>Elution Volume (uL)</t>
  </si>
  <si>
    <t>Ct</t>
  </si>
  <si>
    <t>Copy#/uL</t>
  </si>
  <si>
    <t>Correction with Blank</t>
  </si>
  <si>
    <t>Copy#/mL</t>
  </si>
  <si>
    <t>EP-6</t>
  </si>
  <si>
    <t>Y</t>
  </si>
  <si>
    <t>Undetermined</t>
  </si>
  <si>
    <t>EP-7</t>
  </si>
  <si>
    <t>RW-6</t>
  </si>
  <si>
    <t>RW-7</t>
  </si>
  <si>
    <t>MRT-6</t>
  </si>
  <si>
    <t>MRT-7</t>
  </si>
  <si>
    <t>RT-6</t>
  </si>
  <si>
    <t>RT-7</t>
  </si>
  <si>
    <t>STb-6</t>
  </si>
  <si>
    <t>STb-7</t>
  </si>
  <si>
    <t>RC 6</t>
  </si>
  <si>
    <t>RC 7</t>
  </si>
  <si>
    <t>RG 6</t>
  </si>
  <si>
    <t>RG 7</t>
  </si>
  <si>
    <t>Sta-6</t>
  </si>
  <si>
    <t>Sta 7</t>
  </si>
  <si>
    <t/>
  </si>
  <si>
    <t>Average blank correction ug/L</t>
  </si>
  <si>
    <t>2021 Region 6 Water parameter Data_2021-09-27.xlsx</t>
  </si>
  <si>
    <t>STb</t>
  </si>
  <si>
    <t>Sta</t>
  </si>
  <si>
    <t>STa</t>
  </si>
  <si>
    <t>RG</t>
  </si>
  <si>
    <t>RT</t>
  </si>
  <si>
    <t>RW</t>
  </si>
  <si>
    <t>RC</t>
  </si>
  <si>
    <t>SL1000 Measurements (mg/L)</t>
  </si>
  <si>
    <t>Analytical Lab Results</t>
  </si>
  <si>
    <t>Benchtop Analysis</t>
  </si>
  <si>
    <t>Sample Date/Time</t>
  </si>
  <si>
    <t>Sample ID</t>
  </si>
  <si>
    <t>pH</t>
  </si>
  <si>
    <r>
      <t>Temperature (</t>
    </r>
    <r>
      <rPr>
        <sz val="11"/>
        <color theme="1"/>
        <rFont val="Calibri"/>
        <family val="2"/>
      </rPr>
      <t>˚</t>
    </r>
    <r>
      <rPr>
        <sz val="11"/>
        <color theme="1"/>
        <rFont val="Calibri"/>
        <family val="2"/>
        <scheme val="minor"/>
      </rPr>
      <t>C)</t>
    </r>
  </si>
  <si>
    <t>Free Chlorine (mg/L)</t>
  </si>
  <si>
    <t>Total Chlorine</t>
  </si>
  <si>
    <t>Monochloramine</t>
  </si>
  <si>
    <t>Free Ammonia</t>
  </si>
  <si>
    <t>Nitrite</t>
  </si>
  <si>
    <t>Orthophosphate</t>
  </si>
  <si>
    <t>NH3</t>
  </si>
  <si>
    <t>PO4</t>
  </si>
  <si>
    <t>NO3</t>
  </si>
  <si>
    <t>NO2</t>
  </si>
  <si>
    <t>Turbidity</t>
  </si>
  <si>
    <t>Color</t>
  </si>
  <si>
    <t>Copper (mg/L)</t>
  </si>
  <si>
    <t>Iron (mg/L)</t>
  </si>
  <si>
    <t>Comments</t>
  </si>
  <si>
    <t>Water Treatment Plant</t>
  </si>
  <si>
    <t>Trial run</t>
  </si>
  <si>
    <t>Storage tank outlet</t>
  </si>
  <si>
    <t>29,5</t>
  </si>
  <si>
    <t>Storage Tank inlet</t>
  </si>
  <si>
    <t>retest turbidity: 0.247</t>
  </si>
  <si>
    <t>DBP01 Texaco Master Meter</t>
  </si>
  <si>
    <t>&gt;0.6</t>
  </si>
  <si>
    <t>Sample Time</t>
  </si>
  <si>
    <t>232 Gabreton (Kitchen)</t>
  </si>
  <si>
    <t>Trial run; No stagnation</t>
  </si>
  <si>
    <t>232 Gabreton (Bathroom)</t>
  </si>
  <si>
    <t>232 Gabreton  (Kitchen)</t>
  </si>
  <si>
    <t xml:space="preserve">First time observing higher copper levels </t>
  </si>
  <si>
    <t>Chlorine burn started 6/14</t>
  </si>
  <si>
    <t>212 Tudor (Kitchen)</t>
  </si>
  <si>
    <t>212 Tudor  (Bathroom)</t>
  </si>
  <si>
    <t>212 Tudor (Bathroom)</t>
  </si>
  <si>
    <t>retest turbidity: 0.143</t>
  </si>
  <si>
    <t>retest turbidity: 0.122</t>
  </si>
  <si>
    <t>116 Westview (Kitchen)</t>
  </si>
  <si>
    <t>116 Westview (Bathroom)</t>
  </si>
  <si>
    <t>116 Westview(Kitchen)</t>
  </si>
  <si>
    <t>116 Westview  (Bathroom)</t>
  </si>
  <si>
    <t>retest turbidity: 0.191</t>
  </si>
  <si>
    <t>500 Central (Kitchen)</t>
  </si>
  <si>
    <t>500 Central(Bathroom)</t>
  </si>
  <si>
    <t>500 Central (Bathroom)</t>
  </si>
  <si>
    <t>retest turbidity: 0.075</t>
  </si>
  <si>
    <r>
      <rPr>
        <b/>
        <sz val="12"/>
        <color theme="1"/>
        <rFont val="Times New Roman"/>
        <family val="1"/>
      </rPr>
      <t>Tool</t>
    </r>
    <r>
      <rPr>
        <sz val="12"/>
        <color theme="1"/>
        <rFont val="Times New Roman"/>
        <family val="1"/>
      </rPr>
      <t>: Digimizer (version 5.7.0; MedCalc Software Ltd, Belgium; www.digimizer.com/)</t>
    </r>
  </si>
  <si>
    <r>
      <rPr>
        <b/>
        <sz val="12"/>
        <color theme="1"/>
        <rFont val="Times New Roman"/>
        <family val="1"/>
      </rPr>
      <t>Map</t>
    </r>
    <r>
      <rPr>
        <sz val="12"/>
        <color theme="1"/>
        <rFont val="Times New Roman"/>
        <family val="1"/>
      </rPr>
      <t>: SWTP Map with Sampling Sites--Jatin.pdf</t>
    </r>
  </si>
  <si>
    <t>First round calculation</t>
  </si>
  <si>
    <t>Second round calculation</t>
  </si>
  <si>
    <t>Third round calculation</t>
  </si>
  <si>
    <t>Mean</t>
  </si>
  <si>
    <t>Site</t>
  </si>
  <si>
    <t>Distance (km)</t>
  </si>
  <si>
    <t>STDEV (km)</t>
  </si>
  <si>
    <t>Coefficient of variation (%)</t>
  </si>
  <si>
    <t>DNA: 
No dilution</t>
  </si>
  <si>
    <t>Managed data</t>
  </si>
  <si>
    <t xml:space="preserve">Ct </t>
  </si>
  <si>
    <r>
      <rPr>
        <b/>
        <i/>
        <sz val="12"/>
        <color theme="1"/>
        <rFont val="Times New Roman"/>
        <family val="1"/>
      </rPr>
      <t>E</t>
    </r>
    <r>
      <rPr>
        <b/>
        <sz val="12"/>
        <color theme="1"/>
        <rFont val="Times New Roman"/>
        <family val="1"/>
      </rPr>
      <t xml:space="preserve"> (%)</t>
    </r>
  </si>
  <si>
    <t>DNA: 
Ten-fold dilution</t>
  </si>
  <si>
    <r>
      <rPr>
        <b/>
        <sz val="12"/>
        <color theme="1"/>
        <rFont val="Times New Roman"/>
        <family val="1"/>
      </rPr>
      <t>↓Code</t>
    </r>
    <r>
      <rPr>
        <sz val="12"/>
        <color theme="1"/>
        <rFont val="Times New Roman"/>
        <family val="1"/>
      </rPr>
      <t>: www.exceltrick.com/formulas_macros/excel-substitute-function/    www.mrexcel.com/board/threads/how-to-capitalize-first-two-letters-of-word.798184/</t>
    </r>
  </si>
  <si>
    <r>
      <rPr>
        <b/>
        <sz val="12"/>
        <color theme="1"/>
        <rFont val="Times New Roman"/>
        <family val="1"/>
      </rPr>
      <t>↓Code</t>
    </r>
    <r>
      <rPr>
        <sz val="12"/>
        <color theme="1"/>
        <rFont val="Times New Roman"/>
        <family val="1"/>
      </rPr>
      <t>: www.extendoffice.com/documents/excel/3329-excel-remove-first-last-n-characters.html    exceljet.net/excel-functions/excel-ifs-function</t>
    </r>
  </si>
  <si>
    <r>
      <rPr>
        <b/>
        <i/>
        <sz val="12"/>
        <color theme="1"/>
        <rFont val="Times New Roman"/>
        <family val="1"/>
      </rPr>
      <t>Ct</t>
    </r>
    <r>
      <rPr>
        <sz val="12"/>
        <color theme="1"/>
        <rFont val="Times New Roman"/>
        <family val="1"/>
      </rPr>
      <t>: Threshold cycle value (the number of qPCR cycle number at which the fluorescent signal crosses the fluorescence threshold line)</t>
    </r>
  </si>
  <si>
    <r>
      <rPr>
        <b/>
        <sz val="12"/>
        <color theme="1"/>
        <rFont val="Times New Roman"/>
        <family val="1"/>
      </rPr>
      <t>Undermined</t>
    </r>
    <r>
      <rPr>
        <sz val="12"/>
        <color theme="1"/>
        <rFont val="Times New Roman"/>
        <family val="1"/>
      </rPr>
      <t xml:space="preserve">: DNA sample was assayed with qPCR but no target microorganism was detected (i.e., </t>
    </r>
    <r>
      <rPr>
        <i/>
        <sz val="12"/>
        <color theme="1"/>
        <rFont val="Times New Roman"/>
        <family val="1"/>
      </rPr>
      <t>Ct</t>
    </r>
    <r>
      <rPr>
        <sz val="12"/>
        <color theme="1"/>
        <rFont val="Times New Roman"/>
        <family val="1"/>
      </rPr>
      <t xml:space="preserve"> &gt; 40). </t>
    </r>
  </si>
  <si>
    <r>
      <rPr>
        <b/>
        <sz val="12"/>
        <color theme="1"/>
        <rFont val="Times New Roman"/>
        <family val="1"/>
      </rPr>
      <t>Note</t>
    </r>
    <r>
      <rPr>
        <sz val="12"/>
        <color theme="1"/>
        <rFont val="Times New Roman"/>
        <family val="1"/>
      </rPr>
      <t>: Duplicate samples exist for each sampling event</t>
    </r>
  </si>
  <si>
    <r>
      <t xml:space="preserve">Mean </t>
    </r>
    <r>
      <rPr>
        <b/>
        <i/>
        <sz val="12"/>
        <rFont val="Times New Roman"/>
        <family val="1"/>
      </rPr>
      <t>C</t>
    </r>
    <r>
      <rPr>
        <b/>
        <i/>
        <vertAlign val="subscript"/>
        <sz val="12"/>
        <rFont val="Times New Roman"/>
        <family val="1"/>
      </rPr>
      <t>Water</t>
    </r>
    <r>
      <rPr>
        <b/>
        <sz val="12"/>
        <rFont val="Times New Roman"/>
        <family val="1"/>
      </rPr>
      <t xml:space="preserve">
(GCN/L)</t>
    </r>
  </si>
  <si>
    <r>
      <t xml:space="preserve">STDEV </t>
    </r>
    <r>
      <rPr>
        <b/>
        <i/>
        <sz val="12"/>
        <rFont val="Times New Roman"/>
        <family val="1"/>
      </rPr>
      <t>C</t>
    </r>
    <r>
      <rPr>
        <b/>
        <i/>
        <vertAlign val="subscript"/>
        <sz val="12"/>
        <rFont val="Times New Roman"/>
        <family val="1"/>
      </rPr>
      <t>Water</t>
    </r>
    <r>
      <rPr>
        <b/>
        <sz val="12"/>
        <rFont val="Times New Roman"/>
        <family val="1"/>
      </rPr>
      <t xml:space="preserve">
(GCN/L)</t>
    </r>
  </si>
  <si>
    <r>
      <rPr>
        <b/>
        <sz val="12"/>
        <color theme="1"/>
        <rFont val="Times New Roman"/>
        <family val="1"/>
      </rPr>
      <t>Mean</t>
    </r>
    <r>
      <rPr>
        <sz val="12"/>
        <color theme="1"/>
        <rFont val="Times New Roman"/>
        <family val="1"/>
      </rPr>
      <t>: Arithmetic mean for the concentrtaion of a target microorganism in a drinking water sample</t>
    </r>
  </si>
  <si>
    <r>
      <rPr>
        <b/>
        <sz val="12"/>
        <color theme="1"/>
        <rFont val="Times New Roman"/>
        <family val="1"/>
      </rPr>
      <t>STDEV</t>
    </r>
    <r>
      <rPr>
        <sz val="12"/>
        <color theme="1"/>
        <rFont val="Times New Roman"/>
        <family val="1"/>
      </rPr>
      <t>: Arithmetic sample standard deviation for the concentration of a target microorganism in a drinking water sample</t>
    </r>
  </si>
  <si>
    <t>Filtrate (mL)</t>
  </si>
  <si>
    <r>
      <t xml:space="preserve">SEM </t>
    </r>
    <r>
      <rPr>
        <b/>
        <i/>
        <sz val="12"/>
        <rFont val="Times New Roman"/>
        <family val="1"/>
      </rPr>
      <t>C</t>
    </r>
    <r>
      <rPr>
        <b/>
        <i/>
        <vertAlign val="subscript"/>
        <sz val="12"/>
        <rFont val="Times New Roman"/>
        <family val="1"/>
      </rPr>
      <t>Water</t>
    </r>
    <r>
      <rPr>
        <b/>
        <sz val="12"/>
        <rFont val="Times New Roman"/>
        <family val="1"/>
      </rPr>
      <t xml:space="preserve">
(GCN/L)</t>
    </r>
  </si>
  <si>
    <r>
      <t>log</t>
    </r>
    <r>
      <rPr>
        <b/>
        <vertAlign val="subscript"/>
        <sz val="12"/>
        <color theme="1"/>
        <rFont val="Times New Roman"/>
        <family val="1"/>
      </rPr>
      <t>10</t>
    </r>
    <r>
      <rPr>
        <b/>
        <sz val="12"/>
        <color theme="1"/>
        <rFont val="Times New Roman"/>
        <family val="1"/>
      </rPr>
      <t>Mean</t>
    </r>
  </si>
  <si>
    <r>
      <t xml:space="preserve">SEM </t>
    </r>
    <r>
      <rPr>
        <b/>
        <sz val="12"/>
        <color theme="1"/>
        <rFont val="Calibri"/>
        <family val="2"/>
      </rPr>
      <t>÷</t>
    </r>
    <r>
      <rPr>
        <b/>
        <sz val="14.4"/>
        <color theme="1"/>
        <rFont val="Times New Roman"/>
        <family val="1"/>
      </rPr>
      <t xml:space="preserve"> </t>
    </r>
    <r>
      <rPr>
        <b/>
        <sz val="12"/>
        <color theme="1"/>
        <rFont val="Times New Roman"/>
        <family val="1"/>
      </rPr>
      <t xml:space="preserve">
(ln10 × Mean)</t>
    </r>
  </si>
  <si>
    <t>Site (New name)</t>
  </si>
  <si>
    <t>Site (Original)</t>
  </si>
  <si>
    <t>DNA (μL)</t>
  </si>
  <si>
    <t>Unique ID</t>
  </si>
  <si>
    <t>Sampling date</t>
  </si>
  <si>
    <t>ID (Site + Date)</t>
  </si>
  <si>
    <r>
      <rPr>
        <b/>
        <i/>
        <sz val="12"/>
        <color theme="1"/>
        <rFont val="Times New Roman"/>
        <family val="1"/>
      </rPr>
      <t>C</t>
    </r>
    <r>
      <rPr>
        <b/>
        <i/>
        <vertAlign val="subscript"/>
        <sz val="12"/>
        <color theme="1"/>
        <rFont val="Times New Roman"/>
        <family val="1"/>
      </rPr>
      <t>Watet</t>
    </r>
    <r>
      <rPr>
        <b/>
        <sz val="12"/>
        <color theme="1"/>
        <rFont val="Times New Roman"/>
        <family val="1"/>
      </rPr>
      <t xml:space="preserve"> (GCN/L)</t>
    </r>
  </si>
  <si>
    <r>
      <rPr>
        <b/>
        <i/>
        <sz val="12"/>
        <color theme="1"/>
        <rFont val="Times New Roman"/>
        <family val="1"/>
      </rPr>
      <t>C</t>
    </r>
    <r>
      <rPr>
        <b/>
        <i/>
        <vertAlign val="subscript"/>
        <sz val="12"/>
        <color theme="1"/>
        <rFont val="Times New Roman"/>
        <family val="1"/>
      </rPr>
      <t>DNA</t>
    </r>
    <r>
      <rPr>
        <b/>
        <sz val="12"/>
        <color theme="1"/>
        <rFont val="Times New Roman"/>
        <family val="1"/>
      </rPr>
      <t xml:space="preserve"> (GCN/μL)</t>
    </r>
  </si>
  <si>
    <r>
      <t>C</t>
    </r>
    <r>
      <rPr>
        <b/>
        <vertAlign val="subscript"/>
        <sz val="12"/>
        <color theme="1"/>
        <rFont val="Times New Roman"/>
        <family val="1"/>
      </rPr>
      <t>DNA</t>
    </r>
    <r>
      <rPr>
        <b/>
        <sz val="12"/>
        <color theme="1"/>
        <rFont val="Times New Roman"/>
        <family val="1"/>
      </rPr>
      <t xml:space="preserve"> 
(GCN/μL)</t>
    </r>
  </si>
  <si>
    <r>
      <t xml:space="preserve">Corrected </t>
    </r>
    <r>
      <rPr>
        <sz val="12"/>
        <color theme="1"/>
        <rFont val="Times New Roman"/>
        <family val="1"/>
      </rPr>
      <t xml:space="preserve">
</t>
    </r>
    <r>
      <rPr>
        <b/>
        <i/>
        <sz val="12"/>
        <color theme="1"/>
        <rFont val="Times New Roman"/>
        <family val="1"/>
      </rPr>
      <t>C</t>
    </r>
    <r>
      <rPr>
        <b/>
        <i/>
        <vertAlign val="subscript"/>
        <sz val="12"/>
        <color theme="1"/>
        <rFont val="Times New Roman"/>
        <family val="1"/>
      </rPr>
      <t>DNA</t>
    </r>
    <r>
      <rPr>
        <b/>
        <sz val="12"/>
        <color theme="1"/>
        <rFont val="Times New Roman"/>
        <family val="1"/>
      </rPr>
      <t xml:space="preserve"> (GCN/μL)</t>
    </r>
  </si>
  <si>
    <r>
      <t>Corrected  C</t>
    </r>
    <r>
      <rPr>
        <b/>
        <vertAlign val="subscript"/>
        <sz val="12"/>
        <color theme="1"/>
        <rFont val="Times New Roman"/>
        <family val="1"/>
      </rPr>
      <t>DNA</t>
    </r>
    <r>
      <rPr>
        <b/>
        <sz val="12"/>
        <color theme="1"/>
        <rFont val="Times New Roman"/>
        <family val="1"/>
      </rPr>
      <t xml:space="preserve"> 
(GCN/μL)</t>
    </r>
  </si>
  <si>
    <r>
      <rPr>
        <b/>
        <i/>
        <sz val="12"/>
        <color theme="1"/>
        <rFont val="Times New Roman"/>
        <family val="1"/>
      </rPr>
      <t>C</t>
    </r>
    <r>
      <rPr>
        <b/>
        <i/>
        <vertAlign val="subscript"/>
        <sz val="12"/>
        <color theme="1"/>
        <rFont val="Times New Roman"/>
        <family val="1"/>
      </rPr>
      <t>Water</t>
    </r>
    <r>
      <rPr>
        <sz val="12"/>
        <color theme="1"/>
        <rFont val="Times New Roman"/>
        <family val="1"/>
      </rPr>
      <t>: The concentration of a target microorganism in a drinking water sample (GCN/L)</t>
    </r>
  </si>
  <si>
    <r>
      <rPr>
        <b/>
        <i/>
        <sz val="12"/>
        <color theme="1"/>
        <rFont val="Times New Roman"/>
        <family val="1"/>
      </rPr>
      <t>C</t>
    </r>
    <r>
      <rPr>
        <b/>
        <i/>
        <vertAlign val="subscript"/>
        <sz val="12"/>
        <color theme="1"/>
        <rFont val="Times New Roman"/>
        <family val="1"/>
      </rPr>
      <t>DNA</t>
    </r>
    <r>
      <rPr>
        <sz val="12"/>
        <color theme="1"/>
        <rFont val="Times New Roman"/>
        <family val="1"/>
      </rPr>
      <t>: The concentration of a target microorganism in a DNA sample quantified with qPCR (GCN/μL)</t>
    </r>
  </si>
  <si>
    <r>
      <rPr>
        <b/>
        <i/>
        <sz val="12"/>
        <color theme="1"/>
        <rFont val="Times New Roman"/>
        <family val="1"/>
      </rPr>
      <t>C</t>
    </r>
    <r>
      <rPr>
        <b/>
        <i/>
        <vertAlign val="subscript"/>
        <sz val="12"/>
        <color theme="1"/>
        <rFont val="Times New Roman"/>
        <family val="1"/>
      </rPr>
      <t>Blank</t>
    </r>
    <r>
      <rPr>
        <sz val="12"/>
        <color theme="1"/>
        <rFont val="Times New Roman"/>
        <family val="1"/>
      </rPr>
      <t>: The average concentration of total bacteria in filtration blanks quantified with qPCR (12,982.6 GCN/μL)</t>
    </r>
  </si>
  <si>
    <r>
      <t>Calculation of the concentration of a target microorganism in a drinking water sample</t>
    </r>
    <r>
      <rPr>
        <b/>
        <vertAlign val="superscript"/>
        <sz val="12"/>
        <color theme="1"/>
        <rFont val="Times New Roman"/>
        <family val="1"/>
      </rPr>
      <t xml:space="preserve"> </t>
    </r>
    <r>
      <rPr>
        <b/>
        <sz val="12"/>
        <color theme="1"/>
        <rFont val="Times New Roman"/>
        <family val="1"/>
      </rPr>
      <t>(for the tab "qPCR_Managed")</t>
    </r>
  </si>
  <si>
    <r>
      <rPr>
        <b/>
        <sz val="12"/>
        <color theme="1"/>
        <rFont val="Times New Roman"/>
        <family val="1"/>
      </rPr>
      <t>GCN</t>
    </r>
    <r>
      <rPr>
        <sz val="12"/>
        <color theme="1"/>
        <rFont val="Times New Roman"/>
        <family val="1"/>
      </rPr>
      <t>: Gene copy number or genome copy number</t>
    </r>
  </si>
  <si>
    <t>List of sampling sites along the distribution system of Schriever Waterplant (Louisiana, USA)</t>
  </si>
  <si>
    <r>
      <rPr>
        <b/>
        <sz val="12"/>
        <rFont val="Times New Roman"/>
        <family val="1"/>
      </rPr>
      <t>EP</t>
    </r>
    <r>
      <rPr>
        <sz val="12"/>
        <rFont val="Times New Roman"/>
        <family val="1"/>
      </rPr>
      <t xml:space="preserve">, </t>
    </r>
    <r>
      <rPr>
        <b/>
        <sz val="12"/>
        <rFont val="Times New Roman"/>
        <family val="1"/>
      </rPr>
      <t>SPI</t>
    </r>
    <r>
      <rPr>
        <sz val="12"/>
        <rFont val="Times New Roman"/>
        <family val="1"/>
      </rPr>
      <t xml:space="preserve">, </t>
    </r>
    <r>
      <rPr>
        <b/>
        <sz val="12"/>
        <rFont val="Times New Roman"/>
        <family val="1"/>
      </rPr>
      <t>SPO</t>
    </r>
    <r>
      <rPr>
        <sz val="12"/>
        <rFont val="Times New Roman"/>
        <family val="1"/>
      </rPr>
      <t xml:space="preserve">, and </t>
    </r>
    <r>
      <rPr>
        <b/>
        <sz val="12"/>
        <rFont val="Times New Roman"/>
        <family val="1"/>
      </rPr>
      <t>MRT</t>
    </r>
    <r>
      <rPr>
        <sz val="12"/>
        <rFont val="Times New Roman"/>
        <family val="1"/>
      </rPr>
      <t>: Distribution system sampling sites</t>
    </r>
  </si>
  <si>
    <r>
      <rPr>
        <b/>
        <sz val="12"/>
        <rFont val="Times New Roman"/>
        <family val="1"/>
      </rPr>
      <t>RN</t>
    </r>
    <r>
      <rPr>
        <sz val="12"/>
        <rFont val="Times New Roman"/>
        <family val="1"/>
      </rPr>
      <t xml:space="preserve">, </t>
    </r>
    <r>
      <rPr>
        <b/>
        <sz val="12"/>
        <rFont val="Times New Roman"/>
        <family val="1"/>
      </rPr>
      <t>RU</t>
    </r>
    <r>
      <rPr>
        <sz val="12"/>
        <rFont val="Times New Roman"/>
        <family val="1"/>
      </rPr>
      <t xml:space="preserve">, </t>
    </r>
    <r>
      <rPr>
        <b/>
        <sz val="12"/>
        <rFont val="Times New Roman"/>
        <family val="1"/>
      </rPr>
      <t>RT</t>
    </r>
    <r>
      <rPr>
        <sz val="12"/>
        <rFont val="Times New Roman"/>
        <family val="1"/>
      </rPr>
      <t xml:space="preserve">, and </t>
    </r>
    <r>
      <rPr>
        <b/>
        <sz val="12"/>
        <rFont val="Times New Roman"/>
        <family val="1"/>
      </rPr>
      <t>RS</t>
    </r>
    <r>
      <rPr>
        <sz val="12"/>
        <rFont val="Times New Roman"/>
        <family val="1"/>
      </rPr>
      <t>: premise plumbing sampling sites</t>
    </r>
  </si>
  <si>
    <t>After data transfer, remove the following rows to facilitate data analysis: 62, 63, 68, 77, 78, 83, 84, 103, 104, and 165</t>
  </si>
  <si>
    <t>Column D (Stagnation Start Date/Time) and Column E (Stagnation Hours, Calculated) are deleted from the original tab</t>
  </si>
  <si>
    <t>Column D (Stagnation Start Date/Time) and Column E (Stagnation Hours, Calculated) are deleted from the original tab. Row 13 is deleted from the original tab</t>
  </si>
  <si>
    <t>Column D (Stagnation Start Date/Time) and Column E (Stagnation Hours, Calculated) are deleted from the original tab. Row 26 to Row 28 are deleted from the original tab</t>
  </si>
  <si>
    <t>Column D (Stagnation Start Date/Time) and Column E (Stagnation Hours, Calculated) are deleted from the original tab. Row 17 to Row 19 are deleted from the original tab</t>
  </si>
  <si>
    <r>
      <rPr>
        <b/>
        <i/>
        <sz val="12"/>
        <color theme="1"/>
        <rFont val="Times New Roman"/>
        <family val="1"/>
      </rPr>
      <t>E</t>
    </r>
    <r>
      <rPr>
        <sz val="12"/>
        <color theme="1"/>
        <rFont val="Times New Roman"/>
        <family val="1"/>
      </rPr>
      <t xml:space="preserve">: qPCR amplification efficiency for a target microorganism. </t>
    </r>
    <r>
      <rPr>
        <i/>
        <sz val="16"/>
        <color theme="1"/>
        <rFont val="Times New Roman"/>
        <family val="1"/>
      </rPr>
      <t>E</t>
    </r>
    <r>
      <rPr>
        <sz val="16"/>
        <color theme="1"/>
        <rFont val="Times New Roman"/>
        <family val="1"/>
      </rPr>
      <t xml:space="preserve"> = [-1 + 10</t>
    </r>
    <r>
      <rPr>
        <vertAlign val="superscript"/>
        <sz val="16"/>
        <color theme="1"/>
        <rFont val="Times New Roman"/>
        <family val="1"/>
      </rPr>
      <t>1/(</t>
    </r>
    <r>
      <rPr>
        <i/>
        <vertAlign val="superscript"/>
        <sz val="16"/>
        <color theme="1"/>
        <rFont val="Times New Roman"/>
        <family val="1"/>
      </rPr>
      <t>CtD</t>
    </r>
    <r>
      <rPr>
        <vertAlign val="superscript"/>
        <sz val="16"/>
        <color theme="1"/>
        <rFont val="Times New Roman"/>
        <family val="1"/>
      </rPr>
      <t xml:space="preserve"> - </t>
    </r>
    <r>
      <rPr>
        <i/>
        <vertAlign val="superscript"/>
        <sz val="16"/>
        <color theme="1"/>
        <rFont val="Times New Roman"/>
        <family val="1"/>
      </rPr>
      <t>CtU</t>
    </r>
    <r>
      <rPr>
        <vertAlign val="superscript"/>
        <sz val="16"/>
        <color theme="1"/>
        <rFont val="Times New Roman"/>
        <family val="1"/>
      </rPr>
      <t>)</t>
    </r>
    <r>
      <rPr>
        <sz val="16"/>
        <color theme="1"/>
        <rFont val="Times New Roman"/>
        <family val="1"/>
      </rPr>
      <t>] × 100%</t>
    </r>
    <r>
      <rPr>
        <sz val="12"/>
        <color theme="1"/>
        <rFont val="Times New Roman"/>
        <family val="1"/>
      </rPr>
      <t xml:space="preserve">, where </t>
    </r>
    <r>
      <rPr>
        <i/>
        <sz val="12"/>
        <color theme="1"/>
        <rFont val="Times New Roman"/>
        <family val="1"/>
      </rPr>
      <t>CtU</t>
    </r>
    <r>
      <rPr>
        <sz val="12"/>
        <color theme="1"/>
        <rFont val="Times New Roman"/>
        <family val="1"/>
      </rPr>
      <t xml:space="preserve"> is the threshold cycle value for the undiluted DNA solution and </t>
    </r>
    <r>
      <rPr>
        <i/>
        <sz val="12"/>
        <color theme="1"/>
        <rFont val="Times New Roman"/>
        <family val="1"/>
      </rPr>
      <t>CtD</t>
    </r>
    <r>
      <rPr>
        <sz val="12"/>
        <color theme="1"/>
        <rFont val="Times New Roman"/>
        <family val="1"/>
      </rPr>
      <t xml:space="preserve"> is the threshold cycle value for the ten-times diluted DNA solution</t>
    </r>
  </si>
  <si>
    <r>
      <rPr>
        <b/>
        <sz val="12"/>
        <color theme="1"/>
        <rFont val="Times New Roman"/>
        <family val="1"/>
      </rPr>
      <t>SEM</t>
    </r>
    <r>
      <rPr>
        <sz val="12"/>
        <color theme="1"/>
        <rFont val="Times New Roman"/>
        <family val="1"/>
      </rPr>
      <t>: Standard error of the mean of the concentration of a target microorganism in a drinking water sample</t>
    </r>
  </si>
  <si>
    <t>Tab in this file</t>
  </si>
  <si>
    <t>Explanation for managed data</t>
  </si>
  <si>
    <t>qPCR_Managed</t>
  </si>
  <si>
    <t>Physicochemical_Managed</t>
  </si>
  <si>
    <t>For managed qPCR results. The raw data are in the tab "qPCR_Raw."</t>
  </si>
  <si>
    <r>
      <t>Free chlorine (mg Cl</t>
    </r>
    <r>
      <rPr>
        <b/>
        <vertAlign val="subscript"/>
        <sz val="12"/>
        <color theme="1"/>
        <rFont val="Times New Roman"/>
        <family val="1"/>
      </rPr>
      <t>2</t>
    </r>
    <r>
      <rPr>
        <b/>
        <sz val="12"/>
        <color theme="1"/>
        <rFont val="Times New Roman"/>
        <family val="1"/>
      </rPr>
      <t>/L)</t>
    </r>
  </si>
  <si>
    <r>
      <t>Monochloramine (mg Cl</t>
    </r>
    <r>
      <rPr>
        <b/>
        <vertAlign val="subscript"/>
        <sz val="12"/>
        <color theme="1"/>
        <rFont val="Times New Roman"/>
        <family val="1"/>
      </rPr>
      <t>2</t>
    </r>
    <r>
      <rPr>
        <b/>
        <sz val="12"/>
        <color theme="1"/>
        <rFont val="Times New Roman"/>
        <family val="1"/>
      </rPr>
      <t>/L)</t>
    </r>
  </si>
  <si>
    <r>
      <t>Total chlorine (mg Cl</t>
    </r>
    <r>
      <rPr>
        <b/>
        <vertAlign val="subscript"/>
        <sz val="12"/>
        <color theme="1"/>
        <rFont val="Times New Roman"/>
        <family val="1"/>
      </rPr>
      <t>2</t>
    </r>
    <r>
      <rPr>
        <b/>
        <sz val="12"/>
        <color theme="1"/>
        <rFont val="Times New Roman"/>
        <family val="1"/>
      </rPr>
      <t>/L)</t>
    </r>
  </si>
  <si>
    <r>
      <t>Free ammonia (NH</t>
    </r>
    <r>
      <rPr>
        <b/>
        <vertAlign val="subscript"/>
        <sz val="12"/>
        <color theme="1"/>
        <rFont val="Times New Roman"/>
        <family val="1"/>
      </rPr>
      <t>3</t>
    </r>
    <r>
      <rPr>
        <b/>
        <sz val="12"/>
        <color theme="1"/>
        <rFont val="Times New Roman"/>
        <family val="1"/>
      </rPr>
      <t>-N/L)</t>
    </r>
  </si>
  <si>
    <r>
      <t>Nitrite (mg NO</t>
    </r>
    <r>
      <rPr>
        <b/>
        <vertAlign val="subscript"/>
        <sz val="12"/>
        <color theme="1"/>
        <rFont val="Times New Roman"/>
        <family val="1"/>
      </rPr>
      <t>2</t>
    </r>
    <r>
      <rPr>
        <b/>
        <vertAlign val="superscript"/>
        <sz val="12"/>
        <color theme="1"/>
        <rFont val="Times New Roman"/>
        <family val="1"/>
      </rPr>
      <t>-</t>
    </r>
    <r>
      <rPr>
        <b/>
        <sz val="12"/>
        <color theme="1"/>
        <rFont val="Times New Roman"/>
        <family val="1"/>
      </rPr>
      <t>-N/L)</t>
    </r>
  </si>
  <si>
    <r>
      <t>Orthophosphate (mg PO</t>
    </r>
    <r>
      <rPr>
        <b/>
        <vertAlign val="subscript"/>
        <sz val="12"/>
        <color theme="1"/>
        <rFont val="Times New Roman"/>
        <family val="1"/>
      </rPr>
      <t>4</t>
    </r>
    <r>
      <rPr>
        <b/>
        <vertAlign val="superscript"/>
        <sz val="12"/>
        <color theme="1"/>
        <rFont val="Times New Roman"/>
        <family val="1"/>
      </rPr>
      <t>3-</t>
    </r>
    <r>
      <rPr>
        <b/>
        <sz val="12"/>
        <color theme="1"/>
        <rFont val="Times New Roman"/>
        <family val="1"/>
      </rPr>
      <t>/L)</t>
    </r>
  </si>
  <si>
    <t>ID</t>
  </si>
  <si>
    <t>Water temp. (°C)</t>
  </si>
  <si>
    <r>
      <t>Unique ID
Code</t>
    </r>
    <r>
      <rPr>
        <sz val="12"/>
        <color theme="1"/>
        <rFont val="Times New Roman"/>
        <family val="1"/>
      </rPr>
      <t>: exceljet.net/formula/extract-unique-items-from-a-list</t>
    </r>
  </si>
  <si>
    <r>
      <t>For managed physicochemical data (HACH SL1000 Portable Parallel Analyzer). The raw data are in the tabs "EP," "SPI," "SPO," "MRT," "RN," "RU," "RL," and "RS." The water temperature at SPO on 08/11/2021 was manually corrected to 29.5 because the value in the raw dataset (29</t>
    </r>
    <r>
      <rPr>
        <b/>
        <sz val="14"/>
        <color rgb="FFFF0000"/>
        <rFont val="Times New Roman"/>
        <family val="1"/>
      </rPr>
      <t>,</t>
    </r>
    <r>
      <rPr>
        <sz val="12"/>
        <rFont val="Times New Roman"/>
        <family val="1"/>
      </rPr>
      <t xml:space="preserve">5) is wrong. The pH and water temperature at RS on 08/04/2021 were manually adjusted because the values in the raw dataset are wrong (values for pH and water temperature reversed). The free ammonia concentration at MRT on 08/25/2021 was manually changed to 0.7 (the original value is "&gt;0.6"). The total chlorine concentration at SPO on 05/26/2021 was manually changed to 2.34 (the original value is "23.4"). </t>
    </r>
  </si>
  <si>
    <t>qPCR_Unique</t>
  </si>
  <si>
    <t>SEM ÷ 
(ln10 × Mean)</t>
  </si>
  <si>
    <t>ID for sorting</t>
  </si>
  <si>
    <t>Sorted ID no header</t>
  </si>
  <si>
    <r>
      <rPr>
        <b/>
        <sz val="12"/>
        <color theme="1"/>
        <rFont val="Times New Roman"/>
        <family val="1"/>
      </rPr>
      <t>Code</t>
    </r>
    <r>
      <rPr>
        <sz val="12"/>
        <color theme="1"/>
        <rFont val="Times New Roman"/>
        <family val="1"/>
      </rPr>
      <t>: exceljet.net/excel-functions/excel-sort-function, exceljet.net/lessons/basic-sort-function-example, exceljet.net/excel-functions/excel-unique-function, and exceljet.net/lessons/the-unique-function</t>
    </r>
  </si>
  <si>
    <t>Sorted ID 
with header</t>
  </si>
  <si>
    <r>
      <rPr>
        <b/>
        <sz val="12"/>
        <color theme="1"/>
        <rFont val="Times New Roman"/>
        <family val="1"/>
      </rPr>
      <t>Code</t>
    </r>
    <r>
      <rPr>
        <sz val="12"/>
        <color theme="1"/>
        <rFont val="Times New Roman"/>
        <family val="1"/>
      </rPr>
      <t>: exceljet.net/excel-functions/excel-sort-function, exceljet.net/lessons/basic-sort-function-example</t>
    </r>
  </si>
  <si>
    <r>
      <t>→</t>
    </r>
    <r>
      <rPr>
        <sz val="12"/>
        <color theme="1"/>
        <rFont val="Calibri"/>
        <family val="2"/>
      </rPr>
      <t>↓</t>
    </r>
    <r>
      <rPr>
        <b/>
        <sz val="12"/>
        <color theme="1"/>
        <rFont val="Times New Roman"/>
        <family val="1"/>
      </rPr>
      <t>Code</t>
    </r>
    <r>
      <rPr>
        <sz val="12"/>
        <color theme="1"/>
        <rFont val="Times New Roman"/>
        <family val="1"/>
      </rPr>
      <t>: exceljet.net/index-and-match</t>
    </r>
  </si>
  <si>
    <r>
      <rPr>
        <b/>
        <sz val="12"/>
        <color theme="1"/>
        <rFont val="Times New Roman"/>
        <family val="1"/>
      </rPr>
      <t>Cells highlighted with a yellow background</t>
    </r>
    <r>
      <rPr>
        <sz val="12"/>
        <color theme="1"/>
        <rFont val="Times New Roman"/>
        <family val="1"/>
      </rPr>
      <t>: (</t>
    </r>
    <r>
      <rPr>
        <sz val="12"/>
        <color theme="4"/>
        <rFont val="Times New Roman"/>
        <family val="1"/>
      </rPr>
      <t>tab "qPCR_Managed" only</t>
    </r>
    <r>
      <rPr>
        <sz val="12"/>
        <color theme="1"/>
        <rFont val="Times New Roman"/>
        <family val="1"/>
      </rPr>
      <t>) Manually adjusted (raw data have issues). The raw data are in the tab "qPCR_Raw."</t>
    </r>
  </si>
  <si>
    <t>Notes for the tabs "qPCR_Managed," "qPCR_Unique," and "Core_Data"</t>
  </si>
  <si>
    <t>Core_Data</t>
  </si>
  <si>
    <r>
      <t xml:space="preserve">For the sampling events where </t>
    </r>
    <r>
      <rPr>
        <sz val="12"/>
        <color theme="4"/>
        <rFont val="Times New Roman"/>
        <family val="1"/>
      </rPr>
      <t>both</t>
    </r>
    <r>
      <rPr>
        <sz val="12"/>
        <rFont val="Times New Roman"/>
        <family val="1"/>
      </rPr>
      <t xml:space="preserve"> qPCR data and physicochemical data exist</t>
    </r>
  </si>
  <si>
    <t>Core ID</t>
  </si>
  <si>
    <r>
      <rPr>
        <b/>
        <sz val="12"/>
        <color theme="1"/>
        <rFont val="Times New Roman"/>
        <family val="1"/>
      </rPr>
      <t>Code</t>
    </r>
    <r>
      <rPr>
        <sz val="12"/>
        <color theme="1"/>
        <rFont val="Times New Roman"/>
        <family val="1"/>
      </rPr>
      <t>: exceljet.net/formula/filter-to-extract-matching-values</t>
    </r>
  </si>
  <si>
    <r>
      <t>↓→</t>
    </r>
    <r>
      <rPr>
        <b/>
        <sz val="12"/>
        <color theme="1"/>
        <rFont val="Times New Roman"/>
        <family val="1"/>
      </rPr>
      <t>Code</t>
    </r>
    <r>
      <rPr>
        <sz val="12"/>
        <color theme="1"/>
        <rFont val="Times New Roman"/>
        <family val="1"/>
      </rPr>
      <t>: exceljet.net/index-and-match</t>
    </r>
  </si>
  <si>
    <t>Physicochemical data</t>
  </si>
  <si>
    <r>
      <t>Nitrite 
(mg NO</t>
    </r>
    <r>
      <rPr>
        <b/>
        <vertAlign val="subscript"/>
        <sz val="12"/>
        <color theme="1"/>
        <rFont val="Times New Roman"/>
        <family val="1"/>
      </rPr>
      <t>2</t>
    </r>
    <r>
      <rPr>
        <b/>
        <vertAlign val="superscript"/>
        <sz val="12"/>
        <color theme="1"/>
        <rFont val="Times New Roman"/>
        <family val="1"/>
      </rPr>
      <t>-</t>
    </r>
    <r>
      <rPr>
        <b/>
        <sz val="12"/>
        <color theme="1"/>
        <rFont val="Times New Roman"/>
        <family val="1"/>
      </rPr>
      <t>-N/L)</t>
    </r>
  </si>
  <si>
    <t>Summed OP</t>
  </si>
  <si>
    <r>
      <t xml:space="preserve">Summed </t>
    </r>
    <r>
      <rPr>
        <b/>
        <i/>
        <sz val="12"/>
        <rFont val="Times New Roman"/>
        <family val="1"/>
      </rPr>
      <t>C</t>
    </r>
    <r>
      <rPr>
        <b/>
        <i/>
        <vertAlign val="subscript"/>
        <sz val="12"/>
        <rFont val="Times New Roman"/>
        <family val="1"/>
      </rPr>
      <t>Water</t>
    </r>
    <r>
      <rPr>
        <b/>
        <sz val="12"/>
        <rFont val="Times New Roman"/>
        <family val="1"/>
      </rPr>
      <t xml:space="preserve">
(GCN/L)</t>
    </r>
  </si>
  <si>
    <r>
      <t>log</t>
    </r>
    <r>
      <rPr>
        <b/>
        <vertAlign val="subscript"/>
        <sz val="12"/>
        <color theme="1"/>
        <rFont val="Times New Roman"/>
        <family val="1"/>
      </rPr>
      <t>10</t>
    </r>
    <r>
      <rPr>
        <b/>
        <sz val="12"/>
        <color theme="1"/>
        <rFont val="Times New Roman"/>
        <family val="1"/>
      </rPr>
      <t>Summed</t>
    </r>
  </si>
  <si>
    <t>Period</t>
  </si>
  <si>
    <t>EP↓</t>
  </si>
  <si>
    <t>SPI↓</t>
  </si>
  <si>
    <t>SPO↓</t>
  </si>
  <si>
    <t>RL↓</t>
  </si>
  <si>
    <t>RU↓</t>
  </si>
  <si>
    <t>RN↓</t>
  </si>
  <si>
    <t>DWDS↓</t>
  </si>
  <si>
    <t>MRT↓</t>
  </si>
  <si>
    <t>RS↓</t>
  </si>
  <si>
    <t>Residential↓</t>
  </si>
  <si>
    <r>
      <t>All sites</t>
    </r>
    <r>
      <rPr>
        <b/>
        <sz val="12"/>
        <color theme="1"/>
        <rFont val="Calibri"/>
        <family val="2"/>
      </rPr>
      <t>↓</t>
    </r>
  </si>
  <si>
    <t>Fig._Physicochem.-Time</t>
  </si>
  <si>
    <t>Physicochemical_ANOVA</t>
  </si>
  <si>
    <t>Managed data for Repeated measures ANOVA for the physicochemical data</t>
  </si>
  <si>
    <t>Combined unique ID</t>
  </si>
  <si>
    <r>
      <t>Sorted combined unique ID
Code</t>
    </r>
    <r>
      <rPr>
        <sz val="12"/>
        <color theme="1"/>
        <rFont val="Times New Roman"/>
        <family val="1"/>
      </rPr>
      <t>: exceljet.net/excel-functions/excel-sort-function</t>
    </r>
  </si>
  <si>
    <r>
      <t>Sorted unique ID
Code</t>
    </r>
    <r>
      <rPr>
        <sz val="12"/>
        <color theme="1"/>
        <rFont val="Times New Roman"/>
        <family val="1"/>
      </rPr>
      <t>: exceljet.net/formula/split-text-string-at-specific-character</t>
    </r>
  </si>
  <si>
    <t>ID for During the burn</t>
  </si>
  <si>
    <t>ID for Before the burn</t>
  </si>
  <si>
    <t>ID for After the burn</t>
  </si>
  <si>
    <t>BEFORE</t>
  </si>
  <si>
    <t>DURING</t>
  </si>
  <si>
    <t>AFTER</t>
  </si>
  <si>
    <t>Arithmetic mean</t>
  </si>
  <si>
    <t>Standard deviation</t>
  </si>
  <si>
    <r>
      <t>Monochloramine (mg Cl</t>
    </r>
    <r>
      <rPr>
        <b/>
        <vertAlign val="subscript"/>
        <sz val="12"/>
        <color theme="4"/>
        <rFont val="Times New Roman"/>
        <family val="1"/>
      </rPr>
      <t>2</t>
    </r>
    <r>
      <rPr>
        <b/>
        <sz val="12"/>
        <color theme="4"/>
        <rFont val="Times New Roman"/>
        <family val="1"/>
      </rPr>
      <t>/L)</t>
    </r>
  </si>
  <si>
    <r>
      <t>Free ammonia (NH</t>
    </r>
    <r>
      <rPr>
        <b/>
        <vertAlign val="subscript"/>
        <sz val="12"/>
        <color theme="4"/>
        <rFont val="Times New Roman"/>
        <family val="1"/>
      </rPr>
      <t>3</t>
    </r>
    <r>
      <rPr>
        <b/>
        <sz val="12"/>
        <color theme="4"/>
        <rFont val="Times New Roman"/>
        <family val="1"/>
      </rPr>
      <t>-N/L)</t>
    </r>
  </si>
  <si>
    <r>
      <t>Orthophosphate (mg PO</t>
    </r>
    <r>
      <rPr>
        <b/>
        <vertAlign val="subscript"/>
        <sz val="12"/>
        <color theme="4"/>
        <rFont val="Times New Roman"/>
        <family val="1"/>
      </rPr>
      <t>4</t>
    </r>
    <r>
      <rPr>
        <b/>
        <vertAlign val="superscript"/>
        <sz val="12"/>
        <color theme="4"/>
        <rFont val="Times New Roman"/>
        <family val="1"/>
      </rPr>
      <t>3-</t>
    </r>
    <r>
      <rPr>
        <b/>
        <sz val="12"/>
        <color theme="4"/>
        <rFont val="Times New Roman"/>
        <family val="1"/>
      </rPr>
      <t>/L)</t>
    </r>
  </si>
  <si>
    <r>
      <t xml:space="preserve">For </t>
    </r>
    <r>
      <rPr>
        <b/>
        <sz val="12"/>
        <color rgb="FFFF0000"/>
        <rFont val="Times New Roman"/>
        <family val="1"/>
      </rPr>
      <t>DWDS</t>
    </r>
    <r>
      <rPr>
        <b/>
        <sz val="12"/>
        <color theme="4"/>
        <rFont val="Times New Roman"/>
        <family val="1"/>
      </rPr>
      <t xml:space="preserve"> sampling sites</t>
    </r>
  </si>
  <si>
    <r>
      <t xml:space="preserve">For </t>
    </r>
    <r>
      <rPr>
        <b/>
        <sz val="12"/>
        <color rgb="FFFF0000"/>
        <rFont val="Times New Roman"/>
        <family val="1"/>
      </rPr>
      <t>Residential</t>
    </r>
    <r>
      <rPr>
        <b/>
        <sz val="12"/>
        <color theme="4"/>
        <rFont val="Times New Roman"/>
        <family val="1"/>
      </rPr>
      <t xml:space="preserve"> sampling sites</t>
    </r>
  </si>
  <si>
    <r>
      <t>Monochloramine (mg Cl</t>
    </r>
    <r>
      <rPr>
        <b/>
        <vertAlign val="subscript"/>
        <sz val="12"/>
        <color rgb="FFFF0000"/>
        <rFont val="Times New Roman"/>
        <family val="1"/>
      </rPr>
      <t>2</t>
    </r>
    <r>
      <rPr>
        <b/>
        <sz val="12"/>
        <color rgb="FFFF0000"/>
        <rFont val="Times New Roman"/>
        <family val="1"/>
      </rPr>
      <t>/L)</t>
    </r>
  </si>
  <si>
    <r>
      <t>Free ammonia (NH</t>
    </r>
    <r>
      <rPr>
        <b/>
        <vertAlign val="subscript"/>
        <sz val="12"/>
        <color rgb="FFFF0000"/>
        <rFont val="Times New Roman"/>
        <family val="1"/>
      </rPr>
      <t>3</t>
    </r>
    <r>
      <rPr>
        <b/>
        <sz val="12"/>
        <color rgb="FFFF0000"/>
        <rFont val="Times New Roman"/>
        <family val="1"/>
      </rPr>
      <t>-N/L)</t>
    </r>
  </si>
  <si>
    <r>
      <t>Orthophosphate (mg PO</t>
    </r>
    <r>
      <rPr>
        <b/>
        <vertAlign val="subscript"/>
        <sz val="12"/>
        <color rgb="FFFF0000"/>
        <rFont val="Times New Roman"/>
        <family val="1"/>
      </rPr>
      <t>4</t>
    </r>
    <r>
      <rPr>
        <b/>
        <vertAlign val="superscript"/>
        <sz val="12"/>
        <color rgb="FFFF0000"/>
        <rFont val="Times New Roman"/>
        <family val="1"/>
      </rPr>
      <t>3-</t>
    </r>
    <r>
      <rPr>
        <b/>
        <sz val="12"/>
        <color rgb="FFFF0000"/>
        <rFont val="Times New Roman"/>
        <family val="1"/>
      </rPr>
      <t>/L)</t>
    </r>
  </si>
  <si>
    <r>
      <t xml:space="preserve">For </t>
    </r>
    <r>
      <rPr>
        <b/>
        <sz val="12"/>
        <color rgb="FFFF0000"/>
        <rFont val="Times New Roman"/>
        <family val="1"/>
      </rPr>
      <t>All</t>
    </r>
    <r>
      <rPr>
        <b/>
        <sz val="12"/>
        <color theme="4"/>
        <rFont val="Times New Roman"/>
        <family val="1"/>
      </rPr>
      <t xml:space="preserve"> sampling sites</t>
    </r>
  </si>
  <si>
    <r>
      <t>Monochloramine (mg Cl</t>
    </r>
    <r>
      <rPr>
        <b/>
        <vertAlign val="subscript"/>
        <sz val="12"/>
        <color rgb="FF00B050"/>
        <rFont val="Times New Roman"/>
        <family val="1"/>
      </rPr>
      <t>2</t>
    </r>
    <r>
      <rPr>
        <b/>
        <sz val="12"/>
        <color rgb="FF00B050"/>
        <rFont val="Times New Roman"/>
        <family val="1"/>
      </rPr>
      <t>/L)</t>
    </r>
  </si>
  <si>
    <r>
      <t>Free ammonia (NH</t>
    </r>
    <r>
      <rPr>
        <b/>
        <vertAlign val="subscript"/>
        <sz val="12"/>
        <color rgb="FF00B050"/>
        <rFont val="Times New Roman"/>
        <family val="1"/>
      </rPr>
      <t>3</t>
    </r>
    <r>
      <rPr>
        <b/>
        <sz val="12"/>
        <color rgb="FF00B050"/>
        <rFont val="Times New Roman"/>
        <family val="1"/>
      </rPr>
      <t>-N/L)</t>
    </r>
  </si>
  <si>
    <r>
      <t>Orthophosphate (mg PO</t>
    </r>
    <r>
      <rPr>
        <b/>
        <vertAlign val="subscript"/>
        <sz val="12"/>
        <color rgb="FF00B050"/>
        <rFont val="Times New Roman"/>
        <family val="1"/>
      </rPr>
      <t>4</t>
    </r>
    <r>
      <rPr>
        <b/>
        <vertAlign val="superscript"/>
        <sz val="12"/>
        <color rgb="FF00B050"/>
        <rFont val="Times New Roman"/>
        <family val="1"/>
      </rPr>
      <t>3-</t>
    </r>
    <r>
      <rPr>
        <b/>
        <sz val="12"/>
        <color rgb="FF00B050"/>
        <rFont val="Times New Roman"/>
        <family val="1"/>
      </rPr>
      <t>/L)</t>
    </r>
  </si>
  <si>
    <t>Sampling_Events</t>
  </si>
  <si>
    <t>List of all sampling events</t>
  </si>
  <si>
    <t>Distance_Sites</t>
  </si>
  <si>
    <t>List of the distances of all sampling sites from the water treatment plant</t>
  </si>
  <si>
    <t>All sampling events with redundance</t>
  </si>
  <si>
    <t>All sampling dates with redundance</t>
  </si>
  <si>
    <t>Unique sampling dates</t>
  </si>
  <si>
    <t>Sorted unique sampling dates</t>
  </si>
  <si>
    <r>
      <t>Unique sampling events
Code</t>
    </r>
    <r>
      <rPr>
        <sz val="12"/>
        <color rgb="FFF04646"/>
        <rFont val="Times New Roman"/>
        <family val="1"/>
      </rPr>
      <t>: exceljet.net/formula/extract-unique-items-from-a-list</t>
    </r>
  </si>
  <si>
    <t>Fig._OPs-Time</t>
  </si>
  <si>
    <t>Changes in OP (including total bacterial) concentrations over time</t>
  </si>
  <si>
    <t xml:space="preserve">Unique data points extracted. Summed opportunistic pathogen concentrations calculated. The measured total bacterial concentration of 0 GCN/L on 06-03-2021 at SPI seems wrong. I manually adjusted the concentration by assuming that the true concentration should be close to the mean concentration for the two most close-by dates. </t>
  </si>
  <si>
    <r>
      <t>Adjusted total bacterial concentration on 06-03-2021 at SPI (log</t>
    </r>
    <r>
      <rPr>
        <vertAlign val="subscript"/>
        <sz val="12"/>
        <color rgb="FFFF0000"/>
        <rFont val="Times New Roman"/>
        <family val="1"/>
      </rPr>
      <t>10</t>
    </r>
    <r>
      <rPr>
        <sz val="12"/>
        <color rgb="FFFF0000"/>
        <rFont val="Times New Roman"/>
        <family val="1"/>
      </rPr>
      <t>Mean)</t>
    </r>
  </si>
  <si>
    <t>OPs_ANOVA</t>
  </si>
  <si>
    <t>Managed data for the Repeated measures ANOVA for the qPCR data</t>
  </si>
  <si>
    <r>
      <t>→Unit: log</t>
    </r>
    <r>
      <rPr>
        <b/>
        <vertAlign val="subscript"/>
        <sz val="12"/>
        <color rgb="FF7030A0"/>
        <rFont val="Times New Roman"/>
        <family val="1"/>
      </rPr>
      <t>10</t>
    </r>
    <r>
      <rPr>
        <b/>
        <sz val="12"/>
        <color rgb="FF7030A0"/>
        <rFont val="Times New Roman"/>
        <family val="1"/>
      </rPr>
      <t>Mean</t>
    </r>
  </si>
  <si>
    <t>Summed OPs</t>
  </si>
  <si>
    <t>Distribution system</t>
  </si>
  <si>
    <t>Premise plumbing</t>
  </si>
  <si>
    <t>Fig._DWDS_PP</t>
  </si>
  <si>
    <t>Comparing OP (including total bacterial) concentrations at the distribution system and premise plumbing sites</t>
  </si>
  <si>
    <r>
      <t>Unit</t>
    </r>
    <r>
      <rPr>
        <b/>
        <sz val="12"/>
        <color theme="1"/>
        <rFont val="Calibri"/>
        <family val="2"/>
      </rPr>
      <t>→</t>
    </r>
    <r>
      <rPr>
        <b/>
        <sz val="12"/>
        <color theme="1"/>
        <rFont val="Times New Roman"/>
        <family val="1"/>
      </rPr>
      <t xml:space="preserve"> log</t>
    </r>
    <r>
      <rPr>
        <b/>
        <vertAlign val="subscript"/>
        <sz val="12"/>
        <color theme="1"/>
        <rFont val="Times New Roman"/>
        <family val="1"/>
      </rPr>
      <t>10</t>
    </r>
    <r>
      <rPr>
        <b/>
        <sz val="12"/>
        <color theme="1"/>
        <rFont val="Times New Roman"/>
        <family val="1"/>
      </rPr>
      <t>(GCN/L)</t>
    </r>
  </si>
  <si>
    <t>Arranged qPCR data according to the periods (i.e., before, during, and after the chlorine burn)</t>
  </si>
  <si>
    <t>qPCR_Periods</t>
  </si>
  <si>
    <t>Before the burn</t>
  </si>
  <si>
    <t>During the burn</t>
  </si>
  <si>
    <t>After the burn</t>
  </si>
  <si>
    <t>The adjusted value for total bacteria at SPI on 06/03/2021</t>
  </si>
  <si>
    <t>Site--Overall</t>
  </si>
  <si>
    <t>Fig._OPs-Sites</t>
  </si>
  <si>
    <t>Changes in OP (including total bacterial) concentrations along the distribution system</t>
  </si>
  <si>
    <t>Fig._Chlorine_vs._N&amp;P</t>
  </si>
  <si>
    <t>Changes in free ammonia, nitrite, and orthophosphate concentrations over chlorine concentrations</t>
  </si>
  <si>
    <t>qPCR_Physicochemical</t>
  </si>
  <si>
    <t>Managed data for the correlations between qPCR and physicochemical data</t>
  </si>
  <si>
    <r>
      <t>Free chlorine (mg Cl</t>
    </r>
    <r>
      <rPr>
        <b/>
        <vertAlign val="subscript"/>
        <sz val="12"/>
        <color rgb="FFFF0000"/>
        <rFont val="Times New Roman"/>
        <family val="1"/>
      </rPr>
      <t>2</t>
    </r>
    <r>
      <rPr>
        <b/>
        <sz val="12"/>
        <color rgb="FFFF0000"/>
        <rFont val="Times New Roman"/>
        <family val="1"/>
      </rPr>
      <t xml:space="preserve">/L) </t>
    </r>
    <r>
      <rPr>
        <b/>
        <sz val="12"/>
        <color rgb="FFFF0000"/>
        <rFont val="Calibri"/>
        <family val="2"/>
      </rPr>
      <t>×</t>
    </r>
    <r>
      <rPr>
        <b/>
        <sz val="12"/>
        <color rgb="FFFF0000"/>
        <rFont val="Times New Roman"/>
        <family val="1"/>
      </rPr>
      <t xml:space="preserve"> 1.288 V + Monochloramine (mg Cl</t>
    </r>
    <r>
      <rPr>
        <b/>
        <vertAlign val="subscript"/>
        <sz val="12"/>
        <color rgb="FFFF0000"/>
        <rFont val="Times New Roman"/>
        <family val="1"/>
      </rPr>
      <t>2</t>
    </r>
    <r>
      <rPr>
        <b/>
        <sz val="12"/>
        <color rgb="FFFF0000"/>
        <rFont val="Times New Roman"/>
        <family val="1"/>
      </rPr>
      <t xml:space="preserve">/L) </t>
    </r>
    <r>
      <rPr>
        <b/>
        <sz val="12"/>
        <color rgb="FFFF0000"/>
        <rFont val="Calibri"/>
        <family val="2"/>
      </rPr>
      <t>×</t>
    </r>
    <r>
      <rPr>
        <b/>
        <sz val="12"/>
        <color rgb="FFFF0000"/>
        <rFont val="Times New Roman"/>
        <family val="1"/>
      </rPr>
      <t xml:space="preserve"> 1.097 V</t>
    </r>
  </si>
  <si>
    <t>CCA_Map</t>
  </si>
  <si>
    <t>Water temp.</t>
  </si>
  <si>
    <t>Free chlorine</t>
  </si>
  <si>
    <t>Free ammonia</t>
  </si>
  <si>
    <t>The Canonical Correspondence Analysis (CCA) results
Software: XLSTAT 2019.2.2
Tutorial: https://help.xlstat.com/6505-canonical-correspondence-analysis-cca-tutorial
Citation: Addinsoft (2022). XLSTAT statistical and data analysis solution. New York, USA. https://www.xlstat.com/en.</t>
  </si>
  <si>
    <t>Standard coordinates (Independent variables)</t>
  </si>
  <si>
    <t>F1</t>
  </si>
  <si>
    <t>F2</t>
  </si>
  <si>
    <r>
      <t>log</t>
    </r>
    <r>
      <rPr>
        <vertAlign val="subscript"/>
        <sz val="12"/>
        <color theme="1"/>
        <rFont val="Times New Roman"/>
        <family val="1"/>
      </rPr>
      <t>10</t>
    </r>
    <r>
      <rPr>
        <sz val="12"/>
        <color theme="1"/>
        <rFont val="Times New Roman"/>
        <family val="1"/>
      </rPr>
      <t>(</t>
    </r>
    <r>
      <rPr>
        <i/>
        <sz val="12"/>
        <color theme="1"/>
        <rFont val="Times New Roman"/>
        <family val="1"/>
      </rPr>
      <t>Legionella</t>
    </r>
    <r>
      <rPr>
        <sz val="12"/>
        <color theme="1"/>
        <rFont val="Times New Roman"/>
        <family val="1"/>
      </rPr>
      <t>)</t>
    </r>
  </si>
  <si>
    <r>
      <t>log</t>
    </r>
    <r>
      <rPr>
        <vertAlign val="subscript"/>
        <sz val="12"/>
        <color theme="1"/>
        <rFont val="Times New Roman"/>
        <family val="1"/>
      </rPr>
      <t>10</t>
    </r>
    <r>
      <rPr>
        <sz val="12"/>
        <color theme="1"/>
        <rFont val="Times New Roman"/>
        <family val="1"/>
      </rPr>
      <t>(</t>
    </r>
    <r>
      <rPr>
        <i/>
        <sz val="12"/>
        <color theme="1"/>
        <rFont val="Times New Roman"/>
        <family val="1"/>
      </rPr>
      <t>Mycobacterium</t>
    </r>
    <r>
      <rPr>
        <sz val="12"/>
        <color theme="1"/>
        <rFont val="Times New Roman"/>
        <family val="1"/>
      </rPr>
      <t>)</t>
    </r>
  </si>
  <si>
    <r>
      <t>log</t>
    </r>
    <r>
      <rPr>
        <vertAlign val="subscript"/>
        <sz val="12"/>
        <color theme="1"/>
        <rFont val="Times New Roman"/>
        <family val="1"/>
      </rPr>
      <t>10</t>
    </r>
    <r>
      <rPr>
        <sz val="12"/>
        <color theme="1"/>
        <rFont val="Times New Roman"/>
        <family val="1"/>
      </rPr>
      <t>(</t>
    </r>
    <r>
      <rPr>
        <i/>
        <sz val="12"/>
        <color theme="1"/>
        <rFont val="Times New Roman"/>
        <family val="1"/>
      </rPr>
      <t>Pseudomonas</t>
    </r>
    <r>
      <rPr>
        <sz val="12"/>
        <color theme="1"/>
        <rFont val="Times New Roman"/>
        <family val="1"/>
      </rPr>
      <t>)</t>
    </r>
  </si>
  <si>
    <r>
      <t>log</t>
    </r>
    <r>
      <rPr>
        <vertAlign val="subscript"/>
        <sz val="12"/>
        <color theme="1"/>
        <rFont val="Times New Roman"/>
        <family val="1"/>
      </rPr>
      <t>10</t>
    </r>
    <r>
      <rPr>
        <sz val="12"/>
        <color theme="1"/>
        <rFont val="Times New Roman"/>
        <family val="1"/>
      </rPr>
      <t>(</t>
    </r>
    <r>
      <rPr>
        <i/>
        <sz val="12"/>
        <color theme="1"/>
        <rFont val="Times New Roman"/>
        <family val="1"/>
      </rPr>
      <t>V. vermiformis</t>
    </r>
    <r>
      <rPr>
        <sz val="12"/>
        <color theme="1"/>
        <rFont val="Times New Roman"/>
        <family val="1"/>
      </rPr>
      <t>)</t>
    </r>
  </si>
  <si>
    <r>
      <t>log</t>
    </r>
    <r>
      <rPr>
        <vertAlign val="subscript"/>
        <sz val="12"/>
        <color theme="1"/>
        <rFont val="Times New Roman"/>
        <family val="1"/>
      </rPr>
      <t>10</t>
    </r>
    <r>
      <rPr>
        <sz val="12"/>
        <color theme="1"/>
        <rFont val="Times New Roman"/>
        <family val="1"/>
      </rPr>
      <t>(Total bacteria)</t>
    </r>
  </si>
  <si>
    <t>Principal coordinates (OPs and total bacteria)</t>
  </si>
  <si>
    <r>
      <rPr>
        <i/>
        <sz val="12"/>
        <color theme="1"/>
        <rFont val="Times New Roman"/>
        <family val="1"/>
      </rPr>
      <t>x</t>
    </r>
    <r>
      <rPr>
        <sz val="12"/>
        <color theme="1"/>
        <rFont val="Times New Roman"/>
        <family val="1"/>
      </rPr>
      <t>-axis</t>
    </r>
  </si>
  <si>
    <r>
      <rPr>
        <i/>
        <sz val="12"/>
        <color theme="1"/>
        <rFont val="Times New Roman"/>
        <family val="1"/>
      </rPr>
      <t>y</t>
    </r>
    <r>
      <rPr>
        <sz val="12"/>
        <color theme="1"/>
        <rFont val="Times New Roman"/>
        <family val="1"/>
      </rPr>
      <t>-axis</t>
    </r>
  </si>
  <si>
    <t>CCA_Raw_Data</t>
  </si>
  <si>
    <t>The raw data for Canonical Correspondence Analysis (CCA)</t>
  </si>
  <si>
    <t>Physicochemical_Sorted</t>
  </si>
  <si>
    <t>Changes in physicochemical water quality parameters over time</t>
  </si>
  <si>
    <t>Changes in physicochemical water quality parameters over different sampling sites Before, During, and After the chlorine burn</t>
  </si>
  <si>
    <r>
      <t xml:space="preserve">Group the </t>
    </r>
    <r>
      <rPr>
        <sz val="12"/>
        <color rgb="FFFF0000"/>
        <rFont val="Times New Roman"/>
        <family val="1"/>
      </rPr>
      <t>managed</t>
    </r>
    <r>
      <rPr>
        <sz val="12"/>
        <rFont val="Times New Roman"/>
        <family val="1"/>
      </rPr>
      <t xml:space="preserve"> physicochemical data to Before, During, and After the chlorine burn</t>
    </r>
  </si>
  <si>
    <t>Fig._Physicochem.-Sites</t>
  </si>
  <si>
    <t>2nd Run--Nate.xlsx</t>
  </si>
  <si>
    <t>qPCR_2nd_Run</t>
  </si>
  <si>
    <t xml:space="preserve">The results for the second qPCR test to double-check some data points. </t>
  </si>
  <si>
    <t>3rd Run--Ian.xls</t>
  </si>
  <si>
    <t>Results</t>
  </si>
  <si>
    <t>qPCR_3rd_Run</t>
  </si>
  <si>
    <t xml:space="preserve">The results for the third qPCR test to triple-check some data points. </t>
  </si>
  <si>
    <t>N/A</t>
  </si>
  <si>
    <t>RG-6 05/19 chk</t>
  </si>
  <si>
    <t>RG-7 05/19 chk</t>
  </si>
  <si>
    <t>RG-6 06/09 chk</t>
  </si>
  <si>
    <t>RG-7 06/09 chk</t>
  </si>
  <si>
    <t>RC-6 06/23 chk</t>
  </si>
  <si>
    <t>RC-7 06/23 chk</t>
  </si>
  <si>
    <t>EP-6 07/08 chk</t>
  </si>
  <si>
    <t>EP-7 07/08 chk</t>
  </si>
  <si>
    <t>MRT-6 08/11 chk</t>
  </si>
  <si>
    <t>MRT-7 08/11 chk</t>
  </si>
  <si>
    <t>RG-6 08/18 chk</t>
  </si>
  <si>
    <t>RG-7 08/18 chk</t>
  </si>
  <si>
    <t>N</t>
  </si>
  <si>
    <t>Burn started 6/14</t>
  </si>
  <si>
    <t>Burn ended 07/26</t>
  </si>
  <si>
    <t>Block Type</t>
  </si>
  <si>
    <t>96-Well 0.1-mL Block</t>
  </si>
  <si>
    <t xml:space="preserve">Calibration Background is expired </t>
  </si>
  <si>
    <t>No</t>
  </si>
  <si>
    <t>Calibration Background performed on</t>
  </si>
  <si>
    <t>12-01-2021</t>
  </si>
  <si>
    <t>Calibration Pure Dye ABY is expired</t>
  </si>
  <si>
    <t>Calibration Pure Dye ABY performed on</t>
  </si>
  <si>
    <t>Calibration Pure Dye CY5 is expired</t>
  </si>
  <si>
    <t>Calibration Pure Dye CY5 performed on</t>
  </si>
  <si>
    <t>Calibration Pure Dye FAM is expired</t>
  </si>
  <si>
    <t>Calibration Pure Dye FAM performed on</t>
  </si>
  <si>
    <t>Calibration Pure Dye JUN is expired</t>
  </si>
  <si>
    <t>Calibration Pure Dye JUN performed on</t>
  </si>
  <si>
    <t>Calibration Pure Dye MUSTANG PURPLE is expired</t>
  </si>
  <si>
    <t>Calibration Pure Dye MUSTANG PURPLE performed on</t>
  </si>
  <si>
    <t>Calibration Pure Dye NED is expired</t>
  </si>
  <si>
    <t>Calibration Pure Dye NED performed on</t>
  </si>
  <si>
    <t>Calibration Pure Dye ROX is expired</t>
  </si>
  <si>
    <t>Calibration Pure Dye ROX performed on</t>
  </si>
  <si>
    <t>Calibration Pure Dye SYBR is expired</t>
  </si>
  <si>
    <t>Calibration Pure Dye SYBR performed on</t>
  </si>
  <si>
    <t>Calibration Pure Dye TAMRA is expired</t>
  </si>
  <si>
    <t>Calibration Pure Dye TAMRA performed on</t>
  </si>
  <si>
    <t>Calibration Pure Dye VIC is expired</t>
  </si>
  <si>
    <t>Calibration Pure Dye VIC performed on</t>
  </si>
  <si>
    <t xml:space="preserve">Calibration ROI is expired </t>
  </si>
  <si>
    <t>Calibration ROI performed on</t>
  </si>
  <si>
    <t xml:space="preserve">Calibration Uniformity is expired </t>
  </si>
  <si>
    <t>Calibration Uniformity performed on</t>
  </si>
  <si>
    <t>Chemistry</t>
  </si>
  <si>
    <t>SYBR_GREEN</t>
  </si>
  <si>
    <t>Date Created</t>
  </si>
  <si>
    <t>2022-05-23 11:12:36 AM EDT</t>
  </si>
  <si>
    <t>Experiment Barcode</t>
  </si>
  <si>
    <t>Experiment Comment</t>
  </si>
  <si>
    <t>Experiment File Name</t>
  </si>
  <si>
    <t>C:\Applied Biosystems\QuantStudio Design &amp; Analysis Software\User Files\experiments\Nate\vv again.eds</t>
  </si>
  <si>
    <t>Experiment Name</t>
  </si>
  <si>
    <t>vv again</t>
  </si>
  <si>
    <t>Experiment Run End Time</t>
  </si>
  <si>
    <t>2022-05-10 16:02:19 PM EDT</t>
  </si>
  <si>
    <t>Experiment Type</t>
  </si>
  <si>
    <t>Standard Curve</t>
  </si>
  <si>
    <t>Instrument Name</t>
  </si>
  <si>
    <t xml:space="preserve">      272510827</t>
  </si>
  <si>
    <t>Instrument Serial Number</t>
  </si>
  <si>
    <t>272510827</t>
  </si>
  <si>
    <t>Instrument Type</t>
  </si>
  <si>
    <t>QuantStudio™ 5 System</t>
  </si>
  <si>
    <t>Passive Reference</t>
  </si>
  <si>
    <t>ROX</t>
  </si>
  <si>
    <t>Post-read Stage/Step</t>
  </si>
  <si>
    <t>Pre-read Stage/Step</t>
  </si>
  <si>
    <t>Quantification Cycle Method</t>
  </si>
  <si>
    <t>Signal Smoothing On</t>
  </si>
  <si>
    <t>true</t>
  </si>
  <si>
    <t>Stage where Melt Analysis is performed</t>
  </si>
  <si>
    <t>Stage3</t>
  </si>
  <si>
    <t>Stage/ Cycle where Ct Analysis is performed</t>
  </si>
  <si>
    <t>Stage2, Step2</t>
  </si>
  <si>
    <t>User Name</t>
  </si>
  <si>
    <t>Well</t>
  </si>
  <si>
    <t>Well Position</t>
  </si>
  <si>
    <t>Omit</t>
  </si>
  <si>
    <t>Target Name</t>
  </si>
  <si>
    <t>Task</t>
  </si>
  <si>
    <t>Reporter</t>
  </si>
  <si>
    <t>Quencher</t>
  </si>
  <si>
    <t>CT</t>
  </si>
  <si>
    <t>Ct Mean</t>
  </si>
  <si>
    <t>Ct SD</t>
  </si>
  <si>
    <t>Quantity</t>
  </si>
  <si>
    <t>Quantity Mean</t>
  </si>
  <si>
    <t>Quantity SD</t>
  </si>
  <si>
    <t>Y-Intercept</t>
  </si>
  <si>
    <t>R(superscript 2)</t>
  </si>
  <si>
    <t>Slope</t>
  </si>
  <si>
    <t>Efficiency</t>
  </si>
  <si>
    <t>Automatic Ct Threshold</t>
  </si>
  <si>
    <t>Ct Threshold</t>
  </si>
  <si>
    <t>Automatic Baseline</t>
  </si>
  <si>
    <t>Baseline Start</t>
  </si>
  <si>
    <t>Baseline End</t>
  </si>
  <si>
    <t>Amp Status</t>
  </si>
  <si>
    <t>Cq Conf</t>
  </si>
  <si>
    <t>MTP</t>
  </si>
  <si>
    <t>CQCONF</t>
  </si>
  <si>
    <t>EXPFAIL</t>
  </si>
  <si>
    <t>Tm1</t>
  </si>
  <si>
    <t>Tm2</t>
  </si>
  <si>
    <t>Tm3</t>
  </si>
  <si>
    <t>Tm4</t>
  </si>
  <si>
    <t>C1</t>
  </si>
  <si>
    <t>RG-6 05/19</t>
  </si>
  <si>
    <t>Target 1</t>
  </si>
  <si>
    <t>UNKNOWN</t>
  </si>
  <si>
    <t>SYBR</t>
  </si>
  <si>
    <t>None</t>
  </si>
  <si>
    <t>Amp</t>
  </si>
  <si>
    <t>C2</t>
  </si>
  <si>
    <t>RG-7 05/19</t>
  </si>
  <si>
    <t>C3</t>
  </si>
  <si>
    <t>RG6 06/09</t>
  </si>
  <si>
    <t>C4</t>
  </si>
  <si>
    <t>RG-7 06/09</t>
  </si>
  <si>
    <t>C5</t>
  </si>
  <si>
    <t>rc-6 06/23</t>
  </si>
  <si>
    <t>C6</t>
  </si>
  <si>
    <t>RC-7 06/23</t>
  </si>
  <si>
    <t>C7</t>
  </si>
  <si>
    <t>EP-6 07/08</t>
  </si>
  <si>
    <t>C8</t>
  </si>
  <si>
    <t>EP-7 07/08</t>
  </si>
  <si>
    <t>D1</t>
  </si>
  <si>
    <t>RG-6 05/19 10x</t>
  </si>
  <si>
    <t>D2</t>
  </si>
  <si>
    <t>RG-7 05/19 10x</t>
  </si>
  <si>
    <t>D3</t>
  </si>
  <si>
    <t>RG6 06/09 10x</t>
  </si>
  <si>
    <t>D4</t>
  </si>
  <si>
    <t>RG-7 06/09 10x</t>
  </si>
  <si>
    <t>D5</t>
  </si>
  <si>
    <t>rc-6 06/23 10x</t>
  </si>
  <si>
    <t>D6</t>
  </si>
  <si>
    <t>RC-7 06/23 10x</t>
  </si>
  <si>
    <t>D7</t>
  </si>
  <si>
    <t>EP-6 07/08 10x</t>
  </si>
  <si>
    <t>No Amp</t>
  </si>
  <si>
    <t>D8</t>
  </si>
  <si>
    <t>EP-7 07/08 10x</t>
  </si>
  <si>
    <t>qPCR_Compared</t>
  </si>
  <si>
    <t>Compare the results for the 1st, 2nd, and 3rd qPCR runs</t>
  </si>
  <si>
    <r>
      <t>C</t>
    </r>
    <r>
      <rPr>
        <b/>
        <vertAlign val="subscript"/>
        <sz val="12"/>
        <color theme="1"/>
        <rFont val="Times New Roman"/>
        <family val="1"/>
      </rPr>
      <t>DNA</t>
    </r>
    <r>
      <rPr>
        <b/>
        <sz val="12"/>
        <color theme="1"/>
        <rFont val="Times New Roman"/>
        <family val="1"/>
      </rPr>
      <t xml:space="preserve"> (GCN/μL)</t>
    </r>
  </si>
  <si>
    <t>qPCR 3rd Run</t>
  </si>
  <si>
    <t>qPCR 2nd Run</t>
  </si>
  <si>
    <t>qPCR_2nd_3rd_Managed</t>
  </si>
  <si>
    <t>Managed data for the 2nd and 3rd qPCR runs</t>
  </si>
  <si>
    <r>
      <t>Vermamoeba vermiformis</t>
    </r>
    <r>
      <rPr>
        <b/>
        <sz val="12"/>
        <rFont val="Times New Roman"/>
        <family val="1"/>
      </rPr>
      <t>--log</t>
    </r>
    <r>
      <rPr>
        <b/>
        <vertAlign val="subscript"/>
        <sz val="12"/>
        <rFont val="Times New Roman"/>
        <family val="1"/>
      </rPr>
      <t>10</t>
    </r>
    <r>
      <rPr>
        <b/>
        <sz val="12"/>
        <rFont val="Times New Roman"/>
        <family val="1"/>
      </rPr>
      <t>Mean</t>
    </r>
  </si>
  <si>
    <t>1st Run</t>
  </si>
  <si>
    <t>2nd Run</t>
  </si>
  <si>
    <t>3rd Run</t>
  </si>
  <si>
    <t>Not assayed</t>
  </si>
  <si>
    <r>
      <t>Legionella</t>
    </r>
    <r>
      <rPr>
        <b/>
        <sz val="12"/>
        <rFont val="Times New Roman"/>
        <family val="1"/>
      </rPr>
      <t>--log</t>
    </r>
    <r>
      <rPr>
        <b/>
        <vertAlign val="subscript"/>
        <sz val="12"/>
        <rFont val="Times New Roman"/>
        <family val="1"/>
      </rPr>
      <t>10</t>
    </r>
    <r>
      <rPr>
        <b/>
        <sz val="12"/>
        <rFont val="Times New Roman"/>
        <family val="1"/>
      </rPr>
      <t>Mean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</si>
</sst>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
    <numFmt numFmtId="165" formatCode="m/d/yy\ h:mm;@"/>
    <numFmt numFmtId="166" formatCode="0.000"/>
    <numFmt numFmtId="167" formatCode="mm/dd/yyyy"/>
    <numFmt numFmtId="168" formatCode="0.0000"/>
  </numFmts>
  <fonts count="55" x14ac:knownFonts="1">
    <font>
      <sz val="11"/>
      <color theme="1"/>
      <name val="Calibri"/>
      <family val="2"/>
      <scheme val="minor"/>
    </font>
    <font>
      <b/>
      <sz val="12"/>
      <color theme="1"/>
      <name val="Times New Roman"/>
      <family val="1"/>
    </font>
    <font>
      <b/>
      <vertAlign val="superscript"/>
      <sz val="12"/>
      <color theme="1"/>
      <name val="Times New Roman"/>
      <family val="1"/>
    </font>
    <font>
      <sz val="12"/>
      <color theme="1"/>
      <name val="Times New Roman"/>
      <family val="1"/>
    </font>
    <font>
      <i/>
      <sz val="12"/>
      <color theme="1"/>
      <name val="Times New Roman"/>
      <family val="1"/>
    </font>
    <font>
      <i/>
      <vertAlign val="subscript"/>
      <sz val="12"/>
      <color theme="1"/>
      <name val="Times New Roman"/>
      <family val="1"/>
    </font>
    <font>
      <b/>
      <i/>
      <sz val="12"/>
      <color theme="1"/>
      <name val="Times New Roman"/>
      <family val="1"/>
    </font>
    <font>
      <b/>
      <i/>
      <vertAlign val="subscript"/>
      <sz val="12"/>
      <color theme="1"/>
      <name val="Times New Roman"/>
      <family val="1"/>
    </font>
    <font>
      <b/>
      <sz val="12"/>
      <name val="Times New Roman"/>
      <family val="1"/>
    </font>
    <font>
      <sz val="12"/>
      <name val="Times New Roman"/>
      <family val="1"/>
    </font>
    <font>
      <b/>
      <sz val="12"/>
      <color rgb="FFFF0000"/>
      <name val="Times New Roman"/>
      <family val="1"/>
    </font>
    <font>
      <i/>
      <sz val="16"/>
      <color theme="1"/>
      <name val="Times New Roman"/>
      <family val="1"/>
    </font>
    <font>
      <sz val="16"/>
      <color theme="1"/>
      <name val="Times New Roman"/>
      <family val="1"/>
    </font>
    <font>
      <vertAlign val="superscript"/>
      <sz val="16"/>
      <color theme="1"/>
      <name val="Times New Roman"/>
      <family val="1"/>
    </font>
    <font>
      <i/>
      <vertAlign val="superscript"/>
      <sz val="16"/>
      <color theme="1"/>
      <name val="Times New Roman"/>
      <family val="1"/>
    </font>
    <font>
      <sz val="12"/>
      <color rgb="FFFF0000"/>
      <name val="Times New Roman"/>
      <family val="1"/>
    </font>
    <font>
      <b/>
      <vertAlign val="subscript"/>
      <sz val="12"/>
      <color theme="1"/>
      <name val="Times New Roman"/>
      <family val="1"/>
    </font>
    <font>
      <sz val="12"/>
      <color theme="4"/>
      <name val="Times New Roman"/>
      <family val="1"/>
    </font>
    <font>
      <b/>
      <sz val="11"/>
      <color theme="1"/>
      <name val="Calibri"/>
      <family val="2"/>
      <scheme val="minor"/>
    </font>
    <font>
      <sz val="11"/>
      <color theme="1"/>
      <name val="Calibri"/>
      <family val="2"/>
    </font>
    <font>
      <sz val="11"/>
      <name val="Calibri"/>
      <family val="2"/>
      <scheme val="minor"/>
    </font>
    <font>
      <b/>
      <sz val="12"/>
      <color theme="8"/>
      <name val="Times New Roman"/>
      <family val="1"/>
    </font>
    <font>
      <sz val="11"/>
      <color theme="1"/>
      <name val="Calibri"/>
      <family val="2"/>
      <scheme val="minor"/>
    </font>
    <font>
      <sz val="10"/>
      <name val="Arial"/>
      <family val="2"/>
    </font>
    <font>
      <b/>
      <sz val="12"/>
      <color theme="1"/>
      <name val="Calibri"/>
      <family val="2"/>
    </font>
    <font>
      <b/>
      <i/>
      <sz val="12"/>
      <name val="Times New Roman"/>
      <family val="1"/>
    </font>
    <font>
      <b/>
      <i/>
      <vertAlign val="subscript"/>
      <sz val="12"/>
      <name val="Times New Roman"/>
      <family val="1"/>
    </font>
    <font>
      <b/>
      <sz val="14.4"/>
      <color theme="1"/>
      <name val="Times New Roman"/>
      <family val="1"/>
    </font>
    <font>
      <b/>
      <sz val="14"/>
      <color rgb="FFFF0000"/>
      <name val="Times New Roman"/>
      <family val="1"/>
    </font>
    <font>
      <sz val="12"/>
      <color theme="1"/>
      <name val="Calibri"/>
      <family val="2"/>
    </font>
    <font>
      <sz val="12"/>
      <color rgb="FFC00000"/>
      <name val="Times New Roman"/>
      <family val="1"/>
    </font>
    <font>
      <b/>
      <sz val="12"/>
      <color theme="4"/>
      <name val="Times New Roman"/>
      <family val="1"/>
    </font>
    <font>
      <b/>
      <vertAlign val="subscript"/>
      <sz val="12"/>
      <color theme="4"/>
      <name val="Times New Roman"/>
      <family val="1"/>
    </font>
    <font>
      <b/>
      <vertAlign val="superscript"/>
      <sz val="12"/>
      <color theme="4"/>
      <name val="Times New Roman"/>
      <family val="1"/>
    </font>
    <font>
      <b/>
      <vertAlign val="subscript"/>
      <sz val="12"/>
      <color rgb="FFFF0000"/>
      <name val="Times New Roman"/>
      <family val="1"/>
    </font>
    <font>
      <b/>
      <vertAlign val="superscript"/>
      <sz val="12"/>
      <color rgb="FFFF0000"/>
      <name val="Times New Roman"/>
      <family val="1"/>
    </font>
    <font>
      <b/>
      <sz val="12"/>
      <color rgb="FF00B050"/>
      <name val="Times New Roman"/>
      <family val="1"/>
    </font>
    <font>
      <sz val="12"/>
      <color rgb="FF00B050"/>
      <name val="Times New Roman"/>
      <family val="1"/>
    </font>
    <font>
      <b/>
      <vertAlign val="subscript"/>
      <sz val="12"/>
      <color rgb="FF00B050"/>
      <name val="Times New Roman"/>
      <family val="1"/>
    </font>
    <font>
      <b/>
      <vertAlign val="superscript"/>
      <sz val="12"/>
      <color rgb="FF00B050"/>
      <name val="Times New Roman"/>
      <family val="1"/>
    </font>
    <font>
      <b/>
      <sz val="12"/>
      <color rgb="FFF04646"/>
      <name val="Times New Roman"/>
      <family val="1"/>
    </font>
    <font>
      <sz val="12"/>
      <color rgb="FFF04646"/>
      <name val="Times New Roman"/>
      <family val="1"/>
    </font>
    <font>
      <vertAlign val="subscript"/>
      <sz val="12"/>
      <color rgb="FFFF0000"/>
      <name val="Times New Roman"/>
      <family val="1"/>
    </font>
    <font>
      <b/>
      <sz val="12"/>
      <color rgb="FF7030A0"/>
      <name val="Times New Roman"/>
      <family val="1"/>
    </font>
    <font>
      <b/>
      <vertAlign val="subscript"/>
      <sz val="12"/>
      <color rgb="FF7030A0"/>
      <name val="Times New Roman"/>
      <family val="1"/>
    </font>
    <font>
      <b/>
      <i/>
      <sz val="12"/>
      <color theme="4"/>
      <name val="Times New Roman"/>
      <family val="1"/>
    </font>
    <font>
      <b/>
      <i/>
      <sz val="12"/>
      <color rgb="FF7030A0"/>
      <name val="Times New Roman"/>
      <family val="1"/>
    </font>
    <font>
      <sz val="12"/>
      <color rgb="FF7030A0"/>
      <name val="Times New Roman"/>
      <family val="1"/>
    </font>
    <font>
      <b/>
      <sz val="12"/>
      <color rgb="FF28C8C8"/>
      <name val="Times New Roman"/>
      <family val="1"/>
    </font>
    <font>
      <b/>
      <i/>
      <sz val="12"/>
      <color rgb="FF28C8C8"/>
      <name val="Times New Roman"/>
      <family val="1"/>
    </font>
    <font>
      <sz val="12"/>
      <color rgb="FF28C8C8"/>
      <name val="Times New Roman"/>
      <family val="1"/>
    </font>
    <font>
      <b/>
      <sz val="12"/>
      <color rgb="FFFF0000"/>
      <name val="Calibri"/>
      <family val="2"/>
    </font>
    <font>
      <vertAlign val="subscript"/>
      <sz val="12"/>
      <color theme="1"/>
      <name val="Times New Roman"/>
      <family val="1"/>
    </font>
    <font>
      <sz val="10"/>
      <name val="Arial"/>
    </font>
    <font>
      <b/>
      <vertAlign val="subscript"/>
      <sz val="12"/>
      <name val="Times New Roman"/>
      <family val="1"/>
    </font>
  </fonts>
  <fills count="15">
    <fill>
      <patternFill patternType="none"/>
    </fill>
    <fill>
      <patternFill patternType="gray125"/>
    </fill>
    <fill>
      <patternFill patternType="solid">
        <fgColor theme="8" tint="0.79998168889431442"/>
        <bgColor indexed="64"/>
      </patternFill>
    </fill>
    <fill>
      <patternFill patternType="solid">
        <fgColor rgb="FFFFFF00"/>
        <bgColor indexed="64"/>
      </patternFill>
    </fill>
    <fill>
      <patternFill patternType="solid">
        <fgColor theme="5" tint="0.79998168889431442"/>
        <bgColor indexed="64"/>
      </patternFill>
    </fill>
    <fill>
      <patternFill patternType="solid">
        <fgColor theme="9"/>
        <bgColor indexed="64"/>
      </patternFill>
    </fill>
    <fill>
      <patternFill patternType="solid">
        <fgColor theme="8"/>
        <bgColor indexed="64"/>
      </patternFill>
    </fill>
    <fill>
      <patternFill patternType="solid">
        <fgColor theme="7" tint="0.79998168889431442"/>
        <bgColor indexed="64"/>
      </patternFill>
    </fill>
    <fill>
      <patternFill patternType="solid">
        <fgColor theme="7"/>
        <bgColor indexed="64"/>
      </patternFill>
    </fill>
    <fill>
      <patternFill patternType="solid">
        <fgColor theme="5"/>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2"/>
        <bgColor indexed="64"/>
      </patternFill>
    </fill>
    <fill>
      <patternFill patternType="solid">
        <fgColor theme="6" tint="0.59999389629810485"/>
        <bgColor indexed="64"/>
      </patternFill>
    </fill>
    <fill>
      <patternFill patternType="solid">
        <fgColor rgb="FFFF0000"/>
        <bgColor indexed="64"/>
      </patternFill>
    </fill>
  </fills>
  <borders count="555">
    <border>
      <left/>
      <right/>
      <top/>
      <bottom/>
      <diagonal/>
    </border>
    <border>
      <left style="thick">
        <color auto="1"/>
      </left>
      <right style="thin">
        <color auto="1"/>
      </right>
      <top style="thick">
        <color auto="1"/>
      </top>
      <bottom style="thin">
        <color auto="1"/>
      </bottom>
      <diagonal/>
    </border>
    <border>
      <left style="thin">
        <color auto="1"/>
      </left>
      <right style="thin">
        <color auto="1"/>
      </right>
      <top style="thick">
        <color auto="1"/>
      </top>
      <bottom style="thin">
        <color auto="1"/>
      </bottom>
      <diagonal/>
    </border>
    <border>
      <left style="thin">
        <color auto="1"/>
      </left>
      <right style="thick">
        <color auto="1"/>
      </right>
      <top style="thick">
        <color auto="1"/>
      </top>
      <bottom style="thin">
        <color auto="1"/>
      </bottom>
      <diagonal/>
    </border>
    <border>
      <left style="thick">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thick">
        <color auto="1"/>
      </right>
      <top/>
      <bottom style="thin">
        <color auto="1"/>
      </bottom>
      <diagonal/>
    </border>
    <border>
      <left style="thick">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style="thin">
        <color indexed="64"/>
      </right>
      <top style="thin">
        <color indexed="64"/>
      </top>
      <bottom style="thick">
        <color theme="1"/>
      </bottom>
      <diagonal/>
    </border>
    <border>
      <left style="thin">
        <color indexed="64"/>
      </left>
      <right style="thin">
        <color indexed="64"/>
      </right>
      <top style="thin">
        <color indexed="64"/>
      </top>
      <bottom style="thick">
        <color theme="1"/>
      </bottom>
      <diagonal/>
    </border>
    <border>
      <left style="thin">
        <color indexed="64"/>
      </left>
      <right style="thick">
        <color indexed="64"/>
      </right>
      <top style="thin">
        <color indexed="64"/>
      </top>
      <bottom style="thick">
        <color theme="1"/>
      </bottom>
      <diagonal/>
    </border>
    <border>
      <left style="thick">
        <color indexed="64"/>
      </left>
      <right/>
      <top style="thin">
        <color indexed="64"/>
      </top>
      <bottom style="thick">
        <color indexed="64"/>
      </bottom>
      <diagonal/>
    </border>
    <border>
      <left/>
      <right/>
      <top style="thin">
        <color indexed="64"/>
      </top>
      <bottom style="thick">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style="thin">
        <color indexed="64"/>
      </left>
      <right style="thick">
        <color indexed="64"/>
      </right>
      <top style="thick">
        <color indexed="64"/>
      </top>
      <bottom style="medium">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rgb="FFA3A3A3"/>
      </left>
      <right style="medium">
        <color rgb="FFA3A3A3"/>
      </right>
      <top/>
      <bottom style="medium">
        <color rgb="FFA3A3A3"/>
      </bottom>
      <diagonal/>
    </border>
    <border>
      <left style="medium">
        <color rgb="FFA3A3A3"/>
      </left>
      <right style="medium">
        <color rgb="FFA3A3A3"/>
      </right>
      <top style="medium">
        <color rgb="FFA3A3A3"/>
      </top>
      <bottom style="medium">
        <color rgb="FFA3A3A3"/>
      </bottom>
      <diagonal/>
    </border>
    <border>
      <left style="thin">
        <color indexed="64"/>
      </left>
      <right/>
      <top/>
      <bottom/>
      <diagonal/>
    </border>
    <border>
      <left style="medium">
        <color rgb="FFA3A3A3"/>
      </left>
      <right style="medium">
        <color rgb="FFA3A3A3"/>
      </right>
      <top style="medium">
        <color rgb="FFA3A3A3"/>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theme="8"/>
      </left>
      <right/>
      <top style="thin">
        <color theme="8"/>
      </top>
      <bottom style="thin">
        <color theme="8"/>
      </bottom>
      <diagonal/>
    </border>
    <border>
      <left/>
      <right style="thin">
        <color theme="8"/>
      </right>
      <top style="thin">
        <color theme="8"/>
      </top>
      <bottom style="thin">
        <color theme="8"/>
      </bottom>
      <diagonal/>
    </border>
    <border>
      <left style="thin">
        <color theme="8"/>
      </left>
      <right style="thin">
        <color theme="8"/>
      </right>
      <top style="thin">
        <color theme="8"/>
      </top>
      <bottom style="thin">
        <color theme="8"/>
      </bottom>
      <diagonal/>
    </border>
    <border>
      <left style="thick">
        <color theme="4"/>
      </left>
      <right style="thin">
        <color theme="4"/>
      </right>
      <top style="thick">
        <color theme="4"/>
      </top>
      <bottom style="thin">
        <color theme="4"/>
      </bottom>
      <diagonal/>
    </border>
    <border>
      <left style="thin">
        <color theme="4"/>
      </left>
      <right style="thin">
        <color theme="4"/>
      </right>
      <top style="thick">
        <color theme="4"/>
      </top>
      <bottom style="thin">
        <color theme="4"/>
      </bottom>
      <diagonal/>
    </border>
    <border>
      <left style="thin">
        <color theme="4"/>
      </left>
      <right style="thick">
        <color theme="4"/>
      </right>
      <top style="thick">
        <color theme="4"/>
      </top>
      <bottom style="thin">
        <color theme="4"/>
      </bottom>
      <diagonal/>
    </border>
    <border>
      <left style="thick">
        <color theme="4"/>
      </left>
      <right style="thin">
        <color theme="4"/>
      </right>
      <top style="thin">
        <color theme="4"/>
      </top>
      <bottom style="thin">
        <color theme="4"/>
      </bottom>
      <diagonal/>
    </border>
    <border>
      <left style="thin">
        <color theme="4"/>
      </left>
      <right style="thin">
        <color theme="4"/>
      </right>
      <top style="thin">
        <color theme="4"/>
      </top>
      <bottom style="thin">
        <color theme="4"/>
      </bottom>
      <diagonal/>
    </border>
    <border>
      <left style="thin">
        <color theme="4"/>
      </left>
      <right style="thick">
        <color theme="4"/>
      </right>
      <top style="thin">
        <color theme="4"/>
      </top>
      <bottom style="thin">
        <color theme="4"/>
      </bottom>
      <diagonal/>
    </border>
    <border>
      <left style="thick">
        <color theme="4"/>
      </left>
      <right style="thin">
        <color theme="4"/>
      </right>
      <top style="thin">
        <color theme="4"/>
      </top>
      <bottom style="thick">
        <color theme="4"/>
      </bottom>
      <diagonal/>
    </border>
    <border>
      <left style="thin">
        <color theme="4"/>
      </left>
      <right style="thin">
        <color theme="4"/>
      </right>
      <top style="thin">
        <color theme="4"/>
      </top>
      <bottom style="thick">
        <color theme="4"/>
      </bottom>
      <diagonal/>
    </border>
    <border>
      <left style="thin">
        <color theme="4"/>
      </left>
      <right style="thick">
        <color theme="4"/>
      </right>
      <top style="thin">
        <color theme="4"/>
      </top>
      <bottom style="thick">
        <color theme="4"/>
      </bottom>
      <diagonal/>
    </border>
    <border>
      <left style="thick">
        <color theme="4"/>
      </left>
      <right style="thin">
        <color theme="4"/>
      </right>
      <top/>
      <bottom style="thin">
        <color theme="4"/>
      </bottom>
      <diagonal/>
    </border>
    <border>
      <left style="thin">
        <color theme="4"/>
      </left>
      <right style="thin">
        <color theme="4"/>
      </right>
      <top/>
      <bottom style="thin">
        <color theme="4"/>
      </bottom>
      <diagonal/>
    </border>
    <border>
      <left style="thin">
        <color theme="4"/>
      </left>
      <right style="thick">
        <color theme="4"/>
      </right>
      <top/>
      <bottom style="thin">
        <color theme="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rgb="FF7030A0"/>
      </left>
      <right style="thin">
        <color rgb="FF7030A0"/>
      </right>
      <top style="thin">
        <color rgb="FF7030A0"/>
      </top>
      <bottom style="thin">
        <color rgb="FF7030A0"/>
      </bottom>
      <diagonal/>
    </border>
    <border>
      <left style="thin">
        <color rgb="FF7030A0"/>
      </left>
      <right style="thin">
        <color rgb="FF7030A0"/>
      </right>
      <top style="thin">
        <color rgb="FF7030A0"/>
      </top>
      <bottom style="thin">
        <color rgb="FF7030A0"/>
      </bottom>
      <diagonal/>
    </border>
    <border>
      <left style="thin">
        <color rgb="FF7030A0"/>
      </left>
      <right style="thick">
        <color rgb="FF7030A0"/>
      </right>
      <top style="thin">
        <color rgb="FF7030A0"/>
      </top>
      <bottom style="thin">
        <color rgb="FF7030A0"/>
      </bottom>
      <diagonal/>
    </border>
    <border>
      <left style="thick">
        <color rgb="FF7030A0"/>
      </left>
      <right style="thin">
        <color rgb="FF7030A0"/>
      </right>
      <top style="thin">
        <color rgb="FF7030A0"/>
      </top>
      <bottom style="thick">
        <color rgb="FF7030A0"/>
      </bottom>
      <diagonal/>
    </border>
    <border>
      <left style="thin">
        <color rgb="FF7030A0"/>
      </left>
      <right style="thin">
        <color rgb="FF7030A0"/>
      </right>
      <top style="thin">
        <color rgb="FF7030A0"/>
      </top>
      <bottom style="thick">
        <color rgb="FF7030A0"/>
      </bottom>
      <diagonal/>
    </border>
    <border>
      <left style="thin">
        <color rgb="FF7030A0"/>
      </left>
      <right style="thick">
        <color rgb="FF7030A0"/>
      </right>
      <top style="thin">
        <color rgb="FF7030A0"/>
      </top>
      <bottom style="thick">
        <color rgb="FF7030A0"/>
      </bottom>
      <diagonal/>
    </border>
    <border>
      <left style="thick">
        <color rgb="FF7030A0"/>
      </left>
      <right style="thin">
        <color rgb="FF7030A0"/>
      </right>
      <top/>
      <bottom style="thin">
        <color rgb="FF7030A0"/>
      </bottom>
      <diagonal/>
    </border>
    <border>
      <left style="thin">
        <color rgb="FF7030A0"/>
      </left>
      <right style="thin">
        <color rgb="FF7030A0"/>
      </right>
      <top/>
      <bottom style="thin">
        <color rgb="FF7030A0"/>
      </bottom>
      <diagonal/>
    </border>
    <border>
      <left style="thin">
        <color rgb="FF7030A0"/>
      </left>
      <right style="thick">
        <color rgb="FF7030A0"/>
      </right>
      <top/>
      <bottom style="thin">
        <color rgb="FF7030A0"/>
      </bottom>
      <diagonal/>
    </border>
    <border>
      <left style="thick">
        <color rgb="FF7030A0"/>
      </left>
      <right style="thin">
        <color rgb="FF7030A0"/>
      </right>
      <top style="thick">
        <color rgb="FF7030A0"/>
      </top>
      <bottom style="medium">
        <color rgb="FF7030A0"/>
      </bottom>
      <diagonal/>
    </border>
    <border>
      <left style="thin">
        <color rgb="FF7030A0"/>
      </left>
      <right style="thin">
        <color rgb="FF7030A0"/>
      </right>
      <top style="thick">
        <color rgb="FF7030A0"/>
      </top>
      <bottom style="medium">
        <color rgb="FF7030A0"/>
      </bottom>
      <diagonal/>
    </border>
    <border>
      <left style="thin">
        <color rgb="FF7030A0"/>
      </left>
      <right style="thick">
        <color rgb="FF7030A0"/>
      </right>
      <top style="thick">
        <color rgb="FF7030A0"/>
      </top>
      <bottom style="medium">
        <color rgb="FF7030A0"/>
      </bottom>
      <diagonal/>
    </border>
    <border>
      <left style="thick">
        <color rgb="FF7030A0"/>
      </left>
      <right style="thin">
        <color rgb="FF7030A0"/>
      </right>
      <top style="thin">
        <color rgb="FF7030A0"/>
      </top>
      <bottom/>
      <diagonal/>
    </border>
    <border>
      <left style="thin">
        <color rgb="FF7030A0"/>
      </left>
      <right style="thin">
        <color rgb="FF7030A0"/>
      </right>
      <top style="thin">
        <color rgb="FF7030A0"/>
      </top>
      <bottom/>
      <diagonal/>
    </border>
    <border>
      <left style="thin">
        <color rgb="FF7030A0"/>
      </left>
      <right style="thick">
        <color rgb="FF7030A0"/>
      </right>
      <top style="thin">
        <color rgb="FF7030A0"/>
      </top>
      <bottom/>
      <diagonal/>
    </border>
    <border>
      <left style="thick">
        <color rgb="FF7030A0"/>
      </left>
      <right style="thin">
        <color rgb="FF7030A0"/>
      </right>
      <top style="medium">
        <color rgb="FF7030A0"/>
      </top>
      <bottom style="thin">
        <color rgb="FF7030A0"/>
      </bottom>
      <diagonal/>
    </border>
    <border>
      <left style="thin">
        <color rgb="FF7030A0"/>
      </left>
      <right style="thin">
        <color rgb="FF7030A0"/>
      </right>
      <top style="medium">
        <color rgb="FF7030A0"/>
      </top>
      <bottom style="thin">
        <color rgb="FF7030A0"/>
      </bottom>
      <diagonal/>
    </border>
    <border>
      <left style="thin">
        <color rgb="FF7030A0"/>
      </left>
      <right style="thick">
        <color rgb="FF7030A0"/>
      </right>
      <top style="medium">
        <color rgb="FF7030A0"/>
      </top>
      <bottom style="thin">
        <color rgb="FF7030A0"/>
      </bottom>
      <diagonal/>
    </border>
    <border>
      <left style="thick">
        <color rgb="FF7030A0"/>
      </left>
      <right style="thin">
        <color rgb="FF7030A0"/>
      </right>
      <top style="thin">
        <color rgb="FF7030A0"/>
      </top>
      <bottom style="medium">
        <color rgb="FF7030A0"/>
      </bottom>
      <diagonal/>
    </border>
    <border>
      <left style="thin">
        <color rgb="FF7030A0"/>
      </left>
      <right style="thin">
        <color rgb="FF7030A0"/>
      </right>
      <top style="thin">
        <color rgb="FF7030A0"/>
      </top>
      <bottom style="medium">
        <color rgb="FF7030A0"/>
      </bottom>
      <diagonal/>
    </border>
    <border>
      <left style="thin">
        <color rgb="FF7030A0"/>
      </left>
      <right style="thick">
        <color rgb="FF7030A0"/>
      </right>
      <top style="thin">
        <color rgb="FF7030A0"/>
      </top>
      <bottom style="medium">
        <color rgb="FF7030A0"/>
      </bottom>
      <diagonal/>
    </border>
    <border>
      <left style="thick">
        <color theme="4"/>
      </left>
      <right style="thin">
        <color theme="4"/>
      </right>
      <top style="thick">
        <color theme="4"/>
      </top>
      <bottom style="medium">
        <color theme="4"/>
      </bottom>
      <diagonal/>
    </border>
    <border>
      <left style="thin">
        <color theme="4"/>
      </left>
      <right style="thin">
        <color theme="4"/>
      </right>
      <top style="thick">
        <color theme="4"/>
      </top>
      <bottom style="medium">
        <color theme="4"/>
      </bottom>
      <diagonal/>
    </border>
    <border>
      <left style="thin">
        <color theme="4"/>
      </left>
      <right style="thick">
        <color theme="4"/>
      </right>
      <top style="thick">
        <color theme="4"/>
      </top>
      <bottom style="medium">
        <color theme="4"/>
      </bottom>
      <diagonal/>
    </border>
    <border>
      <left style="thick">
        <color theme="4"/>
      </left>
      <right style="thin">
        <color theme="4"/>
      </right>
      <top style="thin">
        <color theme="4"/>
      </top>
      <bottom/>
      <diagonal/>
    </border>
    <border>
      <left style="thin">
        <color theme="4"/>
      </left>
      <right style="thin">
        <color theme="4"/>
      </right>
      <top style="thin">
        <color theme="4"/>
      </top>
      <bottom/>
      <diagonal/>
    </border>
    <border>
      <left style="thin">
        <color theme="4"/>
      </left>
      <right style="thick">
        <color theme="4"/>
      </right>
      <top style="thin">
        <color theme="4"/>
      </top>
      <bottom/>
      <diagonal/>
    </border>
    <border>
      <left style="thick">
        <color theme="4"/>
      </left>
      <right style="thin">
        <color theme="4"/>
      </right>
      <top style="medium">
        <color theme="4"/>
      </top>
      <bottom style="thin">
        <color theme="4"/>
      </bottom>
      <diagonal/>
    </border>
    <border>
      <left style="thin">
        <color theme="4"/>
      </left>
      <right style="thin">
        <color theme="4"/>
      </right>
      <top style="medium">
        <color theme="4"/>
      </top>
      <bottom style="thin">
        <color theme="4"/>
      </bottom>
      <diagonal/>
    </border>
    <border>
      <left style="thin">
        <color theme="4"/>
      </left>
      <right style="thick">
        <color theme="4"/>
      </right>
      <top style="medium">
        <color theme="4"/>
      </top>
      <bottom style="thin">
        <color theme="4"/>
      </bottom>
      <diagonal/>
    </border>
    <border>
      <left style="thick">
        <color theme="4"/>
      </left>
      <right style="thin">
        <color theme="4"/>
      </right>
      <top style="thin">
        <color theme="4"/>
      </top>
      <bottom style="medium">
        <color theme="4"/>
      </bottom>
      <diagonal/>
    </border>
    <border>
      <left style="thin">
        <color theme="4"/>
      </left>
      <right style="thin">
        <color theme="4"/>
      </right>
      <top style="thin">
        <color theme="4"/>
      </top>
      <bottom style="medium">
        <color theme="4"/>
      </bottom>
      <diagonal/>
    </border>
    <border>
      <left style="thin">
        <color theme="4"/>
      </left>
      <right style="thick">
        <color theme="4"/>
      </right>
      <top style="thin">
        <color theme="4"/>
      </top>
      <bottom style="medium">
        <color theme="4"/>
      </bottom>
      <diagonal/>
    </border>
    <border>
      <left style="thick">
        <color rgb="FF7030A0"/>
      </left>
      <right style="thin">
        <color rgb="FF7030A0"/>
      </right>
      <top style="thick">
        <color rgb="FF7030A0"/>
      </top>
      <bottom style="thin">
        <color rgb="FF7030A0"/>
      </bottom>
      <diagonal/>
    </border>
    <border>
      <left style="thin">
        <color rgb="FF7030A0"/>
      </left>
      <right style="thin">
        <color rgb="FF7030A0"/>
      </right>
      <top style="thick">
        <color rgb="FF7030A0"/>
      </top>
      <bottom style="thin">
        <color rgb="FF7030A0"/>
      </bottom>
      <diagonal/>
    </border>
    <border>
      <left style="thin">
        <color rgb="FF7030A0"/>
      </left>
      <right style="thick">
        <color rgb="FF7030A0"/>
      </right>
      <top style="thick">
        <color rgb="FF7030A0"/>
      </top>
      <bottom style="thin">
        <color rgb="FF7030A0"/>
      </bottom>
      <diagonal/>
    </border>
    <border>
      <left style="thin">
        <color rgb="FF7030A0"/>
      </left>
      <right/>
      <top style="thick">
        <color rgb="FF7030A0"/>
      </top>
      <bottom style="thin">
        <color rgb="FF7030A0"/>
      </bottom>
      <diagonal/>
    </border>
    <border>
      <left style="thin">
        <color rgb="FF7030A0"/>
      </left>
      <right/>
      <top style="thin">
        <color rgb="FF7030A0"/>
      </top>
      <bottom style="medium">
        <color rgb="FF7030A0"/>
      </bottom>
      <diagonal/>
    </border>
    <border>
      <left style="thin">
        <color rgb="FF7030A0"/>
      </left>
      <right/>
      <top/>
      <bottom style="thin">
        <color rgb="FF7030A0"/>
      </bottom>
      <diagonal/>
    </border>
    <border>
      <left style="thin">
        <color rgb="FF7030A0"/>
      </left>
      <right/>
      <top style="thin">
        <color rgb="FF7030A0"/>
      </top>
      <bottom style="thin">
        <color rgb="FF7030A0"/>
      </bottom>
      <diagonal/>
    </border>
    <border>
      <left style="thin">
        <color rgb="FF7030A0"/>
      </left>
      <right/>
      <top style="thin">
        <color rgb="FF7030A0"/>
      </top>
      <bottom/>
      <diagonal/>
    </border>
    <border>
      <left style="thin">
        <color rgb="FF7030A0"/>
      </left>
      <right/>
      <top style="medium">
        <color rgb="FF7030A0"/>
      </top>
      <bottom style="thin">
        <color rgb="FF7030A0"/>
      </bottom>
      <diagonal/>
    </border>
    <border>
      <left style="thin">
        <color rgb="FF7030A0"/>
      </left>
      <right/>
      <top style="thin">
        <color rgb="FF7030A0"/>
      </top>
      <bottom style="thick">
        <color rgb="FF7030A0"/>
      </bottom>
      <diagonal/>
    </border>
    <border>
      <left/>
      <right style="thin">
        <color rgb="FF7030A0"/>
      </right>
      <top style="thick">
        <color rgb="FF7030A0"/>
      </top>
      <bottom style="thin">
        <color rgb="FF7030A0"/>
      </bottom>
      <diagonal/>
    </border>
    <border>
      <left/>
      <right style="thin">
        <color rgb="FF7030A0"/>
      </right>
      <top style="thin">
        <color rgb="FF7030A0"/>
      </top>
      <bottom style="medium">
        <color rgb="FF7030A0"/>
      </bottom>
      <diagonal/>
    </border>
    <border>
      <left/>
      <right style="thin">
        <color rgb="FF7030A0"/>
      </right>
      <top/>
      <bottom style="thin">
        <color rgb="FF7030A0"/>
      </bottom>
      <diagonal/>
    </border>
    <border>
      <left/>
      <right style="thin">
        <color rgb="FF7030A0"/>
      </right>
      <top style="medium">
        <color rgb="FF7030A0"/>
      </top>
      <bottom style="thin">
        <color rgb="FF7030A0"/>
      </bottom>
      <diagonal/>
    </border>
    <border>
      <left style="medium">
        <color rgb="FF7030A0"/>
      </left>
      <right style="thin">
        <color rgb="FF7030A0"/>
      </right>
      <top style="thick">
        <color rgb="FF7030A0"/>
      </top>
      <bottom style="thin">
        <color rgb="FF7030A0"/>
      </bottom>
      <diagonal/>
    </border>
    <border>
      <left style="thin">
        <color rgb="FF7030A0"/>
      </left>
      <right style="medium">
        <color rgb="FF7030A0"/>
      </right>
      <top style="thick">
        <color rgb="FF7030A0"/>
      </top>
      <bottom style="thin">
        <color rgb="FF7030A0"/>
      </bottom>
      <diagonal/>
    </border>
    <border>
      <left style="medium">
        <color rgb="FF7030A0"/>
      </left>
      <right style="thin">
        <color rgb="FF7030A0"/>
      </right>
      <top style="thin">
        <color rgb="FF7030A0"/>
      </top>
      <bottom style="medium">
        <color rgb="FF7030A0"/>
      </bottom>
      <diagonal/>
    </border>
    <border>
      <left style="thin">
        <color rgb="FF7030A0"/>
      </left>
      <right style="medium">
        <color rgb="FF7030A0"/>
      </right>
      <top style="thin">
        <color rgb="FF7030A0"/>
      </top>
      <bottom style="medium">
        <color rgb="FF7030A0"/>
      </bottom>
      <diagonal/>
    </border>
    <border>
      <left style="medium">
        <color rgb="FF7030A0"/>
      </left>
      <right style="thin">
        <color rgb="FF7030A0"/>
      </right>
      <top/>
      <bottom style="thin">
        <color rgb="FF7030A0"/>
      </bottom>
      <diagonal/>
    </border>
    <border>
      <left style="thin">
        <color rgb="FF7030A0"/>
      </left>
      <right style="medium">
        <color rgb="FF7030A0"/>
      </right>
      <top/>
      <bottom style="thin">
        <color rgb="FF7030A0"/>
      </bottom>
      <diagonal/>
    </border>
    <border>
      <left style="medium">
        <color rgb="FF7030A0"/>
      </left>
      <right style="thin">
        <color rgb="FF7030A0"/>
      </right>
      <top style="medium">
        <color rgb="FF7030A0"/>
      </top>
      <bottom style="thin">
        <color rgb="FF7030A0"/>
      </bottom>
      <diagonal/>
    </border>
    <border>
      <left style="thin">
        <color rgb="FF7030A0"/>
      </left>
      <right style="medium">
        <color rgb="FF7030A0"/>
      </right>
      <top style="medium">
        <color rgb="FF7030A0"/>
      </top>
      <bottom style="thin">
        <color rgb="FF7030A0"/>
      </bottom>
      <diagonal/>
    </border>
    <border>
      <left style="medium">
        <color rgb="FF7030A0"/>
      </left>
      <right style="thin">
        <color rgb="FF7030A0"/>
      </right>
      <top/>
      <bottom style="thick">
        <color rgb="FF7030A0"/>
      </bottom>
      <diagonal/>
    </border>
    <border>
      <left style="thin">
        <color rgb="FF7030A0"/>
      </left>
      <right style="thin">
        <color rgb="FF7030A0"/>
      </right>
      <top/>
      <bottom style="thick">
        <color rgb="FF7030A0"/>
      </bottom>
      <diagonal/>
    </border>
    <border>
      <left style="thin">
        <color rgb="FF7030A0"/>
      </left>
      <right style="medium">
        <color rgb="FF7030A0"/>
      </right>
      <top/>
      <bottom style="thick">
        <color rgb="FF7030A0"/>
      </bottom>
      <diagonal/>
    </border>
    <border>
      <left/>
      <right style="thin">
        <color rgb="FF7030A0"/>
      </right>
      <top/>
      <bottom style="thick">
        <color rgb="FF7030A0"/>
      </bottom>
      <diagonal/>
    </border>
    <border>
      <left style="thin">
        <color rgb="FF7030A0"/>
      </left>
      <right/>
      <top/>
      <bottom style="thick">
        <color rgb="FF7030A0"/>
      </bottom>
      <diagonal/>
    </border>
    <border>
      <left style="thin">
        <color rgb="FF7030A0"/>
      </left>
      <right style="thick">
        <color rgb="FF7030A0"/>
      </right>
      <top/>
      <bottom style="thick">
        <color rgb="FF7030A0"/>
      </bottom>
      <diagonal/>
    </border>
    <border>
      <left style="medium">
        <color rgb="FF7030A0"/>
      </left>
      <right style="thin">
        <color rgb="FF7030A0"/>
      </right>
      <top/>
      <bottom/>
      <diagonal/>
    </border>
    <border>
      <left style="thin">
        <color rgb="FF7030A0"/>
      </left>
      <right style="thin">
        <color rgb="FF7030A0"/>
      </right>
      <top/>
      <bottom/>
      <diagonal/>
    </border>
    <border>
      <left style="thin">
        <color rgb="FF7030A0"/>
      </left>
      <right style="medium">
        <color rgb="FF7030A0"/>
      </right>
      <top/>
      <bottom/>
      <diagonal/>
    </border>
    <border>
      <left/>
      <right style="thin">
        <color rgb="FF7030A0"/>
      </right>
      <top/>
      <bottom/>
      <diagonal/>
    </border>
    <border>
      <left style="thin">
        <color rgb="FF7030A0"/>
      </left>
      <right/>
      <top/>
      <bottom/>
      <diagonal/>
    </border>
    <border>
      <left style="thin">
        <color rgb="FF7030A0"/>
      </left>
      <right style="thick">
        <color rgb="FF7030A0"/>
      </right>
      <top/>
      <bottom/>
      <diagonal/>
    </border>
    <border>
      <left style="medium">
        <color rgb="FF7030A0"/>
      </left>
      <right style="thin">
        <color rgb="FF7030A0"/>
      </right>
      <top/>
      <bottom style="medium">
        <color rgb="FF7030A0"/>
      </bottom>
      <diagonal/>
    </border>
    <border>
      <left style="thin">
        <color rgb="FF7030A0"/>
      </left>
      <right style="thin">
        <color rgb="FF7030A0"/>
      </right>
      <top/>
      <bottom style="medium">
        <color rgb="FF7030A0"/>
      </bottom>
      <diagonal/>
    </border>
    <border>
      <left style="thin">
        <color rgb="FF7030A0"/>
      </left>
      <right style="medium">
        <color rgb="FF7030A0"/>
      </right>
      <top/>
      <bottom style="medium">
        <color rgb="FF7030A0"/>
      </bottom>
      <diagonal/>
    </border>
    <border>
      <left/>
      <right style="thin">
        <color rgb="FF7030A0"/>
      </right>
      <top/>
      <bottom style="medium">
        <color rgb="FF7030A0"/>
      </bottom>
      <diagonal/>
    </border>
    <border>
      <left style="thin">
        <color rgb="FF7030A0"/>
      </left>
      <right/>
      <top/>
      <bottom style="medium">
        <color rgb="FF7030A0"/>
      </bottom>
      <diagonal/>
    </border>
    <border>
      <left style="thin">
        <color rgb="FF7030A0"/>
      </left>
      <right style="thick">
        <color rgb="FF7030A0"/>
      </right>
      <top/>
      <bottom style="medium">
        <color rgb="FF7030A0"/>
      </bottom>
      <diagonal/>
    </border>
    <border>
      <left style="thick">
        <color rgb="FF0070C0"/>
      </left>
      <right style="thin">
        <color rgb="FF0070C0"/>
      </right>
      <top style="thick">
        <color rgb="FF0070C0"/>
      </top>
      <bottom style="thin">
        <color rgb="FF0070C0"/>
      </bottom>
      <diagonal/>
    </border>
    <border>
      <left style="thin">
        <color rgb="FF0070C0"/>
      </left>
      <right style="thin">
        <color rgb="FF0070C0"/>
      </right>
      <top style="thick">
        <color rgb="FF0070C0"/>
      </top>
      <bottom style="thin">
        <color rgb="FF0070C0"/>
      </bottom>
      <diagonal/>
    </border>
    <border>
      <left style="thick">
        <color rgb="FF0070C0"/>
      </left>
      <right style="thin">
        <color rgb="FF0070C0"/>
      </right>
      <top style="thin">
        <color rgb="FF0070C0"/>
      </top>
      <bottom style="thin">
        <color rgb="FF0070C0"/>
      </bottom>
      <diagonal/>
    </border>
    <border>
      <left style="thin">
        <color rgb="FF0070C0"/>
      </left>
      <right style="thin">
        <color rgb="FF0070C0"/>
      </right>
      <top style="thin">
        <color rgb="FF0070C0"/>
      </top>
      <bottom style="thin">
        <color rgb="FF0070C0"/>
      </bottom>
      <diagonal/>
    </border>
    <border>
      <left style="thick">
        <color rgb="FF0070C0"/>
      </left>
      <right style="thin">
        <color rgb="FF0070C0"/>
      </right>
      <top style="thin">
        <color rgb="FF0070C0"/>
      </top>
      <bottom style="thick">
        <color rgb="FF0070C0"/>
      </bottom>
      <diagonal/>
    </border>
    <border>
      <left style="thin">
        <color rgb="FF0070C0"/>
      </left>
      <right style="thin">
        <color rgb="FF0070C0"/>
      </right>
      <top style="thin">
        <color rgb="FF0070C0"/>
      </top>
      <bottom style="thick">
        <color rgb="FF0070C0"/>
      </bottom>
      <diagonal/>
    </border>
    <border>
      <left style="thick">
        <color rgb="FF0070C0"/>
      </left>
      <right style="thin">
        <color rgb="FF0070C0"/>
      </right>
      <top/>
      <bottom style="thin">
        <color rgb="FF0070C0"/>
      </bottom>
      <diagonal/>
    </border>
    <border>
      <left style="thin">
        <color rgb="FF0070C0"/>
      </left>
      <right style="thin">
        <color rgb="FF0070C0"/>
      </right>
      <top/>
      <bottom style="thin">
        <color rgb="FF0070C0"/>
      </bottom>
      <diagonal/>
    </border>
    <border>
      <left style="thick">
        <color rgb="FF0070C0"/>
      </left>
      <right style="thin">
        <color rgb="FF0070C0"/>
      </right>
      <top style="thin">
        <color rgb="FF0070C0"/>
      </top>
      <bottom style="medium">
        <color rgb="FF0070C0"/>
      </bottom>
      <diagonal/>
    </border>
    <border>
      <left style="thin">
        <color rgb="FF0070C0"/>
      </left>
      <right style="thin">
        <color rgb="FF0070C0"/>
      </right>
      <top style="thin">
        <color rgb="FF0070C0"/>
      </top>
      <bottom style="medium">
        <color rgb="FF0070C0"/>
      </bottom>
      <diagonal/>
    </border>
    <border>
      <left style="thin">
        <color rgb="FF0070C0"/>
      </left>
      <right/>
      <top style="thick">
        <color rgb="FF0070C0"/>
      </top>
      <bottom style="thin">
        <color rgb="FF0070C0"/>
      </bottom>
      <diagonal/>
    </border>
    <border>
      <left style="thin">
        <color rgb="FF0070C0"/>
      </left>
      <right/>
      <top style="thin">
        <color rgb="FF0070C0"/>
      </top>
      <bottom style="medium">
        <color rgb="FF0070C0"/>
      </bottom>
      <diagonal/>
    </border>
    <border>
      <left style="thin">
        <color rgb="FF0070C0"/>
      </left>
      <right/>
      <top/>
      <bottom style="thin">
        <color rgb="FF0070C0"/>
      </bottom>
      <diagonal/>
    </border>
    <border>
      <left style="thin">
        <color rgb="FF0070C0"/>
      </left>
      <right/>
      <top style="thin">
        <color rgb="FF0070C0"/>
      </top>
      <bottom style="thin">
        <color rgb="FF0070C0"/>
      </bottom>
      <diagonal/>
    </border>
    <border>
      <left style="thin">
        <color rgb="FF0070C0"/>
      </left>
      <right/>
      <top style="thin">
        <color rgb="FF0070C0"/>
      </top>
      <bottom style="thick">
        <color rgb="FF0070C0"/>
      </bottom>
      <diagonal/>
    </border>
    <border>
      <left/>
      <right style="thin">
        <color rgb="FF0070C0"/>
      </right>
      <top style="thick">
        <color rgb="FF0070C0"/>
      </top>
      <bottom style="thin">
        <color rgb="FF0070C0"/>
      </bottom>
      <diagonal/>
    </border>
    <border>
      <left/>
      <right style="thin">
        <color rgb="FF0070C0"/>
      </right>
      <top style="thin">
        <color rgb="FF0070C0"/>
      </top>
      <bottom style="medium">
        <color rgb="FF0070C0"/>
      </bottom>
      <diagonal/>
    </border>
    <border>
      <left/>
      <right style="thin">
        <color rgb="FF0070C0"/>
      </right>
      <top/>
      <bottom style="thin">
        <color rgb="FF0070C0"/>
      </bottom>
      <diagonal/>
    </border>
    <border>
      <left/>
      <right style="thin">
        <color rgb="FF0070C0"/>
      </right>
      <top style="thin">
        <color rgb="FF0070C0"/>
      </top>
      <bottom style="thin">
        <color rgb="FF0070C0"/>
      </bottom>
      <diagonal/>
    </border>
    <border>
      <left/>
      <right style="thin">
        <color rgb="FF0070C0"/>
      </right>
      <top style="thin">
        <color rgb="FF0070C0"/>
      </top>
      <bottom style="thick">
        <color rgb="FF0070C0"/>
      </bottom>
      <diagonal/>
    </border>
    <border>
      <left style="medium">
        <color rgb="FF0070C0"/>
      </left>
      <right style="thin">
        <color rgb="FF0070C0"/>
      </right>
      <top style="thick">
        <color rgb="FF0070C0"/>
      </top>
      <bottom style="thin">
        <color rgb="FF0070C0"/>
      </bottom>
      <diagonal/>
    </border>
    <border>
      <left style="thin">
        <color rgb="FF0070C0"/>
      </left>
      <right style="medium">
        <color rgb="FF0070C0"/>
      </right>
      <top style="thick">
        <color rgb="FF0070C0"/>
      </top>
      <bottom style="thin">
        <color rgb="FF0070C0"/>
      </bottom>
      <diagonal/>
    </border>
    <border>
      <left style="medium">
        <color rgb="FF0070C0"/>
      </left>
      <right style="thin">
        <color rgb="FF0070C0"/>
      </right>
      <top style="thin">
        <color rgb="FF0070C0"/>
      </top>
      <bottom style="medium">
        <color rgb="FF0070C0"/>
      </bottom>
      <diagonal/>
    </border>
    <border>
      <left style="thin">
        <color rgb="FF0070C0"/>
      </left>
      <right style="medium">
        <color rgb="FF0070C0"/>
      </right>
      <top style="thin">
        <color rgb="FF0070C0"/>
      </top>
      <bottom style="medium">
        <color rgb="FF0070C0"/>
      </bottom>
      <diagonal/>
    </border>
    <border>
      <left style="medium">
        <color rgb="FF0070C0"/>
      </left>
      <right style="thin">
        <color rgb="FF0070C0"/>
      </right>
      <top/>
      <bottom style="thin">
        <color rgb="FF0070C0"/>
      </bottom>
      <diagonal/>
    </border>
    <border>
      <left style="thin">
        <color rgb="FF0070C0"/>
      </left>
      <right style="medium">
        <color rgb="FF0070C0"/>
      </right>
      <top/>
      <bottom style="thin">
        <color rgb="FF0070C0"/>
      </bottom>
      <diagonal/>
    </border>
    <border>
      <left style="medium">
        <color rgb="FF0070C0"/>
      </left>
      <right style="thin">
        <color rgb="FF0070C0"/>
      </right>
      <top style="thin">
        <color rgb="FF0070C0"/>
      </top>
      <bottom style="thin">
        <color rgb="FF0070C0"/>
      </bottom>
      <diagonal/>
    </border>
    <border>
      <left style="thin">
        <color rgb="FF0070C0"/>
      </left>
      <right style="medium">
        <color rgb="FF0070C0"/>
      </right>
      <top style="thin">
        <color rgb="FF0070C0"/>
      </top>
      <bottom style="thin">
        <color rgb="FF0070C0"/>
      </bottom>
      <diagonal/>
    </border>
    <border>
      <left style="medium">
        <color rgb="FF0070C0"/>
      </left>
      <right style="thin">
        <color rgb="FF0070C0"/>
      </right>
      <top style="thin">
        <color rgb="FF0070C0"/>
      </top>
      <bottom style="thick">
        <color rgb="FF0070C0"/>
      </bottom>
      <diagonal/>
    </border>
    <border>
      <left style="thin">
        <color rgb="FF0070C0"/>
      </left>
      <right style="medium">
        <color rgb="FF0070C0"/>
      </right>
      <top style="thin">
        <color rgb="FF0070C0"/>
      </top>
      <bottom style="thick">
        <color rgb="FF0070C0"/>
      </bottom>
      <diagonal/>
    </border>
    <border>
      <left style="thick">
        <color rgb="FF0070C0"/>
      </left>
      <right style="thin">
        <color rgb="FF0070C0"/>
      </right>
      <top style="thin">
        <color rgb="FF0070C0"/>
      </top>
      <bottom/>
      <diagonal/>
    </border>
    <border>
      <left style="thin">
        <color rgb="FF0070C0"/>
      </left>
      <right style="thin">
        <color rgb="FF0070C0"/>
      </right>
      <top style="thin">
        <color rgb="FF0070C0"/>
      </top>
      <bottom/>
      <diagonal/>
    </border>
    <border>
      <left style="thin">
        <color rgb="FF0070C0"/>
      </left>
      <right/>
      <top style="thin">
        <color rgb="FF0070C0"/>
      </top>
      <bottom/>
      <diagonal/>
    </border>
    <border>
      <left style="medium">
        <color rgb="FF0070C0"/>
      </left>
      <right style="thin">
        <color rgb="FF0070C0"/>
      </right>
      <top style="thin">
        <color rgb="FF0070C0"/>
      </top>
      <bottom/>
      <diagonal/>
    </border>
    <border>
      <left style="thin">
        <color rgb="FF0070C0"/>
      </left>
      <right style="medium">
        <color rgb="FF0070C0"/>
      </right>
      <top style="thin">
        <color rgb="FF0070C0"/>
      </top>
      <bottom/>
      <diagonal/>
    </border>
    <border>
      <left/>
      <right style="thin">
        <color rgb="FF0070C0"/>
      </right>
      <top style="thin">
        <color rgb="FF0070C0"/>
      </top>
      <bottom/>
      <diagonal/>
    </border>
    <border>
      <left style="thick">
        <color rgb="FF0070C0"/>
      </left>
      <right style="thin">
        <color rgb="FF0070C0"/>
      </right>
      <top style="medium">
        <color rgb="FF0070C0"/>
      </top>
      <bottom style="thin">
        <color rgb="FF0070C0"/>
      </bottom>
      <diagonal/>
    </border>
    <border>
      <left style="thin">
        <color rgb="FF0070C0"/>
      </left>
      <right style="thin">
        <color rgb="FF0070C0"/>
      </right>
      <top style="medium">
        <color rgb="FF0070C0"/>
      </top>
      <bottom style="thin">
        <color rgb="FF0070C0"/>
      </bottom>
      <diagonal/>
    </border>
    <border>
      <left style="thin">
        <color rgb="FF0070C0"/>
      </left>
      <right/>
      <top style="medium">
        <color rgb="FF0070C0"/>
      </top>
      <bottom style="thin">
        <color rgb="FF0070C0"/>
      </bottom>
      <diagonal/>
    </border>
    <border>
      <left style="medium">
        <color rgb="FF0070C0"/>
      </left>
      <right style="thin">
        <color rgb="FF0070C0"/>
      </right>
      <top style="medium">
        <color rgb="FF0070C0"/>
      </top>
      <bottom style="thin">
        <color rgb="FF0070C0"/>
      </bottom>
      <diagonal/>
    </border>
    <border>
      <left style="thin">
        <color rgb="FF0070C0"/>
      </left>
      <right style="medium">
        <color rgb="FF0070C0"/>
      </right>
      <top style="medium">
        <color rgb="FF0070C0"/>
      </top>
      <bottom style="thin">
        <color rgb="FF0070C0"/>
      </bottom>
      <diagonal/>
    </border>
    <border>
      <left/>
      <right style="thin">
        <color rgb="FF0070C0"/>
      </right>
      <top style="medium">
        <color rgb="FF0070C0"/>
      </top>
      <bottom style="thin">
        <color rgb="FF0070C0"/>
      </bottom>
      <diagonal/>
    </border>
    <border>
      <left style="thin">
        <color rgb="FF0070C0"/>
      </left>
      <right style="thick">
        <color rgb="FFFF0000"/>
      </right>
      <top style="thick">
        <color rgb="FF0070C0"/>
      </top>
      <bottom style="thin">
        <color rgb="FF0070C0"/>
      </bottom>
      <diagonal/>
    </border>
    <border>
      <left style="thin">
        <color rgb="FF0070C0"/>
      </left>
      <right style="thick">
        <color rgb="FFFF0000"/>
      </right>
      <top style="thin">
        <color rgb="FF0070C0"/>
      </top>
      <bottom style="medium">
        <color rgb="FF0070C0"/>
      </bottom>
      <diagonal/>
    </border>
    <border>
      <left style="thin">
        <color rgb="FF0070C0"/>
      </left>
      <right style="thick">
        <color rgb="FFFF0000"/>
      </right>
      <top/>
      <bottom style="thin">
        <color rgb="FF0070C0"/>
      </bottom>
      <diagonal/>
    </border>
    <border>
      <left style="thin">
        <color rgb="FF0070C0"/>
      </left>
      <right style="thick">
        <color rgb="FFFF0000"/>
      </right>
      <top style="thin">
        <color rgb="FF0070C0"/>
      </top>
      <bottom style="thin">
        <color rgb="FF0070C0"/>
      </bottom>
      <diagonal/>
    </border>
    <border>
      <left style="thin">
        <color rgb="FF0070C0"/>
      </left>
      <right style="thick">
        <color rgb="FFFF0000"/>
      </right>
      <top style="thin">
        <color rgb="FF0070C0"/>
      </top>
      <bottom/>
      <diagonal/>
    </border>
    <border>
      <left style="thin">
        <color rgb="FF0070C0"/>
      </left>
      <right style="thick">
        <color rgb="FFFF0000"/>
      </right>
      <top style="medium">
        <color rgb="FF0070C0"/>
      </top>
      <bottom style="thin">
        <color rgb="FF0070C0"/>
      </bottom>
      <diagonal/>
    </border>
    <border>
      <left style="thin">
        <color rgb="FF0070C0"/>
      </left>
      <right style="thick">
        <color rgb="FFFF0000"/>
      </right>
      <top style="thin">
        <color rgb="FF0070C0"/>
      </top>
      <bottom style="thick">
        <color rgb="FF0070C0"/>
      </bottom>
      <diagonal/>
    </border>
    <border>
      <left style="thick">
        <color rgb="FF7030A0"/>
      </left>
      <right style="thin">
        <color rgb="FFFF0000"/>
      </right>
      <top style="thick">
        <color rgb="FFFF0000"/>
      </top>
      <bottom style="thin">
        <color rgb="FFFF0000"/>
      </bottom>
      <diagonal/>
    </border>
    <border>
      <left style="thin">
        <color rgb="FFFF0000"/>
      </left>
      <right style="thick">
        <color rgb="FFFF0000"/>
      </right>
      <top style="thick">
        <color rgb="FFFF0000"/>
      </top>
      <bottom style="thin">
        <color rgb="FFFF0000"/>
      </bottom>
      <diagonal/>
    </border>
    <border>
      <left style="thick">
        <color rgb="FF7030A0"/>
      </left>
      <right style="thin">
        <color rgb="FFFF0000"/>
      </right>
      <top style="thin">
        <color rgb="FFFF0000"/>
      </top>
      <bottom style="thin">
        <color rgb="FFFF0000"/>
      </bottom>
      <diagonal/>
    </border>
    <border>
      <left style="thin">
        <color rgb="FFFF0000"/>
      </left>
      <right style="thick">
        <color rgb="FFFF0000"/>
      </right>
      <top style="thin">
        <color rgb="FFFF0000"/>
      </top>
      <bottom style="thin">
        <color rgb="FFFF0000"/>
      </bottom>
      <diagonal/>
    </border>
    <border>
      <left style="thick">
        <color rgb="FF7030A0"/>
      </left>
      <right style="thin">
        <color rgb="FFFF0000"/>
      </right>
      <top style="thin">
        <color rgb="FFFF0000"/>
      </top>
      <bottom style="thick">
        <color rgb="FFFF0000"/>
      </bottom>
      <diagonal/>
    </border>
    <border>
      <left style="thin">
        <color rgb="FFFF0000"/>
      </left>
      <right style="thick">
        <color rgb="FFFF0000"/>
      </right>
      <top style="thin">
        <color rgb="FFFF0000"/>
      </top>
      <bottom style="thick">
        <color rgb="FFFF0000"/>
      </bottom>
      <diagonal/>
    </border>
    <border>
      <left style="thick">
        <color rgb="FF7030A0"/>
      </left>
      <right style="thin">
        <color rgb="FFFF0000"/>
      </right>
      <top style="thin">
        <color rgb="FFFF0000"/>
      </top>
      <bottom/>
      <diagonal/>
    </border>
    <border>
      <left style="thin">
        <color rgb="FFFF0000"/>
      </left>
      <right style="thick">
        <color rgb="FFFF0000"/>
      </right>
      <top style="thin">
        <color rgb="FFFF0000"/>
      </top>
      <bottom/>
      <diagonal/>
    </border>
    <border>
      <left style="thick">
        <color rgb="FF7030A0"/>
      </left>
      <right style="thin">
        <color rgb="FFFF0000"/>
      </right>
      <top/>
      <bottom style="thin">
        <color rgb="FFFF0000"/>
      </bottom>
      <diagonal/>
    </border>
    <border>
      <left style="thin">
        <color rgb="FFFF0000"/>
      </left>
      <right style="thick">
        <color rgb="FFFF0000"/>
      </right>
      <top/>
      <bottom style="thin">
        <color rgb="FFFF0000"/>
      </bottom>
      <diagonal/>
    </border>
    <border>
      <left style="thick">
        <color rgb="FF7030A0"/>
      </left>
      <right style="thin">
        <color rgb="FFFF0000"/>
      </right>
      <top style="medium">
        <color rgb="FFFF0000"/>
      </top>
      <bottom style="thin">
        <color rgb="FFFF0000"/>
      </bottom>
      <diagonal/>
    </border>
    <border>
      <left style="thin">
        <color rgb="FFFF0000"/>
      </left>
      <right style="thick">
        <color rgb="FFFF0000"/>
      </right>
      <top style="medium">
        <color rgb="FFFF0000"/>
      </top>
      <bottom style="thin">
        <color rgb="FFFF0000"/>
      </bottom>
      <diagonal/>
    </border>
    <border>
      <left style="thick">
        <color rgb="FF7030A0"/>
      </left>
      <right style="thin">
        <color rgb="FFFF0000"/>
      </right>
      <top style="thin">
        <color rgb="FFFF0000"/>
      </top>
      <bottom style="medium">
        <color rgb="FFFF0000"/>
      </bottom>
      <diagonal/>
    </border>
    <border>
      <left style="thin">
        <color rgb="FFFF0000"/>
      </left>
      <right style="thick">
        <color rgb="FFFF0000"/>
      </right>
      <top style="thin">
        <color rgb="FFFF0000"/>
      </top>
      <bottom style="medium">
        <color rgb="FFFF0000"/>
      </bottom>
      <diagonal/>
    </border>
    <border>
      <left style="thick">
        <color rgb="FFFF0000"/>
      </left>
      <right style="thin">
        <color theme="4"/>
      </right>
      <top style="thick">
        <color rgb="FF0070C0"/>
      </top>
      <bottom style="thin">
        <color theme="4"/>
      </bottom>
      <diagonal/>
    </border>
    <border>
      <left style="thin">
        <color theme="4"/>
      </left>
      <right style="thick">
        <color theme="4"/>
      </right>
      <top style="thick">
        <color rgb="FF0070C0"/>
      </top>
      <bottom style="thin">
        <color theme="4"/>
      </bottom>
      <diagonal/>
    </border>
    <border>
      <left style="thick">
        <color rgb="FFFF0000"/>
      </left>
      <right style="thin">
        <color theme="4"/>
      </right>
      <top style="thin">
        <color theme="4"/>
      </top>
      <bottom style="thin">
        <color theme="4"/>
      </bottom>
      <diagonal/>
    </border>
    <border>
      <left style="thick">
        <color rgb="FFFF0000"/>
      </left>
      <right style="thin">
        <color theme="4"/>
      </right>
      <top style="thin">
        <color theme="4"/>
      </top>
      <bottom style="thick">
        <color theme="4"/>
      </bottom>
      <diagonal/>
    </border>
    <border>
      <left style="thick">
        <color rgb="FFFF0000"/>
      </left>
      <right style="thin">
        <color theme="4"/>
      </right>
      <top/>
      <bottom style="thin">
        <color theme="4"/>
      </bottom>
      <diagonal/>
    </border>
    <border>
      <left style="thick">
        <color rgb="FFFF0000"/>
      </left>
      <right style="thin">
        <color theme="4"/>
      </right>
      <top style="thin">
        <color theme="4"/>
      </top>
      <bottom style="medium">
        <color theme="4"/>
      </bottom>
      <diagonal/>
    </border>
    <border>
      <left style="thick">
        <color rgb="FFFF0000"/>
      </left>
      <right style="thin">
        <color theme="4"/>
      </right>
      <top style="thin">
        <color theme="4"/>
      </top>
      <bottom/>
      <diagonal/>
    </border>
    <border>
      <left style="thick">
        <color rgb="FFFF0000"/>
      </left>
      <right style="thin">
        <color theme="4"/>
      </right>
      <top style="medium">
        <color theme="4"/>
      </top>
      <bottom style="thin">
        <color theme="4"/>
      </bottom>
      <diagonal/>
    </border>
    <border>
      <left style="thick">
        <color rgb="FFFF0000"/>
      </left>
      <right style="thick">
        <color rgb="FF7030A0"/>
      </right>
      <top style="thick">
        <color rgb="FF7030A0"/>
      </top>
      <bottom style="thin">
        <color rgb="FF7030A0"/>
      </bottom>
      <diagonal/>
    </border>
    <border>
      <left style="thick">
        <color rgb="FFFF0000"/>
      </left>
      <right style="thick">
        <color rgb="FF7030A0"/>
      </right>
      <top style="thin">
        <color rgb="FF7030A0"/>
      </top>
      <bottom style="thin">
        <color rgb="FF7030A0"/>
      </bottom>
      <diagonal/>
    </border>
    <border>
      <left style="thick">
        <color rgb="FFFF0000"/>
      </left>
      <right style="thick">
        <color rgb="FF7030A0"/>
      </right>
      <top style="thin">
        <color rgb="FF7030A0"/>
      </top>
      <bottom style="thick">
        <color rgb="FF7030A0"/>
      </bottom>
      <diagonal/>
    </border>
    <border>
      <left style="thick">
        <color rgb="FFFF0000"/>
      </left>
      <right style="thick">
        <color rgb="FF7030A0"/>
      </right>
      <top style="thin">
        <color rgb="FF7030A0"/>
      </top>
      <bottom/>
      <diagonal/>
    </border>
    <border>
      <left style="thick">
        <color rgb="FFFF0000"/>
      </left>
      <right style="thick">
        <color rgb="FF7030A0"/>
      </right>
      <top/>
      <bottom style="thin">
        <color rgb="FF7030A0"/>
      </bottom>
      <diagonal/>
    </border>
    <border>
      <left style="thick">
        <color rgb="FFFF0000"/>
      </left>
      <right style="thick">
        <color rgb="FF7030A0"/>
      </right>
      <top style="medium">
        <color rgb="FF7030A0"/>
      </top>
      <bottom style="thin">
        <color rgb="FF7030A0"/>
      </bottom>
      <diagonal/>
    </border>
    <border>
      <left style="thick">
        <color rgb="FFFF0000"/>
      </left>
      <right style="thick">
        <color rgb="FF7030A0"/>
      </right>
      <top style="thin">
        <color rgb="FF7030A0"/>
      </top>
      <bottom style="medium">
        <color rgb="FF7030A0"/>
      </bottom>
      <diagonal/>
    </border>
    <border>
      <left style="thick">
        <color theme="4"/>
      </left>
      <right style="thick">
        <color rgb="FFFF0000"/>
      </right>
      <top style="thin">
        <color theme="4"/>
      </top>
      <bottom style="thin">
        <color theme="4"/>
      </bottom>
      <diagonal/>
    </border>
    <border>
      <left style="thick">
        <color theme="4"/>
      </left>
      <right style="thick">
        <color rgb="FFFF0000"/>
      </right>
      <top style="thin">
        <color theme="4"/>
      </top>
      <bottom style="thick">
        <color rgb="FFFF0000"/>
      </bottom>
      <diagonal/>
    </border>
    <border>
      <left style="thick">
        <color theme="4"/>
      </left>
      <right style="thick">
        <color rgb="FFFF0000"/>
      </right>
      <top style="thick">
        <color rgb="FFFF0000"/>
      </top>
      <bottom style="medium">
        <color theme="4"/>
      </bottom>
      <diagonal/>
    </border>
    <border>
      <left style="thick">
        <color theme="4"/>
      </left>
      <right style="thick">
        <color rgb="FFFF0000"/>
      </right>
      <top/>
      <bottom style="thin">
        <color theme="4"/>
      </bottom>
      <diagonal/>
    </border>
    <border>
      <left style="thick">
        <color theme="4"/>
      </left>
      <right style="thick">
        <color rgb="FFFF0000"/>
      </right>
      <top style="thin">
        <color theme="4"/>
      </top>
      <bottom/>
      <diagonal/>
    </border>
    <border>
      <left style="thick">
        <color theme="4"/>
      </left>
      <right style="thick">
        <color rgb="FFFF0000"/>
      </right>
      <top style="medium">
        <color theme="4"/>
      </top>
      <bottom style="thin">
        <color theme="4"/>
      </bottom>
      <diagonal/>
    </border>
    <border>
      <left style="thick">
        <color theme="4"/>
      </left>
      <right style="thick">
        <color rgb="FFFF0000"/>
      </right>
      <top style="thin">
        <color theme="4"/>
      </top>
      <bottom style="medium">
        <color theme="4"/>
      </bottom>
      <diagonal/>
    </border>
    <border>
      <left style="thick">
        <color theme="4"/>
      </left>
      <right style="thin">
        <color rgb="FFC00000"/>
      </right>
      <top style="thick">
        <color rgb="FFC00000"/>
      </top>
      <bottom style="thin">
        <color rgb="FFC00000"/>
      </bottom>
      <diagonal/>
    </border>
    <border>
      <left style="thin">
        <color rgb="FFC00000"/>
      </left>
      <right style="thin">
        <color rgb="FFC00000"/>
      </right>
      <top style="thick">
        <color rgb="FFC00000"/>
      </top>
      <bottom style="thin">
        <color rgb="FFC00000"/>
      </bottom>
      <diagonal/>
    </border>
    <border>
      <left style="thin">
        <color rgb="FFC00000"/>
      </left>
      <right style="thick">
        <color rgb="FFC00000"/>
      </right>
      <top style="thick">
        <color rgb="FFC00000"/>
      </top>
      <bottom style="thin">
        <color rgb="FFC00000"/>
      </bottom>
      <diagonal/>
    </border>
    <border>
      <left style="thick">
        <color theme="4"/>
      </left>
      <right style="thin">
        <color rgb="FFC00000"/>
      </right>
      <top style="thin">
        <color rgb="FFC00000"/>
      </top>
      <bottom style="thin">
        <color rgb="FFC00000"/>
      </bottom>
      <diagonal/>
    </border>
    <border>
      <left style="thin">
        <color rgb="FFC00000"/>
      </left>
      <right style="thin">
        <color rgb="FFC00000"/>
      </right>
      <top style="thin">
        <color rgb="FFC00000"/>
      </top>
      <bottom style="thin">
        <color rgb="FFC00000"/>
      </bottom>
      <diagonal/>
    </border>
    <border>
      <left style="thin">
        <color rgb="FFC00000"/>
      </left>
      <right style="thick">
        <color rgb="FFC00000"/>
      </right>
      <top style="thin">
        <color rgb="FFC00000"/>
      </top>
      <bottom style="thin">
        <color rgb="FFC00000"/>
      </bottom>
      <diagonal/>
    </border>
    <border>
      <left style="thick">
        <color theme="4"/>
      </left>
      <right style="thin">
        <color rgb="FFC00000"/>
      </right>
      <top style="thin">
        <color rgb="FFC00000"/>
      </top>
      <bottom style="thick">
        <color rgb="FFC00000"/>
      </bottom>
      <diagonal/>
    </border>
    <border>
      <left style="thin">
        <color rgb="FFC00000"/>
      </left>
      <right style="thin">
        <color rgb="FFC00000"/>
      </right>
      <top style="thin">
        <color rgb="FFC00000"/>
      </top>
      <bottom style="thick">
        <color rgb="FFC00000"/>
      </bottom>
      <diagonal/>
    </border>
    <border>
      <left style="thin">
        <color rgb="FFC00000"/>
      </left>
      <right style="thick">
        <color rgb="FFC00000"/>
      </right>
      <top style="thin">
        <color rgb="FFC00000"/>
      </top>
      <bottom style="thick">
        <color rgb="FFC00000"/>
      </bottom>
      <diagonal/>
    </border>
    <border>
      <left style="thick">
        <color theme="4"/>
      </left>
      <right style="thin">
        <color rgb="FFC00000"/>
      </right>
      <top/>
      <bottom style="thin">
        <color rgb="FFC00000"/>
      </bottom>
      <diagonal/>
    </border>
    <border>
      <left style="thin">
        <color rgb="FFC00000"/>
      </left>
      <right style="thin">
        <color rgb="FFC00000"/>
      </right>
      <top/>
      <bottom style="thin">
        <color rgb="FFC00000"/>
      </bottom>
      <diagonal/>
    </border>
    <border>
      <left style="thin">
        <color rgb="FFC00000"/>
      </left>
      <right style="thick">
        <color rgb="FFC00000"/>
      </right>
      <top/>
      <bottom style="thin">
        <color rgb="FFC00000"/>
      </bottom>
      <diagonal/>
    </border>
    <border>
      <left style="thick">
        <color theme="4"/>
      </left>
      <right style="thin">
        <color rgb="FFC00000"/>
      </right>
      <top style="thin">
        <color rgb="FFC00000"/>
      </top>
      <bottom style="medium">
        <color rgb="FFC00000"/>
      </bottom>
      <diagonal/>
    </border>
    <border>
      <left style="thin">
        <color rgb="FFC00000"/>
      </left>
      <right style="thin">
        <color rgb="FFC00000"/>
      </right>
      <top style="thin">
        <color rgb="FFC00000"/>
      </top>
      <bottom style="medium">
        <color rgb="FFC00000"/>
      </bottom>
      <diagonal/>
    </border>
    <border>
      <left style="thin">
        <color rgb="FFC00000"/>
      </left>
      <right style="thick">
        <color rgb="FFC00000"/>
      </right>
      <top style="thin">
        <color rgb="FFC00000"/>
      </top>
      <bottom style="medium">
        <color rgb="FFC00000"/>
      </bottom>
      <diagonal/>
    </border>
    <border>
      <left style="thin">
        <color rgb="FFC00000"/>
      </left>
      <right/>
      <top style="thick">
        <color rgb="FFC00000"/>
      </top>
      <bottom style="thin">
        <color rgb="FFC00000"/>
      </bottom>
      <diagonal/>
    </border>
    <border>
      <left style="thin">
        <color rgb="FFC00000"/>
      </left>
      <right/>
      <top style="thin">
        <color rgb="FFC00000"/>
      </top>
      <bottom style="medium">
        <color rgb="FFC00000"/>
      </bottom>
      <diagonal/>
    </border>
    <border>
      <left style="thin">
        <color rgb="FFC00000"/>
      </left>
      <right/>
      <top/>
      <bottom style="thin">
        <color rgb="FFC00000"/>
      </bottom>
      <diagonal/>
    </border>
    <border>
      <left style="thin">
        <color rgb="FFC00000"/>
      </left>
      <right/>
      <top style="thin">
        <color rgb="FFC00000"/>
      </top>
      <bottom style="thin">
        <color rgb="FFC00000"/>
      </bottom>
      <diagonal/>
    </border>
    <border>
      <left style="thin">
        <color rgb="FFC00000"/>
      </left>
      <right/>
      <top style="thin">
        <color rgb="FFC00000"/>
      </top>
      <bottom style="thick">
        <color rgb="FFC00000"/>
      </bottom>
      <diagonal/>
    </border>
    <border>
      <left style="thick">
        <color rgb="FFC00000"/>
      </left>
      <right style="thin">
        <color rgb="FFC00000"/>
      </right>
      <top style="thick">
        <color rgb="FFC00000"/>
      </top>
      <bottom style="thin">
        <color rgb="FFC00000"/>
      </bottom>
      <diagonal/>
    </border>
    <border>
      <left style="thick">
        <color rgb="FFC00000"/>
      </left>
      <right style="thin">
        <color rgb="FFC00000"/>
      </right>
      <top style="thin">
        <color rgb="FFC00000"/>
      </top>
      <bottom style="medium">
        <color rgb="FFC00000"/>
      </bottom>
      <diagonal/>
    </border>
    <border>
      <left style="thick">
        <color rgb="FFC00000"/>
      </left>
      <right style="thin">
        <color rgb="FFC00000"/>
      </right>
      <top/>
      <bottom style="thin">
        <color rgb="FFC00000"/>
      </bottom>
      <diagonal/>
    </border>
    <border>
      <left style="thick">
        <color rgb="FFC00000"/>
      </left>
      <right style="thin">
        <color rgb="FFC00000"/>
      </right>
      <top style="thin">
        <color rgb="FFC00000"/>
      </top>
      <bottom style="thin">
        <color rgb="FFC00000"/>
      </bottom>
      <diagonal/>
    </border>
    <border>
      <left style="thick">
        <color rgb="FFC00000"/>
      </left>
      <right style="thin">
        <color rgb="FFC00000"/>
      </right>
      <top style="thin">
        <color rgb="FFC00000"/>
      </top>
      <bottom style="thick">
        <color rgb="FFC00000"/>
      </bottom>
      <diagonal/>
    </border>
    <border>
      <left/>
      <right style="thin">
        <color rgb="FFC00000"/>
      </right>
      <top style="thick">
        <color rgb="FFC00000"/>
      </top>
      <bottom style="thin">
        <color rgb="FFC00000"/>
      </bottom>
      <diagonal/>
    </border>
    <border>
      <left/>
      <right style="thin">
        <color rgb="FFC00000"/>
      </right>
      <top style="thin">
        <color rgb="FFC00000"/>
      </top>
      <bottom style="medium">
        <color rgb="FFC00000"/>
      </bottom>
      <diagonal/>
    </border>
    <border>
      <left/>
      <right style="thin">
        <color rgb="FFC00000"/>
      </right>
      <top/>
      <bottom style="thin">
        <color rgb="FFC00000"/>
      </bottom>
      <diagonal/>
    </border>
    <border>
      <left/>
      <right style="thin">
        <color rgb="FFC00000"/>
      </right>
      <top style="thin">
        <color rgb="FFC00000"/>
      </top>
      <bottom style="thin">
        <color rgb="FFC00000"/>
      </bottom>
      <diagonal/>
    </border>
    <border>
      <left/>
      <right style="thin">
        <color rgb="FFC00000"/>
      </right>
      <top style="thin">
        <color rgb="FFC00000"/>
      </top>
      <bottom style="thick">
        <color rgb="FFC00000"/>
      </bottom>
      <diagonal/>
    </border>
    <border>
      <left style="medium">
        <color rgb="FFC00000"/>
      </left>
      <right style="thin">
        <color rgb="FFC00000"/>
      </right>
      <top style="thick">
        <color rgb="FFC00000"/>
      </top>
      <bottom style="thin">
        <color rgb="FFC00000"/>
      </bottom>
      <diagonal/>
    </border>
    <border>
      <left style="thin">
        <color rgb="FFC00000"/>
      </left>
      <right style="medium">
        <color rgb="FFC00000"/>
      </right>
      <top style="thick">
        <color rgb="FFC00000"/>
      </top>
      <bottom style="thin">
        <color rgb="FFC00000"/>
      </bottom>
      <diagonal/>
    </border>
    <border>
      <left style="medium">
        <color rgb="FFC00000"/>
      </left>
      <right style="thin">
        <color rgb="FFC00000"/>
      </right>
      <top style="thin">
        <color rgb="FFC00000"/>
      </top>
      <bottom style="medium">
        <color rgb="FFC00000"/>
      </bottom>
      <diagonal/>
    </border>
    <border>
      <left style="thin">
        <color rgb="FFC00000"/>
      </left>
      <right style="medium">
        <color rgb="FFC00000"/>
      </right>
      <top style="thin">
        <color rgb="FFC00000"/>
      </top>
      <bottom style="medium">
        <color rgb="FFC00000"/>
      </bottom>
      <diagonal/>
    </border>
    <border>
      <left style="medium">
        <color rgb="FFC00000"/>
      </left>
      <right style="thin">
        <color rgb="FFC00000"/>
      </right>
      <top/>
      <bottom style="thin">
        <color rgb="FFC00000"/>
      </bottom>
      <diagonal/>
    </border>
    <border>
      <left style="thin">
        <color rgb="FFC00000"/>
      </left>
      <right style="medium">
        <color rgb="FFC00000"/>
      </right>
      <top/>
      <bottom style="thin">
        <color rgb="FFC00000"/>
      </bottom>
      <diagonal/>
    </border>
    <border>
      <left style="medium">
        <color rgb="FFC00000"/>
      </left>
      <right style="thin">
        <color rgb="FFC00000"/>
      </right>
      <top style="thin">
        <color rgb="FFC00000"/>
      </top>
      <bottom style="thin">
        <color rgb="FFC00000"/>
      </bottom>
      <diagonal/>
    </border>
    <border>
      <left style="thin">
        <color rgb="FFC00000"/>
      </left>
      <right style="medium">
        <color rgb="FFC00000"/>
      </right>
      <top style="thin">
        <color rgb="FFC00000"/>
      </top>
      <bottom style="thin">
        <color rgb="FFC00000"/>
      </bottom>
      <diagonal/>
    </border>
    <border>
      <left style="medium">
        <color rgb="FFC00000"/>
      </left>
      <right style="thin">
        <color rgb="FFC00000"/>
      </right>
      <top style="thin">
        <color rgb="FFC00000"/>
      </top>
      <bottom style="thick">
        <color rgb="FFC00000"/>
      </bottom>
      <diagonal/>
    </border>
    <border>
      <left style="thin">
        <color rgb="FFC00000"/>
      </left>
      <right style="medium">
        <color rgb="FFC00000"/>
      </right>
      <top style="thin">
        <color rgb="FFC00000"/>
      </top>
      <bottom style="thick">
        <color rgb="FFC00000"/>
      </bottom>
      <diagonal/>
    </border>
    <border>
      <left/>
      <right style="thin">
        <color rgb="FF7030A0"/>
      </right>
      <top style="thin">
        <color rgb="FF7030A0"/>
      </top>
      <bottom style="thick">
        <color rgb="FF7030A0"/>
      </bottom>
      <diagonal/>
    </border>
    <border>
      <left style="thick">
        <color rgb="FF7030A0"/>
      </left>
      <right style="thick">
        <color rgb="FF7030A0"/>
      </right>
      <top style="thick">
        <color rgb="FF7030A0"/>
      </top>
      <bottom style="thin">
        <color rgb="FF7030A0"/>
      </bottom>
      <diagonal/>
    </border>
    <border>
      <left style="thick">
        <color rgb="FF7030A0"/>
      </left>
      <right style="thick">
        <color rgb="FF7030A0"/>
      </right>
      <top style="thin">
        <color rgb="FF7030A0"/>
      </top>
      <bottom style="thick">
        <color rgb="FF7030A0"/>
      </bottom>
      <diagonal/>
    </border>
    <border>
      <left style="medium">
        <color rgb="FF7030A0"/>
      </left>
      <right style="thin">
        <color rgb="FF7030A0"/>
      </right>
      <top style="thin">
        <color rgb="FF7030A0"/>
      </top>
      <bottom style="thick">
        <color rgb="FF7030A0"/>
      </bottom>
      <diagonal/>
    </border>
    <border>
      <left style="thin">
        <color rgb="FF7030A0"/>
      </left>
      <right style="medium">
        <color rgb="FF7030A0"/>
      </right>
      <top style="thin">
        <color rgb="FF7030A0"/>
      </top>
      <bottom style="thick">
        <color rgb="FF7030A0"/>
      </bottom>
      <diagonal/>
    </border>
    <border>
      <left style="thick">
        <color theme="5"/>
      </left>
      <right style="thin">
        <color theme="5"/>
      </right>
      <top style="thick">
        <color theme="5"/>
      </top>
      <bottom style="thin">
        <color theme="5"/>
      </bottom>
      <diagonal/>
    </border>
    <border>
      <left style="thin">
        <color theme="5"/>
      </left>
      <right style="thin">
        <color theme="5"/>
      </right>
      <top style="thick">
        <color theme="5"/>
      </top>
      <bottom style="thin">
        <color theme="5"/>
      </bottom>
      <diagonal/>
    </border>
    <border>
      <left style="thin">
        <color theme="5"/>
      </left>
      <right style="thick">
        <color theme="5"/>
      </right>
      <top style="thick">
        <color theme="5"/>
      </top>
      <bottom style="thin">
        <color theme="5"/>
      </bottom>
      <diagonal/>
    </border>
    <border>
      <left style="thick">
        <color theme="5"/>
      </left>
      <right style="thin">
        <color theme="5"/>
      </right>
      <top style="thin">
        <color theme="5"/>
      </top>
      <bottom style="thin">
        <color theme="5"/>
      </bottom>
      <diagonal/>
    </border>
    <border>
      <left style="thin">
        <color theme="5"/>
      </left>
      <right style="thin">
        <color theme="5"/>
      </right>
      <top style="thin">
        <color theme="5"/>
      </top>
      <bottom style="thin">
        <color theme="5"/>
      </bottom>
      <diagonal/>
    </border>
    <border>
      <left style="thin">
        <color theme="5"/>
      </left>
      <right style="thick">
        <color theme="5"/>
      </right>
      <top style="thin">
        <color theme="5"/>
      </top>
      <bottom style="thin">
        <color theme="5"/>
      </bottom>
      <diagonal/>
    </border>
    <border>
      <left style="thick">
        <color theme="5"/>
      </left>
      <right style="thin">
        <color theme="5"/>
      </right>
      <top style="thin">
        <color theme="5"/>
      </top>
      <bottom style="thick">
        <color theme="5"/>
      </bottom>
      <diagonal/>
    </border>
    <border>
      <left style="thin">
        <color theme="5"/>
      </left>
      <right style="thin">
        <color theme="5"/>
      </right>
      <top style="thin">
        <color theme="5"/>
      </top>
      <bottom style="thick">
        <color theme="5"/>
      </bottom>
      <diagonal/>
    </border>
    <border>
      <left style="thin">
        <color theme="5"/>
      </left>
      <right style="thick">
        <color theme="5"/>
      </right>
      <top style="thin">
        <color theme="5"/>
      </top>
      <bottom style="thick">
        <color theme="5"/>
      </bottom>
      <diagonal/>
    </border>
    <border>
      <left style="thick">
        <color theme="5"/>
      </left>
      <right style="thin">
        <color theme="5"/>
      </right>
      <top/>
      <bottom style="thin">
        <color theme="5"/>
      </bottom>
      <diagonal/>
    </border>
    <border>
      <left style="thin">
        <color theme="5"/>
      </left>
      <right style="thin">
        <color theme="5"/>
      </right>
      <top/>
      <bottom style="thin">
        <color theme="5"/>
      </bottom>
      <diagonal/>
    </border>
    <border>
      <left style="thin">
        <color theme="5"/>
      </left>
      <right style="thick">
        <color theme="5"/>
      </right>
      <top/>
      <bottom style="thin">
        <color theme="5"/>
      </bottom>
      <diagonal/>
    </border>
    <border>
      <left style="thick">
        <color theme="5"/>
      </left>
      <right style="thin">
        <color theme="5"/>
      </right>
      <top style="thin">
        <color theme="5"/>
      </top>
      <bottom style="medium">
        <color theme="5"/>
      </bottom>
      <diagonal/>
    </border>
    <border>
      <left style="thin">
        <color theme="5"/>
      </left>
      <right style="thin">
        <color theme="5"/>
      </right>
      <top style="thin">
        <color theme="5"/>
      </top>
      <bottom style="medium">
        <color theme="5"/>
      </bottom>
      <diagonal/>
    </border>
    <border>
      <left style="thin">
        <color theme="5"/>
      </left>
      <right style="thick">
        <color theme="5"/>
      </right>
      <top style="thin">
        <color theme="5"/>
      </top>
      <bottom style="medium">
        <color theme="5"/>
      </bottom>
      <diagonal/>
    </border>
    <border>
      <left style="thick">
        <color theme="5"/>
      </left>
      <right style="thin">
        <color theme="8"/>
      </right>
      <top style="thick">
        <color theme="8"/>
      </top>
      <bottom style="thin">
        <color theme="8"/>
      </bottom>
      <diagonal/>
    </border>
    <border>
      <left style="thin">
        <color theme="8"/>
      </left>
      <right style="thin">
        <color theme="8"/>
      </right>
      <top style="thick">
        <color theme="8"/>
      </top>
      <bottom style="thin">
        <color theme="8"/>
      </bottom>
      <diagonal/>
    </border>
    <border>
      <left style="thin">
        <color theme="8"/>
      </left>
      <right style="thick">
        <color theme="8"/>
      </right>
      <top style="thick">
        <color theme="8"/>
      </top>
      <bottom style="thin">
        <color theme="8"/>
      </bottom>
      <diagonal/>
    </border>
    <border>
      <left style="thick">
        <color theme="5"/>
      </left>
      <right style="thin">
        <color theme="8"/>
      </right>
      <top style="thin">
        <color theme="8"/>
      </top>
      <bottom style="thin">
        <color theme="8"/>
      </bottom>
      <diagonal/>
    </border>
    <border>
      <left style="thin">
        <color theme="8"/>
      </left>
      <right style="thick">
        <color theme="8"/>
      </right>
      <top style="thin">
        <color theme="8"/>
      </top>
      <bottom style="thin">
        <color theme="8"/>
      </bottom>
      <diagonal/>
    </border>
    <border>
      <left style="thick">
        <color theme="5"/>
      </left>
      <right style="thin">
        <color theme="8"/>
      </right>
      <top style="thin">
        <color theme="8"/>
      </top>
      <bottom style="thick">
        <color theme="8"/>
      </bottom>
      <diagonal/>
    </border>
    <border>
      <left style="thin">
        <color theme="8"/>
      </left>
      <right style="thin">
        <color theme="8"/>
      </right>
      <top style="thin">
        <color theme="8"/>
      </top>
      <bottom style="thick">
        <color theme="8"/>
      </bottom>
      <diagonal/>
    </border>
    <border>
      <left style="thin">
        <color theme="8"/>
      </left>
      <right style="thick">
        <color theme="8"/>
      </right>
      <top style="thin">
        <color theme="8"/>
      </top>
      <bottom style="thick">
        <color theme="8"/>
      </bottom>
      <diagonal/>
    </border>
    <border>
      <left style="thick">
        <color theme="5"/>
      </left>
      <right style="thin">
        <color theme="8"/>
      </right>
      <top/>
      <bottom style="thin">
        <color theme="8"/>
      </bottom>
      <diagonal/>
    </border>
    <border>
      <left style="thin">
        <color theme="8"/>
      </left>
      <right style="thin">
        <color theme="8"/>
      </right>
      <top/>
      <bottom style="thin">
        <color theme="8"/>
      </bottom>
      <diagonal/>
    </border>
    <border>
      <left style="thin">
        <color theme="8"/>
      </left>
      <right style="thick">
        <color theme="8"/>
      </right>
      <top/>
      <bottom style="thin">
        <color theme="8"/>
      </bottom>
      <diagonal/>
    </border>
    <border>
      <left style="thick">
        <color theme="5"/>
      </left>
      <right style="thin">
        <color theme="8"/>
      </right>
      <top style="thin">
        <color theme="8"/>
      </top>
      <bottom style="medium">
        <color theme="8"/>
      </bottom>
      <diagonal/>
    </border>
    <border>
      <left style="thin">
        <color theme="8"/>
      </left>
      <right style="thin">
        <color theme="8"/>
      </right>
      <top style="thin">
        <color theme="8"/>
      </top>
      <bottom style="medium">
        <color theme="8"/>
      </bottom>
      <diagonal/>
    </border>
    <border>
      <left style="thin">
        <color theme="8"/>
      </left>
      <right style="thick">
        <color theme="8"/>
      </right>
      <top style="thin">
        <color theme="8"/>
      </top>
      <bottom style="medium">
        <color theme="8"/>
      </bottom>
      <diagonal/>
    </border>
    <border>
      <left/>
      <right style="thin">
        <color theme="8"/>
      </right>
      <top style="thick">
        <color theme="8"/>
      </top>
      <bottom style="thin">
        <color theme="8"/>
      </bottom>
      <diagonal/>
    </border>
    <border>
      <left/>
      <right style="thin">
        <color theme="8"/>
      </right>
      <top style="thin">
        <color theme="8"/>
      </top>
      <bottom style="medium">
        <color theme="8"/>
      </bottom>
      <diagonal/>
    </border>
    <border>
      <left/>
      <right style="thin">
        <color theme="8"/>
      </right>
      <top/>
      <bottom style="thin">
        <color theme="8"/>
      </bottom>
      <diagonal/>
    </border>
    <border>
      <left/>
      <right style="thin">
        <color theme="8"/>
      </right>
      <top style="thin">
        <color theme="8"/>
      </top>
      <bottom style="thick">
        <color theme="8"/>
      </bottom>
      <diagonal/>
    </border>
    <border>
      <left style="thin">
        <color theme="9"/>
      </left>
      <right style="thin">
        <color theme="9"/>
      </right>
      <top style="thick">
        <color theme="9"/>
      </top>
      <bottom style="thin">
        <color theme="9"/>
      </bottom>
      <diagonal/>
    </border>
    <border>
      <left style="thin">
        <color theme="9"/>
      </left>
      <right style="thick">
        <color theme="9"/>
      </right>
      <top style="thick">
        <color theme="9"/>
      </top>
      <bottom style="thin">
        <color theme="9"/>
      </bottom>
      <diagonal/>
    </border>
    <border>
      <left style="thin">
        <color theme="9"/>
      </left>
      <right style="thin">
        <color theme="9"/>
      </right>
      <top style="thin">
        <color theme="9"/>
      </top>
      <bottom style="thick">
        <color theme="9"/>
      </bottom>
      <diagonal/>
    </border>
    <border>
      <left style="thin">
        <color theme="9"/>
      </left>
      <right style="thick">
        <color theme="9"/>
      </right>
      <top style="thin">
        <color theme="9"/>
      </top>
      <bottom style="thick">
        <color theme="9"/>
      </bottom>
      <diagonal/>
    </border>
    <border>
      <left style="thin">
        <color theme="8"/>
      </left>
      <right/>
      <top style="thick">
        <color theme="8"/>
      </top>
      <bottom style="thin">
        <color theme="8"/>
      </bottom>
      <diagonal/>
    </border>
    <border>
      <left style="thin">
        <color theme="8"/>
      </left>
      <right/>
      <top style="thin">
        <color theme="8"/>
      </top>
      <bottom style="medium">
        <color theme="8"/>
      </bottom>
      <diagonal/>
    </border>
    <border>
      <left style="thin">
        <color theme="8"/>
      </left>
      <right/>
      <top/>
      <bottom style="thin">
        <color theme="8"/>
      </bottom>
      <diagonal/>
    </border>
    <border>
      <left style="thin">
        <color theme="8"/>
      </left>
      <right/>
      <top style="thin">
        <color theme="8"/>
      </top>
      <bottom style="thick">
        <color theme="8"/>
      </bottom>
      <diagonal/>
    </border>
    <border>
      <left style="medium">
        <color theme="8"/>
      </left>
      <right style="thin">
        <color theme="8"/>
      </right>
      <top style="thick">
        <color theme="8"/>
      </top>
      <bottom style="thin">
        <color theme="8"/>
      </bottom>
      <diagonal/>
    </border>
    <border>
      <left style="thin">
        <color theme="8"/>
      </left>
      <right style="medium">
        <color theme="8"/>
      </right>
      <top style="thick">
        <color theme="8"/>
      </top>
      <bottom style="thin">
        <color theme="8"/>
      </bottom>
      <diagonal/>
    </border>
    <border>
      <left style="medium">
        <color theme="8"/>
      </left>
      <right style="thin">
        <color theme="8"/>
      </right>
      <top style="thin">
        <color theme="8"/>
      </top>
      <bottom style="medium">
        <color theme="8"/>
      </bottom>
      <diagonal/>
    </border>
    <border>
      <left style="thin">
        <color theme="8"/>
      </left>
      <right style="medium">
        <color theme="8"/>
      </right>
      <top style="thin">
        <color theme="8"/>
      </top>
      <bottom style="medium">
        <color theme="8"/>
      </bottom>
      <diagonal/>
    </border>
    <border>
      <left style="medium">
        <color theme="8"/>
      </left>
      <right style="thin">
        <color theme="8"/>
      </right>
      <top/>
      <bottom style="thin">
        <color theme="8"/>
      </bottom>
      <diagonal/>
    </border>
    <border>
      <left style="thin">
        <color theme="8"/>
      </left>
      <right style="medium">
        <color theme="8"/>
      </right>
      <top/>
      <bottom style="thin">
        <color theme="8"/>
      </bottom>
      <diagonal/>
    </border>
    <border>
      <left style="medium">
        <color theme="8"/>
      </left>
      <right style="thin">
        <color theme="8"/>
      </right>
      <top style="thin">
        <color theme="8"/>
      </top>
      <bottom style="thin">
        <color theme="8"/>
      </bottom>
      <diagonal/>
    </border>
    <border>
      <left style="thin">
        <color theme="8"/>
      </left>
      <right style="medium">
        <color theme="8"/>
      </right>
      <top style="thin">
        <color theme="8"/>
      </top>
      <bottom style="thin">
        <color theme="8"/>
      </bottom>
      <diagonal/>
    </border>
    <border>
      <left style="medium">
        <color theme="8"/>
      </left>
      <right style="thin">
        <color theme="8"/>
      </right>
      <top style="thin">
        <color theme="8"/>
      </top>
      <bottom style="thick">
        <color theme="8"/>
      </bottom>
      <diagonal/>
    </border>
    <border>
      <left style="thin">
        <color theme="8"/>
      </left>
      <right style="medium">
        <color theme="8"/>
      </right>
      <top style="thin">
        <color theme="8"/>
      </top>
      <bottom style="thick">
        <color theme="8"/>
      </bottom>
      <diagonal/>
    </border>
    <border>
      <left/>
      <right style="thin">
        <color theme="9"/>
      </right>
      <top style="thick">
        <color theme="9"/>
      </top>
      <bottom style="thin">
        <color theme="9"/>
      </bottom>
      <diagonal/>
    </border>
    <border>
      <left/>
      <right style="thin">
        <color theme="9"/>
      </right>
      <top style="thin">
        <color theme="9"/>
      </top>
      <bottom style="thick">
        <color theme="9"/>
      </bottom>
      <diagonal/>
    </border>
    <border>
      <left style="thick">
        <color theme="9"/>
      </left>
      <right style="thick">
        <color theme="9"/>
      </right>
      <top style="thick">
        <color theme="9"/>
      </top>
      <bottom style="thin">
        <color theme="9"/>
      </bottom>
      <diagonal/>
    </border>
    <border>
      <left style="thick">
        <color theme="9"/>
      </left>
      <right style="thick">
        <color theme="9"/>
      </right>
      <top style="thin">
        <color theme="9"/>
      </top>
      <bottom style="thick">
        <color theme="9"/>
      </bottom>
      <diagonal/>
    </border>
    <border>
      <left style="thin">
        <color theme="9"/>
      </left>
      <right/>
      <top style="thick">
        <color theme="9"/>
      </top>
      <bottom style="thin">
        <color theme="9"/>
      </bottom>
      <diagonal/>
    </border>
    <border>
      <left style="thin">
        <color theme="9"/>
      </left>
      <right/>
      <top style="thin">
        <color theme="9"/>
      </top>
      <bottom style="thick">
        <color theme="9"/>
      </bottom>
      <diagonal/>
    </border>
    <border>
      <left style="medium">
        <color theme="9"/>
      </left>
      <right style="thin">
        <color theme="9"/>
      </right>
      <top style="thick">
        <color theme="9"/>
      </top>
      <bottom style="thin">
        <color theme="9"/>
      </bottom>
      <diagonal/>
    </border>
    <border>
      <left style="thin">
        <color theme="9"/>
      </left>
      <right style="medium">
        <color theme="9"/>
      </right>
      <top style="thick">
        <color theme="9"/>
      </top>
      <bottom style="thin">
        <color theme="9"/>
      </bottom>
      <diagonal/>
    </border>
    <border>
      <left style="medium">
        <color theme="9"/>
      </left>
      <right style="thin">
        <color theme="9"/>
      </right>
      <top style="thin">
        <color theme="9"/>
      </top>
      <bottom style="thick">
        <color theme="9"/>
      </bottom>
      <diagonal/>
    </border>
    <border>
      <left style="thin">
        <color theme="9"/>
      </left>
      <right style="medium">
        <color theme="9"/>
      </right>
      <top style="thin">
        <color theme="9"/>
      </top>
      <bottom style="thick">
        <color theme="9"/>
      </bottom>
      <diagonal/>
    </border>
    <border>
      <left style="thick">
        <color auto="1"/>
      </left>
      <right style="thin">
        <color theme="7"/>
      </right>
      <top style="thick">
        <color theme="7"/>
      </top>
      <bottom style="thin">
        <color theme="7"/>
      </bottom>
      <diagonal/>
    </border>
    <border>
      <left style="thin">
        <color theme="7"/>
      </left>
      <right style="thin">
        <color theme="7"/>
      </right>
      <top style="thick">
        <color theme="7"/>
      </top>
      <bottom style="thin">
        <color theme="7"/>
      </bottom>
      <diagonal/>
    </border>
    <border>
      <left style="thin">
        <color theme="7"/>
      </left>
      <right style="thick">
        <color theme="7"/>
      </right>
      <top style="thick">
        <color theme="7"/>
      </top>
      <bottom style="thin">
        <color theme="7"/>
      </bottom>
      <diagonal/>
    </border>
    <border>
      <left style="thick">
        <color auto="1"/>
      </left>
      <right style="thin">
        <color theme="7"/>
      </right>
      <top style="thin">
        <color theme="7"/>
      </top>
      <bottom style="thin">
        <color theme="7"/>
      </bottom>
      <diagonal/>
    </border>
    <border>
      <left style="thin">
        <color theme="7"/>
      </left>
      <right style="thin">
        <color theme="7"/>
      </right>
      <top style="thin">
        <color theme="7"/>
      </top>
      <bottom style="thin">
        <color theme="7"/>
      </bottom>
      <diagonal/>
    </border>
    <border>
      <left style="thin">
        <color theme="7"/>
      </left>
      <right style="thick">
        <color theme="7"/>
      </right>
      <top style="thin">
        <color theme="7"/>
      </top>
      <bottom style="thin">
        <color theme="7"/>
      </bottom>
      <diagonal/>
    </border>
    <border>
      <left style="thick">
        <color auto="1"/>
      </left>
      <right style="thin">
        <color theme="7"/>
      </right>
      <top style="thin">
        <color theme="7"/>
      </top>
      <bottom style="thick">
        <color theme="7"/>
      </bottom>
      <diagonal/>
    </border>
    <border>
      <left style="thin">
        <color theme="7"/>
      </left>
      <right style="thin">
        <color theme="7"/>
      </right>
      <top style="thin">
        <color theme="7"/>
      </top>
      <bottom style="thick">
        <color theme="7"/>
      </bottom>
      <diagonal/>
    </border>
    <border>
      <left style="thin">
        <color theme="7"/>
      </left>
      <right style="thick">
        <color theme="7"/>
      </right>
      <top style="thin">
        <color theme="7"/>
      </top>
      <bottom style="thick">
        <color theme="7"/>
      </bottom>
      <diagonal/>
    </border>
    <border>
      <left/>
      <right style="thin">
        <color theme="7"/>
      </right>
      <top style="thick">
        <color theme="7"/>
      </top>
      <bottom style="thin">
        <color theme="7"/>
      </bottom>
      <diagonal/>
    </border>
    <border>
      <left/>
      <right style="thin">
        <color theme="7"/>
      </right>
      <top style="thin">
        <color theme="7"/>
      </top>
      <bottom style="thin">
        <color theme="7"/>
      </bottom>
      <diagonal/>
    </border>
    <border>
      <left/>
      <right style="thin">
        <color theme="7"/>
      </right>
      <top style="thin">
        <color theme="7"/>
      </top>
      <bottom style="thick">
        <color theme="7"/>
      </bottom>
      <diagonal/>
    </border>
    <border>
      <left style="thick">
        <color auto="1"/>
      </left>
      <right style="thin">
        <color theme="7"/>
      </right>
      <top/>
      <bottom style="thin">
        <color theme="7"/>
      </bottom>
      <diagonal/>
    </border>
    <border>
      <left style="thin">
        <color theme="7"/>
      </left>
      <right style="thin">
        <color theme="7"/>
      </right>
      <top/>
      <bottom style="thin">
        <color theme="7"/>
      </bottom>
      <diagonal/>
    </border>
    <border>
      <left style="thin">
        <color theme="7"/>
      </left>
      <right style="thick">
        <color theme="7"/>
      </right>
      <top/>
      <bottom style="thin">
        <color theme="7"/>
      </bottom>
      <diagonal/>
    </border>
    <border>
      <left style="thick">
        <color auto="1"/>
      </left>
      <right style="thin">
        <color theme="7"/>
      </right>
      <top style="thin">
        <color theme="7"/>
      </top>
      <bottom style="medium">
        <color theme="7"/>
      </bottom>
      <diagonal/>
    </border>
    <border>
      <left style="thin">
        <color theme="7"/>
      </left>
      <right style="thin">
        <color theme="7"/>
      </right>
      <top style="thin">
        <color theme="7"/>
      </top>
      <bottom style="medium">
        <color theme="7"/>
      </bottom>
      <diagonal/>
    </border>
    <border>
      <left style="thin">
        <color theme="7"/>
      </left>
      <right style="thick">
        <color theme="7"/>
      </right>
      <top style="thin">
        <color theme="7"/>
      </top>
      <bottom style="medium">
        <color theme="7"/>
      </bottom>
      <diagonal/>
    </border>
    <border>
      <left style="thin">
        <color theme="7"/>
      </left>
      <right/>
      <top style="thick">
        <color theme="7"/>
      </top>
      <bottom style="thin">
        <color theme="7"/>
      </bottom>
      <diagonal/>
    </border>
    <border>
      <left style="thin">
        <color theme="7"/>
      </left>
      <right/>
      <top style="thin">
        <color theme="7"/>
      </top>
      <bottom style="thin">
        <color theme="7"/>
      </bottom>
      <diagonal/>
    </border>
    <border>
      <left style="thin">
        <color theme="7"/>
      </left>
      <right/>
      <top style="thin">
        <color theme="7"/>
      </top>
      <bottom style="thick">
        <color theme="7"/>
      </bottom>
      <diagonal/>
    </border>
    <border>
      <left style="medium">
        <color theme="7"/>
      </left>
      <right style="thin">
        <color theme="7"/>
      </right>
      <top style="thick">
        <color theme="7"/>
      </top>
      <bottom style="thin">
        <color theme="7"/>
      </bottom>
      <diagonal/>
    </border>
    <border>
      <left style="thin">
        <color theme="7"/>
      </left>
      <right style="medium">
        <color theme="7"/>
      </right>
      <top style="thick">
        <color theme="7"/>
      </top>
      <bottom style="thin">
        <color theme="7"/>
      </bottom>
      <diagonal/>
    </border>
    <border>
      <left style="medium">
        <color theme="7"/>
      </left>
      <right style="thin">
        <color theme="7"/>
      </right>
      <top style="thin">
        <color theme="7"/>
      </top>
      <bottom style="thin">
        <color theme="7"/>
      </bottom>
      <diagonal/>
    </border>
    <border>
      <left style="thin">
        <color theme="7"/>
      </left>
      <right style="medium">
        <color theme="7"/>
      </right>
      <top style="thin">
        <color theme="7"/>
      </top>
      <bottom style="thin">
        <color theme="7"/>
      </bottom>
      <diagonal/>
    </border>
    <border>
      <left style="medium">
        <color theme="7"/>
      </left>
      <right style="thin">
        <color theme="7"/>
      </right>
      <top style="thin">
        <color theme="7"/>
      </top>
      <bottom style="thick">
        <color theme="7"/>
      </bottom>
      <diagonal/>
    </border>
    <border>
      <left style="thin">
        <color theme="7"/>
      </left>
      <right style="medium">
        <color theme="7"/>
      </right>
      <top style="thin">
        <color theme="7"/>
      </top>
      <bottom style="thick">
        <color theme="7"/>
      </bottom>
      <diagonal/>
    </border>
    <border>
      <left style="thin">
        <color rgb="FF0070C0"/>
      </left>
      <right style="thick">
        <color rgb="FF0070C0"/>
      </right>
      <top style="thick">
        <color rgb="FF0070C0"/>
      </top>
      <bottom style="thin">
        <color rgb="FF0070C0"/>
      </bottom>
      <diagonal/>
    </border>
    <border>
      <left style="thin">
        <color rgb="FF0070C0"/>
      </left>
      <right style="thick">
        <color rgb="FF0070C0"/>
      </right>
      <top style="thin">
        <color rgb="FF0070C0"/>
      </top>
      <bottom style="thick">
        <color rgb="FF0070C0"/>
      </bottom>
      <diagonal/>
    </border>
    <border>
      <left style="thick">
        <color rgb="FF0070C0"/>
      </left>
      <right style="thick">
        <color rgb="FF0070C0"/>
      </right>
      <top style="thick">
        <color rgb="FF0070C0"/>
      </top>
      <bottom style="thin">
        <color rgb="FF0070C0"/>
      </bottom>
      <diagonal/>
    </border>
    <border>
      <left style="thick">
        <color rgb="FF0070C0"/>
      </left>
      <right style="thick">
        <color rgb="FF0070C0"/>
      </right>
      <top style="thin">
        <color rgb="FF0070C0"/>
      </top>
      <bottom style="thick">
        <color rgb="FF0070C0"/>
      </bottom>
      <diagonal/>
    </border>
    <border>
      <left style="thick">
        <color indexed="64"/>
      </left>
      <right/>
      <top style="thick">
        <color theme="7"/>
      </top>
      <bottom/>
      <diagonal/>
    </border>
    <border>
      <left style="thick">
        <color indexed="64"/>
      </left>
      <right/>
      <top/>
      <bottom/>
      <diagonal/>
    </border>
    <border>
      <left/>
      <right style="thin">
        <color theme="7"/>
      </right>
      <top/>
      <bottom style="thin">
        <color theme="7"/>
      </bottom>
      <diagonal/>
    </border>
    <border>
      <left style="thin">
        <color theme="7"/>
      </left>
      <right/>
      <top/>
      <bottom style="thin">
        <color theme="7"/>
      </bottom>
      <diagonal/>
    </border>
    <border>
      <left style="medium">
        <color theme="7"/>
      </left>
      <right style="thin">
        <color theme="7"/>
      </right>
      <top/>
      <bottom style="thin">
        <color theme="7"/>
      </bottom>
      <diagonal/>
    </border>
    <border>
      <left style="thin">
        <color theme="7"/>
      </left>
      <right style="medium">
        <color theme="7"/>
      </right>
      <top/>
      <bottom style="thin">
        <color theme="7"/>
      </bottom>
      <diagonal/>
    </border>
    <border>
      <left style="thick">
        <color theme="7"/>
      </left>
      <right style="thin">
        <color theme="7"/>
      </right>
      <top style="thick">
        <color theme="7"/>
      </top>
      <bottom style="thin">
        <color theme="7"/>
      </bottom>
      <diagonal/>
    </border>
    <border>
      <left style="thick">
        <color theme="7"/>
      </left>
      <right style="thin">
        <color theme="7"/>
      </right>
      <top style="thin">
        <color theme="7"/>
      </top>
      <bottom style="medium">
        <color theme="7"/>
      </bottom>
      <diagonal/>
    </border>
    <border>
      <left style="thin">
        <color theme="7"/>
      </left>
      <right/>
      <top style="thin">
        <color theme="7"/>
      </top>
      <bottom style="medium">
        <color theme="7"/>
      </bottom>
      <diagonal/>
    </border>
    <border>
      <left style="medium">
        <color theme="7"/>
      </left>
      <right style="thin">
        <color theme="7"/>
      </right>
      <top style="thin">
        <color theme="7"/>
      </top>
      <bottom style="medium">
        <color theme="7"/>
      </bottom>
      <diagonal/>
    </border>
    <border>
      <left style="thin">
        <color theme="7"/>
      </left>
      <right style="medium">
        <color theme="7"/>
      </right>
      <top style="thin">
        <color theme="7"/>
      </top>
      <bottom style="medium">
        <color theme="7"/>
      </bottom>
      <diagonal/>
    </border>
    <border>
      <left/>
      <right style="thin">
        <color theme="7"/>
      </right>
      <top style="thin">
        <color theme="7"/>
      </top>
      <bottom style="medium">
        <color theme="7"/>
      </bottom>
      <diagonal/>
    </border>
    <border>
      <left style="thick">
        <color theme="4"/>
      </left>
      <right style="thin">
        <color rgb="FF7030A0"/>
      </right>
      <top style="thin">
        <color rgb="FF7030A0"/>
      </top>
      <bottom style="thin">
        <color rgb="FF7030A0"/>
      </bottom>
      <diagonal/>
    </border>
    <border>
      <left style="thick">
        <color theme="4"/>
      </left>
      <right style="thin">
        <color rgb="FF7030A0"/>
      </right>
      <top style="thin">
        <color rgb="FF7030A0"/>
      </top>
      <bottom style="thick">
        <color rgb="FF7030A0"/>
      </bottom>
      <diagonal/>
    </border>
    <border>
      <left style="thick">
        <color theme="4"/>
      </left>
      <right style="thin">
        <color rgb="FF7030A0"/>
      </right>
      <top/>
      <bottom style="thin">
        <color rgb="FF7030A0"/>
      </bottom>
      <diagonal/>
    </border>
    <border>
      <left style="thick">
        <color theme="4"/>
      </left>
      <right style="thin">
        <color rgb="FF7030A0"/>
      </right>
      <top style="thick">
        <color rgb="FF7030A0"/>
      </top>
      <bottom style="medium">
        <color rgb="FF7030A0"/>
      </bottom>
      <diagonal/>
    </border>
    <border>
      <left style="thick">
        <color theme="4"/>
      </left>
      <right style="thin">
        <color rgb="FF7030A0"/>
      </right>
      <top style="thin">
        <color rgb="FF7030A0"/>
      </top>
      <bottom/>
      <diagonal/>
    </border>
    <border>
      <left style="thick">
        <color theme="4"/>
      </left>
      <right style="thin">
        <color rgb="FF7030A0"/>
      </right>
      <top style="medium">
        <color rgb="FF7030A0"/>
      </top>
      <bottom style="thin">
        <color rgb="FF7030A0"/>
      </bottom>
      <diagonal/>
    </border>
    <border>
      <left style="thick">
        <color theme="4"/>
      </left>
      <right style="thin">
        <color rgb="FF7030A0"/>
      </right>
      <top style="thin">
        <color rgb="FF7030A0"/>
      </top>
      <bottom style="medium">
        <color rgb="FF7030A0"/>
      </bottom>
      <diagonal/>
    </border>
    <border>
      <left/>
      <right style="thin">
        <color rgb="FF7030A0"/>
      </right>
      <top style="thick">
        <color rgb="FF7030A0"/>
      </top>
      <bottom style="medium">
        <color rgb="FF7030A0"/>
      </bottom>
      <diagonal/>
    </border>
    <border>
      <left/>
      <right style="thin">
        <color rgb="FF7030A0"/>
      </right>
      <top style="thin">
        <color rgb="FF7030A0"/>
      </top>
      <bottom style="thin">
        <color rgb="FF7030A0"/>
      </bottom>
      <diagonal/>
    </border>
    <border>
      <left/>
      <right style="thin">
        <color rgb="FF7030A0"/>
      </right>
      <top style="thin">
        <color rgb="FF7030A0"/>
      </top>
      <bottom/>
      <diagonal/>
    </border>
    <border>
      <left style="thin">
        <color rgb="FF7030A0"/>
      </left>
      <right style="medium">
        <color rgb="FF7030A0"/>
      </right>
      <top style="thick">
        <color rgb="FF7030A0"/>
      </top>
      <bottom style="medium">
        <color rgb="FF7030A0"/>
      </bottom>
      <diagonal/>
    </border>
    <border>
      <left style="thin">
        <color rgb="FF7030A0"/>
      </left>
      <right style="medium">
        <color rgb="FF7030A0"/>
      </right>
      <top style="thin">
        <color rgb="FF7030A0"/>
      </top>
      <bottom style="thin">
        <color rgb="FF7030A0"/>
      </bottom>
      <diagonal/>
    </border>
    <border>
      <left style="thin">
        <color rgb="FF7030A0"/>
      </left>
      <right style="medium">
        <color rgb="FF7030A0"/>
      </right>
      <top style="thin">
        <color rgb="FF7030A0"/>
      </top>
      <bottom/>
      <diagonal/>
    </border>
    <border>
      <left style="thick">
        <color theme="4"/>
      </left>
      <right style="thin">
        <color theme="5"/>
      </right>
      <top style="thick">
        <color theme="5"/>
      </top>
      <bottom style="thin">
        <color theme="5"/>
      </bottom>
      <diagonal/>
    </border>
    <border>
      <left style="thick">
        <color theme="4"/>
      </left>
      <right style="thin">
        <color theme="5"/>
      </right>
      <top style="thin">
        <color theme="5"/>
      </top>
      <bottom style="thin">
        <color theme="5"/>
      </bottom>
      <diagonal/>
    </border>
    <border>
      <left style="thick">
        <color theme="4"/>
      </left>
      <right style="thin">
        <color theme="5"/>
      </right>
      <top style="thin">
        <color theme="5"/>
      </top>
      <bottom style="thick">
        <color theme="5"/>
      </bottom>
      <diagonal/>
    </border>
    <border>
      <left style="thick">
        <color theme="4"/>
      </left>
      <right style="thin">
        <color theme="5"/>
      </right>
      <top/>
      <bottom style="thin">
        <color theme="5"/>
      </bottom>
      <diagonal/>
    </border>
    <border>
      <left style="thick">
        <color theme="4"/>
      </left>
      <right style="thin">
        <color theme="5"/>
      </right>
      <top style="thin">
        <color theme="5"/>
      </top>
      <bottom style="medium">
        <color theme="5"/>
      </bottom>
      <diagonal/>
    </border>
    <border>
      <left/>
      <right style="thin">
        <color theme="5"/>
      </right>
      <top style="thick">
        <color theme="5"/>
      </top>
      <bottom style="thin">
        <color theme="5"/>
      </bottom>
      <diagonal/>
    </border>
    <border>
      <left/>
      <right style="thin">
        <color theme="5"/>
      </right>
      <top style="thin">
        <color theme="5"/>
      </top>
      <bottom style="medium">
        <color theme="5"/>
      </bottom>
      <diagonal/>
    </border>
    <border>
      <left/>
      <right style="thin">
        <color theme="5"/>
      </right>
      <top/>
      <bottom style="thin">
        <color theme="5"/>
      </bottom>
      <diagonal/>
    </border>
    <border>
      <left/>
      <right style="thin">
        <color theme="5"/>
      </right>
      <top style="thin">
        <color theme="5"/>
      </top>
      <bottom style="thin">
        <color theme="5"/>
      </bottom>
      <diagonal/>
    </border>
    <border>
      <left/>
      <right style="thin">
        <color theme="5"/>
      </right>
      <top style="thin">
        <color theme="5"/>
      </top>
      <bottom style="thick">
        <color theme="5"/>
      </bottom>
      <diagonal/>
    </border>
    <border>
      <left style="thin">
        <color theme="5"/>
      </left>
      <right/>
      <top style="thick">
        <color theme="5"/>
      </top>
      <bottom style="thin">
        <color theme="5"/>
      </bottom>
      <diagonal/>
    </border>
    <border>
      <left style="thin">
        <color theme="5"/>
      </left>
      <right/>
      <top style="thin">
        <color theme="5"/>
      </top>
      <bottom style="medium">
        <color theme="5"/>
      </bottom>
      <diagonal/>
    </border>
    <border>
      <left style="thin">
        <color theme="5"/>
      </left>
      <right/>
      <top/>
      <bottom style="thin">
        <color theme="5"/>
      </bottom>
      <diagonal/>
    </border>
    <border>
      <left style="thin">
        <color theme="5"/>
      </left>
      <right/>
      <top style="thin">
        <color theme="5"/>
      </top>
      <bottom style="thin">
        <color theme="5"/>
      </bottom>
      <diagonal/>
    </border>
    <border>
      <left style="thin">
        <color theme="5"/>
      </left>
      <right/>
      <top style="thin">
        <color theme="5"/>
      </top>
      <bottom style="thick">
        <color theme="5"/>
      </bottom>
      <diagonal/>
    </border>
    <border>
      <left style="medium">
        <color theme="5"/>
      </left>
      <right style="thin">
        <color theme="5"/>
      </right>
      <top style="thick">
        <color theme="5"/>
      </top>
      <bottom style="thin">
        <color theme="5"/>
      </bottom>
      <diagonal/>
    </border>
    <border>
      <left style="thin">
        <color theme="5"/>
      </left>
      <right style="medium">
        <color theme="5"/>
      </right>
      <top style="thick">
        <color theme="5"/>
      </top>
      <bottom style="thin">
        <color theme="5"/>
      </bottom>
      <diagonal/>
    </border>
    <border>
      <left style="medium">
        <color theme="5"/>
      </left>
      <right style="thin">
        <color theme="5"/>
      </right>
      <top style="thin">
        <color theme="5"/>
      </top>
      <bottom style="medium">
        <color theme="5"/>
      </bottom>
      <diagonal/>
    </border>
    <border>
      <left style="thin">
        <color theme="5"/>
      </left>
      <right style="medium">
        <color theme="5"/>
      </right>
      <top style="thin">
        <color theme="5"/>
      </top>
      <bottom style="medium">
        <color theme="5"/>
      </bottom>
      <diagonal/>
    </border>
    <border>
      <left style="medium">
        <color theme="5"/>
      </left>
      <right style="thin">
        <color theme="5"/>
      </right>
      <top/>
      <bottom style="thin">
        <color theme="5"/>
      </bottom>
      <diagonal/>
    </border>
    <border>
      <left style="thin">
        <color theme="5"/>
      </left>
      <right style="medium">
        <color theme="5"/>
      </right>
      <top/>
      <bottom style="thin">
        <color theme="5"/>
      </bottom>
      <diagonal/>
    </border>
    <border>
      <left style="medium">
        <color theme="5"/>
      </left>
      <right style="thin">
        <color theme="5"/>
      </right>
      <top style="thin">
        <color theme="5"/>
      </top>
      <bottom style="thin">
        <color theme="5"/>
      </bottom>
      <diagonal/>
    </border>
    <border>
      <left style="thin">
        <color theme="5"/>
      </left>
      <right style="medium">
        <color theme="5"/>
      </right>
      <top style="thin">
        <color theme="5"/>
      </top>
      <bottom style="thin">
        <color theme="5"/>
      </bottom>
      <diagonal/>
    </border>
    <border>
      <left style="medium">
        <color theme="5"/>
      </left>
      <right style="thin">
        <color theme="5"/>
      </right>
      <top style="thin">
        <color theme="5"/>
      </top>
      <bottom style="thick">
        <color theme="5"/>
      </bottom>
      <diagonal/>
    </border>
    <border>
      <left style="thin">
        <color theme="5"/>
      </left>
      <right style="medium">
        <color theme="5"/>
      </right>
      <top style="thin">
        <color theme="5"/>
      </top>
      <bottom style="thick">
        <color theme="5"/>
      </bottom>
      <diagonal/>
    </border>
    <border>
      <left style="thick">
        <color theme="5"/>
      </left>
      <right style="thin">
        <color rgb="FF00B050"/>
      </right>
      <top style="thick">
        <color rgb="FF00B050"/>
      </top>
      <bottom style="thin">
        <color rgb="FF00B050"/>
      </bottom>
      <diagonal/>
    </border>
    <border>
      <left style="thin">
        <color rgb="FF00B050"/>
      </left>
      <right style="thin">
        <color rgb="FF00B050"/>
      </right>
      <top style="thick">
        <color rgb="FF00B050"/>
      </top>
      <bottom style="thin">
        <color rgb="FF00B050"/>
      </bottom>
      <diagonal/>
    </border>
    <border>
      <left style="thin">
        <color rgb="FF00B050"/>
      </left>
      <right style="thick">
        <color rgb="FF00B050"/>
      </right>
      <top style="thick">
        <color rgb="FF00B050"/>
      </top>
      <bottom style="thin">
        <color rgb="FF00B050"/>
      </bottom>
      <diagonal/>
    </border>
    <border>
      <left style="thick">
        <color theme="5"/>
      </left>
      <right style="thin">
        <color rgb="FF00B050"/>
      </right>
      <top style="thin">
        <color rgb="FF00B050"/>
      </top>
      <bottom style="thin">
        <color rgb="FF00B050"/>
      </bottom>
      <diagonal/>
    </border>
    <border>
      <left style="thin">
        <color rgb="FF00B050"/>
      </left>
      <right style="thin">
        <color rgb="FF00B050"/>
      </right>
      <top style="thin">
        <color rgb="FF00B050"/>
      </top>
      <bottom style="thin">
        <color rgb="FF00B050"/>
      </bottom>
      <diagonal/>
    </border>
    <border>
      <left style="thin">
        <color rgb="FF00B050"/>
      </left>
      <right style="thick">
        <color rgb="FF00B050"/>
      </right>
      <top style="thin">
        <color rgb="FF00B050"/>
      </top>
      <bottom style="thin">
        <color rgb="FF00B050"/>
      </bottom>
      <diagonal/>
    </border>
    <border>
      <left style="thick">
        <color theme="5"/>
      </left>
      <right style="thin">
        <color rgb="FF00B050"/>
      </right>
      <top style="thin">
        <color rgb="FF00B050"/>
      </top>
      <bottom style="thick">
        <color rgb="FF00B050"/>
      </bottom>
      <diagonal/>
    </border>
    <border>
      <left style="thin">
        <color rgb="FF00B050"/>
      </left>
      <right style="thin">
        <color rgb="FF00B050"/>
      </right>
      <top style="thin">
        <color rgb="FF00B050"/>
      </top>
      <bottom style="thick">
        <color rgb="FF00B050"/>
      </bottom>
      <diagonal/>
    </border>
    <border>
      <left style="thin">
        <color rgb="FF00B050"/>
      </left>
      <right style="thick">
        <color rgb="FF00B050"/>
      </right>
      <top style="thin">
        <color rgb="FF00B050"/>
      </top>
      <bottom style="thick">
        <color rgb="FF00B050"/>
      </bottom>
      <diagonal/>
    </border>
    <border>
      <left style="thick">
        <color theme="5"/>
      </left>
      <right style="thin">
        <color rgb="FF00B050"/>
      </right>
      <top/>
      <bottom style="thin">
        <color rgb="FF00B050"/>
      </bottom>
      <diagonal/>
    </border>
    <border>
      <left style="thin">
        <color rgb="FF00B050"/>
      </left>
      <right style="thin">
        <color rgb="FF00B050"/>
      </right>
      <top/>
      <bottom style="thin">
        <color rgb="FF00B050"/>
      </bottom>
      <diagonal/>
    </border>
    <border>
      <left style="thin">
        <color rgb="FF00B050"/>
      </left>
      <right style="thick">
        <color rgb="FF00B050"/>
      </right>
      <top/>
      <bottom style="thin">
        <color rgb="FF00B050"/>
      </bottom>
      <diagonal/>
    </border>
    <border>
      <left style="thick">
        <color theme="5"/>
      </left>
      <right style="thin">
        <color rgb="FF00B050"/>
      </right>
      <top style="thin">
        <color rgb="FF00B050"/>
      </top>
      <bottom style="medium">
        <color rgb="FF00B050"/>
      </bottom>
      <diagonal/>
    </border>
    <border>
      <left style="thin">
        <color rgb="FF00B050"/>
      </left>
      <right style="thin">
        <color rgb="FF00B050"/>
      </right>
      <top style="thin">
        <color rgb="FF00B050"/>
      </top>
      <bottom style="medium">
        <color rgb="FF00B050"/>
      </bottom>
      <diagonal/>
    </border>
    <border>
      <left style="thin">
        <color rgb="FF00B050"/>
      </left>
      <right style="thick">
        <color rgb="FF00B050"/>
      </right>
      <top style="thin">
        <color rgb="FF00B050"/>
      </top>
      <bottom style="medium">
        <color rgb="FF00B050"/>
      </bottom>
      <diagonal/>
    </border>
    <border>
      <left/>
      <right style="thin">
        <color rgb="FF00B050"/>
      </right>
      <top style="thick">
        <color rgb="FF00B050"/>
      </top>
      <bottom style="thin">
        <color rgb="FF00B050"/>
      </bottom>
      <diagonal/>
    </border>
    <border>
      <left/>
      <right style="thin">
        <color rgb="FF00B050"/>
      </right>
      <top style="thin">
        <color rgb="FF00B050"/>
      </top>
      <bottom style="medium">
        <color rgb="FF00B050"/>
      </bottom>
      <diagonal/>
    </border>
    <border>
      <left/>
      <right style="thin">
        <color rgb="FF00B050"/>
      </right>
      <top/>
      <bottom style="thin">
        <color rgb="FF00B050"/>
      </bottom>
      <diagonal/>
    </border>
    <border>
      <left/>
      <right style="thin">
        <color rgb="FF00B050"/>
      </right>
      <top style="thin">
        <color rgb="FF00B050"/>
      </top>
      <bottom style="thin">
        <color rgb="FF00B050"/>
      </bottom>
      <diagonal/>
    </border>
    <border>
      <left/>
      <right style="thin">
        <color rgb="FF00B050"/>
      </right>
      <top style="thin">
        <color rgb="FF00B050"/>
      </top>
      <bottom style="thick">
        <color rgb="FF00B050"/>
      </bottom>
      <diagonal/>
    </border>
    <border>
      <left style="thin">
        <color rgb="FF00B050"/>
      </left>
      <right/>
      <top style="thick">
        <color rgb="FF00B050"/>
      </top>
      <bottom style="thin">
        <color rgb="FF00B050"/>
      </bottom>
      <diagonal/>
    </border>
    <border>
      <left style="thin">
        <color rgb="FF00B050"/>
      </left>
      <right/>
      <top style="thin">
        <color rgb="FF00B050"/>
      </top>
      <bottom style="medium">
        <color rgb="FF00B050"/>
      </bottom>
      <diagonal/>
    </border>
    <border>
      <left style="thin">
        <color rgb="FF00B050"/>
      </left>
      <right/>
      <top/>
      <bottom style="thin">
        <color rgb="FF00B050"/>
      </bottom>
      <diagonal/>
    </border>
    <border>
      <left style="thin">
        <color rgb="FF00B050"/>
      </left>
      <right/>
      <top style="thin">
        <color rgb="FF00B050"/>
      </top>
      <bottom style="thin">
        <color rgb="FF00B050"/>
      </bottom>
      <diagonal/>
    </border>
    <border>
      <left style="thin">
        <color rgb="FF00B050"/>
      </left>
      <right/>
      <top style="thin">
        <color rgb="FF00B050"/>
      </top>
      <bottom style="thick">
        <color rgb="FF00B050"/>
      </bottom>
      <diagonal/>
    </border>
    <border>
      <left style="medium">
        <color rgb="FF00B050"/>
      </left>
      <right style="thin">
        <color rgb="FF00B050"/>
      </right>
      <top style="thick">
        <color rgb="FF00B050"/>
      </top>
      <bottom style="thin">
        <color rgb="FF00B050"/>
      </bottom>
      <diagonal/>
    </border>
    <border>
      <left style="thin">
        <color rgb="FF00B050"/>
      </left>
      <right style="medium">
        <color rgb="FF00B050"/>
      </right>
      <top style="thick">
        <color rgb="FF00B050"/>
      </top>
      <bottom style="thin">
        <color rgb="FF00B050"/>
      </bottom>
      <diagonal/>
    </border>
    <border>
      <left style="medium">
        <color rgb="FF00B050"/>
      </left>
      <right style="thin">
        <color rgb="FF00B050"/>
      </right>
      <top style="thin">
        <color rgb="FF00B050"/>
      </top>
      <bottom style="medium">
        <color rgb="FF00B050"/>
      </bottom>
      <diagonal/>
    </border>
    <border>
      <left style="thin">
        <color rgb="FF00B050"/>
      </left>
      <right style="medium">
        <color rgb="FF00B050"/>
      </right>
      <top style="thin">
        <color rgb="FF00B050"/>
      </top>
      <bottom style="medium">
        <color rgb="FF00B050"/>
      </bottom>
      <diagonal/>
    </border>
    <border>
      <left style="medium">
        <color rgb="FF00B050"/>
      </left>
      <right style="thin">
        <color rgb="FF00B050"/>
      </right>
      <top/>
      <bottom style="thin">
        <color rgb="FF00B050"/>
      </bottom>
      <diagonal/>
    </border>
    <border>
      <left style="thin">
        <color rgb="FF00B050"/>
      </left>
      <right style="medium">
        <color rgb="FF00B050"/>
      </right>
      <top/>
      <bottom style="thin">
        <color rgb="FF00B050"/>
      </bottom>
      <diagonal/>
    </border>
    <border>
      <left style="medium">
        <color rgb="FF00B050"/>
      </left>
      <right style="thin">
        <color rgb="FF00B050"/>
      </right>
      <top style="thin">
        <color rgb="FF00B050"/>
      </top>
      <bottom style="thin">
        <color rgb="FF00B050"/>
      </bottom>
      <diagonal/>
    </border>
    <border>
      <left style="thin">
        <color rgb="FF00B050"/>
      </left>
      <right style="medium">
        <color rgb="FF00B050"/>
      </right>
      <top style="thin">
        <color rgb="FF00B050"/>
      </top>
      <bottom style="thin">
        <color rgb="FF00B050"/>
      </bottom>
      <diagonal/>
    </border>
    <border>
      <left style="medium">
        <color rgb="FF00B050"/>
      </left>
      <right style="thin">
        <color rgb="FF00B050"/>
      </right>
      <top style="thin">
        <color rgb="FF00B050"/>
      </top>
      <bottom style="thick">
        <color rgb="FF00B050"/>
      </bottom>
      <diagonal/>
    </border>
    <border>
      <left style="thin">
        <color rgb="FF00B050"/>
      </left>
      <right style="medium">
        <color rgb="FF00B050"/>
      </right>
      <top style="thin">
        <color rgb="FF00B050"/>
      </top>
      <bottom style="thick">
        <color rgb="FF00B050"/>
      </bottom>
      <diagonal/>
    </border>
    <border>
      <left style="thick">
        <color theme="5"/>
      </left>
      <right style="thick">
        <color theme="5"/>
      </right>
      <top style="thick">
        <color theme="5"/>
      </top>
      <bottom style="thin">
        <color theme="5"/>
      </bottom>
      <diagonal/>
    </border>
    <border>
      <left style="thick">
        <color theme="5"/>
      </left>
      <right style="thick">
        <color theme="5"/>
      </right>
      <top style="thin">
        <color theme="5"/>
      </top>
      <bottom style="thick">
        <color theme="5"/>
      </bottom>
      <diagonal/>
    </border>
    <border>
      <left style="thick">
        <color theme="9"/>
      </left>
      <right style="thin">
        <color theme="9"/>
      </right>
      <top style="thick">
        <color theme="9"/>
      </top>
      <bottom style="thin">
        <color theme="9"/>
      </bottom>
      <diagonal/>
    </border>
    <border>
      <left style="thick">
        <color theme="9"/>
      </left>
      <right style="thin">
        <color theme="9"/>
      </right>
      <top style="thin">
        <color theme="9"/>
      </top>
      <bottom style="thin">
        <color theme="9"/>
      </bottom>
      <diagonal/>
    </border>
    <border>
      <left style="thin">
        <color theme="9"/>
      </left>
      <right style="thin">
        <color theme="9"/>
      </right>
      <top style="thin">
        <color theme="9"/>
      </top>
      <bottom style="thin">
        <color theme="9"/>
      </bottom>
      <diagonal/>
    </border>
    <border>
      <left style="thin">
        <color theme="9"/>
      </left>
      <right style="thick">
        <color theme="9"/>
      </right>
      <top style="thin">
        <color theme="9"/>
      </top>
      <bottom style="thin">
        <color theme="9"/>
      </bottom>
      <diagonal/>
    </border>
    <border>
      <left style="thick">
        <color theme="9"/>
      </left>
      <right style="thin">
        <color theme="9"/>
      </right>
      <top style="thin">
        <color theme="9"/>
      </top>
      <bottom style="thick">
        <color theme="9"/>
      </bottom>
      <diagonal/>
    </border>
    <border>
      <left style="thick">
        <color theme="9"/>
      </left>
      <right style="thin">
        <color theme="9"/>
      </right>
      <top/>
      <bottom style="thin">
        <color theme="9"/>
      </bottom>
      <diagonal/>
    </border>
    <border>
      <left style="thin">
        <color theme="9"/>
      </left>
      <right style="thin">
        <color theme="9"/>
      </right>
      <top/>
      <bottom style="thin">
        <color theme="9"/>
      </bottom>
      <diagonal/>
    </border>
    <border>
      <left style="thin">
        <color theme="9"/>
      </left>
      <right style="thick">
        <color theme="9"/>
      </right>
      <top/>
      <bottom style="thin">
        <color theme="9"/>
      </bottom>
      <diagonal/>
    </border>
    <border>
      <left style="thick">
        <color theme="9"/>
      </left>
      <right style="thin">
        <color theme="9"/>
      </right>
      <top style="thin">
        <color theme="9"/>
      </top>
      <bottom style="medium">
        <color theme="9"/>
      </bottom>
      <diagonal/>
    </border>
    <border>
      <left style="thin">
        <color theme="9"/>
      </left>
      <right style="thin">
        <color theme="9"/>
      </right>
      <top style="thin">
        <color theme="9"/>
      </top>
      <bottom style="medium">
        <color theme="9"/>
      </bottom>
      <diagonal/>
    </border>
    <border>
      <left style="thin">
        <color theme="9"/>
      </left>
      <right style="thick">
        <color theme="9"/>
      </right>
      <top style="thin">
        <color theme="9"/>
      </top>
      <bottom style="medium">
        <color theme="9"/>
      </bottom>
      <diagonal/>
    </border>
    <border>
      <left style="thick">
        <color theme="9"/>
      </left>
      <right style="thin">
        <color theme="5"/>
      </right>
      <top style="thick">
        <color theme="5"/>
      </top>
      <bottom style="thin">
        <color theme="5"/>
      </bottom>
      <diagonal/>
    </border>
    <border>
      <left style="thick">
        <color theme="9"/>
      </left>
      <right style="thin">
        <color theme="5"/>
      </right>
      <top style="thin">
        <color theme="5"/>
      </top>
      <bottom style="thin">
        <color theme="5"/>
      </bottom>
      <diagonal/>
    </border>
    <border>
      <left style="thick">
        <color theme="9"/>
      </left>
      <right style="thin">
        <color theme="5"/>
      </right>
      <top style="thin">
        <color theme="5"/>
      </top>
      <bottom style="thick">
        <color theme="5"/>
      </bottom>
      <diagonal/>
    </border>
    <border>
      <left style="thick">
        <color theme="9"/>
      </left>
      <right style="thin">
        <color theme="5"/>
      </right>
      <top/>
      <bottom style="thin">
        <color theme="5"/>
      </bottom>
      <diagonal/>
    </border>
    <border>
      <left style="thick">
        <color theme="9"/>
      </left>
      <right style="thin">
        <color theme="5"/>
      </right>
      <top style="thin">
        <color theme="5"/>
      </top>
      <bottom style="medium">
        <color theme="5"/>
      </bottom>
      <diagonal/>
    </border>
    <border>
      <left/>
      <right style="thin">
        <color theme="4"/>
      </right>
      <top style="thick">
        <color theme="4"/>
      </top>
      <bottom style="thin">
        <color theme="4"/>
      </bottom>
      <diagonal/>
    </border>
    <border>
      <left/>
      <right style="thin">
        <color theme="4"/>
      </right>
      <top style="thin">
        <color theme="4"/>
      </top>
      <bottom style="thick">
        <color theme="4"/>
      </bottom>
      <diagonal/>
    </border>
    <border>
      <left style="thick">
        <color theme="4"/>
      </left>
      <right style="thick">
        <color theme="4"/>
      </right>
      <top style="thick">
        <color theme="4"/>
      </top>
      <bottom style="thin">
        <color theme="4"/>
      </bottom>
      <diagonal/>
    </border>
    <border>
      <left style="thick">
        <color theme="4"/>
      </left>
      <right style="thick">
        <color theme="4"/>
      </right>
      <top style="thin">
        <color theme="4"/>
      </top>
      <bottom style="thick">
        <color theme="4"/>
      </bottom>
      <diagonal/>
    </border>
    <border>
      <left style="thin">
        <color theme="4"/>
      </left>
      <right/>
      <top style="thick">
        <color theme="4"/>
      </top>
      <bottom style="thin">
        <color theme="4"/>
      </bottom>
      <diagonal/>
    </border>
    <border>
      <left style="thin">
        <color theme="4"/>
      </left>
      <right/>
      <top style="thin">
        <color theme="4"/>
      </top>
      <bottom style="thick">
        <color theme="4"/>
      </bottom>
      <diagonal/>
    </border>
    <border>
      <left style="medium">
        <color theme="4"/>
      </left>
      <right style="thin">
        <color theme="4"/>
      </right>
      <top style="thick">
        <color theme="4"/>
      </top>
      <bottom style="thin">
        <color theme="4"/>
      </bottom>
      <diagonal/>
    </border>
    <border>
      <left style="thin">
        <color theme="4"/>
      </left>
      <right style="medium">
        <color theme="4"/>
      </right>
      <top style="thick">
        <color theme="4"/>
      </top>
      <bottom style="thin">
        <color theme="4"/>
      </bottom>
      <diagonal/>
    </border>
    <border>
      <left style="medium">
        <color theme="4"/>
      </left>
      <right style="thin">
        <color theme="4"/>
      </right>
      <top style="thin">
        <color theme="4"/>
      </top>
      <bottom style="thick">
        <color theme="4"/>
      </bottom>
      <diagonal/>
    </border>
    <border>
      <left style="thin">
        <color theme="4"/>
      </left>
      <right style="medium">
        <color theme="4"/>
      </right>
      <top style="thin">
        <color theme="4"/>
      </top>
      <bottom style="thick">
        <color theme="4"/>
      </bottom>
      <diagonal/>
    </border>
    <border>
      <left style="thick">
        <color rgb="FF7030A0"/>
      </left>
      <right style="thick">
        <color theme="4"/>
      </right>
      <top style="thin">
        <color theme="4"/>
      </top>
      <bottom style="thin">
        <color theme="4"/>
      </bottom>
      <diagonal/>
    </border>
    <border>
      <left style="thick">
        <color rgb="FF7030A0"/>
      </left>
      <right style="thick">
        <color theme="4"/>
      </right>
      <top style="thin">
        <color theme="4"/>
      </top>
      <bottom style="thick">
        <color theme="4"/>
      </bottom>
      <diagonal/>
    </border>
    <border>
      <left style="thick">
        <color rgb="FF7030A0"/>
      </left>
      <right style="thick">
        <color theme="4"/>
      </right>
      <top style="thick">
        <color theme="4"/>
      </top>
      <bottom style="medium">
        <color theme="4"/>
      </bottom>
      <diagonal/>
    </border>
    <border>
      <left style="thick">
        <color rgb="FF7030A0"/>
      </left>
      <right style="thick">
        <color theme="4"/>
      </right>
      <top/>
      <bottom style="thin">
        <color theme="4"/>
      </bottom>
      <diagonal/>
    </border>
    <border>
      <left style="thick">
        <color rgb="FF7030A0"/>
      </left>
      <right style="thick">
        <color theme="4"/>
      </right>
      <top style="thin">
        <color theme="4"/>
      </top>
      <bottom style="medium">
        <color theme="4"/>
      </bottom>
      <diagonal/>
    </border>
    <border>
      <left style="thick">
        <color rgb="FFF014C8"/>
      </left>
      <right style="thin">
        <color rgb="FFF014C8"/>
      </right>
      <top style="thin">
        <color rgb="FFF014C8"/>
      </top>
      <bottom style="thin">
        <color rgb="FFF014C8"/>
      </bottom>
      <diagonal/>
    </border>
    <border>
      <left style="thin">
        <color rgb="FFF014C8"/>
      </left>
      <right style="thin">
        <color rgb="FFF014C8"/>
      </right>
      <top style="thin">
        <color rgb="FFF014C8"/>
      </top>
      <bottom style="thin">
        <color rgb="FFF014C8"/>
      </bottom>
      <diagonal/>
    </border>
    <border>
      <left style="thin">
        <color rgb="FFF014C8"/>
      </left>
      <right style="thick">
        <color rgb="FFF014C8"/>
      </right>
      <top style="thin">
        <color rgb="FFF014C8"/>
      </top>
      <bottom style="thin">
        <color rgb="FFF014C8"/>
      </bottom>
      <diagonal/>
    </border>
    <border>
      <left style="thick">
        <color rgb="FFF014C8"/>
      </left>
      <right style="thin">
        <color rgb="FFF014C8"/>
      </right>
      <top style="thin">
        <color rgb="FFF014C8"/>
      </top>
      <bottom style="thick">
        <color rgb="FFF014C8"/>
      </bottom>
      <diagonal/>
    </border>
    <border>
      <left style="thin">
        <color rgb="FFF014C8"/>
      </left>
      <right style="thin">
        <color rgb="FFF014C8"/>
      </right>
      <top style="thin">
        <color rgb="FFF014C8"/>
      </top>
      <bottom style="thick">
        <color rgb="FFF014C8"/>
      </bottom>
      <diagonal/>
    </border>
    <border>
      <left style="thin">
        <color rgb="FFF014C8"/>
      </left>
      <right style="thick">
        <color rgb="FFF014C8"/>
      </right>
      <top style="thin">
        <color rgb="FFF014C8"/>
      </top>
      <bottom style="thick">
        <color rgb="FFF014C8"/>
      </bottom>
      <diagonal/>
    </border>
    <border>
      <left style="thick">
        <color rgb="FFF014C8"/>
      </left>
      <right style="thin">
        <color rgb="FFF014C8"/>
      </right>
      <top/>
      <bottom style="thin">
        <color rgb="FFF014C8"/>
      </bottom>
      <diagonal/>
    </border>
    <border>
      <left style="thin">
        <color rgb="FFF014C8"/>
      </left>
      <right style="thin">
        <color rgb="FFF014C8"/>
      </right>
      <top/>
      <bottom style="thin">
        <color rgb="FFF014C8"/>
      </bottom>
      <diagonal/>
    </border>
    <border>
      <left style="thin">
        <color rgb="FFF014C8"/>
      </left>
      <right style="thick">
        <color rgb="FFF014C8"/>
      </right>
      <top/>
      <bottom style="thin">
        <color rgb="FFF014C8"/>
      </bottom>
      <diagonal/>
    </border>
    <border>
      <left style="thick">
        <color rgb="FFF014C8"/>
      </left>
      <right style="thin">
        <color rgb="FFF014C8"/>
      </right>
      <top style="thick">
        <color rgb="FFF014C8"/>
      </top>
      <bottom style="medium">
        <color rgb="FFF014C8"/>
      </bottom>
      <diagonal/>
    </border>
    <border>
      <left style="thin">
        <color rgb="FFF014C8"/>
      </left>
      <right style="thin">
        <color rgb="FFF014C8"/>
      </right>
      <top style="thick">
        <color rgb="FFF014C8"/>
      </top>
      <bottom style="medium">
        <color rgb="FFF014C8"/>
      </bottom>
      <diagonal/>
    </border>
    <border>
      <left style="thin">
        <color rgb="FFF014C8"/>
      </left>
      <right style="thick">
        <color rgb="FFF014C8"/>
      </right>
      <top style="thick">
        <color rgb="FFF014C8"/>
      </top>
      <bottom style="medium">
        <color rgb="FFF014C8"/>
      </bottom>
      <diagonal/>
    </border>
    <border>
      <left style="medium">
        <color rgb="FF7030A0"/>
      </left>
      <right style="thin">
        <color rgb="FF7030A0"/>
      </right>
      <top style="thin">
        <color rgb="FF7030A0"/>
      </top>
      <bottom style="thin">
        <color rgb="FF7030A0"/>
      </bottom>
      <diagonal/>
    </border>
    <border>
      <left style="medium">
        <color rgb="FF7030A0"/>
      </left>
      <right style="thin">
        <color rgb="FF7030A0"/>
      </right>
      <top style="thin">
        <color rgb="FF7030A0"/>
      </top>
      <bottom/>
      <diagonal/>
    </border>
    <border>
      <left/>
      <right style="thin">
        <color theme="4"/>
      </right>
      <top style="thin">
        <color theme="4"/>
      </top>
      <bottom style="medium">
        <color theme="4"/>
      </bottom>
      <diagonal/>
    </border>
    <border>
      <left/>
      <right style="thin">
        <color theme="4"/>
      </right>
      <top/>
      <bottom style="thin">
        <color theme="4"/>
      </bottom>
      <diagonal/>
    </border>
    <border>
      <left/>
      <right style="thin">
        <color theme="4"/>
      </right>
      <top style="thin">
        <color theme="4"/>
      </top>
      <bottom style="thin">
        <color theme="4"/>
      </bottom>
      <diagonal/>
    </border>
    <border>
      <left style="thin">
        <color theme="4"/>
      </left>
      <right style="medium">
        <color theme="4"/>
      </right>
      <top style="thin">
        <color theme="4"/>
      </top>
      <bottom style="medium">
        <color theme="4"/>
      </bottom>
      <diagonal/>
    </border>
    <border>
      <left style="thin">
        <color theme="4"/>
      </left>
      <right style="medium">
        <color theme="4"/>
      </right>
      <top/>
      <bottom style="thin">
        <color theme="4"/>
      </bottom>
      <diagonal/>
    </border>
    <border>
      <left style="thin">
        <color theme="4"/>
      </left>
      <right style="medium">
        <color theme="4"/>
      </right>
      <top style="thin">
        <color theme="4"/>
      </top>
      <bottom style="thin">
        <color theme="4"/>
      </bottom>
      <diagonal/>
    </border>
    <border>
      <left style="thin">
        <color theme="4"/>
      </left>
      <right/>
      <top style="thin">
        <color theme="4"/>
      </top>
      <bottom style="medium">
        <color theme="4"/>
      </bottom>
      <diagonal/>
    </border>
    <border>
      <left style="thin">
        <color theme="4"/>
      </left>
      <right/>
      <top/>
      <bottom style="thin">
        <color theme="4"/>
      </bottom>
      <diagonal/>
    </border>
    <border>
      <left style="thin">
        <color theme="4"/>
      </left>
      <right/>
      <top style="thin">
        <color theme="4"/>
      </top>
      <bottom style="thin">
        <color theme="4"/>
      </bottom>
      <diagonal/>
    </border>
    <border>
      <left style="medium">
        <color theme="4"/>
      </left>
      <right style="thin">
        <color theme="4"/>
      </right>
      <top style="thin">
        <color theme="4"/>
      </top>
      <bottom style="medium">
        <color theme="4"/>
      </bottom>
      <diagonal/>
    </border>
    <border>
      <left style="medium">
        <color theme="4"/>
      </left>
      <right style="thin">
        <color theme="4"/>
      </right>
      <top/>
      <bottom style="thin">
        <color theme="4"/>
      </bottom>
      <diagonal/>
    </border>
    <border>
      <left style="medium">
        <color theme="4"/>
      </left>
      <right style="thin">
        <color theme="4"/>
      </right>
      <top style="thin">
        <color theme="4"/>
      </top>
      <bottom style="thin">
        <color theme="4"/>
      </bottom>
      <diagonal/>
    </border>
    <border>
      <left style="thin">
        <color theme="4"/>
      </left>
      <right style="medium">
        <color theme="4"/>
      </right>
      <top style="thin">
        <color theme="4"/>
      </top>
      <bottom/>
      <diagonal/>
    </border>
    <border>
      <left/>
      <right style="thin">
        <color theme="4"/>
      </right>
      <top style="thin">
        <color theme="4"/>
      </top>
      <bottom/>
      <diagonal/>
    </border>
    <border>
      <left style="thin">
        <color theme="4"/>
      </left>
      <right/>
      <top style="thin">
        <color theme="4"/>
      </top>
      <bottom/>
      <diagonal/>
    </border>
    <border>
      <left style="medium">
        <color theme="4"/>
      </left>
      <right style="thin">
        <color theme="4"/>
      </right>
      <top style="thin">
        <color theme="4"/>
      </top>
      <bottom/>
      <diagonal/>
    </border>
    <border>
      <left style="thin">
        <color theme="4"/>
      </left>
      <right style="medium">
        <color theme="4"/>
      </right>
      <top style="medium">
        <color theme="4"/>
      </top>
      <bottom style="thin">
        <color theme="4"/>
      </bottom>
      <diagonal/>
    </border>
    <border>
      <left/>
      <right style="thin">
        <color theme="4"/>
      </right>
      <top style="medium">
        <color theme="4"/>
      </top>
      <bottom style="thin">
        <color theme="4"/>
      </bottom>
      <diagonal/>
    </border>
    <border>
      <left style="thin">
        <color theme="4"/>
      </left>
      <right/>
      <top style="medium">
        <color theme="4"/>
      </top>
      <bottom style="thin">
        <color theme="4"/>
      </bottom>
      <diagonal/>
    </border>
    <border>
      <left style="medium">
        <color theme="4"/>
      </left>
      <right style="thin">
        <color theme="4"/>
      </right>
      <top style="medium">
        <color theme="4"/>
      </top>
      <bottom style="thin">
        <color theme="4"/>
      </bottom>
      <diagonal/>
    </border>
    <border>
      <left style="thick">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right style="thin">
        <color auto="1"/>
      </right>
      <top style="thick">
        <color auto="1"/>
      </top>
      <bottom style="thin">
        <color auto="1"/>
      </bottom>
      <diagonal/>
    </border>
    <border>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thick">
        <color indexed="64"/>
      </bottom>
      <diagonal/>
    </border>
    <border>
      <left style="thin">
        <color auto="1"/>
      </left>
      <right style="medium">
        <color auto="1"/>
      </right>
      <top style="thick">
        <color auto="1"/>
      </top>
      <bottom style="thin">
        <color auto="1"/>
      </bottom>
      <diagonal/>
    </border>
    <border>
      <left style="thin">
        <color auto="1"/>
      </left>
      <right style="medium">
        <color auto="1"/>
      </right>
      <top style="thin">
        <color indexed="64"/>
      </top>
      <bottom style="medium">
        <color indexed="64"/>
      </bottom>
      <diagonal/>
    </border>
    <border>
      <left style="thin">
        <color auto="1"/>
      </left>
      <right style="medium">
        <color auto="1"/>
      </right>
      <top/>
      <bottom style="thin">
        <color auto="1"/>
      </bottom>
      <diagonal/>
    </border>
    <border>
      <left style="thin">
        <color auto="1"/>
      </left>
      <right style="medium">
        <color auto="1"/>
      </right>
      <top style="thin">
        <color indexed="64"/>
      </top>
      <bottom style="thin">
        <color indexed="64"/>
      </bottom>
      <diagonal/>
    </border>
    <border>
      <left style="thin">
        <color auto="1"/>
      </left>
      <right style="medium">
        <color auto="1"/>
      </right>
      <top style="thin">
        <color indexed="64"/>
      </top>
      <bottom/>
      <diagonal/>
    </border>
    <border>
      <left style="thin">
        <color auto="1"/>
      </left>
      <right style="medium">
        <color auto="1"/>
      </right>
      <top style="medium">
        <color indexed="64"/>
      </top>
      <bottom style="thin">
        <color indexed="64"/>
      </bottom>
      <diagonal/>
    </border>
    <border>
      <left style="thin">
        <color auto="1"/>
      </left>
      <right style="medium">
        <color auto="1"/>
      </right>
      <top style="thin">
        <color indexed="64"/>
      </top>
      <bottom style="thick">
        <color indexed="64"/>
      </bottom>
      <diagonal/>
    </border>
    <border>
      <left style="thin">
        <color auto="1"/>
      </left>
      <right/>
      <top style="thick">
        <color auto="1"/>
      </top>
      <bottom style="thin">
        <color auto="1"/>
      </bottom>
      <diagonal/>
    </border>
    <border>
      <left style="thin">
        <color indexed="64"/>
      </left>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thick">
        <color indexed="64"/>
      </bottom>
      <diagonal/>
    </border>
    <border>
      <left style="medium">
        <color auto="1"/>
      </left>
      <right style="thin">
        <color auto="1"/>
      </right>
      <top style="thick">
        <color auto="1"/>
      </top>
      <bottom style="thin">
        <color auto="1"/>
      </bottom>
      <diagonal/>
    </border>
    <border>
      <left style="medium">
        <color auto="1"/>
      </left>
      <right style="thin">
        <color auto="1"/>
      </right>
      <top style="thin">
        <color indexed="64"/>
      </top>
      <bottom style="medium">
        <color indexed="64"/>
      </bottom>
      <diagonal/>
    </border>
    <border>
      <left style="medium">
        <color auto="1"/>
      </left>
      <right style="thin">
        <color auto="1"/>
      </right>
      <top/>
      <bottom style="thin">
        <color auto="1"/>
      </bottom>
      <diagonal/>
    </border>
    <border>
      <left style="medium">
        <color auto="1"/>
      </left>
      <right style="thin">
        <color auto="1"/>
      </right>
      <top style="thin">
        <color indexed="64"/>
      </top>
      <bottom style="thin">
        <color indexed="64"/>
      </bottom>
      <diagonal/>
    </border>
    <border>
      <left style="medium">
        <color auto="1"/>
      </left>
      <right style="thin">
        <color auto="1"/>
      </right>
      <top style="thin">
        <color indexed="64"/>
      </top>
      <bottom/>
      <diagonal/>
    </border>
    <border>
      <left style="medium">
        <color auto="1"/>
      </left>
      <right style="thin">
        <color auto="1"/>
      </right>
      <top style="medium">
        <color indexed="64"/>
      </top>
      <bottom style="thin">
        <color indexed="64"/>
      </bottom>
      <diagonal/>
    </border>
    <border>
      <left style="medium">
        <color auto="1"/>
      </left>
      <right style="thin">
        <color auto="1"/>
      </right>
      <top style="thin">
        <color indexed="64"/>
      </top>
      <bottom style="thick">
        <color indexed="64"/>
      </bottom>
      <diagonal/>
    </border>
    <border>
      <left style="thin">
        <color rgb="FF0070C0"/>
      </left>
      <right style="thick">
        <color rgb="FF0070C0"/>
      </right>
      <top style="thin">
        <color rgb="FF0070C0"/>
      </top>
      <bottom style="thin">
        <color rgb="FF0070C0"/>
      </bottom>
      <diagonal/>
    </border>
    <border>
      <left style="thin">
        <color rgb="FF0070C0"/>
      </left>
      <right style="thick">
        <color rgb="FF0070C0"/>
      </right>
      <top/>
      <bottom style="thin">
        <color rgb="FF0070C0"/>
      </bottom>
      <diagonal/>
    </border>
    <border>
      <left style="thin">
        <color rgb="FF0070C0"/>
      </left>
      <right style="thick">
        <color rgb="FF0070C0"/>
      </right>
      <top style="thin">
        <color rgb="FF0070C0"/>
      </top>
      <bottom style="medium">
        <color rgb="FF0070C0"/>
      </bottom>
      <diagonal/>
    </border>
    <border>
      <left style="thick">
        <color rgb="FFF014C8"/>
      </left>
      <right style="thin">
        <color rgb="FFF014C8"/>
      </right>
      <top style="thick">
        <color rgb="FFF014C8"/>
      </top>
      <bottom style="thin">
        <color rgb="FFF014C8"/>
      </bottom>
      <diagonal/>
    </border>
    <border>
      <left style="thin">
        <color rgb="FFF014C8"/>
      </left>
      <right style="thin">
        <color rgb="FFF014C8"/>
      </right>
      <top style="thick">
        <color rgb="FFF014C8"/>
      </top>
      <bottom style="thin">
        <color rgb="FFF014C8"/>
      </bottom>
      <diagonal/>
    </border>
    <border>
      <left style="thin">
        <color rgb="FFF014C8"/>
      </left>
      <right style="thick">
        <color rgb="FFF014C8"/>
      </right>
      <top style="thick">
        <color rgb="FFF014C8"/>
      </top>
      <bottom style="thin">
        <color rgb="FFF014C8"/>
      </bottom>
      <diagonal/>
    </border>
    <border>
      <left style="thick">
        <color rgb="FFF014C8"/>
      </left>
      <right style="thin">
        <color rgb="FFF014C8"/>
      </right>
      <top style="thin">
        <color rgb="FFF014C8"/>
      </top>
      <bottom style="medium">
        <color rgb="FFF014C8"/>
      </bottom>
      <diagonal/>
    </border>
    <border>
      <left style="thin">
        <color rgb="FFF014C8"/>
      </left>
      <right style="thin">
        <color rgb="FFF014C8"/>
      </right>
      <top style="thin">
        <color rgb="FFF014C8"/>
      </top>
      <bottom style="medium">
        <color rgb="FFF014C8"/>
      </bottom>
      <diagonal/>
    </border>
    <border>
      <left style="thin">
        <color rgb="FFF014C8"/>
      </left>
      <right style="thick">
        <color rgb="FFF014C8"/>
      </right>
      <top style="thin">
        <color rgb="FFF014C8"/>
      </top>
      <bottom style="medium">
        <color rgb="FFF014C8"/>
      </bottom>
      <diagonal/>
    </border>
    <border>
      <left style="medium">
        <color rgb="FFA3A3A3"/>
      </left>
      <right style="medium">
        <color rgb="FFA3A3A3"/>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top style="thin">
        <color indexed="64"/>
      </top>
      <bottom style="thin">
        <color indexed="64"/>
      </bottom>
      <diagonal/>
    </border>
    <border>
      <left style="medium">
        <color rgb="FFA3A3A3"/>
      </left>
      <right style="medium">
        <color rgb="FFA3A3A3"/>
      </right>
      <top/>
      <bottom style="medium">
        <color indexed="64"/>
      </bottom>
      <diagonal/>
    </border>
    <border>
      <left/>
      <right/>
      <top style="thin">
        <color theme="4"/>
      </top>
      <bottom style="thin">
        <color theme="4"/>
      </bottom>
      <diagonal/>
    </border>
    <border>
      <left/>
      <right style="thick">
        <color theme="4"/>
      </right>
      <top style="thin">
        <color theme="4"/>
      </top>
      <bottom style="thin">
        <color theme="4"/>
      </bottom>
      <diagonal/>
    </border>
    <border>
      <left style="thick">
        <color theme="7"/>
      </left>
      <right style="thin">
        <color theme="7"/>
      </right>
      <top style="thin">
        <color theme="7"/>
      </top>
      <bottom style="thin">
        <color theme="7"/>
      </bottom>
      <diagonal/>
    </border>
    <border>
      <left style="thick">
        <color theme="7"/>
      </left>
      <right style="thin">
        <color theme="7"/>
      </right>
      <top style="thin">
        <color theme="7"/>
      </top>
      <bottom style="thick">
        <color theme="7"/>
      </bottom>
      <diagonal/>
    </border>
    <border>
      <left style="thick">
        <color theme="7"/>
      </left>
      <right style="thin">
        <color theme="7"/>
      </right>
      <top/>
      <bottom style="thin">
        <color theme="7"/>
      </bottom>
      <diagonal/>
    </border>
  </borders>
  <cellStyleXfs count="5">
    <xf numFmtId="0" fontId="0" fillId="0" borderId="0"/>
    <xf numFmtId="0" fontId="23" fillId="0" borderId="0"/>
    <xf numFmtId="0" fontId="22" fillId="0" borderId="0"/>
    <xf numFmtId="0" fontId="22" fillId="0" borderId="0"/>
    <xf numFmtId="0" fontId="53" fillId="0" borderId="0"/>
  </cellStyleXfs>
  <cellXfs count="1785">
    <xf numFmtId="0" fontId="0" fillId="0" borderId="0" xfId="0"/>
    <xf numFmtId="0" fontId="3" fillId="0" borderId="0" xfId="0" applyFont="1" applyAlignment="1">
      <alignment horizontal="left" vertical="center"/>
    </xf>
    <xf numFmtId="0" fontId="1" fillId="0" borderId="4" xfId="0" applyFont="1" applyBorder="1" applyAlignment="1">
      <alignment horizontal="left" vertical="center"/>
    </xf>
    <xf numFmtId="0" fontId="1" fillId="0" borderId="5" xfId="0" applyFont="1" applyBorder="1" applyAlignment="1">
      <alignment horizontal="left" vertical="center" wrapText="1"/>
    </xf>
    <xf numFmtId="0" fontId="4" fillId="0" borderId="7" xfId="0" applyFont="1" applyBorder="1" applyAlignment="1">
      <alignment horizontal="left" vertical="center"/>
    </xf>
    <xf numFmtId="0" fontId="4" fillId="0" borderId="10" xfId="0" applyFont="1" applyBorder="1" applyAlignment="1">
      <alignment horizontal="left" vertical="center"/>
    </xf>
    <xf numFmtId="0" fontId="3" fillId="0" borderId="13" xfId="0" applyFont="1" applyBorder="1" applyAlignment="1">
      <alignment horizontal="left" vertical="center"/>
    </xf>
    <xf numFmtId="0" fontId="3" fillId="0" borderId="14" xfId="0" applyFont="1" applyBorder="1" applyAlignment="1">
      <alignment horizontal="left" vertical="center"/>
    </xf>
    <xf numFmtId="0" fontId="3" fillId="0" borderId="0" xfId="0" applyFont="1" applyAlignment="1">
      <alignment horizontal="left" vertical="center"/>
    </xf>
    <xf numFmtId="0" fontId="8" fillId="0" borderId="4" xfId="0" applyFont="1" applyBorder="1" applyAlignment="1">
      <alignment horizontal="left" vertical="center"/>
    </xf>
    <xf numFmtId="0" fontId="8" fillId="0" borderId="5" xfId="0" applyFont="1" applyBorder="1" applyAlignment="1">
      <alignment horizontal="left" vertical="center"/>
    </xf>
    <xf numFmtId="0" fontId="8"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9" xfId="0" applyFont="1" applyBorder="1" applyAlignment="1">
      <alignment horizontal="left" vertical="center"/>
    </xf>
    <xf numFmtId="0" fontId="9" fillId="0" borderId="0" xfId="0" applyFont="1" applyAlignment="1">
      <alignment horizontal="left" vertical="center"/>
    </xf>
    <xf numFmtId="0" fontId="9" fillId="2" borderId="7" xfId="0" applyFont="1" applyFill="1" applyBorder="1" applyAlignment="1">
      <alignment horizontal="left" vertical="center" wrapText="1"/>
    </xf>
    <xf numFmtId="0" fontId="9" fillId="2" borderId="8" xfId="0" applyFont="1" applyFill="1" applyBorder="1" applyAlignment="1">
      <alignment horizontal="left" vertical="center"/>
    </xf>
    <xf numFmtId="0" fontId="9" fillId="2" borderId="9" xfId="0" applyFont="1" applyFill="1" applyBorder="1" applyAlignment="1">
      <alignment horizontal="left" vertical="center"/>
    </xf>
    <xf numFmtId="0" fontId="9" fillId="2" borderId="19" xfId="0" applyFont="1" applyFill="1" applyBorder="1" applyAlignment="1">
      <alignment horizontal="left" vertical="center" wrapText="1"/>
    </xf>
    <xf numFmtId="0" fontId="9" fillId="2" borderId="20" xfId="0" applyFont="1" applyFill="1" applyBorder="1" applyAlignment="1">
      <alignment horizontal="left" vertical="center"/>
    </xf>
    <xf numFmtId="0" fontId="9" fillId="2" borderId="21" xfId="0" applyFont="1" applyFill="1" applyBorder="1" applyAlignment="1">
      <alignment horizontal="left" vertical="center"/>
    </xf>
    <xf numFmtId="0" fontId="9" fillId="0" borderId="0" xfId="0" applyFont="1" applyAlignment="1">
      <alignment horizontal="left" vertical="center" wrapText="1"/>
    </xf>
    <xf numFmtId="0" fontId="0" fillId="0" borderId="0" xfId="0" applyAlignment="1">
      <alignment horizontal="center"/>
    </xf>
    <xf numFmtId="0" fontId="0" fillId="0" borderId="28" xfId="0" applyBorder="1"/>
    <xf numFmtId="0" fontId="0" fillId="0" borderId="29" xfId="0" applyBorder="1"/>
    <xf numFmtId="0" fontId="0" fillId="0" borderId="29" xfId="0" applyBorder="1" applyAlignment="1">
      <alignment horizontal="center"/>
    </xf>
    <xf numFmtId="0" fontId="0" fillId="0" borderId="30" xfId="0" applyBorder="1"/>
    <xf numFmtId="0" fontId="0" fillId="0" borderId="31" xfId="0" applyBorder="1"/>
    <xf numFmtId="0" fontId="0" fillId="0" borderId="32" xfId="0" applyBorder="1" applyAlignment="1">
      <alignment vertical="center" wrapText="1"/>
    </xf>
    <xf numFmtId="14" fontId="0" fillId="0" borderId="0" xfId="0" applyNumberFormat="1"/>
    <xf numFmtId="164" fontId="0" fillId="0" borderId="0" xfId="0" applyNumberFormat="1"/>
    <xf numFmtId="164" fontId="0" fillId="0" borderId="28" xfId="0" applyNumberFormat="1" applyBorder="1"/>
    <xf numFmtId="0" fontId="0" fillId="0" borderId="33" xfId="0" applyBorder="1" applyAlignment="1">
      <alignment vertical="center" wrapText="1"/>
    </xf>
    <xf numFmtId="0" fontId="0" fillId="0" borderId="34" xfId="0" applyBorder="1"/>
    <xf numFmtId="0" fontId="0" fillId="4" borderId="0" xfId="0" applyFill="1"/>
    <xf numFmtId="164" fontId="0" fillId="4" borderId="0" xfId="0" applyNumberFormat="1" applyFill="1"/>
    <xf numFmtId="164" fontId="0" fillId="4" borderId="28" xfId="0" applyNumberFormat="1" applyFill="1" applyBorder="1"/>
    <xf numFmtId="0" fontId="0" fillId="0" borderId="35" xfId="0" applyBorder="1" applyAlignment="1">
      <alignment vertical="center" wrapText="1"/>
    </xf>
    <xf numFmtId="14" fontId="0" fillId="0" borderId="36" xfId="0" applyNumberFormat="1" applyBorder="1"/>
    <xf numFmtId="0" fontId="0" fillId="0" borderId="36" xfId="0" applyBorder="1" applyAlignment="1">
      <alignment horizontal="center"/>
    </xf>
    <xf numFmtId="0" fontId="0" fillId="0" borderId="37" xfId="0" applyBorder="1"/>
    <xf numFmtId="164" fontId="0" fillId="0" borderId="36" xfId="0" applyNumberFormat="1" applyBorder="1"/>
    <xf numFmtId="164" fontId="0" fillId="0" borderId="37" xfId="0" applyNumberFormat="1" applyBorder="1"/>
    <xf numFmtId="0" fontId="0" fillId="0" borderId="36" xfId="0" applyBorder="1"/>
    <xf numFmtId="164" fontId="0" fillId="0" borderId="38" xfId="0" applyNumberFormat="1" applyBorder="1"/>
    <xf numFmtId="0" fontId="0" fillId="3" borderId="0" xfId="0" applyFill="1" applyAlignment="1">
      <alignment horizontal="center"/>
    </xf>
    <xf numFmtId="0" fontId="9" fillId="0" borderId="0" xfId="0" applyFont="1" applyAlignment="1">
      <alignment horizontal="left" vertical="center" wrapText="1"/>
    </xf>
    <xf numFmtId="0" fontId="0" fillId="0" borderId="0" xfId="0" applyAlignment="1">
      <alignment horizontal="center"/>
    </xf>
    <xf numFmtId="0" fontId="0" fillId="3" borderId="0" xfId="0" applyFill="1"/>
    <xf numFmtId="0" fontId="18" fillId="0" borderId="0" xfId="0" applyFont="1"/>
    <xf numFmtId="0" fontId="0" fillId="0" borderId="0" xfId="0" applyAlignment="1">
      <alignment wrapText="1"/>
    </xf>
    <xf numFmtId="0" fontId="0" fillId="0" borderId="0" xfId="0" applyAlignment="1">
      <alignment horizontal="center" wrapText="1"/>
    </xf>
    <xf numFmtId="0" fontId="0" fillId="3" borderId="0" xfId="0" applyFill="1" applyAlignment="1">
      <alignment wrapText="1"/>
    </xf>
    <xf numFmtId="0" fontId="20" fillId="5" borderId="0" xfId="0" applyFont="1" applyFill="1" applyAlignment="1">
      <alignment horizontal="center" wrapText="1"/>
    </xf>
    <xf numFmtId="22" fontId="0" fillId="0" borderId="0" xfId="0" applyNumberFormat="1" applyAlignment="1">
      <alignment horizontal="center"/>
    </xf>
    <xf numFmtId="165" fontId="0" fillId="0" borderId="0" xfId="0" applyNumberFormat="1" applyAlignment="1">
      <alignment horizontal="center"/>
    </xf>
    <xf numFmtId="0" fontId="0" fillId="0" borderId="0" xfId="0" quotePrefix="1" applyAlignment="1">
      <alignment horizontal="center"/>
    </xf>
    <xf numFmtId="0" fontId="0" fillId="6" borderId="0" xfId="0" applyFill="1" applyAlignment="1">
      <alignment horizontal="center"/>
    </xf>
    <xf numFmtId="165" fontId="0" fillId="5" borderId="0" xfId="0" applyNumberFormat="1" applyFill="1" applyAlignment="1">
      <alignment horizontal="center"/>
    </xf>
    <xf numFmtId="0" fontId="0" fillId="5" borderId="0" xfId="0" applyFill="1" applyAlignment="1">
      <alignment horizontal="center"/>
    </xf>
    <xf numFmtId="0" fontId="0" fillId="6" borderId="0" xfId="0" quotePrefix="1" applyFill="1" applyAlignment="1">
      <alignment horizontal="center"/>
    </xf>
    <xf numFmtId="0" fontId="3" fillId="0" borderId="0" xfId="0" applyFont="1"/>
    <xf numFmtId="0" fontId="1" fillId="0" borderId="41" xfId="0" applyFont="1" applyBorder="1" applyAlignment="1">
      <alignment horizontal="left" vertical="center"/>
    </xf>
    <xf numFmtId="0" fontId="1" fillId="0" borderId="0" xfId="0" applyFont="1"/>
    <xf numFmtId="0" fontId="1" fillId="7" borderId="41" xfId="0" applyFont="1" applyFill="1" applyBorder="1" applyAlignment="1">
      <alignment horizontal="left" vertical="center"/>
    </xf>
    <xf numFmtId="0" fontId="3" fillId="0" borderId="41" xfId="0" applyFont="1" applyBorder="1" applyAlignment="1">
      <alignment horizontal="left" vertical="center"/>
    </xf>
    <xf numFmtId="166" fontId="3" fillId="0" borderId="41" xfId="0" applyNumberFormat="1" applyFont="1" applyBorder="1" applyAlignment="1">
      <alignment horizontal="left" vertical="center"/>
    </xf>
    <xf numFmtId="0" fontId="3" fillId="7" borderId="41" xfId="0" applyFont="1" applyFill="1" applyBorder="1" applyAlignment="1">
      <alignment horizontal="left" vertical="center"/>
    </xf>
    <xf numFmtId="166" fontId="3" fillId="7" borderId="41" xfId="0" applyNumberFormat="1" applyFont="1" applyFill="1" applyBorder="1" applyAlignment="1">
      <alignment horizontal="left" vertical="center"/>
    </xf>
    <xf numFmtId="166" fontId="3" fillId="0" borderId="0" xfId="0" applyNumberFormat="1" applyFont="1" applyAlignment="1">
      <alignment horizontal="left" vertical="center"/>
    </xf>
    <xf numFmtId="2" fontId="3" fillId="0" borderId="0" xfId="0" applyNumberFormat="1" applyFont="1" applyAlignment="1">
      <alignment horizontal="left"/>
    </xf>
    <xf numFmtId="0" fontId="3" fillId="0" borderId="11" xfId="0" applyFont="1" applyBorder="1" applyAlignment="1">
      <alignment horizontal="left" vertical="center"/>
    </xf>
    <xf numFmtId="0" fontId="3" fillId="0" borderId="12" xfId="0" applyFont="1" applyBorder="1" applyAlignment="1">
      <alignment horizontal="left" vertical="center" wrapText="1"/>
    </xf>
    <xf numFmtId="0" fontId="3" fillId="0" borderId="8" xfId="0" applyFont="1" applyBorder="1" applyAlignment="1">
      <alignment horizontal="left" vertical="center"/>
    </xf>
    <xf numFmtId="0" fontId="9" fillId="0" borderId="0" xfId="0" applyFont="1" applyAlignment="1">
      <alignment horizontal="left" vertical="center" wrapText="1"/>
    </xf>
    <xf numFmtId="0" fontId="3" fillId="0" borderId="0" xfId="0" applyFont="1" applyAlignment="1">
      <alignment horizontal="left" vertical="center"/>
    </xf>
    <xf numFmtId="0" fontId="3" fillId="0" borderId="42" xfId="0" applyFont="1" applyFill="1" applyBorder="1"/>
    <xf numFmtId="0" fontId="3" fillId="0" borderId="43" xfId="0" applyFont="1" applyFill="1" applyBorder="1"/>
    <xf numFmtId="167" fontId="3" fillId="0" borderId="43" xfId="0" applyNumberFormat="1" applyFont="1" applyFill="1" applyBorder="1"/>
    <xf numFmtId="0" fontId="3" fillId="0" borderId="44" xfId="0" applyFont="1" applyFill="1" applyBorder="1"/>
    <xf numFmtId="0" fontId="3" fillId="0" borderId="0" xfId="0" applyFont="1" applyFill="1"/>
    <xf numFmtId="0" fontId="3" fillId="0" borderId="45" xfId="0" applyFont="1" applyFill="1" applyBorder="1" applyAlignment="1">
      <alignment horizontal="left" vertical="top" wrapText="1"/>
    </xf>
    <xf numFmtId="0" fontId="3" fillId="0" borderId="46" xfId="0" applyFont="1" applyFill="1" applyBorder="1" applyAlignment="1">
      <alignment horizontal="left" vertical="top" wrapText="1"/>
    </xf>
    <xf numFmtId="167" fontId="3" fillId="0" borderId="46" xfId="0" applyNumberFormat="1" applyFont="1" applyFill="1" applyBorder="1"/>
    <xf numFmtId="167" fontId="3" fillId="0" borderId="46" xfId="0" applyNumberFormat="1" applyFont="1" applyFill="1" applyBorder="1" applyAlignment="1">
      <alignment horizontal="left" vertical="top" wrapText="1"/>
    </xf>
    <xf numFmtId="0" fontId="3" fillId="0" borderId="46" xfId="0" applyFont="1" applyFill="1" applyBorder="1"/>
    <xf numFmtId="0" fontId="3" fillId="0" borderId="47" xfId="0" applyFont="1" applyFill="1" applyBorder="1"/>
    <xf numFmtId="0" fontId="1" fillId="0" borderId="48" xfId="0" applyFont="1" applyFill="1" applyBorder="1" applyAlignment="1">
      <alignment horizontal="left" vertical="center" wrapText="1"/>
    </xf>
    <xf numFmtId="0" fontId="1" fillId="0" borderId="49" xfId="0" applyFont="1" applyFill="1" applyBorder="1" applyAlignment="1">
      <alignment horizontal="left" vertical="center" wrapText="1"/>
    </xf>
    <xf numFmtId="167" fontId="1" fillId="0" borderId="49" xfId="0" applyNumberFormat="1" applyFont="1" applyFill="1" applyBorder="1" applyAlignment="1">
      <alignment horizontal="left" vertical="center" wrapText="1"/>
    </xf>
    <xf numFmtId="0" fontId="1" fillId="0" borderId="49" xfId="0" applyFont="1" applyFill="1" applyBorder="1" applyAlignment="1">
      <alignment horizontal="center" vertical="center" wrapText="1"/>
    </xf>
    <xf numFmtId="0" fontId="1" fillId="0" borderId="50" xfId="0" applyFont="1" applyFill="1" applyBorder="1" applyAlignment="1">
      <alignment horizontal="left" vertical="center" wrapText="1"/>
    </xf>
    <xf numFmtId="166" fontId="6" fillId="0" borderId="48" xfId="1" applyNumberFormat="1" applyFont="1" applyFill="1" applyBorder="1" applyAlignment="1">
      <alignment horizontal="center" vertical="center" wrapText="1"/>
    </xf>
    <xf numFmtId="11" fontId="1" fillId="0" borderId="49" xfId="1" applyNumberFormat="1" applyFont="1" applyFill="1" applyBorder="1" applyAlignment="1">
      <alignment horizontal="center" vertical="center" wrapText="1"/>
    </xf>
    <xf numFmtId="166" fontId="6" fillId="0" borderId="49" xfId="1" applyNumberFormat="1" applyFont="1" applyFill="1" applyBorder="1" applyAlignment="1">
      <alignment horizontal="center" vertical="center"/>
    </xf>
    <xf numFmtId="1" fontId="1" fillId="0" borderId="49" xfId="1" applyNumberFormat="1" applyFont="1" applyFill="1" applyBorder="1" applyAlignment="1">
      <alignment horizontal="center" vertical="center"/>
    </xf>
    <xf numFmtId="11" fontId="1" fillId="0" borderId="49" xfId="2" applyNumberFormat="1" applyFont="1" applyFill="1" applyBorder="1" applyAlignment="1">
      <alignment horizontal="center" vertical="center" wrapText="1"/>
    </xf>
    <xf numFmtId="11" fontId="8" fillId="0" borderId="49" xfId="3" applyNumberFormat="1" applyFont="1" applyFill="1" applyBorder="1" applyAlignment="1">
      <alignment horizontal="center" vertical="center" wrapText="1"/>
    </xf>
    <xf numFmtId="2" fontId="1" fillId="0" borderId="49" xfId="0" applyNumberFormat="1" applyFont="1" applyFill="1" applyBorder="1" applyAlignment="1">
      <alignment horizontal="center" vertical="center" wrapText="1"/>
    </xf>
    <xf numFmtId="2" fontId="1" fillId="0" borderId="50" xfId="0" applyNumberFormat="1" applyFont="1" applyFill="1" applyBorder="1" applyAlignment="1">
      <alignment horizontal="center" vertical="center" wrapText="1"/>
    </xf>
    <xf numFmtId="0" fontId="3" fillId="0" borderId="0" xfId="0" applyFont="1" applyFill="1" applyAlignment="1">
      <alignment vertical="center"/>
    </xf>
    <xf numFmtId="0" fontId="3" fillId="0" borderId="51" xfId="0" applyFont="1" applyFill="1" applyBorder="1" applyAlignment="1">
      <alignment horizontal="left" vertical="center"/>
    </xf>
    <xf numFmtId="0" fontId="3" fillId="0" borderId="52" xfId="0" applyFont="1" applyFill="1" applyBorder="1" applyAlignment="1">
      <alignment horizontal="left" vertical="center"/>
    </xf>
    <xf numFmtId="167" fontId="3" fillId="0" borderId="52" xfId="0" applyNumberFormat="1" applyFont="1" applyFill="1" applyBorder="1" applyAlignment="1">
      <alignment horizontal="left" vertical="center"/>
    </xf>
    <xf numFmtId="1" fontId="3" fillId="0" borderId="52" xfId="0" applyNumberFormat="1" applyFont="1" applyFill="1" applyBorder="1" applyAlignment="1">
      <alignment horizontal="left" vertical="center"/>
    </xf>
    <xf numFmtId="1" fontId="3" fillId="0" borderId="53" xfId="0" applyNumberFormat="1" applyFont="1" applyFill="1" applyBorder="1" applyAlignment="1">
      <alignment horizontal="left" vertical="center"/>
    </xf>
    <xf numFmtId="166" fontId="3" fillId="0" borderId="51" xfId="0" applyNumberFormat="1" applyFont="1" applyFill="1" applyBorder="1" applyAlignment="1">
      <alignment horizontal="left" vertical="center"/>
    </xf>
    <xf numFmtId="11" fontId="3" fillId="0" borderId="52" xfId="0" applyNumberFormat="1" applyFont="1" applyFill="1" applyBorder="1" applyAlignment="1">
      <alignment horizontal="left" vertical="center"/>
    </xf>
    <xf numFmtId="166" fontId="3" fillId="0" borderId="52" xfId="0" applyNumberFormat="1" applyFont="1" applyFill="1" applyBorder="1" applyAlignment="1">
      <alignment horizontal="left" vertical="center"/>
    </xf>
    <xf numFmtId="1" fontId="9" fillId="0" borderId="52" xfId="1" applyNumberFormat="1" applyFont="1" applyFill="1" applyBorder="1" applyAlignment="1">
      <alignment horizontal="left" vertical="center"/>
    </xf>
    <xf numFmtId="11" fontId="9" fillId="0" borderId="52" xfId="1" applyNumberFormat="1" applyFont="1" applyFill="1" applyBorder="1" applyAlignment="1">
      <alignment horizontal="left" vertical="center"/>
    </xf>
    <xf numFmtId="2" fontId="3" fillId="0" borderId="52" xfId="0" applyNumberFormat="1" applyFont="1" applyFill="1" applyBorder="1" applyAlignment="1">
      <alignment horizontal="left" vertical="center"/>
    </xf>
    <xf numFmtId="2" fontId="3" fillId="0" borderId="53" xfId="0" applyNumberFormat="1" applyFont="1" applyFill="1" applyBorder="1" applyAlignment="1">
      <alignment horizontal="left" vertical="center"/>
    </xf>
    <xf numFmtId="0" fontId="3" fillId="0" borderId="0" xfId="0" applyFont="1" applyFill="1" applyAlignment="1">
      <alignment horizontal="left" vertical="center"/>
    </xf>
    <xf numFmtId="0" fontId="3" fillId="0" borderId="45" xfId="0" applyFont="1" applyFill="1" applyBorder="1" applyAlignment="1">
      <alignment horizontal="left" vertical="center"/>
    </xf>
    <xf numFmtId="0" fontId="3" fillId="0" borderId="46" xfId="0" applyFont="1" applyFill="1" applyBorder="1" applyAlignment="1">
      <alignment horizontal="left" vertical="center"/>
    </xf>
    <xf numFmtId="167" fontId="3" fillId="0" borderId="46" xfId="0" applyNumberFormat="1" applyFont="1" applyFill="1" applyBorder="1" applyAlignment="1">
      <alignment horizontal="left" vertical="center"/>
    </xf>
    <xf numFmtId="1" fontId="3" fillId="0" borderId="46" xfId="0" applyNumberFormat="1" applyFont="1" applyFill="1" applyBorder="1" applyAlignment="1">
      <alignment horizontal="left" vertical="center"/>
    </xf>
    <xf numFmtId="1" fontId="3" fillId="0" borderId="47" xfId="0" applyNumberFormat="1" applyFont="1" applyFill="1" applyBorder="1" applyAlignment="1">
      <alignment horizontal="left" vertical="center"/>
    </xf>
    <xf numFmtId="166" fontId="3" fillId="0" borderId="45" xfId="0" applyNumberFormat="1" applyFont="1" applyFill="1" applyBorder="1" applyAlignment="1">
      <alignment horizontal="left" vertical="center"/>
    </xf>
    <xf numFmtId="11" fontId="3" fillId="0" borderId="46" xfId="0" applyNumberFormat="1" applyFont="1" applyFill="1" applyBorder="1" applyAlignment="1">
      <alignment horizontal="left" vertical="center"/>
    </xf>
    <xf numFmtId="166" fontId="3" fillId="0" borderId="46" xfId="0" applyNumberFormat="1" applyFont="1" applyFill="1" applyBorder="1" applyAlignment="1">
      <alignment horizontal="left" vertical="center"/>
    </xf>
    <xf numFmtId="1" fontId="9" fillId="0" borderId="46" xfId="1" applyNumberFormat="1" applyFont="1" applyFill="1" applyBorder="1" applyAlignment="1">
      <alignment horizontal="left" vertical="center"/>
    </xf>
    <xf numFmtId="11" fontId="9" fillId="0" borderId="46" xfId="1" applyNumberFormat="1" applyFont="1" applyFill="1" applyBorder="1" applyAlignment="1">
      <alignment horizontal="left" vertical="center"/>
    </xf>
    <xf numFmtId="2" fontId="3" fillId="0" borderId="46" xfId="0" applyNumberFormat="1" applyFont="1" applyFill="1" applyBorder="1" applyAlignment="1">
      <alignment horizontal="left" vertical="center"/>
    </xf>
    <xf numFmtId="2" fontId="3" fillId="0" borderId="47" xfId="0" applyNumberFormat="1" applyFont="1" applyFill="1" applyBorder="1" applyAlignment="1">
      <alignment horizontal="left" vertical="center"/>
    </xf>
    <xf numFmtId="0" fontId="3" fillId="0" borderId="48" xfId="0" applyFont="1" applyFill="1" applyBorder="1" applyAlignment="1">
      <alignment horizontal="left" vertical="center"/>
    </xf>
    <xf numFmtId="0" fontId="3" fillId="0" borderId="49" xfId="0" applyFont="1" applyFill="1" applyBorder="1" applyAlignment="1">
      <alignment horizontal="left" vertical="center"/>
    </xf>
    <xf numFmtId="167" fontId="3" fillId="0" borderId="49" xfId="0" applyNumberFormat="1" applyFont="1" applyFill="1" applyBorder="1" applyAlignment="1">
      <alignment horizontal="left" vertical="center"/>
    </xf>
    <xf numFmtId="1" fontId="3" fillId="0" borderId="49" xfId="0" applyNumberFormat="1" applyFont="1" applyFill="1" applyBorder="1" applyAlignment="1">
      <alignment horizontal="left" vertical="center"/>
    </xf>
    <xf numFmtId="1" fontId="3" fillId="0" borderId="50" xfId="0" applyNumberFormat="1" applyFont="1" applyFill="1" applyBorder="1" applyAlignment="1">
      <alignment horizontal="left" vertical="center"/>
    </xf>
    <xf numFmtId="166" fontId="3" fillId="0" borderId="48" xfId="0" applyNumberFormat="1" applyFont="1" applyFill="1" applyBorder="1" applyAlignment="1">
      <alignment horizontal="left" vertical="center"/>
    </xf>
    <xf numFmtId="11" fontId="3" fillId="0" borderId="49" xfId="0" applyNumberFormat="1" applyFont="1" applyFill="1" applyBorder="1" applyAlignment="1">
      <alignment horizontal="left" vertical="center"/>
    </xf>
    <xf numFmtId="166" fontId="3" fillId="0" borderId="49" xfId="0" applyNumberFormat="1" applyFont="1" applyFill="1" applyBorder="1" applyAlignment="1">
      <alignment horizontal="left" vertical="center"/>
    </xf>
    <xf numFmtId="1" fontId="9" fillId="0" borderId="49" xfId="1" applyNumberFormat="1" applyFont="1" applyFill="1" applyBorder="1" applyAlignment="1">
      <alignment horizontal="left" vertical="center"/>
    </xf>
    <xf numFmtId="11" fontId="9" fillId="0" borderId="49" xfId="1" applyNumberFormat="1" applyFont="1" applyFill="1" applyBorder="1" applyAlignment="1">
      <alignment horizontal="left" vertical="center"/>
    </xf>
    <xf numFmtId="2" fontId="3" fillId="0" borderId="49" xfId="0" applyNumberFormat="1" applyFont="1" applyFill="1" applyBorder="1" applyAlignment="1">
      <alignment horizontal="left" vertical="center"/>
    </xf>
    <xf numFmtId="2" fontId="3" fillId="0" borderId="50" xfId="0" applyNumberFormat="1" applyFont="1" applyFill="1" applyBorder="1" applyAlignment="1">
      <alignment horizontal="left" vertical="center"/>
    </xf>
    <xf numFmtId="167" fontId="3" fillId="0" borderId="0" xfId="0" applyNumberFormat="1" applyFont="1" applyFill="1"/>
    <xf numFmtId="166" fontId="6" fillId="7" borderId="48" xfId="1" applyNumberFormat="1" applyFont="1" applyFill="1" applyBorder="1" applyAlignment="1">
      <alignment horizontal="center" vertical="center" wrapText="1"/>
    </xf>
    <xf numFmtId="11" fontId="1" fillId="7" borderId="49" xfId="1" applyNumberFormat="1" applyFont="1" applyFill="1" applyBorder="1" applyAlignment="1">
      <alignment horizontal="center" vertical="center" wrapText="1"/>
    </xf>
    <xf numFmtId="166" fontId="6" fillId="7" borderId="49" xfId="1" applyNumberFormat="1" applyFont="1" applyFill="1" applyBorder="1" applyAlignment="1">
      <alignment horizontal="center" vertical="center"/>
    </xf>
    <xf numFmtId="1" fontId="1" fillId="7" borderId="49" xfId="1" applyNumberFormat="1" applyFont="1" applyFill="1" applyBorder="1" applyAlignment="1">
      <alignment horizontal="center" vertical="center"/>
    </xf>
    <xf numFmtId="11" fontId="1" fillId="7" borderId="49" xfId="2" applyNumberFormat="1" applyFont="1" applyFill="1" applyBorder="1" applyAlignment="1">
      <alignment horizontal="center" vertical="center" wrapText="1"/>
    </xf>
    <xf numFmtId="11" fontId="8" fillId="7" borderId="49" xfId="3" applyNumberFormat="1" applyFont="1" applyFill="1" applyBorder="1" applyAlignment="1">
      <alignment horizontal="center" vertical="center" wrapText="1"/>
    </xf>
    <xf numFmtId="2" fontId="1" fillId="7" borderId="49" xfId="0" applyNumberFormat="1" applyFont="1" applyFill="1" applyBorder="1" applyAlignment="1">
      <alignment horizontal="center" vertical="center" wrapText="1"/>
    </xf>
    <xf numFmtId="2" fontId="1" fillId="7" borderId="50" xfId="0" applyNumberFormat="1" applyFont="1" applyFill="1" applyBorder="1" applyAlignment="1">
      <alignment horizontal="center" vertical="center" wrapText="1"/>
    </xf>
    <xf numFmtId="166" fontId="3" fillId="7" borderId="51" xfId="0" applyNumberFormat="1" applyFont="1" applyFill="1" applyBorder="1" applyAlignment="1">
      <alignment horizontal="left" vertical="center"/>
    </xf>
    <xf numFmtId="11" fontId="3" fillId="7" borderId="52" xfId="0" applyNumberFormat="1" applyFont="1" applyFill="1" applyBorder="1" applyAlignment="1">
      <alignment horizontal="left" vertical="center"/>
    </xf>
    <xf numFmtId="166" fontId="3" fillId="7" borderId="52" xfId="0" applyNumberFormat="1" applyFont="1" applyFill="1" applyBorder="1" applyAlignment="1">
      <alignment horizontal="left" vertical="center"/>
    </xf>
    <xf numFmtId="1" fontId="9" fillId="7" borderId="52" xfId="1" applyNumberFormat="1" applyFont="1" applyFill="1" applyBorder="1" applyAlignment="1">
      <alignment horizontal="left" vertical="center"/>
    </xf>
    <xf numFmtId="11" fontId="9" fillId="7" borderId="52" xfId="1" applyNumberFormat="1" applyFont="1" applyFill="1" applyBorder="1" applyAlignment="1">
      <alignment horizontal="left" vertical="center"/>
    </xf>
    <xf numFmtId="2" fontId="3" fillId="7" borderId="52" xfId="0" applyNumberFormat="1" applyFont="1" applyFill="1" applyBorder="1" applyAlignment="1">
      <alignment horizontal="left" vertical="center"/>
    </xf>
    <xf numFmtId="2" fontId="3" fillId="7" borderId="53" xfId="0" applyNumberFormat="1" applyFont="1" applyFill="1" applyBorder="1" applyAlignment="1">
      <alignment horizontal="left" vertical="center"/>
    </xf>
    <xf numFmtId="166" fontId="3" fillId="7" borderId="45" xfId="0" applyNumberFormat="1" applyFont="1" applyFill="1" applyBorder="1" applyAlignment="1">
      <alignment horizontal="left" vertical="center"/>
    </xf>
    <xf numFmtId="11" fontId="3" fillId="7" borderId="46" xfId="0" applyNumberFormat="1" applyFont="1" applyFill="1" applyBorder="1" applyAlignment="1">
      <alignment horizontal="left" vertical="center"/>
    </xf>
    <xf numFmtId="166" fontId="3" fillId="7" borderId="46" xfId="0" applyNumberFormat="1" applyFont="1" applyFill="1" applyBorder="1" applyAlignment="1">
      <alignment horizontal="left" vertical="center"/>
    </xf>
    <xf numFmtId="1" fontId="9" fillId="7" borderId="46" xfId="1" applyNumberFormat="1" applyFont="1" applyFill="1" applyBorder="1" applyAlignment="1">
      <alignment horizontal="left" vertical="center"/>
    </xf>
    <xf numFmtId="11" fontId="9" fillId="7" borderId="46" xfId="1" applyNumberFormat="1" applyFont="1" applyFill="1" applyBorder="1" applyAlignment="1">
      <alignment horizontal="left" vertical="center"/>
    </xf>
    <xf numFmtId="2" fontId="3" fillId="7" borderId="46" xfId="0" applyNumberFormat="1" applyFont="1" applyFill="1" applyBorder="1" applyAlignment="1">
      <alignment horizontal="left" vertical="center"/>
    </xf>
    <xf numFmtId="2" fontId="3" fillId="7" borderId="47" xfId="0" applyNumberFormat="1" applyFont="1" applyFill="1" applyBorder="1" applyAlignment="1">
      <alignment horizontal="left" vertical="center"/>
    </xf>
    <xf numFmtId="166" fontId="3" fillId="7" borderId="48" xfId="0" applyNumberFormat="1" applyFont="1" applyFill="1" applyBorder="1" applyAlignment="1">
      <alignment horizontal="left" vertical="center"/>
    </xf>
    <xf numFmtId="11" fontId="3" fillId="7" borderId="49" xfId="0" applyNumberFormat="1" applyFont="1" applyFill="1" applyBorder="1" applyAlignment="1">
      <alignment horizontal="left" vertical="center"/>
    </xf>
    <xf numFmtId="166" fontId="3" fillId="7" borderId="49" xfId="0" applyNumberFormat="1" applyFont="1" applyFill="1" applyBorder="1" applyAlignment="1">
      <alignment horizontal="left" vertical="center"/>
    </xf>
    <xf numFmtId="1" fontId="9" fillId="7" borderId="49" xfId="1" applyNumberFormat="1" applyFont="1" applyFill="1" applyBorder="1" applyAlignment="1">
      <alignment horizontal="left" vertical="center"/>
    </xf>
    <xf numFmtId="11" fontId="9" fillId="7" borderId="49" xfId="1" applyNumberFormat="1" applyFont="1" applyFill="1" applyBorder="1" applyAlignment="1">
      <alignment horizontal="left" vertical="center"/>
    </xf>
    <xf numFmtId="2" fontId="3" fillId="7" borderId="49" xfId="0" applyNumberFormat="1" applyFont="1" applyFill="1" applyBorder="1" applyAlignment="1">
      <alignment horizontal="left" vertical="center"/>
    </xf>
    <xf numFmtId="2" fontId="3" fillId="7" borderId="50" xfId="0" applyNumberFormat="1" applyFont="1" applyFill="1" applyBorder="1" applyAlignment="1">
      <alignment horizontal="left" vertical="center"/>
    </xf>
    <xf numFmtId="0" fontId="3" fillId="0" borderId="0" xfId="0" applyFont="1" applyFill="1" applyBorder="1" applyAlignment="1">
      <alignment horizontal="left" vertical="center" wrapText="1"/>
    </xf>
    <xf numFmtId="0" fontId="9" fillId="0" borderId="9" xfId="0" applyFont="1" applyBorder="1" applyAlignment="1">
      <alignment horizontal="left" vertical="center" wrapText="1"/>
    </xf>
    <xf numFmtId="0" fontId="9" fillId="0" borderId="10" xfId="0" applyFont="1" applyBorder="1" applyAlignment="1">
      <alignment horizontal="left" vertical="center" wrapText="1"/>
    </xf>
    <xf numFmtId="0" fontId="15" fillId="0" borderId="11" xfId="0" applyFont="1" applyBorder="1" applyAlignment="1">
      <alignment horizontal="left" vertical="center" wrapText="1"/>
    </xf>
    <xf numFmtId="0" fontId="17" fillId="0" borderId="11" xfId="0" applyFont="1" applyBorder="1" applyAlignment="1">
      <alignment horizontal="left" vertical="center" wrapText="1"/>
    </xf>
    <xf numFmtId="0" fontId="9" fillId="0" borderId="13" xfId="0" applyFont="1" applyBorder="1" applyAlignment="1">
      <alignment horizontal="left" vertical="center" wrapText="1"/>
    </xf>
    <xf numFmtId="0" fontId="15" fillId="0" borderId="14" xfId="0" applyFont="1" applyBorder="1" applyAlignment="1">
      <alignment horizontal="left" vertical="center" wrapText="1"/>
    </xf>
    <xf numFmtId="0" fontId="17" fillId="0" borderId="14" xfId="0" applyFont="1" applyBorder="1" applyAlignment="1">
      <alignment horizontal="left" vertical="center" wrapText="1"/>
    </xf>
    <xf numFmtId="0" fontId="9" fillId="0" borderId="7" xfId="0" applyFont="1" applyBorder="1" applyAlignment="1">
      <alignment horizontal="left" vertical="center" wrapText="1"/>
    </xf>
    <xf numFmtId="0" fontId="15" fillId="0" borderId="8" xfId="0" applyFont="1" applyBorder="1" applyAlignment="1">
      <alignment horizontal="left" vertical="center" wrapText="1"/>
    </xf>
    <xf numFmtId="0" fontId="17" fillId="0" borderId="8" xfId="0" applyFont="1" applyBorder="1" applyAlignment="1">
      <alignment horizontal="left" vertical="center" wrapText="1"/>
    </xf>
    <xf numFmtId="0" fontId="8" fillId="0" borderId="4" xfId="0" applyFont="1" applyBorder="1" applyAlignment="1">
      <alignment horizontal="left" vertical="center" wrapText="1"/>
    </xf>
    <xf numFmtId="0" fontId="8" fillId="0" borderId="5" xfId="0" applyFont="1" applyBorder="1" applyAlignment="1">
      <alignment horizontal="left" vertical="center" wrapText="1"/>
    </xf>
    <xf numFmtId="0" fontId="1" fillId="0" borderId="6" xfId="0" applyFont="1" applyBorder="1" applyAlignment="1">
      <alignment horizontal="left" vertical="center"/>
    </xf>
    <xf numFmtId="0" fontId="4" fillId="8" borderId="10" xfId="0" applyFont="1" applyFill="1" applyBorder="1" applyAlignment="1">
      <alignment horizontal="left" vertical="center"/>
    </xf>
    <xf numFmtId="0" fontId="3" fillId="0" borderId="9" xfId="0" applyFont="1" applyBorder="1" applyAlignment="1">
      <alignment horizontal="left" vertical="center" wrapText="1"/>
    </xf>
    <xf numFmtId="0" fontId="3" fillId="0" borderId="15" xfId="0" applyFont="1" applyBorder="1" applyAlignment="1">
      <alignment horizontal="left" vertical="center" wrapText="1"/>
    </xf>
    <xf numFmtId="11" fontId="3" fillId="3" borderId="46" xfId="0" applyNumberFormat="1" applyFont="1" applyFill="1" applyBorder="1" applyAlignment="1">
      <alignment horizontal="left" vertical="center"/>
    </xf>
    <xf numFmtId="2" fontId="3" fillId="3" borderId="46" xfId="0" applyNumberFormat="1" applyFont="1" applyFill="1" applyBorder="1" applyAlignment="1">
      <alignment horizontal="left" vertical="center"/>
    </xf>
    <xf numFmtId="2" fontId="3" fillId="3" borderId="47" xfId="0" applyNumberFormat="1" applyFont="1" applyFill="1" applyBorder="1" applyAlignment="1">
      <alignment horizontal="left" vertical="center"/>
    </xf>
    <xf numFmtId="0" fontId="8" fillId="0" borderId="0" xfId="0" applyFont="1" applyAlignment="1">
      <alignment horizontal="left" vertical="center" wrapText="1"/>
    </xf>
    <xf numFmtId="0" fontId="1" fillId="0" borderId="0" xfId="0" applyFont="1" applyAlignment="1">
      <alignment horizontal="left" vertical="center"/>
    </xf>
    <xf numFmtId="0" fontId="3" fillId="0" borderId="0" xfId="0" applyFont="1" applyAlignment="1">
      <alignment horizontal="left"/>
    </xf>
    <xf numFmtId="167" fontId="3" fillId="0" borderId="0" xfId="0" applyNumberFormat="1" applyFont="1" applyAlignment="1">
      <alignment horizontal="left"/>
    </xf>
    <xf numFmtId="166" fontId="3" fillId="0" borderId="0" xfId="0" applyNumberFormat="1" applyFont="1" applyAlignment="1">
      <alignment horizontal="left"/>
    </xf>
    <xf numFmtId="0" fontId="3" fillId="0" borderId="57" xfId="0" applyFont="1" applyBorder="1" applyAlignment="1">
      <alignment horizontal="left"/>
    </xf>
    <xf numFmtId="0" fontId="3" fillId="0" borderId="58" xfId="0" applyFont="1" applyBorder="1" applyAlignment="1">
      <alignment horizontal="left"/>
    </xf>
    <xf numFmtId="167" fontId="3" fillId="0" borderId="58" xfId="0" applyNumberFormat="1" applyFont="1" applyBorder="1" applyAlignment="1">
      <alignment horizontal="left"/>
    </xf>
    <xf numFmtId="166" fontId="3" fillId="0" borderId="58" xfId="0" applyNumberFormat="1" applyFont="1" applyBorder="1" applyAlignment="1">
      <alignment horizontal="left" vertical="center"/>
    </xf>
    <xf numFmtId="166" fontId="3" fillId="0" borderId="59" xfId="0" applyNumberFormat="1" applyFont="1" applyBorder="1" applyAlignment="1">
      <alignment horizontal="left" vertical="center"/>
    </xf>
    <xf numFmtId="0" fontId="3" fillId="2" borderId="57" xfId="0" applyFont="1" applyFill="1" applyBorder="1" applyAlignment="1">
      <alignment horizontal="left"/>
    </xf>
    <xf numFmtId="0" fontId="3" fillId="2" borderId="58" xfId="0" applyFont="1" applyFill="1" applyBorder="1" applyAlignment="1">
      <alignment horizontal="left"/>
    </xf>
    <xf numFmtId="167" fontId="3" fillId="2" borderId="58" xfId="0" applyNumberFormat="1" applyFont="1" applyFill="1" applyBorder="1" applyAlignment="1">
      <alignment horizontal="left"/>
    </xf>
    <xf numFmtId="166" fontId="3" fillId="2" borderId="58" xfId="0" applyNumberFormat="1" applyFont="1" applyFill="1" applyBorder="1" applyAlignment="1">
      <alignment horizontal="left" vertical="center"/>
    </xf>
    <xf numFmtId="166" fontId="3" fillId="2" borderId="59" xfId="0" applyNumberFormat="1" applyFont="1" applyFill="1" applyBorder="1" applyAlignment="1">
      <alignment horizontal="left" vertical="center"/>
    </xf>
    <xf numFmtId="166" fontId="3" fillId="9" borderId="58" xfId="0" applyNumberFormat="1" applyFont="1" applyFill="1" applyBorder="1" applyAlignment="1">
      <alignment horizontal="left" vertical="center"/>
    </xf>
    <xf numFmtId="0" fontId="3" fillId="2" borderId="60" xfId="0" applyFont="1" applyFill="1" applyBorder="1" applyAlignment="1">
      <alignment horizontal="left"/>
    </xf>
    <xf numFmtId="0" fontId="3" fillId="2" borderId="61" xfId="0" applyFont="1" applyFill="1" applyBorder="1" applyAlignment="1">
      <alignment horizontal="left"/>
    </xf>
    <xf numFmtId="167" fontId="3" fillId="2" borderId="61" xfId="0" applyNumberFormat="1" applyFont="1" applyFill="1" applyBorder="1" applyAlignment="1">
      <alignment horizontal="left"/>
    </xf>
    <xf numFmtId="166" fontId="3" fillId="2" borderId="61" xfId="0" applyNumberFormat="1" applyFont="1" applyFill="1" applyBorder="1" applyAlignment="1">
      <alignment horizontal="left" vertical="center"/>
    </xf>
    <xf numFmtId="166" fontId="3" fillId="2" borderId="62" xfId="0" applyNumberFormat="1" applyFont="1" applyFill="1" applyBorder="1" applyAlignment="1">
      <alignment horizontal="left" vertical="center"/>
    </xf>
    <xf numFmtId="0" fontId="3" fillId="0" borderId="63" xfId="0" applyFont="1" applyBorder="1" applyAlignment="1">
      <alignment horizontal="left"/>
    </xf>
    <xf numFmtId="0" fontId="3" fillId="0" borderId="64" xfId="0" applyFont="1" applyBorder="1" applyAlignment="1">
      <alignment horizontal="left"/>
    </xf>
    <xf numFmtId="167" fontId="3" fillId="0" borderId="64" xfId="0" applyNumberFormat="1" applyFont="1" applyBorder="1" applyAlignment="1">
      <alignment horizontal="left"/>
    </xf>
    <xf numFmtId="166" fontId="3" fillId="0" borderId="64" xfId="0" applyNumberFormat="1" applyFont="1" applyBorder="1" applyAlignment="1">
      <alignment horizontal="left" vertical="center"/>
    </xf>
    <xf numFmtId="166" fontId="3" fillId="0" borderId="65" xfId="0" applyNumberFormat="1" applyFont="1" applyBorder="1" applyAlignment="1">
      <alignment horizontal="left" vertical="center"/>
    </xf>
    <xf numFmtId="0" fontId="1" fillId="0" borderId="66" xfId="0" applyFont="1" applyBorder="1" applyAlignment="1">
      <alignment horizontal="left" vertical="center" wrapText="1"/>
    </xf>
    <xf numFmtId="0" fontId="1" fillId="0" borderId="67" xfId="0" applyFont="1" applyBorder="1" applyAlignment="1">
      <alignment horizontal="left" vertical="center" wrapText="1"/>
    </xf>
    <xf numFmtId="167" fontId="1" fillId="0" borderId="67" xfId="0" applyNumberFormat="1" applyFont="1" applyBorder="1" applyAlignment="1">
      <alignment horizontal="left" vertical="center" wrapText="1"/>
    </xf>
    <xf numFmtId="166" fontId="1" fillId="0" borderId="67" xfId="0" applyNumberFormat="1" applyFont="1" applyBorder="1" applyAlignment="1">
      <alignment horizontal="left" vertical="center"/>
    </xf>
    <xf numFmtId="166" fontId="1" fillId="0" borderId="67" xfId="0" applyNumberFormat="1" applyFont="1" applyBorder="1" applyAlignment="1">
      <alignment horizontal="left" vertical="center" wrapText="1"/>
    </xf>
    <xf numFmtId="166" fontId="1" fillId="0" borderId="68" xfId="0" applyNumberFormat="1" applyFont="1" applyBorder="1" applyAlignment="1">
      <alignment horizontal="left" vertical="center" wrapText="1"/>
    </xf>
    <xf numFmtId="0" fontId="3" fillId="0" borderId="69" xfId="0" applyFont="1" applyBorder="1" applyAlignment="1">
      <alignment horizontal="left"/>
    </xf>
    <xf numFmtId="0" fontId="3" fillId="0" borderId="70" xfId="0" applyFont="1" applyBorder="1" applyAlignment="1">
      <alignment horizontal="left"/>
    </xf>
    <xf numFmtId="167" fontId="3" fillId="0" borderId="70" xfId="0" applyNumberFormat="1" applyFont="1" applyBorder="1" applyAlignment="1">
      <alignment horizontal="left"/>
    </xf>
    <xf numFmtId="166" fontId="3" fillId="0" borderId="70" xfId="0" applyNumberFormat="1" applyFont="1" applyBorder="1" applyAlignment="1">
      <alignment horizontal="left" vertical="center"/>
    </xf>
    <xf numFmtId="166" fontId="3" fillId="0" borderId="71" xfId="0" applyNumberFormat="1" applyFont="1" applyBorder="1" applyAlignment="1">
      <alignment horizontal="left" vertical="center"/>
    </xf>
    <xf numFmtId="0" fontId="3" fillId="2" borderId="72" xfId="0" applyFont="1" applyFill="1" applyBorder="1" applyAlignment="1">
      <alignment horizontal="left"/>
    </xf>
    <xf numFmtId="0" fontId="3" fillId="2" borderId="73" xfId="0" applyFont="1" applyFill="1" applyBorder="1" applyAlignment="1">
      <alignment horizontal="left"/>
    </xf>
    <xf numFmtId="167" fontId="3" fillId="2" borderId="73" xfId="0" applyNumberFormat="1" applyFont="1" applyFill="1" applyBorder="1" applyAlignment="1">
      <alignment horizontal="left"/>
    </xf>
    <xf numFmtId="166" fontId="3" fillId="2" borderId="73" xfId="0" applyNumberFormat="1" applyFont="1" applyFill="1" applyBorder="1" applyAlignment="1">
      <alignment horizontal="left" vertical="center"/>
    </xf>
    <xf numFmtId="166" fontId="3" fillId="2" borderId="74" xfId="0" applyNumberFormat="1" applyFont="1" applyFill="1" applyBorder="1" applyAlignment="1">
      <alignment horizontal="left" vertical="center"/>
    </xf>
    <xf numFmtId="0" fontId="3" fillId="2" borderId="75" xfId="0" applyFont="1" applyFill="1" applyBorder="1" applyAlignment="1">
      <alignment horizontal="left"/>
    </xf>
    <xf numFmtId="0" fontId="3" fillId="2" borderId="76" xfId="0" applyFont="1" applyFill="1" applyBorder="1" applyAlignment="1">
      <alignment horizontal="left"/>
    </xf>
    <xf numFmtId="167" fontId="3" fillId="2" borderId="76" xfId="0" applyNumberFormat="1" applyFont="1" applyFill="1" applyBorder="1" applyAlignment="1">
      <alignment horizontal="left"/>
    </xf>
    <xf numFmtId="166" fontId="3" fillId="2" borderId="76" xfId="0" applyNumberFormat="1" applyFont="1" applyFill="1" applyBorder="1" applyAlignment="1">
      <alignment horizontal="left" vertical="center"/>
    </xf>
    <xf numFmtId="166" fontId="3" fillId="2" borderId="77" xfId="0" applyNumberFormat="1" applyFont="1" applyFill="1" applyBorder="1" applyAlignment="1">
      <alignment horizontal="left" vertical="center"/>
    </xf>
    <xf numFmtId="0" fontId="3" fillId="0" borderId="45" xfId="0" applyFont="1" applyBorder="1" applyAlignment="1">
      <alignment horizontal="left"/>
    </xf>
    <xf numFmtId="167" fontId="3" fillId="0" borderId="46" xfId="0" applyNumberFormat="1" applyFont="1" applyBorder="1" applyAlignment="1">
      <alignment horizontal="left"/>
    </xf>
    <xf numFmtId="0" fontId="3" fillId="0" borderId="46" xfId="0" applyFont="1" applyBorder="1" applyAlignment="1">
      <alignment horizontal="left"/>
    </xf>
    <xf numFmtId="166" fontId="3" fillId="0" borderId="46" xfId="0" applyNumberFormat="1" applyFont="1" applyBorder="1" applyAlignment="1">
      <alignment horizontal="left"/>
    </xf>
    <xf numFmtId="166" fontId="3" fillId="0" borderId="47" xfId="0" applyNumberFormat="1" applyFont="1" applyBorder="1" applyAlignment="1">
      <alignment horizontal="left"/>
    </xf>
    <xf numFmtId="0" fontId="3" fillId="0" borderId="51" xfId="0" applyFont="1" applyBorder="1" applyAlignment="1">
      <alignment horizontal="left"/>
    </xf>
    <xf numFmtId="167" fontId="3" fillId="0" borderId="52" xfId="0" applyNumberFormat="1" applyFont="1" applyBorder="1" applyAlignment="1">
      <alignment horizontal="left"/>
    </xf>
    <xf numFmtId="0" fontId="3" fillId="0" borderId="52" xfId="0" applyFont="1" applyBorder="1" applyAlignment="1">
      <alignment horizontal="left"/>
    </xf>
    <xf numFmtId="166" fontId="3" fillId="0" borderId="52" xfId="0" applyNumberFormat="1" applyFont="1" applyBorder="1" applyAlignment="1">
      <alignment horizontal="left"/>
    </xf>
    <xf numFmtId="166" fontId="3" fillId="0" borderId="53" xfId="0" applyNumberFormat="1" applyFont="1" applyBorder="1" applyAlignment="1">
      <alignment horizontal="left"/>
    </xf>
    <xf numFmtId="0" fontId="1" fillId="0" borderId="78" xfId="0" applyFont="1" applyBorder="1" applyAlignment="1">
      <alignment horizontal="left" vertical="center"/>
    </xf>
    <xf numFmtId="0" fontId="1" fillId="0" borderId="79" xfId="0" applyFont="1" applyBorder="1" applyAlignment="1">
      <alignment horizontal="left" vertical="center"/>
    </xf>
    <xf numFmtId="0" fontId="1" fillId="0" borderId="79" xfId="0" applyFont="1" applyBorder="1" applyAlignment="1">
      <alignment horizontal="center" vertical="top" wrapText="1"/>
    </xf>
    <xf numFmtId="166" fontId="1" fillId="0" borderId="79" xfId="0" applyNumberFormat="1" applyFont="1" applyBorder="1" applyAlignment="1">
      <alignment horizontal="left" vertical="center"/>
    </xf>
    <xf numFmtId="166" fontId="1" fillId="0" borderId="79" xfId="0" applyNumberFormat="1" applyFont="1" applyBorder="1" applyAlignment="1">
      <alignment horizontal="left" vertical="center" wrapText="1"/>
    </xf>
    <xf numFmtId="166" fontId="1" fillId="0" borderId="80" xfId="0" applyNumberFormat="1" applyFont="1" applyBorder="1" applyAlignment="1">
      <alignment horizontal="left" vertical="center" wrapText="1"/>
    </xf>
    <xf numFmtId="0" fontId="3" fillId="7" borderId="45" xfId="0" applyFont="1" applyFill="1" applyBorder="1" applyAlignment="1">
      <alignment horizontal="left"/>
    </xf>
    <xf numFmtId="167" fontId="3" fillId="7" borderId="46" xfId="0" applyNumberFormat="1" applyFont="1" applyFill="1" applyBorder="1" applyAlignment="1">
      <alignment horizontal="left"/>
    </xf>
    <xf numFmtId="0" fontId="3" fillId="7" borderId="46" xfId="0" applyFont="1" applyFill="1" applyBorder="1" applyAlignment="1">
      <alignment horizontal="left"/>
    </xf>
    <xf numFmtId="166" fontId="3" fillId="7" borderId="46" xfId="0" applyNumberFormat="1" applyFont="1" applyFill="1" applyBorder="1" applyAlignment="1">
      <alignment horizontal="left"/>
    </xf>
    <xf numFmtId="166" fontId="3" fillId="7" borderId="47" xfId="0" applyNumberFormat="1" applyFont="1" applyFill="1" applyBorder="1" applyAlignment="1">
      <alignment horizontal="left"/>
    </xf>
    <xf numFmtId="0" fontId="3" fillId="0" borderId="81" xfId="0" applyFont="1" applyBorder="1" applyAlignment="1">
      <alignment horizontal="left"/>
    </xf>
    <xf numFmtId="167" fontId="3" fillId="0" borderId="82" xfId="0" applyNumberFormat="1" applyFont="1" applyBorder="1" applyAlignment="1">
      <alignment horizontal="left"/>
    </xf>
    <xf numFmtId="0" fontId="3" fillId="0" borderId="82" xfId="0" applyFont="1" applyBorder="1" applyAlignment="1">
      <alignment horizontal="left"/>
    </xf>
    <xf numFmtId="166" fontId="3" fillId="0" borderId="82" xfId="0" applyNumberFormat="1" applyFont="1" applyBorder="1" applyAlignment="1">
      <alignment horizontal="left"/>
    </xf>
    <xf numFmtId="166" fontId="3" fillId="0" borderId="83" xfId="0" applyNumberFormat="1" applyFont="1" applyBorder="1" applyAlignment="1">
      <alignment horizontal="left"/>
    </xf>
    <xf numFmtId="0" fontId="3" fillId="7" borderId="84" xfId="0" applyFont="1" applyFill="1" applyBorder="1" applyAlignment="1">
      <alignment horizontal="left"/>
    </xf>
    <xf numFmtId="167" fontId="3" fillId="7" borderId="85" xfId="0" applyNumberFormat="1" applyFont="1" applyFill="1" applyBorder="1" applyAlignment="1">
      <alignment horizontal="left"/>
    </xf>
    <xf numFmtId="0" fontId="3" fillId="7" borderId="85" xfId="0" applyFont="1" applyFill="1" applyBorder="1" applyAlignment="1">
      <alignment horizontal="left"/>
    </xf>
    <xf numFmtId="166" fontId="3" fillId="7" borderId="85" xfId="0" applyNumberFormat="1" applyFont="1" applyFill="1" applyBorder="1" applyAlignment="1">
      <alignment horizontal="left"/>
    </xf>
    <xf numFmtId="166" fontId="3" fillId="7" borderId="86" xfId="0" applyNumberFormat="1" applyFont="1" applyFill="1" applyBorder="1" applyAlignment="1">
      <alignment horizontal="left"/>
    </xf>
    <xf numFmtId="0" fontId="3" fillId="7" borderId="87" xfId="0" applyFont="1" applyFill="1" applyBorder="1" applyAlignment="1">
      <alignment horizontal="left"/>
    </xf>
    <xf numFmtId="167" fontId="3" fillId="7" borderId="88" xfId="0" applyNumberFormat="1" applyFont="1" applyFill="1" applyBorder="1" applyAlignment="1">
      <alignment horizontal="left"/>
    </xf>
    <xf numFmtId="0" fontId="3" fillId="7" borderId="88" xfId="0" applyFont="1" applyFill="1" applyBorder="1" applyAlignment="1">
      <alignment horizontal="left"/>
    </xf>
    <xf numFmtId="166" fontId="3" fillId="7" borderId="88" xfId="0" applyNumberFormat="1" applyFont="1" applyFill="1" applyBorder="1" applyAlignment="1">
      <alignment horizontal="left"/>
    </xf>
    <xf numFmtId="166" fontId="3" fillId="7" borderId="89" xfId="0" applyNumberFormat="1" applyFont="1" applyFill="1" applyBorder="1" applyAlignment="1">
      <alignment horizontal="left"/>
    </xf>
    <xf numFmtId="0" fontId="3" fillId="7" borderId="48" xfId="0" applyFont="1" applyFill="1" applyBorder="1" applyAlignment="1">
      <alignment horizontal="left"/>
    </xf>
    <xf numFmtId="167" fontId="3" fillId="7" borderId="49" xfId="0" applyNumberFormat="1" applyFont="1" applyFill="1" applyBorder="1" applyAlignment="1">
      <alignment horizontal="left"/>
    </xf>
    <xf numFmtId="0" fontId="3" fillId="7" borderId="49" xfId="0" applyFont="1" applyFill="1" applyBorder="1" applyAlignment="1">
      <alignment horizontal="left"/>
    </xf>
    <xf numFmtId="166" fontId="3" fillId="7" borderId="49" xfId="0" applyNumberFormat="1" applyFont="1" applyFill="1" applyBorder="1" applyAlignment="1">
      <alignment horizontal="left"/>
    </xf>
    <xf numFmtId="166" fontId="3" fillId="7" borderId="50" xfId="0" applyNumberFormat="1" applyFont="1" applyFill="1" applyBorder="1" applyAlignment="1">
      <alignment horizontal="left"/>
    </xf>
    <xf numFmtId="166" fontId="3" fillId="9" borderId="76" xfId="0" applyNumberFormat="1" applyFont="1" applyFill="1" applyBorder="1" applyAlignment="1">
      <alignment horizontal="left" vertical="center"/>
    </xf>
    <xf numFmtId="0" fontId="9" fillId="0" borderId="0" xfId="0" applyFont="1" applyAlignment="1">
      <alignment horizontal="left" vertical="center" wrapText="1"/>
    </xf>
    <xf numFmtId="0" fontId="3" fillId="0" borderId="0" xfId="0" applyFont="1" applyAlignment="1">
      <alignment horizontal="left" vertical="center"/>
    </xf>
    <xf numFmtId="167" fontId="3" fillId="0" borderId="0" xfId="0" applyNumberFormat="1" applyFont="1"/>
    <xf numFmtId="0" fontId="3" fillId="0" borderId="0" xfId="0" applyFont="1" applyAlignment="1">
      <alignment vertical="center"/>
    </xf>
    <xf numFmtId="166" fontId="3" fillId="0" borderId="0" xfId="0" applyNumberFormat="1" applyFont="1"/>
    <xf numFmtId="11" fontId="3" fillId="0" borderId="0" xfId="0" applyNumberFormat="1" applyFont="1"/>
    <xf numFmtId="0" fontId="3" fillId="0" borderId="90" xfId="0" applyFont="1" applyBorder="1" applyAlignment="1">
      <alignment horizontal="left" vertical="top"/>
    </xf>
    <xf numFmtId="0" fontId="3" fillId="0" borderId="91" xfId="0" applyFont="1" applyBorder="1"/>
    <xf numFmtId="0" fontId="3" fillId="0" borderId="57" xfId="0" applyFont="1" applyBorder="1" applyAlignment="1">
      <alignment horizontal="left" vertical="center"/>
    </xf>
    <xf numFmtId="0" fontId="3" fillId="0" borderId="58" xfId="0" applyFont="1" applyBorder="1" applyAlignment="1">
      <alignment horizontal="left" vertical="center"/>
    </xf>
    <xf numFmtId="0" fontId="3" fillId="0" borderId="63" xfId="0" applyFont="1" applyBorder="1" applyAlignment="1">
      <alignment horizontal="left" vertical="center"/>
    </xf>
    <xf numFmtId="0" fontId="3" fillId="0" borderId="64" xfId="0" applyFont="1" applyBorder="1" applyAlignment="1">
      <alignment horizontal="left" vertical="center"/>
    </xf>
    <xf numFmtId="0" fontId="1" fillId="0" borderId="75" xfId="0" applyFont="1" applyBorder="1" applyAlignment="1">
      <alignment horizontal="center" vertical="center"/>
    </xf>
    <xf numFmtId="0" fontId="1" fillId="0" borderId="76" xfId="0" applyFont="1" applyBorder="1" applyAlignment="1">
      <alignment horizontal="center" vertical="center" wrapText="1"/>
    </xf>
    <xf numFmtId="0" fontId="1" fillId="0" borderId="76" xfId="0" applyFont="1" applyBorder="1" applyAlignment="1">
      <alignment horizontal="center" vertical="center"/>
    </xf>
    <xf numFmtId="166" fontId="1" fillId="0" borderId="76" xfId="0" applyNumberFormat="1" applyFont="1" applyFill="1" applyBorder="1" applyAlignment="1">
      <alignment horizontal="center" vertical="center" wrapText="1"/>
    </xf>
    <xf numFmtId="166" fontId="1" fillId="0" borderId="77" xfId="0" applyNumberFormat="1" applyFont="1" applyFill="1" applyBorder="1" applyAlignment="1">
      <alignment horizontal="center" vertical="center" wrapText="1"/>
    </xf>
    <xf numFmtId="0" fontId="3" fillId="0" borderId="69" xfId="0" applyFont="1" applyBorder="1" applyAlignment="1">
      <alignment horizontal="left" vertical="center"/>
    </xf>
    <xf numFmtId="0" fontId="3" fillId="0" borderId="70" xfId="0" applyFont="1" applyBorder="1" applyAlignment="1">
      <alignment horizontal="left" vertical="center"/>
    </xf>
    <xf numFmtId="0" fontId="17" fillId="0" borderId="72" xfId="0" applyFont="1" applyBorder="1" applyAlignment="1">
      <alignment horizontal="left" vertical="center"/>
    </xf>
    <xf numFmtId="0" fontId="17" fillId="0" borderId="73" xfId="0" applyFont="1" applyBorder="1" applyAlignment="1">
      <alignment horizontal="left" vertical="center"/>
    </xf>
    <xf numFmtId="166" fontId="17" fillId="0" borderId="73" xfId="0" applyNumberFormat="1" applyFont="1" applyBorder="1" applyAlignment="1">
      <alignment horizontal="left" vertical="center"/>
    </xf>
    <xf numFmtId="166" fontId="17" fillId="0" borderId="74" xfId="0" applyNumberFormat="1" applyFont="1" applyBorder="1" applyAlignment="1">
      <alignment horizontal="left" vertical="center"/>
    </xf>
    <xf numFmtId="0" fontId="17" fillId="0" borderId="57" xfId="0" applyFont="1" applyBorder="1" applyAlignment="1">
      <alignment horizontal="left" vertical="center"/>
    </xf>
    <xf numFmtId="0" fontId="17" fillId="0" borderId="58" xfId="0" applyFont="1" applyBorder="1" applyAlignment="1">
      <alignment horizontal="left" vertical="center"/>
    </xf>
    <xf numFmtId="0" fontId="17" fillId="0" borderId="75" xfId="0" applyFont="1" applyBorder="1" applyAlignment="1">
      <alignment horizontal="left" vertical="center"/>
    </xf>
    <xf numFmtId="0" fontId="17" fillId="0" borderId="76" xfId="0" applyFont="1" applyBorder="1" applyAlignment="1">
      <alignment horizontal="left" vertical="center"/>
    </xf>
    <xf numFmtId="0" fontId="17" fillId="0" borderId="60" xfId="0" applyFont="1" applyBorder="1" applyAlignment="1">
      <alignment horizontal="left" vertical="center"/>
    </xf>
    <xf numFmtId="0" fontId="17" fillId="0" borderId="61" xfId="0" applyFont="1" applyBorder="1" applyAlignment="1">
      <alignment horizontal="left" vertical="center"/>
    </xf>
    <xf numFmtId="166" fontId="1" fillId="4" borderId="76" xfId="0" applyNumberFormat="1" applyFont="1" applyFill="1" applyBorder="1" applyAlignment="1">
      <alignment horizontal="center" vertical="center" wrapText="1"/>
    </xf>
    <xf numFmtId="166" fontId="3" fillId="4" borderId="64" xfId="0" applyNumberFormat="1" applyFont="1" applyFill="1" applyBorder="1" applyAlignment="1">
      <alignment horizontal="left" vertical="center"/>
    </xf>
    <xf numFmtId="166" fontId="17" fillId="4" borderId="73" xfId="0" applyNumberFormat="1" applyFont="1" applyFill="1" applyBorder="1" applyAlignment="1">
      <alignment horizontal="left" vertical="center"/>
    </xf>
    <xf numFmtId="167" fontId="3" fillId="0" borderId="93" xfId="0" applyNumberFormat="1" applyFont="1" applyBorder="1"/>
    <xf numFmtId="167" fontId="1" fillId="0" borderId="94" xfId="0" applyNumberFormat="1" applyFont="1" applyBorder="1" applyAlignment="1">
      <alignment horizontal="center" vertical="center"/>
    </xf>
    <xf numFmtId="167" fontId="3" fillId="0" borderId="95" xfId="0" applyNumberFormat="1" applyFont="1" applyBorder="1" applyAlignment="1">
      <alignment horizontal="left" vertical="center"/>
    </xf>
    <xf numFmtId="167" fontId="3" fillId="0" borderId="96" xfId="0" applyNumberFormat="1" applyFont="1" applyBorder="1" applyAlignment="1">
      <alignment horizontal="left" vertical="center"/>
    </xf>
    <xf numFmtId="167" fontId="3" fillId="0" borderId="97" xfId="0" applyNumberFormat="1" applyFont="1" applyBorder="1" applyAlignment="1">
      <alignment horizontal="left" vertical="center"/>
    </xf>
    <xf numFmtId="167" fontId="17" fillId="0" borderId="98" xfId="0" applyNumberFormat="1" applyFont="1" applyBorder="1" applyAlignment="1">
      <alignment horizontal="left" vertical="center"/>
    </xf>
    <xf numFmtId="167" fontId="17" fillId="0" borderId="96" xfId="0" applyNumberFormat="1" applyFont="1" applyBorder="1" applyAlignment="1">
      <alignment horizontal="left" vertical="center"/>
    </xf>
    <xf numFmtId="167" fontId="17" fillId="0" borderId="94" xfId="0" applyNumberFormat="1" applyFont="1" applyBorder="1" applyAlignment="1">
      <alignment horizontal="left" vertical="center"/>
    </xf>
    <xf numFmtId="167" fontId="17" fillId="0" borderId="99" xfId="0" applyNumberFormat="1" applyFont="1" applyBorder="1" applyAlignment="1">
      <alignment horizontal="left" vertical="center"/>
    </xf>
    <xf numFmtId="11" fontId="8" fillId="4" borderId="101" xfId="3" applyNumberFormat="1" applyFont="1" applyFill="1" applyBorder="1" applyAlignment="1">
      <alignment horizontal="center" vertical="center" wrapText="1"/>
    </xf>
    <xf numFmtId="11" fontId="3" fillId="4" borderId="102" xfId="0" applyNumberFormat="1" applyFont="1" applyFill="1" applyBorder="1" applyAlignment="1">
      <alignment horizontal="left" vertical="center"/>
    </xf>
    <xf numFmtId="11" fontId="17" fillId="4" borderId="103" xfId="0" applyNumberFormat="1" applyFont="1" applyFill="1" applyBorder="1" applyAlignment="1">
      <alignment horizontal="left" vertical="center"/>
    </xf>
    <xf numFmtId="11" fontId="8" fillId="0" borderId="106" xfId="3" applyNumberFormat="1" applyFont="1" applyFill="1" applyBorder="1" applyAlignment="1">
      <alignment horizontal="center" vertical="center" wrapText="1"/>
    </xf>
    <xf numFmtId="166" fontId="1" fillId="0" borderId="107" xfId="0" applyNumberFormat="1" applyFont="1" applyFill="1" applyBorder="1" applyAlignment="1">
      <alignment horizontal="center" vertical="center" wrapText="1"/>
    </xf>
    <xf numFmtId="11" fontId="3" fillId="0" borderId="108" xfId="0" applyNumberFormat="1" applyFont="1" applyBorder="1" applyAlignment="1">
      <alignment horizontal="left" vertical="center"/>
    </xf>
    <xf numFmtId="166" fontId="3" fillId="0" borderId="109" xfId="0" applyNumberFormat="1" applyFont="1" applyBorder="1" applyAlignment="1">
      <alignment horizontal="left" vertical="center"/>
    </xf>
    <xf numFmtId="11" fontId="17" fillId="0" borderId="110" xfId="0" applyNumberFormat="1" applyFont="1" applyBorder="1" applyAlignment="1">
      <alignment horizontal="left" vertical="center"/>
    </xf>
    <xf numFmtId="166" fontId="17" fillId="0" borderId="111" xfId="0" applyNumberFormat="1" applyFont="1" applyBorder="1" applyAlignment="1">
      <alignment horizontal="left" vertical="center"/>
    </xf>
    <xf numFmtId="166" fontId="1" fillId="4" borderId="94" xfId="0" applyNumberFormat="1" applyFont="1" applyFill="1" applyBorder="1" applyAlignment="1">
      <alignment horizontal="center" vertical="center" wrapText="1"/>
    </xf>
    <xf numFmtId="166" fontId="3" fillId="4" borderId="95" xfId="0" applyNumberFormat="1" applyFont="1" applyFill="1" applyBorder="1" applyAlignment="1">
      <alignment horizontal="left" vertical="center"/>
    </xf>
    <xf numFmtId="166" fontId="17" fillId="4" borderId="98" xfId="0" applyNumberFormat="1" applyFont="1" applyFill="1" applyBorder="1" applyAlignment="1">
      <alignment horizontal="left" vertical="center"/>
    </xf>
    <xf numFmtId="11" fontId="8" fillId="0" borderId="101" xfId="3" applyNumberFormat="1" applyFont="1" applyFill="1" applyBorder="1" applyAlignment="1">
      <alignment horizontal="center" vertical="center" wrapText="1"/>
    </xf>
    <xf numFmtId="11" fontId="3" fillId="0" borderId="102" xfId="0" applyNumberFormat="1" applyFont="1" applyBorder="1" applyAlignment="1">
      <alignment horizontal="left" vertical="center"/>
    </xf>
    <xf numFmtId="11" fontId="17" fillId="0" borderId="103" xfId="0" applyNumberFormat="1" applyFont="1" applyBorder="1" applyAlignment="1">
      <alignment horizontal="left" vertical="center"/>
    </xf>
    <xf numFmtId="11" fontId="8" fillId="4" borderId="106" xfId="3" applyNumberFormat="1" applyFont="1" applyFill="1" applyBorder="1" applyAlignment="1">
      <alignment horizontal="center" vertical="center" wrapText="1"/>
    </xf>
    <xf numFmtId="166" fontId="1" fillId="4" borderId="107" xfId="0" applyNumberFormat="1" applyFont="1" applyFill="1" applyBorder="1" applyAlignment="1">
      <alignment horizontal="center" vertical="center" wrapText="1"/>
    </xf>
    <xf numFmtId="11" fontId="3" fillId="4" borderId="108" xfId="0" applyNumberFormat="1" applyFont="1" applyFill="1" applyBorder="1" applyAlignment="1">
      <alignment horizontal="left" vertical="center"/>
    </xf>
    <xf numFmtId="166" fontId="3" fillId="4" borderId="109" xfId="0" applyNumberFormat="1" applyFont="1" applyFill="1" applyBorder="1" applyAlignment="1">
      <alignment horizontal="left" vertical="center"/>
    </xf>
    <xf numFmtId="11" fontId="17" fillId="4" borderId="110" xfId="0" applyNumberFormat="1" applyFont="1" applyFill="1" applyBorder="1" applyAlignment="1">
      <alignment horizontal="left" vertical="center"/>
    </xf>
    <xf numFmtId="166" fontId="17" fillId="4" borderId="111" xfId="0" applyNumberFormat="1" applyFont="1" applyFill="1" applyBorder="1" applyAlignment="1">
      <alignment horizontal="left" vertical="center"/>
    </xf>
    <xf numFmtId="11" fontId="3" fillId="0" borderId="118" xfId="0" applyNumberFormat="1" applyFont="1" applyBorder="1" applyAlignment="1">
      <alignment horizontal="left" vertical="center"/>
    </xf>
    <xf numFmtId="166" fontId="3" fillId="0" borderId="119" xfId="0" applyNumberFormat="1" applyFont="1" applyBorder="1" applyAlignment="1">
      <alignment horizontal="left" vertical="center"/>
    </xf>
    <xf numFmtId="166" fontId="3" fillId="0" borderId="120" xfId="0" applyNumberFormat="1" applyFont="1" applyBorder="1" applyAlignment="1">
      <alignment horizontal="left" vertical="center"/>
    </xf>
    <xf numFmtId="11" fontId="3" fillId="4" borderId="121" xfId="0" applyNumberFormat="1" applyFont="1" applyFill="1" applyBorder="1" applyAlignment="1">
      <alignment horizontal="left" vertical="center"/>
    </xf>
    <xf numFmtId="166" fontId="3" fillId="4" borderId="119" xfId="0" applyNumberFormat="1" applyFont="1" applyFill="1" applyBorder="1" applyAlignment="1">
      <alignment horizontal="left" vertical="center"/>
    </xf>
    <xf numFmtId="166" fontId="3" fillId="4" borderId="122" xfId="0" applyNumberFormat="1" applyFont="1" applyFill="1" applyBorder="1" applyAlignment="1">
      <alignment horizontal="left" vertical="center"/>
    </xf>
    <xf numFmtId="11" fontId="3" fillId="4" borderId="118" xfId="0" applyNumberFormat="1" applyFont="1" applyFill="1" applyBorder="1" applyAlignment="1">
      <alignment horizontal="left" vertical="center"/>
    </xf>
    <xf numFmtId="166" fontId="3" fillId="4" borderId="120" xfId="0" applyNumberFormat="1" applyFont="1" applyFill="1" applyBorder="1" applyAlignment="1">
      <alignment horizontal="left" vertical="center"/>
    </xf>
    <xf numFmtId="11" fontId="3" fillId="0" borderId="121" xfId="0" applyNumberFormat="1" applyFont="1" applyBorder="1" applyAlignment="1">
      <alignment horizontal="left" vertical="center"/>
    </xf>
    <xf numFmtId="166" fontId="3" fillId="0" borderId="123" xfId="0" applyNumberFormat="1" applyFont="1" applyBorder="1" applyAlignment="1">
      <alignment horizontal="left" vertical="center"/>
    </xf>
    <xf numFmtId="11" fontId="17" fillId="0" borderId="108" xfId="0" applyNumberFormat="1" applyFont="1" applyBorder="1" applyAlignment="1">
      <alignment horizontal="left" vertical="center"/>
    </xf>
    <xf numFmtId="166" fontId="17" fillId="0" borderId="64" xfId="0" applyNumberFormat="1" applyFont="1" applyBorder="1" applyAlignment="1">
      <alignment horizontal="left" vertical="center"/>
    </xf>
    <xf numFmtId="166" fontId="17" fillId="0" borderId="109" xfId="0" applyNumberFormat="1" applyFont="1" applyBorder="1" applyAlignment="1">
      <alignment horizontal="left" vertical="center"/>
    </xf>
    <xf numFmtId="11" fontId="17" fillId="4" borderId="102" xfId="0" applyNumberFormat="1" applyFont="1" applyFill="1" applyBorder="1" applyAlignment="1">
      <alignment horizontal="left" vertical="center"/>
    </xf>
    <xf numFmtId="166" fontId="17" fillId="4" borderId="64" xfId="0" applyNumberFormat="1" applyFont="1" applyFill="1" applyBorder="1" applyAlignment="1">
      <alignment horizontal="left" vertical="center"/>
    </xf>
    <xf numFmtId="166" fontId="17" fillId="4" borderId="95" xfId="0" applyNumberFormat="1" applyFont="1" applyFill="1" applyBorder="1" applyAlignment="1">
      <alignment horizontal="left" vertical="center"/>
    </xf>
    <xf numFmtId="11" fontId="17" fillId="4" borderId="108" xfId="0" applyNumberFormat="1" applyFont="1" applyFill="1" applyBorder="1" applyAlignment="1">
      <alignment horizontal="left" vertical="center"/>
    </xf>
    <xf numFmtId="166" fontId="17" fillId="4" borderId="109" xfId="0" applyNumberFormat="1" applyFont="1" applyFill="1" applyBorder="1" applyAlignment="1">
      <alignment horizontal="left" vertical="center"/>
    </xf>
    <xf numFmtId="11" fontId="17" fillId="0" borderId="102" xfId="0" applyNumberFormat="1" applyFont="1" applyBorder="1" applyAlignment="1">
      <alignment horizontal="left" vertical="center"/>
    </xf>
    <xf numFmtId="166" fontId="17" fillId="0" borderId="65" xfId="0" applyNumberFormat="1" applyFont="1" applyBorder="1" applyAlignment="1">
      <alignment horizontal="left" vertical="center"/>
    </xf>
    <xf numFmtId="11" fontId="17" fillId="0" borderId="124" xfId="0" applyNumberFormat="1" applyFont="1" applyBorder="1" applyAlignment="1">
      <alignment horizontal="left" vertical="center"/>
    </xf>
    <xf numFmtId="166" fontId="17" fillId="0" borderId="125" xfId="0" applyNumberFormat="1" applyFont="1" applyBorder="1" applyAlignment="1">
      <alignment horizontal="left" vertical="center"/>
    </xf>
    <xf numFmtId="166" fontId="17" fillId="0" borderId="126" xfId="0" applyNumberFormat="1" applyFont="1" applyBorder="1" applyAlignment="1">
      <alignment horizontal="left" vertical="center"/>
    </xf>
    <xf numFmtId="11" fontId="17" fillId="4" borderId="127" xfId="0" applyNumberFormat="1" applyFont="1" applyFill="1" applyBorder="1" applyAlignment="1">
      <alignment horizontal="left" vertical="center"/>
    </xf>
    <xf numFmtId="166" fontId="17" fillId="4" borderId="125" xfId="0" applyNumberFormat="1" applyFont="1" applyFill="1" applyBorder="1" applyAlignment="1">
      <alignment horizontal="left" vertical="center"/>
    </xf>
    <xf numFmtId="166" fontId="17" fillId="4" borderId="128" xfId="0" applyNumberFormat="1" applyFont="1" applyFill="1" applyBorder="1" applyAlignment="1">
      <alignment horizontal="left" vertical="center"/>
    </xf>
    <xf numFmtId="11" fontId="17" fillId="4" borderId="124" xfId="0" applyNumberFormat="1" applyFont="1" applyFill="1" applyBorder="1" applyAlignment="1">
      <alignment horizontal="left" vertical="center"/>
    </xf>
    <xf numFmtId="166" fontId="17" fillId="4" borderId="126" xfId="0" applyNumberFormat="1" applyFont="1" applyFill="1" applyBorder="1" applyAlignment="1">
      <alignment horizontal="left" vertical="center"/>
    </xf>
    <xf numFmtId="11" fontId="17" fillId="0" borderId="127" xfId="0" applyNumberFormat="1" applyFont="1" applyBorder="1" applyAlignment="1">
      <alignment horizontal="left" vertical="center"/>
    </xf>
    <xf numFmtId="166" fontId="17" fillId="0" borderId="129" xfId="0" applyNumberFormat="1" applyFont="1" applyBorder="1" applyAlignment="1">
      <alignment horizontal="left" vertical="center"/>
    </xf>
    <xf numFmtId="11" fontId="17" fillId="0" borderId="112" xfId="0" applyNumberFormat="1" applyFont="1" applyBorder="1" applyAlignment="1">
      <alignment horizontal="left" vertical="center"/>
    </xf>
    <xf numFmtId="166" fontId="17" fillId="0" borderId="113" xfId="0" applyNumberFormat="1" applyFont="1" applyBorder="1" applyAlignment="1">
      <alignment horizontal="left" vertical="center"/>
    </xf>
    <xf numFmtId="166" fontId="17" fillId="0" borderId="114" xfId="0" applyNumberFormat="1" applyFont="1" applyBorder="1" applyAlignment="1">
      <alignment horizontal="left" vertical="center"/>
    </xf>
    <xf numFmtId="11" fontId="17" fillId="4" borderId="115" xfId="0" applyNumberFormat="1" applyFont="1" applyFill="1" applyBorder="1" applyAlignment="1">
      <alignment horizontal="left" vertical="center"/>
    </xf>
    <xf numFmtId="166" fontId="17" fillId="4" borderId="113" xfId="0" applyNumberFormat="1" applyFont="1" applyFill="1" applyBorder="1" applyAlignment="1">
      <alignment horizontal="left" vertical="center"/>
    </xf>
    <xf numFmtId="166" fontId="17" fillId="4" borderId="116" xfId="0" applyNumberFormat="1" applyFont="1" applyFill="1" applyBorder="1" applyAlignment="1">
      <alignment horizontal="left" vertical="center"/>
    </xf>
    <xf numFmtId="11" fontId="17" fillId="4" borderId="112" xfId="0" applyNumberFormat="1" applyFont="1" applyFill="1" applyBorder="1" applyAlignment="1">
      <alignment horizontal="left" vertical="center"/>
    </xf>
    <xf numFmtId="166" fontId="17" fillId="4" borderId="114" xfId="0" applyNumberFormat="1" applyFont="1" applyFill="1" applyBorder="1" applyAlignment="1">
      <alignment horizontal="left" vertical="center"/>
    </xf>
    <xf numFmtId="11" fontId="17" fillId="0" borderId="115" xfId="0" applyNumberFormat="1" applyFont="1" applyBorder="1" applyAlignment="1">
      <alignment horizontal="left" vertical="center"/>
    </xf>
    <xf numFmtId="166" fontId="17" fillId="0" borderId="117" xfId="0" applyNumberFormat="1" applyFont="1" applyBorder="1" applyAlignment="1">
      <alignment horizontal="left" vertical="center"/>
    </xf>
    <xf numFmtId="0" fontId="3" fillId="0" borderId="0" xfId="0" applyFont="1" applyAlignment="1">
      <alignment horizontal="center" vertical="center"/>
    </xf>
    <xf numFmtId="0" fontId="3" fillId="0" borderId="130" xfId="0" applyFont="1" applyBorder="1" applyAlignment="1">
      <alignment vertical="center"/>
    </xf>
    <xf numFmtId="0" fontId="3" fillId="0" borderId="131" xfId="0" applyFont="1" applyBorder="1" applyAlignment="1">
      <alignment vertical="center"/>
    </xf>
    <xf numFmtId="0" fontId="1" fillId="0" borderId="139" xfId="0" applyFont="1" applyBorder="1" applyAlignment="1">
      <alignment horizontal="center" vertical="center"/>
    </xf>
    <xf numFmtId="11" fontId="8" fillId="0" borderId="139" xfId="3" applyNumberFormat="1" applyFont="1" applyBorder="1" applyAlignment="1">
      <alignment horizontal="center" vertical="center" wrapText="1"/>
    </xf>
    <xf numFmtId="167" fontId="3" fillId="0" borderId="140" xfId="0" applyNumberFormat="1" applyFont="1" applyBorder="1" applyAlignment="1">
      <alignment vertical="center"/>
    </xf>
    <xf numFmtId="167" fontId="1" fillId="0" borderId="141" xfId="0" applyNumberFormat="1" applyFont="1" applyBorder="1" applyAlignment="1">
      <alignment horizontal="center" vertical="center"/>
    </xf>
    <xf numFmtId="11" fontId="8" fillId="0" borderId="152" xfId="3" applyNumberFormat="1" applyFont="1" applyBorder="1" applyAlignment="1">
      <alignment horizontal="center" vertical="center" wrapText="1"/>
    </xf>
    <xf numFmtId="166" fontId="1" fillId="0" borderId="153" xfId="0" applyNumberFormat="1" applyFont="1" applyBorder="1" applyAlignment="1">
      <alignment horizontal="center" vertical="center" wrapText="1"/>
    </xf>
    <xf numFmtId="11" fontId="8" fillId="10" borderId="146" xfId="3" applyNumberFormat="1" applyFont="1" applyFill="1" applyBorder="1" applyAlignment="1">
      <alignment horizontal="center" vertical="center" wrapText="1"/>
    </xf>
    <xf numFmtId="166" fontId="1" fillId="10" borderId="141" xfId="0" applyNumberFormat="1" applyFont="1" applyFill="1" applyBorder="1" applyAlignment="1">
      <alignment horizontal="center" vertical="center" wrapText="1"/>
    </xf>
    <xf numFmtId="166" fontId="1" fillId="10" borderId="139" xfId="0" applyNumberFormat="1" applyFont="1" applyFill="1" applyBorder="1" applyAlignment="1">
      <alignment horizontal="center" vertical="center" wrapText="1"/>
    </xf>
    <xf numFmtId="166" fontId="1" fillId="11" borderId="139" xfId="0" applyNumberFormat="1" applyFont="1" applyFill="1" applyBorder="1" applyAlignment="1">
      <alignment horizontal="center" vertical="center" wrapText="1"/>
    </xf>
    <xf numFmtId="0" fontId="3" fillId="0" borderId="136" xfId="0" applyFont="1" applyBorder="1" applyAlignment="1">
      <alignment horizontal="left" vertical="center"/>
    </xf>
    <xf numFmtId="0" fontId="3" fillId="0" borderId="132" xfId="0" applyFont="1" applyBorder="1" applyAlignment="1">
      <alignment horizontal="left" vertical="center"/>
    </xf>
    <xf numFmtId="0" fontId="3" fillId="0" borderId="160" xfId="0" applyFont="1" applyBorder="1" applyAlignment="1">
      <alignment horizontal="left" vertical="center"/>
    </xf>
    <xf numFmtId="0" fontId="30" fillId="0" borderId="166" xfId="0" applyFont="1" applyBorder="1" applyAlignment="1">
      <alignment horizontal="left" vertical="center"/>
    </xf>
    <xf numFmtId="0" fontId="30" fillId="0" borderId="132" xfId="0" applyFont="1" applyBorder="1" applyAlignment="1">
      <alignment horizontal="left" vertical="center"/>
    </xf>
    <xf numFmtId="0" fontId="30" fillId="0" borderId="138" xfId="0" applyFont="1" applyBorder="1" applyAlignment="1">
      <alignment horizontal="left" vertical="center"/>
    </xf>
    <xf numFmtId="0" fontId="30" fillId="0" borderId="134" xfId="0" applyFont="1" applyBorder="1" applyAlignment="1">
      <alignment horizontal="left" vertical="center"/>
    </xf>
    <xf numFmtId="166" fontId="1" fillId="11" borderId="146" xfId="0" applyNumberFormat="1" applyFont="1" applyFill="1" applyBorder="1" applyAlignment="1">
      <alignment horizontal="center" vertical="center"/>
    </xf>
    <xf numFmtId="166" fontId="1" fillId="0" borderId="173" xfId="0" applyNumberFormat="1" applyFont="1" applyBorder="1" applyAlignment="1">
      <alignment horizontal="center" vertical="center" wrapText="1"/>
    </xf>
    <xf numFmtId="0" fontId="1" fillId="0" borderId="138" xfId="0" applyFont="1" applyBorder="1" applyAlignment="1">
      <alignment horizontal="center" vertical="center" wrapText="1"/>
    </xf>
    <xf numFmtId="0" fontId="3" fillId="0" borderId="137" xfId="0" applyFont="1" applyBorder="1" applyAlignment="1">
      <alignment horizontal="center" vertical="center"/>
    </xf>
    <xf numFmtId="167" fontId="3" fillId="0" borderId="142" xfId="0" applyNumberFormat="1" applyFont="1" applyBorder="1" applyAlignment="1">
      <alignment horizontal="center" vertical="center"/>
    </xf>
    <xf numFmtId="11" fontId="3" fillId="0" borderId="154" xfId="0" applyNumberFormat="1" applyFont="1" applyBorder="1" applyAlignment="1">
      <alignment horizontal="center" vertical="center"/>
    </xf>
    <xf numFmtId="166" fontId="3" fillId="0" borderId="155" xfId="0" applyNumberFormat="1" applyFont="1" applyBorder="1" applyAlignment="1">
      <alignment horizontal="center" vertical="center"/>
    </xf>
    <xf numFmtId="11" fontId="3" fillId="10" borderId="147" xfId="0" applyNumberFormat="1" applyFont="1" applyFill="1" applyBorder="1" applyAlignment="1">
      <alignment horizontal="center" vertical="center"/>
    </xf>
    <xf numFmtId="166" fontId="3" fillId="10" borderId="142" xfId="0" applyNumberFormat="1" applyFont="1" applyFill="1" applyBorder="1" applyAlignment="1">
      <alignment horizontal="center" vertical="center"/>
    </xf>
    <xf numFmtId="166" fontId="3" fillId="10" borderId="137" xfId="0" applyNumberFormat="1" applyFont="1" applyFill="1" applyBorder="1" applyAlignment="1">
      <alignment horizontal="center" vertical="center"/>
    </xf>
    <xf numFmtId="11" fontId="3" fillId="0" borderId="137" xfId="0" applyNumberFormat="1" applyFont="1" applyBorder="1" applyAlignment="1">
      <alignment horizontal="center" vertical="center"/>
    </xf>
    <xf numFmtId="166" fontId="3" fillId="0" borderId="174" xfId="0" applyNumberFormat="1" applyFont="1" applyBorder="1" applyAlignment="1">
      <alignment horizontal="center" vertical="center"/>
    </xf>
    <xf numFmtId="166" fontId="3" fillId="11" borderId="147" xfId="0" applyNumberFormat="1" applyFont="1" applyFill="1" applyBorder="1" applyAlignment="1">
      <alignment horizontal="center" vertical="center"/>
    </xf>
    <xf numFmtId="166" fontId="3" fillId="11" borderId="137" xfId="0" applyNumberFormat="1" applyFont="1" applyFill="1" applyBorder="1" applyAlignment="1">
      <alignment horizontal="center" vertical="center"/>
    </xf>
    <xf numFmtId="0" fontId="3" fillId="0" borderId="133" xfId="0" applyFont="1" applyBorder="1" applyAlignment="1">
      <alignment horizontal="center" vertical="center"/>
    </xf>
    <xf numFmtId="167" fontId="3" fillId="0" borderId="143" xfId="0" applyNumberFormat="1" applyFont="1" applyBorder="1" applyAlignment="1">
      <alignment horizontal="center" vertical="center"/>
    </xf>
    <xf numFmtId="11" fontId="3" fillId="0" borderId="156" xfId="0" applyNumberFormat="1" applyFont="1" applyBorder="1" applyAlignment="1">
      <alignment horizontal="center" vertical="center"/>
    </xf>
    <xf numFmtId="166" fontId="3" fillId="0" borderId="157" xfId="0" applyNumberFormat="1" applyFont="1" applyBorder="1" applyAlignment="1">
      <alignment horizontal="center" vertical="center"/>
    </xf>
    <xf numFmtId="11" fontId="3" fillId="10" borderId="148" xfId="0" applyNumberFormat="1" applyFont="1" applyFill="1" applyBorder="1" applyAlignment="1">
      <alignment horizontal="center" vertical="center"/>
    </xf>
    <xf numFmtId="166" fontId="3" fillId="10" borderId="143" xfId="0" applyNumberFormat="1" applyFont="1" applyFill="1" applyBorder="1" applyAlignment="1">
      <alignment horizontal="center" vertical="center"/>
    </xf>
    <xf numFmtId="166" fontId="3" fillId="10" borderId="133" xfId="0" applyNumberFormat="1" applyFont="1" applyFill="1" applyBorder="1" applyAlignment="1">
      <alignment horizontal="center" vertical="center"/>
    </xf>
    <xf numFmtId="11" fontId="3" fillId="0" borderId="133" xfId="0" applyNumberFormat="1" applyFont="1" applyBorder="1" applyAlignment="1">
      <alignment horizontal="center" vertical="center"/>
    </xf>
    <xf numFmtId="166" fontId="3" fillId="0" borderId="175" xfId="0" applyNumberFormat="1" applyFont="1" applyBorder="1" applyAlignment="1">
      <alignment horizontal="center" vertical="center"/>
    </xf>
    <xf numFmtId="166" fontId="3" fillId="11" borderId="148" xfId="0" applyNumberFormat="1" applyFont="1" applyFill="1" applyBorder="1" applyAlignment="1">
      <alignment horizontal="center" vertical="center"/>
    </xf>
    <xf numFmtId="166" fontId="3" fillId="11" borderId="133" xfId="0" applyNumberFormat="1" applyFont="1" applyFill="1" applyBorder="1" applyAlignment="1">
      <alignment horizontal="center" vertical="center"/>
    </xf>
    <xf numFmtId="0" fontId="3" fillId="0" borderId="161" xfId="0" applyFont="1" applyBorder="1" applyAlignment="1">
      <alignment horizontal="center" vertical="center"/>
    </xf>
    <xf numFmtId="167" fontId="3" fillId="0" borderId="162" xfId="0" applyNumberFormat="1" applyFont="1" applyBorder="1" applyAlignment="1">
      <alignment horizontal="center" vertical="center"/>
    </xf>
    <xf numFmtId="11" fontId="3" fillId="0" borderId="163" xfId="0" applyNumberFormat="1" applyFont="1" applyBorder="1" applyAlignment="1">
      <alignment horizontal="center" vertical="center"/>
    </xf>
    <xf numFmtId="166" fontId="3" fillId="0" borderId="164" xfId="0" applyNumberFormat="1" applyFont="1" applyBorder="1" applyAlignment="1">
      <alignment horizontal="center" vertical="center"/>
    </xf>
    <xf numFmtId="11" fontId="3" fillId="10" borderId="165" xfId="0" applyNumberFormat="1" applyFont="1" applyFill="1" applyBorder="1" applyAlignment="1">
      <alignment horizontal="center" vertical="center"/>
    </xf>
    <xf numFmtId="166" fontId="3" fillId="10" borderId="162" xfId="0" applyNumberFormat="1" applyFont="1" applyFill="1" applyBorder="1" applyAlignment="1">
      <alignment horizontal="center" vertical="center"/>
    </xf>
    <xf numFmtId="166" fontId="3" fillId="10" borderId="161" xfId="0" applyNumberFormat="1" applyFont="1" applyFill="1" applyBorder="1" applyAlignment="1">
      <alignment horizontal="center" vertical="center"/>
    </xf>
    <xf numFmtId="11" fontId="3" fillId="0" borderId="161" xfId="0" applyNumberFormat="1" applyFont="1" applyBorder="1" applyAlignment="1">
      <alignment horizontal="center" vertical="center"/>
    </xf>
    <xf numFmtId="166" fontId="3" fillId="0" borderId="176" xfId="0" applyNumberFormat="1" applyFont="1" applyBorder="1" applyAlignment="1">
      <alignment horizontal="center" vertical="center"/>
    </xf>
    <xf numFmtId="166" fontId="3" fillId="11" borderId="165" xfId="0" applyNumberFormat="1" applyFont="1" applyFill="1" applyBorder="1" applyAlignment="1">
      <alignment horizontal="center" vertical="center"/>
    </xf>
    <xf numFmtId="166" fontId="3" fillId="11" borderId="161" xfId="0" applyNumberFormat="1" applyFont="1" applyFill="1" applyBorder="1" applyAlignment="1">
      <alignment horizontal="center" vertical="center"/>
    </xf>
    <xf numFmtId="0" fontId="30" fillId="0" borderId="167" xfId="0" applyFont="1" applyBorder="1" applyAlignment="1">
      <alignment horizontal="center" vertical="center"/>
    </xf>
    <xf numFmtId="167" fontId="30" fillId="0" borderId="168" xfId="0" applyNumberFormat="1" applyFont="1" applyBorder="1" applyAlignment="1">
      <alignment horizontal="center" vertical="center"/>
    </xf>
    <xf numFmtId="11" fontId="30" fillId="0" borderId="169" xfId="0" applyNumberFormat="1" applyFont="1" applyBorder="1" applyAlignment="1">
      <alignment horizontal="center" vertical="center"/>
    </xf>
    <xf numFmtId="166" fontId="30" fillId="0" borderId="170" xfId="0" applyNumberFormat="1" applyFont="1" applyBorder="1" applyAlignment="1">
      <alignment horizontal="center" vertical="center"/>
    </xf>
    <xf numFmtId="11" fontId="30" fillId="10" borderId="171" xfId="0" applyNumberFormat="1" applyFont="1" applyFill="1" applyBorder="1" applyAlignment="1">
      <alignment horizontal="center" vertical="center"/>
    </xf>
    <xf numFmtId="166" fontId="30" fillId="10" borderId="168" xfId="0" applyNumberFormat="1" applyFont="1" applyFill="1" applyBorder="1" applyAlignment="1">
      <alignment horizontal="center" vertical="center"/>
    </xf>
    <xf numFmtId="166" fontId="30" fillId="10" borderId="167" xfId="0" applyNumberFormat="1" applyFont="1" applyFill="1" applyBorder="1" applyAlignment="1">
      <alignment horizontal="center" vertical="center"/>
    </xf>
    <xf numFmtId="11" fontId="30" fillId="0" borderId="167" xfId="0" applyNumberFormat="1" applyFont="1" applyBorder="1" applyAlignment="1">
      <alignment horizontal="center" vertical="center"/>
    </xf>
    <xf numFmtId="166" fontId="30" fillId="0" borderId="177" xfId="0" applyNumberFormat="1" applyFont="1" applyBorder="1" applyAlignment="1">
      <alignment horizontal="center" vertical="center"/>
    </xf>
    <xf numFmtId="166" fontId="30" fillId="11" borderId="171" xfId="0" applyNumberFormat="1" applyFont="1" applyFill="1" applyBorder="1" applyAlignment="1">
      <alignment horizontal="center" vertical="center"/>
    </xf>
    <xf numFmtId="166" fontId="30" fillId="11" borderId="167" xfId="0" applyNumberFormat="1" applyFont="1" applyFill="1" applyBorder="1" applyAlignment="1">
      <alignment horizontal="center" vertical="center"/>
    </xf>
    <xf numFmtId="0" fontId="30" fillId="0" borderId="133" xfId="0" applyFont="1" applyBorder="1" applyAlignment="1">
      <alignment horizontal="center" vertical="center"/>
    </xf>
    <xf numFmtId="167" fontId="30" fillId="0" borderId="143" xfId="0" applyNumberFormat="1" applyFont="1" applyBorder="1" applyAlignment="1">
      <alignment horizontal="center" vertical="center"/>
    </xf>
    <xf numFmtId="11" fontId="30" fillId="0" borderId="156" xfId="0" applyNumberFormat="1" applyFont="1" applyBorder="1" applyAlignment="1">
      <alignment horizontal="center" vertical="center"/>
    </xf>
    <xf numFmtId="166" fontId="30" fillId="0" borderId="157" xfId="0" applyNumberFormat="1" applyFont="1" applyBorder="1" applyAlignment="1">
      <alignment horizontal="center" vertical="center"/>
    </xf>
    <xf numFmtId="11" fontId="30" fillId="10" borderId="148" xfId="0" applyNumberFormat="1" applyFont="1" applyFill="1" applyBorder="1" applyAlignment="1">
      <alignment horizontal="center" vertical="center"/>
    </xf>
    <xf numFmtId="166" fontId="30" fillId="10" borderId="143" xfId="0" applyNumberFormat="1" applyFont="1" applyFill="1" applyBorder="1" applyAlignment="1">
      <alignment horizontal="center" vertical="center"/>
    </xf>
    <xf numFmtId="166" fontId="30" fillId="10" borderId="133" xfId="0" applyNumberFormat="1" applyFont="1" applyFill="1" applyBorder="1" applyAlignment="1">
      <alignment horizontal="center" vertical="center"/>
    </xf>
    <xf numFmtId="11" fontId="30" fillId="0" borderId="133" xfId="0" applyNumberFormat="1" applyFont="1" applyBorder="1" applyAlignment="1">
      <alignment horizontal="center" vertical="center"/>
    </xf>
    <xf numFmtId="166" fontId="30" fillId="0" borderId="175" xfId="0" applyNumberFormat="1" applyFont="1" applyBorder="1" applyAlignment="1">
      <alignment horizontal="center" vertical="center"/>
    </xf>
    <xf numFmtId="166" fontId="30" fillId="11" borderId="148" xfId="0" applyNumberFormat="1" applyFont="1" applyFill="1" applyBorder="1" applyAlignment="1">
      <alignment horizontal="center" vertical="center"/>
    </xf>
    <xf numFmtId="166" fontId="30" fillId="11" borderId="133" xfId="0" applyNumberFormat="1" applyFont="1" applyFill="1" applyBorder="1" applyAlignment="1">
      <alignment horizontal="center" vertical="center"/>
    </xf>
    <xf numFmtId="0" fontId="30" fillId="0" borderId="139" xfId="0" applyFont="1" applyBorder="1" applyAlignment="1">
      <alignment horizontal="center" vertical="center"/>
    </xf>
    <xf numFmtId="167" fontId="30" fillId="0" borderId="141" xfId="0" applyNumberFormat="1" applyFont="1" applyBorder="1" applyAlignment="1">
      <alignment horizontal="center" vertical="center"/>
    </xf>
    <xf numFmtId="11" fontId="30" fillId="0" borderId="152" xfId="0" applyNumberFormat="1" applyFont="1" applyBorder="1" applyAlignment="1">
      <alignment horizontal="center" vertical="center"/>
    </xf>
    <xf numFmtId="166" fontId="30" fillId="0" borderId="153" xfId="0" applyNumberFormat="1" applyFont="1" applyBorder="1" applyAlignment="1">
      <alignment horizontal="center" vertical="center"/>
    </xf>
    <xf numFmtId="11" fontId="30" fillId="10" borderId="146" xfId="0" applyNumberFormat="1" applyFont="1" applyFill="1" applyBorder="1" applyAlignment="1">
      <alignment horizontal="center" vertical="center"/>
    </xf>
    <xf numFmtId="166" fontId="30" fillId="10" borderId="141" xfId="0" applyNumberFormat="1" applyFont="1" applyFill="1" applyBorder="1" applyAlignment="1">
      <alignment horizontal="center" vertical="center"/>
    </xf>
    <xf numFmtId="166" fontId="30" fillId="10" borderId="139" xfId="0" applyNumberFormat="1" applyFont="1" applyFill="1" applyBorder="1" applyAlignment="1">
      <alignment horizontal="center" vertical="center"/>
    </xf>
    <xf numFmtId="11" fontId="30" fillId="0" borderId="139" xfId="0" applyNumberFormat="1" applyFont="1" applyBorder="1" applyAlignment="1">
      <alignment horizontal="center" vertical="center"/>
    </xf>
    <xf numFmtId="166" fontId="30" fillId="0" borderId="173" xfId="0" applyNumberFormat="1" applyFont="1" applyBorder="1" applyAlignment="1">
      <alignment horizontal="center" vertical="center"/>
    </xf>
    <xf numFmtId="166" fontId="30" fillId="11" borderId="146" xfId="0" applyNumberFormat="1" applyFont="1" applyFill="1" applyBorder="1" applyAlignment="1">
      <alignment horizontal="center" vertical="center"/>
    </xf>
    <xf numFmtId="166" fontId="30" fillId="11" borderId="139" xfId="0" applyNumberFormat="1" applyFont="1" applyFill="1" applyBorder="1" applyAlignment="1">
      <alignment horizontal="center" vertical="center"/>
    </xf>
    <xf numFmtId="0" fontId="30" fillId="0" borderId="135" xfId="0" applyFont="1" applyBorder="1" applyAlignment="1">
      <alignment horizontal="center" vertical="center"/>
    </xf>
    <xf numFmtId="167" fontId="30" fillId="0" borderId="144" xfId="0" applyNumberFormat="1" applyFont="1" applyBorder="1" applyAlignment="1">
      <alignment horizontal="center" vertical="center"/>
    </xf>
    <xf numFmtId="11" fontId="30" fillId="0" borderId="158" xfId="0" applyNumberFormat="1" applyFont="1" applyBorder="1" applyAlignment="1">
      <alignment horizontal="center" vertical="center"/>
    </xf>
    <xf numFmtId="166" fontId="30" fillId="0" borderId="159" xfId="0" applyNumberFormat="1" applyFont="1" applyBorder="1" applyAlignment="1">
      <alignment horizontal="center" vertical="center"/>
    </xf>
    <xf numFmtId="11" fontId="30" fillId="10" borderId="149" xfId="0" applyNumberFormat="1" applyFont="1" applyFill="1" applyBorder="1" applyAlignment="1">
      <alignment horizontal="center" vertical="center"/>
    </xf>
    <xf numFmtId="166" fontId="30" fillId="10" borderId="144" xfId="0" applyNumberFormat="1" applyFont="1" applyFill="1" applyBorder="1" applyAlignment="1">
      <alignment horizontal="center" vertical="center"/>
    </xf>
    <xf numFmtId="166" fontId="30" fillId="10" borderId="135" xfId="0" applyNumberFormat="1" applyFont="1" applyFill="1" applyBorder="1" applyAlignment="1">
      <alignment horizontal="center" vertical="center"/>
    </xf>
    <xf numFmtId="11" fontId="30" fillId="0" borderId="135" xfId="0" applyNumberFormat="1" applyFont="1" applyBorder="1" applyAlignment="1">
      <alignment horizontal="center" vertical="center"/>
    </xf>
    <xf numFmtId="166" fontId="30" fillId="0" borderId="178" xfId="0" applyNumberFormat="1" applyFont="1" applyBorder="1" applyAlignment="1">
      <alignment horizontal="center" vertical="center"/>
    </xf>
    <xf numFmtId="166" fontId="30" fillId="11" borderId="149" xfId="0" applyNumberFormat="1" applyFont="1" applyFill="1" applyBorder="1" applyAlignment="1">
      <alignment horizontal="center" vertical="center"/>
    </xf>
    <xf numFmtId="166" fontId="30" fillId="11" borderId="135" xfId="0" applyNumberFormat="1" applyFont="1" applyFill="1" applyBorder="1" applyAlignment="1">
      <alignment horizontal="center" vertical="center"/>
    </xf>
    <xf numFmtId="11" fontId="8" fillId="0" borderId="181" xfId="3" applyNumberFormat="1" applyFont="1" applyFill="1" applyBorder="1" applyAlignment="1">
      <alignment horizontal="center" vertical="center" wrapText="1"/>
    </xf>
    <xf numFmtId="166" fontId="1" fillId="0" borderId="182" xfId="0" applyNumberFormat="1" applyFont="1" applyFill="1" applyBorder="1" applyAlignment="1">
      <alignment horizontal="center" vertical="center" wrapText="1"/>
    </xf>
    <xf numFmtId="11" fontId="3" fillId="0" borderId="181" xfId="0" applyNumberFormat="1" applyFont="1" applyBorder="1" applyAlignment="1">
      <alignment horizontal="left" vertical="center"/>
    </xf>
    <xf numFmtId="166" fontId="3" fillId="0" borderId="182" xfId="0" applyNumberFormat="1" applyFont="1" applyBorder="1" applyAlignment="1">
      <alignment horizontal="left" vertical="center"/>
    </xf>
    <xf numFmtId="11" fontId="3" fillId="0" borderId="185" xfId="0" applyNumberFormat="1" applyFont="1" applyBorder="1" applyAlignment="1">
      <alignment horizontal="left" vertical="center"/>
    </xf>
    <xf numFmtId="166" fontId="3" fillId="0" borderId="186" xfId="0" applyNumberFormat="1" applyFont="1" applyBorder="1" applyAlignment="1">
      <alignment horizontal="left" vertical="center"/>
    </xf>
    <xf numFmtId="11" fontId="3" fillId="0" borderId="187" xfId="0" applyNumberFormat="1" applyFont="1" applyBorder="1" applyAlignment="1">
      <alignment horizontal="left" vertical="center"/>
    </xf>
    <xf numFmtId="166" fontId="3" fillId="0" borderId="188" xfId="0" applyNumberFormat="1" applyFont="1" applyBorder="1" applyAlignment="1">
      <alignment horizontal="left" vertical="center"/>
    </xf>
    <xf numFmtId="11" fontId="17" fillId="0" borderId="189" xfId="0" applyNumberFormat="1" applyFont="1" applyBorder="1" applyAlignment="1">
      <alignment horizontal="left" vertical="center"/>
    </xf>
    <xf numFmtId="166" fontId="17" fillId="0" borderId="190" xfId="0" applyNumberFormat="1" applyFont="1" applyBorder="1" applyAlignment="1">
      <alignment horizontal="left" vertical="center"/>
    </xf>
    <xf numFmtId="11" fontId="17" fillId="0" borderId="181" xfId="0" applyNumberFormat="1" applyFont="1" applyBorder="1" applyAlignment="1">
      <alignment horizontal="left" vertical="center"/>
    </xf>
    <xf numFmtId="166" fontId="17" fillId="0" borderId="182" xfId="0" applyNumberFormat="1" applyFont="1" applyBorder="1" applyAlignment="1">
      <alignment horizontal="left" vertical="center"/>
    </xf>
    <xf numFmtId="11" fontId="17" fillId="0" borderId="191" xfId="0" applyNumberFormat="1" applyFont="1" applyBorder="1" applyAlignment="1">
      <alignment horizontal="left" vertical="center"/>
    </xf>
    <xf numFmtId="166" fontId="17" fillId="0" borderId="192" xfId="0" applyNumberFormat="1" applyFont="1" applyBorder="1" applyAlignment="1">
      <alignment horizontal="left" vertical="center"/>
    </xf>
    <xf numFmtId="11" fontId="17" fillId="0" borderId="183" xfId="0" applyNumberFormat="1" applyFont="1" applyBorder="1" applyAlignment="1">
      <alignment horizontal="left" vertical="center"/>
    </xf>
    <xf numFmtId="166" fontId="17" fillId="0" borderId="184" xfId="0" applyNumberFormat="1" applyFont="1" applyBorder="1" applyAlignment="1">
      <alignment horizontal="left" vertical="center"/>
    </xf>
    <xf numFmtId="166" fontId="1" fillId="11" borderId="141" xfId="0" applyNumberFormat="1" applyFont="1" applyFill="1" applyBorder="1" applyAlignment="1">
      <alignment horizontal="center" vertical="center" wrapText="1"/>
    </xf>
    <xf numFmtId="166" fontId="3" fillId="11" borderId="142" xfId="0" applyNumberFormat="1" applyFont="1" applyFill="1" applyBorder="1" applyAlignment="1">
      <alignment horizontal="center" vertical="center"/>
    </xf>
    <xf numFmtId="166" fontId="3" fillId="11" borderId="143" xfId="0" applyNumberFormat="1" applyFont="1" applyFill="1" applyBorder="1" applyAlignment="1">
      <alignment horizontal="center" vertical="center"/>
    </xf>
    <xf numFmtId="166" fontId="3" fillId="11" borderId="162" xfId="0" applyNumberFormat="1" applyFont="1" applyFill="1" applyBorder="1" applyAlignment="1">
      <alignment horizontal="center" vertical="center"/>
    </xf>
    <xf numFmtId="166" fontId="30" fillId="11" borderId="168" xfId="0" applyNumberFormat="1" applyFont="1" applyFill="1" applyBorder="1" applyAlignment="1">
      <alignment horizontal="center" vertical="center"/>
    </xf>
    <xf numFmtId="166" fontId="30" fillId="11" borderId="143" xfId="0" applyNumberFormat="1" applyFont="1" applyFill="1" applyBorder="1" applyAlignment="1">
      <alignment horizontal="center" vertical="center"/>
    </xf>
    <xf numFmtId="166" fontId="30" fillId="11" borderId="141" xfId="0" applyNumberFormat="1" applyFont="1" applyFill="1" applyBorder="1" applyAlignment="1">
      <alignment horizontal="center" vertical="center"/>
    </xf>
    <xf numFmtId="166" fontId="30" fillId="11" borderId="144" xfId="0" applyNumberFormat="1" applyFont="1" applyFill="1" applyBorder="1" applyAlignment="1">
      <alignment horizontal="center" vertical="center"/>
    </xf>
    <xf numFmtId="11" fontId="3" fillId="0" borderId="195" xfId="0" applyNumberFormat="1" applyFont="1" applyBorder="1" applyAlignment="1">
      <alignment horizontal="center" vertical="center"/>
    </xf>
    <xf numFmtId="166" fontId="3" fillId="0" borderId="47" xfId="0" applyNumberFormat="1" applyFont="1" applyBorder="1" applyAlignment="1">
      <alignment horizontal="center" vertical="center"/>
    </xf>
    <xf numFmtId="11" fontId="3" fillId="0" borderId="197" xfId="0" applyNumberFormat="1" applyFont="1" applyBorder="1" applyAlignment="1">
      <alignment horizontal="center" vertical="center"/>
    </xf>
    <xf numFmtId="166" fontId="3" fillId="0" borderId="53" xfId="0" applyNumberFormat="1" applyFont="1" applyBorder="1" applyAlignment="1">
      <alignment horizontal="center" vertical="center"/>
    </xf>
    <xf numFmtId="11" fontId="8" fillId="0" borderId="198" xfId="3" applyNumberFormat="1" applyFont="1" applyBorder="1" applyAlignment="1">
      <alignment horizontal="center" vertical="center" wrapText="1"/>
    </xf>
    <xf numFmtId="166" fontId="1" fillId="0" borderId="89" xfId="0" applyNumberFormat="1" applyFont="1" applyBorder="1" applyAlignment="1">
      <alignment horizontal="center" vertical="center" wrapText="1"/>
    </xf>
    <xf numFmtId="11" fontId="3" fillId="0" borderId="199" xfId="0" applyNumberFormat="1" applyFont="1" applyBorder="1" applyAlignment="1">
      <alignment horizontal="center" vertical="center"/>
    </xf>
    <xf numFmtId="166" fontId="3" fillId="0" borderId="83" xfId="0" applyNumberFormat="1" applyFont="1" applyBorder="1" applyAlignment="1">
      <alignment horizontal="center" vertical="center"/>
    </xf>
    <xf numFmtId="11" fontId="30" fillId="0" borderId="200" xfId="0" applyNumberFormat="1" applyFont="1" applyBorder="1" applyAlignment="1">
      <alignment horizontal="center" vertical="center"/>
    </xf>
    <xf numFmtId="166" fontId="30" fillId="0" borderId="86" xfId="0" applyNumberFormat="1" applyFont="1" applyBorder="1" applyAlignment="1">
      <alignment horizontal="center" vertical="center"/>
    </xf>
    <xf numFmtId="11" fontId="30" fillId="0" borderId="195" xfId="0" applyNumberFormat="1" applyFont="1" applyBorder="1" applyAlignment="1">
      <alignment horizontal="center" vertical="center"/>
    </xf>
    <xf numFmtId="166" fontId="30" fillId="0" borderId="47" xfId="0" applyNumberFormat="1" applyFont="1" applyBorder="1" applyAlignment="1">
      <alignment horizontal="center" vertical="center"/>
    </xf>
    <xf numFmtId="11" fontId="30" fillId="0" borderId="198" xfId="0" applyNumberFormat="1" applyFont="1" applyBorder="1" applyAlignment="1">
      <alignment horizontal="center" vertical="center"/>
    </xf>
    <xf numFmtId="166" fontId="30" fillId="0" borderId="89" xfId="0" applyNumberFormat="1" applyFont="1" applyBorder="1" applyAlignment="1">
      <alignment horizontal="center" vertical="center"/>
    </xf>
    <xf numFmtId="11" fontId="30" fillId="0" borderId="196" xfId="0" applyNumberFormat="1" applyFont="1" applyBorder="1" applyAlignment="1">
      <alignment horizontal="center" vertical="center"/>
    </xf>
    <xf numFmtId="166" fontId="30" fillId="0" borderId="50" xfId="0" applyNumberFormat="1" applyFont="1" applyBorder="1" applyAlignment="1">
      <alignment horizontal="center" vertical="center"/>
    </xf>
    <xf numFmtId="0" fontId="3" fillId="0" borderId="0" xfId="0" applyFont="1" applyAlignment="1">
      <alignment horizontal="left" vertical="center"/>
    </xf>
    <xf numFmtId="0" fontId="1" fillId="0" borderId="201" xfId="0" applyFont="1" applyBorder="1" applyAlignment="1">
      <alignment horizontal="center" vertical="center"/>
    </xf>
    <xf numFmtId="0" fontId="3" fillId="0" borderId="202" xfId="0" applyFont="1" applyBorder="1" applyAlignment="1">
      <alignment horizontal="left" vertical="center"/>
    </xf>
    <xf numFmtId="0" fontId="3" fillId="0" borderId="204" xfId="0" applyFont="1" applyBorder="1" applyAlignment="1">
      <alignment horizontal="left" vertical="center"/>
    </xf>
    <xf numFmtId="0" fontId="3" fillId="0" borderId="205" xfId="0" applyFont="1" applyBorder="1" applyAlignment="1">
      <alignment horizontal="left" vertical="center"/>
    </xf>
    <xf numFmtId="0" fontId="17" fillId="0" borderId="206" xfId="0" applyFont="1" applyBorder="1" applyAlignment="1">
      <alignment horizontal="left" vertical="center"/>
    </xf>
    <xf numFmtId="0" fontId="17" fillId="0" borderId="202" xfId="0" applyFont="1" applyBorder="1" applyAlignment="1">
      <alignment horizontal="left" vertical="center"/>
    </xf>
    <xf numFmtId="0" fontId="17" fillId="0" borderId="207" xfId="0" applyFont="1" applyBorder="1" applyAlignment="1">
      <alignment horizontal="left" vertical="center"/>
    </xf>
    <xf numFmtId="0" fontId="17" fillId="0" borderId="203" xfId="0" applyFont="1" applyBorder="1" applyAlignment="1">
      <alignment horizontal="left" vertical="center"/>
    </xf>
    <xf numFmtId="0" fontId="1" fillId="0" borderId="210" xfId="0" applyFont="1" applyBorder="1" applyAlignment="1">
      <alignment horizontal="center" vertical="center"/>
    </xf>
    <xf numFmtId="0" fontId="3" fillId="0" borderId="211" xfId="0" applyFont="1" applyBorder="1" applyAlignment="1">
      <alignment horizontal="left" vertical="center"/>
    </xf>
    <xf numFmtId="0" fontId="3" fillId="0" borderId="208" xfId="0" applyFont="1" applyBorder="1" applyAlignment="1">
      <alignment horizontal="left" vertical="center"/>
    </xf>
    <xf numFmtId="0" fontId="3" fillId="0" borderId="212" xfId="0" applyFont="1" applyBorder="1" applyAlignment="1">
      <alignment horizontal="left" vertical="center"/>
    </xf>
    <xf numFmtId="0" fontId="3" fillId="7" borderId="213" xfId="0" applyFont="1" applyFill="1" applyBorder="1" applyAlignment="1">
      <alignment horizontal="left" vertical="center"/>
    </xf>
    <xf numFmtId="0" fontId="3" fillId="7" borderId="208" xfId="0" applyFont="1" applyFill="1" applyBorder="1" applyAlignment="1">
      <alignment horizontal="left" vertical="center"/>
    </xf>
    <xf numFmtId="0" fontId="3" fillId="7" borderId="214" xfId="0" applyFont="1" applyFill="1" applyBorder="1" applyAlignment="1">
      <alignment horizontal="left" vertical="center"/>
    </xf>
    <xf numFmtId="0" fontId="3" fillId="7" borderId="209" xfId="0" applyFont="1" applyFill="1" applyBorder="1" applyAlignment="1">
      <alignment horizontal="left" vertical="center"/>
    </xf>
    <xf numFmtId="0" fontId="3" fillId="8" borderId="0" xfId="0" applyFont="1" applyFill="1"/>
    <xf numFmtId="0" fontId="8" fillId="8" borderId="0" xfId="0" applyFont="1" applyFill="1"/>
    <xf numFmtId="0" fontId="1" fillId="8" borderId="0" xfId="0" applyFont="1" applyFill="1"/>
    <xf numFmtId="0" fontId="3" fillId="0" borderId="10" xfId="0" applyFont="1" applyBorder="1" applyAlignment="1">
      <alignment horizontal="left" vertical="center"/>
    </xf>
    <xf numFmtId="0" fontId="3" fillId="0" borderId="11" xfId="0" applyFont="1" applyBorder="1" applyAlignment="1">
      <alignment horizontal="left" vertical="center"/>
    </xf>
    <xf numFmtId="0" fontId="3" fillId="0" borderId="12" xfId="0" applyFont="1" applyBorder="1" applyAlignment="1">
      <alignment horizontal="left" vertical="center"/>
    </xf>
    <xf numFmtId="0" fontId="3" fillId="0" borderId="7" xfId="0" applyFont="1" applyBorder="1" applyAlignment="1">
      <alignment horizontal="left" vertical="center"/>
    </xf>
    <xf numFmtId="0" fontId="3" fillId="0" borderId="8" xfId="0" applyFont="1" applyBorder="1" applyAlignment="1">
      <alignment horizontal="left" vertical="center"/>
    </xf>
    <xf numFmtId="0" fontId="3" fillId="0" borderId="9" xfId="0" applyFont="1" applyBorder="1" applyAlignment="1">
      <alignment horizontal="left" vertical="center"/>
    </xf>
    <xf numFmtId="0" fontId="9" fillId="0" borderId="0" xfId="0" applyFont="1" applyAlignment="1">
      <alignment horizontal="left" vertical="center" wrapText="1"/>
    </xf>
    <xf numFmtId="0" fontId="3" fillId="0" borderId="14" xfId="0" applyFont="1" applyBorder="1" applyAlignment="1">
      <alignment horizontal="left" vertical="center"/>
    </xf>
    <xf numFmtId="0" fontId="3" fillId="0" borderId="15" xfId="0" applyFont="1" applyBorder="1" applyAlignment="1">
      <alignment horizontal="left" vertical="center"/>
    </xf>
    <xf numFmtId="0" fontId="3" fillId="0" borderId="0" xfId="0" applyFont="1" applyAlignment="1">
      <alignment horizontal="left" vertical="center"/>
    </xf>
    <xf numFmtId="0" fontId="9" fillId="0" borderId="0" xfId="0" applyFont="1" applyAlignment="1">
      <alignment horizontal="left" vertical="center" wrapText="1"/>
    </xf>
    <xf numFmtId="0" fontId="3" fillId="0" borderId="0" xfId="0" applyFont="1" applyAlignment="1">
      <alignment horizontal="left" vertical="center"/>
    </xf>
    <xf numFmtId="0" fontId="1" fillId="4" borderId="0" xfId="0" applyFont="1" applyFill="1" applyAlignment="1">
      <alignment horizontal="left" vertical="center"/>
    </xf>
    <xf numFmtId="0" fontId="31" fillId="4" borderId="42" xfId="0" applyFont="1" applyFill="1" applyBorder="1" applyAlignment="1">
      <alignment horizontal="left" vertical="center"/>
    </xf>
    <xf numFmtId="0" fontId="1" fillId="4" borderId="43" xfId="0" applyFont="1" applyFill="1" applyBorder="1" applyAlignment="1">
      <alignment horizontal="left" vertical="center"/>
    </xf>
    <xf numFmtId="0" fontId="1" fillId="4" borderId="44" xfId="0" applyFont="1" applyFill="1" applyBorder="1" applyAlignment="1">
      <alignment horizontal="left" vertical="center"/>
    </xf>
    <xf numFmtId="0" fontId="3" fillId="0" borderId="45" xfId="0" applyFont="1" applyBorder="1" applyAlignment="1">
      <alignment horizontal="left" vertical="center"/>
    </xf>
    <xf numFmtId="0" fontId="3" fillId="0" borderId="46" xfId="0" applyFont="1" applyBorder="1" applyAlignment="1">
      <alignment horizontal="left" vertical="center"/>
    </xf>
    <xf numFmtId="0" fontId="3" fillId="0" borderId="47" xfId="0" applyFont="1" applyBorder="1" applyAlignment="1">
      <alignment horizontal="left" vertical="center"/>
    </xf>
    <xf numFmtId="0" fontId="3" fillId="0" borderId="48" xfId="0" applyFont="1" applyBorder="1" applyAlignment="1">
      <alignment horizontal="left" vertical="center"/>
    </xf>
    <xf numFmtId="0" fontId="3" fillId="0" borderId="49" xfId="0" applyFont="1" applyBorder="1" applyAlignment="1">
      <alignment horizontal="left" vertical="center"/>
    </xf>
    <xf numFmtId="0" fontId="3" fillId="0" borderId="50" xfId="0" applyFont="1" applyBorder="1" applyAlignment="1">
      <alignment horizontal="left" vertical="center"/>
    </xf>
    <xf numFmtId="0" fontId="3" fillId="0" borderId="51" xfId="0" applyFont="1" applyBorder="1" applyAlignment="1">
      <alignment horizontal="left" vertical="center"/>
    </xf>
    <xf numFmtId="0" fontId="3" fillId="0" borderId="52" xfId="0" applyFont="1" applyBorder="1" applyAlignment="1">
      <alignment horizontal="left" vertical="center"/>
    </xf>
    <xf numFmtId="0" fontId="3" fillId="0" borderId="53" xfId="0" applyFont="1" applyBorder="1" applyAlignment="1">
      <alignment horizontal="left" vertical="center"/>
    </xf>
    <xf numFmtId="0" fontId="1" fillId="0" borderId="87" xfId="0" applyFont="1" applyBorder="1" applyAlignment="1">
      <alignment horizontal="left" vertical="center" wrapText="1"/>
    </xf>
    <xf numFmtId="0" fontId="1" fillId="0" borderId="88" xfId="0" applyFont="1" applyBorder="1" applyAlignment="1">
      <alignment horizontal="left" vertical="top" wrapText="1"/>
    </xf>
    <xf numFmtId="0" fontId="1" fillId="0" borderId="89" xfId="0" applyFont="1" applyBorder="1" applyAlignment="1">
      <alignment horizontal="left" vertical="top" wrapText="1"/>
    </xf>
    <xf numFmtId="0" fontId="1" fillId="4" borderId="215" xfId="0" applyFont="1" applyFill="1" applyBorder="1" applyAlignment="1">
      <alignment horizontal="left" vertical="center"/>
    </xf>
    <xf numFmtId="0" fontId="1" fillId="4" borderId="216" xfId="0" applyFont="1" applyFill="1" applyBorder="1" applyAlignment="1">
      <alignment horizontal="left" vertical="center"/>
    </xf>
    <xf numFmtId="166" fontId="1" fillId="4" borderId="216" xfId="0" applyNumberFormat="1" applyFont="1" applyFill="1" applyBorder="1" applyAlignment="1">
      <alignment horizontal="left" vertical="center"/>
    </xf>
    <xf numFmtId="0" fontId="3" fillId="0" borderId="218" xfId="0" applyFont="1" applyBorder="1" applyAlignment="1">
      <alignment horizontal="left" vertical="center"/>
    </xf>
    <xf numFmtId="0" fontId="3" fillId="0" borderId="219" xfId="0" applyFont="1" applyBorder="1" applyAlignment="1">
      <alignment horizontal="left" vertical="center"/>
    </xf>
    <xf numFmtId="166" fontId="3" fillId="0" borderId="219" xfId="0" applyNumberFormat="1" applyFont="1" applyBorder="1" applyAlignment="1">
      <alignment horizontal="left" vertical="center"/>
    </xf>
    <xf numFmtId="0" fontId="3" fillId="0" borderId="221" xfId="0" applyFont="1" applyBorder="1" applyAlignment="1">
      <alignment horizontal="left" vertical="center"/>
    </xf>
    <xf numFmtId="0" fontId="3" fillId="0" borderId="222" xfId="0" applyFont="1" applyBorder="1" applyAlignment="1">
      <alignment horizontal="left" vertical="center"/>
    </xf>
    <xf numFmtId="166" fontId="3" fillId="0" borderId="222" xfId="0" applyNumberFormat="1" applyFont="1" applyBorder="1" applyAlignment="1">
      <alignment horizontal="left" vertical="center"/>
    </xf>
    <xf numFmtId="0" fontId="3" fillId="0" borderId="224" xfId="0" applyFont="1" applyBorder="1" applyAlignment="1">
      <alignment horizontal="left" vertical="center"/>
    </xf>
    <xf numFmtId="0" fontId="3" fillId="0" borderId="225" xfId="0" applyFont="1" applyBorder="1" applyAlignment="1">
      <alignment horizontal="left" vertical="center"/>
    </xf>
    <xf numFmtId="166" fontId="3" fillId="0" borderId="225" xfId="0" applyNumberFormat="1" applyFont="1" applyBorder="1" applyAlignment="1">
      <alignment horizontal="left" vertical="center"/>
    </xf>
    <xf numFmtId="0" fontId="1" fillId="0" borderId="227" xfId="0" applyFont="1" applyBorder="1" applyAlignment="1">
      <alignment horizontal="left" vertical="center" wrapText="1"/>
    </xf>
    <xf numFmtId="0" fontId="1" fillId="0" borderId="228" xfId="0" applyFont="1" applyBorder="1" applyAlignment="1">
      <alignment horizontal="left" vertical="center" wrapText="1"/>
    </xf>
    <xf numFmtId="166" fontId="1" fillId="0" borderId="228" xfId="0" applyNumberFormat="1" applyFont="1" applyBorder="1" applyAlignment="1">
      <alignment horizontal="left" vertical="center"/>
    </xf>
    <xf numFmtId="166" fontId="1" fillId="0" borderId="228" xfId="0" applyNumberFormat="1" applyFont="1" applyBorder="1" applyAlignment="1">
      <alignment horizontal="left" vertical="center" wrapText="1"/>
    </xf>
    <xf numFmtId="0" fontId="1" fillId="4" borderId="230" xfId="0" applyFont="1" applyFill="1" applyBorder="1" applyAlignment="1">
      <alignment horizontal="left" vertical="center"/>
    </xf>
    <xf numFmtId="0" fontId="1" fillId="0" borderId="231" xfId="0" applyFont="1" applyBorder="1" applyAlignment="1">
      <alignment horizontal="left" vertical="center" wrapText="1"/>
    </xf>
    <xf numFmtId="0" fontId="3" fillId="0" borderId="232" xfId="0" applyFont="1" applyBorder="1" applyAlignment="1">
      <alignment horizontal="left" vertical="center"/>
    </xf>
    <xf numFmtId="0" fontId="3" fillId="0" borderId="233" xfId="0" applyFont="1" applyBorder="1" applyAlignment="1">
      <alignment horizontal="left" vertical="center"/>
    </xf>
    <xf numFmtId="0" fontId="3" fillId="0" borderId="234" xfId="0" applyFont="1" applyBorder="1" applyAlignment="1">
      <alignment horizontal="left" vertical="center"/>
    </xf>
    <xf numFmtId="166" fontId="1" fillId="4" borderId="235" xfId="0" applyNumberFormat="1" applyFont="1" applyFill="1" applyBorder="1" applyAlignment="1">
      <alignment horizontal="left" vertical="center"/>
    </xf>
    <xf numFmtId="166" fontId="1" fillId="0" borderId="236" xfId="0" applyNumberFormat="1" applyFont="1" applyBorder="1" applyAlignment="1">
      <alignment horizontal="left" vertical="center"/>
    </xf>
    <xf numFmtId="166" fontId="3" fillId="0" borderId="237" xfId="0" applyNumberFormat="1" applyFont="1" applyBorder="1" applyAlignment="1">
      <alignment horizontal="left" vertical="center"/>
    </xf>
    <xf numFmtId="166" fontId="3" fillId="0" borderId="238" xfId="0" applyNumberFormat="1" applyFont="1" applyBorder="1" applyAlignment="1">
      <alignment horizontal="left" vertical="center"/>
    </xf>
    <xf numFmtId="166" fontId="3" fillId="0" borderId="239" xfId="0" applyNumberFormat="1" applyFont="1" applyBorder="1" applyAlignment="1">
      <alignment horizontal="left" vertical="center"/>
    </xf>
    <xf numFmtId="166" fontId="31" fillId="4" borderId="216" xfId="0" applyNumberFormat="1" applyFont="1" applyFill="1" applyBorder="1" applyAlignment="1">
      <alignment horizontal="left" vertical="center"/>
    </xf>
    <xf numFmtId="166" fontId="31" fillId="0" borderId="228" xfId="0" applyNumberFormat="1" applyFont="1" applyBorder="1" applyAlignment="1">
      <alignment horizontal="left" vertical="center" wrapText="1"/>
    </xf>
    <xf numFmtId="166" fontId="17" fillId="0" borderId="225" xfId="0" applyNumberFormat="1" applyFont="1" applyBorder="1" applyAlignment="1">
      <alignment horizontal="left" vertical="center"/>
    </xf>
    <xf numFmtId="166" fontId="17" fillId="0" borderId="219" xfId="0" applyNumberFormat="1" applyFont="1" applyBorder="1" applyAlignment="1">
      <alignment horizontal="left" vertical="center"/>
    </xf>
    <xf numFmtId="166" fontId="17" fillId="0" borderId="222" xfId="0" applyNumberFormat="1" applyFont="1" applyBorder="1" applyAlignment="1">
      <alignment horizontal="left" vertical="center"/>
    </xf>
    <xf numFmtId="166" fontId="1" fillId="4" borderId="230" xfId="0" applyNumberFormat="1" applyFont="1" applyFill="1" applyBorder="1" applyAlignment="1">
      <alignment horizontal="left" vertical="center"/>
    </xf>
    <xf numFmtId="166" fontId="1" fillId="0" borderId="231" xfId="0" applyNumberFormat="1" applyFont="1" applyBorder="1" applyAlignment="1">
      <alignment horizontal="left" vertical="center"/>
    </xf>
    <xf numFmtId="166" fontId="3" fillId="0" borderId="232" xfId="0" applyNumberFormat="1" applyFont="1" applyBorder="1" applyAlignment="1">
      <alignment horizontal="left" vertical="center"/>
    </xf>
    <xf numFmtId="166" fontId="3" fillId="0" borderId="233" xfId="0" applyNumberFormat="1" applyFont="1" applyBorder="1" applyAlignment="1">
      <alignment horizontal="left" vertical="center"/>
    </xf>
    <xf numFmtId="166" fontId="3" fillId="0" borderId="234" xfId="0" applyNumberFormat="1" applyFont="1" applyBorder="1" applyAlignment="1">
      <alignment horizontal="left" vertical="center"/>
    </xf>
    <xf numFmtId="166" fontId="1" fillId="4" borderId="240" xfId="0" applyNumberFormat="1" applyFont="1" applyFill="1" applyBorder="1" applyAlignment="1">
      <alignment horizontal="left" vertical="center"/>
    </xf>
    <xf numFmtId="166" fontId="1" fillId="0" borderId="241" xfId="0" applyNumberFormat="1" applyFont="1" applyBorder="1" applyAlignment="1">
      <alignment horizontal="left" vertical="center" wrapText="1"/>
    </xf>
    <xf numFmtId="166" fontId="3" fillId="0" borderId="242" xfId="0" applyNumberFormat="1" applyFont="1" applyBorder="1" applyAlignment="1">
      <alignment horizontal="left" vertical="center"/>
    </xf>
    <xf numFmtId="166" fontId="3" fillId="0" borderId="243" xfId="0" applyNumberFormat="1" applyFont="1" applyBorder="1" applyAlignment="1">
      <alignment horizontal="left" vertical="center"/>
    </xf>
    <xf numFmtId="166" fontId="3" fillId="0" borderId="244" xfId="0" applyNumberFormat="1" applyFont="1" applyBorder="1" applyAlignment="1">
      <alignment horizontal="left" vertical="center"/>
    </xf>
    <xf numFmtId="166" fontId="31" fillId="4" borderId="245" xfId="0" applyNumberFormat="1" applyFont="1" applyFill="1" applyBorder="1" applyAlignment="1">
      <alignment horizontal="left" vertical="center"/>
    </xf>
    <xf numFmtId="166" fontId="31" fillId="4" borderId="246" xfId="0" applyNumberFormat="1" applyFont="1" applyFill="1" applyBorder="1" applyAlignment="1">
      <alignment horizontal="left" vertical="center"/>
    </xf>
    <xf numFmtId="166" fontId="31" fillId="0" borderId="247" xfId="0" applyNumberFormat="1" applyFont="1" applyBorder="1" applyAlignment="1">
      <alignment horizontal="left" vertical="center" wrapText="1"/>
    </xf>
    <xf numFmtId="166" fontId="31" fillId="0" borderId="248" xfId="0" applyNumberFormat="1" applyFont="1" applyBorder="1" applyAlignment="1">
      <alignment horizontal="left" vertical="center" wrapText="1"/>
    </xf>
    <xf numFmtId="166" fontId="17" fillId="0" borderId="249" xfId="0" applyNumberFormat="1" applyFont="1" applyBorder="1" applyAlignment="1">
      <alignment horizontal="left" vertical="center"/>
    </xf>
    <xf numFmtId="166" fontId="17" fillId="0" borderId="250" xfId="0" applyNumberFormat="1" applyFont="1" applyBorder="1" applyAlignment="1">
      <alignment horizontal="left" vertical="center"/>
    </xf>
    <xf numFmtId="166" fontId="17" fillId="0" borderId="251" xfId="0" applyNumberFormat="1" applyFont="1" applyBorder="1" applyAlignment="1">
      <alignment horizontal="left" vertical="center"/>
    </xf>
    <xf numFmtId="166" fontId="17" fillId="0" borderId="252" xfId="0" applyNumberFormat="1" applyFont="1" applyBorder="1" applyAlignment="1">
      <alignment horizontal="left" vertical="center"/>
    </xf>
    <xf numFmtId="166" fontId="17" fillId="0" borderId="253" xfId="0" applyNumberFormat="1" applyFont="1" applyBorder="1" applyAlignment="1">
      <alignment horizontal="left" vertical="center"/>
    </xf>
    <xf numFmtId="166" fontId="17" fillId="0" borderId="254" xfId="0" applyNumberFormat="1" applyFont="1" applyBorder="1" applyAlignment="1">
      <alignment horizontal="left" vertical="center"/>
    </xf>
    <xf numFmtId="166" fontId="1" fillId="0" borderId="231" xfId="0" applyNumberFormat="1" applyFont="1" applyBorder="1" applyAlignment="1">
      <alignment horizontal="left" vertical="center" wrapText="1"/>
    </xf>
    <xf numFmtId="166" fontId="31" fillId="4" borderId="217" xfId="0" applyNumberFormat="1" applyFont="1" applyFill="1" applyBorder="1" applyAlignment="1">
      <alignment horizontal="left" vertical="center"/>
    </xf>
    <xf numFmtId="166" fontId="31" fillId="0" borderId="229" xfId="0" applyNumberFormat="1" applyFont="1" applyBorder="1" applyAlignment="1">
      <alignment horizontal="left" vertical="center" wrapText="1"/>
    </xf>
    <xf numFmtId="166" fontId="17" fillId="0" borderId="226" xfId="0" applyNumberFormat="1" applyFont="1" applyBorder="1" applyAlignment="1">
      <alignment horizontal="left" vertical="center"/>
    </xf>
    <xf numFmtId="166" fontId="17" fillId="0" borderId="220" xfId="0" applyNumberFormat="1" applyFont="1" applyBorder="1" applyAlignment="1">
      <alignment horizontal="left" vertical="center"/>
    </xf>
    <xf numFmtId="166" fontId="17" fillId="0" borderId="223" xfId="0" applyNumberFormat="1" applyFont="1" applyBorder="1" applyAlignment="1">
      <alignment horizontal="left" vertical="center"/>
    </xf>
    <xf numFmtId="166" fontId="3" fillId="0" borderId="91" xfId="0" applyNumberFormat="1" applyFont="1" applyBorder="1" applyAlignment="1">
      <alignment horizontal="left" vertical="center"/>
    </xf>
    <xf numFmtId="166" fontId="3" fillId="0" borderId="61" xfId="0" applyNumberFormat="1" applyFont="1" applyBorder="1" applyAlignment="1">
      <alignment horizontal="left" vertical="center"/>
    </xf>
    <xf numFmtId="166" fontId="3" fillId="0" borderId="100" xfId="0" applyNumberFormat="1" applyFont="1" applyBorder="1" applyAlignment="1">
      <alignment horizontal="left" vertical="center"/>
    </xf>
    <xf numFmtId="166" fontId="3" fillId="0" borderId="255" xfId="0" applyNumberFormat="1" applyFont="1" applyBorder="1" applyAlignment="1">
      <alignment horizontal="left" vertical="center"/>
    </xf>
    <xf numFmtId="0" fontId="31" fillId="0" borderId="256" xfId="0" applyFont="1" applyBorder="1" applyAlignment="1">
      <alignment horizontal="left" vertical="center"/>
    </xf>
    <xf numFmtId="0" fontId="31" fillId="0" borderId="257" xfId="0" applyFont="1" applyBorder="1" applyAlignment="1">
      <alignment horizontal="left" vertical="center"/>
    </xf>
    <xf numFmtId="166" fontId="3" fillId="0" borderId="93" xfId="0" applyNumberFormat="1" applyFont="1" applyBorder="1" applyAlignment="1">
      <alignment horizontal="left" vertical="center"/>
    </xf>
    <xf numFmtId="166" fontId="3" fillId="0" borderId="99" xfId="0" applyNumberFormat="1" applyFont="1" applyBorder="1" applyAlignment="1">
      <alignment horizontal="left" vertical="center"/>
    </xf>
    <xf numFmtId="166" fontId="17" fillId="0" borderId="104" xfId="0" applyNumberFormat="1" applyFont="1" applyBorder="1" applyAlignment="1">
      <alignment horizontal="left" vertical="center"/>
    </xf>
    <xf numFmtId="166" fontId="17" fillId="0" borderId="91" xfId="0" applyNumberFormat="1" applyFont="1" applyBorder="1" applyAlignment="1">
      <alignment horizontal="left" vertical="center"/>
    </xf>
    <xf numFmtId="166" fontId="17" fillId="0" borderId="105" xfId="0" applyNumberFormat="1" applyFont="1" applyBorder="1" applyAlignment="1">
      <alignment horizontal="left" vertical="center"/>
    </xf>
    <xf numFmtId="166" fontId="17" fillId="0" borderId="258" xfId="0" applyNumberFormat="1" applyFont="1" applyBorder="1" applyAlignment="1">
      <alignment horizontal="left" vertical="center"/>
    </xf>
    <xf numFmtId="166" fontId="17" fillId="0" borderId="61" xfId="0" applyNumberFormat="1" applyFont="1" applyBorder="1" applyAlignment="1">
      <alignment horizontal="left" vertical="center"/>
    </xf>
    <xf numFmtId="166" fontId="17" fillId="0" borderId="259" xfId="0" applyNumberFormat="1" applyFont="1" applyBorder="1" applyAlignment="1">
      <alignment horizontal="left" vertical="center"/>
    </xf>
    <xf numFmtId="166" fontId="17" fillId="0" borderId="92" xfId="0" applyNumberFormat="1" applyFont="1" applyBorder="1" applyAlignment="1">
      <alignment horizontal="left" vertical="center"/>
    </xf>
    <xf numFmtId="166" fontId="17" fillId="0" borderId="62" xfId="0" applyNumberFormat="1" applyFont="1" applyBorder="1" applyAlignment="1">
      <alignment horizontal="left" vertical="center"/>
    </xf>
    <xf numFmtId="0" fontId="1" fillId="7" borderId="0" xfId="0" applyFont="1" applyFill="1" applyAlignment="1">
      <alignment horizontal="left" vertical="center"/>
    </xf>
    <xf numFmtId="0" fontId="31" fillId="7" borderId="260" xfId="0" applyFont="1" applyFill="1" applyBorder="1" applyAlignment="1">
      <alignment horizontal="left" vertical="center"/>
    </xf>
    <xf numFmtId="0" fontId="1" fillId="7" borderId="261" xfId="0" applyFont="1" applyFill="1" applyBorder="1" applyAlignment="1">
      <alignment horizontal="left" vertical="center"/>
    </xf>
    <xf numFmtId="0" fontId="1" fillId="7" borderId="262" xfId="0" applyFont="1" applyFill="1" applyBorder="1" applyAlignment="1">
      <alignment horizontal="left" vertical="center"/>
    </xf>
    <xf numFmtId="0" fontId="3" fillId="0" borderId="263" xfId="0" applyFont="1" applyBorder="1" applyAlignment="1">
      <alignment horizontal="left" vertical="center"/>
    </xf>
    <xf numFmtId="0" fontId="3" fillId="0" borderId="264" xfId="0" applyFont="1" applyBorder="1" applyAlignment="1">
      <alignment horizontal="left" vertical="center"/>
    </xf>
    <xf numFmtId="0" fontId="3" fillId="0" borderId="265" xfId="0" applyFont="1" applyBorder="1" applyAlignment="1">
      <alignment horizontal="left" vertical="center"/>
    </xf>
    <xf numFmtId="0" fontId="3" fillId="0" borderId="266" xfId="0" applyFont="1" applyBorder="1" applyAlignment="1">
      <alignment horizontal="left" vertical="center"/>
    </xf>
    <xf numFmtId="0" fontId="3" fillId="0" borderId="267" xfId="0" applyFont="1" applyBorder="1" applyAlignment="1">
      <alignment horizontal="left" vertical="center"/>
    </xf>
    <xf numFmtId="0" fontId="3" fillId="0" borderId="268" xfId="0" applyFont="1" applyBorder="1" applyAlignment="1">
      <alignment horizontal="left" vertical="center"/>
    </xf>
    <xf numFmtId="0" fontId="3" fillId="0" borderId="269" xfId="0" applyFont="1" applyBorder="1" applyAlignment="1">
      <alignment horizontal="left" vertical="center"/>
    </xf>
    <xf numFmtId="0" fontId="3" fillId="0" borderId="270" xfId="0" applyFont="1" applyBorder="1" applyAlignment="1">
      <alignment horizontal="left" vertical="center"/>
    </xf>
    <xf numFmtId="0" fontId="3" fillId="0" borderId="271" xfId="0" applyFont="1" applyBorder="1" applyAlignment="1">
      <alignment horizontal="left" vertical="center"/>
    </xf>
    <xf numFmtId="0" fontId="1" fillId="0" borderId="272" xfId="0" applyFont="1" applyBorder="1" applyAlignment="1">
      <alignment horizontal="left" vertical="center" wrapText="1"/>
    </xf>
    <xf numFmtId="0" fontId="1" fillId="0" borderId="273" xfId="0" applyFont="1" applyBorder="1" applyAlignment="1">
      <alignment horizontal="left" vertical="top" wrapText="1"/>
    </xf>
    <xf numFmtId="0" fontId="1" fillId="0" borderId="274" xfId="0" applyFont="1" applyBorder="1" applyAlignment="1">
      <alignment horizontal="left" vertical="top" wrapText="1"/>
    </xf>
    <xf numFmtId="0" fontId="1" fillId="7" borderId="275" xfId="0" applyFont="1" applyFill="1" applyBorder="1" applyAlignment="1">
      <alignment horizontal="left" vertical="center"/>
    </xf>
    <xf numFmtId="0" fontId="1" fillId="7" borderId="276" xfId="0" applyFont="1" applyFill="1" applyBorder="1" applyAlignment="1">
      <alignment horizontal="left" vertical="center"/>
    </xf>
    <xf numFmtId="166" fontId="1" fillId="7" borderId="276" xfId="0" applyNumberFormat="1" applyFont="1" applyFill="1" applyBorder="1" applyAlignment="1">
      <alignment horizontal="left" vertical="center"/>
    </xf>
    <xf numFmtId="0" fontId="3" fillId="0" borderId="278" xfId="0" applyFont="1" applyBorder="1" applyAlignment="1">
      <alignment horizontal="left" vertical="center"/>
    </xf>
    <xf numFmtId="0" fontId="3" fillId="0" borderId="280" xfId="0" applyFont="1" applyBorder="1" applyAlignment="1">
      <alignment horizontal="left" vertical="center"/>
    </xf>
    <xf numFmtId="0" fontId="3" fillId="0" borderId="281" xfId="0" applyFont="1" applyBorder="1" applyAlignment="1">
      <alignment horizontal="left" vertical="center"/>
    </xf>
    <xf numFmtId="166" fontId="3" fillId="0" borderId="281" xfId="0" applyNumberFormat="1" applyFont="1" applyBorder="1" applyAlignment="1">
      <alignment horizontal="left" vertical="center"/>
    </xf>
    <xf numFmtId="0" fontId="3" fillId="0" borderId="283" xfId="0" applyFont="1" applyBorder="1" applyAlignment="1">
      <alignment horizontal="left" vertical="center"/>
    </xf>
    <xf numFmtId="0" fontId="3" fillId="0" borderId="284" xfId="0" applyFont="1" applyBorder="1" applyAlignment="1">
      <alignment horizontal="left" vertical="center"/>
    </xf>
    <xf numFmtId="166" fontId="3" fillId="0" borderId="284" xfId="0" applyNumberFormat="1" applyFont="1" applyBorder="1" applyAlignment="1">
      <alignment horizontal="left" vertical="center"/>
    </xf>
    <xf numFmtId="0" fontId="1" fillId="0" borderId="286" xfId="0" applyFont="1" applyBorder="1" applyAlignment="1">
      <alignment horizontal="left" vertical="center" wrapText="1"/>
    </xf>
    <xf numFmtId="0" fontId="1" fillId="0" borderId="287" xfId="0" applyFont="1" applyBorder="1" applyAlignment="1">
      <alignment horizontal="left" vertical="center" wrapText="1"/>
    </xf>
    <xf numFmtId="166" fontId="1" fillId="0" borderId="287" xfId="0" applyNumberFormat="1" applyFont="1" applyBorder="1" applyAlignment="1">
      <alignment horizontal="left" vertical="center"/>
    </xf>
    <xf numFmtId="166" fontId="1" fillId="0" borderId="287" xfId="0" applyNumberFormat="1" applyFont="1" applyBorder="1" applyAlignment="1">
      <alignment horizontal="left" vertical="center" wrapText="1"/>
    </xf>
    <xf numFmtId="166" fontId="1" fillId="7" borderId="289" xfId="0" applyNumberFormat="1" applyFont="1" applyFill="1" applyBorder="1" applyAlignment="1">
      <alignment horizontal="left" vertical="center"/>
    </xf>
    <xf numFmtId="166" fontId="1" fillId="0" borderId="290" xfId="0" applyNumberFormat="1" applyFont="1" applyBorder="1" applyAlignment="1">
      <alignment horizontal="left" vertical="center"/>
    </xf>
    <xf numFmtId="166" fontId="3" fillId="0" borderId="291" xfId="0" applyNumberFormat="1" applyFont="1" applyBorder="1" applyAlignment="1">
      <alignment horizontal="left" vertical="center"/>
    </xf>
    <xf numFmtId="166" fontId="3" fillId="0" borderId="40" xfId="0" applyNumberFormat="1" applyFont="1" applyBorder="1" applyAlignment="1">
      <alignment horizontal="left" vertical="center"/>
    </xf>
    <xf numFmtId="166" fontId="3" fillId="0" borderId="292" xfId="0" applyNumberFormat="1" applyFont="1" applyBorder="1" applyAlignment="1">
      <alignment horizontal="left" vertical="center"/>
    </xf>
    <xf numFmtId="0" fontId="1" fillId="7" borderId="277" xfId="0" applyFont="1" applyFill="1" applyBorder="1" applyAlignment="1">
      <alignment horizontal="left" vertical="center"/>
    </xf>
    <xf numFmtId="0" fontId="1" fillId="0" borderId="288" xfId="0" applyFont="1" applyBorder="1" applyAlignment="1">
      <alignment horizontal="left" vertical="center" wrapText="1"/>
    </xf>
    <xf numFmtId="0" fontId="3" fillId="0" borderId="285" xfId="0" applyFont="1" applyBorder="1" applyAlignment="1">
      <alignment horizontal="left" vertical="center"/>
    </xf>
    <xf numFmtId="0" fontId="3" fillId="0" borderId="279" xfId="0" applyFont="1" applyBorder="1" applyAlignment="1">
      <alignment horizontal="left" vertical="center"/>
    </xf>
    <xf numFmtId="0" fontId="3" fillId="0" borderId="282" xfId="0" applyFont="1" applyBorder="1" applyAlignment="1">
      <alignment horizontal="left" vertical="center"/>
    </xf>
    <xf numFmtId="166" fontId="3" fillId="0" borderId="293" xfId="0" applyNumberFormat="1" applyFont="1" applyBorder="1" applyAlignment="1">
      <alignment horizontal="left" vertical="center"/>
    </xf>
    <xf numFmtId="166" fontId="3" fillId="0" borderId="295" xfId="0" applyNumberFormat="1" applyFont="1" applyBorder="1" applyAlignment="1">
      <alignment horizontal="left" vertical="center"/>
    </xf>
    <xf numFmtId="166" fontId="10" fillId="7" borderId="276" xfId="0" applyNumberFormat="1" applyFont="1" applyFill="1" applyBorder="1" applyAlignment="1">
      <alignment horizontal="left" vertical="center"/>
    </xf>
    <xf numFmtId="166" fontId="10" fillId="0" borderId="287" xfId="0" applyNumberFormat="1" applyFont="1" applyBorder="1" applyAlignment="1">
      <alignment horizontal="left" vertical="center" wrapText="1"/>
    </xf>
    <xf numFmtId="166" fontId="15" fillId="0" borderId="284" xfId="0" applyNumberFormat="1" applyFont="1" applyBorder="1" applyAlignment="1">
      <alignment horizontal="left" vertical="center"/>
    </xf>
    <xf numFmtId="166" fontId="15" fillId="0" borderId="41" xfId="0" applyNumberFormat="1" applyFont="1" applyBorder="1" applyAlignment="1">
      <alignment horizontal="left" vertical="center"/>
    </xf>
    <xf numFmtId="166" fontId="15" fillId="0" borderId="281" xfId="0" applyNumberFormat="1" applyFont="1" applyBorder="1" applyAlignment="1">
      <alignment horizontal="left" vertical="center"/>
    </xf>
    <xf numFmtId="166" fontId="15" fillId="0" borderId="0" xfId="0" applyNumberFormat="1" applyFont="1" applyAlignment="1">
      <alignment horizontal="left" vertical="center"/>
    </xf>
    <xf numFmtId="166" fontId="15" fillId="0" borderId="293" xfId="0" applyNumberFormat="1" applyFont="1" applyBorder="1" applyAlignment="1">
      <alignment horizontal="left" vertical="center"/>
    </xf>
    <xf numFmtId="166" fontId="15" fillId="0" borderId="295" xfId="0" applyNumberFormat="1" applyFont="1" applyBorder="1" applyAlignment="1">
      <alignment horizontal="left" vertical="center"/>
    </xf>
    <xf numFmtId="166" fontId="10" fillId="7" borderId="277" xfId="0" applyNumberFormat="1" applyFont="1" applyFill="1" applyBorder="1" applyAlignment="1">
      <alignment horizontal="left" vertical="center"/>
    </xf>
    <xf numFmtId="166" fontId="10" fillId="0" borderId="288" xfId="0" applyNumberFormat="1" applyFont="1" applyBorder="1" applyAlignment="1">
      <alignment horizontal="left" vertical="center" wrapText="1"/>
    </xf>
    <xf numFmtId="166" fontId="15" fillId="0" borderId="285" xfId="0" applyNumberFormat="1" applyFont="1" applyBorder="1" applyAlignment="1">
      <alignment horizontal="left" vertical="center"/>
    </xf>
    <xf numFmtId="166" fontId="15" fillId="0" borderId="279" xfId="0" applyNumberFormat="1" applyFont="1" applyBorder="1" applyAlignment="1">
      <alignment horizontal="left" vertical="center"/>
    </xf>
    <xf numFmtId="166" fontId="15" fillId="0" borderId="282" xfId="0" applyNumberFormat="1" applyFont="1" applyBorder="1" applyAlignment="1">
      <alignment horizontal="left" vertical="center"/>
    </xf>
    <xf numFmtId="166" fontId="15" fillId="0" borderId="294" xfId="0" applyNumberFormat="1" applyFont="1" applyBorder="1" applyAlignment="1">
      <alignment horizontal="left" vertical="center"/>
    </xf>
    <xf numFmtId="166" fontId="15" fillId="0" borderId="296" xfId="0" applyNumberFormat="1" applyFont="1" applyBorder="1" applyAlignment="1">
      <alignment horizontal="left" vertical="center"/>
    </xf>
    <xf numFmtId="166" fontId="1" fillId="7" borderId="297" xfId="0" applyNumberFormat="1" applyFont="1" applyFill="1" applyBorder="1" applyAlignment="1">
      <alignment horizontal="left" vertical="center"/>
    </xf>
    <xf numFmtId="166" fontId="1" fillId="0" borderId="298" xfId="0" applyNumberFormat="1" applyFont="1" applyBorder="1" applyAlignment="1">
      <alignment horizontal="left" vertical="center"/>
    </xf>
    <xf numFmtId="166" fontId="3" fillId="0" borderId="299" xfId="0" applyNumberFormat="1" applyFont="1" applyBorder="1" applyAlignment="1">
      <alignment horizontal="left" vertical="center"/>
    </xf>
    <xf numFmtId="166" fontId="3" fillId="0" borderId="39" xfId="0" applyNumberFormat="1" applyFont="1" applyBorder="1" applyAlignment="1">
      <alignment horizontal="left" vertical="center"/>
    </xf>
    <xf numFmtId="166" fontId="3" fillId="0" borderId="300" xfId="0" applyNumberFormat="1" applyFont="1" applyBorder="1" applyAlignment="1">
      <alignment horizontal="left" vertical="center"/>
    </xf>
    <xf numFmtId="166" fontId="1" fillId="0" borderId="290" xfId="0" applyNumberFormat="1" applyFont="1" applyBorder="1" applyAlignment="1">
      <alignment horizontal="left" vertical="center" wrapText="1"/>
    </xf>
    <xf numFmtId="166" fontId="10" fillId="7" borderId="301" xfId="0" applyNumberFormat="1" applyFont="1" applyFill="1" applyBorder="1" applyAlignment="1">
      <alignment horizontal="left" vertical="center"/>
    </xf>
    <xf numFmtId="166" fontId="10" fillId="7" borderId="302" xfId="0" applyNumberFormat="1" applyFont="1" applyFill="1" applyBorder="1" applyAlignment="1">
      <alignment horizontal="left" vertical="center"/>
    </xf>
    <xf numFmtId="166" fontId="10" fillId="0" borderId="303" xfId="0" applyNumberFormat="1" applyFont="1" applyBorder="1" applyAlignment="1">
      <alignment horizontal="left" vertical="center" wrapText="1"/>
    </xf>
    <xf numFmtId="166" fontId="10" fillId="0" borderId="304" xfId="0" applyNumberFormat="1" applyFont="1" applyBorder="1" applyAlignment="1">
      <alignment horizontal="left" vertical="center" wrapText="1"/>
    </xf>
    <xf numFmtId="166" fontId="15" fillId="0" borderId="305" xfId="0" applyNumberFormat="1" applyFont="1" applyBorder="1" applyAlignment="1">
      <alignment horizontal="left" vertical="center"/>
    </xf>
    <xf numFmtId="166" fontId="15" fillId="0" borderId="306" xfId="0" applyNumberFormat="1" applyFont="1" applyBorder="1" applyAlignment="1">
      <alignment horizontal="left" vertical="center"/>
    </xf>
    <xf numFmtId="166" fontId="15" fillId="0" borderId="307" xfId="0" applyNumberFormat="1" applyFont="1" applyBorder="1" applyAlignment="1">
      <alignment horizontal="left" vertical="center"/>
    </xf>
    <xf numFmtId="166" fontId="15" fillId="0" borderId="308" xfId="0" applyNumberFormat="1" applyFont="1" applyBorder="1" applyAlignment="1">
      <alignment horizontal="left" vertical="center"/>
    </xf>
    <xf numFmtId="166" fontId="15" fillId="0" borderId="309" xfId="0" applyNumberFormat="1" applyFont="1" applyBorder="1" applyAlignment="1">
      <alignment horizontal="left" vertical="center"/>
    </xf>
    <xf numFmtId="166" fontId="15" fillId="0" borderId="310" xfId="0" applyNumberFormat="1" applyFont="1" applyBorder="1" applyAlignment="1">
      <alignment horizontal="left" vertical="center"/>
    </xf>
    <xf numFmtId="166" fontId="1" fillId="0" borderId="298" xfId="0" applyNumberFormat="1" applyFont="1" applyBorder="1" applyAlignment="1">
      <alignment horizontal="left" vertical="center" wrapText="1"/>
    </xf>
    <xf numFmtId="166" fontId="3" fillId="0" borderId="311" xfId="0" applyNumberFormat="1" applyFont="1" applyBorder="1" applyAlignment="1">
      <alignment horizontal="left" vertical="center"/>
    </xf>
    <xf numFmtId="166" fontId="3" fillId="0" borderId="312" xfId="0" applyNumberFormat="1" applyFont="1" applyBorder="1" applyAlignment="1">
      <alignment horizontal="left" vertical="center"/>
    </xf>
    <xf numFmtId="0" fontId="10" fillId="0" borderId="313" xfId="0" applyFont="1" applyBorder="1" applyAlignment="1">
      <alignment horizontal="left" vertical="center"/>
    </xf>
    <xf numFmtId="0" fontId="10" fillId="0" borderId="314" xfId="0" applyFont="1" applyBorder="1" applyAlignment="1">
      <alignment horizontal="left" vertical="center"/>
    </xf>
    <xf numFmtId="166" fontId="3" fillId="0" borderId="315" xfId="0" applyNumberFormat="1" applyFont="1" applyBorder="1" applyAlignment="1">
      <alignment horizontal="left" vertical="center"/>
    </xf>
    <xf numFmtId="166" fontId="3" fillId="0" borderId="316" xfId="0" applyNumberFormat="1" applyFont="1" applyBorder="1" applyAlignment="1">
      <alignment horizontal="left" vertical="center"/>
    </xf>
    <xf numFmtId="166" fontId="15" fillId="0" borderId="317" xfId="0" applyNumberFormat="1" applyFont="1" applyBorder="1" applyAlignment="1">
      <alignment horizontal="left" vertical="center"/>
    </xf>
    <xf numFmtId="166" fontId="15" fillId="0" borderId="318" xfId="0" applyNumberFormat="1" applyFont="1" applyBorder="1" applyAlignment="1">
      <alignment horizontal="left" vertical="center"/>
    </xf>
    <xf numFmtId="166" fontId="15" fillId="0" borderId="319" xfId="0" applyNumberFormat="1" applyFont="1" applyBorder="1" applyAlignment="1">
      <alignment horizontal="left" vertical="center"/>
    </xf>
    <xf numFmtId="166" fontId="15" fillId="0" borderId="320" xfId="0" applyNumberFormat="1" applyFont="1" applyBorder="1" applyAlignment="1">
      <alignment horizontal="left" vertical="center"/>
    </xf>
    <xf numFmtId="0" fontId="1" fillId="3" borderId="0" xfId="0" applyFont="1" applyFill="1" applyAlignment="1">
      <alignment horizontal="left" vertical="center"/>
    </xf>
    <xf numFmtId="0" fontId="31" fillId="3" borderId="1" xfId="0" applyFont="1" applyFill="1" applyBorder="1" applyAlignment="1">
      <alignment horizontal="left" vertical="center"/>
    </xf>
    <xf numFmtId="0" fontId="1" fillId="3" borderId="2" xfId="0" applyFont="1" applyFill="1" applyBorder="1" applyAlignment="1">
      <alignment horizontal="left" vertical="center"/>
    </xf>
    <xf numFmtId="0" fontId="1" fillId="3" borderId="3" xfId="0" applyFont="1" applyFill="1" applyBorder="1" applyAlignment="1">
      <alignment horizontal="left" vertical="center"/>
    </xf>
    <xf numFmtId="0" fontId="1" fillId="0" borderId="4" xfId="0" applyFont="1" applyBorder="1" applyAlignment="1">
      <alignment horizontal="left" vertical="center" wrapText="1"/>
    </xf>
    <xf numFmtId="0" fontId="1" fillId="0" borderId="5" xfId="0" applyFont="1" applyBorder="1" applyAlignment="1">
      <alignment horizontal="left" vertical="top" wrapText="1"/>
    </xf>
    <xf numFmtId="0" fontId="1" fillId="0" borderId="6" xfId="0" applyFont="1" applyBorder="1" applyAlignment="1">
      <alignment horizontal="left" vertical="top" wrapText="1"/>
    </xf>
    <xf numFmtId="0" fontId="1" fillId="3" borderId="321" xfId="0" applyFont="1" applyFill="1" applyBorder="1" applyAlignment="1">
      <alignment horizontal="left" vertical="center"/>
    </xf>
    <xf numFmtId="0" fontId="1" fillId="3" borderId="322" xfId="0" applyFont="1" applyFill="1" applyBorder="1" applyAlignment="1">
      <alignment horizontal="left" vertical="center"/>
    </xf>
    <xf numFmtId="166" fontId="1" fillId="3" borderId="322" xfId="0" applyNumberFormat="1" applyFont="1" applyFill="1" applyBorder="1" applyAlignment="1">
      <alignment horizontal="left" vertical="center"/>
    </xf>
    <xf numFmtId="0" fontId="3" fillId="0" borderId="324" xfId="0" applyFont="1" applyBorder="1" applyAlignment="1">
      <alignment horizontal="left" vertical="center"/>
    </xf>
    <xf numFmtId="0" fontId="3" fillId="0" borderId="325" xfId="0" applyFont="1" applyBorder="1" applyAlignment="1">
      <alignment horizontal="left" vertical="center"/>
    </xf>
    <xf numFmtId="166" fontId="3" fillId="0" borderId="325" xfId="0" applyNumberFormat="1" applyFont="1" applyBorder="1" applyAlignment="1">
      <alignment horizontal="left" vertical="center"/>
    </xf>
    <xf numFmtId="166" fontId="3" fillId="0" borderId="326" xfId="0" applyNumberFormat="1" applyFont="1" applyBorder="1" applyAlignment="1">
      <alignment horizontal="left" vertical="center"/>
    </xf>
    <xf numFmtId="0" fontId="3" fillId="0" borderId="326" xfId="0" applyFont="1" applyBorder="1" applyAlignment="1">
      <alignment horizontal="left" vertical="center"/>
    </xf>
    <xf numFmtId="0" fontId="3" fillId="0" borderId="327" xfId="0" applyFont="1" applyBorder="1" applyAlignment="1">
      <alignment horizontal="left" vertical="center"/>
    </xf>
    <xf numFmtId="0" fontId="3" fillId="0" borderId="328" xfId="0" applyFont="1" applyBorder="1" applyAlignment="1">
      <alignment horizontal="left" vertical="center"/>
    </xf>
    <xf numFmtId="166" fontId="3" fillId="0" borderId="328" xfId="0" applyNumberFormat="1" applyFont="1" applyBorder="1" applyAlignment="1">
      <alignment horizontal="left" vertical="center"/>
    </xf>
    <xf numFmtId="166" fontId="1" fillId="3" borderId="330" xfId="0" applyNumberFormat="1" applyFont="1" applyFill="1" applyBorder="1" applyAlignment="1">
      <alignment horizontal="left" vertical="center"/>
    </xf>
    <xf numFmtId="166" fontId="3" fillId="0" borderId="331" xfId="0" applyNumberFormat="1" applyFont="1" applyBorder="1" applyAlignment="1">
      <alignment horizontal="left" vertical="center"/>
    </xf>
    <xf numFmtId="166" fontId="3" fillId="0" borderId="332" xfId="0" applyNumberFormat="1" applyFont="1" applyBorder="1" applyAlignment="1">
      <alignment horizontal="left" vertical="center"/>
    </xf>
    <xf numFmtId="0" fontId="1" fillId="3" borderId="323" xfId="0" applyFont="1" applyFill="1" applyBorder="1" applyAlignment="1">
      <alignment horizontal="left" vertical="center"/>
    </xf>
    <xf numFmtId="166" fontId="3" fillId="0" borderId="329" xfId="0" applyNumberFormat="1" applyFont="1" applyBorder="1" applyAlignment="1">
      <alignment horizontal="left" vertical="center"/>
    </xf>
    <xf numFmtId="0" fontId="3" fillId="0" borderId="333" xfId="0" applyFont="1" applyBorder="1" applyAlignment="1">
      <alignment horizontal="left" vertical="center"/>
    </xf>
    <xf numFmtId="0" fontId="3" fillId="0" borderId="334" xfId="0" applyFont="1" applyBorder="1" applyAlignment="1">
      <alignment horizontal="left" vertical="center"/>
    </xf>
    <xf numFmtId="0" fontId="3" fillId="0" borderId="335" xfId="0" applyFont="1" applyBorder="1" applyAlignment="1">
      <alignment horizontal="left" vertical="center"/>
    </xf>
    <xf numFmtId="0" fontId="1" fillId="0" borderId="336" xfId="0" applyFont="1" applyBorder="1" applyAlignment="1">
      <alignment horizontal="left" vertical="center" wrapText="1"/>
    </xf>
    <xf numFmtId="0" fontId="1" fillId="0" borderId="337" xfId="0" applyFont="1" applyBorder="1" applyAlignment="1">
      <alignment horizontal="left" vertical="center" wrapText="1"/>
    </xf>
    <xf numFmtId="0" fontId="1" fillId="0" borderId="338" xfId="0" applyFont="1" applyBorder="1" applyAlignment="1">
      <alignment horizontal="left" vertical="center" wrapText="1"/>
    </xf>
    <xf numFmtId="166" fontId="1" fillId="3" borderId="339" xfId="0" applyNumberFormat="1" applyFont="1" applyFill="1" applyBorder="1" applyAlignment="1">
      <alignment horizontal="left" vertical="center"/>
    </xf>
    <xf numFmtId="166" fontId="3" fillId="0" borderId="340" xfId="0" applyNumberFormat="1" applyFont="1" applyBorder="1" applyAlignment="1">
      <alignment horizontal="left" vertical="center"/>
    </xf>
    <xf numFmtId="166" fontId="3" fillId="0" borderId="341" xfId="0" applyNumberFormat="1" applyFont="1" applyBorder="1" applyAlignment="1">
      <alignment horizontal="left" vertical="center"/>
    </xf>
    <xf numFmtId="166" fontId="36" fillId="3" borderId="342" xfId="0" applyNumberFormat="1" applyFont="1" applyFill="1" applyBorder="1" applyAlignment="1">
      <alignment horizontal="left" vertical="center"/>
    </xf>
    <xf numFmtId="166" fontId="36" fillId="3" borderId="322" xfId="0" applyNumberFormat="1" applyFont="1" applyFill="1" applyBorder="1" applyAlignment="1">
      <alignment horizontal="left" vertical="center"/>
    </xf>
    <xf numFmtId="166" fontId="36" fillId="3" borderId="343" xfId="0" applyNumberFormat="1" applyFont="1" applyFill="1" applyBorder="1" applyAlignment="1">
      <alignment horizontal="left" vertical="center"/>
    </xf>
    <xf numFmtId="166" fontId="37" fillId="0" borderId="344" xfId="0" applyNumberFormat="1" applyFont="1" applyBorder="1" applyAlignment="1">
      <alignment horizontal="left" vertical="center"/>
    </xf>
    <xf numFmtId="166" fontId="37" fillId="0" borderId="325" xfId="0" applyNumberFormat="1" applyFont="1" applyBorder="1" applyAlignment="1">
      <alignment horizontal="left" vertical="center"/>
    </xf>
    <xf numFmtId="166" fontId="37" fillId="0" borderId="345" xfId="0" applyNumberFormat="1" applyFont="1" applyBorder="1" applyAlignment="1">
      <alignment horizontal="left" vertical="center"/>
    </xf>
    <xf numFmtId="166" fontId="37" fillId="0" borderId="346" xfId="0" applyNumberFormat="1" applyFont="1" applyBorder="1" applyAlignment="1">
      <alignment horizontal="left" vertical="center"/>
    </xf>
    <xf numFmtId="166" fontId="37" fillId="0" borderId="328" xfId="0" applyNumberFormat="1" applyFont="1" applyBorder="1" applyAlignment="1">
      <alignment horizontal="left" vertical="center"/>
    </xf>
    <xf numFmtId="166" fontId="37" fillId="0" borderId="347" xfId="0" applyNumberFormat="1" applyFont="1" applyBorder="1" applyAlignment="1">
      <alignment horizontal="left" vertical="center"/>
    </xf>
    <xf numFmtId="166" fontId="36" fillId="3" borderId="323" xfId="0" applyNumberFormat="1" applyFont="1" applyFill="1" applyBorder="1" applyAlignment="1">
      <alignment horizontal="left" vertical="center"/>
    </xf>
    <xf numFmtId="166" fontId="37" fillId="0" borderId="326" xfId="0" applyNumberFormat="1" applyFont="1" applyBorder="1" applyAlignment="1">
      <alignment horizontal="left" vertical="center"/>
    </xf>
    <xf numFmtId="0" fontId="37" fillId="0" borderId="326" xfId="0" applyFont="1" applyBorder="1" applyAlignment="1">
      <alignment horizontal="left" vertical="center"/>
    </xf>
    <xf numFmtId="0" fontId="37" fillId="0" borderId="329" xfId="0" applyFont="1" applyBorder="1" applyAlignment="1">
      <alignment horizontal="left" vertical="center"/>
    </xf>
    <xf numFmtId="166" fontId="3" fillId="0" borderId="131" xfId="0" applyNumberFormat="1" applyFont="1" applyBorder="1" applyAlignment="1">
      <alignment horizontal="left" vertical="center"/>
    </xf>
    <xf numFmtId="166" fontId="3" fillId="0" borderId="135" xfId="0" applyNumberFormat="1" applyFont="1" applyBorder="1" applyAlignment="1">
      <alignment horizontal="left" vertical="center"/>
    </xf>
    <xf numFmtId="166" fontId="3" fillId="0" borderId="145" xfId="0" applyNumberFormat="1" applyFont="1" applyBorder="1" applyAlignment="1">
      <alignment horizontal="left" vertical="center"/>
    </xf>
    <xf numFmtId="166" fontId="3" fillId="0" borderId="149" xfId="0" applyNumberFormat="1" applyFont="1" applyBorder="1" applyAlignment="1">
      <alignment horizontal="left" vertical="center"/>
    </xf>
    <xf numFmtId="0" fontId="10" fillId="0" borderId="350" xfId="0" applyFont="1" applyBorder="1" applyAlignment="1">
      <alignment horizontal="left" vertical="center"/>
    </xf>
    <xf numFmtId="0" fontId="10" fillId="0" borderId="351" xfId="0" applyFont="1" applyBorder="1" applyAlignment="1">
      <alignment horizontal="left" vertical="center"/>
    </xf>
    <xf numFmtId="166" fontId="3" fillId="0" borderId="140" xfId="0" applyNumberFormat="1" applyFont="1" applyBorder="1" applyAlignment="1">
      <alignment horizontal="left" vertical="center"/>
    </xf>
    <xf numFmtId="166" fontId="3" fillId="0" borderId="144" xfId="0" applyNumberFormat="1" applyFont="1" applyBorder="1" applyAlignment="1">
      <alignment horizontal="left" vertical="center"/>
    </xf>
    <xf numFmtId="166" fontId="37" fillId="0" borderId="150" xfId="0" applyNumberFormat="1" applyFont="1" applyBorder="1" applyAlignment="1">
      <alignment horizontal="left" vertical="center"/>
    </xf>
    <xf numFmtId="166" fontId="37" fillId="0" borderId="131" xfId="0" applyNumberFormat="1" applyFont="1" applyBorder="1" applyAlignment="1">
      <alignment horizontal="left" vertical="center"/>
    </xf>
    <xf numFmtId="166" fontId="37" fillId="0" borderId="151" xfId="0" applyNumberFormat="1" applyFont="1" applyBorder="1" applyAlignment="1">
      <alignment horizontal="left" vertical="center"/>
    </xf>
    <xf numFmtId="166" fontId="37" fillId="0" borderId="158" xfId="0" applyNumberFormat="1" applyFont="1" applyBorder="1" applyAlignment="1">
      <alignment horizontal="left" vertical="center"/>
    </xf>
    <xf numFmtId="166" fontId="37" fillId="0" borderId="135" xfId="0" applyNumberFormat="1" applyFont="1" applyBorder="1" applyAlignment="1">
      <alignment horizontal="left" vertical="center"/>
    </xf>
    <xf numFmtId="166" fontId="37" fillId="0" borderId="159" xfId="0" applyNumberFormat="1" applyFont="1" applyBorder="1" applyAlignment="1">
      <alignment horizontal="left" vertical="center"/>
    </xf>
    <xf numFmtId="166" fontId="37" fillId="0" borderId="348" xfId="0" applyNumberFormat="1" applyFont="1" applyBorder="1" applyAlignment="1">
      <alignment horizontal="left" vertical="center"/>
    </xf>
    <xf numFmtId="166" fontId="37" fillId="0" borderId="349" xfId="0" applyNumberFormat="1" applyFont="1" applyBorder="1" applyAlignment="1">
      <alignment horizontal="left" vertical="center"/>
    </xf>
    <xf numFmtId="0" fontId="3" fillId="0" borderId="352" xfId="0" applyFont="1" applyBorder="1" applyAlignment="1">
      <alignment horizontal="left" vertical="center"/>
    </xf>
    <xf numFmtId="0" fontId="3" fillId="0" borderId="353" xfId="0" applyFont="1" applyBorder="1" applyAlignment="1">
      <alignment horizontal="left" vertical="center"/>
    </xf>
    <xf numFmtId="166" fontId="3" fillId="0" borderId="354" xfId="0" applyNumberFormat="1" applyFont="1" applyBorder="1" applyAlignment="1">
      <alignment horizontal="left" vertical="center"/>
    </xf>
    <xf numFmtId="166" fontId="3" fillId="0" borderId="334" xfId="0" applyNumberFormat="1" applyFont="1" applyBorder="1" applyAlignment="1">
      <alignment horizontal="left" vertical="center"/>
    </xf>
    <xf numFmtId="166" fontId="3" fillId="0" borderId="355" xfId="0" applyNumberFormat="1" applyFont="1" applyBorder="1" applyAlignment="1">
      <alignment horizontal="left" vertical="center"/>
    </xf>
    <xf numFmtId="166" fontId="37" fillId="0" borderId="356" xfId="0" applyNumberFormat="1" applyFont="1" applyBorder="1" applyAlignment="1">
      <alignment horizontal="left" vertical="center"/>
    </xf>
    <xf numFmtId="166" fontId="37" fillId="0" borderId="334" xfId="0" applyNumberFormat="1" applyFont="1" applyBorder="1" applyAlignment="1">
      <alignment horizontal="left" vertical="center"/>
    </xf>
    <xf numFmtId="166" fontId="37" fillId="0" borderId="357" xfId="0" applyNumberFormat="1" applyFont="1" applyBorder="1" applyAlignment="1">
      <alignment horizontal="left" vertical="center"/>
    </xf>
    <xf numFmtId="166" fontId="37" fillId="0" borderId="335" xfId="0" applyNumberFormat="1" applyFont="1" applyBorder="1" applyAlignment="1">
      <alignment horizontal="left" vertical="center"/>
    </xf>
    <xf numFmtId="166" fontId="1" fillId="3" borderId="358" xfId="0" applyNumberFormat="1" applyFont="1" applyFill="1" applyBorder="1" applyAlignment="1">
      <alignment horizontal="left" vertical="center"/>
    </xf>
    <xf numFmtId="166" fontId="1" fillId="0" borderId="359" xfId="0" applyNumberFormat="1" applyFont="1" applyBorder="1" applyAlignment="1">
      <alignment horizontal="left" vertical="center"/>
    </xf>
    <xf numFmtId="166" fontId="1" fillId="0" borderId="337" xfId="0" applyNumberFormat="1" applyFont="1" applyBorder="1" applyAlignment="1">
      <alignment horizontal="left" vertical="center"/>
    </xf>
    <xf numFmtId="166" fontId="1" fillId="0" borderId="360" xfId="0" applyNumberFormat="1" applyFont="1" applyBorder="1" applyAlignment="1">
      <alignment horizontal="left" vertical="center"/>
    </xf>
    <xf numFmtId="166" fontId="36" fillId="0" borderId="361" xfId="0" applyNumberFormat="1" applyFont="1" applyBorder="1" applyAlignment="1">
      <alignment horizontal="left" vertical="center" wrapText="1"/>
    </xf>
    <xf numFmtId="166" fontId="36" fillId="0" borderId="337" xfId="0" applyNumberFormat="1" applyFont="1" applyBorder="1" applyAlignment="1">
      <alignment horizontal="left" vertical="center" wrapText="1"/>
    </xf>
    <xf numFmtId="166" fontId="36" fillId="0" borderId="362" xfId="0" applyNumberFormat="1" applyFont="1" applyBorder="1" applyAlignment="1">
      <alignment horizontal="left" vertical="center" wrapText="1"/>
    </xf>
    <xf numFmtId="166" fontId="1" fillId="0" borderId="363" xfId="0" applyNumberFormat="1" applyFont="1" applyBorder="1" applyAlignment="1">
      <alignment horizontal="left" vertical="center" wrapText="1"/>
    </xf>
    <xf numFmtId="166" fontId="1" fillId="0" borderId="337" xfId="0" applyNumberFormat="1" applyFont="1" applyBorder="1" applyAlignment="1">
      <alignment horizontal="left" vertical="center" wrapText="1"/>
    </xf>
    <xf numFmtId="166" fontId="1" fillId="0" borderId="360" xfId="0" applyNumberFormat="1" applyFont="1" applyBorder="1" applyAlignment="1">
      <alignment horizontal="left" vertical="center" wrapText="1"/>
    </xf>
    <xf numFmtId="166" fontId="36" fillId="0" borderId="338" xfId="0" applyNumberFormat="1" applyFont="1" applyBorder="1" applyAlignment="1">
      <alignment horizontal="left" vertical="center" wrapText="1"/>
    </xf>
    <xf numFmtId="0" fontId="9" fillId="0" borderId="0" xfId="0" applyFont="1" applyAlignment="1">
      <alignment horizontal="left" vertical="center" wrapText="1"/>
    </xf>
    <xf numFmtId="0" fontId="3" fillId="0" borderId="0" xfId="0" applyFont="1" applyAlignment="1">
      <alignment horizontal="left" vertical="center"/>
    </xf>
    <xf numFmtId="0" fontId="31" fillId="0" borderId="0" xfId="0" applyFont="1" applyAlignment="1">
      <alignment horizontal="left" vertical="center" wrapText="1"/>
    </xf>
    <xf numFmtId="167" fontId="3" fillId="0" borderId="47" xfId="0" applyNumberFormat="1" applyFont="1" applyBorder="1" applyAlignment="1">
      <alignment horizontal="left"/>
    </xf>
    <xf numFmtId="0" fontId="3" fillId="0" borderId="48" xfId="0" applyFont="1" applyBorder="1" applyAlignment="1">
      <alignment horizontal="left"/>
    </xf>
    <xf numFmtId="0" fontId="3" fillId="0" borderId="49" xfId="0" applyFont="1" applyBorder="1" applyAlignment="1">
      <alignment horizontal="left"/>
    </xf>
    <xf numFmtId="167" fontId="3" fillId="0" borderId="50" xfId="0" applyNumberFormat="1" applyFont="1" applyBorder="1" applyAlignment="1">
      <alignment horizontal="left"/>
    </xf>
    <xf numFmtId="167" fontId="3" fillId="0" borderId="53" xfId="0" applyNumberFormat="1" applyFont="1" applyBorder="1" applyAlignment="1">
      <alignment horizontal="left"/>
    </xf>
    <xf numFmtId="0" fontId="40" fillId="0" borderId="78" xfId="0" applyFont="1" applyBorder="1" applyAlignment="1">
      <alignment horizontal="left" vertical="center" wrapText="1"/>
    </xf>
    <xf numFmtId="0" fontId="40" fillId="0" borderId="79" xfId="0" applyFont="1" applyBorder="1" applyAlignment="1">
      <alignment horizontal="left" vertical="top" wrapText="1"/>
    </xf>
    <xf numFmtId="167" fontId="40" fillId="0" borderId="80" xfId="0" applyNumberFormat="1" applyFont="1" applyBorder="1" applyAlignment="1">
      <alignment horizontal="left" vertical="center" wrapText="1"/>
    </xf>
    <xf numFmtId="167" fontId="3" fillId="0" borderId="364" xfId="0" applyNumberFormat="1" applyFont="1" applyBorder="1" applyAlignment="1">
      <alignment horizontal="left"/>
    </xf>
    <xf numFmtId="0" fontId="3" fillId="0" borderId="59" xfId="0" applyFont="1" applyBorder="1" applyAlignment="1">
      <alignment horizontal="left"/>
    </xf>
    <xf numFmtId="167" fontId="3" fillId="0" borderId="365" xfId="0" applyNumberFormat="1" applyFont="1" applyBorder="1" applyAlignment="1">
      <alignment horizontal="left"/>
    </xf>
    <xf numFmtId="0" fontId="3" fillId="0" borderId="61" xfId="0" applyFont="1" applyBorder="1" applyAlignment="1">
      <alignment horizontal="left"/>
    </xf>
    <xf numFmtId="0" fontId="3" fillId="0" borderId="62" xfId="0" applyFont="1" applyBorder="1" applyAlignment="1">
      <alignment horizontal="left"/>
    </xf>
    <xf numFmtId="167" fontId="3" fillId="0" borderId="366" xfId="0" applyNumberFormat="1" applyFont="1" applyBorder="1" applyAlignment="1">
      <alignment horizontal="left"/>
    </xf>
    <xf numFmtId="0" fontId="3" fillId="0" borderId="65" xfId="0" applyFont="1" applyBorder="1" applyAlignment="1">
      <alignment horizontal="left"/>
    </xf>
    <xf numFmtId="167" fontId="40" fillId="0" borderId="367" xfId="0" applyNumberFormat="1" applyFont="1" applyBorder="1" applyAlignment="1">
      <alignment horizontal="left" vertical="center" wrapText="1"/>
    </xf>
    <xf numFmtId="0" fontId="40" fillId="0" borderId="67" xfId="0" applyFont="1" applyBorder="1" applyAlignment="1">
      <alignment horizontal="center" vertical="center" wrapText="1"/>
    </xf>
    <xf numFmtId="0" fontId="40" fillId="0" borderId="68" xfId="0" applyFont="1" applyBorder="1" applyAlignment="1">
      <alignment horizontal="center" vertical="center" wrapText="1"/>
    </xf>
    <xf numFmtId="167" fontId="3" fillId="7" borderId="364" xfId="0" applyNumberFormat="1" applyFont="1" applyFill="1" applyBorder="1" applyAlignment="1">
      <alignment horizontal="left"/>
    </xf>
    <xf numFmtId="0" fontId="3" fillId="7" borderId="58" xfId="0" applyFont="1" applyFill="1" applyBorder="1" applyAlignment="1">
      <alignment horizontal="left"/>
    </xf>
    <xf numFmtId="0" fontId="3" fillId="7" borderId="59" xfId="0" applyFont="1" applyFill="1" applyBorder="1" applyAlignment="1">
      <alignment horizontal="left"/>
    </xf>
    <xf numFmtId="167" fontId="3" fillId="0" borderId="368" xfId="0" applyNumberFormat="1" applyFont="1" applyBorder="1" applyAlignment="1">
      <alignment horizontal="left"/>
    </xf>
    <xf numFmtId="0" fontId="3" fillId="0" borderId="71" xfId="0" applyFont="1" applyBorder="1" applyAlignment="1">
      <alignment horizontal="left"/>
    </xf>
    <xf numFmtId="167" fontId="3" fillId="7" borderId="369" xfId="0" applyNumberFormat="1" applyFont="1" applyFill="1" applyBorder="1" applyAlignment="1">
      <alignment horizontal="left"/>
    </xf>
    <xf numFmtId="0" fontId="3" fillId="7" borderId="73" xfId="0" applyFont="1" applyFill="1" applyBorder="1" applyAlignment="1">
      <alignment horizontal="left"/>
    </xf>
    <xf numFmtId="0" fontId="3" fillId="7" borderId="74" xfId="0" applyFont="1" applyFill="1" applyBorder="1" applyAlignment="1">
      <alignment horizontal="left"/>
    </xf>
    <xf numFmtId="167" fontId="3" fillId="7" borderId="370" xfId="0" applyNumberFormat="1" applyFont="1" applyFill="1" applyBorder="1" applyAlignment="1">
      <alignment horizontal="left"/>
    </xf>
    <xf numFmtId="0" fontId="3" fillId="7" borderId="76" xfId="0" applyFont="1" applyFill="1" applyBorder="1" applyAlignment="1">
      <alignment horizontal="left"/>
    </xf>
    <xf numFmtId="0" fontId="3" fillId="7" borderId="77" xfId="0" applyFont="1" applyFill="1" applyBorder="1" applyAlignment="1">
      <alignment horizontal="left"/>
    </xf>
    <xf numFmtId="0" fontId="40" fillId="0" borderId="371" xfId="0" applyFont="1" applyBorder="1" applyAlignment="1">
      <alignment horizontal="center" vertical="center" wrapText="1"/>
    </xf>
    <xf numFmtId="0" fontId="3" fillId="0" borderId="102" xfId="0" applyFont="1" applyBorder="1" applyAlignment="1">
      <alignment horizontal="left"/>
    </xf>
    <xf numFmtId="0" fontId="3" fillId="0" borderId="372" xfId="0" applyFont="1" applyBorder="1" applyAlignment="1">
      <alignment horizontal="left"/>
    </xf>
    <xf numFmtId="0" fontId="3" fillId="0" borderId="373" xfId="0" applyFont="1" applyBorder="1" applyAlignment="1">
      <alignment horizontal="left"/>
    </xf>
    <xf numFmtId="0" fontId="3" fillId="7" borderId="103" xfId="0" applyFont="1" applyFill="1" applyBorder="1" applyAlignment="1">
      <alignment horizontal="left"/>
    </xf>
    <xf numFmtId="0" fontId="3" fillId="7" borderId="372" xfId="0" applyFont="1" applyFill="1" applyBorder="1" applyAlignment="1">
      <alignment horizontal="left"/>
    </xf>
    <xf numFmtId="0" fontId="3" fillId="7" borderId="101" xfId="0" applyFont="1" applyFill="1" applyBorder="1" applyAlignment="1">
      <alignment horizontal="left"/>
    </xf>
    <xf numFmtId="0" fontId="3" fillId="0" borderId="255" xfId="0" applyFont="1" applyBorder="1" applyAlignment="1">
      <alignment horizontal="left"/>
    </xf>
    <xf numFmtId="167" fontId="40" fillId="0" borderId="374" xfId="0" applyNumberFormat="1" applyFont="1" applyBorder="1" applyAlignment="1">
      <alignment horizontal="left" vertical="center" wrapText="1"/>
    </xf>
    <xf numFmtId="167" fontId="3" fillId="0" borderId="109" xfId="0" applyNumberFormat="1" applyFont="1" applyBorder="1" applyAlignment="1">
      <alignment horizontal="left"/>
    </xf>
    <xf numFmtId="167" fontId="3" fillId="0" borderId="375" xfId="0" applyNumberFormat="1" applyFont="1" applyBorder="1" applyAlignment="1">
      <alignment horizontal="left"/>
    </xf>
    <xf numFmtId="167" fontId="3" fillId="0" borderId="376" xfId="0" applyNumberFormat="1" applyFont="1" applyBorder="1" applyAlignment="1">
      <alignment horizontal="left"/>
    </xf>
    <xf numFmtId="167" fontId="3" fillId="7" borderId="111" xfId="0" applyNumberFormat="1" applyFont="1" applyFill="1" applyBorder="1" applyAlignment="1">
      <alignment horizontal="left"/>
    </xf>
    <xf numFmtId="167" fontId="3" fillId="7" borderId="375" xfId="0" applyNumberFormat="1" applyFont="1" applyFill="1" applyBorder="1" applyAlignment="1">
      <alignment horizontal="left"/>
    </xf>
    <xf numFmtId="167" fontId="3" fillId="7" borderId="107" xfId="0" applyNumberFormat="1" applyFont="1" applyFill="1" applyBorder="1" applyAlignment="1">
      <alignment horizontal="left"/>
    </xf>
    <xf numFmtId="167" fontId="3" fillId="0" borderId="259" xfId="0" applyNumberFormat="1" applyFont="1" applyBorder="1" applyAlignment="1">
      <alignment horizontal="left"/>
    </xf>
    <xf numFmtId="166" fontId="3" fillId="3" borderId="0" xfId="0" applyNumberFormat="1" applyFont="1" applyFill="1" applyAlignment="1">
      <alignment horizontal="left" vertical="center"/>
    </xf>
    <xf numFmtId="0" fontId="15" fillId="0" borderId="0" xfId="0" applyFont="1" applyAlignment="1">
      <alignment horizontal="left" vertical="center"/>
    </xf>
    <xf numFmtId="0" fontId="15" fillId="0" borderId="0" xfId="0" applyFont="1" applyAlignment="1">
      <alignment vertical="center" wrapText="1"/>
    </xf>
    <xf numFmtId="2" fontId="3" fillId="0" borderId="0" xfId="0" applyNumberFormat="1" applyFont="1" applyFill="1" applyAlignment="1">
      <alignment horizontal="left" vertical="center"/>
    </xf>
    <xf numFmtId="0" fontId="9" fillId="0" borderId="0" xfId="0" applyFont="1" applyAlignment="1">
      <alignment horizontal="left" vertical="center" wrapText="1"/>
    </xf>
    <xf numFmtId="0" fontId="3" fillId="0" borderId="0" xfId="0" applyFont="1" applyAlignment="1">
      <alignment horizontal="left" vertical="center"/>
    </xf>
    <xf numFmtId="0" fontId="1" fillId="0" borderId="89" xfId="0" applyFont="1" applyFill="1" applyBorder="1" applyAlignment="1">
      <alignment horizontal="left" vertical="top" wrapText="1"/>
    </xf>
    <xf numFmtId="0" fontId="3" fillId="0" borderId="0" xfId="0" applyFont="1" applyFill="1" applyAlignment="1"/>
    <xf numFmtId="0" fontId="1" fillId="0" borderId="87" xfId="0" applyFont="1" applyFill="1" applyBorder="1" applyAlignment="1">
      <alignment horizontal="center" vertical="center" wrapText="1"/>
    </xf>
    <xf numFmtId="0" fontId="3" fillId="0" borderId="45" xfId="0" applyFont="1" applyBorder="1"/>
    <xf numFmtId="0" fontId="3" fillId="0" borderId="46" xfId="0" applyFont="1" applyBorder="1"/>
    <xf numFmtId="0" fontId="3" fillId="0" borderId="48" xfId="0" applyFont="1" applyBorder="1"/>
    <xf numFmtId="0" fontId="3" fillId="0" borderId="49" xfId="0" applyFont="1" applyBorder="1"/>
    <xf numFmtId="0" fontId="3" fillId="0" borderId="51" xfId="0" applyFont="1" applyBorder="1"/>
    <xf numFmtId="0" fontId="3" fillId="0" borderId="52" xfId="0" applyFont="1" applyBorder="1"/>
    <xf numFmtId="0" fontId="3" fillId="0" borderId="378" xfId="0" applyFont="1" applyBorder="1"/>
    <xf numFmtId="0" fontId="3" fillId="0" borderId="264" xfId="0" applyFont="1" applyBorder="1"/>
    <xf numFmtId="166" fontId="3" fillId="0" borderId="264" xfId="0" applyNumberFormat="1" applyFont="1" applyBorder="1" applyAlignment="1">
      <alignment horizontal="left"/>
    </xf>
    <xf numFmtId="166" fontId="3" fillId="0" borderId="265" xfId="0" applyNumberFormat="1" applyFont="1" applyBorder="1" applyAlignment="1">
      <alignment horizontal="left"/>
    </xf>
    <xf numFmtId="0" fontId="3" fillId="0" borderId="379" xfId="0" applyFont="1" applyBorder="1"/>
    <xf numFmtId="0" fontId="3" fillId="0" borderId="267" xfId="0" applyFont="1" applyBorder="1"/>
    <xf numFmtId="166" fontId="3" fillId="0" borderId="267" xfId="0" applyNumberFormat="1" applyFont="1" applyBorder="1" applyAlignment="1">
      <alignment horizontal="left"/>
    </xf>
    <xf numFmtId="166" fontId="3" fillId="0" borderId="268" xfId="0" applyNumberFormat="1" applyFont="1" applyBorder="1" applyAlignment="1">
      <alignment horizontal="left"/>
    </xf>
    <xf numFmtId="0" fontId="3" fillId="0" borderId="380" xfId="0" applyFont="1" applyBorder="1"/>
    <xf numFmtId="0" fontId="3" fillId="0" borderId="270" xfId="0" applyFont="1" applyBorder="1"/>
    <xf numFmtId="166" fontId="3" fillId="0" borderId="270" xfId="0" applyNumberFormat="1" applyFont="1" applyBorder="1" applyAlignment="1">
      <alignment horizontal="left"/>
    </xf>
    <xf numFmtId="0" fontId="1" fillId="0" borderId="381" xfId="0" applyFont="1" applyFill="1" applyBorder="1" applyAlignment="1">
      <alignment horizontal="left" vertical="center" wrapText="1"/>
    </xf>
    <xf numFmtId="0" fontId="1" fillId="0" borderId="273" xfId="0" applyFont="1" applyFill="1" applyBorder="1" applyAlignment="1">
      <alignment horizontal="left" vertical="center" wrapText="1"/>
    </xf>
    <xf numFmtId="166" fontId="1" fillId="0" borderId="273" xfId="0" applyNumberFormat="1" applyFont="1" applyFill="1" applyBorder="1" applyAlignment="1">
      <alignment horizontal="left" vertical="center" wrapText="1"/>
    </xf>
    <xf numFmtId="166" fontId="6" fillId="0" borderId="273" xfId="0" applyNumberFormat="1" applyFont="1" applyFill="1" applyBorder="1" applyAlignment="1">
      <alignment horizontal="left" vertical="center" wrapText="1"/>
    </xf>
    <xf numFmtId="166" fontId="1" fillId="0" borderId="383" xfId="0" applyNumberFormat="1" applyFont="1" applyFill="1" applyBorder="1" applyAlignment="1">
      <alignment horizontal="left" vertical="center" wrapText="1"/>
    </xf>
    <xf numFmtId="166" fontId="3" fillId="0" borderId="384" xfId="0" applyNumberFormat="1" applyFont="1" applyBorder="1" applyAlignment="1">
      <alignment horizontal="left"/>
    </xf>
    <xf numFmtId="166" fontId="3" fillId="0" borderId="385" xfId="0" applyNumberFormat="1" applyFont="1" applyBorder="1" applyAlignment="1">
      <alignment horizontal="left"/>
    </xf>
    <xf numFmtId="166" fontId="3" fillId="0" borderId="386" xfId="0" applyNumberFormat="1" applyFont="1" applyBorder="1" applyAlignment="1">
      <alignment horizontal="left"/>
    </xf>
    <xf numFmtId="0" fontId="1" fillId="0" borderId="274" xfId="0" applyFont="1" applyFill="1" applyBorder="1" applyAlignment="1">
      <alignment horizontal="left" vertical="center" wrapText="1"/>
    </xf>
    <xf numFmtId="0" fontId="3" fillId="0" borderId="271" xfId="0" applyFont="1" applyBorder="1"/>
    <xf numFmtId="0" fontId="3" fillId="0" borderId="265" xfId="0" applyFont="1" applyBorder="1"/>
    <xf numFmtId="0" fontId="3" fillId="0" borderId="268" xfId="0" applyFont="1" applyBorder="1"/>
    <xf numFmtId="166" fontId="1" fillId="0" borderId="388" xfId="0" applyNumberFormat="1" applyFont="1" applyFill="1" applyBorder="1" applyAlignment="1">
      <alignment horizontal="left" vertical="center" wrapText="1"/>
    </xf>
    <xf numFmtId="166" fontId="3" fillId="0" borderId="389" xfId="0" applyNumberFormat="1" applyFont="1" applyBorder="1" applyAlignment="1">
      <alignment horizontal="left"/>
    </xf>
    <xf numFmtId="166" fontId="3" fillId="0" borderId="390" xfId="0" applyNumberFormat="1" applyFont="1" applyBorder="1" applyAlignment="1">
      <alignment horizontal="left"/>
    </xf>
    <xf numFmtId="166" fontId="3" fillId="0" borderId="391" xfId="0" applyNumberFormat="1" applyFont="1" applyBorder="1" applyAlignment="1">
      <alignment horizontal="left"/>
    </xf>
    <xf numFmtId="166" fontId="6" fillId="0" borderId="383" xfId="0" applyNumberFormat="1" applyFont="1" applyFill="1" applyBorder="1" applyAlignment="1">
      <alignment horizontal="left" vertical="center" wrapText="1"/>
    </xf>
    <xf numFmtId="166" fontId="45" fillId="0" borderId="394" xfId="0" applyNumberFormat="1" applyFont="1" applyFill="1" applyBorder="1" applyAlignment="1">
      <alignment horizontal="left" vertical="center" wrapText="1"/>
    </xf>
    <xf numFmtId="166" fontId="45" fillId="0" borderId="273" xfId="0" applyNumberFormat="1" applyFont="1" applyFill="1" applyBorder="1" applyAlignment="1">
      <alignment horizontal="left" vertical="center" wrapText="1"/>
    </xf>
    <xf numFmtId="166" fontId="45" fillId="0" borderId="395" xfId="0" applyNumberFormat="1" applyFont="1" applyFill="1" applyBorder="1" applyAlignment="1">
      <alignment horizontal="left" vertical="center" wrapText="1"/>
    </xf>
    <xf numFmtId="166" fontId="17" fillId="0" borderId="396" xfId="0" applyNumberFormat="1" applyFont="1" applyBorder="1" applyAlignment="1">
      <alignment horizontal="left"/>
    </xf>
    <xf numFmtId="166" fontId="17" fillId="0" borderId="270" xfId="0" applyNumberFormat="1" applyFont="1" applyBorder="1" applyAlignment="1">
      <alignment horizontal="left"/>
    </xf>
    <xf numFmtId="166" fontId="17" fillId="0" borderId="397" xfId="0" applyNumberFormat="1" applyFont="1" applyBorder="1" applyAlignment="1">
      <alignment horizontal="left"/>
    </xf>
    <xf numFmtId="166" fontId="17" fillId="0" borderId="398" xfId="0" applyNumberFormat="1" applyFont="1" applyBorder="1" applyAlignment="1">
      <alignment horizontal="left"/>
    </xf>
    <xf numFmtId="166" fontId="17" fillId="0" borderId="264" xfId="0" applyNumberFormat="1" applyFont="1" applyBorder="1" applyAlignment="1">
      <alignment horizontal="left"/>
    </xf>
    <xf numFmtId="166" fontId="17" fillId="0" borderId="399" xfId="0" applyNumberFormat="1" applyFont="1" applyBorder="1" applyAlignment="1">
      <alignment horizontal="left"/>
    </xf>
    <xf numFmtId="166" fontId="17" fillId="0" borderId="400" xfId="0" applyNumberFormat="1" applyFont="1" applyBorder="1" applyAlignment="1">
      <alignment horizontal="left"/>
    </xf>
    <xf numFmtId="166" fontId="17" fillId="0" borderId="267" xfId="0" applyNumberFormat="1" applyFont="1" applyBorder="1" applyAlignment="1">
      <alignment horizontal="left"/>
    </xf>
    <xf numFmtId="166" fontId="17" fillId="0" borderId="401" xfId="0" applyNumberFormat="1" applyFont="1" applyBorder="1" applyAlignment="1">
      <alignment horizontal="left"/>
    </xf>
    <xf numFmtId="166" fontId="6" fillId="0" borderId="388" xfId="0" applyNumberFormat="1" applyFont="1" applyFill="1" applyBorder="1" applyAlignment="1">
      <alignment horizontal="left" vertical="center" wrapText="1"/>
    </xf>
    <xf numFmtId="0" fontId="31" fillId="7" borderId="42" xfId="0" applyFont="1" applyFill="1" applyBorder="1" applyAlignment="1">
      <alignment horizontal="left" vertical="center"/>
    </xf>
    <xf numFmtId="0" fontId="1" fillId="7" borderId="43" xfId="0" applyFont="1" applyFill="1" applyBorder="1" applyAlignment="1">
      <alignment horizontal="left" vertical="center"/>
    </xf>
    <xf numFmtId="0" fontId="1" fillId="7" borderId="44" xfId="0" applyFont="1" applyFill="1" applyBorder="1" applyAlignment="1">
      <alignment horizontal="left" vertical="center"/>
    </xf>
    <xf numFmtId="0" fontId="1" fillId="7" borderId="377" xfId="0" applyFont="1" applyFill="1" applyBorder="1" applyAlignment="1">
      <alignment horizontal="left" vertical="center"/>
    </xf>
    <xf numFmtId="166" fontId="1" fillId="7" borderId="382" xfId="0" applyNumberFormat="1" applyFont="1" applyFill="1" applyBorder="1" applyAlignment="1">
      <alignment horizontal="left" vertical="center"/>
    </xf>
    <xf numFmtId="166" fontId="1" fillId="7" borderId="261" xfId="0" applyNumberFormat="1" applyFont="1" applyFill="1" applyBorder="1" applyAlignment="1">
      <alignment horizontal="left" vertical="center"/>
    </xf>
    <xf numFmtId="166" fontId="1" fillId="7" borderId="387" xfId="0" applyNumberFormat="1" applyFont="1" applyFill="1" applyBorder="1" applyAlignment="1">
      <alignment horizontal="left" vertical="center"/>
    </xf>
    <xf numFmtId="166" fontId="31" fillId="7" borderId="392" xfId="0" applyNumberFormat="1" applyFont="1" applyFill="1" applyBorder="1" applyAlignment="1">
      <alignment horizontal="left" vertical="center"/>
    </xf>
    <xf numFmtId="166" fontId="31" fillId="7" borderId="261" xfId="0" applyNumberFormat="1" applyFont="1" applyFill="1" applyBorder="1" applyAlignment="1">
      <alignment horizontal="left" vertical="center"/>
    </xf>
    <xf numFmtId="166" fontId="31" fillId="7" borderId="393" xfId="0" applyNumberFormat="1" applyFont="1" applyFill="1" applyBorder="1" applyAlignment="1">
      <alignment horizontal="left" vertical="center"/>
    </xf>
    <xf numFmtId="0" fontId="1" fillId="0" borderId="88" xfId="0" applyFont="1" applyFill="1" applyBorder="1" applyAlignment="1">
      <alignment horizontal="left" vertical="top" wrapText="1"/>
    </xf>
    <xf numFmtId="166" fontId="1" fillId="7" borderId="392" xfId="0" applyNumberFormat="1" applyFont="1" applyFill="1" applyBorder="1" applyAlignment="1">
      <alignment horizontal="left" vertical="center"/>
    </xf>
    <xf numFmtId="166" fontId="3" fillId="0" borderId="398" xfId="0" applyNumberFormat="1" applyFont="1" applyBorder="1" applyAlignment="1">
      <alignment horizontal="left"/>
    </xf>
    <xf numFmtId="166" fontId="3" fillId="0" borderId="400" xfId="0" applyNumberFormat="1" applyFont="1" applyBorder="1" applyAlignment="1">
      <alignment horizontal="left"/>
    </xf>
    <xf numFmtId="166" fontId="3" fillId="0" borderId="267" xfId="0" applyNumberFormat="1" applyFont="1" applyBorder="1" applyAlignment="1">
      <alignment horizontal="left" vertical="center"/>
    </xf>
    <xf numFmtId="166" fontId="3" fillId="0" borderId="396" xfId="0" applyNumberFormat="1" applyFont="1" applyBorder="1" applyAlignment="1">
      <alignment horizontal="left"/>
    </xf>
    <xf numFmtId="166" fontId="6" fillId="0" borderId="394" xfId="0" applyNumberFormat="1" applyFont="1" applyFill="1" applyBorder="1" applyAlignment="1">
      <alignment horizontal="left" vertical="center" wrapText="1"/>
    </xf>
    <xf numFmtId="166" fontId="31" fillId="7" borderId="262" xfId="0" applyNumberFormat="1" applyFont="1" applyFill="1" applyBorder="1" applyAlignment="1">
      <alignment horizontal="left" vertical="center"/>
    </xf>
    <xf numFmtId="166" fontId="17" fillId="0" borderId="396" xfId="0" applyNumberFormat="1" applyFont="1" applyBorder="1" applyAlignment="1">
      <alignment horizontal="left" vertical="center"/>
    </xf>
    <xf numFmtId="166" fontId="17" fillId="0" borderId="270" xfId="0" applyNumberFormat="1" applyFont="1" applyBorder="1" applyAlignment="1">
      <alignment horizontal="left" vertical="center"/>
    </xf>
    <xf numFmtId="166" fontId="17" fillId="0" borderId="271" xfId="0" applyNumberFormat="1" applyFont="1" applyBorder="1" applyAlignment="1">
      <alignment horizontal="left" vertical="center"/>
    </xf>
    <xf numFmtId="166" fontId="17" fillId="0" borderId="398" xfId="0" applyNumberFormat="1" applyFont="1" applyBorder="1" applyAlignment="1">
      <alignment horizontal="left" vertical="center"/>
    </xf>
    <xf numFmtId="166" fontId="17" fillId="0" borderId="264" xfId="0" applyNumberFormat="1" applyFont="1" applyBorder="1" applyAlignment="1">
      <alignment horizontal="left" vertical="center"/>
    </xf>
    <xf numFmtId="166" fontId="17" fillId="0" borderId="265" xfId="0" applyNumberFormat="1" applyFont="1" applyBorder="1" applyAlignment="1">
      <alignment horizontal="left" vertical="center"/>
    </xf>
    <xf numFmtId="166" fontId="17" fillId="0" borderId="400" xfId="0" applyNumberFormat="1" applyFont="1" applyBorder="1" applyAlignment="1">
      <alignment horizontal="left" vertical="center"/>
    </xf>
    <xf numFmtId="166" fontId="17" fillId="0" borderId="267" xfId="0" applyNumberFormat="1" applyFont="1" applyBorder="1" applyAlignment="1">
      <alignment horizontal="left" vertical="center"/>
    </xf>
    <xf numFmtId="166" fontId="17" fillId="0" borderId="268" xfId="0" applyNumberFormat="1" applyFont="1" applyBorder="1" applyAlignment="1">
      <alignment horizontal="left" vertical="center"/>
    </xf>
    <xf numFmtId="0" fontId="3" fillId="0" borderId="263" xfId="0" applyFont="1" applyBorder="1"/>
    <xf numFmtId="0" fontId="3" fillId="0" borderId="266" xfId="0" applyFont="1" applyBorder="1"/>
    <xf numFmtId="0" fontId="3" fillId="0" borderId="269" xfId="0" applyFont="1" applyBorder="1"/>
    <xf numFmtId="0" fontId="1" fillId="0" borderId="272" xfId="0" applyFont="1" applyFill="1" applyBorder="1" applyAlignment="1">
      <alignment horizontal="center" vertical="center" wrapText="1"/>
    </xf>
    <xf numFmtId="0" fontId="1" fillId="0" borderId="273" xfId="0" applyFont="1" applyFill="1" applyBorder="1" applyAlignment="1">
      <alignment horizontal="left" vertical="top" wrapText="1"/>
    </xf>
    <xf numFmtId="0" fontId="1" fillId="0" borderId="274" xfId="0" applyFont="1" applyFill="1" applyBorder="1" applyAlignment="1">
      <alignment horizontal="left" vertical="top" wrapText="1"/>
    </xf>
    <xf numFmtId="0" fontId="3" fillId="0" borderId="405" xfId="0" applyFont="1" applyBorder="1"/>
    <xf numFmtId="0" fontId="3" fillId="0" borderId="406" xfId="0" applyFont="1" applyBorder="1"/>
    <xf numFmtId="166" fontId="3" fillId="0" borderId="406" xfId="0" applyNumberFormat="1" applyFont="1" applyBorder="1" applyAlignment="1">
      <alignment horizontal="left"/>
    </xf>
    <xf numFmtId="0" fontId="3" fillId="0" borderId="408" xfId="0" applyFont="1" applyBorder="1"/>
    <xf numFmtId="0" fontId="3" fillId="0" borderId="409" xfId="0" applyFont="1" applyBorder="1"/>
    <xf numFmtId="166" fontId="3" fillId="0" borderId="409" xfId="0" applyNumberFormat="1" applyFont="1" applyBorder="1" applyAlignment="1">
      <alignment horizontal="left"/>
    </xf>
    <xf numFmtId="0" fontId="3" fillId="0" borderId="411" xfId="0" applyFont="1" applyBorder="1"/>
    <xf numFmtId="0" fontId="3" fillId="0" borderId="412" xfId="0" applyFont="1" applyBorder="1"/>
    <xf numFmtId="166" fontId="3" fillId="0" borderId="412" xfId="0" applyNumberFormat="1" applyFont="1" applyBorder="1" applyAlignment="1">
      <alignment horizontal="left"/>
    </xf>
    <xf numFmtId="0" fontId="1" fillId="0" borderId="414" xfId="0" applyFont="1" applyFill="1" applyBorder="1" applyAlignment="1">
      <alignment horizontal="left" vertical="center" wrapText="1"/>
    </xf>
    <xf numFmtId="0" fontId="1" fillId="0" borderId="415" xfId="0" applyFont="1" applyFill="1" applyBorder="1" applyAlignment="1">
      <alignment horizontal="left" vertical="center" wrapText="1"/>
    </xf>
    <xf numFmtId="166" fontId="1" fillId="0" borderId="415" xfId="0" applyNumberFormat="1" applyFont="1" applyFill="1" applyBorder="1" applyAlignment="1">
      <alignment horizontal="left" vertical="center" wrapText="1"/>
    </xf>
    <xf numFmtId="166" fontId="6" fillId="0" borderId="415" xfId="0" applyNumberFormat="1" applyFont="1" applyFill="1" applyBorder="1" applyAlignment="1">
      <alignment horizontal="left" vertical="center" wrapText="1"/>
    </xf>
    <xf numFmtId="0" fontId="31" fillId="4" borderId="260" xfId="0" applyFont="1" applyFill="1" applyBorder="1" applyAlignment="1">
      <alignment horizontal="left" vertical="center"/>
    </xf>
    <xf numFmtId="0" fontId="1" fillId="4" borderId="261" xfId="0" applyFont="1" applyFill="1" applyBorder="1" applyAlignment="1">
      <alignment horizontal="left" vertical="center"/>
    </xf>
    <xf numFmtId="0" fontId="1" fillId="4" borderId="262" xfId="0" applyFont="1" applyFill="1" applyBorder="1" applyAlignment="1">
      <alignment horizontal="left" vertical="center"/>
    </xf>
    <xf numFmtId="0" fontId="1" fillId="4" borderId="402" xfId="0" applyFont="1" applyFill="1" applyBorder="1" applyAlignment="1">
      <alignment horizontal="left" vertical="center"/>
    </xf>
    <xf numFmtId="166" fontId="1" fillId="4" borderId="403" xfId="0" applyNumberFormat="1" applyFont="1" applyFill="1" applyBorder="1" applyAlignment="1">
      <alignment horizontal="left" vertical="center"/>
    </xf>
    <xf numFmtId="166" fontId="1" fillId="4" borderId="417" xfId="0" applyNumberFormat="1" applyFont="1" applyFill="1" applyBorder="1" applyAlignment="1">
      <alignment horizontal="left" vertical="center"/>
    </xf>
    <xf numFmtId="166" fontId="1" fillId="0" borderId="418" xfId="0" applyNumberFormat="1" applyFont="1" applyFill="1" applyBorder="1" applyAlignment="1">
      <alignment horizontal="left" vertical="center" wrapText="1"/>
    </xf>
    <xf numFmtId="166" fontId="3" fillId="0" borderId="419" xfId="0" applyNumberFormat="1" applyFont="1" applyBorder="1" applyAlignment="1">
      <alignment horizontal="left"/>
    </xf>
    <xf numFmtId="166" fontId="3" fillId="0" borderId="420" xfId="0" applyNumberFormat="1" applyFont="1" applyBorder="1" applyAlignment="1">
      <alignment horizontal="left"/>
    </xf>
    <xf numFmtId="166" fontId="3" fillId="0" borderId="421" xfId="0" applyNumberFormat="1" applyFont="1" applyBorder="1" applyAlignment="1">
      <alignment horizontal="left"/>
    </xf>
    <xf numFmtId="0" fontId="1" fillId="0" borderId="416" xfId="0" applyFont="1" applyFill="1" applyBorder="1" applyAlignment="1">
      <alignment horizontal="left" vertical="center" wrapText="1"/>
    </xf>
    <xf numFmtId="0" fontId="3" fillId="0" borderId="413" xfId="0" applyFont="1" applyBorder="1"/>
    <xf numFmtId="0" fontId="3" fillId="0" borderId="407" xfId="0" applyFont="1" applyBorder="1"/>
    <xf numFmtId="0" fontId="3" fillId="0" borderId="410" xfId="0" applyFont="1" applyBorder="1"/>
    <xf numFmtId="166" fontId="1" fillId="4" borderId="422" xfId="0" applyNumberFormat="1" applyFont="1" applyFill="1" applyBorder="1" applyAlignment="1">
      <alignment horizontal="left" vertical="center"/>
    </xf>
    <xf numFmtId="166" fontId="1" fillId="0" borderId="423" xfId="0" applyNumberFormat="1" applyFont="1" applyFill="1" applyBorder="1" applyAlignment="1">
      <alignment horizontal="left" vertical="center" wrapText="1"/>
    </xf>
    <xf numFmtId="166" fontId="3" fillId="0" borderId="424" xfId="0" applyNumberFormat="1" applyFont="1" applyBorder="1" applyAlignment="1">
      <alignment horizontal="left"/>
    </xf>
    <xf numFmtId="166" fontId="3" fillId="0" borderId="425" xfId="0" applyNumberFormat="1" applyFont="1" applyBorder="1" applyAlignment="1">
      <alignment horizontal="left"/>
    </xf>
    <xf numFmtId="166" fontId="3" fillId="0" borderId="426" xfId="0" applyNumberFormat="1" applyFont="1" applyBorder="1" applyAlignment="1">
      <alignment horizontal="left"/>
    </xf>
    <xf numFmtId="166" fontId="6" fillId="0" borderId="418" xfId="0" applyNumberFormat="1" applyFont="1" applyFill="1" applyBorder="1" applyAlignment="1">
      <alignment horizontal="left" vertical="center" wrapText="1"/>
    </xf>
    <xf numFmtId="166" fontId="43" fillId="4" borderId="427" xfId="0" applyNumberFormat="1" applyFont="1" applyFill="1" applyBorder="1" applyAlignment="1">
      <alignment horizontal="left" vertical="center"/>
    </xf>
    <xf numFmtId="166" fontId="43" fillId="4" borderId="403" xfId="0" applyNumberFormat="1" applyFont="1" applyFill="1" applyBorder="1" applyAlignment="1">
      <alignment horizontal="left" vertical="center"/>
    </xf>
    <xf numFmtId="166" fontId="43" fillId="4" borderId="428" xfId="0" applyNumberFormat="1" applyFont="1" applyFill="1" applyBorder="1" applyAlignment="1">
      <alignment horizontal="left" vertical="center"/>
    </xf>
    <xf numFmtId="166" fontId="46" fillId="0" borderId="429" xfId="0" applyNumberFormat="1" applyFont="1" applyFill="1" applyBorder="1" applyAlignment="1">
      <alignment horizontal="left" vertical="center" wrapText="1"/>
    </xf>
    <xf numFmtId="166" fontId="46" fillId="0" borderId="415" xfId="0" applyNumberFormat="1" applyFont="1" applyFill="1" applyBorder="1" applyAlignment="1">
      <alignment horizontal="left" vertical="center" wrapText="1"/>
    </xf>
    <xf numFmtId="166" fontId="46" fillId="0" borderId="430" xfId="0" applyNumberFormat="1" applyFont="1" applyFill="1" applyBorder="1" applyAlignment="1">
      <alignment horizontal="left" vertical="center" wrapText="1"/>
    </xf>
    <xf numFmtId="166" fontId="47" fillId="0" borderId="431" xfId="0" applyNumberFormat="1" applyFont="1" applyBorder="1" applyAlignment="1">
      <alignment horizontal="left"/>
    </xf>
    <xf numFmtId="166" fontId="47" fillId="0" borderId="412" xfId="0" applyNumberFormat="1" applyFont="1" applyBorder="1" applyAlignment="1">
      <alignment horizontal="left"/>
    </xf>
    <xf numFmtId="166" fontId="47" fillId="0" borderId="432" xfId="0" applyNumberFormat="1" applyFont="1" applyBorder="1" applyAlignment="1">
      <alignment horizontal="left"/>
    </xf>
    <xf numFmtId="166" fontId="47" fillId="0" borderId="433" xfId="0" applyNumberFormat="1" applyFont="1" applyBorder="1" applyAlignment="1">
      <alignment horizontal="left"/>
    </xf>
    <xf numFmtId="166" fontId="47" fillId="0" borderId="406" xfId="0" applyNumberFormat="1" applyFont="1" applyBorder="1" applyAlignment="1">
      <alignment horizontal="left"/>
    </xf>
    <xf numFmtId="166" fontId="47" fillId="0" borderId="434" xfId="0" applyNumberFormat="1" applyFont="1" applyBorder="1" applyAlignment="1">
      <alignment horizontal="left"/>
    </xf>
    <xf numFmtId="166" fontId="47" fillId="0" borderId="435" xfId="0" applyNumberFormat="1" applyFont="1" applyBorder="1" applyAlignment="1">
      <alignment horizontal="left"/>
    </xf>
    <xf numFmtId="166" fontId="47" fillId="0" borderId="409" xfId="0" applyNumberFormat="1" applyFont="1" applyBorder="1" applyAlignment="1">
      <alignment horizontal="left"/>
    </xf>
    <xf numFmtId="166" fontId="47" fillId="0" borderId="436" xfId="0" applyNumberFormat="1" applyFont="1" applyBorder="1" applyAlignment="1">
      <alignment horizontal="left"/>
    </xf>
    <xf numFmtId="166" fontId="6" fillId="0" borderId="423" xfId="0" applyNumberFormat="1" applyFont="1" applyFill="1" applyBorder="1" applyAlignment="1">
      <alignment horizontal="left" vertical="center" wrapText="1"/>
    </xf>
    <xf numFmtId="166" fontId="43" fillId="4" borderId="404" xfId="0" applyNumberFormat="1" applyFont="1" applyFill="1" applyBorder="1" applyAlignment="1">
      <alignment horizontal="left" vertical="center"/>
    </xf>
    <xf numFmtId="166" fontId="47" fillId="0" borderId="431" xfId="0" applyNumberFormat="1" applyFont="1" applyBorder="1" applyAlignment="1">
      <alignment horizontal="left" vertical="center"/>
    </xf>
    <xf numFmtId="166" fontId="47" fillId="0" borderId="412" xfId="0" applyNumberFormat="1" applyFont="1" applyBorder="1" applyAlignment="1">
      <alignment horizontal="left" vertical="center"/>
    </xf>
    <xf numFmtId="166" fontId="47" fillId="0" borderId="413" xfId="0" applyNumberFormat="1" applyFont="1" applyBorder="1" applyAlignment="1">
      <alignment horizontal="left" vertical="center"/>
    </xf>
    <xf numFmtId="166" fontId="47" fillId="0" borderId="433" xfId="0" applyNumberFormat="1" applyFont="1" applyBorder="1" applyAlignment="1">
      <alignment horizontal="left" vertical="center"/>
    </xf>
    <xf numFmtId="166" fontId="47" fillId="0" borderId="406" xfId="0" applyNumberFormat="1" applyFont="1" applyBorder="1" applyAlignment="1">
      <alignment horizontal="left" vertical="center"/>
    </xf>
    <xf numFmtId="166" fontId="47" fillId="0" borderId="407" xfId="0" applyNumberFormat="1" applyFont="1" applyBorder="1" applyAlignment="1">
      <alignment horizontal="left" vertical="center"/>
    </xf>
    <xf numFmtId="166" fontId="47" fillId="0" borderId="435" xfId="0" applyNumberFormat="1" applyFont="1" applyBorder="1" applyAlignment="1">
      <alignment horizontal="left" vertical="center"/>
    </xf>
    <xf numFmtId="166" fontId="47" fillId="0" borderId="409" xfId="0" applyNumberFormat="1" applyFont="1" applyBorder="1" applyAlignment="1">
      <alignment horizontal="left" vertical="center"/>
    </xf>
    <xf numFmtId="166" fontId="47" fillId="0" borderId="410" xfId="0" applyNumberFormat="1" applyFont="1" applyBorder="1" applyAlignment="1">
      <alignment horizontal="left" vertical="center"/>
    </xf>
    <xf numFmtId="166" fontId="3" fillId="0" borderId="261" xfId="0" applyNumberFormat="1" applyFont="1" applyBorder="1" applyAlignment="1">
      <alignment horizontal="left" vertical="center"/>
    </xf>
    <xf numFmtId="166" fontId="3" fillId="0" borderId="382" xfId="0" applyNumberFormat="1" applyFont="1" applyBorder="1" applyAlignment="1">
      <alignment horizontal="left" vertical="center"/>
    </xf>
    <xf numFmtId="166" fontId="3" fillId="0" borderId="386" xfId="0" applyNumberFormat="1" applyFont="1" applyBorder="1" applyAlignment="1">
      <alignment horizontal="left" vertical="center"/>
    </xf>
    <xf numFmtId="0" fontId="1" fillId="0" borderId="437" xfId="0" applyFont="1" applyBorder="1" applyAlignment="1">
      <alignment horizontal="left" vertical="center"/>
    </xf>
    <xf numFmtId="0" fontId="1" fillId="0" borderId="438" xfId="0" applyFont="1" applyBorder="1" applyAlignment="1">
      <alignment horizontal="left" vertical="center"/>
    </xf>
    <xf numFmtId="166" fontId="47" fillId="0" borderId="261" xfId="0" applyNumberFormat="1" applyFont="1" applyBorder="1" applyAlignment="1">
      <alignment horizontal="left" vertical="center"/>
    </xf>
    <xf numFmtId="166" fontId="47" fillId="0" borderId="267" xfId="0" applyNumberFormat="1" applyFont="1" applyBorder="1" applyAlignment="1">
      <alignment horizontal="left" vertical="center"/>
    </xf>
    <xf numFmtId="166" fontId="3" fillId="0" borderId="387" xfId="0" applyNumberFormat="1" applyFont="1" applyBorder="1" applyAlignment="1">
      <alignment horizontal="left" vertical="center"/>
    </xf>
    <xf numFmtId="166" fontId="3" fillId="0" borderId="391" xfId="0" applyNumberFormat="1" applyFont="1" applyBorder="1" applyAlignment="1">
      <alignment horizontal="left" vertical="center"/>
    </xf>
    <xf numFmtId="166" fontId="47" fillId="0" borderId="392" xfId="0" applyNumberFormat="1" applyFont="1" applyBorder="1" applyAlignment="1">
      <alignment horizontal="left" vertical="center"/>
    </xf>
    <xf numFmtId="166" fontId="47" fillId="0" borderId="393" xfId="0" applyNumberFormat="1" applyFont="1" applyBorder="1" applyAlignment="1">
      <alignment horizontal="left" vertical="center"/>
    </xf>
    <xf numFmtId="166" fontId="47" fillId="0" borderId="400" xfId="0" applyNumberFormat="1" applyFont="1" applyBorder="1" applyAlignment="1">
      <alignment horizontal="left" vertical="center"/>
    </xf>
    <xf numFmtId="166" fontId="47" fillId="0" borderId="401" xfId="0" applyNumberFormat="1" applyFont="1" applyBorder="1" applyAlignment="1">
      <alignment horizontal="left" vertical="center"/>
    </xf>
    <xf numFmtId="166" fontId="47" fillId="0" borderId="262" xfId="0" applyNumberFormat="1" applyFont="1" applyBorder="1" applyAlignment="1">
      <alignment horizontal="left" vertical="center"/>
    </xf>
    <xf numFmtId="166" fontId="47" fillId="0" borderId="268" xfId="0" applyNumberFormat="1" applyFont="1" applyBorder="1" applyAlignment="1">
      <alignment horizontal="left" vertical="center"/>
    </xf>
    <xf numFmtId="0" fontId="1" fillId="12" borderId="0" xfId="0" applyFont="1" applyFill="1" applyAlignment="1">
      <alignment horizontal="left" vertical="center"/>
    </xf>
    <xf numFmtId="166" fontId="31" fillId="0" borderId="394" xfId="0" applyNumberFormat="1" applyFont="1" applyFill="1" applyBorder="1" applyAlignment="1">
      <alignment horizontal="left" vertical="center"/>
    </xf>
    <xf numFmtId="166" fontId="31" fillId="0" borderId="273" xfId="0" applyNumberFormat="1" applyFont="1" applyFill="1" applyBorder="1" applyAlignment="1">
      <alignment horizontal="left" vertical="center"/>
    </xf>
    <xf numFmtId="166" fontId="31" fillId="0" borderId="274" xfId="0" applyNumberFormat="1" applyFont="1" applyFill="1" applyBorder="1" applyAlignment="1">
      <alignment horizontal="left" vertical="center"/>
    </xf>
    <xf numFmtId="166" fontId="43" fillId="0" borderId="429" xfId="0" applyNumberFormat="1" applyFont="1" applyFill="1" applyBorder="1" applyAlignment="1">
      <alignment horizontal="left" vertical="center"/>
    </xf>
    <xf numFmtId="166" fontId="43" fillId="0" borderId="415" xfId="0" applyNumberFormat="1" applyFont="1" applyFill="1" applyBorder="1" applyAlignment="1">
      <alignment horizontal="left" vertical="center"/>
    </xf>
    <xf numFmtId="166" fontId="43" fillId="0" borderId="416" xfId="0" applyNumberFormat="1" applyFont="1" applyFill="1" applyBorder="1" applyAlignment="1">
      <alignment horizontal="left" vertical="center"/>
    </xf>
    <xf numFmtId="0" fontId="31" fillId="12" borderId="439" xfId="0" applyFont="1" applyFill="1" applyBorder="1" applyAlignment="1">
      <alignment horizontal="left" vertical="center"/>
    </xf>
    <xf numFmtId="0" fontId="1" fillId="12" borderId="293" xfId="0" applyFont="1" applyFill="1" applyBorder="1" applyAlignment="1">
      <alignment horizontal="left" vertical="center"/>
    </xf>
    <xf numFmtId="0" fontId="1" fillId="12" borderId="294" xfId="0" applyFont="1" applyFill="1" applyBorder="1" applyAlignment="1">
      <alignment horizontal="left" vertical="center"/>
    </xf>
    <xf numFmtId="0" fontId="3" fillId="0" borderId="440" xfId="0" applyFont="1" applyBorder="1"/>
    <xf numFmtId="0" fontId="3" fillId="0" borderId="441" xfId="0" applyFont="1" applyBorder="1"/>
    <xf numFmtId="0" fontId="3" fillId="0" borderId="442" xfId="0" applyFont="1" applyBorder="1" applyAlignment="1">
      <alignment horizontal="left" vertical="center"/>
    </xf>
    <xf numFmtId="0" fontId="3" fillId="0" borderId="443" xfId="0" applyFont="1" applyBorder="1"/>
    <xf numFmtId="0" fontId="3" fillId="0" borderId="295" xfId="0" applyFont="1" applyBorder="1"/>
    <xf numFmtId="0" fontId="3" fillId="0" borderId="296" xfId="0" applyFont="1" applyBorder="1" applyAlignment="1">
      <alignment horizontal="left" vertical="center"/>
    </xf>
    <xf numFmtId="0" fontId="3" fillId="0" borderId="444" xfId="0" applyFont="1" applyBorder="1"/>
    <xf numFmtId="0" fontId="3" fillId="0" borderId="445" xfId="0" applyFont="1" applyBorder="1"/>
    <xf numFmtId="0" fontId="3" fillId="0" borderId="446" xfId="0" applyFont="1" applyBorder="1" applyAlignment="1">
      <alignment horizontal="left" vertical="center"/>
    </xf>
    <xf numFmtId="0" fontId="1" fillId="0" borderId="447" xfId="0" applyFont="1" applyFill="1" applyBorder="1" applyAlignment="1">
      <alignment horizontal="center" vertical="center" wrapText="1"/>
    </xf>
    <xf numFmtId="0" fontId="1" fillId="0" borderId="448" xfId="0" applyFont="1" applyFill="1" applyBorder="1" applyAlignment="1">
      <alignment horizontal="left" vertical="top" wrapText="1"/>
    </xf>
    <xf numFmtId="0" fontId="1" fillId="0" borderId="449" xfId="0" applyFont="1" applyFill="1" applyBorder="1" applyAlignment="1">
      <alignment horizontal="left" vertical="top" wrapText="1"/>
    </xf>
    <xf numFmtId="0" fontId="1" fillId="12" borderId="450" xfId="0" applyFont="1" applyFill="1" applyBorder="1" applyAlignment="1">
      <alignment horizontal="left" vertical="center"/>
    </xf>
    <xf numFmtId="166" fontId="1" fillId="12" borderId="261" xfId="0" applyNumberFormat="1" applyFont="1" applyFill="1" applyBorder="1" applyAlignment="1">
      <alignment horizontal="left" vertical="center"/>
    </xf>
    <xf numFmtId="0" fontId="3" fillId="0" borderId="451" xfId="0" applyFont="1" applyBorder="1"/>
    <xf numFmtId="0" fontId="3" fillId="0" borderId="452" xfId="0" applyFont="1" applyBorder="1"/>
    <xf numFmtId="0" fontId="3" fillId="0" borderId="453" xfId="0" applyFont="1" applyBorder="1"/>
    <xf numFmtId="0" fontId="1" fillId="0" borderId="454" xfId="0" applyFont="1" applyFill="1" applyBorder="1" applyAlignment="1">
      <alignment horizontal="left" vertical="center" wrapText="1"/>
    </xf>
    <xf numFmtId="166" fontId="1" fillId="12" borderId="382" xfId="0" applyNumberFormat="1" applyFont="1" applyFill="1" applyBorder="1" applyAlignment="1">
      <alignment horizontal="left" vertical="center"/>
    </xf>
    <xf numFmtId="166" fontId="1" fillId="12" borderId="387" xfId="0" applyNumberFormat="1" applyFont="1" applyFill="1" applyBorder="1" applyAlignment="1">
      <alignment horizontal="left" vertical="center"/>
    </xf>
    <xf numFmtId="166" fontId="48" fillId="12" borderId="392" xfId="0" applyNumberFormat="1" applyFont="1" applyFill="1" applyBorder="1" applyAlignment="1">
      <alignment horizontal="left" vertical="center"/>
    </xf>
    <xf numFmtId="166" fontId="48" fillId="12" borderId="261" xfId="0" applyNumberFormat="1" applyFont="1" applyFill="1" applyBorder="1" applyAlignment="1">
      <alignment horizontal="left" vertical="center"/>
    </xf>
    <xf numFmtId="166" fontId="48" fillId="12" borderId="393" xfId="0" applyNumberFormat="1" applyFont="1" applyFill="1" applyBorder="1" applyAlignment="1">
      <alignment horizontal="left" vertical="center"/>
    </xf>
    <xf numFmtId="166" fontId="49" fillId="0" borderId="394" xfId="0" applyNumberFormat="1" applyFont="1" applyFill="1" applyBorder="1" applyAlignment="1">
      <alignment horizontal="left" vertical="center" wrapText="1"/>
    </xf>
    <xf numFmtId="166" fontId="49" fillId="0" borderId="273" xfId="0" applyNumberFormat="1" applyFont="1" applyFill="1" applyBorder="1" applyAlignment="1">
      <alignment horizontal="left" vertical="center" wrapText="1"/>
    </xf>
    <xf numFmtId="166" fontId="49" fillId="0" borderId="395" xfId="0" applyNumberFormat="1" applyFont="1" applyFill="1" applyBorder="1" applyAlignment="1">
      <alignment horizontal="left" vertical="center" wrapText="1"/>
    </xf>
    <xf numFmtId="166" fontId="50" fillId="0" borderId="396" xfId="0" applyNumberFormat="1" applyFont="1" applyBorder="1" applyAlignment="1">
      <alignment horizontal="left"/>
    </xf>
    <xf numFmtId="166" fontId="50" fillId="0" borderId="270" xfId="0" applyNumberFormat="1" applyFont="1" applyBorder="1" applyAlignment="1">
      <alignment horizontal="left"/>
    </xf>
    <xf numFmtId="166" fontId="50" fillId="0" borderId="397" xfId="0" applyNumberFormat="1" applyFont="1" applyBorder="1" applyAlignment="1">
      <alignment horizontal="left"/>
    </xf>
    <xf numFmtId="166" fontId="50" fillId="0" borderId="398" xfId="0" applyNumberFormat="1" applyFont="1" applyBorder="1" applyAlignment="1">
      <alignment horizontal="left"/>
    </xf>
    <xf numFmtId="166" fontId="50" fillId="0" borderId="264" xfId="0" applyNumberFormat="1" applyFont="1" applyBorder="1" applyAlignment="1">
      <alignment horizontal="left"/>
    </xf>
    <xf numFmtId="166" fontId="50" fillId="0" borderId="399" xfId="0" applyNumberFormat="1" applyFont="1" applyBorder="1" applyAlignment="1">
      <alignment horizontal="left"/>
    </xf>
    <xf numFmtId="166" fontId="50" fillId="0" borderId="400" xfId="0" applyNumberFormat="1" applyFont="1" applyBorder="1" applyAlignment="1">
      <alignment horizontal="left"/>
    </xf>
    <xf numFmtId="166" fontId="50" fillId="0" borderId="267" xfId="0" applyNumberFormat="1" applyFont="1" applyBorder="1" applyAlignment="1">
      <alignment horizontal="left"/>
    </xf>
    <xf numFmtId="166" fontId="50" fillId="0" borderId="401" xfId="0" applyNumberFormat="1" applyFont="1" applyBorder="1" applyAlignment="1">
      <alignment horizontal="left"/>
    </xf>
    <xf numFmtId="166" fontId="48" fillId="12" borderId="262" xfId="0" applyNumberFormat="1" applyFont="1" applyFill="1" applyBorder="1" applyAlignment="1">
      <alignment horizontal="left" vertical="center"/>
    </xf>
    <xf numFmtId="166" fontId="48" fillId="0" borderId="394" xfId="0" applyNumberFormat="1" applyFont="1" applyFill="1" applyBorder="1" applyAlignment="1">
      <alignment horizontal="left" vertical="center"/>
    </xf>
    <xf numFmtId="166" fontId="48" fillId="0" borderId="273" xfId="0" applyNumberFormat="1" applyFont="1" applyFill="1" applyBorder="1" applyAlignment="1">
      <alignment horizontal="left" vertical="center"/>
    </xf>
    <xf numFmtId="166" fontId="48" fillId="0" borderId="274" xfId="0" applyNumberFormat="1" applyFont="1" applyFill="1" applyBorder="1" applyAlignment="1">
      <alignment horizontal="left" vertical="center"/>
    </xf>
    <xf numFmtId="166" fontId="50" fillId="0" borderId="396" xfId="0" applyNumberFormat="1" applyFont="1" applyBorder="1" applyAlignment="1">
      <alignment horizontal="left" vertical="center"/>
    </xf>
    <xf numFmtId="166" fontId="50" fillId="0" borderId="270" xfId="0" applyNumberFormat="1" applyFont="1" applyBorder="1" applyAlignment="1">
      <alignment horizontal="left" vertical="center"/>
    </xf>
    <xf numFmtId="166" fontId="50" fillId="0" borderId="271" xfId="0" applyNumberFormat="1" applyFont="1" applyBorder="1" applyAlignment="1">
      <alignment horizontal="left" vertical="center"/>
    </xf>
    <xf numFmtId="166" fontId="50" fillId="0" borderId="265" xfId="0" applyNumberFormat="1" applyFont="1" applyBorder="1" applyAlignment="1">
      <alignment horizontal="left"/>
    </xf>
    <xf numFmtId="166" fontId="50" fillId="0" borderId="268" xfId="0" applyNumberFormat="1" applyFont="1" applyBorder="1" applyAlignment="1">
      <alignment horizontal="left"/>
    </xf>
    <xf numFmtId="166" fontId="3" fillId="0" borderId="43" xfId="0" applyNumberFormat="1" applyFont="1" applyBorder="1" applyAlignment="1">
      <alignment horizontal="left" vertical="center"/>
    </xf>
    <xf numFmtId="166" fontId="3" fillId="0" borderId="49" xfId="0" applyNumberFormat="1" applyFont="1" applyBorder="1" applyAlignment="1">
      <alignment horizontal="left" vertical="center"/>
    </xf>
    <xf numFmtId="166" fontId="3" fillId="0" borderId="455" xfId="0" applyNumberFormat="1" applyFont="1" applyBorder="1" applyAlignment="1">
      <alignment horizontal="left" vertical="center"/>
    </xf>
    <xf numFmtId="166" fontId="3" fillId="0" borderId="456" xfId="0" applyNumberFormat="1" applyFont="1" applyBorder="1" applyAlignment="1">
      <alignment horizontal="left" vertical="center"/>
    </xf>
    <xf numFmtId="0" fontId="1" fillId="0" borderId="457" xfId="0" applyFont="1" applyBorder="1" applyAlignment="1">
      <alignment horizontal="left" vertical="center"/>
    </xf>
    <xf numFmtId="0" fontId="1" fillId="0" borderId="458" xfId="0" applyFont="1" applyBorder="1" applyAlignment="1">
      <alignment horizontal="left" vertical="center"/>
    </xf>
    <xf numFmtId="166" fontId="3" fillId="0" borderId="459" xfId="0" applyNumberFormat="1" applyFont="1" applyBorder="1" applyAlignment="1">
      <alignment horizontal="left" vertical="center"/>
    </xf>
    <xf numFmtId="166" fontId="3" fillId="0" borderId="460" xfId="0" applyNumberFormat="1" applyFont="1" applyBorder="1" applyAlignment="1">
      <alignment horizontal="left" vertical="center"/>
    </xf>
    <xf numFmtId="166" fontId="50" fillId="0" borderId="461" xfId="0" applyNumberFormat="1" applyFont="1" applyBorder="1" applyAlignment="1">
      <alignment horizontal="left" vertical="center"/>
    </xf>
    <xf numFmtId="166" fontId="50" fillId="0" borderId="43" xfId="0" applyNumberFormat="1" applyFont="1" applyBorder="1" applyAlignment="1">
      <alignment horizontal="left" vertical="center"/>
    </xf>
    <xf numFmtId="166" fontId="50" fillId="0" borderId="462" xfId="0" applyNumberFormat="1" applyFont="1" applyBorder="1" applyAlignment="1">
      <alignment horizontal="left" vertical="center"/>
    </xf>
    <xf numFmtId="166" fontId="50" fillId="0" borderId="463" xfId="0" applyNumberFormat="1" applyFont="1" applyBorder="1" applyAlignment="1">
      <alignment horizontal="left" vertical="center"/>
    </xf>
    <xf numFmtId="166" fontId="50" fillId="0" borderId="49" xfId="0" applyNumberFormat="1" applyFont="1" applyBorder="1" applyAlignment="1">
      <alignment horizontal="left" vertical="center"/>
    </xf>
    <xf numFmtId="166" fontId="50" fillId="0" borderId="464" xfId="0" applyNumberFormat="1" applyFont="1" applyBorder="1" applyAlignment="1">
      <alignment horizontal="left" vertical="center"/>
    </xf>
    <xf numFmtId="166" fontId="50" fillId="0" borderId="44" xfId="0" applyNumberFormat="1" applyFont="1" applyBorder="1" applyAlignment="1">
      <alignment horizontal="left" vertical="center"/>
    </xf>
    <xf numFmtId="166" fontId="50" fillId="0" borderId="50" xfId="0" applyNumberFormat="1" applyFont="1" applyBorder="1" applyAlignment="1">
      <alignment horizontal="left" vertical="center"/>
    </xf>
    <xf numFmtId="166" fontId="3" fillId="4" borderId="385" xfId="0" applyNumberFormat="1" applyFont="1" applyFill="1" applyBorder="1" applyAlignment="1">
      <alignment horizontal="left"/>
    </xf>
    <xf numFmtId="0" fontId="9" fillId="0" borderId="0" xfId="0" applyFont="1" applyAlignment="1">
      <alignment horizontal="left" vertical="center" wrapText="1"/>
    </xf>
    <xf numFmtId="0" fontId="3" fillId="0" borderId="0" xfId="0" applyFont="1" applyAlignment="1">
      <alignment horizontal="left" vertical="center"/>
    </xf>
    <xf numFmtId="0" fontId="3" fillId="0" borderId="465" xfId="0" applyFont="1" applyBorder="1" applyAlignment="1">
      <alignment horizontal="left" vertical="center"/>
    </xf>
    <xf numFmtId="0" fontId="3" fillId="11" borderId="465" xfId="0" applyFont="1" applyFill="1" applyBorder="1" applyAlignment="1">
      <alignment horizontal="left" vertical="center"/>
    </xf>
    <xf numFmtId="0" fontId="3" fillId="11" borderId="466" xfId="0" applyFont="1" applyFill="1" applyBorder="1" applyAlignment="1">
      <alignment horizontal="left" vertical="center"/>
    </xf>
    <xf numFmtId="0" fontId="3" fillId="11" borderId="468" xfId="0" applyFont="1" applyFill="1" applyBorder="1" applyAlignment="1">
      <alignment horizontal="left" vertical="center"/>
    </xf>
    <xf numFmtId="0" fontId="3" fillId="11" borderId="469" xfId="0" applyFont="1" applyFill="1" applyBorder="1" applyAlignment="1">
      <alignment horizontal="left" vertical="center"/>
    </xf>
    <xf numFmtId="0" fontId="3" fillId="0" borderId="469" xfId="0" applyFont="1" applyBorder="1" applyAlignment="1">
      <alignment horizontal="left" vertical="center"/>
    </xf>
    <xf numFmtId="0" fontId="3" fillId="0" borderId="468" xfId="0" applyFont="1" applyBorder="1" applyAlignment="1">
      <alignment horizontal="left" vertical="center"/>
    </xf>
    <xf numFmtId="0" fontId="1" fillId="0" borderId="467" xfId="0" applyFont="1" applyBorder="1" applyAlignment="1">
      <alignment horizontal="center" vertical="center"/>
    </xf>
    <xf numFmtId="0" fontId="1" fillId="0" borderId="471" xfId="0" applyFont="1" applyBorder="1" applyAlignment="1">
      <alignment horizontal="left" vertical="center"/>
    </xf>
    <xf numFmtId="166" fontId="3" fillId="0" borderId="471" xfId="0" applyNumberFormat="1" applyFont="1" applyBorder="1" applyAlignment="1">
      <alignment horizontal="left" vertical="center"/>
    </xf>
    <xf numFmtId="0" fontId="1" fillId="0" borderId="477" xfId="0" applyFont="1" applyBorder="1" applyAlignment="1">
      <alignment horizontal="left" vertical="center"/>
    </xf>
    <xf numFmtId="166" fontId="3" fillId="0" borderId="477" xfId="0" applyNumberFormat="1" applyFont="1" applyBorder="1" applyAlignment="1">
      <alignment horizontal="left" vertical="center"/>
    </xf>
    <xf numFmtId="0" fontId="1" fillId="0" borderId="480" xfId="0" applyFont="1" applyBorder="1" applyAlignment="1">
      <alignment horizontal="left" vertical="center"/>
    </xf>
    <xf numFmtId="166" fontId="1" fillId="0" borderId="480" xfId="0" applyNumberFormat="1" applyFont="1" applyBorder="1" applyAlignment="1">
      <alignment horizontal="left" vertical="center" wrapText="1"/>
    </xf>
    <xf numFmtId="166" fontId="6" fillId="0" borderId="480" xfId="0" applyNumberFormat="1" applyFont="1" applyBorder="1" applyAlignment="1">
      <alignment horizontal="left" vertical="center" wrapText="1"/>
    </xf>
    <xf numFmtId="166" fontId="6" fillId="10" borderId="480" xfId="0" applyNumberFormat="1" applyFont="1" applyFill="1" applyBorder="1" applyAlignment="1">
      <alignment horizontal="left" vertical="center" wrapText="1"/>
    </xf>
    <xf numFmtId="166" fontId="3" fillId="10" borderId="477" xfId="0" applyNumberFormat="1" applyFont="1" applyFill="1" applyBorder="1" applyAlignment="1">
      <alignment horizontal="left" vertical="center"/>
    </xf>
    <xf numFmtId="166" fontId="3" fillId="10" borderId="471" xfId="0" applyNumberFormat="1" applyFont="1" applyFill="1" applyBorder="1" applyAlignment="1">
      <alignment horizontal="left" vertical="center"/>
    </xf>
    <xf numFmtId="166" fontId="1" fillId="10" borderId="481" xfId="0" applyNumberFormat="1" applyFont="1" applyFill="1" applyBorder="1" applyAlignment="1">
      <alignment horizontal="left" vertical="center" wrapText="1"/>
    </xf>
    <xf numFmtId="166" fontId="3" fillId="10" borderId="478" xfId="0" applyNumberFormat="1" applyFont="1" applyFill="1" applyBorder="1" applyAlignment="1">
      <alignment horizontal="left" vertical="center"/>
    </xf>
    <xf numFmtId="166" fontId="3" fillId="10" borderId="472" xfId="0" applyNumberFormat="1" applyFont="1" applyFill="1" applyBorder="1" applyAlignment="1">
      <alignment horizontal="left" vertical="center"/>
    </xf>
    <xf numFmtId="0" fontId="31" fillId="0" borderId="471" xfId="0" applyFont="1" applyBorder="1" applyAlignment="1">
      <alignment horizontal="left" vertical="center"/>
    </xf>
    <xf numFmtId="166" fontId="17" fillId="0" borderId="471" xfId="0" applyNumberFormat="1" applyFont="1" applyBorder="1" applyAlignment="1">
      <alignment horizontal="left" vertical="center"/>
    </xf>
    <xf numFmtId="166" fontId="17" fillId="10" borderId="471" xfId="0" applyNumberFormat="1" applyFont="1" applyFill="1" applyBorder="1" applyAlignment="1">
      <alignment horizontal="left" vertical="center"/>
    </xf>
    <xf numFmtId="166" fontId="17" fillId="10" borderId="472" xfId="0" applyNumberFormat="1" applyFont="1" applyFill="1" applyBorder="1" applyAlignment="1">
      <alignment horizontal="left" vertical="center"/>
    </xf>
    <xf numFmtId="0" fontId="31" fillId="0" borderId="474" xfId="0" applyFont="1" applyBorder="1" applyAlignment="1">
      <alignment horizontal="left" vertical="center"/>
    </xf>
    <xf numFmtId="166" fontId="17" fillId="0" borderId="474" xfId="0" applyNumberFormat="1" applyFont="1" applyBorder="1" applyAlignment="1">
      <alignment horizontal="left" vertical="center"/>
    </xf>
    <xf numFmtId="166" fontId="17" fillId="10" borderId="474" xfId="0" applyNumberFormat="1" applyFont="1" applyFill="1" applyBorder="1" applyAlignment="1">
      <alignment horizontal="left" vertical="center"/>
    </xf>
    <xf numFmtId="166" fontId="17" fillId="10" borderId="475" xfId="0" applyNumberFormat="1" applyFont="1" applyFill="1" applyBorder="1" applyAlignment="1">
      <alignment horizontal="left" vertical="center"/>
    </xf>
    <xf numFmtId="0" fontId="3" fillId="0" borderId="10" xfId="0" applyFont="1" applyBorder="1" applyAlignment="1">
      <alignment horizontal="left" vertical="center"/>
    </xf>
    <xf numFmtId="0" fontId="3" fillId="0" borderId="11" xfId="0" applyFont="1" applyBorder="1" applyAlignment="1">
      <alignment horizontal="left" vertical="center"/>
    </xf>
    <xf numFmtId="0" fontId="3" fillId="0" borderId="12" xfId="0" applyFont="1" applyBorder="1" applyAlignment="1">
      <alignment horizontal="left" vertical="center"/>
    </xf>
    <xf numFmtId="0" fontId="3" fillId="0" borderId="7" xfId="0" applyFont="1" applyBorder="1" applyAlignment="1">
      <alignment horizontal="left" vertical="center"/>
    </xf>
    <xf numFmtId="0" fontId="3" fillId="0" borderId="8" xfId="0" applyFont="1" applyBorder="1" applyAlignment="1">
      <alignment horizontal="left" vertical="center"/>
    </xf>
    <xf numFmtId="0" fontId="3" fillId="0" borderId="9" xfId="0" applyFont="1" applyBorder="1" applyAlignment="1">
      <alignment horizontal="left" vertical="center"/>
    </xf>
    <xf numFmtId="0" fontId="1" fillId="0" borderId="5" xfId="0" applyFont="1" applyBorder="1" applyAlignment="1">
      <alignment horizontal="center" vertical="center" wrapText="1"/>
    </xf>
    <xf numFmtId="0" fontId="9" fillId="0" borderId="0" xfId="0" applyFont="1" applyAlignment="1">
      <alignment horizontal="left" vertical="center" wrapText="1"/>
    </xf>
    <xf numFmtId="0" fontId="3" fillId="0" borderId="0" xfId="0" applyFont="1" applyAlignment="1">
      <alignment horizontal="left" vertical="center"/>
    </xf>
    <xf numFmtId="0" fontId="3" fillId="0" borderId="92" xfId="0" applyFont="1" applyBorder="1"/>
    <xf numFmtId="0" fontId="1" fillId="0" borderId="77" xfId="0" applyFont="1" applyBorder="1" applyAlignment="1">
      <alignment horizontal="center" vertical="center"/>
    </xf>
    <xf numFmtId="167" fontId="1" fillId="0" borderId="107" xfId="0" applyNumberFormat="1" applyFont="1" applyBorder="1" applyAlignment="1">
      <alignment horizontal="center" vertical="center"/>
    </xf>
    <xf numFmtId="166" fontId="1" fillId="0" borderId="94" xfId="0" applyNumberFormat="1" applyFont="1" applyFill="1" applyBorder="1" applyAlignment="1">
      <alignment horizontal="center" vertical="center" wrapText="1"/>
    </xf>
    <xf numFmtId="0" fontId="3" fillId="0" borderId="100" xfId="0" applyFont="1" applyBorder="1"/>
    <xf numFmtId="0" fontId="1" fillId="0" borderId="101" xfId="0" applyFont="1" applyBorder="1" applyAlignment="1">
      <alignment horizontal="center" vertical="center"/>
    </xf>
    <xf numFmtId="167" fontId="3" fillId="0" borderId="109" xfId="0" applyNumberFormat="1" applyFont="1" applyBorder="1" applyAlignment="1">
      <alignment horizontal="left" vertical="center"/>
    </xf>
    <xf numFmtId="166" fontId="3" fillId="0" borderId="95" xfId="0" applyNumberFormat="1" applyFont="1" applyBorder="1" applyAlignment="1">
      <alignment horizontal="left" vertical="center"/>
    </xf>
    <xf numFmtId="0" fontId="3" fillId="0" borderId="102" xfId="0" applyFont="1" applyBorder="1" applyAlignment="1">
      <alignment horizontal="left" vertical="center"/>
    </xf>
    <xf numFmtId="0" fontId="3" fillId="0" borderId="65" xfId="0" applyFont="1" applyBorder="1" applyAlignment="1">
      <alignment horizontal="left" vertical="center"/>
    </xf>
    <xf numFmtId="167" fontId="3" fillId="0" borderId="375" xfId="0" applyNumberFormat="1" applyFont="1" applyBorder="1" applyAlignment="1">
      <alignment horizontal="left" vertical="center"/>
    </xf>
    <xf numFmtId="11" fontId="3" fillId="0" borderId="372" xfId="0" applyNumberFormat="1" applyFont="1" applyBorder="1" applyAlignment="1">
      <alignment horizontal="left" vertical="center"/>
    </xf>
    <xf numFmtId="166" fontId="3" fillId="0" borderId="96" xfId="0" applyNumberFormat="1" applyFont="1" applyBorder="1" applyAlignment="1">
      <alignment horizontal="left" vertical="center"/>
    </xf>
    <xf numFmtId="11" fontId="3" fillId="4" borderId="482" xfId="0" applyNumberFormat="1" applyFont="1" applyFill="1" applyBorder="1" applyAlignment="1">
      <alignment horizontal="left" vertical="center"/>
    </xf>
    <xf numFmtId="166" fontId="3" fillId="4" borderId="58" xfId="0" applyNumberFormat="1" applyFont="1" applyFill="1" applyBorder="1" applyAlignment="1">
      <alignment horizontal="left" vertical="center"/>
    </xf>
    <xf numFmtId="166" fontId="3" fillId="4" borderId="375" xfId="0" applyNumberFormat="1" applyFont="1" applyFill="1" applyBorder="1" applyAlignment="1">
      <alignment horizontal="left" vertical="center"/>
    </xf>
    <xf numFmtId="0" fontId="3" fillId="0" borderId="372" xfId="0" applyFont="1" applyBorder="1" applyAlignment="1">
      <alignment horizontal="left" vertical="center"/>
    </xf>
    <xf numFmtId="0" fontId="3" fillId="0" borderId="59" xfId="0" applyFont="1" applyBorder="1" applyAlignment="1">
      <alignment horizontal="left" vertical="center"/>
    </xf>
    <xf numFmtId="166" fontId="3" fillId="14" borderId="58" xfId="0" applyNumberFormat="1" applyFont="1" applyFill="1" applyBorder="1" applyAlignment="1">
      <alignment horizontal="left" vertical="center"/>
    </xf>
    <xf numFmtId="166" fontId="10" fillId="10" borderId="0" xfId="0" applyNumberFormat="1" applyFont="1" applyFill="1" applyAlignment="1">
      <alignment horizontal="left" vertical="center"/>
    </xf>
    <xf numFmtId="167" fontId="3" fillId="0" borderId="376" xfId="0" applyNumberFormat="1" applyFont="1" applyBorder="1" applyAlignment="1">
      <alignment horizontal="left" vertical="center"/>
    </xf>
    <xf numFmtId="11" fontId="3" fillId="0" borderId="373" xfId="0" applyNumberFormat="1" applyFont="1" applyBorder="1" applyAlignment="1">
      <alignment horizontal="left" vertical="center"/>
    </xf>
    <xf numFmtId="166" fontId="3" fillId="0" borderId="97" xfId="0" applyNumberFormat="1" applyFont="1" applyBorder="1" applyAlignment="1">
      <alignment horizontal="left" vertical="center"/>
    </xf>
    <xf numFmtId="11" fontId="3" fillId="4" borderId="483" xfId="0" applyNumberFormat="1" applyFont="1" applyFill="1" applyBorder="1" applyAlignment="1">
      <alignment horizontal="left" vertical="center"/>
    </xf>
    <xf numFmtId="166" fontId="3" fillId="4" borderId="70" xfId="0" applyNumberFormat="1" applyFont="1" applyFill="1" applyBorder="1" applyAlignment="1">
      <alignment horizontal="left" vertical="center"/>
    </xf>
    <xf numFmtId="166" fontId="3" fillId="4" borderId="376" xfId="0" applyNumberFormat="1" applyFont="1" applyFill="1" applyBorder="1" applyAlignment="1">
      <alignment horizontal="left" vertical="center"/>
    </xf>
    <xf numFmtId="0" fontId="3" fillId="0" borderId="373" xfId="0" applyFont="1" applyBorder="1" applyAlignment="1">
      <alignment horizontal="left" vertical="center"/>
    </xf>
    <xf numFmtId="0" fontId="3" fillId="0" borderId="71" xfId="0" applyFont="1" applyBorder="1" applyAlignment="1">
      <alignment horizontal="left" vertical="center"/>
    </xf>
    <xf numFmtId="0" fontId="15" fillId="0" borderId="72" xfId="0" applyFont="1" applyBorder="1" applyAlignment="1">
      <alignment horizontal="left" vertical="center"/>
    </xf>
    <xf numFmtId="0" fontId="15" fillId="0" borderId="73" xfId="0" applyFont="1" applyBorder="1" applyAlignment="1">
      <alignment horizontal="left" vertical="center"/>
    </xf>
    <xf numFmtId="167" fontId="15" fillId="0" borderId="111" xfId="0" applyNumberFormat="1" applyFont="1" applyBorder="1" applyAlignment="1">
      <alignment horizontal="left" vertical="center"/>
    </xf>
    <xf numFmtId="11" fontId="15" fillId="0" borderId="103" xfId="0" applyNumberFormat="1" applyFont="1" applyBorder="1" applyAlignment="1">
      <alignment horizontal="left" vertical="center"/>
    </xf>
    <xf numFmtId="166" fontId="15" fillId="0" borderId="73" xfId="0" applyNumberFormat="1" applyFont="1" applyBorder="1" applyAlignment="1">
      <alignment horizontal="left" vertical="center"/>
    </xf>
    <xf numFmtId="166" fontId="15" fillId="0" borderId="98" xfId="0" applyNumberFormat="1" applyFont="1" applyBorder="1" applyAlignment="1">
      <alignment horizontal="left" vertical="center"/>
    </xf>
    <xf numFmtId="11" fontId="15" fillId="4" borderId="110" xfId="0" applyNumberFormat="1" applyFont="1" applyFill="1" applyBorder="1" applyAlignment="1">
      <alignment horizontal="left" vertical="center"/>
    </xf>
    <xf numFmtId="166" fontId="15" fillId="4" borderId="73" xfId="0" applyNumberFormat="1" applyFont="1" applyFill="1" applyBorder="1" applyAlignment="1">
      <alignment horizontal="left" vertical="center"/>
    </xf>
    <xf numFmtId="166" fontId="15" fillId="4" borderId="111" xfId="0" applyNumberFormat="1" applyFont="1" applyFill="1" applyBorder="1" applyAlignment="1">
      <alignment horizontal="left" vertical="center"/>
    </xf>
    <xf numFmtId="0" fontId="15" fillId="0" borderId="103" xfId="0" applyFont="1" applyBorder="1" applyAlignment="1">
      <alignment horizontal="left" vertical="center"/>
    </xf>
    <xf numFmtId="0" fontId="15" fillId="0" borderId="74" xfId="0" applyFont="1" applyBorder="1" applyAlignment="1">
      <alignment horizontal="left" vertical="center"/>
    </xf>
    <xf numFmtId="0" fontId="15" fillId="0" borderId="57" xfId="0" applyFont="1" applyBorder="1" applyAlignment="1">
      <alignment horizontal="left" vertical="center"/>
    </xf>
    <xf numFmtId="0" fontId="15" fillId="0" borderId="58" xfId="0" applyFont="1" applyBorder="1" applyAlignment="1">
      <alignment horizontal="left" vertical="center"/>
    </xf>
    <xf numFmtId="167" fontId="15" fillId="0" borderId="375" xfId="0" applyNumberFormat="1" applyFont="1" applyBorder="1" applyAlignment="1">
      <alignment horizontal="left" vertical="center"/>
    </xf>
    <xf numFmtId="11" fontId="15" fillId="0" borderId="372" xfId="0" applyNumberFormat="1" applyFont="1" applyBorder="1" applyAlignment="1">
      <alignment horizontal="left" vertical="center"/>
    </xf>
    <xf numFmtId="166" fontId="15" fillId="0" borderId="58" xfId="0" applyNumberFormat="1" applyFont="1" applyBorder="1" applyAlignment="1">
      <alignment horizontal="left" vertical="center"/>
    </xf>
    <xf numFmtId="166" fontId="15" fillId="0" borderId="96" xfId="0" applyNumberFormat="1" applyFont="1" applyBorder="1" applyAlignment="1">
      <alignment horizontal="left" vertical="center"/>
    </xf>
    <xf numFmtId="11" fontId="15" fillId="4" borderId="482" xfId="0" applyNumberFormat="1" applyFont="1" applyFill="1" applyBorder="1" applyAlignment="1">
      <alignment horizontal="left" vertical="center"/>
    </xf>
    <xf numFmtId="166" fontId="15" fillId="4" borderId="58" xfId="0" applyNumberFormat="1" applyFont="1" applyFill="1" applyBorder="1" applyAlignment="1">
      <alignment horizontal="left" vertical="center"/>
    </xf>
    <xf numFmtId="166" fontId="15" fillId="4" borderId="375" xfId="0" applyNumberFormat="1" applyFont="1" applyFill="1" applyBorder="1" applyAlignment="1">
      <alignment horizontal="left" vertical="center"/>
    </xf>
    <xf numFmtId="0" fontId="15" fillId="0" borderId="372" xfId="0" applyFont="1" applyBorder="1" applyAlignment="1">
      <alignment horizontal="left" vertical="center"/>
    </xf>
    <xf numFmtId="0" fontId="15" fillId="0" borderId="59" xfId="0" applyFont="1" applyBorder="1" applyAlignment="1">
      <alignment horizontal="left" vertical="center"/>
    </xf>
    <xf numFmtId="0" fontId="15" fillId="0" borderId="60" xfId="0" applyFont="1" applyBorder="1" applyAlignment="1">
      <alignment horizontal="left" vertical="center"/>
    </xf>
    <xf numFmtId="0" fontId="15" fillId="0" borderId="61" xfId="0" applyFont="1" applyBorder="1" applyAlignment="1">
      <alignment horizontal="left" vertical="center"/>
    </xf>
    <xf numFmtId="167" fontId="15" fillId="0" borderId="259" xfId="0" applyNumberFormat="1" applyFont="1" applyBorder="1" applyAlignment="1">
      <alignment horizontal="left" vertical="center"/>
    </xf>
    <xf numFmtId="11" fontId="15" fillId="0" borderId="255" xfId="0" applyNumberFormat="1" applyFont="1" applyBorder="1" applyAlignment="1">
      <alignment horizontal="left" vertical="center"/>
    </xf>
    <xf numFmtId="166" fontId="15" fillId="0" borderId="61" xfId="0" applyNumberFormat="1" applyFont="1" applyBorder="1" applyAlignment="1">
      <alignment horizontal="left" vertical="center"/>
    </xf>
    <xf numFmtId="166" fontId="15" fillId="0" borderId="99" xfId="0" applyNumberFormat="1" applyFont="1" applyBorder="1" applyAlignment="1">
      <alignment horizontal="left" vertical="center"/>
    </xf>
    <xf numFmtId="11" fontId="15" fillId="4" borderId="258" xfId="0" applyNumberFormat="1" applyFont="1" applyFill="1" applyBorder="1" applyAlignment="1">
      <alignment horizontal="left" vertical="center"/>
    </xf>
    <xf numFmtId="166" fontId="15" fillId="4" borderId="61" xfId="0" applyNumberFormat="1" applyFont="1" applyFill="1" applyBorder="1" applyAlignment="1">
      <alignment horizontal="left" vertical="center"/>
    </xf>
    <xf numFmtId="166" fontId="15" fillId="4" borderId="259" xfId="0" applyNumberFormat="1" applyFont="1" applyFill="1" applyBorder="1" applyAlignment="1">
      <alignment horizontal="left" vertical="center"/>
    </xf>
    <xf numFmtId="0" fontId="15" fillId="0" borderId="255" xfId="0" applyFont="1" applyBorder="1" applyAlignment="1">
      <alignment horizontal="left" vertical="center"/>
    </xf>
    <xf numFmtId="0" fontId="15" fillId="0" borderId="62" xfId="0" applyFont="1" applyBorder="1" applyAlignment="1">
      <alignment horizontal="left" vertical="center"/>
    </xf>
    <xf numFmtId="0" fontId="3" fillId="0" borderId="44" xfId="0" applyFont="1" applyBorder="1"/>
    <xf numFmtId="0" fontId="1" fillId="0" borderId="87" xfId="0" applyFont="1" applyBorder="1" applyAlignment="1">
      <alignment horizontal="center" vertical="center"/>
    </xf>
    <xf numFmtId="0" fontId="1" fillId="0" borderId="88" xfId="0" applyFont="1" applyBorder="1" applyAlignment="1">
      <alignment horizontal="center" vertical="center" wrapText="1"/>
    </xf>
    <xf numFmtId="0" fontId="1" fillId="0" borderId="88" xfId="0" applyFont="1" applyBorder="1" applyAlignment="1">
      <alignment horizontal="center" vertical="center"/>
    </xf>
    <xf numFmtId="166" fontId="1" fillId="0" borderId="88" xfId="0" applyNumberFormat="1" applyFont="1" applyFill="1" applyBorder="1" applyAlignment="1">
      <alignment horizontal="center" vertical="center" wrapText="1"/>
    </xf>
    <xf numFmtId="0" fontId="1" fillId="0" borderId="89" xfId="0" applyFont="1" applyBorder="1" applyAlignment="1">
      <alignment horizontal="center" vertical="center"/>
    </xf>
    <xf numFmtId="11" fontId="8" fillId="0" borderId="484" xfId="3" applyNumberFormat="1" applyFont="1" applyFill="1" applyBorder="1" applyAlignment="1">
      <alignment horizontal="center" vertical="center" wrapText="1"/>
    </xf>
    <xf numFmtId="167" fontId="1" fillId="0" borderId="487" xfId="0" applyNumberFormat="1" applyFont="1" applyBorder="1" applyAlignment="1">
      <alignment horizontal="center" vertical="center"/>
    </xf>
    <xf numFmtId="166" fontId="1" fillId="0" borderId="490" xfId="0" applyNumberFormat="1" applyFont="1" applyFill="1" applyBorder="1" applyAlignment="1">
      <alignment horizontal="center" vertical="center" wrapText="1"/>
    </xf>
    <xf numFmtId="11" fontId="8" fillId="7" borderId="493" xfId="3" applyNumberFormat="1" applyFont="1" applyFill="1" applyBorder="1" applyAlignment="1">
      <alignment horizontal="center" vertical="center" wrapText="1"/>
    </xf>
    <xf numFmtId="166" fontId="1" fillId="7" borderId="88" xfId="0" applyNumberFormat="1" applyFont="1" applyFill="1" applyBorder="1" applyAlignment="1">
      <alignment horizontal="center" vertical="center" wrapText="1"/>
    </xf>
    <xf numFmtId="166" fontId="1" fillId="7" borderId="487" xfId="0" applyNumberFormat="1" applyFont="1" applyFill="1" applyBorder="1" applyAlignment="1">
      <alignment horizontal="center" vertical="center" wrapText="1"/>
    </xf>
    <xf numFmtId="0" fontId="3" fillId="0" borderId="455" xfId="0" applyFont="1" applyBorder="1"/>
    <xf numFmtId="0" fontId="1" fillId="0" borderId="484" xfId="0" applyFont="1" applyBorder="1" applyAlignment="1">
      <alignment horizontal="center" vertical="center"/>
    </xf>
    <xf numFmtId="167" fontId="3" fillId="0" borderId="488" xfId="0" applyNumberFormat="1" applyFont="1" applyBorder="1" applyAlignment="1">
      <alignment horizontal="left" vertical="center"/>
    </xf>
    <xf numFmtId="11" fontId="3" fillId="0" borderId="485" xfId="0" applyNumberFormat="1" applyFont="1" applyBorder="1" applyAlignment="1">
      <alignment horizontal="left" vertical="center"/>
    </xf>
    <xf numFmtId="166" fontId="3" fillId="0" borderId="52" xfId="0" applyNumberFormat="1" applyFont="1" applyBorder="1" applyAlignment="1">
      <alignment horizontal="left" vertical="center"/>
    </xf>
    <xf numFmtId="166" fontId="3" fillId="0" borderId="491" xfId="0" applyNumberFormat="1" applyFont="1" applyBorder="1" applyAlignment="1">
      <alignment horizontal="left" vertical="center"/>
    </xf>
    <xf numFmtId="11" fontId="3" fillId="7" borderId="494" xfId="0" applyNumberFormat="1" applyFont="1" applyFill="1" applyBorder="1" applyAlignment="1">
      <alignment horizontal="left" vertical="center"/>
    </xf>
    <xf numFmtId="166" fontId="3" fillId="7" borderId="488" xfId="0" applyNumberFormat="1" applyFont="1" applyFill="1" applyBorder="1" applyAlignment="1">
      <alignment horizontal="left" vertical="center"/>
    </xf>
    <xf numFmtId="0" fontId="3" fillId="0" borderId="485" xfId="0" applyFont="1" applyBorder="1" applyAlignment="1">
      <alignment horizontal="left" vertical="center"/>
    </xf>
    <xf numFmtId="167" fontId="3" fillId="0" borderId="489" xfId="0" applyNumberFormat="1" applyFont="1" applyBorder="1" applyAlignment="1">
      <alignment horizontal="left" vertical="center"/>
    </xf>
    <xf numFmtId="11" fontId="3" fillId="0" borderId="486" xfId="0" applyNumberFormat="1" applyFont="1" applyBorder="1" applyAlignment="1">
      <alignment horizontal="left" vertical="center"/>
    </xf>
    <xf numFmtId="166" fontId="3" fillId="0" borderId="46" xfId="0" applyNumberFormat="1" applyFont="1" applyBorder="1" applyAlignment="1">
      <alignment horizontal="left" vertical="center"/>
    </xf>
    <xf numFmtId="166" fontId="3" fillId="0" borderId="492" xfId="0" applyNumberFormat="1" applyFont="1" applyBorder="1" applyAlignment="1">
      <alignment horizontal="left" vertical="center"/>
    </xf>
    <xf numFmtId="11" fontId="3" fillId="7" borderId="495" xfId="0" applyNumberFormat="1" applyFont="1" applyFill="1" applyBorder="1" applyAlignment="1">
      <alignment horizontal="left" vertical="center"/>
    </xf>
    <xf numFmtId="166" fontId="3" fillId="7" borderId="489" xfId="0" applyNumberFormat="1" applyFont="1" applyFill="1" applyBorder="1" applyAlignment="1">
      <alignment horizontal="left" vertical="center"/>
    </xf>
    <xf numFmtId="0" fontId="3" fillId="0" borderId="486" xfId="0" applyFont="1" applyBorder="1" applyAlignment="1">
      <alignment horizontal="left" vertical="center"/>
    </xf>
    <xf numFmtId="0" fontId="3" fillId="0" borderId="81" xfId="0" applyFont="1" applyBorder="1" applyAlignment="1">
      <alignment horizontal="left" vertical="center"/>
    </xf>
    <xf numFmtId="0" fontId="3" fillId="0" borderId="82" xfId="0" applyFont="1" applyBorder="1" applyAlignment="1">
      <alignment horizontal="left" vertical="center"/>
    </xf>
    <xf numFmtId="167" fontId="3" fillId="0" borderId="496" xfId="0" applyNumberFormat="1" applyFont="1" applyBorder="1" applyAlignment="1">
      <alignment horizontal="left" vertical="center"/>
    </xf>
    <xf numFmtId="11" fontId="3" fillId="0" borderId="497" xfId="0" applyNumberFormat="1" applyFont="1" applyBorder="1" applyAlignment="1">
      <alignment horizontal="left" vertical="center"/>
    </xf>
    <xf numFmtId="166" fontId="3" fillId="0" borderId="82" xfId="0" applyNumberFormat="1" applyFont="1" applyBorder="1" applyAlignment="1">
      <alignment horizontal="left" vertical="center"/>
    </xf>
    <xf numFmtId="166" fontId="3" fillId="0" borderId="498" xfId="0" applyNumberFormat="1" applyFont="1" applyBorder="1" applyAlignment="1">
      <alignment horizontal="left" vertical="center"/>
    </xf>
    <xf numFmtId="11" fontId="3" fillId="7" borderId="499" xfId="0" applyNumberFormat="1" applyFont="1" applyFill="1" applyBorder="1" applyAlignment="1">
      <alignment horizontal="left" vertical="center"/>
    </xf>
    <xf numFmtId="166" fontId="3" fillId="7" borderId="82" xfId="0" applyNumberFormat="1" applyFont="1" applyFill="1" applyBorder="1" applyAlignment="1">
      <alignment horizontal="left" vertical="center"/>
    </xf>
    <xf numFmtId="166" fontId="3" fillId="7" borderId="496" xfId="0" applyNumberFormat="1" applyFont="1" applyFill="1" applyBorder="1" applyAlignment="1">
      <alignment horizontal="left" vertical="center"/>
    </xf>
    <xf numFmtId="0" fontId="3" fillId="0" borderId="497" xfId="0" applyFont="1" applyBorder="1" applyAlignment="1">
      <alignment horizontal="left" vertical="center"/>
    </xf>
    <xf numFmtId="0" fontId="3" fillId="0" borderId="83" xfId="0" applyFont="1" applyBorder="1" applyAlignment="1">
      <alignment horizontal="left" vertical="center"/>
    </xf>
    <xf numFmtId="0" fontId="15" fillId="0" borderId="84" xfId="0" applyFont="1" applyBorder="1" applyAlignment="1">
      <alignment horizontal="left" vertical="center"/>
    </xf>
    <xf numFmtId="0" fontId="15" fillId="0" borderId="85" xfId="0" applyFont="1" applyBorder="1" applyAlignment="1">
      <alignment horizontal="left" vertical="center"/>
    </xf>
    <xf numFmtId="167" fontId="15" fillId="0" borderId="500" xfId="0" applyNumberFormat="1" applyFont="1" applyBorder="1" applyAlignment="1">
      <alignment horizontal="left" vertical="center"/>
    </xf>
    <xf numFmtId="11" fontId="15" fillId="0" borderId="501" xfId="0" applyNumberFormat="1" applyFont="1" applyBorder="1" applyAlignment="1">
      <alignment horizontal="left" vertical="center"/>
    </xf>
    <xf numFmtId="166" fontId="15" fillId="0" borderId="85" xfId="0" applyNumberFormat="1" applyFont="1" applyBorder="1" applyAlignment="1">
      <alignment horizontal="left" vertical="center"/>
    </xf>
    <xf numFmtId="166" fontId="15" fillId="0" borderId="502" xfId="0" applyNumberFormat="1" applyFont="1" applyBorder="1" applyAlignment="1">
      <alignment horizontal="left" vertical="center"/>
    </xf>
    <xf numFmtId="11" fontId="15" fillId="7" borderId="503" xfId="0" applyNumberFormat="1" applyFont="1" applyFill="1" applyBorder="1" applyAlignment="1">
      <alignment horizontal="left" vertical="center"/>
    </xf>
    <xf numFmtId="166" fontId="15" fillId="7" borderId="85" xfId="0" applyNumberFormat="1" applyFont="1" applyFill="1" applyBorder="1" applyAlignment="1">
      <alignment horizontal="left" vertical="center"/>
    </xf>
    <xf numFmtId="166" fontId="15" fillId="7" borderId="500" xfId="0" applyNumberFormat="1" applyFont="1" applyFill="1" applyBorder="1" applyAlignment="1">
      <alignment horizontal="left" vertical="center"/>
    </xf>
    <xf numFmtId="0" fontId="15" fillId="0" borderId="501" xfId="0" applyFont="1" applyBorder="1" applyAlignment="1">
      <alignment horizontal="left" vertical="center"/>
    </xf>
    <xf numFmtId="0" fontId="15" fillId="0" borderId="86" xfId="0" applyFont="1" applyBorder="1" applyAlignment="1">
      <alignment horizontal="left" vertical="center"/>
    </xf>
    <xf numFmtId="0" fontId="15" fillId="0" borderId="45" xfId="0" applyFont="1" applyBorder="1" applyAlignment="1">
      <alignment horizontal="left" vertical="center"/>
    </xf>
    <xf numFmtId="0" fontId="15" fillId="0" borderId="46" xfId="0" applyFont="1" applyBorder="1" applyAlignment="1">
      <alignment horizontal="left" vertical="center"/>
    </xf>
    <xf numFmtId="167" fontId="15" fillId="0" borderId="489" xfId="0" applyNumberFormat="1" applyFont="1" applyBorder="1" applyAlignment="1">
      <alignment horizontal="left" vertical="center"/>
    </xf>
    <xf numFmtId="11" fontId="15" fillId="0" borderId="486" xfId="0" applyNumberFormat="1" applyFont="1" applyBorder="1" applyAlignment="1">
      <alignment horizontal="left" vertical="center"/>
    </xf>
    <xf numFmtId="166" fontId="15" fillId="0" borderId="46" xfId="0" applyNumberFormat="1" applyFont="1" applyBorder="1" applyAlignment="1">
      <alignment horizontal="left" vertical="center"/>
    </xf>
    <xf numFmtId="166" fontId="15" fillId="0" borderId="492" xfId="0" applyNumberFormat="1" applyFont="1" applyBorder="1" applyAlignment="1">
      <alignment horizontal="left" vertical="center"/>
    </xf>
    <xf numFmtId="11" fontId="15" fillId="7" borderId="495" xfId="0" applyNumberFormat="1" applyFont="1" applyFill="1" applyBorder="1" applyAlignment="1">
      <alignment horizontal="left" vertical="center"/>
    </xf>
    <xf numFmtId="166" fontId="15" fillId="7" borderId="46" xfId="0" applyNumberFormat="1" applyFont="1" applyFill="1" applyBorder="1" applyAlignment="1">
      <alignment horizontal="left" vertical="center"/>
    </xf>
    <xf numFmtId="166" fontId="15" fillId="7" borderId="489" xfId="0" applyNumberFormat="1" applyFont="1" applyFill="1" applyBorder="1" applyAlignment="1">
      <alignment horizontal="left" vertical="center"/>
    </xf>
    <xf numFmtId="0" fontId="15" fillId="0" borderId="486" xfId="0" applyFont="1" applyBorder="1" applyAlignment="1">
      <alignment horizontal="left" vertical="center"/>
    </xf>
    <xf numFmtId="0" fontId="15" fillId="0" borderId="47" xfId="0" applyFont="1" applyBorder="1" applyAlignment="1">
      <alignment horizontal="left" vertical="center"/>
    </xf>
    <xf numFmtId="0" fontId="15" fillId="0" borderId="48" xfId="0" applyFont="1" applyBorder="1" applyAlignment="1">
      <alignment horizontal="left" vertical="center"/>
    </xf>
    <xf numFmtId="0" fontId="15" fillId="0" borderId="49" xfId="0" applyFont="1" applyBorder="1" applyAlignment="1">
      <alignment horizontal="left" vertical="center"/>
    </xf>
    <xf numFmtId="167" fontId="15" fillId="0" borderId="464" xfId="0" applyNumberFormat="1" applyFont="1" applyBorder="1" applyAlignment="1">
      <alignment horizontal="left" vertical="center"/>
    </xf>
    <xf numFmtId="11" fontId="15" fillId="0" borderId="456" xfId="0" applyNumberFormat="1" applyFont="1" applyBorder="1" applyAlignment="1">
      <alignment horizontal="left" vertical="center"/>
    </xf>
    <xf numFmtId="166" fontId="15" fillId="0" borderId="49" xfId="0" applyNumberFormat="1" applyFont="1" applyBorder="1" applyAlignment="1">
      <alignment horizontal="left" vertical="center"/>
    </xf>
    <xf numFmtId="166" fontId="15" fillId="0" borderId="460" xfId="0" applyNumberFormat="1" applyFont="1" applyBorder="1" applyAlignment="1">
      <alignment horizontal="left" vertical="center"/>
    </xf>
    <xf numFmtId="11" fontId="15" fillId="7" borderId="463" xfId="0" applyNumberFormat="1" applyFont="1" applyFill="1" applyBorder="1" applyAlignment="1">
      <alignment horizontal="left" vertical="center"/>
    </xf>
    <xf numFmtId="166" fontId="15" fillId="7" borderId="49" xfId="0" applyNumberFormat="1" applyFont="1" applyFill="1" applyBorder="1" applyAlignment="1">
      <alignment horizontal="left" vertical="center"/>
    </xf>
    <xf numFmtId="166" fontId="15" fillId="7" borderId="464" xfId="0" applyNumberFormat="1" applyFont="1" applyFill="1" applyBorder="1" applyAlignment="1">
      <alignment horizontal="left" vertical="center"/>
    </xf>
    <xf numFmtId="0" fontId="15" fillId="0" borderId="456" xfId="0" applyFont="1" applyBorder="1" applyAlignment="1">
      <alignment horizontal="left" vertical="center"/>
    </xf>
    <xf numFmtId="0" fontId="15" fillId="0" borderId="50" xfId="0" applyFont="1" applyBorder="1" applyAlignment="1">
      <alignment horizontal="left" vertical="center"/>
    </xf>
    <xf numFmtId="0" fontId="3" fillId="0" borderId="3" xfId="0" applyFont="1" applyBorder="1"/>
    <xf numFmtId="0" fontId="1" fillId="0" borderId="4" xfId="0" applyFont="1" applyBorder="1" applyAlignment="1">
      <alignment horizontal="center" vertical="center"/>
    </xf>
    <xf numFmtId="0" fontId="1" fillId="0" borderId="5" xfId="0" applyFont="1" applyBorder="1" applyAlignment="1">
      <alignment horizontal="center" vertical="center"/>
    </xf>
    <xf numFmtId="166" fontId="1" fillId="0" borderId="5" xfId="0" applyNumberFormat="1" applyFont="1" applyFill="1" applyBorder="1" applyAlignment="1">
      <alignment horizontal="center" vertical="center" wrapText="1"/>
    </xf>
    <xf numFmtId="0" fontId="1" fillId="0" borderId="6" xfId="0" applyFont="1" applyBorder="1" applyAlignment="1">
      <alignment horizontal="center" vertical="center"/>
    </xf>
    <xf numFmtId="11" fontId="8" fillId="0" borderId="511" xfId="3" applyNumberFormat="1" applyFont="1" applyFill="1" applyBorder="1" applyAlignment="1">
      <alignment horizontal="center" vertical="center" wrapText="1"/>
    </xf>
    <xf numFmtId="167" fontId="1" fillId="0" borderId="517" xfId="0" applyNumberFormat="1" applyFont="1" applyBorder="1" applyAlignment="1">
      <alignment horizontal="center" vertical="center"/>
    </xf>
    <xf numFmtId="166" fontId="1" fillId="0" borderId="524" xfId="0" applyNumberFormat="1" applyFont="1" applyFill="1" applyBorder="1" applyAlignment="1">
      <alignment horizontal="center" vertical="center" wrapText="1"/>
    </xf>
    <xf numFmtId="11" fontId="8" fillId="2" borderId="530" xfId="3" applyNumberFormat="1" applyFont="1" applyFill="1" applyBorder="1" applyAlignment="1">
      <alignment horizontal="center" vertical="center" wrapText="1"/>
    </xf>
    <xf numFmtId="166" fontId="1" fillId="2" borderId="5" xfId="0" applyNumberFormat="1" applyFont="1" applyFill="1" applyBorder="1" applyAlignment="1">
      <alignment horizontal="center" vertical="center" wrapText="1"/>
    </xf>
    <xf numFmtId="166" fontId="1" fillId="2" borderId="517" xfId="0" applyNumberFormat="1" applyFont="1" applyFill="1" applyBorder="1" applyAlignment="1">
      <alignment horizontal="center" vertical="center" wrapText="1"/>
    </xf>
    <xf numFmtId="0" fontId="3" fillId="0" borderId="510" xfId="0" applyFont="1" applyBorder="1"/>
    <xf numFmtId="0" fontId="1" fillId="0" borderId="511" xfId="0" applyFont="1" applyBorder="1" applyAlignment="1">
      <alignment horizontal="center" vertical="center"/>
    </xf>
    <xf numFmtId="167" fontId="3" fillId="0" borderId="518" xfId="0" applyNumberFormat="1" applyFont="1" applyBorder="1" applyAlignment="1">
      <alignment horizontal="left" vertical="center"/>
    </xf>
    <xf numFmtId="11" fontId="3" fillId="0" borderId="30" xfId="0" applyNumberFormat="1" applyFont="1" applyBorder="1" applyAlignment="1">
      <alignment horizontal="left" vertical="center"/>
    </xf>
    <xf numFmtId="166" fontId="3" fillId="0" borderId="8" xfId="0" applyNumberFormat="1" applyFont="1" applyBorder="1" applyAlignment="1">
      <alignment horizontal="left" vertical="center"/>
    </xf>
    <xf numFmtId="166" fontId="3" fillId="0" borderId="31" xfId="0" applyNumberFormat="1" applyFont="1" applyBorder="1" applyAlignment="1">
      <alignment horizontal="left" vertical="center"/>
    </xf>
    <xf numFmtId="11" fontId="3" fillId="2" borderId="531" xfId="0" applyNumberFormat="1" applyFont="1" applyFill="1" applyBorder="1" applyAlignment="1">
      <alignment horizontal="left" vertical="center"/>
    </xf>
    <xf numFmtId="166" fontId="3" fillId="2" borderId="8" xfId="0" applyNumberFormat="1" applyFont="1" applyFill="1" applyBorder="1" applyAlignment="1">
      <alignment horizontal="left" vertical="center"/>
    </xf>
    <xf numFmtId="166" fontId="3" fillId="2" borderId="518" xfId="0" applyNumberFormat="1" applyFont="1" applyFill="1" applyBorder="1" applyAlignment="1">
      <alignment horizontal="left" vertical="center"/>
    </xf>
    <xf numFmtId="0" fontId="3" fillId="0" borderId="30" xfId="0" applyFont="1" applyBorder="1" applyAlignment="1">
      <alignment horizontal="left" vertical="center"/>
    </xf>
    <xf numFmtId="167" fontId="3" fillId="0" borderId="519" xfId="0" applyNumberFormat="1" applyFont="1" applyBorder="1" applyAlignment="1">
      <alignment horizontal="left" vertical="center"/>
    </xf>
    <xf numFmtId="11" fontId="3" fillId="0" borderId="512" xfId="0" applyNumberFormat="1" applyFont="1" applyBorder="1" applyAlignment="1">
      <alignment horizontal="left" vertical="center"/>
    </xf>
    <xf numFmtId="166" fontId="3" fillId="0" borderId="11" xfId="0" applyNumberFormat="1" applyFont="1" applyBorder="1" applyAlignment="1">
      <alignment horizontal="left" vertical="center"/>
    </xf>
    <xf numFmtId="166" fontId="3" fillId="0" borderId="525" xfId="0" applyNumberFormat="1" applyFont="1" applyBorder="1" applyAlignment="1">
      <alignment horizontal="left" vertical="center"/>
    </xf>
    <xf numFmtId="11" fontId="3" fillId="2" borderId="532" xfId="0" applyNumberFormat="1" applyFont="1" applyFill="1" applyBorder="1" applyAlignment="1">
      <alignment horizontal="left" vertical="center"/>
    </xf>
    <xf numFmtId="166" fontId="3" fillId="2" borderId="11" xfId="0" applyNumberFormat="1" applyFont="1" applyFill="1" applyBorder="1" applyAlignment="1">
      <alignment horizontal="left" vertical="center"/>
    </xf>
    <xf numFmtId="166" fontId="3" fillId="2" borderId="519" xfId="0" applyNumberFormat="1" applyFont="1" applyFill="1" applyBorder="1" applyAlignment="1">
      <alignment horizontal="left" vertical="center"/>
    </xf>
    <xf numFmtId="0" fontId="3" fillId="0" borderId="512" xfId="0" applyFont="1" applyBorder="1" applyAlignment="1">
      <alignment horizontal="left" vertical="center"/>
    </xf>
    <xf numFmtId="0" fontId="3" fillId="0" borderId="504" xfId="0" applyFont="1" applyBorder="1" applyAlignment="1">
      <alignment horizontal="left" vertical="center"/>
    </xf>
    <xf numFmtId="0" fontId="3" fillId="0" borderId="505" xfId="0" applyFont="1" applyBorder="1" applyAlignment="1">
      <alignment horizontal="left" vertical="center"/>
    </xf>
    <xf numFmtId="167" fontId="3" fillId="0" borderId="520" xfId="0" applyNumberFormat="1" applyFont="1" applyBorder="1" applyAlignment="1">
      <alignment horizontal="left" vertical="center"/>
    </xf>
    <xf numFmtId="11" fontId="3" fillId="0" borderId="513" xfId="0" applyNumberFormat="1" applyFont="1" applyBorder="1" applyAlignment="1">
      <alignment horizontal="left" vertical="center"/>
    </xf>
    <xf numFmtId="166" fontId="3" fillId="0" borderId="505" xfId="0" applyNumberFormat="1" applyFont="1" applyBorder="1" applyAlignment="1">
      <alignment horizontal="left" vertical="center"/>
    </xf>
    <xf numFmtId="166" fontId="3" fillId="0" borderId="526" xfId="0" applyNumberFormat="1" applyFont="1" applyBorder="1" applyAlignment="1">
      <alignment horizontal="left" vertical="center"/>
    </xf>
    <xf numFmtId="11" fontId="3" fillId="2" borderId="533" xfId="0" applyNumberFormat="1" applyFont="1" applyFill="1" applyBorder="1" applyAlignment="1">
      <alignment horizontal="left" vertical="center"/>
    </xf>
    <xf numFmtId="166" fontId="3" fillId="2" borderId="505" xfId="0" applyNumberFormat="1" applyFont="1" applyFill="1" applyBorder="1" applyAlignment="1">
      <alignment horizontal="left" vertical="center"/>
    </xf>
    <xf numFmtId="166" fontId="3" fillId="2" borderId="520" xfId="0" applyNumberFormat="1" applyFont="1" applyFill="1" applyBorder="1" applyAlignment="1">
      <alignment horizontal="left" vertical="center"/>
    </xf>
    <xf numFmtId="0" fontId="3" fillId="0" borderId="513" xfId="0" applyFont="1" applyBorder="1" applyAlignment="1">
      <alignment horizontal="left" vertical="center"/>
    </xf>
    <xf numFmtId="0" fontId="3" fillId="0" borderId="506" xfId="0" applyFont="1" applyBorder="1" applyAlignment="1">
      <alignment horizontal="left" vertical="center"/>
    </xf>
    <xf numFmtId="0" fontId="15" fillId="0" borderId="507" xfId="0" applyFont="1" applyBorder="1" applyAlignment="1">
      <alignment horizontal="left" vertical="center"/>
    </xf>
    <xf numFmtId="0" fontId="15" fillId="0" borderId="508" xfId="0" applyFont="1" applyBorder="1" applyAlignment="1">
      <alignment horizontal="left" vertical="center"/>
    </xf>
    <xf numFmtId="167" fontId="15" fillId="0" borderId="521" xfId="0" applyNumberFormat="1" applyFont="1" applyBorder="1" applyAlignment="1">
      <alignment horizontal="left" vertical="center"/>
    </xf>
    <xf numFmtId="11" fontId="15" fillId="0" borderId="514" xfId="0" applyNumberFormat="1" applyFont="1" applyBorder="1" applyAlignment="1">
      <alignment horizontal="left" vertical="center"/>
    </xf>
    <xf numFmtId="166" fontId="15" fillId="0" borderId="508" xfId="0" applyNumberFormat="1" applyFont="1" applyBorder="1" applyAlignment="1">
      <alignment horizontal="left" vertical="center"/>
    </xf>
    <xf numFmtId="166" fontId="15" fillId="0" borderId="527" xfId="0" applyNumberFormat="1" applyFont="1" applyBorder="1" applyAlignment="1">
      <alignment horizontal="left" vertical="center"/>
    </xf>
    <xf numFmtId="11" fontId="15" fillId="2" borderId="534" xfId="0" applyNumberFormat="1" applyFont="1" applyFill="1" applyBorder="1" applyAlignment="1">
      <alignment horizontal="left" vertical="center"/>
    </xf>
    <xf numFmtId="166" fontId="15" fillId="2" borderId="508" xfId="0" applyNumberFormat="1" applyFont="1" applyFill="1" applyBorder="1" applyAlignment="1">
      <alignment horizontal="left" vertical="center"/>
    </xf>
    <xf numFmtId="166" fontId="15" fillId="2" borderId="521" xfId="0" applyNumberFormat="1" applyFont="1" applyFill="1" applyBorder="1" applyAlignment="1">
      <alignment horizontal="left" vertical="center"/>
    </xf>
    <xf numFmtId="0" fontId="15" fillId="0" borderId="514" xfId="0" applyFont="1" applyBorder="1" applyAlignment="1">
      <alignment horizontal="left" vertical="center"/>
    </xf>
    <xf numFmtId="0" fontId="15" fillId="0" borderId="509" xfId="0" applyFont="1" applyBorder="1" applyAlignment="1">
      <alignment horizontal="left" vertical="center"/>
    </xf>
    <xf numFmtId="0" fontId="15" fillId="0" borderId="10" xfId="0" applyFont="1" applyBorder="1" applyAlignment="1">
      <alignment horizontal="left" vertical="center"/>
    </xf>
    <xf numFmtId="0" fontId="15" fillId="0" borderId="11" xfId="0" applyFont="1" applyBorder="1" applyAlignment="1">
      <alignment horizontal="left" vertical="center"/>
    </xf>
    <xf numFmtId="167" fontId="15" fillId="0" borderId="519" xfId="0" applyNumberFormat="1" applyFont="1" applyBorder="1" applyAlignment="1">
      <alignment horizontal="left" vertical="center"/>
    </xf>
    <xf numFmtId="11" fontId="15" fillId="0" borderId="512" xfId="0" applyNumberFormat="1" applyFont="1" applyBorder="1" applyAlignment="1">
      <alignment horizontal="left" vertical="center"/>
    </xf>
    <xf numFmtId="166" fontId="15" fillId="0" borderId="11" xfId="0" applyNumberFormat="1" applyFont="1" applyBorder="1" applyAlignment="1">
      <alignment horizontal="left" vertical="center"/>
    </xf>
    <xf numFmtId="166" fontId="15" fillId="0" borderId="525" xfId="0" applyNumberFormat="1" applyFont="1" applyBorder="1" applyAlignment="1">
      <alignment horizontal="left" vertical="center"/>
    </xf>
    <xf numFmtId="11" fontId="15" fillId="2" borderId="532" xfId="0" applyNumberFormat="1" applyFont="1" applyFill="1" applyBorder="1" applyAlignment="1">
      <alignment horizontal="left" vertical="center"/>
    </xf>
    <xf numFmtId="166" fontId="15" fillId="2" borderId="11" xfId="0" applyNumberFormat="1" applyFont="1" applyFill="1" applyBorder="1" applyAlignment="1">
      <alignment horizontal="left" vertical="center"/>
    </xf>
    <xf numFmtId="166" fontId="15" fillId="2" borderId="519" xfId="0" applyNumberFormat="1" applyFont="1" applyFill="1" applyBorder="1" applyAlignment="1">
      <alignment horizontal="left" vertical="center"/>
    </xf>
    <xf numFmtId="0" fontId="15" fillId="0" borderId="512" xfId="0" applyFont="1" applyBorder="1" applyAlignment="1">
      <alignment horizontal="left" vertical="center"/>
    </xf>
    <xf numFmtId="0" fontId="15" fillId="0" borderId="12" xfId="0" applyFont="1" applyBorder="1" applyAlignment="1">
      <alignment horizontal="left" vertical="center"/>
    </xf>
    <xf numFmtId="0" fontId="15" fillId="0" borderId="13" xfId="0" applyFont="1" applyBorder="1" applyAlignment="1">
      <alignment horizontal="left" vertical="center"/>
    </xf>
    <xf numFmtId="0" fontId="15" fillId="0" borderId="14" xfId="0" applyFont="1" applyBorder="1" applyAlignment="1">
      <alignment horizontal="left" vertical="center"/>
    </xf>
    <xf numFmtId="167" fontId="15" fillId="0" borderId="522" xfId="0" applyNumberFormat="1" applyFont="1" applyBorder="1" applyAlignment="1">
      <alignment horizontal="left" vertical="center"/>
    </xf>
    <xf numFmtId="11" fontId="15" fillId="0" borderId="515" xfId="0" applyNumberFormat="1" applyFont="1" applyBorder="1" applyAlignment="1">
      <alignment horizontal="left" vertical="center"/>
    </xf>
    <xf numFmtId="166" fontId="15" fillId="0" borderId="14" xfId="0" applyNumberFormat="1" applyFont="1" applyBorder="1" applyAlignment="1">
      <alignment horizontal="left" vertical="center"/>
    </xf>
    <xf numFmtId="166" fontId="15" fillId="0" borderId="528" xfId="0" applyNumberFormat="1" applyFont="1" applyBorder="1" applyAlignment="1">
      <alignment horizontal="left" vertical="center"/>
    </xf>
    <xf numFmtId="11" fontId="15" fillId="2" borderId="535" xfId="0" applyNumberFormat="1" applyFont="1" applyFill="1" applyBorder="1" applyAlignment="1">
      <alignment horizontal="left" vertical="center"/>
    </xf>
    <xf numFmtId="166" fontId="15" fillId="2" borderId="14" xfId="0" applyNumberFormat="1" applyFont="1" applyFill="1" applyBorder="1" applyAlignment="1">
      <alignment horizontal="left" vertical="center"/>
    </xf>
    <xf numFmtId="166" fontId="15" fillId="2" borderId="522" xfId="0" applyNumberFormat="1" applyFont="1" applyFill="1" applyBorder="1" applyAlignment="1">
      <alignment horizontal="left" vertical="center"/>
    </xf>
    <xf numFmtId="0" fontId="15" fillId="0" borderId="515" xfId="0" applyFont="1" applyBorder="1" applyAlignment="1">
      <alignment horizontal="left" vertical="center"/>
    </xf>
    <xf numFmtId="0" fontId="15" fillId="0" borderId="15" xfId="0" applyFont="1" applyBorder="1" applyAlignment="1">
      <alignment horizontal="left" vertical="center"/>
    </xf>
    <xf numFmtId="0" fontId="1" fillId="3" borderId="479" xfId="0" applyFont="1" applyFill="1" applyBorder="1" applyAlignment="1">
      <alignment horizontal="center" vertical="center"/>
    </xf>
    <xf numFmtId="0" fontId="9" fillId="0" borderId="0" xfId="0" applyFont="1" applyAlignment="1">
      <alignment horizontal="left" vertical="center" wrapText="1"/>
    </xf>
    <xf numFmtId="0" fontId="3" fillId="0" borderId="0" xfId="0" applyFont="1" applyAlignment="1">
      <alignment horizontal="left" vertical="center"/>
    </xf>
    <xf numFmtId="0" fontId="9" fillId="0" borderId="0" xfId="0" applyFont="1" applyAlignment="1">
      <alignment horizontal="left" vertical="center" wrapText="1"/>
    </xf>
    <xf numFmtId="0" fontId="3" fillId="0" borderId="0" xfId="0" applyFont="1" applyAlignment="1">
      <alignment horizontal="left" vertical="center"/>
    </xf>
    <xf numFmtId="0" fontId="9" fillId="0" borderId="0" xfId="0" applyFont="1" applyAlignment="1">
      <alignment horizontal="left" vertical="center" wrapText="1"/>
    </xf>
    <xf numFmtId="0" fontId="3" fillId="0" borderId="0" xfId="0" applyFont="1" applyAlignment="1">
      <alignment horizontal="left" vertical="center"/>
    </xf>
    <xf numFmtId="0" fontId="9" fillId="0" borderId="0" xfId="0" applyFont="1" applyAlignment="1">
      <alignment horizontal="left" vertical="center" wrapText="1"/>
    </xf>
    <xf numFmtId="0" fontId="3" fillId="0" borderId="0" xfId="0" applyFont="1" applyAlignment="1">
      <alignment horizontal="left" vertical="center"/>
    </xf>
    <xf numFmtId="166" fontId="3" fillId="0" borderId="133" xfId="0" applyNumberFormat="1" applyFont="1" applyBorder="1" applyAlignment="1">
      <alignment horizontal="left" vertical="center"/>
    </xf>
    <xf numFmtId="166" fontId="3" fillId="0" borderId="137" xfId="0" applyNumberFormat="1" applyFont="1" applyBorder="1" applyAlignment="1">
      <alignment horizontal="left" vertical="center"/>
    </xf>
    <xf numFmtId="166" fontId="3" fillId="0" borderId="147" xfId="0" applyNumberFormat="1" applyFont="1" applyBorder="1" applyAlignment="1">
      <alignment horizontal="left" vertical="center"/>
    </xf>
    <xf numFmtId="166" fontId="3" fillId="0" borderId="148" xfId="0" applyNumberFormat="1" applyFont="1" applyBorder="1" applyAlignment="1">
      <alignment horizontal="left" vertical="center"/>
    </xf>
    <xf numFmtId="166" fontId="1" fillId="0" borderId="145" xfId="0" applyNumberFormat="1" applyFont="1" applyFill="1" applyBorder="1" applyAlignment="1">
      <alignment vertical="center" wrapText="1"/>
    </xf>
    <xf numFmtId="166" fontId="6" fillId="0" borderId="131" xfId="0" applyNumberFormat="1" applyFont="1" applyFill="1" applyBorder="1" applyAlignment="1">
      <alignment vertical="center" wrapText="1"/>
    </xf>
    <xf numFmtId="166" fontId="1" fillId="0" borderId="146" xfId="0" applyNumberFormat="1" applyFont="1" applyFill="1" applyBorder="1" applyAlignment="1">
      <alignment horizontal="center" vertical="center" wrapText="1"/>
    </xf>
    <xf numFmtId="166" fontId="1" fillId="0" borderId="139" xfId="0" applyNumberFormat="1" applyFont="1" applyFill="1" applyBorder="1" applyAlignment="1">
      <alignment horizontal="center" vertical="center" wrapText="1"/>
    </xf>
    <xf numFmtId="166" fontId="1" fillId="0" borderId="140" xfId="0" applyNumberFormat="1" applyFont="1" applyBorder="1" applyAlignment="1">
      <alignment vertical="center" wrapText="1"/>
    </xf>
    <xf numFmtId="166" fontId="1" fillId="0" borderId="141" xfId="0" applyNumberFormat="1" applyFont="1" applyBorder="1" applyAlignment="1">
      <alignment horizontal="center" vertical="center" wrapText="1"/>
    </xf>
    <xf numFmtId="166" fontId="3" fillId="0" borderId="142" xfId="0" applyNumberFormat="1" applyFont="1" applyBorder="1" applyAlignment="1">
      <alignment horizontal="left" vertical="center"/>
    </xf>
    <xf numFmtId="166" fontId="3" fillId="0" borderId="143" xfId="0" applyNumberFormat="1" applyFont="1" applyBorder="1" applyAlignment="1">
      <alignment horizontal="left" vertical="center"/>
    </xf>
    <xf numFmtId="166" fontId="1" fillId="12" borderId="152" xfId="0" applyNumberFormat="1" applyFont="1" applyFill="1" applyBorder="1" applyAlignment="1">
      <alignment horizontal="center" vertical="center"/>
    </xf>
    <xf numFmtId="166" fontId="1" fillId="12" borderId="139" xfId="0" applyNumberFormat="1" applyFont="1" applyFill="1" applyBorder="1" applyAlignment="1">
      <alignment horizontal="center" vertical="center" wrapText="1"/>
    </xf>
    <xf numFmtId="166" fontId="1" fillId="12" borderId="538" xfId="0" applyNumberFormat="1" applyFont="1" applyFill="1" applyBorder="1" applyAlignment="1">
      <alignment horizontal="center" vertical="center" wrapText="1"/>
    </xf>
    <xf numFmtId="166" fontId="3" fillId="12" borderId="154" xfId="0" applyNumberFormat="1" applyFont="1" applyFill="1" applyBorder="1" applyAlignment="1">
      <alignment horizontal="left" vertical="center"/>
    </xf>
    <xf numFmtId="166" fontId="3" fillId="12" borderId="137" xfId="0" applyNumberFormat="1" applyFont="1" applyFill="1" applyBorder="1" applyAlignment="1">
      <alignment horizontal="left" vertical="center"/>
    </xf>
    <xf numFmtId="166" fontId="3" fillId="12" borderId="537" xfId="0" applyNumberFormat="1" applyFont="1" applyFill="1" applyBorder="1" applyAlignment="1">
      <alignment horizontal="left" vertical="center"/>
    </xf>
    <xf numFmtId="166" fontId="3" fillId="12" borderId="156" xfId="0" applyNumberFormat="1" applyFont="1" applyFill="1" applyBorder="1" applyAlignment="1">
      <alignment horizontal="left" vertical="center"/>
    </xf>
    <xf numFmtId="166" fontId="3" fillId="12" borderId="133" xfId="0" applyNumberFormat="1" applyFont="1" applyFill="1" applyBorder="1" applyAlignment="1">
      <alignment horizontal="left" vertical="center"/>
    </xf>
    <xf numFmtId="166" fontId="3" fillId="12" borderId="536" xfId="0" applyNumberFormat="1" applyFont="1" applyFill="1" applyBorder="1" applyAlignment="1">
      <alignment horizontal="left" vertical="center"/>
    </xf>
    <xf numFmtId="166" fontId="3" fillId="12" borderId="158" xfId="0" applyNumberFormat="1" applyFont="1" applyFill="1" applyBorder="1" applyAlignment="1">
      <alignment horizontal="left" vertical="center"/>
    </xf>
    <xf numFmtId="166" fontId="3" fillId="12" borderId="135" xfId="0" applyNumberFormat="1" applyFont="1" applyFill="1" applyBorder="1" applyAlignment="1">
      <alignment horizontal="left" vertical="center"/>
    </xf>
    <xf numFmtId="166" fontId="3" fillId="12" borderId="349" xfId="0" applyNumberFormat="1" applyFont="1" applyFill="1" applyBorder="1" applyAlignment="1">
      <alignment horizontal="left" vertical="center"/>
    </xf>
    <xf numFmtId="0" fontId="3" fillId="10" borderId="130" xfId="0" applyFont="1" applyFill="1" applyBorder="1" applyAlignment="1">
      <alignment vertical="center"/>
    </xf>
    <xf numFmtId="167" fontId="3" fillId="10" borderId="151" xfId="0" applyNumberFormat="1" applyFont="1" applyFill="1" applyBorder="1" applyAlignment="1">
      <alignment vertical="center"/>
    </xf>
    <xf numFmtId="0" fontId="1" fillId="10" borderId="138" xfId="0" applyFont="1" applyFill="1" applyBorder="1" applyAlignment="1">
      <alignment horizontal="center" vertical="center"/>
    </xf>
    <xf numFmtId="167" fontId="1" fillId="10" borderId="153" xfId="0" applyNumberFormat="1" applyFont="1" applyFill="1" applyBorder="1" applyAlignment="1">
      <alignment horizontal="center" vertical="center"/>
    </xf>
    <xf numFmtId="0" fontId="3" fillId="10" borderId="136" xfId="0" applyFont="1" applyFill="1" applyBorder="1" applyAlignment="1">
      <alignment horizontal="left" vertical="center"/>
    </xf>
    <xf numFmtId="167" fontId="3" fillId="10" borderId="155" xfId="0" applyNumberFormat="1" applyFont="1" applyFill="1" applyBorder="1" applyAlignment="1">
      <alignment horizontal="left" vertical="center"/>
    </xf>
    <xf numFmtId="0" fontId="3" fillId="10" borderId="132" xfId="0" applyFont="1" applyFill="1" applyBorder="1" applyAlignment="1">
      <alignment horizontal="left" vertical="center"/>
    </xf>
    <xf numFmtId="167" fontId="3" fillId="10" borderId="157" xfId="0" applyNumberFormat="1" applyFont="1" applyFill="1" applyBorder="1" applyAlignment="1">
      <alignment horizontal="left" vertical="center"/>
    </xf>
    <xf numFmtId="0" fontId="3" fillId="10" borderId="134" xfId="0" applyFont="1" applyFill="1" applyBorder="1" applyAlignment="1">
      <alignment horizontal="left" vertical="center"/>
    </xf>
    <xf numFmtId="167" fontId="3" fillId="10" borderId="159" xfId="0" applyNumberFormat="1" applyFont="1" applyFill="1" applyBorder="1" applyAlignment="1">
      <alignment horizontal="left" vertical="center"/>
    </xf>
    <xf numFmtId="0" fontId="0" fillId="0" borderId="0" xfId="0" applyAlignment="1">
      <alignment horizontal="left"/>
    </xf>
    <xf numFmtId="166" fontId="10" fillId="12" borderId="139" xfId="0" applyNumberFormat="1" applyFont="1" applyFill="1" applyBorder="1" applyAlignment="1">
      <alignment horizontal="center" vertical="center" wrapText="1"/>
    </xf>
    <xf numFmtId="166" fontId="15" fillId="12" borderId="137" xfId="0" applyNumberFormat="1" applyFont="1" applyFill="1" applyBorder="1" applyAlignment="1">
      <alignment horizontal="left" vertical="center"/>
    </xf>
    <xf numFmtId="166" fontId="15" fillId="12" borderId="133" xfId="0" applyNumberFormat="1" applyFont="1" applyFill="1" applyBorder="1" applyAlignment="1">
      <alignment horizontal="left" vertical="center"/>
    </xf>
    <xf numFmtId="166" fontId="15" fillId="12" borderId="135" xfId="0" applyNumberFormat="1" applyFont="1" applyFill="1" applyBorder="1" applyAlignment="1">
      <alignment horizontal="left" vertical="center"/>
    </xf>
    <xf numFmtId="166" fontId="6" fillId="0" borderId="131" xfId="0" applyNumberFormat="1" applyFont="1" applyFill="1" applyBorder="1" applyAlignment="1">
      <alignment horizontal="center" vertical="center" wrapText="1"/>
    </xf>
    <xf numFmtId="0" fontId="3" fillId="0" borderId="470" xfId="0" applyFont="1" applyBorder="1" applyAlignment="1">
      <alignment horizontal="left" vertical="center"/>
    </xf>
    <xf numFmtId="0" fontId="3" fillId="0" borderId="473" xfId="0" applyFont="1" applyBorder="1" applyAlignment="1">
      <alignment horizontal="left" vertical="center"/>
    </xf>
    <xf numFmtId="166" fontId="3" fillId="0" borderId="474" xfId="0" applyNumberFormat="1" applyFont="1" applyBorder="1" applyAlignment="1">
      <alignment horizontal="left" vertical="center"/>
    </xf>
    <xf numFmtId="0" fontId="3" fillId="0" borderId="476" xfId="0" applyFont="1" applyBorder="1" applyAlignment="1">
      <alignment horizontal="left" vertical="center"/>
    </xf>
    <xf numFmtId="0" fontId="3" fillId="0" borderId="479" xfId="0" applyFont="1" applyBorder="1" applyAlignment="1">
      <alignment horizontal="left" vertical="center"/>
    </xf>
    <xf numFmtId="166" fontId="1" fillId="0" borderId="480" xfId="0" applyNumberFormat="1" applyFont="1" applyFill="1" applyBorder="1" applyAlignment="1">
      <alignment vertical="center" wrapText="1"/>
    </xf>
    <xf numFmtId="166" fontId="6" fillId="0" borderId="480" xfId="0" applyNumberFormat="1" applyFont="1" applyFill="1" applyBorder="1" applyAlignment="1">
      <alignment vertical="center" wrapText="1"/>
    </xf>
    <xf numFmtId="166" fontId="6" fillId="0" borderId="480" xfId="0" applyNumberFormat="1" applyFont="1" applyFill="1" applyBorder="1" applyAlignment="1">
      <alignment horizontal="center" vertical="center" wrapText="1"/>
    </xf>
    <xf numFmtId="166" fontId="1" fillId="10" borderId="480" xfId="0" applyNumberFormat="1" applyFont="1" applyFill="1" applyBorder="1" applyAlignment="1">
      <alignment horizontal="center" vertical="center"/>
    </xf>
    <xf numFmtId="166" fontId="1" fillId="10" borderId="480" xfId="0" applyNumberFormat="1" applyFont="1" applyFill="1" applyBorder="1" applyAlignment="1">
      <alignment horizontal="center" vertical="center" wrapText="1"/>
    </xf>
    <xf numFmtId="166" fontId="1" fillId="10" borderId="481" xfId="0" applyNumberFormat="1" applyFont="1" applyFill="1" applyBorder="1" applyAlignment="1">
      <alignment horizontal="center" vertical="center" wrapText="1"/>
    </xf>
    <xf numFmtId="166" fontId="3" fillId="10" borderId="474" xfId="0" applyNumberFormat="1" applyFont="1" applyFill="1" applyBorder="1" applyAlignment="1">
      <alignment horizontal="left" vertical="center"/>
    </xf>
    <xf numFmtId="166" fontId="3" fillId="10" borderId="475" xfId="0" applyNumberFormat="1" applyFont="1" applyFill="1" applyBorder="1" applyAlignment="1">
      <alignment horizontal="left" vertical="center"/>
    </xf>
    <xf numFmtId="0" fontId="9" fillId="0" borderId="0" xfId="0" applyFont="1" applyAlignment="1">
      <alignment horizontal="left" vertical="center" wrapText="1"/>
    </xf>
    <xf numFmtId="0" fontId="3" fillId="0" borderId="0" xfId="0" applyFont="1" applyAlignment="1">
      <alignment horizontal="left" vertical="center"/>
    </xf>
    <xf numFmtId="168" fontId="3" fillId="0" borderId="11" xfId="0" applyNumberFormat="1" applyFont="1" applyBorder="1" applyAlignment="1">
      <alignment horizontal="center" vertical="center"/>
    </xf>
    <xf numFmtId="168" fontId="3" fillId="0" borderId="0" xfId="0" applyNumberFormat="1" applyFont="1" applyAlignment="1">
      <alignment horizontal="left" vertical="center"/>
    </xf>
    <xf numFmtId="168" fontId="3" fillId="0" borderId="46" xfId="0" applyNumberFormat="1" applyFont="1" applyBorder="1" applyAlignment="1">
      <alignment horizontal="center" vertical="center"/>
    </xf>
    <xf numFmtId="168" fontId="3" fillId="0" borderId="47" xfId="0" applyNumberFormat="1" applyFont="1" applyBorder="1" applyAlignment="1">
      <alignment horizontal="center" vertical="center"/>
    </xf>
    <xf numFmtId="168" fontId="3" fillId="0" borderId="52" xfId="0" applyNumberFormat="1" applyFont="1" applyBorder="1" applyAlignment="1">
      <alignment horizontal="center" vertical="center"/>
    </xf>
    <xf numFmtId="168" fontId="3" fillId="0" borderId="53" xfId="0" applyNumberFormat="1" applyFont="1" applyBorder="1" applyAlignment="1">
      <alignment horizontal="center" vertical="center"/>
    </xf>
    <xf numFmtId="168" fontId="1" fillId="0" borderId="87" xfId="0" applyNumberFormat="1" applyFont="1" applyBorder="1" applyAlignment="1">
      <alignment horizontal="center" vertical="center"/>
    </xf>
    <xf numFmtId="168" fontId="1" fillId="0" borderId="88" xfId="0" applyNumberFormat="1" applyFont="1" applyBorder="1" applyAlignment="1">
      <alignment horizontal="center" vertical="center"/>
    </xf>
    <xf numFmtId="168" fontId="1" fillId="0" borderId="89" xfId="0" applyNumberFormat="1" applyFont="1" applyBorder="1" applyAlignment="1">
      <alignment horizontal="center" vertical="center"/>
    </xf>
    <xf numFmtId="168" fontId="3" fillId="0" borderId="470" xfId="0" applyNumberFormat="1" applyFont="1" applyBorder="1" applyAlignment="1">
      <alignment horizontal="center" vertical="center"/>
    </xf>
    <xf numFmtId="168" fontId="3" fillId="0" borderId="471" xfId="0" applyNumberFormat="1" applyFont="1" applyBorder="1" applyAlignment="1">
      <alignment horizontal="center" vertical="center"/>
    </xf>
    <xf numFmtId="168" fontId="3" fillId="0" borderId="472" xfId="0" applyNumberFormat="1" applyFont="1" applyBorder="1" applyAlignment="1">
      <alignment horizontal="center" vertical="center"/>
    </xf>
    <xf numFmtId="168" fontId="3" fillId="0" borderId="473" xfId="0" applyNumberFormat="1" applyFont="1" applyBorder="1" applyAlignment="1">
      <alignment horizontal="center" vertical="center"/>
    </xf>
    <xf numFmtId="168" fontId="3" fillId="0" borderId="474" xfId="0" applyNumberFormat="1" applyFont="1" applyBorder="1" applyAlignment="1">
      <alignment horizontal="center" vertical="center"/>
    </xf>
    <xf numFmtId="168" fontId="3" fillId="0" borderId="475" xfId="0" applyNumberFormat="1" applyFont="1" applyBorder="1" applyAlignment="1">
      <alignment horizontal="center" vertical="center"/>
    </xf>
    <xf numFmtId="168" fontId="3" fillId="0" borderId="476" xfId="0" applyNumberFormat="1" applyFont="1" applyBorder="1" applyAlignment="1">
      <alignment horizontal="center" vertical="center"/>
    </xf>
    <xf numFmtId="168" fontId="3" fillId="0" borderId="477" xfId="0" applyNumberFormat="1" applyFont="1" applyBorder="1" applyAlignment="1">
      <alignment horizontal="center" vertical="center"/>
    </xf>
    <xf numFmtId="168" fontId="3" fillId="0" borderId="478" xfId="0" applyNumberFormat="1" applyFont="1" applyBorder="1" applyAlignment="1">
      <alignment horizontal="center" vertical="center"/>
    </xf>
    <xf numFmtId="168" fontId="3" fillId="0" borderId="542" xfId="0" applyNumberFormat="1" applyFont="1" applyBorder="1" applyAlignment="1">
      <alignment horizontal="center" vertical="center"/>
    </xf>
    <xf numFmtId="168" fontId="3" fillId="0" borderId="543" xfId="0" applyNumberFormat="1" applyFont="1" applyBorder="1" applyAlignment="1">
      <alignment horizontal="center" vertical="center"/>
    </xf>
    <xf numFmtId="168" fontId="3" fillId="0" borderId="544" xfId="0" applyNumberFormat="1" applyFont="1" applyBorder="1" applyAlignment="1">
      <alignment horizontal="center" vertical="center"/>
    </xf>
    <xf numFmtId="168" fontId="3" fillId="0" borderId="2" xfId="0" applyNumberFormat="1" applyFont="1" applyBorder="1" applyAlignment="1">
      <alignment horizontal="center" vertical="center"/>
    </xf>
    <xf numFmtId="168" fontId="3" fillId="0" borderId="3" xfId="0" applyNumberFormat="1" applyFont="1" applyBorder="1" applyAlignment="1">
      <alignment horizontal="center" vertical="center"/>
    </xf>
    <xf numFmtId="168" fontId="3" fillId="0" borderId="12" xfId="0" applyNumberFormat="1" applyFont="1" applyBorder="1" applyAlignment="1">
      <alignment horizontal="center" vertical="center"/>
    </xf>
    <xf numFmtId="168" fontId="3" fillId="0" borderId="14" xfId="0" applyNumberFormat="1" applyFont="1" applyBorder="1" applyAlignment="1">
      <alignment horizontal="center" vertical="center"/>
    </xf>
    <xf numFmtId="168" fontId="3" fillId="0" borderId="15" xfId="0" applyNumberFormat="1" applyFont="1" applyBorder="1" applyAlignment="1">
      <alignment horizontal="center" vertical="center"/>
    </xf>
    <xf numFmtId="168" fontId="3" fillId="0" borderId="49" xfId="0" applyNumberFormat="1" applyFont="1" applyBorder="1" applyAlignment="1">
      <alignment horizontal="center" vertical="center"/>
    </xf>
    <xf numFmtId="168" fontId="3" fillId="0" borderId="50" xfId="0" applyNumberFormat="1" applyFont="1" applyBorder="1" applyAlignment="1">
      <alignment horizontal="center" vertical="center"/>
    </xf>
    <xf numFmtId="168" fontId="3" fillId="0" borderId="0" xfId="0" applyNumberFormat="1" applyFont="1" applyAlignment="1">
      <alignment horizontal="center" vertical="center"/>
    </xf>
    <xf numFmtId="0" fontId="9" fillId="0" borderId="0" xfId="0" applyFont="1" applyAlignment="1">
      <alignment horizontal="left" vertical="center" wrapText="1"/>
    </xf>
    <xf numFmtId="0" fontId="3" fillId="0" borderId="0" xfId="0" applyFont="1" applyAlignment="1">
      <alignment horizontal="left" vertical="center"/>
    </xf>
    <xf numFmtId="0" fontId="1" fillId="0" borderId="78" xfId="0" applyFont="1" applyBorder="1" applyAlignment="1">
      <alignment horizontal="center" vertical="center"/>
    </xf>
    <xf numFmtId="166" fontId="1" fillId="0" borderId="79" xfId="0" applyNumberFormat="1" applyFont="1" applyBorder="1" applyAlignment="1">
      <alignment horizontal="center" vertical="center"/>
    </xf>
    <xf numFmtId="166" fontId="1" fillId="0" borderId="79" xfId="0" applyNumberFormat="1" applyFont="1" applyBorder="1" applyAlignment="1">
      <alignment horizontal="center" vertical="center" wrapText="1"/>
    </xf>
    <xf numFmtId="0" fontId="1" fillId="0" borderId="79" xfId="0" applyFont="1" applyBorder="1" applyAlignment="1">
      <alignment horizontal="center" vertical="center" wrapText="1"/>
    </xf>
    <xf numFmtId="167" fontId="1" fillId="0" borderId="79" xfId="0" applyNumberFormat="1" applyFont="1" applyBorder="1" applyAlignment="1">
      <alignment horizontal="center" vertical="center"/>
    </xf>
    <xf numFmtId="167" fontId="3" fillId="0" borderId="46" xfId="0" applyNumberFormat="1" applyFont="1" applyBorder="1" applyAlignment="1">
      <alignment horizontal="left" vertical="center"/>
    </xf>
    <xf numFmtId="167" fontId="3" fillId="0" borderId="49" xfId="0" applyNumberFormat="1" applyFont="1" applyBorder="1" applyAlignment="1">
      <alignment horizontal="left" vertical="center"/>
    </xf>
    <xf numFmtId="167" fontId="3" fillId="0" borderId="52" xfId="0" applyNumberFormat="1" applyFont="1" applyBorder="1" applyAlignment="1">
      <alignment horizontal="left" vertical="center"/>
    </xf>
    <xf numFmtId="0" fontId="1" fillId="0" borderId="80" xfId="0" applyFont="1" applyBorder="1" applyAlignment="1">
      <alignment horizontal="center" vertical="center"/>
    </xf>
    <xf numFmtId="167" fontId="3" fillId="0" borderId="82" xfId="0" applyNumberFormat="1" applyFont="1" applyBorder="1" applyAlignment="1">
      <alignment horizontal="left" vertical="center"/>
    </xf>
    <xf numFmtId="0" fontId="3" fillId="10" borderId="84" xfId="0" applyFont="1" applyFill="1" applyBorder="1" applyAlignment="1">
      <alignment horizontal="left" vertical="center"/>
    </xf>
    <xf numFmtId="167" fontId="3" fillId="10" borderId="85" xfId="0" applyNumberFormat="1" applyFont="1" applyFill="1" applyBorder="1" applyAlignment="1">
      <alignment horizontal="left" vertical="center"/>
    </xf>
    <xf numFmtId="0" fontId="3" fillId="10" borderId="85" xfId="0" applyFont="1" applyFill="1" applyBorder="1" applyAlignment="1">
      <alignment horizontal="left" vertical="center"/>
    </xf>
    <xf numFmtId="0" fontId="3" fillId="10" borderId="86" xfId="0" applyFont="1" applyFill="1" applyBorder="1" applyAlignment="1">
      <alignment horizontal="left" vertical="center"/>
    </xf>
    <xf numFmtId="0" fontId="3" fillId="10" borderId="45" xfId="0" applyFont="1" applyFill="1" applyBorder="1" applyAlignment="1">
      <alignment horizontal="left" vertical="center"/>
    </xf>
    <xf numFmtId="167" fontId="3" fillId="10" borderId="46" xfId="0" applyNumberFormat="1" applyFont="1" applyFill="1" applyBorder="1" applyAlignment="1">
      <alignment horizontal="left" vertical="center"/>
    </xf>
    <xf numFmtId="0" fontId="3" fillId="10" borderId="46" xfId="0" applyFont="1" applyFill="1" applyBorder="1" applyAlignment="1">
      <alignment horizontal="left" vertical="center"/>
    </xf>
    <xf numFmtId="0" fontId="3" fillId="10" borderId="47" xfId="0" applyFont="1" applyFill="1" applyBorder="1" applyAlignment="1">
      <alignment horizontal="left" vertical="center"/>
    </xf>
    <xf numFmtId="0" fontId="3" fillId="10" borderId="87" xfId="0" applyFont="1" applyFill="1" applyBorder="1" applyAlignment="1">
      <alignment horizontal="left" vertical="center"/>
    </xf>
    <xf numFmtId="167" fontId="3" fillId="10" borderId="88" xfId="0" applyNumberFormat="1" applyFont="1" applyFill="1" applyBorder="1" applyAlignment="1">
      <alignment horizontal="left" vertical="center"/>
    </xf>
    <xf numFmtId="0" fontId="3" fillId="10" borderId="88" xfId="0" applyFont="1" applyFill="1" applyBorder="1" applyAlignment="1">
      <alignment horizontal="left" vertical="center"/>
    </xf>
    <xf numFmtId="0" fontId="3" fillId="10" borderId="89" xfId="0" applyFont="1" applyFill="1" applyBorder="1" applyAlignment="1">
      <alignment horizontal="left" vertical="center"/>
    </xf>
    <xf numFmtId="166" fontId="3" fillId="0" borderId="52" xfId="0" applyNumberFormat="1" applyFont="1" applyBorder="1" applyAlignment="1">
      <alignment horizontal="center" vertical="center"/>
    </xf>
    <xf numFmtId="166" fontId="3" fillId="0" borderId="46" xfId="0" applyNumberFormat="1" applyFont="1" applyBorder="1" applyAlignment="1">
      <alignment horizontal="center" vertical="center"/>
    </xf>
    <xf numFmtId="166" fontId="3" fillId="0" borderId="82" xfId="0" applyNumberFormat="1" applyFont="1" applyBorder="1" applyAlignment="1">
      <alignment horizontal="center" vertical="center"/>
    </xf>
    <xf numFmtId="166" fontId="3" fillId="10" borderId="85" xfId="0" applyNumberFormat="1" applyFont="1" applyFill="1" applyBorder="1" applyAlignment="1">
      <alignment horizontal="center" vertical="center"/>
    </xf>
    <xf numFmtId="166" fontId="3" fillId="10" borderId="46" xfId="0" applyNumberFormat="1" applyFont="1" applyFill="1" applyBorder="1" applyAlignment="1">
      <alignment horizontal="center" vertical="center"/>
    </xf>
    <xf numFmtId="166" fontId="3" fillId="10" borderId="88" xfId="0" applyNumberFormat="1" applyFont="1" applyFill="1" applyBorder="1" applyAlignment="1">
      <alignment horizontal="center" vertical="center"/>
    </xf>
    <xf numFmtId="166" fontId="3" fillId="0" borderId="49" xfId="0" applyNumberFormat="1" applyFont="1" applyBorder="1" applyAlignment="1">
      <alignment horizontal="center" vertical="center"/>
    </xf>
    <xf numFmtId="0" fontId="3" fillId="0" borderId="0" xfId="0" applyFont="1" applyAlignment="1">
      <alignment horizontal="left" vertical="center"/>
    </xf>
    <xf numFmtId="0" fontId="3" fillId="0" borderId="9" xfId="0" applyFont="1" applyBorder="1" applyAlignment="1">
      <alignment horizontal="left" vertical="center" wrapText="1"/>
    </xf>
    <xf numFmtId="0" fontId="0" fillId="0" borderId="29" xfId="0" applyBorder="1" applyAlignment="1">
      <alignment horizontal="center"/>
    </xf>
    <xf numFmtId="0" fontId="0" fillId="0" borderId="0" xfId="0" applyAlignment="1">
      <alignment horizontal="center"/>
    </xf>
    <xf numFmtId="0" fontId="9" fillId="0" borderId="0" xfId="0" applyFont="1" applyAlignment="1">
      <alignment horizontal="left" vertical="center" wrapText="1"/>
    </xf>
    <xf numFmtId="0" fontId="3" fillId="0" borderId="0" xfId="0" applyFont="1" applyAlignment="1">
      <alignment horizontal="left" vertical="center"/>
    </xf>
    <xf numFmtId="0" fontId="0" fillId="3" borderId="545" xfId="0" applyFill="1" applyBorder="1" applyAlignment="1">
      <alignment vertical="center" wrapText="1"/>
    </xf>
    <xf numFmtId="14" fontId="0" fillId="3" borderId="546" xfId="0" applyNumberFormat="1" applyFill="1" applyBorder="1"/>
    <xf numFmtId="0" fontId="0" fillId="3" borderId="546" xfId="0" applyFill="1" applyBorder="1" applyAlignment="1">
      <alignment horizontal="center"/>
    </xf>
    <xf numFmtId="0" fontId="0" fillId="3" borderId="547" xfId="0" applyFill="1" applyBorder="1"/>
    <xf numFmtId="0" fontId="0" fillId="3" borderId="546" xfId="0" applyFill="1" applyBorder="1"/>
    <xf numFmtId="164" fontId="0" fillId="3" borderId="548" xfId="0" applyNumberFormat="1" applyFill="1" applyBorder="1"/>
    <xf numFmtId="164" fontId="0" fillId="3" borderId="512" xfId="0" applyNumberFormat="1" applyFill="1" applyBorder="1"/>
    <xf numFmtId="164" fontId="0" fillId="3" borderId="36" xfId="0" applyNumberFormat="1" applyFill="1" applyBorder="1"/>
    <xf numFmtId="164" fontId="0" fillId="3" borderId="37" xfId="0" applyNumberFormat="1" applyFill="1" applyBorder="1"/>
    <xf numFmtId="0" fontId="0" fillId="3" borderId="548" xfId="0" applyFill="1" applyBorder="1"/>
    <xf numFmtId="0" fontId="0" fillId="3" borderId="549" xfId="0" applyFill="1" applyBorder="1" applyAlignment="1">
      <alignment vertical="center" wrapText="1"/>
    </xf>
    <xf numFmtId="14" fontId="0" fillId="3" borderId="36" xfId="0" applyNumberFormat="1" applyFill="1" applyBorder="1"/>
    <xf numFmtId="0" fontId="0" fillId="3" borderId="36" xfId="0" applyFill="1" applyBorder="1" applyAlignment="1">
      <alignment horizontal="center"/>
    </xf>
    <xf numFmtId="0" fontId="0" fillId="3" borderId="37" xfId="0" applyFill="1" applyBorder="1"/>
    <xf numFmtId="0" fontId="0" fillId="3" borderId="36" xfId="0" applyFill="1" applyBorder="1"/>
    <xf numFmtId="164" fontId="0" fillId="3" borderId="547" xfId="0" applyNumberFormat="1" applyFill="1" applyBorder="1"/>
    <xf numFmtId="0" fontId="53" fillId="0" borderId="0" xfId="4"/>
    <xf numFmtId="164" fontId="53" fillId="0" borderId="0" xfId="4" applyNumberFormat="1"/>
    <xf numFmtId="1" fontId="3" fillId="0" borderId="0" xfId="0" applyNumberFormat="1" applyFont="1"/>
    <xf numFmtId="2" fontId="3" fillId="0" borderId="0" xfId="0" applyNumberFormat="1" applyFont="1"/>
    <xf numFmtId="0" fontId="3" fillId="0" borderId="470" xfId="0" applyFont="1" applyBorder="1"/>
    <xf numFmtId="0" fontId="3" fillId="0" borderId="471" xfId="0" applyFont="1" applyBorder="1"/>
    <xf numFmtId="167" fontId="3" fillId="0" borderId="471" xfId="0" applyNumberFormat="1" applyFont="1" applyBorder="1"/>
    <xf numFmtId="1" fontId="3" fillId="0" borderId="471" xfId="0" applyNumberFormat="1" applyFont="1" applyBorder="1"/>
    <xf numFmtId="0" fontId="3" fillId="0" borderId="471" xfId="0" applyFont="1" applyBorder="1" applyAlignment="1">
      <alignment horizontal="left" vertical="center"/>
    </xf>
    <xf numFmtId="167" fontId="3" fillId="0" borderId="471" xfId="0" applyNumberFormat="1" applyFont="1" applyBorder="1" applyAlignment="1">
      <alignment horizontal="left" vertical="center"/>
    </xf>
    <xf numFmtId="1" fontId="3" fillId="0" borderId="471" xfId="0" applyNumberFormat="1" applyFont="1" applyBorder="1" applyAlignment="1">
      <alignment horizontal="left" vertical="center"/>
    </xf>
    <xf numFmtId="11" fontId="3" fillId="0" borderId="471" xfId="0" applyNumberFormat="1" applyFont="1" applyBorder="1" applyAlignment="1">
      <alignment horizontal="left" vertical="center"/>
    </xf>
    <xf numFmtId="2" fontId="3" fillId="0" borderId="472" xfId="0" applyNumberFormat="1" applyFont="1" applyBorder="1" applyAlignment="1">
      <alignment horizontal="left" vertical="center"/>
    </xf>
    <xf numFmtId="0" fontId="3" fillId="0" borderId="474" xfId="0" applyFont="1" applyBorder="1" applyAlignment="1">
      <alignment horizontal="left" vertical="center"/>
    </xf>
    <xf numFmtId="167" fontId="3" fillId="0" borderId="474" xfId="0" applyNumberFormat="1" applyFont="1" applyBorder="1" applyAlignment="1">
      <alignment horizontal="left" vertical="center"/>
    </xf>
    <xf numFmtId="1" fontId="3" fillId="0" borderId="474" xfId="0" applyNumberFormat="1" applyFont="1" applyBorder="1" applyAlignment="1">
      <alignment horizontal="left" vertical="center"/>
    </xf>
    <xf numFmtId="11" fontId="3" fillId="0" borderId="474" xfId="0" applyNumberFormat="1" applyFont="1" applyBorder="1" applyAlignment="1">
      <alignment horizontal="left" vertical="center"/>
    </xf>
    <xf numFmtId="2" fontId="3" fillId="0" borderId="475" xfId="0" applyNumberFormat="1" applyFont="1" applyBorder="1" applyAlignment="1">
      <alignment horizontal="left" vertical="center"/>
    </xf>
    <xf numFmtId="167" fontId="3" fillId="0" borderId="46" xfId="0" applyNumberFormat="1" applyFont="1" applyBorder="1"/>
    <xf numFmtId="1" fontId="3" fillId="0" borderId="46" xfId="0" applyNumberFormat="1" applyFont="1" applyBorder="1"/>
    <xf numFmtId="1" fontId="3" fillId="0" borderId="46" xfId="0" applyNumberFormat="1" applyFont="1" applyBorder="1" applyAlignment="1">
      <alignment horizontal="left" vertical="center"/>
    </xf>
    <xf numFmtId="11" fontId="3" fillId="0" borderId="46" xfId="0" applyNumberFormat="1" applyFont="1" applyBorder="1" applyAlignment="1">
      <alignment horizontal="left" vertical="center"/>
    </xf>
    <xf numFmtId="2" fontId="3" fillId="0" borderId="47" xfId="0" applyNumberFormat="1" applyFont="1" applyBorder="1" applyAlignment="1">
      <alignment horizontal="left" vertical="center"/>
    </xf>
    <xf numFmtId="1" fontId="3" fillId="0" borderId="49" xfId="0" applyNumberFormat="1" applyFont="1" applyBorder="1" applyAlignment="1">
      <alignment horizontal="left" vertical="center"/>
    </xf>
    <xf numFmtId="11" fontId="3" fillId="0" borderId="49" xfId="0" applyNumberFormat="1" applyFont="1" applyBorder="1" applyAlignment="1">
      <alignment horizontal="left" vertical="center"/>
    </xf>
    <xf numFmtId="2" fontId="3" fillId="0" borderId="50" xfId="0" applyNumberFormat="1" applyFont="1" applyBorder="1" applyAlignment="1">
      <alignment horizontal="left" vertical="center"/>
    </xf>
    <xf numFmtId="0" fontId="3" fillId="0" borderId="477" xfId="0" applyFont="1" applyBorder="1" applyAlignment="1">
      <alignment horizontal="left" vertical="center"/>
    </xf>
    <xf numFmtId="167" fontId="3" fillId="0" borderId="477" xfId="0" applyNumberFormat="1" applyFont="1" applyBorder="1" applyAlignment="1">
      <alignment horizontal="left" vertical="center"/>
    </xf>
    <xf numFmtId="1" fontId="3" fillId="0" borderId="477" xfId="0" applyNumberFormat="1" applyFont="1" applyBorder="1" applyAlignment="1">
      <alignment horizontal="left" vertical="center"/>
    </xf>
    <xf numFmtId="11" fontId="3" fillId="0" borderId="477" xfId="0" applyNumberFormat="1" applyFont="1" applyBorder="1" applyAlignment="1">
      <alignment horizontal="left" vertical="center"/>
    </xf>
    <xf numFmtId="2" fontId="3" fillId="0" borderId="478" xfId="0" applyNumberFormat="1" applyFont="1" applyBorder="1" applyAlignment="1">
      <alignment horizontal="left" vertical="center"/>
    </xf>
    <xf numFmtId="0" fontId="1" fillId="0" borderId="542" xfId="0" applyFont="1" applyBorder="1" applyAlignment="1">
      <alignment horizontal="left" vertical="center" wrapText="1"/>
    </xf>
    <xf numFmtId="0" fontId="1" fillId="0" borderId="543" xfId="0" applyFont="1" applyBorder="1" applyAlignment="1">
      <alignment horizontal="left" vertical="center" wrapText="1"/>
    </xf>
    <xf numFmtId="167" fontId="1" fillId="0" borderId="543" xfId="0" applyNumberFormat="1" applyFont="1" applyBorder="1" applyAlignment="1">
      <alignment horizontal="left" vertical="center" wrapText="1"/>
    </xf>
    <xf numFmtId="1" fontId="1" fillId="0" borderId="543" xfId="0" applyNumberFormat="1" applyFont="1" applyBorder="1" applyAlignment="1">
      <alignment horizontal="center" vertical="center" wrapText="1"/>
    </xf>
    <xf numFmtId="166" fontId="6" fillId="0" borderId="543" xfId="1" applyNumberFormat="1" applyFont="1" applyBorder="1" applyAlignment="1">
      <alignment horizontal="center" vertical="center" wrapText="1"/>
    </xf>
    <xf numFmtId="11" fontId="1" fillId="0" borderId="543" xfId="1" applyNumberFormat="1" applyFont="1" applyBorder="1" applyAlignment="1">
      <alignment horizontal="center" vertical="center" wrapText="1"/>
    </xf>
    <xf numFmtId="166" fontId="6" fillId="0" borderId="543" xfId="1" applyNumberFormat="1" applyFont="1" applyBorder="1" applyAlignment="1">
      <alignment horizontal="center" vertical="center"/>
    </xf>
    <xf numFmtId="11" fontId="1" fillId="0" borderId="543" xfId="1" applyNumberFormat="1" applyFont="1" applyBorder="1" applyAlignment="1">
      <alignment horizontal="center" vertical="center"/>
    </xf>
    <xf numFmtId="1" fontId="1" fillId="0" borderId="543" xfId="1" applyNumberFormat="1" applyFont="1" applyBorder="1" applyAlignment="1">
      <alignment horizontal="center" vertical="center"/>
    </xf>
    <xf numFmtId="11" fontId="1" fillId="0" borderId="543" xfId="2" applyNumberFormat="1" applyFont="1" applyBorder="1" applyAlignment="1">
      <alignment horizontal="center" vertical="center" wrapText="1"/>
    </xf>
    <xf numFmtId="11" fontId="8" fillId="0" borderId="543" xfId="3" applyNumberFormat="1" applyFont="1" applyBorder="1" applyAlignment="1">
      <alignment horizontal="center" vertical="center" wrapText="1"/>
    </xf>
    <xf numFmtId="2" fontId="1" fillId="0" borderId="544" xfId="0" applyNumberFormat="1" applyFont="1" applyBorder="1" applyAlignment="1">
      <alignment horizontal="center" vertical="center" wrapText="1"/>
    </xf>
    <xf numFmtId="1" fontId="3" fillId="0" borderId="52" xfId="0" applyNumberFormat="1" applyFont="1" applyBorder="1" applyAlignment="1">
      <alignment horizontal="left" vertical="center"/>
    </xf>
    <xf numFmtId="11" fontId="3" fillId="0" borderId="52" xfId="0" applyNumberFormat="1" applyFont="1" applyBorder="1" applyAlignment="1">
      <alignment horizontal="left" vertical="center"/>
    </xf>
    <xf numFmtId="2" fontId="3" fillId="0" borderId="53" xfId="0" applyNumberFormat="1" applyFont="1" applyBorder="1" applyAlignment="1">
      <alignment horizontal="left" vertical="center"/>
    </xf>
    <xf numFmtId="0" fontId="1" fillId="0" borderId="88" xfId="0" applyFont="1" applyBorder="1" applyAlignment="1">
      <alignment horizontal="left" vertical="center" wrapText="1"/>
    </xf>
    <xf numFmtId="167" fontId="1" fillId="0" borderId="88" xfId="0" applyNumberFormat="1" applyFont="1" applyBorder="1" applyAlignment="1">
      <alignment horizontal="left" vertical="center" wrapText="1"/>
    </xf>
    <xf numFmtId="1" fontId="1" fillId="0" borderId="88" xfId="0" applyNumberFormat="1" applyFont="1" applyBorder="1" applyAlignment="1">
      <alignment horizontal="center" vertical="center" wrapText="1"/>
    </xf>
    <xf numFmtId="166" fontId="6" fillId="0" borderId="88" xfId="1" applyNumberFormat="1" applyFont="1" applyBorder="1" applyAlignment="1">
      <alignment horizontal="center" vertical="center" wrapText="1"/>
    </xf>
    <xf numFmtId="11" fontId="1" fillId="0" borderId="88" xfId="1" applyNumberFormat="1" applyFont="1" applyBorder="1" applyAlignment="1">
      <alignment horizontal="center" vertical="center" wrapText="1"/>
    </xf>
    <xf numFmtId="166" fontId="6" fillId="0" borderId="88" xfId="1" applyNumberFormat="1" applyFont="1" applyBorder="1" applyAlignment="1">
      <alignment horizontal="center" vertical="center"/>
    </xf>
    <xf numFmtId="11" fontId="1" fillId="0" borderId="88" xfId="1" applyNumberFormat="1" applyFont="1" applyBorder="1" applyAlignment="1">
      <alignment horizontal="center" vertical="center"/>
    </xf>
    <xf numFmtId="1" fontId="1" fillId="0" borderId="88" xfId="1" applyNumberFormat="1" applyFont="1" applyBorder="1" applyAlignment="1">
      <alignment horizontal="center" vertical="center"/>
    </xf>
    <xf numFmtId="11" fontId="1" fillId="0" borderId="88" xfId="2" applyNumberFormat="1" applyFont="1" applyBorder="1" applyAlignment="1">
      <alignment horizontal="center" vertical="center" wrapText="1"/>
    </xf>
    <xf numFmtId="11" fontId="8" fillId="0" borderId="88" xfId="3" applyNumberFormat="1" applyFont="1" applyBorder="1" applyAlignment="1">
      <alignment horizontal="center" vertical="center" wrapText="1"/>
    </xf>
    <xf numFmtId="2" fontId="1" fillId="0" borderId="89" xfId="0" applyNumberFormat="1" applyFont="1" applyBorder="1" applyAlignment="1">
      <alignment horizontal="center" vertical="center" wrapText="1"/>
    </xf>
    <xf numFmtId="0" fontId="3" fillId="0" borderId="552" xfId="0" applyFont="1" applyBorder="1"/>
    <xf numFmtId="0" fontId="3" fillId="0" borderId="325" xfId="0" applyFont="1" applyBorder="1"/>
    <xf numFmtId="167" fontId="3" fillId="0" borderId="325" xfId="0" applyNumberFormat="1" applyFont="1" applyBorder="1"/>
    <xf numFmtId="1" fontId="3" fillId="0" borderId="325" xfId="0" applyNumberFormat="1" applyFont="1" applyBorder="1"/>
    <xf numFmtId="0" fontId="3" fillId="0" borderId="552" xfId="0" applyFont="1" applyBorder="1" applyAlignment="1">
      <alignment horizontal="left" vertical="center"/>
    </xf>
    <xf numFmtId="167" fontId="3" fillId="0" borderId="325" xfId="0" applyNumberFormat="1" applyFont="1" applyBorder="1" applyAlignment="1">
      <alignment horizontal="left" vertical="center"/>
    </xf>
    <xf numFmtId="1" fontId="3" fillId="0" borderId="325" xfId="0" applyNumberFormat="1" applyFont="1" applyBorder="1" applyAlignment="1">
      <alignment horizontal="left" vertical="center"/>
    </xf>
    <xf numFmtId="11" fontId="3" fillId="0" borderId="325" xfId="0" applyNumberFormat="1" applyFont="1" applyBorder="1" applyAlignment="1">
      <alignment horizontal="left" vertical="center"/>
    </xf>
    <xf numFmtId="2" fontId="3" fillId="0" borderId="326" xfId="0" applyNumberFormat="1" applyFont="1" applyBorder="1" applyAlignment="1">
      <alignment horizontal="left" vertical="center"/>
    </xf>
    <xf numFmtId="0" fontId="3" fillId="0" borderId="553" xfId="0" applyFont="1" applyBorder="1" applyAlignment="1">
      <alignment horizontal="left" vertical="center"/>
    </xf>
    <xf numFmtId="167" fontId="3" fillId="0" borderId="328" xfId="0" applyNumberFormat="1" applyFont="1" applyBorder="1" applyAlignment="1">
      <alignment horizontal="left" vertical="center"/>
    </xf>
    <xf numFmtId="1" fontId="3" fillId="0" borderId="328" xfId="0" applyNumberFormat="1" applyFont="1" applyBorder="1" applyAlignment="1">
      <alignment horizontal="left" vertical="center"/>
    </xf>
    <xf numFmtId="11" fontId="3" fillId="0" borderId="328" xfId="0" applyNumberFormat="1" applyFont="1" applyBorder="1" applyAlignment="1">
      <alignment horizontal="left" vertical="center"/>
    </xf>
    <xf numFmtId="2" fontId="3" fillId="0" borderId="329" xfId="0" applyNumberFormat="1" applyFont="1" applyBorder="1" applyAlignment="1">
      <alignment horizontal="left" vertical="center"/>
    </xf>
    <xf numFmtId="0" fontId="3" fillId="0" borderId="554" xfId="0" applyFont="1" applyBorder="1" applyAlignment="1">
      <alignment horizontal="left" vertical="center"/>
    </xf>
    <xf numFmtId="167" fontId="3" fillId="0" borderId="334" xfId="0" applyNumberFormat="1" applyFont="1" applyBorder="1" applyAlignment="1">
      <alignment horizontal="left" vertical="center"/>
    </xf>
    <xf numFmtId="1" fontId="3" fillId="0" borderId="334" xfId="0" applyNumberFormat="1" applyFont="1" applyBorder="1" applyAlignment="1">
      <alignment horizontal="left" vertical="center"/>
    </xf>
    <xf numFmtId="11" fontId="3" fillId="0" borderId="334" xfId="0" applyNumberFormat="1" applyFont="1" applyBorder="1" applyAlignment="1">
      <alignment horizontal="left" vertical="center"/>
    </xf>
    <xf numFmtId="2" fontId="3" fillId="0" borderId="335" xfId="0" applyNumberFormat="1" applyFont="1" applyBorder="1" applyAlignment="1">
      <alignment horizontal="left" vertical="center"/>
    </xf>
    <xf numFmtId="0" fontId="1" fillId="0" borderId="359" xfId="0" applyFont="1" applyBorder="1" applyAlignment="1">
      <alignment horizontal="left" vertical="center" wrapText="1"/>
    </xf>
    <xf numFmtId="167" fontId="1" fillId="0" borderId="337" xfId="0" applyNumberFormat="1" applyFont="1" applyBorder="1" applyAlignment="1">
      <alignment horizontal="left" vertical="center" wrapText="1"/>
    </xf>
    <xf numFmtId="1" fontId="1" fillId="0" borderId="337" xfId="0" applyNumberFormat="1" applyFont="1" applyBorder="1" applyAlignment="1">
      <alignment horizontal="center" vertical="center" wrapText="1"/>
    </xf>
    <xf numFmtId="166" fontId="6" fillId="0" borderId="337" xfId="1" applyNumberFormat="1" applyFont="1" applyBorder="1" applyAlignment="1">
      <alignment horizontal="center" vertical="center" wrapText="1"/>
    </xf>
    <xf numFmtId="11" fontId="1" fillId="0" borderId="337" xfId="1" applyNumberFormat="1" applyFont="1" applyBorder="1" applyAlignment="1">
      <alignment horizontal="center" vertical="center" wrapText="1"/>
    </xf>
    <xf numFmtId="166" fontId="6" fillId="0" borderId="337" xfId="1" applyNumberFormat="1" applyFont="1" applyBorder="1" applyAlignment="1">
      <alignment horizontal="center" vertical="center"/>
    </xf>
    <xf numFmtId="11" fontId="1" fillId="0" borderId="337" xfId="1" applyNumberFormat="1" applyFont="1" applyBorder="1" applyAlignment="1">
      <alignment horizontal="center" vertical="center"/>
    </xf>
    <xf numFmtId="1" fontId="1" fillId="0" borderId="337" xfId="1" applyNumberFormat="1" applyFont="1" applyBorder="1" applyAlignment="1">
      <alignment horizontal="center" vertical="center"/>
    </xf>
    <xf numFmtId="11" fontId="1" fillId="0" borderId="337" xfId="2" applyNumberFormat="1" applyFont="1" applyBorder="1" applyAlignment="1">
      <alignment horizontal="center" vertical="center" wrapText="1"/>
    </xf>
    <xf numFmtId="11" fontId="8" fillId="0" borderId="337" xfId="3" applyNumberFormat="1" applyFont="1" applyBorder="1" applyAlignment="1">
      <alignment horizontal="center" vertical="center" wrapText="1"/>
    </xf>
    <xf numFmtId="2" fontId="1" fillId="0" borderId="338" xfId="0" applyNumberFormat="1" applyFont="1" applyBorder="1" applyAlignment="1">
      <alignment horizontal="center" vertical="center" wrapText="1"/>
    </xf>
    <xf numFmtId="0" fontId="9" fillId="0" borderId="0" xfId="0" applyFont="1" applyAlignment="1">
      <alignment horizontal="left" vertical="center" wrapText="1"/>
    </xf>
    <xf numFmtId="0" fontId="3" fillId="0" borderId="10" xfId="0" applyFont="1" applyBorder="1" applyAlignment="1">
      <alignment horizontal="left" vertical="center"/>
    </xf>
    <xf numFmtId="0" fontId="3" fillId="0" borderId="11" xfId="0" applyFont="1" applyBorder="1" applyAlignment="1">
      <alignment horizontal="left" vertical="center"/>
    </xf>
    <xf numFmtId="0" fontId="3" fillId="0" borderId="12" xfId="0" applyFont="1" applyBorder="1" applyAlignment="1">
      <alignment horizontal="left" vertical="center"/>
    </xf>
    <xf numFmtId="0" fontId="3" fillId="3" borderId="22" xfId="0" applyFont="1" applyFill="1" applyBorder="1" applyAlignment="1">
      <alignment horizontal="left" vertical="center"/>
    </xf>
    <xf numFmtId="0" fontId="3" fillId="3" borderId="23" xfId="0" applyFont="1" applyFill="1" applyBorder="1" applyAlignment="1">
      <alignment horizontal="left" vertical="center"/>
    </xf>
    <xf numFmtId="0" fontId="3" fillId="3" borderId="24" xfId="0" applyFont="1" applyFill="1" applyBorder="1" applyAlignment="1">
      <alignment horizontal="left" vertical="center"/>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3" fillId="0" borderId="8" xfId="0" applyFont="1" applyBorder="1" applyAlignment="1">
      <alignment horizontal="left" vertical="center"/>
    </xf>
    <xf numFmtId="0" fontId="3" fillId="0" borderId="9" xfId="0" applyFont="1" applyBorder="1" applyAlignment="1">
      <alignment horizontal="left" vertical="center"/>
    </xf>
    <xf numFmtId="0" fontId="3" fillId="0" borderId="10" xfId="0" applyFont="1" applyBorder="1" applyAlignment="1">
      <alignment horizontal="left" vertical="center" wrapText="1"/>
    </xf>
    <xf numFmtId="0" fontId="3" fillId="0" borderId="11" xfId="0" applyFont="1" applyBorder="1" applyAlignment="1">
      <alignment horizontal="left" vertical="center" wrapText="1"/>
    </xf>
    <xf numFmtId="0" fontId="3" fillId="0" borderId="12" xfId="0" applyFont="1" applyBorder="1" applyAlignment="1">
      <alignment horizontal="left" vertical="center" wrapText="1"/>
    </xf>
    <xf numFmtId="0" fontId="8" fillId="0" borderId="0" xfId="0" applyFont="1" applyAlignment="1">
      <alignment horizontal="left" vertical="center" wrapText="1"/>
    </xf>
    <xf numFmtId="0" fontId="8" fillId="0" borderId="0" xfId="0" applyFont="1" applyAlignment="1">
      <alignment horizontal="center" vertical="center" wrapText="1"/>
    </xf>
    <xf numFmtId="0" fontId="3" fillId="0" borderId="14" xfId="0" applyFont="1" applyBorder="1" applyAlignment="1">
      <alignment horizontal="left" vertical="center"/>
    </xf>
    <xf numFmtId="0" fontId="3" fillId="0" borderId="15" xfId="0" applyFont="1" applyBorder="1" applyAlignment="1">
      <alignment horizontal="left" vertical="center"/>
    </xf>
    <xf numFmtId="0" fontId="9" fillId="0" borderId="0" xfId="0" applyFont="1" applyAlignment="1">
      <alignment horizontal="left" vertical="center"/>
    </xf>
    <xf numFmtId="0" fontId="3" fillId="0" borderId="7" xfId="0" applyFont="1" applyBorder="1" applyAlignment="1">
      <alignment horizontal="left" vertical="center" wrapText="1"/>
    </xf>
    <xf numFmtId="0" fontId="3" fillId="0" borderId="8" xfId="0" applyFont="1" applyBorder="1" applyAlignment="1">
      <alignment horizontal="left" vertical="center" wrapText="1"/>
    </xf>
    <xf numFmtId="0" fontId="3" fillId="0" borderId="9" xfId="0" applyFont="1" applyBorder="1" applyAlignment="1">
      <alignment horizontal="left" vertical="center" wrapText="1"/>
    </xf>
    <xf numFmtId="0" fontId="1" fillId="0" borderId="25" xfId="0" applyFont="1" applyBorder="1" applyAlignment="1">
      <alignment horizontal="center" vertical="center"/>
    </xf>
    <xf numFmtId="0" fontId="1" fillId="0" borderId="26" xfId="0" applyFont="1" applyBorder="1" applyAlignment="1">
      <alignment horizontal="center" vertical="center"/>
    </xf>
    <xf numFmtId="0" fontId="1" fillId="0" borderId="27" xfId="0" applyFont="1" applyBorder="1" applyAlignment="1">
      <alignment horizontal="center" vertical="center"/>
    </xf>
    <xf numFmtId="0" fontId="8" fillId="0" borderId="54" xfId="0" applyFont="1" applyBorder="1" applyAlignment="1">
      <alignment horizontal="center" vertical="center" wrapText="1"/>
    </xf>
    <xf numFmtId="0" fontId="8" fillId="0" borderId="55" xfId="0" applyFont="1" applyBorder="1" applyAlignment="1">
      <alignment horizontal="center" vertical="center" wrapText="1"/>
    </xf>
    <xf numFmtId="0" fontId="8" fillId="0" borderId="56" xfId="0" applyFont="1" applyBorder="1" applyAlignment="1">
      <alignment horizontal="center" vertical="center" wrapText="1"/>
    </xf>
    <xf numFmtId="0" fontId="3" fillId="0" borderId="0" xfId="0" applyFont="1" applyAlignment="1">
      <alignment horizontal="left" vertical="center"/>
    </xf>
    <xf numFmtId="0" fontId="3" fillId="0" borderId="0" xfId="0" applyFont="1" applyAlignment="1">
      <alignment horizontal="left" vertical="center" wrapText="1"/>
    </xf>
    <xf numFmtId="0" fontId="8" fillId="0" borderId="16" xfId="0" applyFont="1" applyBorder="1" applyAlignment="1">
      <alignment horizontal="center" vertical="center"/>
    </xf>
    <xf numFmtId="0" fontId="8" fillId="0" borderId="17" xfId="0" applyFont="1" applyBorder="1" applyAlignment="1">
      <alignment horizontal="center" vertical="center"/>
    </xf>
    <xf numFmtId="0" fontId="8" fillId="0" borderId="18" xfId="0" applyFont="1" applyBorder="1" applyAlignment="1">
      <alignment horizontal="center" vertical="center"/>
    </xf>
    <xf numFmtId="0" fontId="1" fillId="0" borderId="193" xfId="0" applyFont="1" applyBorder="1" applyAlignment="1">
      <alignment horizontal="center" vertical="center" wrapText="1"/>
    </xf>
    <xf numFmtId="0" fontId="1" fillId="0" borderId="194" xfId="0" applyFont="1" applyBorder="1" applyAlignment="1">
      <alignment horizontal="center" vertical="center" wrapText="1"/>
    </xf>
    <xf numFmtId="0" fontId="1" fillId="11" borderId="145" xfId="0" applyFont="1" applyFill="1" applyBorder="1" applyAlignment="1">
      <alignment horizontal="center" vertical="center" wrapText="1"/>
    </xf>
    <xf numFmtId="0" fontId="1" fillId="11" borderId="131" xfId="0" applyFont="1" applyFill="1" applyBorder="1" applyAlignment="1">
      <alignment horizontal="center" vertical="center" wrapText="1"/>
    </xf>
    <xf numFmtId="0" fontId="1" fillId="11" borderId="140" xfId="0" applyFont="1" applyFill="1" applyBorder="1" applyAlignment="1">
      <alignment horizontal="center" vertical="center" wrapText="1"/>
    </xf>
    <xf numFmtId="0" fontId="1" fillId="0" borderId="150" xfId="0" applyFont="1" applyBorder="1" applyAlignment="1">
      <alignment horizontal="center" vertical="center" wrapText="1"/>
    </xf>
    <xf numFmtId="0" fontId="1" fillId="0" borderId="151" xfId="0" applyFont="1" applyBorder="1" applyAlignment="1">
      <alignment horizontal="center" vertical="center" wrapText="1"/>
    </xf>
    <xf numFmtId="0" fontId="6" fillId="10" borderId="145" xfId="0" applyFont="1" applyFill="1" applyBorder="1" applyAlignment="1">
      <alignment horizontal="center" vertical="center" wrapText="1"/>
    </xf>
    <xf numFmtId="0" fontId="6" fillId="10" borderId="140" xfId="0" applyFont="1" applyFill="1" applyBorder="1" applyAlignment="1">
      <alignment horizontal="center" vertical="center" wrapText="1"/>
    </xf>
    <xf numFmtId="0" fontId="6" fillId="0" borderId="150" xfId="0" applyFont="1" applyBorder="1" applyAlignment="1">
      <alignment horizontal="center" vertical="center" wrapText="1"/>
    </xf>
    <xf numFmtId="0" fontId="6" fillId="0" borderId="151" xfId="0" applyFont="1" applyBorder="1" applyAlignment="1">
      <alignment horizontal="center" vertical="center" wrapText="1"/>
    </xf>
    <xf numFmtId="0" fontId="6" fillId="10" borderId="131" xfId="0" applyFont="1" applyFill="1" applyBorder="1" applyAlignment="1">
      <alignment horizontal="center" vertical="center" wrapText="1"/>
    </xf>
    <xf numFmtId="0" fontId="6" fillId="0" borderId="131" xfId="0" applyFont="1" applyBorder="1" applyAlignment="1">
      <alignment horizontal="center" vertical="center" wrapText="1"/>
    </xf>
    <xf numFmtId="0" fontId="6" fillId="0" borderId="172" xfId="0" applyFont="1" applyBorder="1" applyAlignment="1">
      <alignment horizontal="center" vertical="center" wrapText="1"/>
    </xf>
    <xf numFmtId="0" fontId="1" fillId="12" borderId="150" xfId="0" applyFont="1" applyFill="1" applyBorder="1" applyAlignment="1">
      <alignment horizontal="center" vertical="center" wrapText="1"/>
    </xf>
    <xf numFmtId="0" fontId="1" fillId="12" borderId="131" xfId="0" applyFont="1" applyFill="1" applyBorder="1" applyAlignment="1">
      <alignment horizontal="center" vertical="center" wrapText="1"/>
    </xf>
    <xf numFmtId="0" fontId="1" fillId="12" borderId="348" xfId="0" applyFont="1" applyFill="1" applyBorder="1" applyAlignment="1">
      <alignment horizontal="center" vertical="center" wrapText="1"/>
    </xf>
    <xf numFmtId="168" fontId="1" fillId="0" borderId="45" xfId="0" applyNumberFormat="1" applyFont="1" applyFill="1" applyBorder="1" applyAlignment="1">
      <alignment horizontal="center" vertical="center" wrapText="1"/>
    </xf>
    <xf numFmtId="168" fontId="1" fillId="0" borderId="48" xfId="0" applyNumberFormat="1" applyFont="1" applyFill="1" applyBorder="1" applyAlignment="1">
      <alignment horizontal="center" vertical="center" wrapText="1"/>
    </xf>
    <xf numFmtId="168" fontId="1" fillId="0" borderId="42" xfId="0" applyNumberFormat="1" applyFont="1" applyBorder="1" applyAlignment="1">
      <alignment horizontal="center" vertical="center"/>
    </xf>
    <xf numFmtId="168" fontId="1" fillId="0" borderId="43" xfId="0" applyNumberFormat="1" applyFont="1" applyBorder="1" applyAlignment="1">
      <alignment horizontal="center" vertical="center"/>
    </xf>
    <xf numFmtId="168" fontId="1" fillId="0" borderId="44" xfId="0" applyNumberFormat="1" applyFont="1" applyBorder="1" applyAlignment="1">
      <alignment horizontal="center" vertical="center"/>
    </xf>
    <xf numFmtId="168" fontId="1" fillId="0" borderId="539" xfId="0" applyNumberFormat="1" applyFont="1" applyBorder="1" applyAlignment="1">
      <alignment horizontal="center" vertical="center"/>
    </xf>
    <xf numFmtId="168" fontId="1" fillId="0" borderId="540" xfId="0" applyNumberFormat="1" applyFont="1" applyBorder="1" applyAlignment="1">
      <alignment horizontal="center" vertical="center"/>
    </xf>
    <xf numFmtId="168" fontId="1" fillId="0" borderId="541" xfId="0" applyNumberFormat="1" applyFont="1" applyBorder="1" applyAlignment="1">
      <alignment horizontal="center" vertical="center"/>
    </xf>
    <xf numFmtId="168" fontId="3" fillId="0" borderId="1" xfId="0" applyNumberFormat="1" applyFont="1" applyBorder="1" applyAlignment="1">
      <alignment horizontal="center" vertical="center"/>
    </xf>
    <xf numFmtId="168" fontId="3" fillId="0" borderId="10" xfId="0" applyNumberFormat="1" applyFont="1" applyBorder="1" applyAlignment="1">
      <alignment horizontal="center" vertical="center"/>
    </xf>
    <xf numFmtId="168" fontId="3" fillId="0" borderId="13" xfId="0" applyNumberFormat="1" applyFont="1" applyBorder="1" applyAlignment="1">
      <alignment horizontal="center" vertical="center"/>
    </xf>
    <xf numFmtId="168" fontId="1" fillId="0" borderId="51" xfId="0" applyNumberFormat="1" applyFont="1" applyFill="1" applyBorder="1" applyAlignment="1">
      <alignment horizontal="center" vertical="center"/>
    </xf>
    <xf numFmtId="168" fontId="1" fillId="0" borderId="45" xfId="0" applyNumberFormat="1" applyFont="1" applyFill="1" applyBorder="1" applyAlignment="1">
      <alignment horizontal="center" vertical="center"/>
    </xf>
    <xf numFmtId="0" fontId="10" fillId="0" borderId="39" xfId="0" applyFont="1" applyBorder="1" applyAlignment="1">
      <alignment horizontal="center" vertical="center" wrapText="1"/>
    </xf>
    <xf numFmtId="0" fontId="10" fillId="0" borderId="40" xfId="0" applyFont="1" applyBorder="1" applyAlignment="1">
      <alignment horizontal="center" vertical="center" wrapText="1"/>
    </xf>
    <xf numFmtId="0" fontId="21" fillId="0" borderId="39" xfId="0" applyFont="1" applyBorder="1" applyAlignment="1">
      <alignment horizontal="center" vertical="center" wrapText="1"/>
    </xf>
    <xf numFmtId="0" fontId="21" fillId="0" borderId="40" xfId="0" applyFont="1" applyBorder="1" applyAlignment="1">
      <alignment horizontal="center" vertical="center" wrapText="1"/>
    </xf>
    <xf numFmtId="0" fontId="21" fillId="7" borderId="39" xfId="0" applyFont="1" applyFill="1" applyBorder="1" applyAlignment="1">
      <alignment horizontal="center" vertical="center" wrapText="1"/>
    </xf>
    <xf numFmtId="0" fontId="21" fillId="7" borderId="40" xfId="0" applyFont="1" applyFill="1" applyBorder="1" applyAlignment="1">
      <alignment horizontal="center" vertical="center" wrapText="1"/>
    </xf>
    <xf numFmtId="0" fontId="8" fillId="0" borderId="42" xfId="1" applyFont="1" applyFill="1" applyBorder="1" applyAlignment="1">
      <alignment horizontal="center" vertical="center"/>
    </xf>
    <xf numFmtId="0" fontId="8" fillId="0" borderId="43" xfId="1" applyFont="1" applyFill="1" applyBorder="1" applyAlignment="1">
      <alignment horizontal="center" vertical="center"/>
    </xf>
    <xf numFmtId="0" fontId="8" fillId="0" borderId="44" xfId="1" applyFont="1" applyFill="1" applyBorder="1" applyAlignment="1">
      <alignment horizontal="center" vertical="center"/>
    </xf>
    <xf numFmtId="0" fontId="8" fillId="0" borderId="45" xfId="1" applyFont="1" applyFill="1" applyBorder="1" applyAlignment="1">
      <alignment horizontal="center" vertical="center" wrapText="1"/>
    </xf>
    <xf numFmtId="0" fontId="8" fillId="0" borderId="46" xfId="1" applyFont="1" applyFill="1" applyBorder="1" applyAlignment="1">
      <alignment horizontal="center" vertical="center"/>
    </xf>
    <xf numFmtId="0" fontId="8" fillId="0" borderId="46" xfId="1" applyFont="1" applyFill="1" applyBorder="1" applyAlignment="1">
      <alignment horizontal="center" vertical="center" wrapText="1"/>
    </xf>
    <xf numFmtId="0" fontId="8" fillId="0" borderId="47" xfId="1" applyFont="1" applyFill="1" applyBorder="1" applyAlignment="1">
      <alignment horizontal="center" vertical="center"/>
    </xf>
    <xf numFmtId="0" fontId="25" fillId="7" borderId="42" xfId="1" applyFont="1" applyFill="1" applyBorder="1" applyAlignment="1">
      <alignment horizontal="center" vertical="center"/>
    </xf>
    <xf numFmtId="0" fontId="25" fillId="7" borderId="43" xfId="1" applyFont="1" applyFill="1" applyBorder="1" applyAlignment="1">
      <alignment horizontal="center" vertical="center"/>
    </xf>
    <xf numFmtId="0" fontId="25" fillId="7" borderId="44" xfId="1" applyFont="1" applyFill="1" applyBorder="1" applyAlignment="1">
      <alignment horizontal="center" vertical="center"/>
    </xf>
    <xf numFmtId="0" fontId="8" fillId="7" borderId="45" xfId="1" applyFont="1" applyFill="1" applyBorder="1" applyAlignment="1">
      <alignment horizontal="center" vertical="center" wrapText="1"/>
    </xf>
    <xf numFmtId="0" fontId="8" fillId="7" borderId="46" xfId="1" applyFont="1" applyFill="1" applyBorder="1" applyAlignment="1">
      <alignment horizontal="center" vertical="center"/>
    </xf>
    <xf numFmtId="0" fontId="8" fillId="7" borderId="46" xfId="1" applyFont="1" applyFill="1" applyBorder="1" applyAlignment="1">
      <alignment horizontal="center" vertical="center" wrapText="1"/>
    </xf>
    <xf numFmtId="0" fontId="8" fillId="7" borderId="47" xfId="1" applyFont="1" applyFill="1" applyBorder="1" applyAlignment="1">
      <alignment horizontal="center" vertical="center"/>
    </xf>
    <xf numFmtId="0" fontId="25" fillId="0" borderId="42" xfId="1" applyFont="1" applyFill="1" applyBorder="1" applyAlignment="1">
      <alignment horizontal="center" vertical="center"/>
    </xf>
    <xf numFmtId="0" fontId="25" fillId="0" borderId="43" xfId="1" applyFont="1" applyFill="1" applyBorder="1" applyAlignment="1">
      <alignment horizontal="center" vertical="center"/>
    </xf>
    <xf numFmtId="0" fontId="25" fillId="0" borderId="44" xfId="1" applyFont="1" applyFill="1" applyBorder="1" applyAlignment="1">
      <alignment horizontal="center" vertical="center"/>
    </xf>
    <xf numFmtId="0" fontId="1" fillId="0" borderId="179" xfId="0" applyFont="1" applyBorder="1" applyAlignment="1">
      <alignment horizontal="center" vertical="center" wrapText="1"/>
    </xf>
    <xf numFmtId="0" fontId="6" fillId="0" borderId="180" xfId="0" applyFont="1" applyBorder="1" applyAlignment="1">
      <alignment horizontal="center" vertical="center" wrapText="1"/>
    </xf>
    <xf numFmtId="0" fontId="1" fillId="0" borderId="104" xfId="0" applyFont="1" applyBorder="1" applyAlignment="1">
      <alignment horizontal="center" vertical="center" wrapText="1"/>
    </xf>
    <xf numFmtId="0" fontId="1" fillId="0" borderId="91" xfId="0" applyFont="1" applyBorder="1" applyAlignment="1">
      <alignment horizontal="center" vertical="center" wrapText="1"/>
    </xf>
    <xf numFmtId="0" fontId="1" fillId="0" borderId="105" xfId="0" applyFont="1" applyBorder="1" applyAlignment="1">
      <alignment horizontal="center" vertical="center" wrapText="1"/>
    </xf>
    <xf numFmtId="0" fontId="6" fillId="4" borderId="100" xfId="0" applyFont="1" applyFill="1" applyBorder="1" applyAlignment="1">
      <alignment horizontal="center" vertical="center" wrapText="1"/>
    </xf>
    <xf numFmtId="0" fontId="6" fillId="4" borderId="91" xfId="0" applyFont="1" applyFill="1" applyBorder="1" applyAlignment="1">
      <alignment horizontal="center" vertical="center" wrapText="1"/>
    </xf>
    <xf numFmtId="0" fontId="6" fillId="4" borderId="93" xfId="0" applyFont="1" applyFill="1" applyBorder="1" applyAlignment="1">
      <alignment horizontal="center" vertical="center" wrapText="1"/>
    </xf>
    <xf numFmtId="0" fontId="6" fillId="0" borderId="104" xfId="0" applyFont="1" applyBorder="1" applyAlignment="1">
      <alignment horizontal="center" vertical="center" wrapText="1"/>
    </xf>
    <xf numFmtId="0" fontId="6" fillId="0" borderId="91" xfId="0" applyFont="1" applyBorder="1" applyAlignment="1">
      <alignment horizontal="center" vertical="center" wrapText="1"/>
    </xf>
    <xf numFmtId="0" fontId="6" fillId="0" borderId="105" xfId="0" applyFont="1" applyBorder="1" applyAlignment="1">
      <alignment horizontal="center" vertical="center" wrapText="1"/>
    </xf>
    <xf numFmtId="0" fontId="6" fillId="4" borderId="104" xfId="0" applyFont="1" applyFill="1" applyBorder="1" applyAlignment="1">
      <alignment horizontal="center" vertical="center" wrapText="1"/>
    </xf>
    <xf numFmtId="0" fontId="6" fillId="4" borderId="105" xfId="0" applyFont="1" applyFill="1" applyBorder="1" applyAlignment="1">
      <alignment horizontal="center" vertical="center" wrapText="1"/>
    </xf>
    <xf numFmtId="0" fontId="6" fillId="0" borderId="100" xfId="0" applyFont="1" applyBorder="1" applyAlignment="1">
      <alignment horizontal="center" vertical="center" wrapText="1"/>
    </xf>
    <xf numFmtId="0" fontId="6" fillId="0" borderId="92" xfId="0" applyFont="1" applyBorder="1" applyAlignment="1">
      <alignment horizontal="center" vertical="center" wrapText="1"/>
    </xf>
    <xf numFmtId="0" fontId="6" fillId="0" borderId="510" xfId="0" applyFont="1" applyBorder="1" applyAlignment="1">
      <alignment horizontal="center" vertical="center" wrapText="1"/>
    </xf>
    <xf numFmtId="0" fontId="6" fillId="0" borderId="2" xfId="0" applyFont="1" applyBorder="1" applyAlignment="1">
      <alignment horizontal="center" vertical="center" wrapText="1"/>
    </xf>
    <xf numFmtId="0" fontId="6" fillId="0" borderId="523" xfId="0" applyFont="1" applyBorder="1" applyAlignment="1">
      <alignment horizontal="center" vertical="center" wrapText="1"/>
    </xf>
    <xf numFmtId="0" fontId="1" fillId="2" borderId="529" xfId="0" applyFont="1" applyFill="1" applyBorder="1" applyAlignment="1">
      <alignment horizontal="center" vertical="center" wrapText="1"/>
    </xf>
    <xf numFmtId="0" fontId="6" fillId="2" borderId="516" xfId="0" applyFont="1" applyFill="1" applyBorder="1" applyAlignment="1">
      <alignment horizontal="center" vertical="center" wrapText="1"/>
    </xf>
    <xf numFmtId="0" fontId="6" fillId="7" borderId="461" xfId="0" applyFont="1" applyFill="1" applyBorder="1" applyAlignment="1">
      <alignment horizontal="center" vertical="center" wrapText="1"/>
    </xf>
    <xf numFmtId="0" fontId="6" fillId="7" borderId="43" xfId="0" applyFont="1" applyFill="1" applyBorder="1" applyAlignment="1">
      <alignment horizontal="center" vertical="center" wrapText="1"/>
    </xf>
    <xf numFmtId="0" fontId="6" fillId="7" borderId="462" xfId="0" applyFont="1" applyFill="1" applyBorder="1" applyAlignment="1">
      <alignment horizontal="center" vertical="center" wrapText="1"/>
    </xf>
    <xf numFmtId="0" fontId="10" fillId="13" borderId="1" xfId="0" applyFont="1" applyFill="1" applyBorder="1" applyAlignment="1">
      <alignment horizontal="center" vertical="top"/>
    </xf>
    <xf numFmtId="0" fontId="10" fillId="13" borderId="2" xfId="0" applyFont="1" applyFill="1" applyBorder="1" applyAlignment="1">
      <alignment horizontal="center" vertical="top"/>
    </xf>
    <xf numFmtId="0" fontId="10" fillId="13" borderId="516" xfId="0" applyFont="1" applyFill="1" applyBorder="1" applyAlignment="1">
      <alignment horizontal="center" vertical="top"/>
    </xf>
    <xf numFmtId="0" fontId="1" fillId="0" borderId="510" xfId="0" applyFont="1" applyBorder="1" applyAlignment="1">
      <alignment horizontal="center" vertical="center" wrapText="1"/>
    </xf>
    <xf numFmtId="0" fontId="1" fillId="0" borderId="2" xfId="0" applyFont="1" applyBorder="1" applyAlignment="1">
      <alignment horizontal="center" vertical="center" wrapText="1"/>
    </xf>
    <xf numFmtId="0" fontId="1" fillId="0" borderId="523" xfId="0" applyFont="1" applyBorder="1" applyAlignment="1">
      <alignment horizontal="center" vertical="center" wrapText="1"/>
    </xf>
    <xf numFmtId="0" fontId="6" fillId="2" borderId="529"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6" fillId="0" borderId="93" xfId="0" applyFont="1" applyBorder="1" applyAlignment="1">
      <alignment horizontal="center" vertical="center" wrapText="1"/>
    </xf>
    <xf numFmtId="0" fontId="1" fillId="4" borderId="104" xfId="0" applyFont="1" applyFill="1" applyBorder="1" applyAlignment="1">
      <alignment horizontal="center" vertical="center" wrapText="1"/>
    </xf>
    <xf numFmtId="0" fontId="10" fillId="3" borderId="90" xfId="0" applyFont="1" applyFill="1" applyBorder="1" applyAlignment="1">
      <alignment horizontal="center" vertical="top"/>
    </xf>
    <xf numFmtId="0" fontId="10" fillId="3" borderId="91" xfId="0" applyFont="1" applyFill="1" applyBorder="1" applyAlignment="1">
      <alignment horizontal="center" vertical="top"/>
    </xf>
    <xf numFmtId="0" fontId="10" fillId="3" borderId="105" xfId="0" applyFont="1" applyFill="1" applyBorder="1" applyAlignment="1">
      <alignment horizontal="center" vertical="top"/>
    </xf>
    <xf numFmtId="0" fontId="10" fillId="2" borderId="42" xfId="0" applyFont="1" applyFill="1" applyBorder="1" applyAlignment="1">
      <alignment horizontal="center" vertical="top"/>
    </xf>
    <xf numFmtId="0" fontId="10" fillId="2" borderId="43" xfId="0" applyFont="1" applyFill="1" applyBorder="1" applyAlignment="1">
      <alignment horizontal="center" vertical="top"/>
    </xf>
    <xf numFmtId="0" fontId="10" fillId="2" borderId="462" xfId="0" applyFont="1" applyFill="1" applyBorder="1" applyAlignment="1">
      <alignment horizontal="center" vertical="top"/>
    </xf>
    <xf numFmtId="0" fontId="1" fillId="0" borderId="455" xfId="0" applyFont="1" applyBorder="1" applyAlignment="1">
      <alignment horizontal="center" vertical="center" wrapText="1"/>
    </xf>
    <xf numFmtId="0" fontId="1" fillId="0" borderId="43" xfId="0" applyFont="1" applyBorder="1" applyAlignment="1">
      <alignment horizontal="center" vertical="center" wrapText="1"/>
    </xf>
    <xf numFmtId="0" fontId="1" fillId="0" borderId="459" xfId="0" applyFont="1" applyBorder="1" applyAlignment="1">
      <alignment horizontal="center" vertical="center" wrapText="1"/>
    </xf>
    <xf numFmtId="0" fontId="6" fillId="0" borderId="455" xfId="0" applyFont="1" applyBorder="1" applyAlignment="1">
      <alignment horizontal="center" vertical="center" wrapText="1"/>
    </xf>
    <xf numFmtId="0" fontId="6" fillId="0" borderId="43" xfId="0" applyFont="1" applyBorder="1" applyAlignment="1">
      <alignment horizontal="center" vertical="center" wrapText="1"/>
    </xf>
    <xf numFmtId="0" fontId="6" fillId="0" borderId="459" xfId="0" applyFont="1" applyBorder="1" applyAlignment="1">
      <alignment horizontal="center" vertical="center" wrapText="1"/>
    </xf>
    <xf numFmtId="0" fontId="1" fillId="0" borderId="100" xfId="0" applyFont="1" applyBorder="1" applyAlignment="1">
      <alignment horizontal="center" vertical="center" wrapText="1"/>
    </xf>
    <xf numFmtId="0" fontId="1" fillId="0" borderId="93" xfId="0" applyFont="1" applyBorder="1" applyAlignment="1">
      <alignment horizontal="center" vertical="center" wrapText="1"/>
    </xf>
    <xf numFmtId="0" fontId="1" fillId="7" borderId="461" xfId="0" applyFont="1" applyFill="1" applyBorder="1" applyAlignment="1">
      <alignment horizontal="center" vertical="center" wrapText="1"/>
    </xf>
    <xf numFmtId="0" fontId="10" fillId="0" borderId="358" xfId="0" applyFont="1" applyBorder="1" applyAlignment="1">
      <alignment horizontal="center"/>
    </xf>
    <xf numFmtId="0" fontId="10" fillId="0" borderId="322" xfId="0" applyFont="1" applyBorder="1" applyAlignment="1">
      <alignment horizontal="center"/>
    </xf>
    <xf numFmtId="0" fontId="10" fillId="0" borderId="323" xfId="0" applyFont="1" applyBorder="1" applyAlignment="1">
      <alignment horizontal="center"/>
    </xf>
    <xf numFmtId="166" fontId="25" fillId="0" borderId="325" xfId="1" applyNumberFormat="1" applyFont="1" applyBorder="1" applyAlignment="1">
      <alignment horizontal="center" vertical="center"/>
    </xf>
    <xf numFmtId="166" fontId="25" fillId="0" borderId="326" xfId="1" applyNumberFormat="1" applyFont="1" applyBorder="1" applyAlignment="1">
      <alignment horizontal="center" vertical="center"/>
    </xf>
    <xf numFmtId="0" fontId="8" fillId="0" borderId="325" xfId="1" applyFont="1" applyBorder="1" applyAlignment="1">
      <alignment horizontal="center" vertical="center"/>
    </xf>
    <xf numFmtId="0" fontId="8" fillId="0" borderId="326" xfId="1" applyFont="1" applyBorder="1" applyAlignment="1">
      <alignment horizontal="center" vertical="center"/>
    </xf>
    <xf numFmtId="0" fontId="10" fillId="0" borderId="539" xfId="0" applyFont="1" applyBorder="1" applyAlignment="1">
      <alignment horizontal="center"/>
    </xf>
    <xf numFmtId="0" fontId="10" fillId="0" borderId="540" xfId="0" applyFont="1" applyBorder="1" applyAlignment="1">
      <alignment horizontal="center"/>
    </xf>
    <xf numFmtId="0" fontId="10" fillId="0" borderId="541" xfId="0" applyFont="1" applyBorder="1" applyAlignment="1">
      <alignment horizontal="center"/>
    </xf>
    <xf numFmtId="0" fontId="10" fillId="0" borderId="42" xfId="0" applyFont="1" applyBorder="1" applyAlignment="1">
      <alignment horizontal="center"/>
    </xf>
    <xf numFmtId="0" fontId="10" fillId="0" borderId="43" xfId="0" applyFont="1" applyBorder="1" applyAlignment="1">
      <alignment horizontal="center"/>
    </xf>
    <xf numFmtId="0" fontId="10" fillId="0" borderId="44" xfId="0" applyFont="1" applyBorder="1" applyAlignment="1">
      <alignment horizontal="center"/>
    </xf>
    <xf numFmtId="166" fontId="25" fillId="0" borderId="492" xfId="1" applyNumberFormat="1" applyFont="1" applyBorder="1" applyAlignment="1">
      <alignment horizontal="center" vertical="center"/>
    </xf>
    <xf numFmtId="166" fontId="25" fillId="0" borderId="550" xfId="1" applyNumberFormat="1" applyFont="1" applyBorder="1" applyAlignment="1">
      <alignment horizontal="center" vertical="center"/>
    </xf>
    <xf numFmtId="166" fontId="25" fillId="0" borderId="551" xfId="1" applyNumberFormat="1" applyFont="1" applyBorder="1" applyAlignment="1">
      <alignment horizontal="center" vertical="center"/>
    </xf>
    <xf numFmtId="0" fontId="8" fillId="0" borderId="46" xfId="1" applyFont="1" applyBorder="1" applyAlignment="1">
      <alignment horizontal="center" vertical="center"/>
    </xf>
    <xf numFmtId="0" fontId="8" fillId="0" borderId="47" xfId="1" applyFont="1" applyBorder="1" applyAlignment="1">
      <alignment horizontal="center" vertical="center"/>
    </xf>
    <xf numFmtId="0" fontId="8" fillId="0" borderId="471" xfId="1" applyFont="1" applyBorder="1" applyAlignment="1">
      <alignment horizontal="center" vertical="center"/>
    </xf>
    <xf numFmtId="0" fontId="8" fillId="0" borderId="472" xfId="1" applyFont="1" applyBorder="1" applyAlignment="1">
      <alignment horizontal="center" vertical="center"/>
    </xf>
    <xf numFmtId="0" fontId="25" fillId="0" borderId="471" xfId="1" applyFont="1" applyBorder="1" applyAlignment="1">
      <alignment horizontal="center" vertical="center"/>
    </xf>
    <xf numFmtId="0" fontId="25" fillId="0" borderId="472" xfId="1" applyFont="1" applyBorder="1" applyAlignment="1">
      <alignment horizontal="center" vertical="center"/>
    </xf>
    <xf numFmtId="0" fontId="1" fillId="0" borderId="476" xfId="0" applyFont="1" applyBorder="1" applyAlignment="1">
      <alignment horizontal="left" vertical="center"/>
    </xf>
    <xf numFmtId="0" fontId="1" fillId="0" borderId="470" xfId="0" applyFont="1" applyBorder="1" applyAlignment="1">
      <alignment horizontal="left" vertical="center"/>
    </xf>
    <xf numFmtId="0" fontId="31" fillId="0" borderId="470" xfId="0" applyFont="1" applyBorder="1" applyAlignment="1">
      <alignment horizontal="left" vertical="center"/>
    </xf>
    <xf numFmtId="0" fontId="31" fillId="0" borderId="473" xfId="0" applyFont="1" applyBorder="1" applyAlignment="1">
      <alignment horizontal="left" vertical="center"/>
    </xf>
    <xf numFmtId="0" fontId="43" fillId="7" borderId="261" xfId="0" applyFont="1" applyFill="1" applyBorder="1" applyAlignment="1">
      <alignment horizontal="right" vertical="center"/>
    </xf>
    <xf numFmtId="0" fontId="43" fillId="7" borderId="262" xfId="0" applyFont="1" applyFill="1" applyBorder="1" applyAlignment="1">
      <alignment horizontal="right" vertical="center"/>
    </xf>
    <xf numFmtId="0" fontId="43" fillId="4" borderId="403" xfId="0" applyFont="1" applyFill="1" applyBorder="1" applyAlignment="1">
      <alignment horizontal="right" vertical="center"/>
    </xf>
    <xf numFmtId="0" fontId="43" fillId="4" borderId="404" xfId="0" applyFont="1" applyFill="1" applyBorder="1" applyAlignment="1">
      <alignment horizontal="right" vertical="center"/>
    </xf>
    <xf numFmtId="0" fontId="43" fillId="12" borderId="261" xfId="0" applyFont="1" applyFill="1" applyBorder="1" applyAlignment="1">
      <alignment horizontal="right" vertical="center"/>
    </xf>
    <xf numFmtId="0" fontId="43" fillId="12" borderId="262" xfId="0" applyFont="1" applyFill="1" applyBorder="1" applyAlignment="1">
      <alignment horizontal="right" vertical="center"/>
    </xf>
    <xf numFmtId="0" fontId="0" fillId="0" borderId="0" xfId="0" applyAlignment="1">
      <alignment horizontal="center"/>
    </xf>
    <xf numFmtId="0" fontId="0" fillId="0" borderId="29" xfId="0" applyBorder="1" applyAlignment="1">
      <alignment horizontal="center"/>
    </xf>
    <xf numFmtId="0" fontId="0" fillId="0" borderId="30" xfId="0" applyBorder="1" applyAlignment="1">
      <alignment horizontal="center"/>
    </xf>
    <xf numFmtId="0" fontId="18" fillId="3" borderId="0" xfId="0" applyFont="1" applyFill="1" applyAlignment="1">
      <alignment horizontal="center"/>
    </xf>
    <xf numFmtId="0" fontId="18" fillId="5" borderId="0" xfId="0" applyFont="1" applyFill="1" applyAlignment="1">
      <alignment horizontal="center"/>
    </xf>
    <xf numFmtId="0" fontId="18" fillId="0" borderId="0" xfId="0" applyFont="1" applyAlignment="1">
      <alignment horizontal="center"/>
    </xf>
    <xf numFmtId="0" fontId="9" fillId="0" borderId="0" xfId="0" applyFont="1" applyAlignment="1">
      <alignment horizontal="center" vertical="center"/>
    </xf>
    <xf numFmtId="167" fontId="8" fillId="0" borderId="543" xfId="0" applyNumberFormat="1" applyFont="1" applyBorder="1" applyAlignment="1">
      <alignment horizontal="center" vertical="center" wrapText="1"/>
    </xf>
    <xf numFmtId="167" fontId="9" fillId="0" borderId="0" xfId="0" applyNumberFormat="1" applyFont="1" applyAlignment="1">
      <alignment horizontal="center" vertical="center"/>
    </xf>
    <xf numFmtId="11" fontId="9" fillId="0" borderId="0" xfId="0" applyNumberFormat="1" applyFont="1" applyAlignment="1">
      <alignment horizontal="center" vertical="center"/>
    </xf>
    <xf numFmtId="166" fontId="9" fillId="0" borderId="0" xfId="0" applyNumberFormat="1" applyFont="1" applyAlignment="1">
      <alignment horizontal="center" vertical="center"/>
    </xf>
    <xf numFmtId="0" fontId="25" fillId="0" borderId="1" xfId="1" applyFont="1" applyBorder="1" applyAlignment="1">
      <alignment horizontal="center" vertical="center"/>
    </xf>
    <xf numFmtId="0" fontId="25" fillId="0" borderId="2" xfId="1" applyFont="1" applyBorder="1" applyAlignment="1">
      <alignment horizontal="center" vertical="center"/>
    </xf>
    <xf numFmtId="0" fontId="25" fillId="0" borderId="3" xfId="1" applyFont="1" applyBorder="1" applyAlignment="1">
      <alignment horizontal="center" vertical="center"/>
    </xf>
    <xf numFmtId="0" fontId="9" fillId="0" borderId="10" xfId="0" applyFont="1" applyBorder="1" applyAlignment="1">
      <alignment horizontal="center" vertical="center"/>
    </xf>
    <xf numFmtId="167" fontId="9" fillId="0" borderId="11" xfId="0" applyNumberFormat="1" applyFont="1" applyBorder="1" applyAlignment="1">
      <alignment horizontal="center" vertical="center"/>
    </xf>
    <xf numFmtId="166" fontId="9" fillId="0" borderId="11" xfId="0" applyNumberFormat="1" applyFont="1" applyBorder="1" applyAlignment="1">
      <alignment horizontal="center" vertical="center"/>
    </xf>
    <xf numFmtId="166" fontId="9" fillId="0" borderId="12" xfId="0" applyNumberFormat="1" applyFont="1" applyBorder="1" applyAlignment="1">
      <alignment horizontal="center" vertical="center"/>
    </xf>
    <xf numFmtId="0" fontId="9" fillId="0" borderId="13" xfId="0" applyFont="1" applyBorder="1" applyAlignment="1">
      <alignment horizontal="center" vertical="center"/>
    </xf>
    <xf numFmtId="167" fontId="9" fillId="0" borderId="14" xfId="0" applyNumberFormat="1" applyFont="1" applyBorder="1" applyAlignment="1">
      <alignment horizontal="center" vertical="center"/>
    </xf>
    <xf numFmtId="166" fontId="9" fillId="0" borderId="14" xfId="0" applyNumberFormat="1" applyFont="1" applyBorder="1" applyAlignment="1">
      <alignment horizontal="center" vertical="center"/>
    </xf>
    <xf numFmtId="166" fontId="9" fillId="0" borderId="15" xfId="0" applyNumberFormat="1" applyFont="1" applyBorder="1" applyAlignment="1">
      <alignment horizontal="center" vertical="center"/>
    </xf>
    <xf numFmtId="0" fontId="9" fillId="0" borderId="7" xfId="0" applyFont="1" applyBorder="1" applyAlignment="1">
      <alignment horizontal="center" vertical="center"/>
    </xf>
    <xf numFmtId="167" fontId="9" fillId="0" borderId="8" xfId="0" applyNumberFormat="1" applyFont="1" applyBorder="1" applyAlignment="1">
      <alignment horizontal="center" vertical="center"/>
    </xf>
    <xf numFmtId="166" fontId="9" fillId="0" borderId="8" xfId="0" applyNumberFormat="1" applyFont="1" applyBorder="1" applyAlignment="1">
      <alignment horizontal="center" vertical="center"/>
    </xf>
    <xf numFmtId="166" fontId="9" fillId="0" borderId="9" xfId="0" applyNumberFormat="1" applyFont="1" applyBorder="1" applyAlignment="1">
      <alignment horizontal="center" vertical="center"/>
    </xf>
    <xf numFmtId="0" fontId="8" fillId="0" borderId="4" xfId="0" applyFont="1" applyBorder="1" applyAlignment="1">
      <alignment horizontal="center" vertical="center" wrapText="1"/>
    </xf>
    <xf numFmtId="167" fontId="8" fillId="0" borderId="5" xfId="0" applyNumberFormat="1" applyFont="1" applyBorder="1" applyAlignment="1">
      <alignment horizontal="center" vertical="center" wrapText="1"/>
    </xf>
    <xf numFmtId="11" fontId="8" fillId="0" borderId="5" xfId="3" applyNumberFormat="1" applyFont="1" applyBorder="1" applyAlignment="1">
      <alignment horizontal="center" vertical="center" wrapText="1"/>
    </xf>
    <xf numFmtId="11" fontId="8" fillId="0" borderId="5" xfId="0" applyNumberFormat="1" applyFont="1" applyBorder="1" applyAlignment="1">
      <alignment horizontal="center" vertical="center" wrapText="1"/>
    </xf>
    <xf numFmtId="0" fontId="8" fillId="0" borderId="6" xfId="0" applyFont="1" applyBorder="1" applyAlignment="1">
      <alignment horizontal="center" vertical="center"/>
    </xf>
    <xf numFmtId="0" fontId="25" fillId="0" borderId="539" xfId="1" applyFont="1" applyBorder="1" applyAlignment="1">
      <alignment horizontal="center" vertical="center"/>
    </xf>
    <xf numFmtId="0" fontId="25" fillId="0" borderId="540" xfId="1" applyFont="1" applyBorder="1" applyAlignment="1">
      <alignment horizontal="center" vertical="center"/>
    </xf>
    <xf numFmtId="0" fontId="25" fillId="0" borderId="541" xfId="1" applyFont="1" applyBorder="1" applyAlignment="1">
      <alignment horizontal="center" vertical="center"/>
    </xf>
    <xf numFmtId="0" fontId="9" fillId="0" borderId="470" xfId="0" applyFont="1" applyBorder="1" applyAlignment="1">
      <alignment horizontal="center" vertical="center"/>
    </xf>
    <xf numFmtId="167" fontId="9" fillId="0" borderId="471" xfId="0" applyNumberFormat="1" applyFont="1" applyBorder="1" applyAlignment="1">
      <alignment horizontal="center" vertical="center"/>
    </xf>
    <xf numFmtId="166" fontId="9" fillId="0" borderId="471" xfId="0" applyNumberFormat="1" applyFont="1" applyBorder="1" applyAlignment="1">
      <alignment horizontal="center" vertical="center"/>
    </xf>
    <xf numFmtId="166" fontId="9" fillId="0" borderId="472" xfId="0" applyNumberFormat="1" applyFont="1" applyBorder="1" applyAlignment="1">
      <alignment horizontal="center" vertical="center"/>
    </xf>
    <xf numFmtId="0" fontId="9" fillId="0" borderId="473" xfId="0" applyFont="1" applyBorder="1" applyAlignment="1">
      <alignment horizontal="center" vertical="center"/>
    </xf>
    <xf numFmtId="167" fontId="9" fillId="0" borderId="474" xfId="0" applyNumberFormat="1" applyFont="1" applyBorder="1" applyAlignment="1">
      <alignment horizontal="center" vertical="center"/>
    </xf>
    <xf numFmtId="166" fontId="9" fillId="0" borderId="474" xfId="0" applyNumberFormat="1" applyFont="1" applyBorder="1" applyAlignment="1">
      <alignment horizontal="center" vertical="center"/>
    </xf>
    <xf numFmtId="166" fontId="9" fillId="0" borderId="475" xfId="0" applyNumberFormat="1" applyFont="1" applyBorder="1" applyAlignment="1">
      <alignment horizontal="center" vertical="center"/>
    </xf>
    <xf numFmtId="0" fontId="9" fillId="0" borderId="476" xfId="0" applyFont="1" applyBorder="1" applyAlignment="1">
      <alignment horizontal="center" vertical="center"/>
    </xf>
    <xf numFmtId="167" fontId="9" fillId="0" borderId="477" xfId="0" applyNumberFormat="1" applyFont="1" applyBorder="1" applyAlignment="1">
      <alignment horizontal="center" vertical="center"/>
    </xf>
    <xf numFmtId="166" fontId="9" fillId="0" borderId="477" xfId="0" applyNumberFormat="1" applyFont="1" applyBorder="1" applyAlignment="1">
      <alignment horizontal="center" vertical="center"/>
    </xf>
    <xf numFmtId="166" fontId="9" fillId="0" borderId="478" xfId="0" applyNumberFormat="1" applyFont="1" applyBorder="1" applyAlignment="1">
      <alignment horizontal="center" vertical="center"/>
    </xf>
    <xf numFmtId="0" fontId="8" fillId="0" borderId="542" xfId="0" applyFont="1" applyBorder="1" applyAlignment="1">
      <alignment horizontal="center" vertical="center" wrapText="1"/>
    </xf>
    <xf numFmtId="166" fontId="8" fillId="0" borderId="543" xfId="3" applyNumberFormat="1" applyFont="1" applyBorder="1" applyAlignment="1">
      <alignment horizontal="center" vertical="center" wrapText="1"/>
    </xf>
    <xf numFmtId="166" fontId="8" fillId="0" borderId="544" xfId="0" applyNumberFormat="1" applyFont="1" applyBorder="1" applyAlignment="1">
      <alignment horizontal="center" vertical="center" wrapText="1"/>
    </xf>
  </cellXfs>
  <cellStyles count="5">
    <cellStyle name="Normal" xfId="0" builtinId="0"/>
    <cellStyle name="Normal 13" xfId="2" xr:uid="{CAB89C89-A910-4D57-B8E1-65CC453AC89C}"/>
    <cellStyle name="Normal 2" xfId="1" xr:uid="{EE110824-51C7-4414-A355-6948B57C436C}"/>
    <cellStyle name="Normal 3" xfId="4" xr:uid="{A788911B-9207-4A2A-849A-C6763326D64D}"/>
    <cellStyle name="Normal 8 2" xfId="3" xr:uid="{D6F1B286-CAA4-487A-B393-B637FFA13989}"/>
  </cellStyles>
  <dxfs count="176">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ill>
        <patternFill patternType="solid">
          <fgColor indexed="64"/>
          <bgColor rgb="FFFFFF00"/>
        </patternFill>
      </fill>
      <alignment horizontal="general" vertical="bottom" textRotation="0" wrapText="1"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ill>
        <patternFill patternType="solid">
          <fgColor indexed="64"/>
          <bgColor rgb="FFFFFF00"/>
        </patternFill>
      </fill>
      <alignment horizontal="general" vertical="bottom" textRotation="0" wrapText="1"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ill>
        <patternFill patternType="solid">
          <fgColor indexed="64"/>
          <bgColor rgb="FFFFFF00"/>
        </patternFill>
      </fill>
      <alignment horizontal="general" vertical="bottom" textRotation="0" wrapText="1"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ill>
        <patternFill patternType="solid">
          <fgColor indexed="64"/>
          <bgColor rgb="FFFFFF00"/>
        </patternFill>
      </fill>
      <alignment horizontal="general" vertical="bottom" textRotation="0" wrapText="1"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ill>
        <patternFill patternType="solid">
          <fgColor indexed="64"/>
          <bgColor rgb="FFFFFF00"/>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ill>
        <patternFill patternType="solid">
          <fgColor indexed="64"/>
          <bgColor rgb="FFFFFF00"/>
        </patternFill>
      </fill>
      <alignment horizontal="general" vertical="bottom" textRotation="0" wrapText="1"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ill>
        <patternFill patternType="solid">
          <fgColor indexed="64"/>
          <bgColor rgb="FFFFFF00"/>
        </patternFill>
      </fill>
      <alignment horizontal="general" vertical="bottom" textRotation="0" wrapText="1"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ill>
        <patternFill patternType="solid">
          <fgColor indexed="64"/>
          <bgColor rgb="FFFFFF00"/>
        </patternFill>
      </fill>
      <alignment horizontal="general" vertical="bottom" textRotation="0" wrapText="1" indent="0" justifyLastLine="0" shrinkToFit="0" readingOrder="0"/>
    </dxf>
  </dxfs>
  <tableStyles count="0" defaultTableStyle="TableStyleMedium2" defaultPivotStyle="PivotStyleLight16"/>
  <colors>
    <mruColors>
      <color rgb="FFF014C8"/>
      <color rgb="FF5064E6"/>
      <color rgb="FFF04646"/>
      <color rgb="FF28C8C8"/>
      <color rgb="FF3CE63C"/>
      <color rgb="FF3CE614"/>
      <color rgb="FF32E614"/>
      <color rgb="FF0EE623"/>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11.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12.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13.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14.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15.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16.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17.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18.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19.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2.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0.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21.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22.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23.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24.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25.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26.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27.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28.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29.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3.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0.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31.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32.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33.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34.xml.rels><?xml version="1.0" encoding="UTF-8" standalone="yes"?>
<Relationships xmlns="http://schemas.openxmlformats.org/package/2006/relationships"><Relationship Id="rId2" Type="http://schemas.microsoft.com/office/2011/relationships/chartColorStyle" Target="colors120.xml"/><Relationship Id="rId1" Type="http://schemas.microsoft.com/office/2011/relationships/chartStyle" Target="style120.xml"/></Relationships>
</file>

<file path=xl/charts/_rels/chart35.xml.rels><?xml version="1.0" encoding="UTF-8" standalone="yes"?>
<Relationships xmlns="http://schemas.openxmlformats.org/package/2006/relationships"><Relationship Id="rId2" Type="http://schemas.microsoft.com/office/2011/relationships/chartColorStyle" Target="colors121.xml"/><Relationship Id="rId1" Type="http://schemas.microsoft.com/office/2011/relationships/chartStyle" Target="style121.xml"/></Relationships>
</file>

<file path=xl/charts/_rels/chart36.xml.rels><?xml version="1.0" encoding="UTF-8" standalone="yes"?>
<Relationships xmlns="http://schemas.openxmlformats.org/package/2006/relationships"><Relationship Id="rId2" Type="http://schemas.microsoft.com/office/2011/relationships/chartColorStyle" Target="colors122.xml"/><Relationship Id="rId1" Type="http://schemas.microsoft.com/office/2011/relationships/chartStyle" Target="style122.xml"/></Relationships>
</file>

<file path=xl/charts/_rels/chart4.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6.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7.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8.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Ex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Ex10.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Ex100.xml.rels><?xml version="1.0" encoding="UTF-8" standalone="yes"?>
<Relationships xmlns="http://schemas.openxmlformats.org/package/2006/relationships"><Relationship Id="rId2" Type="http://schemas.microsoft.com/office/2011/relationships/chartColorStyle" Target="colors136.xml"/><Relationship Id="rId1" Type="http://schemas.microsoft.com/office/2011/relationships/chartStyle" Target="style136.xml"/></Relationships>
</file>

<file path=xl/charts/_rels/chartEx101.xml.rels><?xml version="1.0" encoding="UTF-8" standalone="yes"?>
<Relationships xmlns="http://schemas.openxmlformats.org/package/2006/relationships"><Relationship Id="rId2" Type="http://schemas.microsoft.com/office/2011/relationships/chartColorStyle" Target="colors137.xml"/><Relationship Id="rId1" Type="http://schemas.microsoft.com/office/2011/relationships/chartStyle" Target="style137.xml"/></Relationships>
</file>

<file path=xl/charts/_rels/chartEx102.xml.rels><?xml version="1.0" encoding="UTF-8" standalone="yes"?>
<Relationships xmlns="http://schemas.openxmlformats.org/package/2006/relationships"><Relationship Id="rId2" Type="http://schemas.microsoft.com/office/2011/relationships/chartColorStyle" Target="colors138.xml"/><Relationship Id="rId1" Type="http://schemas.microsoft.com/office/2011/relationships/chartStyle" Target="style138.xml"/></Relationships>
</file>

<file path=xl/charts/_rels/chartEx103.xml.rels><?xml version="1.0" encoding="UTF-8" standalone="yes"?>
<Relationships xmlns="http://schemas.openxmlformats.org/package/2006/relationships"><Relationship Id="rId2" Type="http://schemas.microsoft.com/office/2011/relationships/chartColorStyle" Target="colors139.xml"/><Relationship Id="rId1" Type="http://schemas.microsoft.com/office/2011/relationships/chartStyle" Target="style139.xml"/></Relationships>
</file>

<file path=xl/charts/_rels/chartEx104.xml.rels><?xml version="1.0" encoding="UTF-8" standalone="yes"?>
<Relationships xmlns="http://schemas.openxmlformats.org/package/2006/relationships"><Relationship Id="rId2" Type="http://schemas.microsoft.com/office/2011/relationships/chartColorStyle" Target="colors140.xml"/><Relationship Id="rId1" Type="http://schemas.microsoft.com/office/2011/relationships/chartStyle" Target="style140.xml"/></Relationships>
</file>

<file path=xl/charts/_rels/chartEx105.xml.rels><?xml version="1.0" encoding="UTF-8" standalone="yes"?>
<Relationships xmlns="http://schemas.openxmlformats.org/package/2006/relationships"><Relationship Id="rId2" Type="http://schemas.microsoft.com/office/2011/relationships/chartColorStyle" Target="colors141.xml"/><Relationship Id="rId1" Type="http://schemas.microsoft.com/office/2011/relationships/chartStyle" Target="style141.xml"/></Relationships>
</file>

<file path=xl/charts/_rels/chartEx11.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Ex12.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Ex13.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Ex14.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Ex15.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Ex16.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Ex17.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Ex18.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Ex19.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Ex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Ex20.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Ex21.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Ex22.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Ex23.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Ex24.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Ex25.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Ex26.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Ex27.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Ex28.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Ex29.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Ex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Ex30.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Ex31.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Ex32.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Ex33.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Ex34.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Ex35.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Ex36.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Ex37.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Ex38.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Ex39.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Ex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Ex40.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Ex41.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Ex42.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Ex43.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Ex44.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Ex45.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Ex46.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Ex47.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Ex48.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Ex49.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Ex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Ex50.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Ex51.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Ex52.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Ex53.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Ex54.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Ex55.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Ex56.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Ex57.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Ex58.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Ex59.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Ex6.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Ex60.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Ex61.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Ex62.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Ex63.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Ex64.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Ex65.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Ex66.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Ex67.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Ex68.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Ex69.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Ex7.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Ex70.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Ex71.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Ex72.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_rels/chartEx73.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Ex74.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Ex75.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Ex76.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Ex77.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Ex78.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Ex79.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Ex8.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80.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Ex81.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Ex82.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Ex83.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Ex84.xml.rels><?xml version="1.0" encoding="UTF-8" standalone="yes"?>
<Relationships xmlns="http://schemas.openxmlformats.org/package/2006/relationships"><Relationship Id="rId2" Type="http://schemas.microsoft.com/office/2011/relationships/chartColorStyle" Target="colors117.xml"/><Relationship Id="rId1" Type="http://schemas.microsoft.com/office/2011/relationships/chartStyle" Target="style117.xml"/></Relationships>
</file>

<file path=xl/charts/_rels/chartEx85.xml.rels><?xml version="1.0" encoding="UTF-8" standalone="yes"?>
<Relationships xmlns="http://schemas.openxmlformats.org/package/2006/relationships"><Relationship Id="rId2" Type="http://schemas.microsoft.com/office/2011/relationships/chartColorStyle" Target="colors118.xml"/><Relationship Id="rId1" Type="http://schemas.microsoft.com/office/2011/relationships/chartStyle" Target="style118.xml"/></Relationships>
</file>

<file path=xl/charts/_rels/chartEx86.xml.rels><?xml version="1.0" encoding="UTF-8" standalone="yes"?>
<Relationships xmlns="http://schemas.openxmlformats.org/package/2006/relationships"><Relationship Id="rId2" Type="http://schemas.microsoft.com/office/2011/relationships/chartColorStyle" Target="colors119.xml"/><Relationship Id="rId1" Type="http://schemas.microsoft.com/office/2011/relationships/chartStyle" Target="style119.xml"/></Relationships>
</file>

<file path=xl/charts/_rels/chartEx87.xml.rels><?xml version="1.0" encoding="UTF-8" standalone="yes"?>
<Relationships xmlns="http://schemas.openxmlformats.org/package/2006/relationships"><Relationship Id="rId2" Type="http://schemas.microsoft.com/office/2011/relationships/chartColorStyle" Target="colors123.xml"/><Relationship Id="rId1" Type="http://schemas.microsoft.com/office/2011/relationships/chartStyle" Target="style123.xml"/></Relationships>
</file>

<file path=xl/charts/_rels/chartEx88.xml.rels><?xml version="1.0" encoding="UTF-8" standalone="yes"?>
<Relationships xmlns="http://schemas.openxmlformats.org/package/2006/relationships"><Relationship Id="rId2" Type="http://schemas.microsoft.com/office/2011/relationships/chartColorStyle" Target="colors124.xml"/><Relationship Id="rId1" Type="http://schemas.microsoft.com/office/2011/relationships/chartStyle" Target="style124.xml"/></Relationships>
</file>

<file path=xl/charts/_rels/chartEx89.xml.rels><?xml version="1.0" encoding="UTF-8" standalone="yes"?>
<Relationships xmlns="http://schemas.openxmlformats.org/package/2006/relationships"><Relationship Id="rId2" Type="http://schemas.microsoft.com/office/2011/relationships/chartColorStyle" Target="colors125.xml"/><Relationship Id="rId1" Type="http://schemas.microsoft.com/office/2011/relationships/chartStyle" Target="style125.xml"/></Relationships>
</file>

<file path=xl/charts/_rels/chartEx9.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Ex90.xml.rels><?xml version="1.0" encoding="UTF-8" standalone="yes"?>
<Relationships xmlns="http://schemas.openxmlformats.org/package/2006/relationships"><Relationship Id="rId2" Type="http://schemas.microsoft.com/office/2011/relationships/chartColorStyle" Target="colors126.xml"/><Relationship Id="rId1" Type="http://schemas.microsoft.com/office/2011/relationships/chartStyle" Target="style126.xml"/></Relationships>
</file>

<file path=xl/charts/_rels/chartEx91.xml.rels><?xml version="1.0" encoding="UTF-8" standalone="yes"?>
<Relationships xmlns="http://schemas.openxmlformats.org/package/2006/relationships"><Relationship Id="rId2" Type="http://schemas.microsoft.com/office/2011/relationships/chartColorStyle" Target="colors127.xml"/><Relationship Id="rId1" Type="http://schemas.microsoft.com/office/2011/relationships/chartStyle" Target="style127.xml"/></Relationships>
</file>

<file path=xl/charts/_rels/chartEx92.xml.rels><?xml version="1.0" encoding="UTF-8" standalone="yes"?>
<Relationships xmlns="http://schemas.openxmlformats.org/package/2006/relationships"><Relationship Id="rId2" Type="http://schemas.microsoft.com/office/2011/relationships/chartColorStyle" Target="colors128.xml"/><Relationship Id="rId1" Type="http://schemas.microsoft.com/office/2011/relationships/chartStyle" Target="style128.xml"/></Relationships>
</file>

<file path=xl/charts/_rels/chartEx93.xml.rels><?xml version="1.0" encoding="UTF-8" standalone="yes"?>
<Relationships xmlns="http://schemas.openxmlformats.org/package/2006/relationships"><Relationship Id="rId2" Type="http://schemas.microsoft.com/office/2011/relationships/chartColorStyle" Target="colors129.xml"/><Relationship Id="rId1" Type="http://schemas.microsoft.com/office/2011/relationships/chartStyle" Target="style129.xml"/></Relationships>
</file>

<file path=xl/charts/_rels/chartEx94.xml.rels><?xml version="1.0" encoding="UTF-8" standalone="yes"?>
<Relationships xmlns="http://schemas.openxmlformats.org/package/2006/relationships"><Relationship Id="rId2" Type="http://schemas.microsoft.com/office/2011/relationships/chartColorStyle" Target="colors130.xml"/><Relationship Id="rId1" Type="http://schemas.microsoft.com/office/2011/relationships/chartStyle" Target="style130.xml"/></Relationships>
</file>

<file path=xl/charts/_rels/chartEx95.xml.rels><?xml version="1.0" encoding="UTF-8" standalone="yes"?>
<Relationships xmlns="http://schemas.openxmlformats.org/package/2006/relationships"><Relationship Id="rId2" Type="http://schemas.microsoft.com/office/2011/relationships/chartColorStyle" Target="colors131.xml"/><Relationship Id="rId1" Type="http://schemas.microsoft.com/office/2011/relationships/chartStyle" Target="style131.xml"/></Relationships>
</file>

<file path=xl/charts/_rels/chartEx96.xml.rels><?xml version="1.0" encoding="UTF-8" standalone="yes"?>
<Relationships xmlns="http://schemas.openxmlformats.org/package/2006/relationships"><Relationship Id="rId2" Type="http://schemas.microsoft.com/office/2011/relationships/chartColorStyle" Target="colors132.xml"/><Relationship Id="rId1" Type="http://schemas.microsoft.com/office/2011/relationships/chartStyle" Target="style132.xml"/></Relationships>
</file>

<file path=xl/charts/_rels/chartEx97.xml.rels><?xml version="1.0" encoding="UTF-8" standalone="yes"?>
<Relationships xmlns="http://schemas.openxmlformats.org/package/2006/relationships"><Relationship Id="rId2" Type="http://schemas.microsoft.com/office/2011/relationships/chartColorStyle" Target="colors133.xml"/><Relationship Id="rId1" Type="http://schemas.microsoft.com/office/2011/relationships/chartStyle" Target="style133.xml"/></Relationships>
</file>

<file path=xl/charts/_rels/chartEx98.xml.rels><?xml version="1.0" encoding="UTF-8" standalone="yes"?>
<Relationships xmlns="http://schemas.openxmlformats.org/package/2006/relationships"><Relationship Id="rId2" Type="http://schemas.microsoft.com/office/2011/relationships/chartColorStyle" Target="colors134.xml"/><Relationship Id="rId1" Type="http://schemas.microsoft.com/office/2011/relationships/chartStyle" Target="style134.xml"/></Relationships>
</file>

<file path=xl/charts/_rels/chartEx99.xml.rels><?xml version="1.0" encoding="UTF-8" standalone="yes"?>
<Relationships xmlns="http://schemas.openxmlformats.org/package/2006/relationships"><Relationship Id="rId2" Type="http://schemas.microsoft.com/office/2011/relationships/chartColorStyle" Target="colors135.xml"/><Relationship Id="rId1" Type="http://schemas.microsoft.com/office/2011/relationships/chartStyle" Target="style13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80727804344419"/>
          <c:y val="2.2584840757056121E-2"/>
          <c:w val="0.84972576762650587"/>
          <c:h val="0.85618431498258452"/>
        </c:manualLayout>
      </c:layout>
      <c:scatterChart>
        <c:scatterStyle val="lineMarker"/>
        <c:varyColors val="0"/>
        <c:ser>
          <c:idx val="3"/>
          <c:order val="0"/>
          <c:tx>
            <c:v>OP and total bacteria</c:v>
          </c:tx>
          <c:spPr>
            <a:ln w="25400" cap="rnd">
              <a:noFill/>
              <a:round/>
            </a:ln>
            <a:effectLst/>
          </c:spPr>
          <c:marker>
            <c:symbol val="circle"/>
            <c:size val="8"/>
            <c:spPr>
              <a:solidFill>
                <a:srgbClr val="5064E6"/>
              </a:solidFill>
              <a:ln w="12700">
                <a:solidFill>
                  <a:srgbClr val="5064E6"/>
                </a:solidFill>
              </a:ln>
              <a:effectLst/>
            </c:spPr>
          </c:marker>
          <c:dLbls>
            <c:delete val="1"/>
          </c:dLbls>
          <c:xVal>
            <c:numRef>
              <c:f>CCA_Map!$G$3:$G$7</c:f>
              <c:numCache>
                <c:formatCode>0.0000</c:formatCode>
                <c:ptCount val="5"/>
                <c:pt idx="0">
                  <c:v>-5.0904252845738011E-2</c:v>
                </c:pt>
                <c:pt idx="1">
                  <c:v>-1.5523184713882787E-2</c:v>
                </c:pt>
                <c:pt idx="2">
                  <c:v>9.9122963629280317E-2</c:v>
                </c:pt>
                <c:pt idx="3">
                  <c:v>-0.36330771369134168</c:v>
                </c:pt>
                <c:pt idx="4">
                  <c:v>0.29081452698364163</c:v>
                </c:pt>
              </c:numCache>
            </c:numRef>
          </c:xVal>
          <c:yVal>
            <c:numRef>
              <c:f>CCA_Map!$H$3:$H$7</c:f>
              <c:numCache>
                <c:formatCode>0.0000</c:formatCode>
                <c:ptCount val="5"/>
                <c:pt idx="0">
                  <c:v>2.1834292602678287E-2</c:v>
                </c:pt>
                <c:pt idx="1">
                  <c:v>-0.19041671170184776</c:v>
                </c:pt>
                <c:pt idx="2">
                  <c:v>-8.2914952929871916E-2</c:v>
                </c:pt>
                <c:pt idx="3">
                  <c:v>0.1854866146645861</c:v>
                </c:pt>
                <c:pt idx="4">
                  <c:v>0.1802386548756649</c:v>
                </c:pt>
              </c:numCache>
            </c:numRef>
          </c:yVal>
          <c:smooth val="0"/>
          <c:extLst>
            <c:ext xmlns:c16="http://schemas.microsoft.com/office/drawing/2014/chart" uri="{C3380CC4-5D6E-409C-BE32-E72D297353CC}">
              <c16:uniqueId val="{00000000-9FF8-4EDD-8E78-128BB46F5FE2}"/>
            </c:ext>
          </c:extLst>
        </c:ser>
        <c:ser>
          <c:idx val="0"/>
          <c:order val="1"/>
          <c:tx>
            <c:v>pH</c:v>
          </c:tx>
          <c:spPr>
            <a:ln w="25400" cap="rnd">
              <a:solidFill>
                <a:srgbClr val="F04646"/>
              </a:solidFill>
              <a:round/>
              <a:tailEnd type="stealth" w="lg" len="lg"/>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9FF8-4EDD-8E78-128BB46F5FE2}"/>
                </c:ext>
              </c:extLst>
            </c:dLbl>
            <c:dLbl>
              <c:idx val="1"/>
              <c:layout>
                <c:manualLayout>
                  <c:x val="-1.0926246545101721E-2"/>
                  <c:y val="-2.5169215077219136E-3"/>
                </c:manualLayout>
              </c:layout>
              <c:tx>
                <c:rich>
                  <a:bodyPr rot="0" spcFirstLastPara="1" vertOverflow="ellipsis" vert="horz" wrap="square" lIns="38100" tIns="19050" rIns="38100" bIns="19050" anchor="ctr" anchorCtr="1">
                    <a:spAutoFit/>
                  </a:bodyPr>
                  <a:lstStyle/>
                  <a:p>
                    <a:pPr>
                      <a:defRPr sz="1200" b="0" i="0" u="none" strike="noStrike" kern="1200" baseline="0">
                        <a:solidFill>
                          <a:srgbClr val="F04646"/>
                        </a:solidFill>
                        <a:latin typeface="Times New Roman" panose="02020603050405020304" pitchFamily="18" charset="0"/>
                        <a:ea typeface="+mn-ea"/>
                        <a:cs typeface="Times New Roman" panose="02020603050405020304" pitchFamily="18" charset="0"/>
                      </a:defRPr>
                    </a:pPr>
                    <a:r>
                      <a:rPr lang="en-US" sz="1200">
                        <a:solidFill>
                          <a:srgbClr val="F04646"/>
                        </a:solidFill>
                      </a:rPr>
                      <a:t>pH</a:t>
                    </a:r>
                  </a:p>
                </c:rich>
              </c:tx>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F04646"/>
                      </a:solidFill>
                      <a:latin typeface="Times New Roman" panose="02020603050405020304" pitchFamily="18" charset="0"/>
                      <a:ea typeface="+mn-ea"/>
                      <a:cs typeface="Times New Roman" panose="02020603050405020304" pitchFamily="18" charset="0"/>
                    </a:defRPr>
                  </a:pPr>
                  <a:endParaRPr lang="en-US"/>
                </a:p>
              </c:txPr>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FF8-4EDD-8E78-128BB46F5FE2}"/>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CCA_Map!$B$3:$B$4</c:f>
              <c:numCache>
                <c:formatCode>0.0000</c:formatCode>
                <c:ptCount val="2"/>
                <c:pt idx="0">
                  <c:v>0</c:v>
                </c:pt>
                <c:pt idx="1">
                  <c:v>0.56163413015560182</c:v>
                </c:pt>
              </c:numCache>
            </c:numRef>
          </c:xVal>
          <c:yVal>
            <c:numRef>
              <c:f>CCA_Map!$C$3:$C$4</c:f>
              <c:numCache>
                <c:formatCode>0.0000</c:formatCode>
                <c:ptCount val="2"/>
                <c:pt idx="0">
                  <c:v>0</c:v>
                </c:pt>
                <c:pt idx="1">
                  <c:v>-0.13597790558681391</c:v>
                </c:pt>
              </c:numCache>
            </c:numRef>
          </c:yVal>
          <c:smooth val="0"/>
          <c:extLst>
            <c:ext xmlns:c16="http://schemas.microsoft.com/office/drawing/2014/chart" uri="{C3380CC4-5D6E-409C-BE32-E72D297353CC}">
              <c16:uniqueId val="{00000003-9FF8-4EDD-8E78-128BB46F5FE2}"/>
            </c:ext>
          </c:extLst>
        </c:ser>
        <c:ser>
          <c:idx val="1"/>
          <c:order val="2"/>
          <c:tx>
            <c:v>Water temperature</c:v>
          </c:tx>
          <c:spPr>
            <a:ln w="25400" cap="rnd">
              <a:solidFill>
                <a:srgbClr val="F04646"/>
              </a:solidFill>
              <a:round/>
              <a:tailEnd type="stealth" w="lg" len="lg"/>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4-9FF8-4EDD-8E78-128BB46F5FE2}"/>
                </c:ext>
              </c:extLst>
            </c:dLbl>
            <c:dLbl>
              <c:idx val="1"/>
              <c:layout>
                <c:manualLayout>
                  <c:x val="-6.5902145708804941E-2"/>
                  <c:y val="5.0897746045042054E-2"/>
                </c:manualLayout>
              </c:layout>
              <c:tx>
                <c:rich>
                  <a:bodyPr rot="0" spcFirstLastPara="1" vertOverflow="ellipsis" vert="horz" wrap="square" lIns="38100" tIns="19050" rIns="38100" bIns="19050" anchor="ctr" anchorCtr="1">
                    <a:spAutoFit/>
                  </a:bodyPr>
                  <a:lstStyle/>
                  <a:p>
                    <a:pPr>
                      <a:defRPr sz="1200" b="0" i="0" u="none" strike="noStrike" kern="1200" baseline="0">
                        <a:solidFill>
                          <a:srgbClr val="F04646"/>
                        </a:solidFill>
                        <a:latin typeface="Times New Roman" panose="02020603050405020304" pitchFamily="18" charset="0"/>
                        <a:ea typeface="+mn-ea"/>
                        <a:cs typeface="Times New Roman" panose="02020603050405020304" pitchFamily="18" charset="0"/>
                      </a:defRPr>
                    </a:pPr>
                    <a:r>
                      <a:rPr lang="en-US">
                        <a:solidFill>
                          <a:srgbClr val="F04646"/>
                        </a:solidFill>
                      </a:rPr>
                      <a:t>Water temperature</a:t>
                    </a:r>
                  </a:p>
                </c:rich>
              </c:tx>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F04646"/>
                      </a:solidFill>
                      <a:latin typeface="Times New Roman" panose="02020603050405020304" pitchFamily="18" charset="0"/>
                      <a:ea typeface="+mn-ea"/>
                      <a:cs typeface="Times New Roman" panose="02020603050405020304" pitchFamily="18" charset="0"/>
                    </a:defRPr>
                  </a:pPr>
                  <a:endParaRPr lang="en-US"/>
                </a:p>
              </c:txPr>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FF8-4EDD-8E78-128BB46F5FE2}"/>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CCA_Map!$B$5:$B$6</c:f>
              <c:numCache>
                <c:formatCode>0.0000</c:formatCode>
                <c:ptCount val="2"/>
                <c:pt idx="0">
                  <c:v>0</c:v>
                </c:pt>
                <c:pt idx="1">
                  <c:v>-0.86576184059887717</c:v>
                </c:pt>
              </c:numCache>
            </c:numRef>
          </c:xVal>
          <c:yVal>
            <c:numRef>
              <c:f>CCA_Map!$C$5:$C$6</c:f>
              <c:numCache>
                <c:formatCode>0.0000</c:formatCode>
                <c:ptCount val="2"/>
                <c:pt idx="0">
                  <c:v>0</c:v>
                </c:pt>
                <c:pt idx="1">
                  <c:v>-6.3295976939848522E-2</c:v>
                </c:pt>
              </c:numCache>
            </c:numRef>
          </c:yVal>
          <c:smooth val="0"/>
          <c:extLst>
            <c:ext xmlns:c16="http://schemas.microsoft.com/office/drawing/2014/chart" uri="{C3380CC4-5D6E-409C-BE32-E72D297353CC}">
              <c16:uniqueId val="{00000006-9FF8-4EDD-8E78-128BB46F5FE2}"/>
            </c:ext>
          </c:extLst>
        </c:ser>
        <c:ser>
          <c:idx val="4"/>
          <c:order val="3"/>
          <c:tx>
            <c:v>Free chlorine</c:v>
          </c:tx>
          <c:spPr>
            <a:ln w="25400" cap="rnd">
              <a:solidFill>
                <a:srgbClr val="F04646"/>
              </a:solidFill>
              <a:round/>
              <a:tailEnd type="stealth" w="lg" len="lg"/>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A-9FF8-4EDD-8E78-128BB46F5FE2}"/>
                </c:ext>
              </c:extLst>
            </c:dLbl>
            <c:dLbl>
              <c:idx val="1"/>
              <c:tx>
                <c:rich>
                  <a:bodyPr rot="0" spcFirstLastPara="1" vertOverflow="ellipsis" vert="horz" wrap="square" lIns="38100" tIns="19050" rIns="38100" bIns="19050" anchor="ctr" anchorCtr="1">
                    <a:spAutoFit/>
                  </a:bodyPr>
                  <a:lstStyle/>
                  <a:p>
                    <a:pPr>
                      <a:defRPr sz="1200" b="0" i="0" u="none" strike="noStrike" kern="1200" baseline="0">
                        <a:solidFill>
                          <a:srgbClr val="F04646"/>
                        </a:solidFill>
                        <a:latin typeface="Times New Roman" panose="02020603050405020304" pitchFamily="18" charset="0"/>
                        <a:ea typeface="+mn-ea"/>
                        <a:cs typeface="Times New Roman" panose="02020603050405020304" pitchFamily="18" charset="0"/>
                      </a:defRPr>
                    </a:pPr>
                    <a:r>
                      <a:rPr lang="en-US">
                        <a:solidFill>
                          <a:srgbClr val="F04646"/>
                        </a:solidFill>
                      </a:rPr>
                      <a:t>Free chlorine</a:t>
                    </a:r>
                  </a:p>
                </c:rich>
              </c:tx>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F04646"/>
                      </a:solidFill>
                      <a:latin typeface="Times New Roman" panose="02020603050405020304" pitchFamily="18" charset="0"/>
                      <a:ea typeface="+mn-ea"/>
                      <a:cs typeface="Times New Roman" panose="02020603050405020304" pitchFamily="18" charset="0"/>
                    </a:defRPr>
                  </a:pPr>
                  <a:endParaRPr lang="en-US"/>
                </a:p>
              </c:txPr>
              <c:dLblPos val="t"/>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9FF8-4EDD-8E78-128BB46F5FE2}"/>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CCA_Map!$B$7:$B$8</c:f>
              <c:numCache>
                <c:formatCode>0.0000</c:formatCode>
                <c:ptCount val="2"/>
                <c:pt idx="0">
                  <c:v>0</c:v>
                </c:pt>
                <c:pt idx="1">
                  <c:v>-0.11956700647237208</c:v>
                </c:pt>
              </c:numCache>
            </c:numRef>
          </c:xVal>
          <c:yVal>
            <c:numRef>
              <c:f>CCA_Map!$C$7:$C$8</c:f>
              <c:numCache>
                <c:formatCode>0.0000</c:formatCode>
                <c:ptCount val="2"/>
                <c:pt idx="0">
                  <c:v>0</c:v>
                </c:pt>
                <c:pt idx="1">
                  <c:v>0.46026096163739155</c:v>
                </c:pt>
              </c:numCache>
            </c:numRef>
          </c:yVal>
          <c:smooth val="0"/>
          <c:extLst>
            <c:ext xmlns:c16="http://schemas.microsoft.com/office/drawing/2014/chart" uri="{C3380CC4-5D6E-409C-BE32-E72D297353CC}">
              <c16:uniqueId val="{0000000C-9FF8-4EDD-8E78-128BB46F5FE2}"/>
            </c:ext>
          </c:extLst>
        </c:ser>
        <c:ser>
          <c:idx val="2"/>
          <c:order val="4"/>
          <c:tx>
            <c:v>Monochloramine</c:v>
          </c:tx>
          <c:spPr>
            <a:ln w="25400" cap="rnd">
              <a:solidFill>
                <a:srgbClr val="F04646"/>
              </a:solidFill>
              <a:round/>
              <a:tailEnd type="stealth" w="lg" len="lg"/>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E-9FF8-4EDD-8E78-128BB46F5FE2}"/>
                </c:ext>
              </c:extLst>
            </c:dLbl>
            <c:dLbl>
              <c:idx val="1"/>
              <c:layout>
                <c:manualLayout>
                  <c:x val="-0.26905141066667854"/>
                  <c:y val="-1.6499928874396587E-2"/>
                </c:manualLayout>
              </c:layout>
              <c:tx>
                <c:rich>
                  <a:bodyPr rot="0" spcFirstLastPara="1" vertOverflow="ellipsis" vert="horz" wrap="square" lIns="38100" tIns="19050" rIns="38100" bIns="19050" anchor="ctr" anchorCtr="1">
                    <a:spAutoFit/>
                  </a:bodyPr>
                  <a:lstStyle/>
                  <a:p>
                    <a:pPr>
                      <a:defRPr sz="1200" b="0" i="0" u="none" strike="noStrike" kern="1200" baseline="0">
                        <a:solidFill>
                          <a:srgbClr val="F04646"/>
                        </a:solidFill>
                        <a:latin typeface="Times New Roman" panose="02020603050405020304" pitchFamily="18" charset="0"/>
                        <a:ea typeface="+mn-ea"/>
                        <a:cs typeface="Times New Roman" panose="02020603050405020304" pitchFamily="18" charset="0"/>
                      </a:defRPr>
                    </a:pPr>
                    <a:r>
                      <a:rPr lang="en-US">
                        <a:solidFill>
                          <a:srgbClr val="F04646"/>
                        </a:solidFill>
                      </a:rPr>
                      <a:t>Monochloramine</a:t>
                    </a:r>
                  </a:p>
                </c:rich>
              </c:tx>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F04646"/>
                      </a:solidFill>
                      <a:latin typeface="Times New Roman" panose="02020603050405020304" pitchFamily="18" charset="0"/>
                      <a:ea typeface="+mn-ea"/>
                      <a:cs typeface="Times New Roman" panose="02020603050405020304" pitchFamily="18" charset="0"/>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manualLayout>
                      <c:w val="0.26000186931694264"/>
                      <c:h val="4.6982534810808094E-2"/>
                    </c:manualLayout>
                  </c15:layout>
                  <c15:showDataLabelsRange val="0"/>
                </c:ext>
                <c:ext xmlns:c16="http://schemas.microsoft.com/office/drawing/2014/chart" uri="{C3380CC4-5D6E-409C-BE32-E72D297353CC}">
                  <c16:uniqueId val="{0000001D-9FF8-4EDD-8E78-128BB46F5FE2}"/>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CCA_Map!$B$9:$B$10</c:f>
              <c:numCache>
                <c:formatCode>0.0000</c:formatCode>
                <c:ptCount val="2"/>
                <c:pt idx="0">
                  <c:v>0</c:v>
                </c:pt>
                <c:pt idx="1">
                  <c:v>-0.18484798263002969</c:v>
                </c:pt>
              </c:numCache>
            </c:numRef>
          </c:xVal>
          <c:yVal>
            <c:numRef>
              <c:f>CCA_Map!$C$9:$C$10</c:f>
              <c:numCache>
                <c:formatCode>0.0000</c:formatCode>
                <c:ptCount val="2"/>
                <c:pt idx="0">
                  <c:v>0</c:v>
                </c:pt>
                <c:pt idx="1">
                  <c:v>-0.90368954586926653</c:v>
                </c:pt>
              </c:numCache>
            </c:numRef>
          </c:yVal>
          <c:smooth val="0"/>
          <c:extLst>
            <c:ext xmlns:c16="http://schemas.microsoft.com/office/drawing/2014/chart" uri="{C3380CC4-5D6E-409C-BE32-E72D297353CC}">
              <c16:uniqueId val="{0000001C-9FF8-4EDD-8E78-128BB46F5FE2}"/>
            </c:ext>
          </c:extLst>
        </c:ser>
        <c:ser>
          <c:idx val="5"/>
          <c:order val="5"/>
          <c:tx>
            <c:v>Free ammonia</c:v>
          </c:tx>
          <c:spPr>
            <a:ln w="25400" cap="rnd">
              <a:solidFill>
                <a:srgbClr val="F04646"/>
              </a:solidFill>
              <a:round/>
              <a:tailEnd type="stealth" w="lg" len="lg"/>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D-9FF8-4EDD-8E78-128BB46F5FE2}"/>
                </c:ext>
              </c:extLst>
            </c:dLbl>
            <c:dLbl>
              <c:idx val="1"/>
              <c:layout>
                <c:manualLayout>
                  <c:x val="-4.0692181359349558E-2"/>
                  <c:y val="3.3838611381593928E-2"/>
                </c:manualLayout>
              </c:layout>
              <c:tx>
                <c:rich>
                  <a:bodyPr rot="0" spcFirstLastPara="1" vertOverflow="ellipsis" vert="horz" wrap="square" lIns="38100" tIns="19050" rIns="38100" bIns="19050" anchor="ctr" anchorCtr="1">
                    <a:spAutoFit/>
                  </a:bodyPr>
                  <a:lstStyle/>
                  <a:p>
                    <a:pPr>
                      <a:defRPr sz="1200" b="0" i="0" u="none" strike="noStrike" kern="1200" baseline="0">
                        <a:solidFill>
                          <a:srgbClr val="F04646"/>
                        </a:solidFill>
                        <a:latin typeface="Times New Roman" panose="02020603050405020304" pitchFamily="18" charset="0"/>
                        <a:ea typeface="+mn-ea"/>
                        <a:cs typeface="Times New Roman" panose="02020603050405020304" pitchFamily="18" charset="0"/>
                      </a:defRPr>
                    </a:pPr>
                    <a:r>
                      <a:rPr lang="en-US">
                        <a:solidFill>
                          <a:srgbClr val="F04646"/>
                        </a:solidFill>
                      </a:rPr>
                      <a:t>Free ammonia</a:t>
                    </a:r>
                  </a:p>
                </c:rich>
              </c:tx>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F04646"/>
                      </a:solidFill>
                      <a:latin typeface="Times New Roman" panose="02020603050405020304" pitchFamily="18" charset="0"/>
                      <a:ea typeface="+mn-ea"/>
                      <a:cs typeface="Times New Roman" panose="02020603050405020304" pitchFamily="18" charset="0"/>
                    </a:defRPr>
                  </a:pPr>
                  <a:endParaRPr lang="en-US"/>
                </a:p>
              </c:txPr>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9FF8-4EDD-8E78-128BB46F5FE2}"/>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CCA_Map!$B$11:$B$12</c:f>
              <c:numCache>
                <c:formatCode>0.0000</c:formatCode>
                <c:ptCount val="2"/>
                <c:pt idx="0">
                  <c:v>0</c:v>
                </c:pt>
                <c:pt idx="1">
                  <c:v>0.16858114143656336</c:v>
                </c:pt>
              </c:numCache>
            </c:numRef>
          </c:xVal>
          <c:yVal>
            <c:numRef>
              <c:f>CCA_Map!$C$11:$C$12</c:f>
              <c:numCache>
                <c:formatCode>0.0000</c:formatCode>
                <c:ptCount val="2"/>
                <c:pt idx="0">
                  <c:v>0</c:v>
                </c:pt>
                <c:pt idx="1">
                  <c:v>-0.13833340088916599</c:v>
                </c:pt>
              </c:numCache>
            </c:numRef>
          </c:yVal>
          <c:smooth val="0"/>
          <c:extLst>
            <c:ext xmlns:c16="http://schemas.microsoft.com/office/drawing/2014/chart" uri="{C3380CC4-5D6E-409C-BE32-E72D297353CC}">
              <c16:uniqueId val="{0000000F-9FF8-4EDD-8E78-128BB46F5FE2}"/>
            </c:ext>
          </c:extLst>
        </c:ser>
        <c:ser>
          <c:idx val="6"/>
          <c:order val="6"/>
          <c:tx>
            <c:v>Nitrite</c:v>
          </c:tx>
          <c:spPr>
            <a:ln w="25400" cap="rnd">
              <a:solidFill>
                <a:srgbClr val="F04646"/>
              </a:solidFill>
              <a:round/>
              <a:tailEnd type="stealth" w="lg" len="lg"/>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0-9FF8-4EDD-8E78-128BB46F5FE2}"/>
                </c:ext>
              </c:extLst>
            </c:dLbl>
            <c:dLbl>
              <c:idx val="1"/>
              <c:layout>
                <c:manualLayout>
                  <c:x val="-9.0806699275862227E-2"/>
                  <c:y val="-2.2092977678891904E-2"/>
                </c:manualLayout>
              </c:layout>
              <c:tx>
                <c:rich>
                  <a:bodyPr rot="0" spcFirstLastPara="1" vertOverflow="ellipsis" vert="horz" wrap="square" lIns="38100" tIns="19050" rIns="38100" bIns="19050" anchor="ctr" anchorCtr="1">
                    <a:spAutoFit/>
                  </a:bodyPr>
                  <a:lstStyle/>
                  <a:p>
                    <a:pPr>
                      <a:defRPr sz="1200" b="0" i="0" u="none" strike="noStrike" kern="1200" baseline="0">
                        <a:solidFill>
                          <a:srgbClr val="F04646"/>
                        </a:solidFill>
                        <a:latin typeface="Times New Roman" panose="02020603050405020304" pitchFamily="18" charset="0"/>
                        <a:ea typeface="+mn-ea"/>
                        <a:cs typeface="Times New Roman" panose="02020603050405020304" pitchFamily="18" charset="0"/>
                      </a:defRPr>
                    </a:pPr>
                    <a:r>
                      <a:rPr lang="en-US">
                        <a:solidFill>
                          <a:srgbClr val="F04646"/>
                        </a:solidFill>
                      </a:rPr>
                      <a:t>Nitrite</a:t>
                    </a:r>
                  </a:p>
                </c:rich>
              </c:tx>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F04646"/>
                      </a:solidFill>
                      <a:latin typeface="Times New Roman" panose="02020603050405020304" pitchFamily="18" charset="0"/>
                      <a:ea typeface="+mn-ea"/>
                      <a:cs typeface="Times New Roman" panose="02020603050405020304" pitchFamily="18" charset="0"/>
                    </a:defRPr>
                  </a:pPr>
                  <a:endParaRPr lang="en-US"/>
                </a:p>
              </c:txPr>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9FF8-4EDD-8E78-128BB46F5FE2}"/>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CCA_Map!$B$13:$B$14</c:f>
              <c:numCache>
                <c:formatCode>0.0000</c:formatCode>
                <c:ptCount val="2"/>
                <c:pt idx="0">
                  <c:v>0</c:v>
                </c:pt>
                <c:pt idx="1">
                  <c:v>-0.10154540805618478</c:v>
                </c:pt>
              </c:numCache>
            </c:numRef>
          </c:xVal>
          <c:yVal>
            <c:numRef>
              <c:f>CCA_Map!$C$13:$C$14</c:f>
              <c:numCache>
                <c:formatCode>0.0000</c:formatCode>
                <c:ptCount val="2"/>
                <c:pt idx="0">
                  <c:v>0</c:v>
                </c:pt>
                <c:pt idx="1">
                  <c:v>0.23795021029334737</c:v>
                </c:pt>
              </c:numCache>
            </c:numRef>
          </c:yVal>
          <c:smooth val="0"/>
          <c:extLst>
            <c:ext xmlns:c16="http://schemas.microsoft.com/office/drawing/2014/chart" uri="{C3380CC4-5D6E-409C-BE32-E72D297353CC}">
              <c16:uniqueId val="{00000012-9FF8-4EDD-8E78-128BB46F5FE2}"/>
            </c:ext>
          </c:extLst>
        </c:ser>
        <c:ser>
          <c:idx val="8"/>
          <c:order val="7"/>
          <c:tx>
            <c:v>Orthophosphate</c:v>
          </c:tx>
          <c:spPr>
            <a:ln w="25400" cap="rnd">
              <a:solidFill>
                <a:srgbClr val="F04646"/>
              </a:solidFill>
              <a:round/>
              <a:tailEnd type="stealth" w="lg" len="lg"/>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6-9FF8-4EDD-8E78-128BB46F5FE2}"/>
                </c:ext>
              </c:extLst>
            </c:dLbl>
            <c:dLbl>
              <c:idx val="1"/>
              <c:tx>
                <c:rich>
                  <a:bodyPr rot="0" spcFirstLastPara="1" vertOverflow="ellipsis" vert="horz" wrap="square" lIns="38100" tIns="19050" rIns="38100" bIns="19050" anchor="ctr" anchorCtr="1">
                    <a:spAutoFit/>
                  </a:bodyPr>
                  <a:lstStyle/>
                  <a:p>
                    <a:pPr>
                      <a:defRPr sz="1200" b="0" i="0" u="none" strike="noStrike" kern="1200" baseline="0">
                        <a:solidFill>
                          <a:srgbClr val="F04646"/>
                        </a:solidFill>
                        <a:latin typeface="Times New Roman" panose="02020603050405020304" pitchFamily="18" charset="0"/>
                        <a:ea typeface="+mn-ea"/>
                        <a:cs typeface="Times New Roman" panose="02020603050405020304" pitchFamily="18" charset="0"/>
                      </a:defRPr>
                    </a:pPr>
                    <a:r>
                      <a:rPr lang="en-US">
                        <a:solidFill>
                          <a:srgbClr val="F04646"/>
                        </a:solidFill>
                      </a:rPr>
                      <a:t>Orthophosphate</a:t>
                    </a:r>
                  </a:p>
                </c:rich>
              </c:tx>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F04646"/>
                      </a:solidFill>
                      <a:latin typeface="Times New Roman" panose="02020603050405020304" pitchFamily="18" charset="0"/>
                      <a:ea typeface="+mn-ea"/>
                      <a:cs typeface="Times New Roman" panose="02020603050405020304" pitchFamily="18" charset="0"/>
                    </a:defRPr>
                  </a:pPr>
                  <a:endParaRPr lang="en-US"/>
                </a:p>
              </c:txPr>
              <c:dLblPos val="t"/>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9FF8-4EDD-8E78-128BB46F5FE2}"/>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CCA_Map!$B$15:$B$16</c:f>
              <c:numCache>
                <c:formatCode>0.0000</c:formatCode>
                <c:ptCount val="2"/>
                <c:pt idx="0">
                  <c:v>0</c:v>
                </c:pt>
                <c:pt idx="1">
                  <c:v>0.47616178029092177</c:v>
                </c:pt>
              </c:numCache>
            </c:numRef>
          </c:xVal>
          <c:yVal>
            <c:numRef>
              <c:f>CCA_Map!$C$15:$C$16</c:f>
              <c:numCache>
                <c:formatCode>0.0000</c:formatCode>
                <c:ptCount val="2"/>
                <c:pt idx="0">
                  <c:v>0</c:v>
                </c:pt>
                <c:pt idx="1">
                  <c:v>0.62600990071668161</c:v>
                </c:pt>
              </c:numCache>
            </c:numRef>
          </c:yVal>
          <c:smooth val="0"/>
          <c:extLst>
            <c:ext xmlns:c16="http://schemas.microsoft.com/office/drawing/2014/chart" uri="{C3380CC4-5D6E-409C-BE32-E72D297353CC}">
              <c16:uniqueId val="{00000018-9FF8-4EDD-8E78-128BB46F5FE2}"/>
            </c:ext>
          </c:extLst>
        </c:ser>
        <c:ser>
          <c:idx val="9"/>
          <c:order val="8"/>
          <c:tx>
            <c:v>x-axis</c:v>
          </c:tx>
          <c:spPr>
            <a:ln w="19050" cap="rnd">
              <a:solidFill>
                <a:schemeClr val="tx1"/>
              </a:solidFill>
              <a:prstDash val="dash"/>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F-9FF8-4EDD-8E78-128BB46F5FE2}"/>
                </c:ext>
              </c:extLst>
            </c:dLbl>
            <c:dLbl>
              <c:idx val="1"/>
              <c:delete val="1"/>
              <c:extLst>
                <c:ext xmlns:c15="http://schemas.microsoft.com/office/drawing/2012/chart" uri="{CE6537A1-D6FC-4f65-9D91-7224C49458BB}"/>
                <c:ext xmlns:c16="http://schemas.microsoft.com/office/drawing/2014/chart" uri="{C3380CC4-5D6E-409C-BE32-E72D297353CC}">
                  <c16:uniqueId val="{00000021-9FF8-4EDD-8E78-128BB46F5FE2}"/>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CCA_Map!$G$10:$G$11</c:f>
              <c:numCache>
                <c:formatCode>0.0000</c:formatCode>
                <c:ptCount val="2"/>
                <c:pt idx="0">
                  <c:v>-1</c:v>
                </c:pt>
                <c:pt idx="1">
                  <c:v>0.8</c:v>
                </c:pt>
              </c:numCache>
            </c:numRef>
          </c:xVal>
          <c:yVal>
            <c:numRef>
              <c:f>CCA_Map!$H$10:$H$11</c:f>
              <c:numCache>
                <c:formatCode>0.0000</c:formatCode>
                <c:ptCount val="2"/>
                <c:pt idx="0">
                  <c:v>0</c:v>
                </c:pt>
                <c:pt idx="1">
                  <c:v>0</c:v>
                </c:pt>
              </c:numCache>
            </c:numRef>
          </c:yVal>
          <c:smooth val="0"/>
          <c:extLst>
            <c:ext xmlns:c16="http://schemas.microsoft.com/office/drawing/2014/chart" uri="{C3380CC4-5D6E-409C-BE32-E72D297353CC}">
              <c16:uniqueId val="{00000019-9FF8-4EDD-8E78-128BB46F5FE2}"/>
            </c:ext>
          </c:extLst>
        </c:ser>
        <c:ser>
          <c:idx val="10"/>
          <c:order val="9"/>
          <c:tx>
            <c:v>y-axis</c:v>
          </c:tx>
          <c:spPr>
            <a:ln w="19050" cap="rnd">
              <a:solidFill>
                <a:schemeClr val="tx1"/>
              </a:solidFill>
              <a:prstDash val="dash"/>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20-9FF8-4EDD-8E78-128BB46F5FE2}"/>
                </c:ext>
              </c:extLst>
            </c:dLbl>
            <c:dLbl>
              <c:idx val="1"/>
              <c:delete val="1"/>
              <c:extLst>
                <c:ext xmlns:c15="http://schemas.microsoft.com/office/drawing/2012/chart" uri="{CE6537A1-D6FC-4f65-9D91-7224C49458BB}"/>
                <c:ext xmlns:c16="http://schemas.microsoft.com/office/drawing/2014/chart" uri="{C3380CC4-5D6E-409C-BE32-E72D297353CC}">
                  <c16:uniqueId val="{00000022-9FF8-4EDD-8E78-128BB46F5FE2}"/>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CCA_Map!$G$12:$G$13</c:f>
              <c:numCache>
                <c:formatCode>0.0000</c:formatCode>
                <c:ptCount val="2"/>
                <c:pt idx="0">
                  <c:v>0</c:v>
                </c:pt>
                <c:pt idx="1">
                  <c:v>0</c:v>
                </c:pt>
              </c:numCache>
            </c:numRef>
          </c:xVal>
          <c:yVal>
            <c:numRef>
              <c:f>CCA_Map!$H$12:$H$13</c:f>
              <c:numCache>
                <c:formatCode>0.0000</c:formatCode>
                <c:ptCount val="2"/>
                <c:pt idx="0">
                  <c:v>-1</c:v>
                </c:pt>
                <c:pt idx="1">
                  <c:v>0.8</c:v>
                </c:pt>
              </c:numCache>
            </c:numRef>
          </c:yVal>
          <c:smooth val="0"/>
          <c:extLst>
            <c:ext xmlns:c16="http://schemas.microsoft.com/office/drawing/2014/chart" uri="{C3380CC4-5D6E-409C-BE32-E72D297353CC}">
              <c16:uniqueId val="{0000001A-9FF8-4EDD-8E78-128BB46F5FE2}"/>
            </c:ext>
          </c:extLst>
        </c:ser>
        <c:dLbls>
          <c:dLblPos val="t"/>
          <c:showLegendKey val="0"/>
          <c:showVal val="1"/>
          <c:showCatName val="0"/>
          <c:showSerName val="0"/>
          <c:showPercent val="0"/>
          <c:showBubbleSize val="0"/>
        </c:dLbls>
        <c:axId val="403941288"/>
        <c:axId val="403917672"/>
      </c:scatterChart>
      <c:valAx>
        <c:axId val="403941288"/>
        <c:scaling>
          <c:orientation val="minMax"/>
          <c:max val="0.8"/>
          <c:min val="-1"/>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CCA1 (CI 49.74%, TI 9.53%)</a:t>
                </a:r>
              </a:p>
            </c:rich>
          </c:tx>
          <c:layout>
            <c:manualLayout>
              <c:xMode val="edge"/>
              <c:yMode val="edge"/>
              <c:x val="0.39785997109175708"/>
              <c:y val="0.94951730232117781"/>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0" sourceLinked="0"/>
        <c:majorTickMark val="out"/>
        <c:minorTickMark val="in"/>
        <c:tickLblPos val="nextTo"/>
        <c:spPr>
          <a:solidFill>
            <a:schemeClr val="bg1"/>
          </a:solidFill>
          <a:ln w="1905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03917672"/>
        <c:crossesAt val="-1"/>
        <c:crossBetween val="midCat"/>
        <c:majorUnit val="0.30000000000000004"/>
        <c:minorUnit val="0.1"/>
      </c:valAx>
      <c:valAx>
        <c:axId val="403917672"/>
        <c:scaling>
          <c:orientation val="minMax"/>
          <c:max val="0.8"/>
          <c:min val="-1"/>
        </c:scaling>
        <c:delete val="0"/>
        <c:axPos val="l"/>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CCA2 (CI 30.18%, TI 5.78%)</a:t>
                </a:r>
              </a:p>
            </c:rich>
          </c:tx>
          <c:layout>
            <c:manualLayout>
              <c:xMode val="edge"/>
              <c:yMode val="edge"/>
              <c:x val="6.6025661742194806E-5"/>
              <c:y val="0.2398425812031986"/>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0" sourceLinked="0"/>
        <c:majorTickMark val="out"/>
        <c:minorTickMark val="in"/>
        <c:tickLblPos val="nextTo"/>
        <c:spPr>
          <a:noFill/>
          <a:ln w="19050" cap="flat" cmpd="sng" algn="ctr">
            <a:solidFill>
              <a:srgbClr val="282828"/>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03941288"/>
        <c:crossesAt val="-1"/>
        <c:crossBetween val="midCat"/>
        <c:majorUnit val="0.30000000000000004"/>
        <c:minorUnit val="0.1"/>
      </c:valAx>
      <c:spPr>
        <a:noFill/>
        <a:ln w="19050">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04646"/>
      </a:solid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13278008298755"/>
          <c:y val="3.6235046109691547E-2"/>
          <c:w val="0.77921161825726137"/>
          <c:h val="0.75850914427279748"/>
        </c:manualLayout>
      </c:layout>
      <c:scatterChart>
        <c:scatterStyle val="lineMarker"/>
        <c:varyColors val="0"/>
        <c:ser>
          <c:idx val="0"/>
          <c:order val="0"/>
          <c:tx>
            <c:v>Orthophosphate</c:v>
          </c:tx>
          <c:spPr>
            <a:ln w="25400" cap="rnd">
              <a:noFill/>
              <a:round/>
            </a:ln>
            <a:effectLst/>
          </c:spPr>
          <c:marker>
            <c:symbol val="circle"/>
            <c:size val="6"/>
            <c:spPr>
              <a:noFill/>
              <a:ln w="12700">
                <a:solidFill>
                  <a:srgbClr val="5064E6">
                    <a:alpha val="95000"/>
                  </a:srgbClr>
                </a:solidFill>
              </a:ln>
              <a:effectLst/>
            </c:spPr>
          </c:marker>
          <c:trendline>
            <c:spPr>
              <a:ln w="25400" cap="rnd" cmpd="sng">
                <a:solidFill>
                  <a:srgbClr val="F04646"/>
                </a:solidFill>
                <a:prstDash val="dash"/>
              </a:ln>
              <a:effectLst/>
            </c:spPr>
            <c:trendlineType val="linear"/>
            <c:dispRSqr val="1"/>
            <c:dispEq val="1"/>
            <c:trendlineLbl>
              <c:layout>
                <c:manualLayout>
                  <c:x val="2.3959666001806532E-2"/>
                  <c:y val="-0.48305751972397737"/>
                </c:manualLayout>
              </c:layout>
              <c:tx>
                <c:rich>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i="1" baseline="0">
                        <a:solidFill>
                          <a:srgbClr val="F04646"/>
                        </a:solidFill>
                      </a:rPr>
                      <a:t>y</a:t>
                    </a:r>
                    <a:r>
                      <a:rPr lang="en-US" baseline="0">
                        <a:solidFill>
                          <a:srgbClr val="F04646"/>
                        </a:solidFill>
                      </a:rPr>
                      <a:t> = -0.104</a:t>
                    </a:r>
                    <a:r>
                      <a:rPr lang="en-US" i="1" baseline="0">
                        <a:solidFill>
                          <a:srgbClr val="F04646"/>
                        </a:solidFill>
                      </a:rPr>
                      <a:t>x</a:t>
                    </a:r>
                    <a:r>
                      <a:rPr lang="en-US" baseline="0">
                        <a:solidFill>
                          <a:srgbClr val="F04646"/>
                        </a:solidFill>
                      </a:rPr>
                      <a:t> + 0.653</a:t>
                    </a:r>
                    <a:br>
                      <a:rPr lang="en-US" baseline="0">
                        <a:solidFill>
                          <a:srgbClr val="F04646"/>
                        </a:solidFill>
                      </a:rPr>
                    </a:br>
                    <a:r>
                      <a:rPr lang="en-US" baseline="0">
                        <a:solidFill>
                          <a:srgbClr val="F04646"/>
                        </a:solidFill>
                      </a:rPr>
                      <a:t>Adjusted </a:t>
                    </a:r>
                    <a:r>
                      <a:rPr lang="en-US" i="1" baseline="0">
                        <a:solidFill>
                          <a:srgbClr val="F04646"/>
                        </a:solidFill>
                      </a:rPr>
                      <a:t>R</a:t>
                    </a:r>
                    <a:r>
                      <a:rPr lang="en-US" baseline="0">
                        <a:solidFill>
                          <a:srgbClr val="F04646"/>
                        </a:solidFill>
                      </a:rPr>
                      <a:t>² = 0.522, </a:t>
                    </a:r>
                    <a:r>
                      <a:rPr lang="en-US" i="1" baseline="0">
                        <a:solidFill>
                          <a:srgbClr val="F04646"/>
                        </a:solidFill>
                      </a:rPr>
                      <a:t>p</a:t>
                    </a:r>
                    <a:r>
                      <a:rPr lang="en-US" baseline="0">
                        <a:solidFill>
                          <a:srgbClr val="F04646"/>
                        </a:solidFill>
                      </a:rPr>
                      <a:t> &lt; 0.001 </a:t>
                    </a:r>
                    <a:endParaRPr lang="en-US">
                      <a:solidFill>
                        <a:srgbClr val="F04646"/>
                      </a:solidFill>
                    </a:endParaRPr>
                  </a:p>
                </c:rich>
              </c:tx>
              <c:numFmt formatCode="General"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rendlineLbl>
          </c:trendline>
          <c:xVal>
            <c:numRef>
              <c:f>Physicochemical_Managed!$U$2:$U$207</c:f>
              <c:numCache>
                <c:formatCode>0.000</c:formatCode>
                <c:ptCount val="206"/>
                <c:pt idx="0">
                  <c:v>3.6300000000000003</c:v>
                </c:pt>
                <c:pt idx="1">
                  <c:v>3.68</c:v>
                </c:pt>
                <c:pt idx="2">
                  <c:v>3.64</c:v>
                </c:pt>
                <c:pt idx="3">
                  <c:v>3.86</c:v>
                </c:pt>
                <c:pt idx="4">
                  <c:v>3.95</c:v>
                </c:pt>
                <c:pt idx="5">
                  <c:v>3.86</c:v>
                </c:pt>
                <c:pt idx="6">
                  <c:v>3.83</c:v>
                </c:pt>
                <c:pt idx="7">
                  <c:v>3.64</c:v>
                </c:pt>
                <c:pt idx="8">
                  <c:v>4.08</c:v>
                </c:pt>
                <c:pt idx="9">
                  <c:v>3.89</c:v>
                </c:pt>
                <c:pt idx="10">
                  <c:v>3.83</c:v>
                </c:pt>
                <c:pt idx="11">
                  <c:v>3.46</c:v>
                </c:pt>
                <c:pt idx="12">
                  <c:v>3.53</c:v>
                </c:pt>
                <c:pt idx="13">
                  <c:v>3.67</c:v>
                </c:pt>
                <c:pt idx="14">
                  <c:v>3.82</c:v>
                </c:pt>
                <c:pt idx="15">
                  <c:v>4.0599999999999996</c:v>
                </c:pt>
                <c:pt idx="16">
                  <c:v>3.57</c:v>
                </c:pt>
                <c:pt idx="17">
                  <c:v>3.89</c:v>
                </c:pt>
                <c:pt idx="18">
                  <c:v>3.82</c:v>
                </c:pt>
                <c:pt idx="19">
                  <c:v>3.94</c:v>
                </c:pt>
                <c:pt idx="20">
                  <c:v>2.7566666666666664</c:v>
                </c:pt>
                <c:pt idx="21">
                  <c:v>2.89</c:v>
                </c:pt>
                <c:pt idx="22">
                  <c:v>2.61</c:v>
                </c:pt>
                <c:pt idx="23">
                  <c:v>2.25</c:v>
                </c:pt>
                <c:pt idx="24">
                  <c:v>2.34</c:v>
                </c:pt>
                <c:pt idx="25">
                  <c:v>2.25</c:v>
                </c:pt>
                <c:pt idx="26">
                  <c:v>2.72</c:v>
                </c:pt>
                <c:pt idx="27">
                  <c:v>2.42</c:v>
                </c:pt>
                <c:pt idx="28">
                  <c:v>2.92</c:v>
                </c:pt>
                <c:pt idx="29">
                  <c:v>2.8</c:v>
                </c:pt>
                <c:pt idx="30">
                  <c:v>2.78</c:v>
                </c:pt>
                <c:pt idx="31">
                  <c:v>2.81</c:v>
                </c:pt>
                <c:pt idx="32">
                  <c:v>2.73</c:v>
                </c:pt>
                <c:pt idx="33">
                  <c:v>0.04</c:v>
                </c:pt>
                <c:pt idx="34">
                  <c:v>2.48</c:v>
                </c:pt>
                <c:pt idx="35">
                  <c:v>2.35</c:v>
                </c:pt>
                <c:pt idx="36">
                  <c:v>2.36</c:v>
                </c:pt>
                <c:pt idx="37">
                  <c:v>1.21</c:v>
                </c:pt>
                <c:pt idx="38">
                  <c:v>1.7599999999999998</c:v>
                </c:pt>
                <c:pt idx="39">
                  <c:v>0.13</c:v>
                </c:pt>
                <c:pt idx="40">
                  <c:v>2.52</c:v>
                </c:pt>
                <c:pt idx="41">
                  <c:v>2.2200000000000002</c:v>
                </c:pt>
                <c:pt idx="42">
                  <c:v>2.13</c:v>
                </c:pt>
                <c:pt idx="43">
                  <c:v>2.23</c:v>
                </c:pt>
                <c:pt idx="44">
                  <c:v>2.34</c:v>
                </c:pt>
                <c:pt idx="45">
                  <c:v>2.2599999999999998</c:v>
                </c:pt>
                <c:pt idx="46">
                  <c:v>2.74</c:v>
                </c:pt>
                <c:pt idx="47">
                  <c:v>2.5499999999999998</c:v>
                </c:pt>
                <c:pt idx="48">
                  <c:v>2.56</c:v>
                </c:pt>
                <c:pt idx="49">
                  <c:v>2.73</c:v>
                </c:pt>
                <c:pt idx="50">
                  <c:v>2.4300000000000002</c:v>
                </c:pt>
                <c:pt idx="51">
                  <c:v>1.02</c:v>
                </c:pt>
                <c:pt idx="52">
                  <c:v>1.91</c:v>
                </c:pt>
                <c:pt idx="53">
                  <c:v>1.82</c:v>
                </c:pt>
                <c:pt idx="54">
                  <c:v>1.8</c:v>
                </c:pt>
                <c:pt idx="55">
                  <c:v>1.19</c:v>
                </c:pt>
                <c:pt idx="56">
                  <c:v>1.0899999999999999</c:v>
                </c:pt>
                <c:pt idx="57">
                  <c:v>0.84</c:v>
                </c:pt>
                <c:pt idx="58">
                  <c:v>1.18</c:v>
                </c:pt>
                <c:pt idx="59">
                  <c:v>0.85</c:v>
                </c:pt>
                <c:pt idx="60">
                  <c:v>1.17</c:v>
                </c:pt>
                <c:pt idx="61">
                  <c:v>0.54</c:v>
                </c:pt>
                <c:pt idx="62">
                  <c:v>0.76</c:v>
                </c:pt>
                <c:pt idx="63">
                  <c:v>0.86</c:v>
                </c:pt>
                <c:pt idx="64">
                  <c:v>1.03</c:v>
                </c:pt>
                <c:pt idx="65">
                  <c:v>2.65</c:v>
                </c:pt>
                <c:pt idx="66">
                  <c:v>2.3199999999999998</c:v>
                </c:pt>
                <c:pt idx="67">
                  <c:v>0.84</c:v>
                </c:pt>
                <c:pt idx="68">
                  <c:v>1.36</c:v>
                </c:pt>
                <c:pt idx="69">
                  <c:v>1.89</c:v>
                </c:pt>
                <c:pt idx="70">
                  <c:v>1.54</c:v>
                </c:pt>
                <c:pt idx="71">
                  <c:v>0.82</c:v>
                </c:pt>
                <c:pt idx="72">
                  <c:v>0.98</c:v>
                </c:pt>
                <c:pt idx="73">
                  <c:v>0.77</c:v>
                </c:pt>
                <c:pt idx="74">
                  <c:v>0.64</c:v>
                </c:pt>
                <c:pt idx="75">
                  <c:v>1.7566666666666666</c:v>
                </c:pt>
                <c:pt idx="76">
                  <c:v>1.45</c:v>
                </c:pt>
                <c:pt idx="77">
                  <c:v>1.39</c:v>
                </c:pt>
                <c:pt idx="78">
                  <c:v>1.31</c:v>
                </c:pt>
                <c:pt idx="79">
                  <c:v>1.7949999999999999</c:v>
                </c:pt>
                <c:pt idx="80">
                  <c:v>1.34</c:v>
                </c:pt>
                <c:pt idx="81">
                  <c:v>1.75</c:v>
                </c:pt>
                <c:pt idx="82">
                  <c:v>1.68</c:v>
                </c:pt>
                <c:pt idx="83">
                  <c:v>1.51</c:v>
                </c:pt>
                <c:pt idx="84">
                  <c:v>1.46</c:v>
                </c:pt>
                <c:pt idx="85">
                  <c:v>1.2850000000000001</c:v>
                </c:pt>
                <c:pt idx="86">
                  <c:v>1.1100000000000001</c:v>
                </c:pt>
                <c:pt idx="87">
                  <c:v>0.85499999999999998</c:v>
                </c:pt>
                <c:pt idx="88">
                  <c:v>0.99</c:v>
                </c:pt>
                <c:pt idx="89">
                  <c:v>2.3849999999999998</c:v>
                </c:pt>
                <c:pt idx="90">
                  <c:v>1.02</c:v>
                </c:pt>
                <c:pt idx="91">
                  <c:v>1.895</c:v>
                </c:pt>
                <c:pt idx="92">
                  <c:v>1.21</c:v>
                </c:pt>
                <c:pt idx="93">
                  <c:v>1.7050000000000001</c:v>
                </c:pt>
                <c:pt idx="94">
                  <c:v>2.12</c:v>
                </c:pt>
                <c:pt idx="95">
                  <c:v>1.835</c:v>
                </c:pt>
                <c:pt idx="96">
                  <c:v>2.39</c:v>
                </c:pt>
                <c:pt idx="97">
                  <c:v>2.2000000000000002</c:v>
                </c:pt>
                <c:pt idx="98">
                  <c:v>1.35</c:v>
                </c:pt>
                <c:pt idx="99">
                  <c:v>1.335</c:v>
                </c:pt>
                <c:pt idx="100">
                  <c:v>0.84</c:v>
                </c:pt>
                <c:pt idx="101">
                  <c:v>0.8</c:v>
                </c:pt>
                <c:pt idx="102">
                  <c:v>1.26</c:v>
                </c:pt>
                <c:pt idx="103">
                  <c:v>1.095</c:v>
                </c:pt>
                <c:pt idx="104">
                  <c:v>0.41</c:v>
                </c:pt>
                <c:pt idx="105">
                  <c:v>1.2850000000000001</c:v>
                </c:pt>
                <c:pt idx="106">
                  <c:v>0.55000000000000004</c:v>
                </c:pt>
                <c:pt idx="107">
                  <c:v>0.64500000000000002</c:v>
                </c:pt>
                <c:pt idx="108">
                  <c:v>2.95</c:v>
                </c:pt>
                <c:pt idx="109">
                  <c:v>2.69</c:v>
                </c:pt>
                <c:pt idx="110">
                  <c:v>2.69</c:v>
                </c:pt>
                <c:pt idx="111">
                  <c:v>1.79</c:v>
                </c:pt>
                <c:pt idx="112">
                  <c:v>1.95</c:v>
                </c:pt>
                <c:pt idx="113">
                  <c:v>2.86</c:v>
                </c:pt>
                <c:pt idx="114">
                  <c:v>2.85</c:v>
                </c:pt>
                <c:pt idx="115">
                  <c:v>2.9950000000000001</c:v>
                </c:pt>
                <c:pt idx="116">
                  <c:v>2.4300000000000002</c:v>
                </c:pt>
                <c:pt idx="117">
                  <c:v>2.56</c:v>
                </c:pt>
                <c:pt idx="118">
                  <c:v>2.52</c:v>
                </c:pt>
                <c:pt idx="119">
                  <c:v>2.87</c:v>
                </c:pt>
                <c:pt idx="120">
                  <c:v>0.39</c:v>
                </c:pt>
                <c:pt idx="121">
                  <c:v>2.41</c:v>
                </c:pt>
                <c:pt idx="122">
                  <c:v>2.4900000000000002</c:v>
                </c:pt>
                <c:pt idx="123">
                  <c:v>2.79</c:v>
                </c:pt>
                <c:pt idx="124">
                  <c:v>3.3</c:v>
                </c:pt>
                <c:pt idx="125">
                  <c:v>2.69</c:v>
                </c:pt>
                <c:pt idx="126">
                  <c:v>3.0649999999999999</c:v>
                </c:pt>
                <c:pt idx="127">
                  <c:v>2.42</c:v>
                </c:pt>
                <c:pt idx="128">
                  <c:v>2.73</c:v>
                </c:pt>
                <c:pt idx="129">
                  <c:v>2.19</c:v>
                </c:pt>
                <c:pt idx="130">
                  <c:v>3.0250000000000004</c:v>
                </c:pt>
                <c:pt idx="131">
                  <c:v>2.3566666666666669</c:v>
                </c:pt>
                <c:pt idx="132">
                  <c:v>1.95</c:v>
                </c:pt>
                <c:pt idx="133">
                  <c:v>2.2549999999999999</c:v>
                </c:pt>
                <c:pt idx="134">
                  <c:v>2.62</c:v>
                </c:pt>
                <c:pt idx="135">
                  <c:v>2.7800000000000002</c:v>
                </c:pt>
                <c:pt idx="136">
                  <c:v>2.2200000000000002</c:v>
                </c:pt>
                <c:pt idx="137">
                  <c:v>2.665</c:v>
                </c:pt>
                <c:pt idx="138">
                  <c:v>1.93</c:v>
                </c:pt>
                <c:pt idx="139">
                  <c:v>2.7350000000000003</c:v>
                </c:pt>
                <c:pt idx="140">
                  <c:v>2.46</c:v>
                </c:pt>
                <c:pt idx="141">
                  <c:v>2.2850000000000001</c:v>
                </c:pt>
                <c:pt idx="142">
                  <c:v>2.5350000000000001</c:v>
                </c:pt>
                <c:pt idx="143">
                  <c:v>2.4</c:v>
                </c:pt>
                <c:pt idx="144">
                  <c:v>2.19</c:v>
                </c:pt>
                <c:pt idx="145">
                  <c:v>1.75</c:v>
                </c:pt>
                <c:pt idx="146">
                  <c:v>1.79</c:v>
                </c:pt>
                <c:pt idx="147">
                  <c:v>1.7650000000000001</c:v>
                </c:pt>
                <c:pt idx="148">
                  <c:v>1.99</c:v>
                </c:pt>
                <c:pt idx="149">
                  <c:v>1.885</c:v>
                </c:pt>
                <c:pt idx="150">
                  <c:v>1.76</c:v>
                </c:pt>
                <c:pt idx="151">
                  <c:v>1.585</c:v>
                </c:pt>
                <c:pt idx="152">
                  <c:v>1.68</c:v>
                </c:pt>
                <c:pt idx="153">
                  <c:v>1.635</c:v>
                </c:pt>
                <c:pt idx="154">
                  <c:v>1.1000000000000001</c:v>
                </c:pt>
                <c:pt idx="155">
                  <c:v>1.53</c:v>
                </c:pt>
                <c:pt idx="156">
                  <c:v>2.04</c:v>
                </c:pt>
                <c:pt idx="157">
                  <c:v>2.165</c:v>
                </c:pt>
                <c:pt idx="158">
                  <c:v>2.27</c:v>
                </c:pt>
                <c:pt idx="159">
                  <c:v>2.4500000000000002</c:v>
                </c:pt>
                <c:pt idx="160">
                  <c:v>2.38</c:v>
                </c:pt>
                <c:pt idx="161">
                  <c:v>2.6949999999999998</c:v>
                </c:pt>
                <c:pt idx="162">
                  <c:v>2.14</c:v>
                </c:pt>
                <c:pt idx="163">
                  <c:v>2.2549999999999999</c:v>
                </c:pt>
                <c:pt idx="164">
                  <c:v>0.93</c:v>
                </c:pt>
                <c:pt idx="165">
                  <c:v>2.1349999999999998</c:v>
                </c:pt>
                <c:pt idx="166">
                  <c:v>2.06</c:v>
                </c:pt>
                <c:pt idx="167">
                  <c:v>2.2999999999999998</c:v>
                </c:pt>
                <c:pt idx="168">
                  <c:v>2.21</c:v>
                </c:pt>
                <c:pt idx="169">
                  <c:v>2.0350000000000001</c:v>
                </c:pt>
                <c:pt idx="170">
                  <c:v>2.0299999999999998</c:v>
                </c:pt>
                <c:pt idx="171">
                  <c:v>2.2000000000000002</c:v>
                </c:pt>
                <c:pt idx="172">
                  <c:v>1.19</c:v>
                </c:pt>
                <c:pt idx="173">
                  <c:v>1.3050000000000002</c:v>
                </c:pt>
                <c:pt idx="174">
                  <c:v>2.125</c:v>
                </c:pt>
                <c:pt idx="175">
                  <c:v>1.95</c:v>
                </c:pt>
                <c:pt idx="176">
                  <c:v>1.35</c:v>
                </c:pt>
                <c:pt idx="177">
                  <c:v>1.08</c:v>
                </c:pt>
                <c:pt idx="178">
                  <c:v>1.42</c:v>
                </c:pt>
                <c:pt idx="179">
                  <c:v>1.0649999999999999</c:v>
                </c:pt>
                <c:pt idx="180">
                  <c:v>1.44</c:v>
                </c:pt>
                <c:pt idx="181">
                  <c:v>1.2450000000000001</c:v>
                </c:pt>
                <c:pt idx="182">
                  <c:v>1.29</c:v>
                </c:pt>
                <c:pt idx="183">
                  <c:v>0.64500000000000002</c:v>
                </c:pt>
                <c:pt idx="184">
                  <c:v>0.15</c:v>
                </c:pt>
                <c:pt idx="185">
                  <c:v>0.12</c:v>
                </c:pt>
                <c:pt idx="186">
                  <c:v>1.94</c:v>
                </c:pt>
                <c:pt idx="187">
                  <c:v>1.53</c:v>
                </c:pt>
                <c:pt idx="188">
                  <c:v>1.52</c:v>
                </c:pt>
                <c:pt idx="189">
                  <c:v>1.615</c:v>
                </c:pt>
                <c:pt idx="190">
                  <c:v>1.97</c:v>
                </c:pt>
                <c:pt idx="191">
                  <c:v>1.585</c:v>
                </c:pt>
                <c:pt idx="192">
                  <c:v>2.09</c:v>
                </c:pt>
                <c:pt idx="193">
                  <c:v>1.9350000000000001</c:v>
                </c:pt>
                <c:pt idx="194">
                  <c:v>2.11</c:v>
                </c:pt>
                <c:pt idx="195">
                  <c:v>1.9650000000000001</c:v>
                </c:pt>
                <c:pt idx="196">
                  <c:v>1.54</c:v>
                </c:pt>
                <c:pt idx="197">
                  <c:v>0.70500000000000007</c:v>
                </c:pt>
                <c:pt idx="198">
                  <c:v>1.25</c:v>
                </c:pt>
                <c:pt idx="199">
                  <c:v>1.105</c:v>
                </c:pt>
                <c:pt idx="200">
                  <c:v>0.93</c:v>
                </c:pt>
                <c:pt idx="201">
                  <c:v>0.67500000000000004</c:v>
                </c:pt>
                <c:pt idx="202">
                  <c:v>0.85</c:v>
                </c:pt>
                <c:pt idx="203">
                  <c:v>0.95499999999999996</c:v>
                </c:pt>
                <c:pt idx="204">
                  <c:v>0.6</c:v>
                </c:pt>
                <c:pt idx="205">
                  <c:v>0.89</c:v>
                </c:pt>
              </c:numCache>
            </c:numRef>
          </c:xVal>
          <c:yVal>
            <c:numRef>
              <c:f>Physicochemical_Managed!$X$2:$X$207</c:f>
              <c:numCache>
                <c:formatCode>0.000</c:formatCode>
                <c:ptCount val="206"/>
                <c:pt idx="0">
                  <c:v>0.22666666666666666</c:v>
                </c:pt>
                <c:pt idx="1">
                  <c:v>0.15</c:v>
                </c:pt>
                <c:pt idx="2">
                  <c:v>0.2</c:v>
                </c:pt>
                <c:pt idx="3">
                  <c:v>0.19</c:v>
                </c:pt>
                <c:pt idx="4">
                  <c:v>0.21</c:v>
                </c:pt>
                <c:pt idx="5">
                  <c:v>0.24</c:v>
                </c:pt>
                <c:pt idx="6">
                  <c:v>0.24</c:v>
                </c:pt>
                <c:pt idx="7">
                  <c:v>0.28000000000000003</c:v>
                </c:pt>
                <c:pt idx="8">
                  <c:v>0.27</c:v>
                </c:pt>
                <c:pt idx="9">
                  <c:v>0.28000000000000003</c:v>
                </c:pt>
                <c:pt idx="10">
                  <c:v>0.27</c:v>
                </c:pt>
                <c:pt idx="11">
                  <c:v>0.24</c:v>
                </c:pt>
                <c:pt idx="12">
                  <c:v>0.28999999999999998</c:v>
                </c:pt>
                <c:pt idx="13">
                  <c:v>0.23</c:v>
                </c:pt>
                <c:pt idx="14">
                  <c:v>0.19</c:v>
                </c:pt>
                <c:pt idx="15">
                  <c:v>0.3</c:v>
                </c:pt>
                <c:pt idx="16">
                  <c:v>0.32</c:v>
                </c:pt>
                <c:pt idx="17">
                  <c:v>0.27</c:v>
                </c:pt>
                <c:pt idx="18">
                  <c:v>0.28999999999999998</c:v>
                </c:pt>
                <c:pt idx="19">
                  <c:v>0.28999999999999998</c:v>
                </c:pt>
                <c:pt idx="20">
                  <c:v>0.27999999999999997</c:v>
                </c:pt>
                <c:pt idx="21">
                  <c:v>0.28999999999999998</c:v>
                </c:pt>
                <c:pt idx="22">
                  <c:v>0.2</c:v>
                </c:pt>
                <c:pt idx="23">
                  <c:v>0.28999999999999998</c:v>
                </c:pt>
                <c:pt idx="24">
                  <c:v>0.28000000000000003</c:v>
                </c:pt>
                <c:pt idx="25">
                  <c:v>0.26</c:v>
                </c:pt>
                <c:pt idx="26">
                  <c:v>0.34</c:v>
                </c:pt>
                <c:pt idx="27">
                  <c:v>0.35</c:v>
                </c:pt>
                <c:pt idx="28">
                  <c:v>0.3</c:v>
                </c:pt>
                <c:pt idx="29">
                  <c:v>0.37</c:v>
                </c:pt>
                <c:pt idx="30">
                  <c:v>0.35</c:v>
                </c:pt>
                <c:pt idx="31">
                  <c:v>0.42</c:v>
                </c:pt>
                <c:pt idx="32">
                  <c:v>0.38</c:v>
                </c:pt>
                <c:pt idx="33">
                  <c:v>0.48</c:v>
                </c:pt>
                <c:pt idx="34">
                  <c:v>0.43</c:v>
                </c:pt>
                <c:pt idx="35">
                  <c:v>0.32</c:v>
                </c:pt>
                <c:pt idx="36">
                  <c:v>0.4</c:v>
                </c:pt>
                <c:pt idx="37">
                  <c:v>0.42</c:v>
                </c:pt>
                <c:pt idx="38">
                  <c:v>0.33</c:v>
                </c:pt>
                <c:pt idx="39">
                  <c:v>0.33</c:v>
                </c:pt>
                <c:pt idx="40">
                  <c:v>0.32</c:v>
                </c:pt>
                <c:pt idx="41">
                  <c:v>0.32</c:v>
                </c:pt>
                <c:pt idx="42">
                  <c:v>0.3</c:v>
                </c:pt>
                <c:pt idx="43">
                  <c:v>0.26</c:v>
                </c:pt>
                <c:pt idx="44">
                  <c:v>0.35</c:v>
                </c:pt>
                <c:pt idx="45">
                  <c:v>0.36</c:v>
                </c:pt>
                <c:pt idx="46">
                  <c:v>0.32</c:v>
                </c:pt>
                <c:pt idx="47">
                  <c:v>0.37</c:v>
                </c:pt>
                <c:pt idx="48">
                  <c:v>0.41</c:v>
                </c:pt>
                <c:pt idx="49">
                  <c:v>0.38</c:v>
                </c:pt>
                <c:pt idx="50">
                  <c:v>0.4</c:v>
                </c:pt>
                <c:pt idx="51">
                  <c:v>0.47</c:v>
                </c:pt>
                <c:pt idx="52">
                  <c:v>0.4</c:v>
                </c:pt>
                <c:pt idx="53">
                  <c:v>0.44</c:v>
                </c:pt>
                <c:pt idx="54">
                  <c:v>0.38</c:v>
                </c:pt>
                <c:pt idx="55">
                  <c:v>0.38</c:v>
                </c:pt>
                <c:pt idx="56">
                  <c:v>0.5033333333333333</c:v>
                </c:pt>
                <c:pt idx="57">
                  <c:v>0.49</c:v>
                </c:pt>
                <c:pt idx="58">
                  <c:v>0.51</c:v>
                </c:pt>
                <c:pt idx="59">
                  <c:v>0.49</c:v>
                </c:pt>
                <c:pt idx="60">
                  <c:v>0.49</c:v>
                </c:pt>
                <c:pt idx="61">
                  <c:v>0.53</c:v>
                </c:pt>
                <c:pt idx="62">
                  <c:v>0.48</c:v>
                </c:pt>
                <c:pt idx="63">
                  <c:v>0.51</c:v>
                </c:pt>
                <c:pt idx="64">
                  <c:v>0.56000000000000005</c:v>
                </c:pt>
                <c:pt idx="65">
                  <c:v>0.53</c:v>
                </c:pt>
                <c:pt idx="66">
                  <c:v>0.67</c:v>
                </c:pt>
                <c:pt idx="67">
                  <c:v>0.65</c:v>
                </c:pt>
                <c:pt idx="68">
                  <c:v>0.54</c:v>
                </c:pt>
                <c:pt idx="69">
                  <c:v>0.69</c:v>
                </c:pt>
                <c:pt idx="70">
                  <c:v>0.65</c:v>
                </c:pt>
                <c:pt idx="71">
                  <c:v>0.69</c:v>
                </c:pt>
                <c:pt idx="72">
                  <c:v>0.7</c:v>
                </c:pt>
                <c:pt idx="73">
                  <c:v>0.69</c:v>
                </c:pt>
                <c:pt idx="74">
                  <c:v>0.66</c:v>
                </c:pt>
                <c:pt idx="75">
                  <c:v>0.54999999999999993</c:v>
                </c:pt>
                <c:pt idx="76">
                  <c:v>0.54</c:v>
                </c:pt>
                <c:pt idx="77">
                  <c:v>0.53</c:v>
                </c:pt>
                <c:pt idx="78">
                  <c:v>0.55000000000000004</c:v>
                </c:pt>
                <c:pt idx="79">
                  <c:v>0.46500000000000002</c:v>
                </c:pt>
                <c:pt idx="80">
                  <c:v>0.55000000000000004</c:v>
                </c:pt>
                <c:pt idx="81">
                  <c:v>0.505</c:v>
                </c:pt>
                <c:pt idx="82">
                  <c:v>0.56000000000000005</c:v>
                </c:pt>
                <c:pt idx="83">
                  <c:v>0.61499999999999999</c:v>
                </c:pt>
                <c:pt idx="84">
                  <c:v>0.56000000000000005</c:v>
                </c:pt>
                <c:pt idx="85">
                  <c:v>0.55499999999999994</c:v>
                </c:pt>
                <c:pt idx="86">
                  <c:v>0.7</c:v>
                </c:pt>
                <c:pt idx="87">
                  <c:v>0.57000000000000006</c:v>
                </c:pt>
                <c:pt idx="88">
                  <c:v>0.7</c:v>
                </c:pt>
                <c:pt idx="89">
                  <c:v>0.53</c:v>
                </c:pt>
                <c:pt idx="90">
                  <c:v>0.74</c:v>
                </c:pt>
                <c:pt idx="91">
                  <c:v>0.54499999999999993</c:v>
                </c:pt>
                <c:pt idx="92">
                  <c:v>0.67</c:v>
                </c:pt>
                <c:pt idx="93">
                  <c:v>0.255</c:v>
                </c:pt>
                <c:pt idx="94">
                  <c:v>0.63</c:v>
                </c:pt>
                <c:pt idx="95">
                  <c:v>0.6100000000000001</c:v>
                </c:pt>
                <c:pt idx="96">
                  <c:v>0.57999999999999996</c:v>
                </c:pt>
                <c:pt idx="97">
                  <c:v>0.56499999999999995</c:v>
                </c:pt>
                <c:pt idx="98">
                  <c:v>0.68</c:v>
                </c:pt>
                <c:pt idx="99">
                  <c:v>0.56499999999999995</c:v>
                </c:pt>
                <c:pt idx="100">
                  <c:v>0.67</c:v>
                </c:pt>
                <c:pt idx="101">
                  <c:v>0.6100000000000001</c:v>
                </c:pt>
                <c:pt idx="102">
                  <c:v>0.63</c:v>
                </c:pt>
                <c:pt idx="103">
                  <c:v>0.61</c:v>
                </c:pt>
                <c:pt idx="104">
                  <c:v>0.64</c:v>
                </c:pt>
                <c:pt idx="105">
                  <c:v>0.66999999999999993</c:v>
                </c:pt>
                <c:pt idx="106">
                  <c:v>0.6</c:v>
                </c:pt>
                <c:pt idx="107">
                  <c:v>0.62</c:v>
                </c:pt>
                <c:pt idx="108">
                  <c:v>0.36499999999999999</c:v>
                </c:pt>
                <c:pt idx="109">
                  <c:v>0.34</c:v>
                </c:pt>
                <c:pt idx="110">
                  <c:v>0.3</c:v>
                </c:pt>
                <c:pt idx="111">
                  <c:v>0.25</c:v>
                </c:pt>
                <c:pt idx="112">
                  <c:v>0.28999999999999998</c:v>
                </c:pt>
                <c:pt idx="113">
                  <c:v>0.28500000000000003</c:v>
                </c:pt>
                <c:pt idx="114">
                  <c:v>0.28000000000000003</c:v>
                </c:pt>
                <c:pt idx="115">
                  <c:v>0.27</c:v>
                </c:pt>
                <c:pt idx="116">
                  <c:v>0.41</c:v>
                </c:pt>
                <c:pt idx="117">
                  <c:v>0.39</c:v>
                </c:pt>
                <c:pt idx="118">
                  <c:v>0.36</c:v>
                </c:pt>
                <c:pt idx="119">
                  <c:v>0.33999999999999997</c:v>
                </c:pt>
                <c:pt idx="120">
                  <c:v>0.56000000000000005</c:v>
                </c:pt>
                <c:pt idx="121">
                  <c:v>0.34</c:v>
                </c:pt>
                <c:pt idx="122">
                  <c:v>0.41</c:v>
                </c:pt>
                <c:pt idx="123">
                  <c:v>0.34</c:v>
                </c:pt>
                <c:pt idx="124">
                  <c:v>0.32999999999999996</c:v>
                </c:pt>
                <c:pt idx="125">
                  <c:v>0.42</c:v>
                </c:pt>
                <c:pt idx="126">
                  <c:v>0.32</c:v>
                </c:pt>
                <c:pt idx="127">
                  <c:v>0.4</c:v>
                </c:pt>
                <c:pt idx="128">
                  <c:v>0.4</c:v>
                </c:pt>
                <c:pt idx="129">
                  <c:v>0.41</c:v>
                </c:pt>
                <c:pt idx="130">
                  <c:v>0.46</c:v>
                </c:pt>
                <c:pt idx="131">
                  <c:v>0.40666666666666668</c:v>
                </c:pt>
                <c:pt idx="132">
                  <c:v>0.42</c:v>
                </c:pt>
                <c:pt idx="133">
                  <c:v>0.44</c:v>
                </c:pt>
                <c:pt idx="134">
                  <c:v>0.34</c:v>
                </c:pt>
                <c:pt idx="135">
                  <c:v>0.35499999999999998</c:v>
                </c:pt>
                <c:pt idx="136">
                  <c:v>0.43</c:v>
                </c:pt>
                <c:pt idx="137">
                  <c:v>0.39500000000000002</c:v>
                </c:pt>
                <c:pt idx="138">
                  <c:v>0.4</c:v>
                </c:pt>
                <c:pt idx="139">
                  <c:v>0.34</c:v>
                </c:pt>
                <c:pt idx="140">
                  <c:v>0.39</c:v>
                </c:pt>
                <c:pt idx="141">
                  <c:v>0.37</c:v>
                </c:pt>
                <c:pt idx="142">
                  <c:v>0.35499999999999998</c:v>
                </c:pt>
                <c:pt idx="143">
                  <c:v>0.39</c:v>
                </c:pt>
                <c:pt idx="144">
                  <c:v>0.36</c:v>
                </c:pt>
                <c:pt idx="145">
                  <c:v>0.34</c:v>
                </c:pt>
                <c:pt idx="146">
                  <c:v>0.38</c:v>
                </c:pt>
                <c:pt idx="147">
                  <c:v>0.38</c:v>
                </c:pt>
                <c:pt idx="148">
                  <c:v>0.38</c:v>
                </c:pt>
                <c:pt idx="149">
                  <c:v>0.32999999999999996</c:v>
                </c:pt>
                <c:pt idx="150">
                  <c:v>0.35</c:v>
                </c:pt>
                <c:pt idx="151">
                  <c:v>0.41000000000000003</c:v>
                </c:pt>
                <c:pt idx="152">
                  <c:v>0.41</c:v>
                </c:pt>
                <c:pt idx="153">
                  <c:v>0.39</c:v>
                </c:pt>
                <c:pt idx="154">
                  <c:v>0.42</c:v>
                </c:pt>
                <c:pt idx="155">
                  <c:v>0.44</c:v>
                </c:pt>
                <c:pt idx="156">
                  <c:v>0.43</c:v>
                </c:pt>
                <c:pt idx="157">
                  <c:v>0.42</c:v>
                </c:pt>
                <c:pt idx="158">
                  <c:v>0.46</c:v>
                </c:pt>
                <c:pt idx="159">
                  <c:v>0.47499999999999998</c:v>
                </c:pt>
                <c:pt idx="160">
                  <c:v>0.45</c:v>
                </c:pt>
                <c:pt idx="161">
                  <c:v>0.45499999999999996</c:v>
                </c:pt>
                <c:pt idx="162">
                  <c:v>0.54</c:v>
                </c:pt>
                <c:pt idx="163">
                  <c:v>0.49</c:v>
                </c:pt>
                <c:pt idx="164">
                  <c:v>0.49</c:v>
                </c:pt>
                <c:pt idx="165">
                  <c:v>0.44999999999999996</c:v>
                </c:pt>
                <c:pt idx="166">
                  <c:v>0.44</c:v>
                </c:pt>
                <c:pt idx="167">
                  <c:v>0.47</c:v>
                </c:pt>
                <c:pt idx="168">
                  <c:v>0.48</c:v>
                </c:pt>
                <c:pt idx="169">
                  <c:v>0.5</c:v>
                </c:pt>
                <c:pt idx="170">
                  <c:v>0.43</c:v>
                </c:pt>
                <c:pt idx="171">
                  <c:v>0.375</c:v>
                </c:pt>
                <c:pt idx="172">
                  <c:v>0.5</c:v>
                </c:pt>
                <c:pt idx="173">
                  <c:v>0.51</c:v>
                </c:pt>
                <c:pt idx="174">
                  <c:v>0.47499999999999998</c:v>
                </c:pt>
                <c:pt idx="175">
                  <c:v>0.49</c:v>
                </c:pt>
                <c:pt idx="176">
                  <c:v>0.47</c:v>
                </c:pt>
                <c:pt idx="177">
                  <c:v>0.41</c:v>
                </c:pt>
                <c:pt idx="178">
                  <c:v>0.4</c:v>
                </c:pt>
                <c:pt idx="179">
                  <c:v>0.435</c:v>
                </c:pt>
                <c:pt idx="180">
                  <c:v>0.41</c:v>
                </c:pt>
                <c:pt idx="181">
                  <c:v>0.53</c:v>
                </c:pt>
                <c:pt idx="182">
                  <c:v>0.49</c:v>
                </c:pt>
                <c:pt idx="183">
                  <c:v>0.48</c:v>
                </c:pt>
                <c:pt idx="184">
                  <c:v>0.44</c:v>
                </c:pt>
                <c:pt idx="185">
                  <c:v>0.57000000000000006</c:v>
                </c:pt>
                <c:pt idx="186">
                  <c:v>0.56999999999999995</c:v>
                </c:pt>
                <c:pt idx="187">
                  <c:v>0.53500000000000003</c:v>
                </c:pt>
                <c:pt idx="188">
                  <c:v>0.54</c:v>
                </c:pt>
                <c:pt idx="189">
                  <c:v>0.59</c:v>
                </c:pt>
                <c:pt idx="190">
                  <c:v>0.52</c:v>
                </c:pt>
                <c:pt idx="191">
                  <c:v>0.54499999999999993</c:v>
                </c:pt>
                <c:pt idx="192">
                  <c:v>0.55000000000000004</c:v>
                </c:pt>
                <c:pt idx="193">
                  <c:v>0.57000000000000006</c:v>
                </c:pt>
                <c:pt idx="194">
                  <c:v>0.56000000000000005</c:v>
                </c:pt>
                <c:pt idx="195">
                  <c:v>0.59</c:v>
                </c:pt>
                <c:pt idx="196">
                  <c:v>0.64</c:v>
                </c:pt>
                <c:pt idx="197">
                  <c:v>0.57499999999999996</c:v>
                </c:pt>
                <c:pt idx="198">
                  <c:v>0.64</c:v>
                </c:pt>
                <c:pt idx="199">
                  <c:v>0.63</c:v>
                </c:pt>
                <c:pt idx="200">
                  <c:v>0.59</c:v>
                </c:pt>
                <c:pt idx="201">
                  <c:v>0.61</c:v>
                </c:pt>
                <c:pt idx="202">
                  <c:v>0.53</c:v>
                </c:pt>
                <c:pt idx="203">
                  <c:v>0.59</c:v>
                </c:pt>
                <c:pt idx="204">
                  <c:v>0.68</c:v>
                </c:pt>
                <c:pt idx="205">
                  <c:v>0.60499999999999998</c:v>
                </c:pt>
              </c:numCache>
            </c:numRef>
          </c:yVal>
          <c:smooth val="0"/>
          <c:extLst>
            <c:ext xmlns:c16="http://schemas.microsoft.com/office/drawing/2014/chart" uri="{C3380CC4-5D6E-409C-BE32-E72D297353CC}">
              <c16:uniqueId val="{00000001-9FFF-4A85-B69F-76D35C447B7C}"/>
            </c:ext>
          </c:extLst>
        </c:ser>
        <c:dLbls>
          <c:showLegendKey val="0"/>
          <c:showVal val="0"/>
          <c:showCatName val="0"/>
          <c:showSerName val="0"/>
          <c:showPercent val="0"/>
          <c:showBubbleSize val="0"/>
        </c:dLbls>
        <c:axId val="403941288"/>
        <c:axId val="403917672"/>
      </c:scatterChart>
      <c:valAx>
        <c:axId val="403941288"/>
        <c:scaling>
          <c:orientation val="minMax"/>
          <c:max val="4.2"/>
          <c:min val="0"/>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Total chlorine (mg Cl</a:t>
                </a:r>
                <a:r>
                  <a:rPr lang="en-US" baseline="-25000"/>
                  <a:t>2</a:t>
                </a:r>
                <a:r>
                  <a:rPr lang="en-US"/>
                  <a:t>·L</a:t>
                </a:r>
                <a:r>
                  <a:rPr lang="en-US" baseline="30000"/>
                  <a:t>-1</a:t>
                </a:r>
                <a:r>
                  <a:rPr lang="en-US"/>
                  <a:t>)</a:t>
                </a:r>
                <a:endParaRPr lang="en-US" b="1">
                  <a:solidFill>
                    <a:srgbClr val="FF0000"/>
                  </a:solidFill>
                </a:endParaRPr>
              </a:p>
            </c:rich>
          </c:tx>
          <c:layout>
            <c:manualLayout>
              <c:xMode val="edge"/>
              <c:yMode val="edge"/>
              <c:x val="0.3533341173965785"/>
              <c:y val="0.86463138430641173"/>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0" sourceLinked="0"/>
        <c:majorTickMark val="out"/>
        <c:minorTickMark val="in"/>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03917672"/>
        <c:crosses val="autoZero"/>
        <c:crossBetween val="midCat"/>
      </c:valAx>
      <c:valAx>
        <c:axId val="403917672"/>
        <c:scaling>
          <c:orientation val="minMax"/>
        </c:scaling>
        <c:delete val="0"/>
        <c:axPos val="l"/>
        <c:majorGridlines>
          <c:spPr>
            <a:ln w="1270" cap="flat" cmpd="sng" algn="ctr">
              <a:solidFill>
                <a:schemeClr val="tx1"/>
              </a:solidFill>
              <a:prstDash val="solid"/>
              <a:round/>
            </a:ln>
            <a:effectLst/>
          </c:spPr>
        </c:majorGridlines>
        <c:minorGridlines>
          <c:spPr>
            <a:ln w="1270" cap="flat" cmpd="sng" algn="ctr">
              <a:solidFill>
                <a:schemeClr val="bg2">
                  <a:lumMod val="90000"/>
                </a:schemeClr>
              </a:solidFill>
              <a:prstDash val="dash"/>
              <a:round/>
            </a:ln>
            <a:effectLst/>
          </c:spPr>
        </c:min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sz="1200" b="0" i="0" u="none" strike="noStrike" baseline="0">
                    <a:effectLst/>
                  </a:rPr>
                  <a:t>Orthophosphate (mg PO</a:t>
                </a:r>
                <a:r>
                  <a:rPr lang="en-US" sz="1200" b="0" i="0" u="none" strike="noStrike" baseline="-25000">
                    <a:effectLst/>
                  </a:rPr>
                  <a:t>4</a:t>
                </a:r>
                <a:r>
                  <a:rPr lang="en-US" sz="1200" b="0" i="0" u="none" strike="noStrike" baseline="30000">
                    <a:effectLst/>
                  </a:rPr>
                  <a:t>3-</a:t>
                </a:r>
                <a:r>
                  <a:rPr lang="en-US" sz="1200" b="0" i="0" u="none" strike="noStrike" baseline="0">
                    <a:effectLst/>
                  </a:rPr>
                  <a:t>·L</a:t>
                </a:r>
                <a:r>
                  <a:rPr lang="en-US" sz="1200" b="0" i="0" u="none" strike="noStrike" baseline="30000">
                    <a:effectLst/>
                  </a:rPr>
                  <a:t>-1</a:t>
                </a:r>
                <a:r>
                  <a:rPr lang="en-US" sz="1200" b="0" i="0" u="none" strike="noStrike" baseline="0">
                    <a:effectLst/>
                  </a:rPr>
                  <a:t>)</a:t>
                </a:r>
                <a:endParaRPr lang="en-US" b="0"/>
              </a:p>
            </c:rich>
          </c:tx>
          <c:layout>
            <c:manualLayout>
              <c:xMode val="edge"/>
              <c:yMode val="edge"/>
              <c:x val="6.5976053561081385E-5"/>
              <c:y val="0.23028098644558329"/>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0" sourceLinked="0"/>
        <c:majorTickMark val="out"/>
        <c:minorTickMark val="in"/>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03941288"/>
        <c:crosses val="autoZero"/>
        <c:crossBetween val="midCat"/>
        <c:majorUnit val="0.2"/>
        <c:minorUnit val="5.000000000000001E-2"/>
      </c:valAx>
      <c:spPr>
        <a:noFill/>
        <a:ln w="19050">
          <a:solidFill>
            <a:schemeClr val="tx1"/>
          </a:solidFill>
        </a:ln>
        <a:effectLst/>
      </c:spPr>
    </c:plotArea>
    <c:legend>
      <c:legendPos val="r"/>
      <c:layout>
        <c:manualLayout>
          <c:xMode val="edge"/>
          <c:yMode val="edge"/>
          <c:x val="0.13300262438079721"/>
          <c:y val="0.64694822648844696"/>
          <c:w val="0.31664059497013869"/>
          <c:h val="9.5656842406143389E-2"/>
        </c:manualLayout>
      </c:layout>
      <c:overlay val="0"/>
      <c:spPr>
        <a:solidFill>
          <a:schemeClr val="bg1"/>
        </a:solid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04646"/>
      </a:solid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13278008298755"/>
          <c:y val="3.6235046109691547E-2"/>
          <c:w val="0.77921161825726137"/>
          <c:h val="0.75850914427279748"/>
        </c:manualLayout>
      </c:layout>
      <c:scatterChart>
        <c:scatterStyle val="lineMarker"/>
        <c:varyColors val="0"/>
        <c:ser>
          <c:idx val="0"/>
          <c:order val="0"/>
          <c:tx>
            <c:v>Free chlorine</c:v>
          </c:tx>
          <c:spPr>
            <a:ln w="25400" cap="rnd">
              <a:noFill/>
              <a:round/>
            </a:ln>
            <a:effectLst/>
          </c:spPr>
          <c:marker>
            <c:symbol val="circle"/>
            <c:size val="6"/>
            <c:spPr>
              <a:noFill/>
              <a:ln w="12700">
                <a:solidFill>
                  <a:srgbClr val="5064E6">
                    <a:alpha val="95000"/>
                  </a:srgbClr>
                </a:solidFill>
              </a:ln>
              <a:effectLst/>
            </c:spPr>
          </c:marker>
          <c:trendline>
            <c:spPr>
              <a:ln w="25400" cap="rnd">
                <a:solidFill>
                  <a:srgbClr val="5064E6"/>
                </a:solidFill>
                <a:prstDash val="solid"/>
              </a:ln>
              <a:effectLst/>
            </c:spPr>
            <c:trendlineType val="linear"/>
            <c:dispRSqr val="1"/>
            <c:dispEq val="1"/>
            <c:trendlineLbl>
              <c:layout>
                <c:manualLayout>
                  <c:x val="-0.37103880730593958"/>
                  <c:y val="-0.48366221864348102"/>
                </c:manualLayout>
              </c:layout>
              <c:tx>
                <c:rich>
                  <a:bodyPr rot="0" spcFirstLastPara="1" vertOverflow="ellipsis" vert="horz" wrap="square" anchor="ctr" anchorCtr="1"/>
                  <a:lstStyle/>
                  <a:p>
                    <a:pPr>
                      <a:defRPr sz="1200" b="0" i="0" u="none" strike="noStrike" kern="1200" baseline="0">
                        <a:solidFill>
                          <a:srgbClr val="5064E6"/>
                        </a:solidFill>
                        <a:latin typeface="Times New Roman" panose="02020603050405020304" pitchFamily="18" charset="0"/>
                        <a:ea typeface="+mn-ea"/>
                        <a:cs typeface="Times New Roman" panose="02020603050405020304" pitchFamily="18" charset="0"/>
                      </a:defRPr>
                    </a:pPr>
                    <a:r>
                      <a:rPr lang="en-US" i="1" baseline="0">
                        <a:solidFill>
                          <a:srgbClr val="5064E6"/>
                        </a:solidFill>
                      </a:rPr>
                      <a:t>y</a:t>
                    </a:r>
                    <a:r>
                      <a:rPr lang="en-US" baseline="0">
                        <a:solidFill>
                          <a:srgbClr val="5064E6"/>
                        </a:solidFill>
                      </a:rPr>
                      <a:t> = -0.055</a:t>
                    </a:r>
                    <a:r>
                      <a:rPr lang="en-US" i="1" baseline="0">
                        <a:solidFill>
                          <a:srgbClr val="5064E6"/>
                        </a:solidFill>
                      </a:rPr>
                      <a:t>x</a:t>
                    </a:r>
                    <a:r>
                      <a:rPr lang="en-US" baseline="0">
                        <a:solidFill>
                          <a:srgbClr val="5064E6"/>
                        </a:solidFill>
                      </a:rPr>
                      <a:t> + 0.214</a:t>
                    </a:r>
                    <a:br>
                      <a:rPr lang="en-US" baseline="0">
                        <a:solidFill>
                          <a:srgbClr val="5064E6"/>
                        </a:solidFill>
                      </a:rPr>
                    </a:br>
                    <a:r>
                      <a:rPr lang="en-US" baseline="0">
                        <a:solidFill>
                          <a:srgbClr val="5064E6"/>
                        </a:solidFill>
                      </a:rPr>
                      <a:t>Adjusted </a:t>
                    </a:r>
                    <a:r>
                      <a:rPr lang="en-US" i="1" baseline="0">
                        <a:solidFill>
                          <a:srgbClr val="5064E6"/>
                        </a:solidFill>
                      </a:rPr>
                      <a:t>R</a:t>
                    </a:r>
                    <a:r>
                      <a:rPr lang="en-US" baseline="0">
                        <a:solidFill>
                          <a:srgbClr val="5064E6"/>
                        </a:solidFill>
                      </a:rPr>
                      <a:t>² = 0.270, </a:t>
                    </a:r>
                    <a:r>
                      <a:rPr lang="en-US" i="1" baseline="0">
                        <a:solidFill>
                          <a:srgbClr val="5064E6"/>
                        </a:solidFill>
                      </a:rPr>
                      <a:t>p</a:t>
                    </a:r>
                    <a:r>
                      <a:rPr lang="en-US" baseline="0">
                        <a:solidFill>
                          <a:srgbClr val="5064E6"/>
                        </a:solidFill>
                      </a:rPr>
                      <a:t> &lt; 0.001 </a:t>
                    </a:r>
                    <a:endParaRPr lang="en-US">
                      <a:solidFill>
                        <a:srgbClr val="5064E6"/>
                      </a:solidFill>
                    </a:endParaRPr>
                  </a:p>
                </c:rich>
              </c:tx>
              <c:numFmt formatCode="General" sourceLinked="0"/>
              <c:spPr>
                <a:noFill/>
                <a:ln>
                  <a:noFill/>
                </a:ln>
                <a:effectLst/>
              </c:spPr>
              <c:txPr>
                <a:bodyPr rot="0" spcFirstLastPara="1" vertOverflow="ellipsis" vert="horz" wrap="square" anchor="ctr" anchorCtr="1"/>
                <a:lstStyle/>
                <a:p>
                  <a:pPr>
                    <a:defRPr sz="1200" b="0" i="0" u="none" strike="noStrike" kern="1200" baseline="0">
                      <a:solidFill>
                        <a:srgbClr val="5064E6"/>
                      </a:solidFill>
                      <a:latin typeface="Times New Roman" panose="02020603050405020304" pitchFamily="18" charset="0"/>
                      <a:ea typeface="+mn-ea"/>
                      <a:cs typeface="Times New Roman" panose="02020603050405020304" pitchFamily="18" charset="0"/>
                    </a:defRPr>
                  </a:pPr>
                  <a:endParaRPr lang="en-US"/>
                </a:p>
              </c:txPr>
            </c:trendlineLbl>
          </c:trendline>
          <c:xVal>
            <c:numRef>
              <c:f>Physicochemical_Managed!$S$2:$S$207</c:f>
              <c:numCache>
                <c:formatCode>0.000</c:formatCode>
                <c:ptCount val="206"/>
                <c:pt idx="0">
                  <c:v>7.0000000000000007E-2</c:v>
                </c:pt>
                <c:pt idx="1">
                  <c:v>0.05</c:v>
                </c:pt>
                <c:pt idx="2">
                  <c:v>0.16</c:v>
                </c:pt>
                <c:pt idx="3">
                  <c:v>0.12</c:v>
                </c:pt>
                <c:pt idx="4">
                  <c:v>0.21</c:v>
                </c:pt>
                <c:pt idx="5">
                  <c:v>0.17</c:v>
                </c:pt>
                <c:pt idx="6">
                  <c:v>0.08</c:v>
                </c:pt>
                <c:pt idx="7">
                  <c:v>0.08</c:v>
                </c:pt>
                <c:pt idx="8">
                  <c:v>0.08</c:v>
                </c:pt>
                <c:pt idx="9">
                  <c:v>3.82</c:v>
                </c:pt>
                <c:pt idx="10">
                  <c:v>4.0599999999999996</c:v>
                </c:pt>
                <c:pt idx="11">
                  <c:v>3.49</c:v>
                </c:pt>
                <c:pt idx="12">
                  <c:v>3.67</c:v>
                </c:pt>
                <c:pt idx="13">
                  <c:v>3.82</c:v>
                </c:pt>
                <c:pt idx="14">
                  <c:v>3.92</c:v>
                </c:pt>
                <c:pt idx="15">
                  <c:v>0.09</c:v>
                </c:pt>
                <c:pt idx="16">
                  <c:v>0.15</c:v>
                </c:pt>
                <c:pt idx="17">
                  <c:v>0.14000000000000001</c:v>
                </c:pt>
                <c:pt idx="18">
                  <c:v>0.18</c:v>
                </c:pt>
                <c:pt idx="19">
                  <c:v>0.21</c:v>
                </c:pt>
                <c:pt idx="20">
                  <c:v>9.3333333333333324E-2</c:v>
                </c:pt>
                <c:pt idx="21">
                  <c:v>0.15</c:v>
                </c:pt>
                <c:pt idx="22">
                  <c:v>0.04</c:v>
                </c:pt>
                <c:pt idx="23">
                  <c:v>0.08</c:v>
                </c:pt>
                <c:pt idx="24">
                  <c:v>0.18</c:v>
                </c:pt>
                <c:pt idx="25">
                  <c:v>0.17</c:v>
                </c:pt>
                <c:pt idx="26">
                  <c:v>0.11</c:v>
                </c:pt>
                <c:pt idx="27">
                  <c:v>0.11</c:v>
                </c:pt>
                <c:pt idx="28">
                  <c:v>3</c:v>
                </c:pt>
                <c:pt idx="29">
                  <c:v>2.78</c:v>
                </c:pt>
                <c:pt idx="30">
                  <c:v>2.67</c:v>
                </c:pt>
                <c:pt idx="31">
                  <c:v>2.64</c:v>
                </c:pt>
                <c:pt idx="32">
                  <c:v>2.78</c:v>
                </c:pt>
                <c:pt idx="33">
                  <c:v>0.04</c:v>
                </c:pt>
                <c:pt idx="34">
                  <c:v>0.06</c:v>
                </c:pt>
                <c:pt idx="35">
                  <c:v>0.1</c:v>
                </c:pt>
                <c:pt idx="36">
                  <c:v>7.0000000000000007E-2</c:v>
                </c:pt>
                <c:pt idx="37">
                  <c:v>0.11</c:v>
                </c:pt>
                <c:pt idx="38">
                  <c:v>1.0133333333333334</c:v>
                </c:pt>
                <c:pt idx="39">
                  <c:v>2.77</c:v>
                </c:pt>
                <c:pt idx="40">
                  <c:v>0.21</c:v>
                </c:pt>
                <c:pt idx="41">
                  <c:v>0.08</c:v>
                </c:pt>
                <c:pt idx="42">
                  <c:v>0.09</c:v>
                </c:pt>
                <c:pt idx="43">
                  <c:v>0.11</c:v>
                </c:pt>
                <c:pt idx="44">
                  <c:v>0.09</c:v>
                </c:pt>
                <c:pt idx="45">
                  <c:v>0.09</c:v>
                </c:pt>
                <c:pt idx="46">
                  <c:v>2.68</c:v>
                </c:pt>
                <c:pt idx="47">
                  <c:v>2.52</c:v>
                </c:pt>
                <c:pt idx="48">
                  <c:v>2.35</c:v>
                </c:pt>
                <c:pt idx="49">
                  <c:v>2.52</c:v>
                </c:pt>
                <c:pt idx="50">
                  <c:v>2.39</c:v>
                </c:pt>
                <c:pt idx="51">
                  <c:v>0.05</c:v>
                </c:pt>
                <c:pt idx="52">
                  <c:v>0.1</c:v>
                </c:pt>
                <c:pt idx="53">
                  <c:v>0.11</c:v>
                </c:pt>
                <c:pt idx="54">
                  <c:v>0.09</c:v>
                </c:pt>
                <c:pt idx="55">
                  <c:v>0.08</c:v>
                </c:pt>
                <c:pt idx="56">
                  <c:v>6.2333333333333331E-2</c:v>
                </c:pt>
                <c:pt idx="57">
                  <c:v>7.0000000000000001E-3</c:v>
                </c:pt>
                <c:pt idx="58">
                  <c:v>7.0000000000000007E-2</c:v>
                </c:pt>
                <c:pt idx="59">
                  <c:v>0.11</c:v>
                </c:pt>
                <c:pt idx="60">
                  <c:v>0.08</c:v>
                </c:pt>
                <c:pt idx="61">
                  <c:v>0.15</c:v>
                </c:pt>
                <c:pt idx="62">
                  <c:v>0.04</c:v>
                </c:pt>
                <c:pt idx="63">
                  <c:v>7.0000000000000007E-2</c:v>
                </c:pt>
                <c:pt idx="64">
                  <c:v>7.0000000000000007E-2</c:v>
                </c:pt>
                <c:pt idx="65">
                  <c:v>2.73</c:v>
                </c:pt>
                <c:pt idx="66">
                  <c:v>2.2200000000000002</c:v>
                </c:pt>
                <c:pt idx="67">
                  <c:v>1.77</c:v>
                </c:pt>
                <c:pt idx="68">
                  <c:v>1.35</c:v>
                </c:pt>
                <c:pt idx="69">
                  <c:v>1.89</c:v>
                </c:pt>
                <c:pt idx="70">
                  <c:v>1.86</c:v>
                </c:pt>
                <c:pt idx="71">
                  <c:v>0.06</c:v>
                </c:pt>
                <c:pt idx="72">
                  <c:v>0.1</c:v>
                </c:pt>
                <c:pt idx="73">
                  <c:v>0.04</c:v>
                </c:pt>
                <c:pt idx="74">
                  <c:v>0.08</c:v>
                </c:pt>
                <c:pt idx="75">
                  <c:v>0.08</c:v>
                </c:pt>
                <c:pt idx="76">
                  <c:v>0.14000000000000001</c:v>
                </c:pt>
                <c:pt idx="77">
                  <c:v>0.14000000000000001</c:v>
                </c:pt>
                <c:pt idx="78">
                  <c:v>0.06</c:v>
                </c:pt>
                <c:pt idx="79">
                  <c:v>7.4999999999999997E-2</c:v>
                </c:pt>
                <c:pt idx="80">
                  <c:v>7.0000000000000007E-2</c:v>
                </c:pt>
                <c:pt idx="81">
                  <c:v>6.0000000000000005E-2</c:v>
                </c:pt>
                <c:pt idx="82">
                  <c:v>0.09</c:v>
                </c:pt>
                <c:pt idx="83">
                  <c:v>0.08</c:v>
                </c:pt>
                <c:pt idx="84">
                  <c:v>0.12</c:v>
                </c:pt>
                <c:pt idx="85">
                  <c:v>0.13500000000000001</c:v>
                </c:pt>
                <c:pt idx="86">
                  <c:v>0.09</c:v>
                </c:pt>
                <c:pt idx="87">
                  <c:v>0.70500000000000007</c:v>
                </c:pt>
                <c:pt idx="88">
                  <c:v>0.99</c:v>
                </c:pt>
                <c:pt idx="89">
                  <c:v>2.2549999999999999</c:v>
                </c:pt>
                <c:pt idx="90">
                  <c:v>1.06</c:v>
                </c:pt>
                <c:pt idx="91">
                  <c:v>1.915</c:v>
                </c:pt>
                <c:pt idx="92">
                  <c:v>1.19</c:v>
                </c:pt>
                <c:pt idx="93">
                  <c:v>1.625</c:v>
                </c:pt>
                <c:pt idx="94">
                  <c:v>2.14</c:v>
                </c:pt>
                <c:pt idx="95">
                  <c:v>1.8599999999999999</c:v>
                </c:pt>
                <c:pt idx="96">
                  <c:v>2.39</c:v>
                </c:pt>
                <c:pt idx="97">
                  <c:v>2.21</c:v>
                </c:pt>
                <c:pt idx="98">
                  <c:v>1.33</c:v>
                </c:pt>
                <c:pt idx="99">
                  <c:v>0.105</c:v>
                </c:pt>
                <c:pt idx="100">
                  <c:v>0.11</c:v>
                </c:pt>
                <c:pt idx="101">
                  <c:v>9.5000000000000001E-2</c:v>
                </c:pt>
                <c:pt idx="102">
                  <c:v>0.15</c:v>
                </c:pt>
                <c:pt idx="103">
                  <c:v>0.1</c:v>
                </c:pt>
                <c:pt idx="104">
                  <c:v>0.03</c:v>
                </c:pt>
                <c:pt idx="105">
                  <c:v>7.0000000000000007E-2</c:v>
                </c:pt>
                <c:pt idx="106">
                  <c:v>7.0000000000000007E-2</c:v>
                </c:pt>
                <c:pt idx="107">
                  <c:v>7.0000000000000007E-2</c:v>
                </c:pt>
                <c:pt idx="108">
                  <c:v>7.5000000000000011E-2</c:v>
                </c:pt>
                <c:pt idx="109">
                  <c:v>0.15</c:v>
                </c:pt>
                <c:pt idx="110">
                  <c:v>0.09</c:v>
                </c:pt>
                <c:pt idx="111">
                  <c:v>0.15</c:v>
                </c:pt>
                <c:pt idx="112">
                  <c:v>0.13</c:v>
                </c:pt>
                <c:pt idx="113">
                  <c:v>8.4999999999999992E-2</c:v>
                </c:pt>
                <c:pt idx="114">
                  <c:v>0.1</c:v>
                </c:pt>
                <c:pt idx="115">
                  <c:v>0.13500000000000001</c:v>
                </c:pt>
                <c:pt idx="116">
                  <c:v>0.09</c:v>
                </c:pt>
                <c:pt idx="117">
                  <c:v>7.4999999999999997E-2</c:v>
                </c:pt>
                <c:pt idx="118">
                  <c:v>0.09</c:v>
                </c:pt>
                <c:pt idx="119">
                  <c:v>0.1</c:v>
                </c:pt>
                <c:pt idx="120">
                  <c:v>0.1</c:v>
                </c:pt>
                <c:pt idx="121">
                  <c:v>2.36</c:v>
                </c:pt>
                <c:pt idx="122">
                  <c:v>2.37</c:v>
                </c:pt>
                <c:pt idx="123">
                  <c:v>2.72</c:v>
                </c:pt>
                <c:pt idx="124">
                  <c:v>3.26</c:v>
                </c:pt>
                <c:pt idx="125">
                  <c:v>2.58</c:v>
                </c:pt>
                <c:pt idx="126">
                  <c:v>3.08</c:v>
                </c:pt>
                <c:pt idx="127">
                  <c:v>2.29</c:v>
                </c:pt>
                <c:pt idx="128">
                  <c:v>2.6550000000000002</c:v>
                </c:pt>
                <c:pt idx="129">
                  <c:v>2.0299999999999998</c:v>
                </c:pt>
                <c:pt idx="130">
                  <c:v>3.0150000000000001</c:v>
                </c:pt>
                <c:pt idx="131">
                  <c:v>2.2399999999999998</c:v>
                </c:pt>
                <c:pt idx="132">
                  <c:v>0.13</c:v>
                </c:pt>
                <c:pt idx="133">
                  <c:v>0.1</c:v>
                </c:pt>
                <c:pt idx="134">
                  <c:v>0.14000000000000001</c:v>
                </c:pt>
                <c:pt idx="135">
                  <c:v>0.01</c:v>
                </c:pt>
                <c:pt idx="136">
                  <c:v>0.11</c:v>
                </c:pt>
                <c:pt idx="137">
                  <c:v>0.09</c:v>
                </c:pt>
                <c:pt idx="138">
                  <c:v>0.1</c:v>
                </c:pt>
                <c:pt idx="139">
                  <c:v>0.11</c:v>
                </c:pt>
                <c:pt idx="140">
                  <c:v>0.12</c:v>
                </c:pt>
                <c:pt idx="141">
                  <c:v>0.04</c:v>
                </c:pt>
                <c:pt idx="142">
                  <c:v>0.14500000000000002</c:v>
                </c:pt>
                <c:pt idx="143">
                  <c:v>0.09</c:v>
                </c:pt>
                <c:pt idx="144">
                  <c:v>0.05</c:v>
                </c:pt>
                <c:pt idx="145">
                  <c:v>0.09</c:v>
                </c:pt>
                <c:pt idx="146">
                  <c:v>0.1</c:v>
                </c:pt>
                <c:pt idx="147">
                  <c:v>0.19</c:v>
                </c:pt>
                <c:pt idx="148">
                  <c:v>0.16</c:v>
                </c:pt>
                <c:pt idx="149">
                  <c:v>0.09</c:v>
                </c:pt>
                <c:pt idx="150">
                  <c:v>0.1</c:v>
                </c:pt>
                <c:pt idx="151">
                  <c:v>0.125</c:v>
                </c:pt>
                <c:pt idx="152">
                  <c:v>0.14000000000000001</c:v>
                </c:pt>
                <c:pt idx="153">
                  <c:v>8.4999999999999992E-2</c:v>
                </c:pt>
                <c:pt idx="154">
                  <c:v>0.91</c:v>
                </c:pt>
                <c:pt idx="155">
                  <c:v>1.4849999999999999</c:v>
                </c:pt>
                <c:pt idx="156">
                  <c:v>2.15</c:v>
                </c:pt>
                <c:pt idx="157">
                  <c:v>2.14</c:v>
                </c:pt>
                <c:pt idx="158">
                  <c:v>2.09</c:v>
                </c:pt>
                <c:pt idx="159">
                  <c:v>1.9849999999999999</c:v>
                </c:pt>
                <c:pt idx="160">
                  <c:v>1.49</c:v>
                </c:pt>
                <c:pt idx="161">
                  <c:v>2.4750000000000001</c:v>
                </c:pt>
                <c:pt idx="162">
                  <c:v>2.14</c:v>
                </c:pt>
                <c:pt idx="163">
                  <c:v>1.85</c:v>
                </c:pt>
                <c:pt idx="164">
                  <c:v>0.09</c:v>
                </c:pt>
                <c:pt idx="165">
                  <c:v>9.5000000000000001E-2</c:v>
                </c:pt>
                <c:pt idx="166">
                  <c:v>0.14000000000000001</c:v>
                </c:pt>
                <c:pt idx="167">
                  <c:v>7.0000000000000007E-2</c:v>
                </c:pt>
                <c:pt idx="168">
                  <c:v>0.12</c:v>
                </c:pt>
                <c:pt idx="169">
                  <c:v>0.125</c:v>
                </c:pt>
                <c:pt idx="170">
                  <c:v>0.17</c:v>
                </c:pt>
                <c:pt idx="171">
                  <c:v>6.5000000000000002E-2</c:v>
                </c:pt>
                <c:pt idx="172">
                  <c:v>0.08</c:v>
                </c:pt>
                <c:pt idx="173">
                  <c:v>6.0000000000000005E-2</c:v>
                </c:pt>
                <c:pt idx="174">
                  <c:v>2.5000000000000001E-2</c:v>
                </c:pt>
                <c:pt idx="175">
                  <c:v>0.09</c:v>
                </c:pt>
                <c:pt idx="176">
                  <c:v>0.06</c:v>
                </c:pt>
                <c:pt idx="177">
                  <c:v>0.06</c:v>
                </c:pt>
                <c:pt idx="178">
                  <c:v>0</c:v>
                </c:pt>
                <c:pt idx="179">
                  <c:v>0.08</c:v>
                </c:pt>
                <c:pt idx="180">
                  <c:v>0.08</c:v>
                </c:pt>
                <c:pt idx="181">
                  <c:v>0.05</c:v>
                </c:pt>
                <c:pt idx="182">
                  <c:v>7.0000000000000007E-2</c:v>
                </c:pt>
                <c:pt idx="183">
                  <c:v>0.13</c:v>
                </c:pt>
                <c:pt idx="184">
                  <c:v>0.14000000000000001</c:v>
                </c:pt>
                <c:pt idx="185">
                  <c:v>0.02</c:v>
                </c:pt>
                <c:pt idx="186">
                  <c:v>1.7</c:v>
                </c:pt>
                <c:pt idx="187">
                  <c:v>1.375</c:v>
                </c:pt>
                <c:pt idx="188">
                  <c:v>1.37</c:v>
                </c:pt>
                <c:pt idx="189">
                  <c:v>1.45</c:v>
                </c:pt>
                <c:pt idx="190">
                  <c:v>1.74</c:v>
                </c:pt>
                <c:pt idx="191">
                  <c:v>1.2050000000000001</c:v>
                </c:pt>
                <c:pt idx="192">
                  <c:v>1.84</c:v>
                </c:pt>
                <c:pt idx="193">
                  <c:v>1.76</c:v>
                </c:pt>
                <c:pt idx="194">
                  <c:v>1.58</c:v>
                </c:pt>
                <c:pt idx="195">
                  <c:v>1.7349999999999999</c:v>
                </c:pt>
                <c:pt idx="196">
                  <c:v>1.37</c:v>
                </c:pt>
                <c:pt idx="197">
                  <c:v>0.05</c:v>
                </c:pt>
                <c:pt idx="198">
                  <c:v>0</c:v>
                </c:pt>
                <c:pt idx="199">
                  <c:v>7.0000000000000007E-2</c:v>
                </c:pt>
                <c:pt idx="200">
                  <c:v>0.11</c:v>
                </c:pt>
                <c:pt idx="201">
                  <c:v>6.5000000000000002E-2</c:v>
                </c:pt>
                <c:pt idx="202">
                  <c:v>0.09</c:v>
                </c:pt>
                <c:pt idx="203">
                  <c:v>0.05</c:v>
                </c:pt>
                <c:pt idx="204">
                  <c:v>0.04</c:v>
                </c:pt>
                <c:pt idx="205">
                  <c:v>0.08</c:v>
                </c:pt>
              </c:numCache>
            </c:numRef>
          </c:xVal>
          <c:yVal>
            <c:numRef>
              <c:f>Physicochemical_Managed!$V$2:$V$207</c:f>
              <c:numCache>
                <c:formatCode>0.000</c:formatCode>
                <c:ptCount val="206"/>
                <c:pt idx="0">
                  <c:v>0.11</c:v>
                </c:pt>
                <c:pt idx="1">
                  <c:v>0.19</c:v>
                </c:pt>
                <c:pt idx="2">
                  <c:v>7.0000000000000007E-2</c:v>
                </c:pt>
                <c:pt idx="3">
                  <c:v>0.09</c:v>
                </c:pt>
                <c:pt idx="4">
                  <c:v>0.06</c:v>
                </c:pt>
                <c:pt idx="5">
                  <c:v>0.25</c:v>
                </c:pt>
                <c:pt idx="6">
                  <c:v>7.0000000000000007E-2</c:v>
                </c:pt>
                <c:pt idx="7">
                  <c:v>0.56000000000000005</c:v>
                </c:pt>
                <c:pt idx="8">
                  <c:v>0.14000000000000001</c:v>
                </c:pt>
                <c:pt idx="9">
                  <c:v>0.08</c:v>
                </c:pt>
                <c:pt idx="10">
                  <c:v>0.03</c:v>
                </c:pt>
                <c:pt idx="11">
                  <c:v>0.26</c:v>
                </c:pt>
                <c:pt idx="12">
                  <c:v>0.06</c:v>
                </c:pt>
                <c:pt idx="13">
                  <c:v>7.0000000000000007E-2</c:v>
                </c:pt>
                <c:pt idx="14">
                  <c:v>0.01</c:v>
                </c:pt>
                <c:pt idx="15">
                  <c:v>0.04</c:v>
                </c:pt>
                <c:pt idx="16">
                  <c:v>0.01</c:v>
                </c:pt>
                <c:pt idx="17">
                  <c:v>0.36</c:v>
                </c:pt>
                <c:pt idx="18">
                  <c:v>0.03</c:v>
                </c:pt>
                <c:pt idx="19">
                  <c:v>0</c:v>
                </c:pt>
                <c:pt idx="20">
                  <c:v>0.2233333333333333</c:v>
                </c:pt>
                <c:pt idx="21">
                  <c:v>0.15</c:v>
                </c:pt>
                <c:pt idx="22">
                  <c:v>0.34</c:v>
                </c:pt>
                <c:pt idx="23">
                  <c:v>0.18</c:v>
                </c:pt>
                <c:pt idx="24">
                  <c:v>0.13</c:v>
                </c:pt>
                <c:pt idx="25">
                  <c:v>0.2</c:v>
                </c:pt>
                <c:pt idx="26">
                  <c:v>0.27</c:v>
                </c:pt>
                <c:pt idx="27">
                  <c:v>0.25</c:v>
                </c:pt>
                <c:pt idx="28">
                  <c:v>0</c:v>
                </c:pt>
                <c:pt idx="29">
                  <c:v>0.25</c:v>
                </c:pt>
                <c:pt idx="30">
                  <c:v>0.03</c:v>
                </c:pt>
                <c:pt idx="31">
                  <c:v>0.03</c:v>
                </c:pt>
                <c:pt idx="32">
                  <c:v>0.02</c:v>
                </c:pt>
                <c:pt idx="33">
                  <c:v>0.02</c:v>
                </c:pt>
                <c:pt idx="34">
                  <c:v>0.19</c:v>
                </c:pt>
                <c:pt idx="35">
                  <c:v>0.18</c:v>
                </c:pt>
                <c:pt idx="36">
                  <c:v>0.11</c:v>
                </c:pt>
                <c:pt idx="37">
                  <c:v>0.16</c:v>
                </c:pt>
                <c:pt idx="38">
                  <c:v>0.29666666666666669</c:v>
                </c:pt>
                <c:pt idx="39">
                  <c:v>0.24</c:v>
                </c:pt>
                <c:pt idx="40">
                  <c:v>0.34</c:v>
                </c:pt>
                <c:pt idx="41">
                  <c:v>0.22</c:v>
                </c:pt>
                <c:pt idx="42">
                  <c:v>0.21</c:v>
                </c:pt>
                <c:pt idx="43">
                  <c:v>0.33</c:v>
                </c:pt>
                <c:pt idx="44">
                  <c:v>0.25</c:v>
                </c:pt>
                <c:pt idx="45">
                  <c:v>0.14000000000000001</c:v>
                </c:pt>
                <c:pt idx="46">
                  <c:v>0.03</c:v>
                </c:pt>
                <c:pt idx="47">
                  <c:v>0.21</c:v>
                </c:pt>
                <c:pt idx="48">
                  <c:v>0.03</c:v>
                </c:pt>
                <c:pt idx="49">
                  <c:v>0.22</c:v>
                </c:pt>
                <c:pt idx="50">
                  <c:v>0.03</c:v>
                </c:pt>
                <c:pt idx="51">
                  <c:v>0.16</c:v>
                </c:pt>
                <c:pt idx="52">
                  <c:v>0.25</c:v>
                </c:pt>
                <c:pt idx="53">
                  <c:v>0.18</c:v>
                </c:pt>
                <c:pt idx="54">
                  <c:v>0.18</c:v>
                </c:pt>
                <c:pt idx="55">
                  <c:v>0.21</c:v>
                </c:pt>
                <c:pt idx="56">
                  <c:v>0.33</c:v>
                </c:pt>
                <c:pt idx="57">
                  <c:v>0.22</c:v>
                </c:pt>
                <c:pt idx="58">
                  <c:v>0.39</c:v>
                </c:pt>
                <c:pt idx="59">
                  <c:v>0.28999999999999998</c:v>
                </c:pt>
                <c:pt idx="60">
                  <c:v>0.23</c:v>
                </c:pt>
                <c:pt idx="61">
                  <c:v>0.17</c:v>
                </c:pt>
                <c:pt idx="62">
                  <c:v>0.19</c:v>
                </c:pt>
                <c:pt idx="63">
                  <c:v>0.2</c:v>
                </c:pt>
                <c:pt idx="64">
                  <c:v>0.33</c:v>
                </c:pt>
                <c:pt idx="65">
                  <c:v>0.19</c:v>
                </c:pt>
                <c:pt idx="66">
                  <c:v>0.1</c:v>
                </c:pt>
                <c:pt idx="67">
                  <c:v>0.05</c:v>
                </c:pt>
                <c:pt idx="68">
                  <c:v>0.01</c:v>
                </c:pt>
                <c:pt idx="69">
                  <c:v>0.24</c:v>
                </c:pt>
                <c:pt idx="70">
                  <c:v>0.03</c:v>
                </c:pt>
                <c:pt idx="71">
                  <c:v>0.17</c:v>
                </c:pt>
                <c:pt idx="72">
                  <c:v>0.19</c:v>
                </c:pt>
                <c:pt idx="73">
                  <c:v>0.24</c:v>
                </c:pt>
                <c:pt idx="74">
                  <c:v>0.7</c:v>
                </c:pt>
                <c:pt idx="75">
                  <c:v>0.32333333333333331</c:v>
                </c:pt>
                <c:pt idx="76">
                  <c:v>0.24</c:v>
                </c:pt>
                <c:pt idx="77">
                  <c:v>0.28999999999999998</c:v>
                </c:pt>
                <c:pt idx="78">
                  <c:v>0.28000000000000003</c:v>
                </c:pt>
                <c:pt idx="79">
                  <c:v>0.33999999999999997</c:v>
                </c:pt>
                <c:pt idx="80">
                  <c:v>0.28000000000000003</c:v>
                </c:pt>
                <c:pt idx="81">
                  <c:v>0.32</c:v>
                </c:pt>
                <c:pt idx="82">
                  <c:v>0.34</c:v>
                </c:pt>
                <c:pt idx="83">
                  <c:v>0.29000000000000004</c:v>
                </c:pt>
                <c:pt idx="84">
                  <c:v>0.31</c:v>
                </c:pt>
                <c:pt idx="85">
                  <c:v>0.41500000000000004</c:v>
                </c:pt>
                <c:pt idx="86">
                  <c:v>0.49</c:v>
                </c:pt>
                <c:pt idx="87">
                  <c:v>0.13500000000000001</c:v>
                </c:pt>
                <c:pt idx="88">
                  <c:v>0.23</c:v>
                </c:pt>
                <c:pt idx="89">
                  <c:v>2.5000000000000001E-2</c:v>
                </c:pt>
                <c:pt idx="90">
                  <c:v>0.09</c:v>
                </c:pt>
                <c:pt idx="91">
                  <c:v>6.5000000000000002E-2</c:v>
                </c:pt>
                <c:pt idx="92">
                  <c:v>0.05</c:v>
                </c:pt>
                <c:pt idx="93">
                  <c:v>3.5000000000000003E-2</c:v>
                </c:pt>
                <c:pt idx="94">
                  <c:v>7.0000000000000007E-2</c:v>
                </c:pt>
                <c:pt idx="95">
                  <c:v>0.17499999999999999</c:v>
                </c:pt>
                <c:pt idx="96">
                  <c:v>7.0000000000000007E-2</c:v>
                </c:pt>
                <c:pt idx="97">
                  <c:v>6.9999999999999993E-2</c:v>
                </c:pt>
                <c:pt idx="98">
                  <c:v>0.06</c:v>
                </c:pt>
                <c:pt idx="99">
                  <c:v>0.18</c:v>
                </c:pt>
                <c:pt idx="100">
                  <c:v>0.21</c:v>
                </c:pt>
                <c:pt idx="101">
                  <c:v>0.27</c:v>
                </c:pt>
                <c:pt idx="102">
                  <c:v>0.23</c:v>
                </c:pt>
                <c:pt idx="103">
                  <c:v>0.18</c:v>
                </c:pt>
                <c:pt idx="104">
                  <c:v>0.19</c:v>
                </c:pt>
                <c:pt idx="105">
                  <c:v>0.17499999999999999</c:v>
                </c:pt>
                <c:pt idx="106">
                  <c:v>0.12</c:v>
                </c:pt>
                <c:pt idx="107">
                  <c:v>0.24</c:v>
                </c:pt>
                <c:pt idx="108">
                  <c:v>0.20500000000000002</c:v>
                </c:pt>
                <c:pt idx="109">
                  <c:v>0.24</c:v>
                </c:pt>
                <c:pt idx="110">
                  <c:v>0.15</c:v>
                </c:pt>
                <c:pt idx="111">
                  <c:v>0.32</c:v>
                </c:pt>
                <c:pt idx="112">
                  <c:v>0.43</c:v>
                </c:pt>
                <c:pt idx="113">
                  <c:v>0.28500000000000003</c:v>
                </c:pt>
                <c:pt idx="114">
                  <c:v>0.21</c:v>
                </c:pt>
                <c:pt idx="115">
                  <c:v>0.2</c:v>
                </c:pt>
                <c:pt idx="116">
                  <c:v>0.25</c:v>
                </c:pt>
                <c:pt idx="117">
                  <c:v>0.26</c:v>
                </c:pt>
                <c:pt idx="118">
                  <c:v>0.34</c:v>
                </c:pt>
                <c:pt idx="119">
                  <c:v>0.155</c:v>
                </c:pt>
                <c:pt idx="120">
                  <c:v>0.1</c:v>
                </c:pt>
                <c:pt idx="121">
                  <c:v>0.09</c:v>
                </c:pt>
                <c:pt idx="122">
                  <c:v>0.19</c:v>
                </c:pt>
                <c:pt idx="123">
                  <c:v>0.1</c:v>
                </c:pt>
                <c:pt idx="124">
                  <c:v>1.4999999999999999E-2</c:v>
                </c:pt>
                <c:pt idx="125">
                  <c:v>0.1</c:v>
                </c:pt>
                <c:pt idx="126">
                  <c:v>0.04</c:v>
                </c:pt>
                <c:pt idx="127">
                  <c:v>0.03</c:v>
                </c:pt>
                <c:pt idx="128">
                  <c:v>0.05</c:v>
                </c:pt>
                <c:pt idx="129">
                  <c:v>0.04</c:v>
                </c:pt>
                <c:pt idx="130">
                  <c:v>9.5000000000000001E-2</c:v>
                </c:pt>
                <c:pt idx="131">
                  <c:v>4.6666666666666669E-2</c:v>
                </c:pt>
                <c:pt idx="132">
                  <c:v>0.18</c:v>
                </c:pt>
                <c:pt idx="133">
                  <c:v>0.14000000000000001</c:v>
                </c:pt>
                <c:pt idx="134">
                  <c:v>0.11</c:v>
                </c:pt>
                <c:pt idx="135">
                  <c:v>0.115</c:v>
                </c:pt>
                <c:pt idx="136">
                  <c:v>0.14000000000000001</c:v>
                </c:pt>
                <c:pt idx="137">
                  <c:v>0.14499999999999999</c:v>
                </c:pt>
                <c:pt idx="138">
                  <c:v>0.19</c:v>
                </c:pt>
                <c:pt idx="139">
                  <c:v>0.13500000000000001</c:v>
                </c:pt>
                <c:pt idx="140">
                  <c:v>0.1</c:v>
                </c:pt>
                <c:pt idx="141">
                  <c:v>0.245</c:v>
                </c:pt>
                <c:pt idx="142">
                  <c:v>0.16500000000000001</c:v>
                </c:pt>
                <c:pt idx="143">
                  <c:v>0.22</c:v>
                </c:pt>
                <c:pt idx="144">
                  <c:v>0.18</c:v>
                </c:pt>
                <c:pt idx="145">
                  <c:v>0.28999999999999998</c:v>
                </c:pt>
                <c:pt idx="146">
                  <c:v>0.2</c:v>
                </c:pt>
                <c:pt idx="147">
                  <c:v>0.27</c:v>
                </c:pt>
                <c:pt idx="148">
                  <c:v>0.24</c:v>
                </c:pt>
                <c:pt idx="149">
                  <c:v>0.21000000000000002</c:v>
                </c:pt>
                <c:pt idx="150">
                  <c:v>0.18</c:v>
                </c:pt>
                <c:pt idx="151">
                  <c:v>0.27500000000000002</c:v>
                </c:pt>
                <c:pt idx="152">
                  <c:v>0.27</c:v>
                </c:pt>
                <c:pt idx="153">
                  <c:v>0.21500000000000002</c:v>
                </c:pt>
                <c:pt idx="154">
                  <c:v>0.05</c:v>
                </c:pt>
                <c:pt idx="155">
                  <c:v>0.155</c:v>
                </c:pt>
                <c:pt idx="156">
                  <c:v>0.12</c:v>
                </c:pt>
                <c:pt idx="157">
                  <c:v>0.08</c:v>
                </c:pt>
                <c:pt idx="158">
                  <c:v>0.02</c:v>
                </c:pt>
                <c:pt idx="159">
                  <c:v>0.04</c:v>
                </c:pt>
                <c:pt idx="160">
                  <c:v>0.01</c:v>
                </c:pt>
                <c:pt idx="161">
                  <c:v>1.4999999999999999E-2</c:v>
                </c:pt>
                <c:pt idx="162">
                  <c:v>0.09</c:v>
                </c:pt>
                <c:pt idx="163">
                  <c:v>0.02</c:v>
                </c:pt>
                <c:pt idx="164">
                  <c:v>0.04</c:v>
                </c:pt>
                <c:pt idx="165">
                  <c:v>0.15</c:v>
                </c:pt>
                <c:pt idx="166">
                  <c:v>0.24</c:v>
                </c:pt>
                <c:pt idx="167">
                  <c:v>0.16500000000000001</c:v>
                </c:pt>
                <c:pt idx="168">
                  <c:v>0.1</c:v>
                </c:pt>
                <c:pt idx="169">
                  <c:v>0.15000000000000002</c:v>
                </c:pt>
                <c:pt idx="170">
                  <c:v>0.16</c:v>
                </c:pt>
                <c:pt idx="171">
                  <c:v>0.23</c:v>
                </c:pt>
                <c:pt idx="172">
                  <c:v>0.14000000000000001</c:v>
                </c:pt>
                <c:pt idx="173">
                  <c:v>0.17</c:v>
                </c:pt>
                <c:pt idx="174">
                  <c:v>0.23499999999999999</c:v>
                </c:pt>
                <c:pt idx="175">
                  <c:v>0.27</c:v>
                </c:pt>
                <c:pt idx="176">
                  <c:v>0.27</c:v>
                </c:pt>
                <c:pt idx="177">
                  <c:v>0.22</c:v>
                </c:pt>
                <c:pt idx="178">
                  <c:v>0.25</c:v>
                </c:pt>
                <c:pt idx="179">
                  <c:v>0.25</c:v>
                </c:pt>
                <c:pt idx="180">
                  <c:v>0.22</c:v>
                </c:pt>
                <c:pt idx="181">
                  <c:v>0.23499999999999999</c:v>
                </c:pt>
                <c:pt idx="182">
                  <c:v>0.24</c:v>
                </c:pt>
                <c:pt idx="183">
                  <c:v>0.33499999999999996</c:v>
                </c:pt>
                <c:pt idx="184">
                  <c:v>0.01</c:v>
                </c:pt>
                <c:pt idx="185">
                  <c:v>6.5000000000000002E-2</c:v>
                </c:pt>
                <c:pt idx="186">
                  <c:v>0.03</c:v>
                </c:pt>
                <c:pt idx="187">
                  <c:v>8.4999999999999992E-2</c:v>
                </c:pt>
                <c:pt idx="188">
                  <c:v>0.02</c:v>
                </c:pt>
                <c:pt idx="189">
                  <c:v>0.08</c:v>
                </c:pt>
                <c:pt idx="190">
                  <c:v>0.02</c:v>
                </c:pt>
                <c:pt idx="191">
                  <c:v>0.12000000000000001</c:v>
                </c:pt>
                <c:pt idx="192">
                  <c:v>0.02</c:v>
                </c:pt>
                <c:pt idx="193">
                  <c:v>3.5000000000000003E-2</c:v>
                </c:pt>
                <c:pt idx="194">
                  <c:v>0.03</c:v>
                </c:pt>
                <c:pt idx="195">
                  <c:v>0.02</c:v>
                </c:pt>
                <c:pt idx="196">
                  <c:v>0.04</c:v>
                </c:pt>
                <c:pt idx="197">
                  <c:v>0.15000000000000002</c:v>
                </c:pt>
                <c:pt idx="198">
                  <c:v>0.19</c:v>
                </c:pt>
                <c:pt idx="199">
                  <c:v>0.20500000000000002</c:v>
                </c:pt>
                <c:pt idx="200">
                  <c:v>0.21</c:v>
                </c:pt>
                <c:pt idx="201">
                  <c:v>0.24</c:v>
                </c:pt>
                <c:pt idx="202">
                  <c:v>0.19</c:v>
                </c:pt>
                <c:pt idx="203">
                  <c:v>0.23499999999999999</c:v>
                </c:pt>
                <c:pt idx="204">
                  <c:v>0.24</c:v>
                </c:pt>
                <c:pt idx="205">
                  <c:v>0.37</c:v>
                </c:pt>
              </c:numCache>
            </c:numRef>
          </c:yVal>
          <c:smooth val="0"/>
          <c:extLst>
            <c:ext xmlns:c16="http://schemas.microsoft.com/office/drawing/2014/chart" uri="{C3380CC4-5D6E-409C-BE32-E72D297353CC}">
              <c16:uniqueId val="{00000001-16F7-449C-BEAF-EF15A52DDCCF}"/>
            </c:ext>
          </c:extLst>
        </c:ser>
        <c:ser>
          <c:idx val="1"/>
          <c:order val="1"/>
          <c:tx>
            <c:v>Monochloramine</c:v>
          </c:tx>
          <c:spPr>
            <a:ln w="25400" cap="rnd">
              <a:noFill/>
              <a:round/>
            </a:ln>
            <a:effectLst/>
          </c:spPr>
          <c:marker>
            <c:symbol val="circle"/>
            <c:size val="6"/>
            <c:spPr>
              <a:solidFill>
                <a:srgbClr val="F04646"/>
              </a:solidFill>
              <a:ln w="12700">
                <a:solidFill>
                  <a:srgbClr val="F04646"/>
                </a:solidFill>
              </a:ln>
              <a:effectLst/>
            </c:spPr>
          </c:marker>
          <c:trendline>
            <c:spPr>
              <a:ln w="25400" cap="rnd">
                <a:solidFill>
                  <a:srgbClr val="F04646"/>
                </a:solidFill>
                <a:prstDash val="dash"/>
              </a:ln>
              <a:effectLst/>
            </c:spPr>
            <c:trendlineType val="linear"/>
            <c:dispRSqr val="1"/>
            <c:dispEq val="1"/>
            <c:trendlineLbl>
              <c:layout>
                <c:manualLayout>
                  <c:x val="4.1837742254825651E-2"/>
                  <c:y val="-0.18084213170916499"/>
                </c:manualLayout>
              </c:layout>
              <c:tx>
                <c:rich>
                  <a:bodyPr rot="0" spcFirstLastPara="1" vertOverflow="ellipsis" vert="horz" wrap="square" anchor="ctr" anchorCtr="1"/>
                  <a:lstStyle/>
                  <a:p>
                    <a:pPr>
                      <a:defRPr sz="1200" b="0" i="0" u="none" strike="noStrike" kern="1200" baseline="0">
                        <a:solidFill>
                          <a:srgbClr val="F04646"/>
                        </a:solidFill>
                        <a:latin typeface="Times New Roman" panose="02020603050405020304" pitchFamily="18" charset="0"/>
                        <a:ea typeface="+mn-ea"/>
                        <a:cs typeface="Times New Roman" panose="02020603050405020304" pitchFamily="18" charset="0"/>
                      </a:defRPr>
                    </a:pPr>
                    <a:r>
                      <a:rPr lang="en-US" i="1" baseline="0">
                        <a:solidFill>
                          <a:srgbClr val="F04646"/>
                        </a:solidFill>
                      </a:rPr>
                      <a:t>y</a:t>
                    </a:r>
                    <a:r>
                      <a:rPr lang="en-US" baseline="0">
                        <a:solidFill>
                          <a:srgbClr val="F04646"/>
                        </a:solidFill>
                      </a:rPr>
                      <a:t> = 0.036</a:t>
                    </a:r>
                    <a:r>
                      <a:rPr lang="en-US" i="1" baseline="0">
                        <a:solidFill>
                          <a:srgbClr val="F04646"/>
                        </a:solidFill>
                      </a:rPr>
                      <a:t>x</a:t>
                    </a:r>
                    <a:r>
                      <a:rPr lang="en-US" baseline="0">
                        <a:solidFill>
                          <a:srgbClr val="F04646"/>
                        </a:solidFill>
                      </a:rPr>
                      <a:t> + 0.129</a:t>
                    </a:r>
                    <a:br>
                      <a:rPr lang="en-US" baseline="0">
                        <a:solidFill>
                          <a:srgbClr val="F04646"/>
                        </a:solidFill>
                      </a:rPr>
                    </a:br>
                    <a:r>
                      <a:rPr lang="en-US" baseline="0">
                        <a:solidFill>
                          <a:srgbClr val="F04646"/>
                        </a:solidFill>
                      </a:rPr>
                      <a:t>Adjusted </a:t>
                    </a:r>
                    <a:r>
                      <a:rPr lang="en-US" i="1" baseline="0">
                        <a:solidFill>
                          <a:srgbClr val="F04646"/>
                        </a:solidFill>
                      </a:rPr>
                      <a:t>R</a:t>
                    </a:r>
                    <a:r>
                      <a:rPr lang="en-US" baseline="0">
                        <a:solidFill>
                          <a:srgbClr val="F04646"/>
                        </a:solidFill>
                      </a:rPr>
                      <a:t>² = 0.108, </a:t>
                    </a:r>
                    <a:r>
                      <a:rPr lang="en-US" i="1" baseline="0">
                        <a:solidFill>
                          <a:srgbClr val="F04646"/>
                        </a:solidFill>
                      </a:rPr>
                      <a:t>p</a:t>
                    </a:r>
                    <a:r>
                      <a:rPr lang="en-US" baseline="0">
                        <a:solidFill>
                          <a:srgbClr val="F04646"/>
                        </a:solidFill>
                      </a:rPr>
                      <a:t> &lt; 0.001 </a:t>
                    </a:r>
                    <a:endParaRPr lang="en-US">
                      <a:solidFill>
                        <a:srgbClr val="F04646"/>
                      </a:solidFill>
                    </a:endParaRPr>
                  </a:p>
                </c:rich>
              </c:tx>
              <c:numFmt formatCode="General" sourceLinked="0"/>
              <c:spPr>
                <a:noFill/>
                <a:ln>
                  <a:noFill/>
                </a:ln>
                <a:effectLst/>
              </c:spPr>
              <c:txPr>
                <a:bodyPr rot="0" spcFirstLastPara="1" vertOverflow="ellipsis" vert="horz" wrap="square" anchor="ctr" anchorCtr="1"/>
                <a:lstStyle/>
                <a:p>
                  <a:pPr>
                    <a:defRPr sz="1200" b="0" i="0" u="none" strike="noStrike" kern="1200" baseline="0">
                      <a:solidFill>
                        <a:srgbClr val="F04646"/>
                      </a:solidFill>
                      <a:latin typeface="Times New Roman" panose="02020603050405020304" pitchFamily="18" charset="0"/>
                      <a:ea typeface="+mn-ea"/>
                      <a:cs typeface="Times New Roman" panose="02020603050405020304" pitchFamily="18" charset="0"/>
                    </a:defRPr>
                  </a:pPr>
                  <a:endParaRPr lang="en-US"/>
                </a:p>
              </c:txPr>
            </c:trendlineLbl>
          </c:trendline>
          <c:xVal>
            <c:numRef>
              <c:f>Physicochemical_Managed!$T$2:$T$207</c:f>
              <c:numCache>
                <c:formatCode>0.000</c:formatCode>
                <c:ptCount val="206"/>
                <c:pt idx="0">
                  <c:v>3.3733333333333335</c:v>
                </c:pt>
                <c:pt idx="1">
                  <c:v>3.21</c:v>
                </c:pt>
                <c:pt idx="2">
                  <c:v>3.37</c:v>
                </c:pt>
                <c:pt idx="3">
                  <c:v>3.62</c:v>
                </c:pt>
                <c:pt idx="4">
                  <c:v>3.61</c:v>
                </c:pt>
                <c:pt idx="5">
                  <c:v>3.6</c:v>
                </c:pt>
                <c:pt idx="6">
                  <c:v>3.5</c:v>
                </c:pt>
                <c:pt idx="7">
                  <c:v>3.32</c:v>
                </c:pt>
                <c:pt idx="8">
                  <c:v>3.91</c:v>
                </c:pt>
                <c:pt idx="9">
                  <c:v>0.01</c:v>
                </c:pt>
                <c:pt idx="10">
                  <c:v>0</c:v>
                </c:pt>
                <c:pt idx="11">
                  <c:v>0.31</c:v>
                </c:pt>
                <c:pt idx="12">
                  <c:v>0</c:v>
                </c:pt>
                <c:pt idx="13">
                  <c:v>0.02</c:v>
                </c:pt>
                <c:pt idx="14">
                  <c:v>0.01</c:v>
                </c:pt>
                <c:pt idx="15">
                  <c:v>3.49</c:v>
                </c:pt>
                <c:pt idx="16">
                  <c:v>3.53</c:v>
                </c:pt>
                <c:pt idx="17">
                  <c:v>3.26</c:v>
                </c:pt>
                <c:pt idx="18">
                  <c:v>3.66</c:v>
                </c:pt>
                <c:pt idx="19">
                  <c:v>3.94</c:v>
                </c:pt>
                <c:pt idx="20">
                  <c:v>2.2066666666666666</c:v>
                </c:pt>
                <c:pt idx="21">
                  <c:v>2.15</c:v>
                </c:pt>
                <c:pt idx="22">
                  <c:v>2.2000000000000002</c:v>
                </c:pt>
                <c:pt idx="23">
                  <c:v>2.0299999999999998</c:v>
                </c:pt>
                <c:pt idx="24">
                  <c:v>2.04</c:v>
                </c:pt>
                <c:pt idx="25">
                  <c:v>1.99</c:v>
                </c:pt>
                <c:pt idx="26">
                  <c:v>2.2799999999999998</c:v>
                </c:pt>
                <c:pt idx="27">
                  <c:v>2.2799999999999998</c:v>
                </c:pt>
                <c:pt idx="28">
                  <c:v>0</c:v>
                </c:pt>
                <c:pt idx="29">
                  <c:v>0.01</c:v>
                </c:pt>
                <c:pt idx="30">
                  <c:v>0.03</c:v>
                </c:pt>
                <c:pt idx="31">
                  <c:v>0.01</c:v>
                </c:pt>
                <c:pt idx="32">
                  <c:v>0.03</c:v>
                </c:pt>
                <c:pt idx="33">
                  <c:v>0.02</c:v>
                </c:pt>
                <c:pt idx="34">
                  <c:v>2.19</c:v>
                </c:pt>
                <c:pt idx="35">
                  <c:v>2.0099999999999998</c:v>
                </c:pt>
                <c:pt idx="36">
                  <c:v>1.96</c:v>
                </c:pt>
                <c:pt idx="37">
                  <c:v>1.24</c:v>
                </c:pt>
                <c:pt idx="38">
                  <c:v>1.9000000000000001</c:v>
                </c:pt>
                <c:pt idx="39">
                  <c:v>1.83</c:v>
                </c:pt>
                <c:pt idx="40">
                  <c:v>1.88</c:v>
                </c:pt>
                <c:pt idx="41">
                  <c:v>1.87</c:v>
                </c:pt>
                <c:pt idx="42">
                  <c:v>1.78</c:v>
                </c:pt>
                <c:pt idx="43">
                  <c:v>1.77</c:v>
                </c:pt>
                <c:pt idx="44">
                  <c:v>1.72</c:v>
                </c:pt>
                <c:pt idx="45">
                  <c:v>1.82</c:v>
                </c:pt>
                <c:pt idx="46">
                  <c:v>0</c:v>
                </c:pt>
                <c:pt idx="47">
                  <c:v>0.01</c:v>
                </c:pt>
                <c:pt idx="48">
                  <c:v>0</c:v>
                </c:pt>
                <c:pt idx="49">
                  <c:v>0.02</c:v>
                </c:pt>
                <c:pt idx="50">
                  <c:v>0</c:v>
                </c:pt>
                <c:pt idx="51">
                  <c:v>0.84</c:v>
                </c:pt>
                <c:pt idx="52">
                  <c:v>1.69</c:v>
                </c:pt>
                <c:pt idx="53">
                  <c:v>1.59</c:v>
                </c:pt>
                <c:pt idx="54">
                  <c:v>1.61</c:v>
                </c:pt>
                <c:pt idx="55">
                  <c:v>1.21</c:v>
                </c:pt>
                <c:pt idx="56">
                  <c:v>0.70666666666666667</c:v>
                </c:pt>
                <c:pt idx="57">
                  <c:v>0.65</c:v>
                </c:pt>
                <c:pt idx="58">
                  <c:v>0.72</c:v>
                </c:pt>
                <c:pt idx="59">
                  <c:v>0.6</c:v>
                </c:pt>
                <c:pt idx="60">
                  <c:v>0.85</c:v>
                </c:pt>
                <c:pt idx="61">
                  <c:v>0.34</c:v>
                </c:pt>
                <c:pt idx="62">
                  <c:v>0.49</c:v>
                </c:pt>
                <c:pt idx="63">
                  <c:v>0.73</c:v>
                </c:pt>
                <c:pt idx="64">
                  <c:v>0.71</c:v>
                </c:pt>
                <c:pt idx="65">
                  <c:v>0.01</c:v>
                </c:pt>
                <c:pt idx="66">
                  <c:v>0.01</c:v>
                </c:pt>
                <c:pt idx="67">
                  <c:v>0.01</c:v>
                </c:pt>
                <c:pt idx="68">
                  <c:v>0.01</c:v>
                </c:pt>
                <c:pt idx="69">
                  <c:v>0</c:v>
                </c:pt>
                <c:pt idx="70">
                  <c:v>0</c:v>
                </c:pt>
                <c:pt idx="71">
                  <c:v>0.7</c:v>
                </c:pt>
                <c:pt idx="72">
                  <c:v>0.84</c:v>
                </c:pt>
                <c:pt idx="73">
                  <c:v>0.66</c:v>
                </c:pt>
                <c:pt idx="74">
                  <c:v>0.7</c:v>
                </c:pt>
                <c:pt idx="75">
                  <c:v>1.66</c:v>
                </c:pt>
                <c:pt idx="76">
                  <c:v>1.49</c:v>
                </c:pt>
                <c:pt idx="77">
                  <c:v>1.48</c:v>
                </c:pt>
                <c:pt idx="78">
                  <c:v>1.36</c:v>
                </c:pt>
                <c:pt idx="79">
                  <c:v>1.6800000000000002</c:v>
                </c:pt>
                <c:pt idx="80">
                  <c:v>1.44</c:v>
                </c:pt>
                <c:pt idx="81">
                  <c:v>1.65</c:v>
                </c:pt>
                <c:pt idx="82">
                  <c:v>1.75</c:v>
                </c:pt>
                <c:pt idx="83">
                  <c:v>1.32</c:v>
                </c:pt>
                <c:pt idx="84">
                  <c:v>1.45</c:v>
                </c:pt>
                <c:pt idx="85">
                  <c:v>1.365</c:v>
                </c:pt>
                <c:pt idx="86">
                  <c:v>1.27</c:v>
                </c:pt>
                <c:pt idx="87">
                  <c:v>6.0000000000000005E-2</c:v>
                </c:pt>
                <c:pt idx="88">
                  <c:v>0.04</c:v>
                </c:pt>
                <c:pt idx="89">
                  <c:v>7.0000000000000007E-2</c:v>
                </c:pt>
                <c:pt idx="90">
                  <c:v>0.04</c:v>
                </c:pt>
                <c:pt idx="91">
                  <c:v>5.5000000000000007E-2</c:v>
                </c:pt>
                <c:pt idx="92">
                  <c:v>0.05</c:v>
                </c:pt>
                <c:pt idx="93">
                  <c:v>0.03</c:v>
                </c:pt>
                <c:pt idx="94">
                  <c:v>0.04</c:v>
                </c:pt>
                <c:pt idx="95">
                  <c:v>3.5000000000000003E-2</c:v>
                </c:pt>
                <c:pt idx="96">
                  <c:v>0.01</c:v>
                </c:pt>
                <c:pt idx="97">
                  <c:v>0.01</c:v>
                </c:pt>
                <c:pt idx="98">
                  <c:v>0</c:v>
                </c:pt>
                <c:pt idx="99">
                  <c:v>1.32</c:v>
                </c:pt>
                <c:pt idx="100">
                  <c:v>1.04</c:v>
                </c:pt>
                <c:pt idx="101">
                  <c:v>0.89000000000000012</c:v>
                </c:pt>
                <c:pt idx="102">
                  <c:v>1.35</c:v>
                </c:pt>
                <c:pt idx="103">
                  <c:v>1.085</c:v>
                </c:pt>
                <c:pt idx="104">
                  <c:v>0.56999999999999995</c:v>
                </c:pt>
                <c:pt idx="105">
                  <c:v>1.2549999999999999</c:v>
                </c:pt>
                <c:pt idx="106">
                  <c:v>0.7</c:v>
                </c:pt>
                <c:pt idx="107">
                  <c:v>0.79</c:v>
                </c:pt>
                <c:pt idx="108">
                  <c:v>2.6</c:v>
                </c:pt>
                <c:pt idx="109">
                  <c:v>2.0499999999999998</c:v>
                </c:pt>
                <c:pt idx="110">
                  <c:v>2.1</c:v>
                </c:pt>
                <c:pt idx="111">
                  <c:v>1.48</c:v>
                </c:pt>
                <c:pt idx="112">
                  <c:v>1.5</c:v>
                </c:pt>
                <c:pt idx="113">
                  <c:v>2.4249999999999998</c:v>
                </c:pt>
                <c:pt idx="114">
                  <c:v>2.2000000000000002</c:v>
                </c:pt>
                <c:pt idx="115">
                  <c:v>2.39</c:v>
                </c:pt>
                <c:pt idx="116">
                  <c:v>2.16</c:v>
                </c:pt>
                <c:pt idx="117">
                  <c:v>2.34</c:v>
                </c:pt>
                <c:pt idx="118">
                  <c:v>2.2200000000000002</c:v>
                </c:pt>
                <c:pt idx="119">
                  <c:v>2.6100000000000003</c:v>
                </c:pt>
                <c:pt idx="120">
                  <c:v>0.23</c:v>
                </c:pt>
                <c:pt idx="121">
                  <c:v>0.02</c:v>
                </c:pt>
                <c:pt idx="122">
                  <c:v>0.02</c:v>
                </c:pt>
                <c:pt idx="123">
                  <c:v>0.02</c:v>
                </c:pt>
                <c:pt idx="124">
                  <c:v>0.01</c:v>
                </c:pt>
                <c:pt idx="125">
                  <c:v>0.02</c:v>
                </c:pt>
                <c:pt idx="126">
                  <c:v>0.01</c:v>
                </c:pt>
                <c:pt idx="127">
                  <c:v>0.02</c:v>
                </c:pt>
                <c:pt idx="128">
                  <c:v>5.0000000000000001E-3</c:v>
                </c:pt>
                <c:pt idx="129">
                  <c:v>0</c:v>
                </c:pt>
                <c:pt idx="130">
                  <c:v>0.02</c:v>
                </c:pt>
                <c:pt idx="131">
                  <c:v>0.01</c:v>
                </c:pt>
                <c:pt idx="132">
                  <c:v>1.77</c:v>
                </c:pt>
                <c:pt idx="133">
                  <c:v>2.0449999999999999</c:v>
                </c:pt>
                <c:pt idx="134">
                  <c:v>2.19</c:v>
                </c:pt>
                <c:pt idx="135">
                  <c:v>2.415</c:v>
                </c:pt>
                <c:pt idx="136">
                  <c:v>1.93</c:v>
                </c:pt>
                <c:pt idx="137">
                  <c:v>2.1950000000000003</c:v>
                </c:pt>
                <c:pt idx="138">
                  <c:v>1.72</c:v>
                </c:pt>
                <c:pt idx="139">
                  <c:v>2.27</c:v>
                </c:pt>
                <c:pt idx="140">
                  <c:v>2.35</c:v>
                </c:pt>
                <c:pt idx="141">
                  <c:v>2.1550000000000002</c:v>
                </c:pt>
                <c:pt idx="142">
                  <c:v>2.3650000000000002</c:v>
                </c:pt>
                <c:pt idx="143">
                  <c:v>1.72</c:v>
                </c:pt>
                <c:pt idx="144">
                  <c:v>1.74</c:v>
                </c:pt>
                <c:pt idx="145">
                  <c:v>1.55</c:v>
                </c:pt>
                <c:pt idx="146">
                  <c:v>1.61</c:v>
                </c:pt>
                <c:pt idx="147">
                  <c:v>1.52</c:v>
                </c:pt>
                <c:pt idx="148">
                  <c:v>1.1599999999999999</c:v>
                </c:pt>
                <c:pt idx="149">
                  <c:v>1.56</c:v>
                </c:pt>
                <c:pt idx="150">
                  <c:v>1.61</c:v>
                </c:pt>
                <c:pt idx="151">
                  <c:v>1.4950000000000001</c:v>
                </c:pt>
                <c:pt idx="152">
                  <c:v>1.65</c:v>
                </c:pt>
                <c:pt idx="153">
                  <c:v>1.6549999999999998</c:v>
                </c:pt>
                <c:pt idx="154">
                  <c:v>0.02</c:v>
                </c:pt>
                <c:pt idx="155">
                  <c:v>1.4999999999999999E-2</c:v>
                </c:pt>
                <c:pt idx="156">
                  <c:v>0</c:v>
                </c:pt>
                <c:pt idx="157">
                  <c:v>5.0000000000000001E-3</c:v>
                </c:pt>
                <c:pt idx="158">
                  <c:v>0.03</c:v>
                </c:pt>
                <c:pt idx="159">
                  <c:v>5.0000000000000001E-3</c:v>
                </c:pt>
                <c:pt idx="160">
                  <c:v>0.04</c:v>
                </c:pt>
                <c:pt idx="161">
                  <c:v>0.02</c:v>
                </c:pt>
                <c:pt idx="162">
                  <c:v>0.04</c:v>
                </c:pt>
                <c:pt idx="163">
                  <c:v>0.01</c:v>
                </c:pt>
                <c:pt idx="164">
                  <c:v>0.74</c:v>
                </c:pt>
                <c:pt idx="165">
                  <c:v>1.9849999999999999</c:v>
                </c:pt>
                <c:pt idx="166">
                  <c:v>1.97</c:v>
                </c:pt>
                <c:pt idx="167">
                  <c:v>2.0199999999999996</c:v>
                </c:pt>
                <c:pt idx="168">
                  <c:v>1.89</c:v>
                </c:pt>
                <c:pt idx="169">
                  <c:v>1.855</c:v>
                </c:pt>
                <c:pt idx="170">
                  <c:v>1.67</c:v>
                </c:pt>
                <c:pt idx="171">
                  <c:v>1.87</c:v>
                </c:pt>
                <c:pt idx="172">
                  <c:v>1.18</c:v>
                </c:pt>
                <c:pt idx="173">
                  <c:v>1.34</c:v>
                </c:pt>
                <c:pt idx="174">
                  <c:v>1.6400000000000001</c:v>
                </c:pt>
                <c:pt idx="175">
                  <c:v>1.42</c:v>
                </c:pt>
                <c:pt idx="176">
                  <c:v>1.29</c:v>
                </c:pt>
                <c:pt idx="177">
                  <c:v>1.1599999999999999</c:v>
                </c:pt>
                <c:pt idx="178">
                  <c:v>1.1499999999999999</c:v>
                </c:pt>
                <c:pt idx="179">
                  <c:v>1.01</c:v>
                </c:pt>
                <c:pt idx="180">
                  <c:v>1.05</c:v>
                </c:pt>
                <c:pt idx="181">
                  <c:v>0.90500000000000003</c:v>
                </c:pt>
                <c:pt idx="182">
                  <c:v>1.08</c:v>
                </c:pt>
                <c:pt idx="183">
                  <c:v>0.69</c:v>
                </c:pt>
                <c:pt idx="184">
                  <c:v>0.09</c:v>
                </c:pt>
                <c:pt idx="185">
                  <c:v>1.4999999999999999E-2</c:v>
                </c:pt>
                <c:pt idx="186">
                  <c:v>0.02</c:v>
                </c:pt>
                <c:pt idx="187">
                  <c:v>0.28500000000000003</c:v>
                </c:pt>
                <c:pt idx="188">
                  <c:v>0.02</c:v>
                </c:pt>
                <c:pt idx="189">
                  <c:v>0.06</c:v>
                </c:pt>
                <c:pt idx="190">
                  <c:v>0</c:v>
                </c:pt>
                <c:pt idx="191">
                  <c:v>0.01</c:v>
                </c:pt>
                <c:pt idx="192">
                  <c:v>0.02</c:v>
                </c:pt>
                <c:pt idx="193">
                  <c:v>0.01</c:v>
                </c:pt>
                <c:pt idx="194">
                  <c:v>0.01</c:v>
                </c:pt>
                <c:pt idx="195">
                  <c:v>0.01</c:v>
                </c:pt>
                <c:pt idx="196">
                  <c:v>0.02</c:v>
                </c:pt>
                <c:pt idx="197">
                  <c:v>0.60499999999999998</c:v>
                </c:pt>
                <c:pt idx="198">
                  <c:v>1.1299999999999999</c:v>
                </c:pt>
                <c:pt idx="199">
                  <c:v>1.02</c:v>
                </c:pt>
                <c:pt idx="200">
                  <c:v>1.04</c:v>
                </c:pt>
                <c:pt idx="201">
                  <c:v>0.76500000000000001</c:v>
                </c:pt>
                <c:pt idx="202">
                  <c:v>0.95</c:v>
                </c:pt>
                <c:pt idx="203">
                  <c:v>0.92500000000000004</c:v>
                </c:pt>
                <c:pt idx="204">
                  <c:v>0.75</c:v>
                </c:pt>
                <c:pt idx="205">
                  <c:v>1.03</c:v>
                </c:pt>
              </c:numCache>
            </c:numRef>
          </c:xVal>
          <c:yVal>
            <c:numRef>
              <c:f>Physicochemical_Managed!$V$2:$V$207</c:f>
              <c:numCache>
                <c:formatCode>0.000</c:formatCode>
                <c:ptCount val="206"/>
                <c:pt idx="0">
                  <c:v>0.11</c:v>
                </c:pt>
                <c:pt idx="1">
                  <c:v>0.19</c:v>
                </c:pt>
                <c:pt idx="2">
                  <c:v>7.0000000000000007E-2</c:v>
                </c:pt>
                <c:pt idx="3">
                  <c:v>0.09</c:v>
                </c:pt>
                <c:pt idx="4">
                  <c:v>0.06</c:v>
                </c:pt>
                <c:pt idx="5">
                  <c:v>0.25</c:v>
                </c:pt>
                <c:pt idx="6">
                  <c:v>7.0000000000000007E-2</c:v>
                </c:pt>
                <c:pt idx="7">
                  <c:v>0.56000000000000005</c:v>
                </c:pt>
                <c:pt idx="8">
                  <c:v>0.14000000000000001</c:v>
                </c:pt>
                <c:pt idx="9">
                  <c:v>0.08</c:v>
                </c:pt>
                <c:pt idx="10">
                  <c:v>0.03</c:v>
                </c:pt>
                <c:pt idx="11">
                  <c:v>0.26</c:v>
                </c:pt>
                <c:pt idx="12">
                  <c:v>0.06</c:v>
                </c:pt>
                <c:pt idx="13">
                  <c:v>7.0000000000000007E-2</c:v>
                </c:pt>
                <c:pt idx="14">
                  <c:v>0.01</c:v>
                </c:pt>
                <c:pt idx="15">
                  <c:v>0.04</c:v>
                </c:pt>
                <c:pt idx="16">
                  <c:v>0.01</c:v>
                </c:pt>
                <c:pt idx="17">
                  <c:v>0.36</c:v>
                </c:pt>
                <c:pt idx="18">
                  <c:v>0.03</c:v>
                </c:pt>
                <c:pt idx="19">
                  <c:v>0</c:v>
                </c:pt>
                <c:pt idx="20">
                  <c:v>0.2233333333333333</c:v>
                </c:pt>
                <c:pt idx="21">
                  <c:v>0.15</c:v>
                </c:pt>
                <c:pt idx="22">
                  <c:v>0.34</c:v>
                </c:pt>
                <c:pt idx="23">
                  <c:v>0.18</c:v>
                </c:pt>
                <c:pt idx="24">
                  <c:v>0.13</c:v>
                </c:pt>
                <c:pt idx="25">
                  <c:v>0.2</c:v>
                </c:pt>
                <c:pt idx="26">
                  <c:v>0.27</c:v>
                </c:pt>
                <c:pt idx="27">
                  <c:v>0.25</c:v>
                </c:pt>
                <c:pt idx="28">
                  <c:v>0</c:v>
                </c:pt>
                <c:pt idx="29">
                  <c:v>0.25</c:v>
                </c:pt>
                <c:pt idx="30">
                  <c:v>0.03</c:v>
                </c:pt>
                <c:pt idx="31">
                  <c:v>0.03</c:v>
                </c:pt>
                <c:pt idx="32">
                  <c:v>0.02</c:v>
                </c:pt>
                <c:pt idx="33">
                  <c:v>0.02</c:v>
                </c:pt>
                <c:pt idx="34">
                  <c:v>0.19</c:v>
                </c:pt>
                <c:pt idx="35">
                  <c:v>0.18</c:v>
                </c:pt>
                <c:pt idx="36">
                  <c:v>0.11</c:v>
                </c:pt>
                <c:pt idx="37">
                  <c:v>0.16</c:v>
                </c:pt>
                <c:pt idx="38">
                  <c:v>0.29666666666666669</c:v>
                </c:pt>
                <c:pt idx="39">
                  <c:v>0.24</c:v>
                </c:pt>
                <c:pt idx="40">
                  <c:v>0.34</c:v>
                </c:pt>
                <c:pt idx="41">
                  <c:v>0.22</c:v>
                </c:pt>
                <c:pt idx="42">
                  <c:v>0.21</c:v>
                </c:pt>
                <c:pt idx="43">
                  <c:v>0.33</c:v>
                </c:pt>
                <c:pt idx="44">
                  <c:v>0.25</c:v>
                </c:pt>
                <c:pt idx="45">
                  <c:v>0.14000000000000001</c:v>
                </c:pt>
                <c:pt idx="46">
                  <c:v>0.03</c:v>
                </c:pt>
                <c:pt idx="47">
                  <c:v>0.21</c:v>
                </c:pt>
                <c:pt idx="48">
                  <c:v>0.03</c:v>
                </c:pt>
                <c:pt idx="49">
                  <c:v>0.22</c:v>
                </c:pt>
                <c:pt idx="50">
                  <c:v>0.03</c:v>
                </c:pt>
                <c:pt idx="51">
                  <c:v>0.16</c:v>
                </c:pt>
                <c:pt idx="52">
                  <c:v>0.25</c:v>
                </c:pt>
                <c:pt idx="53">
                  <c:v>0.18</c:v>
                </c:pt>
                <c:pt idx="54">
                  <c:v>0.18</c:v>
                </c:pt>
                <c:pt idx="55">
                  <c:v>0.21</c:v>
                </c:pt>
                <c:pt idx="56">
                  <c:v>0.33</c:v>
                </c:pt>
                <c:pt idx="57">
                  <c:v>0.22</c:v>
                </c:pt>
                <c:pt idx="58">
                  <c:v>0.39</c:v>
                </c:pt>
                <c:pt idx="59">
                  <c:v>0.28999999999999998</c:v>
                </c:pt>
                <c:pt idx="60">
                  <c:v>0.23</c:v>
                </c:pt>
                <c:pt idx="61">
                  <c:v>0.17</c:v>
                </c:pt>
                <c:pt idx="62">
                  <c:v>0.19</c:v>
                </c:pt>
                <c:pt idx="63">
                  <c:v>0.2</c:v>
                </c:pt>
                <c:pt idx="64">
                  <c:v>0.33</c:v>
                </c:pt>
                <c:pt idx="65">
                  <c:v>0.19</c:v>
                </c:pt>
                <c:pt idx="66">
                  <c:v>0.1</c:v>
                </c:pt>
                <c:pt idx="67">
                  <c:v>0.05</c:v>
                </c:pt>
                <c:pt idx="68">
                  <c:v>0.01</c:v>
                </c:pt>
                <c:pt idx="69">
                  <c:v>0.24</c:v>
                </c:pt>
                <c:pt idx="70">
                  <c:v>0.03</c:v>
                </c:pt>
                <c:pt idx="71">
                  <c:v>0.17</c:v>
                </c:pt>
                <c:pt idx="72">
                  <c:v>0.19</c:v>
                </c:pt>
                <c:pt idx="73">
                  <c:v>0.24</c:v>
                </c:pt>
                <c:pt idx="74">
                  <c:v>0.7</c:v>
                </c:pt>
                <c:pt idx="75">
                  <c:v>0.32333333333333331</c:v>
                </c:pt>
                <c:pt idx="76">
                  <c:v>0.24</c:v>
                </c:pt>
                <c:pt idx="77">
                  <c:v>0.28999999999999998</c:v>
                </c:pt>
                <c:pt idx="78">
                  <c:v>0.28000000000000003</c:v>
                </c:pt>
                <c:pt idx="79">
                  <c:v>0.33999999999999997</c:v>
                </c:pt>
                <c:pt idx="80">
                  <c:v>0.28000000000000003</c:v>
                </c:pt>
                <c:pt idx="81">
                  <c:v>0.32</c:v>
                </c:pt>
                <c:pt idx="82">
                  <c:v>0.34</c:v>
                </c:pt>
                <c:pt idx="83">
                  <c:v>0.29000000000000004</c:v>
                </c:pt>
                <c:pt idx="84">
                  <c:v>0.31</c:v>
                </c:pt>
                <c:pt idx="85">
                  <c:v>0.41500000000000004</c:v>
                </c:pt>
                <c:pt idx="86">
                  <c:v>0.49</c:v>
                </c:pt>
                <c:pt idx="87">
                  <c:v>0.13500000000000001</c:v>
                </c:pt>
                <c:pt idx="88">
                  <c:v>0.23</c:v>
                </c:pt>
                <c:pt idx="89">
                  <c:v>2.5000000000000001E-2</c:v>
                </c:pt>
                <c:pt idx="90">
                  <c:v>0.09</c:v>
                </c:pt>
                <c:pt idx="91">
                  <c:v>6.5000000000000002E-2</c:v>
                </c:pt>
                <c:pt idx="92">
                  <c:v>0.05</c:v>
                </c:pt>
                <c:pt idx="93">
                  <c:v>3.5000000000000003E-2</c:v>
                </c:pt>
                <c:pt idx="94">
                  <c:v>7.0000000000000007E-2</c:v>
                </c:pt>
                <c:pt idx="95">
                  <c:v>0.17499999999999999</c:v>
                </c:pt>
                <c:pt idx="96">
                  <c:v>7.0000000000000007E-2</c:v>
                </c:pt>
                <c:pt idx="97">
                  <c:v>6.9999999999999993E-2</c:v>
                </c:pt>
                <c:pt idx="98">
                  <c:v>0.06</c:v>
                </c:pt>
                <c:pt idx="99">
                  <c:v>0.18</c:v>
                </c:pt>
                <c:pt idx="100">
                  <c:v>0.21</c:v>
                </c:pt>
                <c:pt idx="101">
                  <c:v>0.27</c:v>
                </c:pt>
                <c:pt idx="102">
                  <c:v>0.23</c:v>
                </c:pt>
                <c:pt idx="103">
                  <c:v>0.18</c:v>
                </c:pt>
                <c:pt idx="104">
                  <c:v>0.19</c:v>
                </c:pt>
                <c:pt idx="105">
                  <c:v>0.17499999999999999</c:v>
                </c:pt>
                <c:pt idx="106">
                  <c:v>0.12</c:v>
                </c:pt>
                <c:pt idx="107">
                  <c:v>0.24</c:v>
                </c:pt>
                <c:pt idx="108">
                  <c:v>0.20500000000000002</c:v>
                </c:pt>
                <c:pt idx="109">
                  <c:v>0.24</c:v>
                </c:pt>
                <c:pt idx="110">
                  <c:v>0.15</c:v>
                </c:pt>
                <c:pt idx="111">
                  <c:v>0.32</c:v>
                </c:pt>
                <c:pt idx="112">
                  <c:v>0.43</c:v>
                </c:pt>
                <c:pt idx="113">
                  <c:v>0.28500000000000003</c:v>
                </c:pt>
                <c:pt idx="114">
                  <c:v>0.21</c:v>
                </c:pt>
                <c:pt idx="115">
                  <c:v>0.2</c:v>
                </c:pt>
                <c:pt idx="116">
                  <c:v>0.25</c:v>
                </c:pt>
                <c:pt idx="117">
                  <c:v>0.26</c:v>
                </c:pt>
                <c:pt idx="118">
                  <c:v>0.34</c:v>
                </c:pt>
                <c:pt idx="119">
                  <c:v>0.155</c:v>
                </c:pt>
                <c:pt idx="120">
                  <c:v>0.1</c:v>
                </c:pt>
                <c:pt idx="121">
                  <c:v>0.09</c:v>
                </c:pt>
                <c:pt idx="122">
                  <c:v>0.19</c:v>
                </c:pt>
                <c:pt idx="123">
                  <c:v>0.1</c:v>
                </c:pt>
                <c:pt idx="124">
                  <c:v>1.4999999999999999E-2</c:v>
                </c:pt>
                <c:pt idx="125">
                  <c:v>0.1</c:v>
                </c:pt>
                <c:pt idx="126">
                  <c:v>0.04</c:v>
                </c:pt>
                <c:pt idx="127">
                  <c:v>0.03</c:v>
                </c:pt>
                <c:pt idx="128">
                  <c:v>0.05</c:v>
                </c:pt>
                <c:pt idx="129">
                  <c:v>0.04</c:v>
                </c:pt>
                <c:pt idx="130">
                  <c:v>9.5000000000000001E-2</c:v>
                </c:pt>
                <c:pt idx="131">
                  <c:v>4.6666666666666669E-2</c:v>
                </c:pt>
                <c:pt idx="132">
                  <c:v>0.18</c:v>
                </c:pt>
                <c:pt idx="133">
                  <c:v>0.14000000000000001</c:v>
                </c:pt>
                <c:pt idx="134">
                  <c:v>0.11</c:v>
                </c:pt>
                <c:pt idx="135">
                  <c:v>0.115</c:v>
                </c:pt>
                <c:pt idx="136">
                  <c:v>0.14000000000000001</c:v>
                </c:pt>
                <c:pt idx="137">
                  <c:v>0.14499999999999999</c:v>
                </c:pt>
                <c:pt idx="138">
                  <c:v>0.19</c:v>
                </c:pt>
                <c:pt idx="139">
                  <c:v>0.13500000000000001</c:v>
                </c:pt>
                <c:pt idx="140">
                  <c:v>0.1</c:v>
                </c:pt>
                <c:pt idx="141">
                  <c:v>0.245</c:v>
                </c:pt>
                <c:pt idx="142">
                  <c:v>0.16500000000000001</c:v>
                </c:pt>
                <c:pt idx="143">
                  <c:v>0.22</c:v>
                </c:pt>
                <c:pt idx="144">
                  <c:v>0.18</c:v>
                </c:pt>
                <c:pt idx="145">
                  <c:v>0.28999999999999998</c:v>
                </c:pt>
                <c:pt idx="146">
                  <c:v>0.2</c:v>
                </c:pt>
                <c:pt idx="147">
                  <c:v>0.27</c:v>
                </c:pt>
                <c:pt idx="148">
                  <c:v>0.24</c:v>
                </c:pt>
                <c:pt idx="149">
                  <c:v>0.21000000000000002</c:v>
                </c:pt>
                <c:pt idx="150">
                  <c:v>0.18</c:v>
                </c:pt>
                <c:pt idx="151">
                  <c:v>0.27500000000000002</c:v>
                </c:pt>
                <c:pt idx="152">
                  <c:v>0.27</c:v>
                </c:pt>
                <c:pt idx="153">
                  <c:v>0.21500000000000002</c:v>
                </c:pt>
                <c:pt idx="154">
                  <c:v>0.05</c:v>
                </c:pt>
                <c:pt idx="155">
                  <c:v>0.155</c:v>
                </c:pt>
                <c:pt idx="156">
                  <c:v>0.12</c:v>
                </c:pt>
                <c:pt idx="157">
                  <c:v>0.08</c:v>
                </c:pt>
                <c:pt idx="158">
                  <c:v>0.02</c:v>
                </c:pt>
                <c:pt idx="159">
                  <c:v>0.04</c:v>
                </c:pt>
                <c:pt idx="160">
                  <c:v>0.01</c:v>
                </c:pt>
                <c:pt idx="161">
                  <c:v>1.4999999999999999E-2</c:v>
                </c:pt>
                <c:pt idx="162">
                  <c:v>0.09</c:v>
                </c:pt>
                <c:pt idx="163">
                  <c:v>0.02</c:v>
                </c:pt>
                <c:pt idx="164">
                  <c:v>0.04</c:v>
                </c:pt>
                <c:pt idx="165">
                  <c:v>0.15</c:v>
                </c:pt>
                <c:pt idx="166">
                  <c:v>0.24</c:v>
                </c:pt>
                <c:pt idx="167">
                  <c:v>0.16500000000000001</c:v>
                </c:pt>
                <c:pt idx="168">
                  <c:v>0.1</c:v>
                </c:pt>
                <c:pt idx="169">
                  <c:v>0.15000000000000002</c:v>
                </c:pt>
                <c:pt idx="170">
                  <c:v>0.16</c:v>
                </c:pt>
                <c:pt idx="171">
                  <c:v>0.23</c:v>
                </c:pt>
                <c:pt idx="172">
                  <c:v>0.14000000000000001</c:v>
                </c:pt>
                <c:pt idx="173">
                  <c:v>0.17</c:v>
                </c:pt>
                <c:pt idx="174">
                  <c:v>0.23499999999999999</c:v>
                </c:pt>
                <c:pt idx="175">
                  <c:v>0.27</c:v>
                </c:pt>
                <c:pt idx="176">
                  <c:v>0.27</c:v>
                </c:pt>
                <c:pt idx="177">
                  <c:v>0.22</c:v>
                </c:pt>
                <c:pt idx="178">
                  <c:v>0.25</c:v>
                </c:pt>
                <c:pt idx="179">
                  <c:v>0.25</c:v>
                </c:pt>
                <c:pt idx="180">
                  <c:v>0.22</c:v>
                </c:pt>
                <c:pt idx="181">
                  <c:v>0.23499999999999999</c:v>
                </c:pt>
                <c:pt idx="182">
                  <c:v>0.24</c:v>
                </c:pt>
                <c:pt idx="183">
                  <c:v>0.33499999999999996</c:v>
                </c:pt>
                <c:pt idx="184">
                  <c:v>0.01</c:v>
                </c:pt>
                <c:pt idx="185">
                  <c:v>6.5000000000000002E-2</c:v>
                </c:pt>
                <c:pt idx="186">
                  <c:v>0.03</c:v>
                </c:pt>
                <c:pt idx="187">
                  <c:v>8.4999999999999992E-2</c:v>
                </c:pt>
                <c:pt idx="188">
                  <c:v>0.02</c:v>
                </c:pt>
                <c:pt idx="189">
                  <c:v>0.08</c:v>
                </c:pt>
                <c:pt idx="190">
                  <c:v>0.02</c:v>
                </c:pt>
                <c:pt idx="191">
                  <c:v>0.12000000000000001</c:v>
                </c:pt>
                <c:pt idx="192">
                  <c:v>0.02</c:v>
                </c:pt>
                <c:pt idx="193">
                  <c:v>3.5000000000000003E-2</c:v>
                </c:pt>
                <c:pt idx="194">
                  <c:v>0.03</c:v>
                </c:pt>
                <c:pt idx="195">
                  <c:v>0.02</c:v>
                </c:pt>
                <c:pt idx="196">
                  <c:v>0.04</c:v>
                </c:pt>
                <c:pt idx="197">
                  <c:v>0.15000000000000002</c:v>
                </c:pt>
                <c:pt idx="198">
                  <c:v>0.19</c:v>
                </c:pt>
                <c:pt idx="199">
                  <c:v>0.20500000000000002</c:v>
                </c:pt>
                <c:pt idx="200">
                  <c:v>0.21</c:v>
                </c:pt>
                <c:pt idx="201">
                  <c:v>0.24</c:v>
                </c:pt>
                <c:pt idx="202">
                  <c:v>0.19</c:v>
                </c:pt>
                <c:pt idx="203">
                  <c:v>0.23499999999999999</c:v>
                </c:pt>
                <c:pt idx="204">
                  <c:v>0.24</c:v>
                </c:pt>
                <c:pt idx="205">
                  <c:v>0.37</c:v>
                </c:pt>
              </c:numCache>
            </c:numRef>
          </c:yVal>
          <c:smooth val="0"/>
          <c:extLst>
            <c:ext xmlns:c16="http://schemas.microsoft.com/office/drawing/2014/chart" uri="{C3380CC4-5D6E-409C-BE32-E72D297353CC}">
              <c16:uniqueId val="{00000003-16F7-449C-BEAF-EF15A52DDCCF}"/>
            </c:ext>
          </c:extLst>
        </c:ser>
        <c:dLbls>
          <c:showLegendKey val="0"/>
          <c:showVal val="0"/>
          <c:showCatName val="0"/>
          <c:showSerName val="0"/>
          <c:showPercent val="0"/>
          <c:showBubbleSize val="0"/>
        </c:dLbls>
        <c:axId val="403941288"/>
        <c:axId val="403917672"/>
      </c:scatterChart>
      <c:valAx>
        <c:axId val="403941288"/>
        <c:scaling>
          <c:orientation val="minMax"/>
          <c:max val="4.2"/>
          <c:min val="0"/>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Free chlorine or monochmoramine (mg Cl</a:t>
                </a:r>
                <a:r>
                  <a:rPr lang="en-US" baseline="-25000"/>
                  <a:t>2</a:t>
                </a:r>
                <a:r>
                  <a:rPr lang="en-US"/>
                  <a:t>·L</a:t>
                </a:r>
                <a:r>
                  <a:rPr lang="en-US" baseline="30000"/>
                  <a:t>-1</a:t>
                </a:r>
                <a:r>
                  <a:rPr lang="en-US"/>
                  <a:t>)</a:t>
                </a:r>
                <a:endParaRPr lang="en-US" b="1">
                  <a:solidFill>
                    <a:srgbClr val="FF0000"/>
                  </a:solidFill>
                </a:endParaRPr>
              </a:p>
            </c:rich>
          </c:tx>
          <c:layout>
            <c:manualLayout>
              <c:xMode val="edge"/>
              <c:yMode val="edge"/>
              <c:x val="0.23999554422594788"/>
              <c:y val="0.8621347405230253"/>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0" sourceLinked="0"/>
        <c:majorTickMark val="out"/>
        <c:minorTickMark val="in"/>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03917672"/>
        <c:crosses val="autoZero"/>
        <c:crossBetween val="midCat"/>
      </c:valAx>
      <c:valAx>
        <c:axId val="403917672"/>
        <c:scaling>
          <c:orientation val="minMax"/>
          <c:min val="0"/>
        </c:scaling>
        <c:delete val="0"/>
        <c:axPos val="l"/>
        <c:majorGridlines>
          <c:spPr>
            <a:ln w="1270" cap="flat" cmpd="sng" algn="ctr">
              <a:solidFill>
                <a:schemeClr val="tx1"/>
              </a:solidFill>
              <a:prstDash val="solid"/>
              <a:round/>
            </a:ln>
            <a:effectLst/>
          </c:spPr>
        </c:majorGridlines>
        <c:minorGridlines>
          <c:spPr>
            <a:ln w="1270" cap="flat" cmpd="sng" algn="ctr">
              <a:solidFill>
                <a:schemeClr val="bg2">
                  <a:lumMod val="90000"/>
                </a:schemeClr>
              </a:solidFill>
              <a:prstDash val="dash"/>
              <a:round/>
            </a:ln>
            <a:effectLst/>
          </c:spPr>
        </c:min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sz="1200" b="0" i="0" u="none" strike="noStrike" baseline="0">
                    <a:effectLst/>
                  </a:rPr>
                  <a:t>Free ammonia (mg NH</a:t>
                </a:r>
                <a:r>
                  <a:rPr lang="en-US" sz="1200" b="0" i="0" u="none" strike="noStrike" baseline="-25000">
                    <a:effectLst/>
                  </a:rPr>
                  <a:t>3</a:t>
                </a:r>
                <a:r>
                  <a:rPr lang="en-US" sz="1200" b="0" i="0" u="none" strike="noStrike" baseline="0">
                    <a:effectLst/>
                  </a:rPr>
                  <a:t>-N·L</a:t>
                </a:r>
                <a:r>
                  <a:rPr lang="en-US" sz="1200" b="0" i="0" u="none" strike="noStrike" baseline="30000">
                    <a:effectLst/>
                  </a:rPr>
                  <a:t>-1</a:t>
                </a:r>
                <a:r>
                  <a:rPr lang="en-US" sz="1200" b="0" i="0" u="none" strike="noStrike" baseline="0">
                    <a:effectLst/>
                  </a:rPr>
                  <a:t>)</a:t>
                </a:r>
                <a:endParaRPr lang="en-US" b="0"/>
              </a:p>
            </c:rich>
          </c:tx>
          <c:layout>
            <c:manualLayout>
              <c:xMode val="edge"/>
              <c:yMode val="edge"/>
              <c:x val="6.5976053561081385E-5"/>
              <c:y val="0.23028098644558329"/>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0" sourceLinked="0"/>
        <c:majorTickMark val="out"/>
        <c:minorTickMark val="in"/>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03941288"/>
        <c:crosses val="autoZero"/>
        <c:crossBetween val="midCat"/>
        <c:majorUnit val="0.2"/>
        <c:minorUnit val="5.000000000000001E-2"/>
      </c:valAx>
      <c:spPr>
        <a:noFill/>
        <a:ln w="19050">
          <a:solidFill>
            <a:schemeClr val="tx1"/>
          </a:solidFill>
        </a:ln>
        <a:effectLst/>
      </c:spPr>
    </c:plotArea>
    <c:legend>
      <c:legendPos val="r"/>
      <c:layout>
        <c:manualLayout>
          <c:xMode val="edge"/>
          <c:yMode val="edge"/>
          <c:x val="0.51754421192400835"/>
          <c:y val="5.0250362259081249E-2"/>
          <c:w val="0.3287739736898973"/>
          <c:h val="0.15885731562826269"/>
        </c:manualLayout>
      </c:layout>
      <c:overlay val="0"/>
      <c:spPr>
        <a:solidFill>
          <a:schemeClr val="bg1"/>
        </a:solid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04646"/>
      </a:solid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13278008298755"/>
          <c:y val="3.6235046109691547E-2"/>
          <c:w val="0.77921161825726137"/>
          <c:h val="0.75850914427279748"/>
        </c:manualLayout>
      </c:layout>
      <c:scatterChart>
        <c:scatterStyle val="lineMarker"/>
        <c:varyColors val="0"/>
        <c:ser>
          <c:idx val="0"/>
          <c:order val="0"/>
          <c:tx>
            <c:v>Free chlorine</c:v>
          </c:tx>
          <c:spPr>
            <a:ln w="25400" cap="rnd">
              <a:noFill/>
              <a:round/>
            </a:ln>
            <a:effectLst/>
          </c:spPr>
          <c:marker>
            <c:symbol val="circle"/>
            <c:size val="6"/>
            <c:spPr>
              <a:noFill/>
              <a:ln w="12700">
                <a:solidFill>
                  <a:srgbClr val="5064E6">
                    <a:alpha val="95000"/>
                  </a:srgbClr>
                </a:solidFill>
              </a:ln>
              <a:effectLst/>
            </c:spPr>
          </c:marker>
          <c:xVal>
            <c:numRef>
              <c:f>Physicochemical_Managed!$S$2:$S$207</c:f>
              <c:numCache>
                <c:formatCode>0.000</c:formatCode>
                <c:ptCount val="206"/>
                <c:pt idx="0">
                  <c:v>7.0000000000000007E-2</c:v>
                </c:pt>
                <c:pt idx="1">
                  <c:v>0.05</c:v>
                </c:pt>
                <c:pt idx="2">
                  <c:v>0.16</c:v>
                </c:pt>
                <c:pt idx="3">
                  <c:v>0.12</c:v>
                </c:pt>
                <c:pt idx="4">
                  <c:v>0.21</c:v>
                </c:pt>
                <c:pt idx="5">
                  <c:v>0.17</c:v>
                </c:pt>
                <c:pt idx="6">
                  <c:v>0.08</c:v>
                </c:pt>
                <c:pt idx="7">
                  <c:v>0.08</c:v>
                </c:pt>
                <c:pt idx="8">
                  <c:v>0.08</c:v>
                </c:pt>
                <c:pt idx="9">
                  <c:v>3.82</c:v>
                </c:pt>
                <c:pt idx="10">
                  <c:v>4.0599999999999996</c:v>
                </c:pt>
                <c:pt idx="11">
                  <c:v>3.49</c:v>
                </c:pt>
                <c:pt idx="12">
                  <c:v>3.67</c:v>
                </c:pt>
                <c:pt idx="13">
                  <c:v>3.82</c:v>
                </c:pt>
                <c:pt idx="14">
                  <c:v>3.92</c:v>
                </c:pt>
                <c:pt idx="15">
                  <c:v>0.09</c:v>
                </c:pt>
                <c:pt idx="16">
                  <c:v>0.15</c:v>
                </c:pt>
                <c:pt idx="17">
                  <c:v>0.14000000000000001</c:v>
                </c:pt>
                <c:pt idx="18">
                  <c:v>0.18</c:v>
                </c:pt>
                <c:pt idx="19">
                  <c:v>0.21</c:v>
                </c:pt>
                <c:pt idx="20">
                  <c:v>9.3333333333333324E-2</c:v>
                </c:pt>
                <c:pt idx="21">
                  <c:v>0.15</c:v>
                </c:pt>
                <c:pt idx="22">
                  <c:v>0.04</c:v>
                </c:pt>
                <c:pt idx="23">
                  <c:v>0.08</c:v>
                </c:pt>
                <c:pt idx="24">
                  <c:v>0.18</c:v>
                </c:pt>
                <c:pt idx="25">
                  <c:v>0.17</c:v>
                </c:pt>
                <c:pt idx="26">
                  <c:v>0.11</c:v>
                </c:pt>
                <c:pt idx="27">
                  <c:v>0.11</c:v>
                </c:pt>
                <c:pt idx="28">
                  <c:v>3</c:v>
                </c:pt>
                <c:pt idx="29">
                  <c:v>2.78</c:v>
                </c:pt>
                <c:pt idx="30">
                  <c:v>2.67</c:v>
                </c:pt>
                <c:pt idx="31">
                  <c:v>2.64</c:v>
                </c:pt>
                <c:pt idx="32">
                  <c:v>2.78</c:v>
                </c:pt>
                <c:pt idx="33">
                  <c:v>0.04</c:v>
                </c:pt>
                <c:pt idx="34">
                  <c:v>0.06</c:v>
                </c:pt>
                <c:pt idx="35">
                  <c:v>0.1</c:v>
                </c:pt>
                <c:pt idx="36">
                  <c:v>7.0000000000000007E-2</c:v>
                </c:pt>
                <c:pt idx="37">
                  <c:v>0.11</c:v>
                </c:pt>
                <c:pt idx="38">
                  <c:v>1.0133333333333334</c:v>
                </c:pt>
                <c:pt idx="39">
                  <c:v>2.77</c:v>
                </c:pt>
                <c:pt idx="40">
                  <c:v>0.21</c:v>
                </c:pt>
                <c:pt idx="41">
                  <c:v>0.08</c:v>
                </c:pt>
                <c:pt idx="42">
                  <c:v>0.09</c:v>
                </c:pt>
                <c:pt idx="43">
                  <c:v>0.11</c:v>
                </c:pt>
                <c:pt idx="44">
                  <c:v>0.09</c:v>
                </c:pt>
                <c:pt idx="45">
                  <c:v>0.09</c:v>
                </c:pt>
                <c:pt idx="46">
                  <c:v>2.68</c:v>
                </c:pt>
                <c:pt idx="47">
                  <c:v>2.52</c:v>
                </c:pt>
                <c:pt idx="48">
                  <c:v>2.35</c:v>
                </c:pt>
                <c:pt idx="49">
                  <c:v>2.52</c:v>
                </c:pt>
                <c:pt idx="50">
                  <c:v>2.39</c:v>
                </c:pt>
                <c:pt idx="51">
                  <c:v>0.05</c:v>
                </c:pt>
                <c:pt idx="52">
                  <c:v>0.1</c:v>
                </c:pt>
                <c:pt idx="53">
                  <c:v>0.11</c:v>
                </c:pt>
                <c:pt idx="54">
                  <c:v>0.09</c:v>
                </c:pt>
                <c:pt idx="55">
                  <c:v>0.08</c:v>
                </c:pt>
                <c:pt idx="56">
                  <c:v>6.2333333333333331E-2</c:v>
                </c:pt>
                <c:pt idx="57">
                  <c:v>7.0000000000000001E-3</c:v>
                </c:pt>
                <c:pt idx="58">
                  <c:v>7.0000000000000007E-2</c:v>
                </c:pt>
                <c:pt idx="59">
                  <c:v>0.11</c:v>
                </c:pt>
                <c:pt idx="60">
                  <c:v>0.08</c:v>
                </c:pt>
                <c:pt idx="61">
                  <c:v>0.15</c:v>
                </c:pt>
                <c:pt idx="62">
                  <c:v>0.04</c:v>
                </c:pt>
                <c:pt idx="63">
                  <c:v>7.0000000000000007E-2</c:v>
                </c:pt>
                <c:pt idx="64">
                  <c:v>7.0000000000000007E-2</c:v>
                </c:pt>
                <c:pt idx="65">
                  <c:v>2.73</c:v>
                </c:pt>
                <c:pt idx="66">
                  <c:v>2.2200000000000002</c:v>
                </c:pt>
                <c:pt idx="67">
                  <c:v>1.77</c:v>
                </c:pt>
                <c:pt idx="68">
                  <c:v>1.35</c:v>
                </c:pt>
                <c:pt idx="69">
                  <c:v>1.89</c:v>
                </c:pt>
                <c:pt idx="70">
                  <c:v>1.86</c:v>
                </c:pt>
                <c:pt idx="71">
                  <c:v>0.06</c:v>
                </c:pt>
                <c:pt idx="72">
                  <c:v>0.1</c:v>
                </c:pt>
                <c:pt idx="73">
                  <c:v>0.04</c:v>
                </c:pt>
                <c:pt idx="74">
                  <c:v>0.08</c:v>
                </c:pt>
                <c:pt idx="75">
                  <c:v>0.08</c:v>
                </c:pt>
                <c:pt idx="76">
                  <c:v>0.14000000000000001</c:v>
                </c:pt>
                <c:pt idx="77">
                  <c:v>0.14000000000000001</c:v>
                </c:pt>
                <c:pt idx="78">
                  <c:v>0.06</c:v>
                </c:pt>
                <c:pt idx="79">
                  <c:v>7.4999999999999997E-2</c:v>
                </c:pt>
                <c:pt idx="80">
                  <c:v>7.0000000000000007E-2</c:v>
                </c:pt>
                <c:pt idx="81">
                  <c:v>6.0000000000000005E-2</c:v>
                </c:pt>
                <c:pt idx="82">
                  <c:v>0.09</c:v>
                </c:pt>
                <c:pt idx="83">
                  <c:v>0.08</c:v>
                </c:pt>
                <c:pt idx="84">
                  <c:v>0.12</c:v>
                </c:pt>
                <c:pt idx="85">
                  <c:v>0.13500000000000001</c:v>
                </c:pt>
                <c:pt idx="86">
                  <c:v>0.09</c:v>
                </c:pt>
                <c:pt idx="87">
                  <c:v>0.70500000000000007</c:v>
                </c:pt>
                <c:pt idx="88">
                  <c:v>0.99</c:v>
                </c:pt>
                <c:pt idx="89">
                  <c:v>2.2549999999999999</c:v>
                </c:pt>
                <c:pt idx="90">
                  <c:v>1.06</c:v>
                </c:pt>
                <c:pt idx="91">
                  <c:v>1.915</c:v>
                </c:pt>
                <c:pt idx="92">
                  <c:v>1.19</c:v>
                </c:pt>
                <c:pt idx="93">
                  <c:v>1.625</c:v>
                </c:pt>
                <c:pt idx="94">
                  <c:v>2.14</c:v>
                </c:pt>
                <c:pt idx="95">
                  <c:v>1.8599999999999999</c:v>
                </c:pt>
                <c:pt idx="96">
                  <c:v>2.39</c:v>
                </c:pt>
                <c:pt idx="97">
                  <c:v>2.21</c:v>
                </c:pt>
                <c:pt idx="98">
                  <c:v>1.33</c:v>
                </c:pt>
                <c:pt idx="99">
                  <c:v>0.105</c:v>
                </c:pt>
                <c:pt idx="100">
                  <c:v>0.11</c:v>
                </c:pt>
                <c:pt idx="101">
                  <c:v>9.5000000000000001E-2</c:v>
                </c:pt>
                <c:pt idx="102">
                  <c:v>0.15</c:v>
                </c:pt>
                <c:pt idx="103">
                  <c:v>0.1</c:v>
                </c:pt>
                <c:pt idx="104">
                  <c:v>0.03</c:v>
                </c:pt>
                <c:pt idx="105">
                  <c:v>7.0000000000000007E-2</c:v>
                </c:pt>
                <c:pt idx="106">
                  <c:v>7.0000000000000007E-2</c:v>
                </c:pt>
                <c:pt idx="107">
                  <c:v>7.0000000000000007E-2</c:v>
                </c:pt>
                <c:pt idx="108">
                  <c:v>7.5000000000000011E-2</c:v>
                </c:pt>
                <c:pt idx="109">
                  <c:v>0.15</c:v>
                </c:pt>
                <c:pt idx="110">
                  <c:v>0.09</c:v>
                </c:pt>
                <c:pt idx="111">
                  <c:v>0.15</c:v>
                </c:pt>
                <c:pt idx="112">
                  <c:v>0.13</c:v>
                </c:pt>
                <c:pt idx="113">
                  <c:v>8.4999999999999992E-2</c:v>
                </c:pt>
                <c:pt idx="114">
                  <c:v>0.1</c:v>
                </c:pt>
                <c:pt idx="115">
                  <c:v>0.13500000000000001</c:v>
                </c:pt>
                <c:pt idx="116">
                  <c:v>0.09</c:v>
                </c:pt>
                <c:pt idx="117">
                  <c:v>7.4999999999999997E-2</c:v>
                </c:pt>
                <c:pt idx="118">
                  <c:v>0.09</c:v>
                </c:pt>
                <c:pt idx="119">
                  <c:v>0.1</c:v>
                </c:pt>
                <c:pt idx="120">
                  <c:v>0.1</c:v>
                </c:pt>
                <c:pt idx="121">
                  <c:v>2.36</c:v>
                </c:pt>
                <c:pt idx="122">
                  <c:v>2.37</c:v>
                </c:pt>
                <c:pt idx="123">
                  <c:v>2.72</c:v>
                </c:pt>
                <c:pt idx="124">
                  <c:v>3.26</c:v>
                </c:pt>
                <c:pt idx="125">
                  <c:v>2.58</c:v>
                </c:pt>
                <c:pt idx="126">
                  <c:v>3.08</c:v>
                </c:pt>
                <c:pt idx="127">
                  <c:v>2.29</c:v>
                </c:pt>
                <c:pt idx="128">
                  <c:v>2.6550000000000002</c:v>
                </c:pt>
                <c:pt idx="129">
                  <c:v>2.0299999999999998</c:v>
                </c:pt>
                <c:pt idx="130">
                  <c:v>3.0150000000000001</c:v>
                </c:pt>
                <c:pt idx="131">
                  <c:v>2.2399999999999998</c:v>
                </c:pt>
                <c:pt idx="132">
                  <c:v>0.13</c:v>
                </c:pt>
                <c:pt idx="133">
                  <c:v>0.1</c:v>
                </c:pt>
                <c:pt idx="134">
                  <c:v>0.14000000000000001</c:v>
                </c:pt>
                <c:pt idx="135">
                  <c:v>0.01</c:v>
                </c:pt>
                <c:pt idx="136">
                  <c:v>0.11</c:v>
                </c:pt>
                <c:pt idx="137">
                  <c:v>0.09</c:v>
                </c:pt>
                <c:pt idx="138">
                  <c:v>0.1</c:v>
                </c:pt>
                <c:pt idx="139">
                  <c:v>0.11</c:v>
                </c:pt>
                <c:pt idx="140">
                  <c:v>0.12</c:v>
                </c:pt>
                <c:pt idx="141">
                  <c:v>0.04</c:v>
                </c:pt>
                <c:pt idx="142">
                  <c:v>0.14500000000000002</c:v>
                </c:pt>
                <c:pt idx="143">
                  <c:v>0.09</c:v>
                </c:pt>
                <c:pt idx="144">
                  <c:v>0.05</c:v>
                </c:pt>
                <c:pt idx="145">
                  <c:v>0.09</c:v>
                </c:pt>
                <c:pt idx="146">
                  <c:v>0.1</c:v>
                </c:pt>
                <c:pt idx="147">
                  <c:v>0.19</c:v>
                </c:pt>
                <c:pt idx="148">
                  <c:v>0.16</c:v>
                </c:pt>
                <c:pt idx="149">
                  <c:v>0.09</c:v>
                </c:pt>
                <c:pt idx="150">
                  <c:v>0.1</c:v>
                </c:pt>
                <c:pt idx="151">
                  <c:v>0.125</c:v>
                </c:pt>
                <c:pt idx="152">
                  <c:v>0.14000000000000001</c:v>
                </c:pt>
                <c:pt idx="153">
                  <c:v>8.4999999999999992E-2</c:v>
                </c:pt>
                <c:pt idx="154">
                  <c:v>0.91</c:v>
                </c:pt>
                <c:pt idx="155">
                  <c:v>1.4849999999999999</c:v>
                </c:pt>
                <c:pt idx="156">
                  <c:v>2.15</c:v>
                </c:pt>
                <c:pt idx="157">
                  <c:v>2.14</c:v>
                </c:pt>
                <c:pt idx="158">
                  <c:v>2.09</c:v>
                </c:pt>
                <c:pt idx="159">
                  <c:v>1.9849999999999999</c:v>
                </c:pt>
                <c:pt idx="160">
                  <c:v>1.49</c:v>
                </c:pt>
                <c:pt idx="161">
                  <c:v>2.4750000000000001</c:v>
                </c:pt>
                <c:pt idx="162">
                  <c:v>2.14</c:v>
                </c:pt>
                <c:pt idx="163">
                  <c:v>1.85</c:v>
                </c:pt>
                <c:pt idx="164">
                  <c:v>0.09</c:v>
                </c:pt>
                <c:pt idx="165">
                  <c:v>9.5000000000000001E-2</c:v>
                </c:pt>
                <c:pt idx="166">
                  <c:v>0.14000000000000001</c:v>
                </c:pt>
                <c:pt idx="167">
                  <c:v>7.0000000000000007E-2</c:v>
                </c:pt>
                <c:pt idx="168">
                  <c:v>0.12</c:v>
                </c:pt>
                <c:pt idx="169">
                  <c:v>0.125</c:v>
                </c:pt>
                <c:pt idx="170">
                  <c:v>0.17</c:v>
                </c:pt>
                <c:pt idx="171">
                  <c:v>6.5000000000000002E-2</c:v>
                </c:pt>
                <c:pt idx="172">
                  <c:v>0.08</c:v>
                </c:pt>
                <c:pt idx="173">
                  <c:v>6.0000000000000005E-2</c:v>
                </c:pt>
                <c:pt idx="174">
                  <c:v>2.5000000000000001E-2</c:v>
                </c:pt>
                <c:pt idx="175">
                  <c:v>0.09</c:v>
                </c:pt>
                <c:pt idx="176">
                  <c:v>0.06</c:v>
                </c:pt>
                <c:pt idx="177">
                  <c:v>0.06</c:v>
                </c:pt>
                <c:pt idx="178">
                  <c:v>0</c:v>
                </c:pt>
                <c:pt idx="179">
                  <c:v>0.08</c:v>
                </c:pt>
                <c:pt idx="180">
                  <c:v>0.08</c:v>
                </c:pt>
                <c:pt idx="181">
                  <c:v>0.05</c:v>
                </c:pt>
                <c:pt idx="182">
                  <c:v>7.0000000000000007E-2</c:v>
                </c:pt>
                <c:pt idx="183">
                  <c:v>0.13</c:v>
                </c:pt>
                <c:pt idx="184">
                  <c:v>0.14000000000000001</c:v>
                </c:pt>
                <c:pt idx="185">
                  <c:v>0.02</c:v>
                </c:pt>
                <c:pt idx="186">
                  <c:v>1.7</c:v>
                </c:pt>
                <c:pt idx="187">
                  <c:v>1.375</c:v>
                </c:pt>
                <c:pt idx="188">
                  <c:v>1.37</c:v>
                </c:pt>
                <c:pt idx="189">
                  <c:v>1.45</c:v>
                </c:pt>
                <c:pt idx="190">
                  <c:v>1.74</c:v>
                </c:pt>
                <c:pt idx="191">
                  <c:v>1.2050000000000001</c:v>
                </c:pt>
                <c:pt idx="192">
                  <c:v>1.84</c:v>
                </c:pt>
                <c:pt idx="193">
                  <c:v>1.76</c:v>
                </c:pt>
                <c:pt idx="194">
                  <c:v>1.58</c:v>
                </c:pt>
                <c:pt idx="195">
                  <c:v>1.7349999999999999</c:v>
                </c:pt>
                <c:pt idx="196">
                  <c:v>1.37</c:v>
                </c:pt>
                <c:pt idx="197">
                  <c:v>0.05</c:v>
                </c:pt>
                <c:pt idx="198">
                  <c:v>0</c:v>
                </c:pt>
                <c:pt idx="199">
                  <c:v>7.0000000000000007E-2</c:v>
                </c:pt>
                <c:pt idx="200">
                  <c:v>0.11</c:v>
                </c:pt>
                <c:pt idx="201">
                  <c:v>6.5000000000000002E-2</c:v>
                </c:pt>
                <c:pt idx="202">
                  <c:v>0.09</c:v>
                </c:pt>
                <c:pt idx="203">
                  <c:v>0.05</c:v>
                </c:pt>
                <c:pt idx="204">
                  <c:v>0.04</c:v>
                </c:pt>
                <c:pt idx="205">
                  <c:v>0.08</c:v>
                </c:pt>
              </c:numCache>
            </c:numRef>
          </c:xVal>
          <c:yVal>
            <c:numRef>
              <c:f>Physicochemical_Managed!$W$2:$W$207</c:f>
              <c:numCache>
                <c:formatCode>0.000</c:formatCode>
                <c:ptCount val="206"/>
                <c:pt idx="0">
                  <c:v>6.9999999999999993E-3</c:v>
                </c:pt>
                <c:pt idx="1">
                  <c:v>0.01</c:v>
                </c:pt>
                <c:pt idx="2">
                  <c:v>6.0000000000000001E-3</c:v>
                </c:pt>
                <c:pt idx="3">
                  <c:v>1.0999999999999999E-2</c:v>
                </c:pt>
                <c:pt idx="4">
                  <c:v>5.0000000000000001E-3</c:v>
                </c:pt>
                <c:pt idx="5">
                  <c:v>8.0000000000000002E-3</c:v>
                </c:pt>
                <c:pt idx="6">
                  <c:v>7.0000000000000001E-3</c:v>
                </c:pt>
                <c:pt idx="7">
                  <c:v>8.0000000000000002E-3</c:v>
                </c:pt>
                <c:pt idx="8">
                  <c:v>8.0000000000000002E-3</c:v>
                </c:pt>
                <c:pt idx="9">
                  <c:v>7.0000000000000001E-3</c:v>
                </c:pt>
                <c:pt idx="10">
                  <c:v>8.0000000000000002E-3</c:v>
                </c:pt>
                <c:pt idx="11">
                  <c:v>0</c:v>
                </c:pt>
                <c:pt idx="12">
                  <c:v>7.0000000000000001E-3</c:v>
                </c:pt>
                <c:pt idx="13">
                  <c:v>7.0000000000000001E-3</c:v>
                </c:pt>
                <c:pt idx="14">
                  <c:v>6.0000000000000001E-3</c:v>
                </c:pt>
                <c:pt idx="15">
                  <c:v>7.0000000000000001E-3</c:v>
                </c:pt>
                <c:pt idx="16">
                  <c:v>8.0000000000000002E-3</c:v>
                </c:pt>
                <c:pt idx="17">
                  <c:v>8.9999999999999993E-3</c:v>
                </c:pt>
                <c:pt idx="18">
                  <c:v>8.0000000000000002E-3</c:v>
                </c:pt>
                <c:pt idx="19">
                  <c:v>7.0000000000000001E-3</c:v>
                </c:pt>
                <c:pt idx="20">
                  <c:v>5.0000000000000001E-3</c:v>
                </c:pt>
                <c:pt idx="21">
                  <c:v>6.0000000000000001E-3</c:v>
                </c:pt>
                <c:pt idx="22">
                  <c:v>5.0000000000000001E-3</c:v>
                </c:pt>
                <c:pt idx="23">
                  <c:v>4.0000000000000001E-3</c:v>
                </c:pt>
                <c:pt idx="24">
                  <c:v>6.0000000000000001E-3</c:v>
                </c:pt>
                <c:pt idx="25">
                  <c:v>5.0000000000000001E-3</c:v>
                </c:pt>
                <c:pt idx="26">
                  <c:v>5.0000000000000001E-3</c:v>
                </c:pt>
                <c:pt idx="27">
                  <c:v>7.0000000000000001E-3</c:v>
                </c:pt>
                <c:pt idx="28">
                  <c:v>7.0000000000000001E-3</c:v>
                </c:pt>
                <c:pt idx="29">
                  <c:v>0.1</c:v>
                </c:pt>
                <c:pt idx="30">
                  <c:v>5.0000000000000001E-3</c:v>
                </c:pt>
                <c:pt idx="31">
                  <c:v>6.0000000000000001E-3</c:v>
                </c:pt>
                <c:pt idx="32">
                  <c:v>6.0000000000000001E-3</c:v>
                </c:pt>
                <c:pt idx="33">
                  <c:v>7.0000000000000001E-3</c:v>
                </c:pt>
                <c:pt idx="34">
                  <c:v>7.0000000000000001E-3</c:v>
                </c:pt>
                <c:pt idx="35">
                  <c:v>6.0000000000000001E-3</c:v>
                </c:pt>
                <c:pt idx="36">
                  <c:v>2E-3</c:v>
                </c:pt>
                <c:pt idx="37">
                  <c:v>1E-3</c:v>
                </c:pt>
                <c:pt idx="38">
                  <c:v>5.3333333333333332E-3</c:v>
                </c:pt>
                <c:pt idx="39">
                  <c:v>5.0000000000000001E-3</c:v>
                </c:pt>
                <c:pt idx="40">
                  <c:v>6.0000000000000001E-3</c:v>
                </c:pt>
                <c:pt idx="41">
                  <c:v>6.0000000000000001E-3</c:v>
                </c:pt>
                <c:pt idx="42">
                  <c:v>7.0000000000000001E-3</c:v>
                </c:pt>
                <c:pt idx="43">
                  <c:v>5.0000000000000001E-3</c:v>
                </c:pt>
                <c:pt idx="44">
                  <c:v>5.0000000000000001E-3</c:v>
                </c:pt>
                <c:pt idx="45">
                  <c:v>1E-3</c:v>
                </c:pt>
                <c:pt idx="46">
                  <c:v>6.0000000000000001E-3</c:v>
                </c:pt>
                <c:pt idx="47">
                  <c:v>7.0000000000000001E-3</c:v>
                </c:pt>
                <c:pt idx="48">
                  <c:v>7.0000000000000001E-3</c:v>
                </c:pt>
                <c:pt idx="49">
                  <c:v>6.0000000000000001E-3</c:v>
                </c:pt>
                <c:pt idx="50">
                  <c:v>5.0000000000000001E-3</c:v>
                </c:pt>
                <c:pt idx="51">
                  <c:v>7.0000000000000001E-3</c:v>
                </c:pt>
                <c:pt idx="52">
                  <c:v>5.0000000000000001E-3</c:v>
                </c:pt>
                <c:pt idx="53">
                  <c:v>6.0000000000000001E-3</c:v>
                </c:pt>
                <c:pt idx="54">
                  <c:v>5.0000000000000001E-3</c:v>
                </c:pt>
                <c:pt idx="55">
                  <c:v>7.0000000000000001E-3</c:v>
                </c:pt>
                <c:pt idx="56">
                  <c:v>0.06</c:v>
                </c:pt>
                <c:pt idx="57">
                  <c:v>7.0000000000000007E-2</c:v>
                </c:pt>
                <c:pt idx="58">
                  <c:v>4.8000000000000001E-2</c:v>
                </c:pt>
                <c:pt idx="59">
                  <c:v>7.5999999999999998E-2</c:v>
                </c:pt>
                <c:pt idx="60">
                  <c:v>5.1999999999999998E-2</c:v>
                </c:pt>
                <c:pt idx="61">
                  <c:v>6.3E-2</c:v>
                </c:pt>
                <c:pt idx="62">
                  <c:v>7.6999999999999999E-2</c:v>
                </c:pt>
                <c:pt idx="63">
                  <c:v>5.5E-2</c:v>
                </c:pt>
                <c:pt idx="64">
                  <c:v>5.0999999999999997E-2</c:v>
                </c:pt>
                <c:pt idx="65">
                  <c:v>8.0000000000000002E-3</c:v>
                </c:pt>
                <c:pt idx="66">
                  <c:v>1.2E-2</c:v>
                </c:pt>
                <c:pt idx="67">
                  <c:v>6.0000000000000001E-3</c:v>
                </c:pt>
                <c:pt idx="68">
                  <c:v>8.9999999999999993E-3</c:v>
                </c:pt>
                <c:pt idx="69">
                  <c:v>0.01</c:v>
                </c:pt>
                <c:pt idx="70">
                  <c:v>7.0000000000000001E-3</c:v>
                </c:pt>
                <c:pt idx="71">
                  <c:v>8.0000000000000002E-3</c:v>
                </c:pt>
                <c:pt idx="72">
                  <c:v>7.0000000000000001E-3</c:v>
                </c:pt>
                <c:pt idx="73">
                  <c:v>7.0000000000000001E-3</c:v>
                </c:pt>
                <c:pt idx="74">
                  <c:v>8.0000000000000002E-3</c:v>
                </c:pt>
                <c:pt idx="75">
                  <c:v>5.0000000000000001E-3</c:v>
                </c:pt>
                <c:pt idx="76">
                  <c:v>6.0000000000000001E-3</c:v>
                </c:pt>
                <c:pt idx="77">
                  <c:v>7.0000000000000001E-3</c:v>
                </c:pt>
                <c:pt idx="78">
                  <c:v>7.0000000000000001E-3</c:v>
                </c:pt>
                <c:pt idx="79">
                  <c:v>6.5000000000000006E-3</c:v>
                </c:pt>
                <c:pt idx="80">
                  <c:v>6.0000000000000001E-3</c:v>
                </c:pt>
                <c:pt idx="81">
                  <c:v>7.0000000000000001E-3</c:v>
                </c:pt>
                <c:pt idx="82">
                  <c:v>7.0000000000000001E-3</c:v>
                </c:pt>
                <c:pt idx="83">
                  <c:v>6.0000000000000001E-3</c:v>
                </c:pt>
                <c:pt idx="84">
                  <c:v>6.0000000000000001E-3</c:v>
                </c:pt>
                <c:pt idx="85">
                  <c:v>7.0000000000000001E-3</c:v>
                </c:pt>
                <c:pt idx="86">
                  <c:v>6.0000000000000001E-3</c:v>
                </c:pt>
                <c:pt idx="87">
                  <c:v>6.0000000000000001E-3</c:v>
                </c:pt>
                <c:pt idx="88">
                  <c:v>6.0000000000000001E-3</c:v>
                </c:pt>
                <c:pt idx="89">
                  <c:v>6.0000000000000001E-3</c:v>
                </c:pt>
                <c:pt idx="90">
                  <c:v>7.0000000000000001E-3</c:v>
                </c:pt>
                <c:pt idx="91">
                  <c:v>7.4999999999999997E-3</c:v>
                </c:pt>
                <c:pt idx="92">
                  <c:v>6.0000000000000001E-3</c:v>
                </c:pt>
                <c:pt idx="93">
                  <c:v>6.0000000000000001E-3</c:v>
                </c:pt>
                <c:pt idx="94">
                  <c:v>8.9999999999999993E-3</c:v>
                </c:pt>
                <c:pt idx="95">
                  <c:v>6.5000000000000006E-3</c:v>
                </c:pt>
                <c:pt idx="96">
                  <c:v>5.0000000000000001E-3</c:v>
                </c:pt>
                <c:pt idx="97">
                  <c:v>7.0000000000000001E-3</c:v>
                </c:pt>
                <c:pt idx="98">
                  <c:v>6.0000000000000001E-3</c:v>
                </c:pt>
                <c:pt idx="99">
                  <c:v>6.5000000000000006E-3</c:v>
                </c:pt>
                <c:pt idx="100">
                  <c:v>7.0000000000000001E-3</c:v>
                </c:pt>
                <c:pt idx="101">
                  <c:v>6.5000000000000006E-3</c:v>
                </c:pt>
                <c:pt idx="102">
                  <c:v>5.0000000000000001E-3</c:v>
                </c:pt>
                <c:pt idx="103">
                  <c:v>6.5000000000000006E-3</c:v>
                </c:pt>
                <c:pt idx="104">
                  <c:v>6.0000000000000001E-3</c:v>
                </c:pt>
                <c:pt idx="105">
                  <c:v>5.4000000000000006E-2</c:v>
                </c:pt>
                <c:pt idx="106">
                  <c:v>8.9999999999999993E-3</c:v>
                </c:pt>
                <c:pt idx="107">
                  <c:v>8.5000000000000006E-3</c:v>
                </c:pt>
                <c:pt idx="108">
                  <c:v>1.0500000000000001E-2</c:v>
                </c:pt>
                <c:pt idx="109">
                  <c:v>6.0000000000000001E-3</c:v>
                </c:pt>
                <c:pt idx="110">
                  <c:v>7.0000000000000001E-3</c:v>
                </c:pt>
                <c:pt idx="111">
                  <c:v>1.2999999999999999E-2</c:v>
                </c:pt>
                <c:pt idx="112">
                  <c:v>2.4E-2</c:v>
                </c:pt>
                <c:pt idx="113">
                  <c:v>8.0000000000000002E-3</c:v>
                </c:pt>
                <c:pt idx="114">
                  <c:v>7.0000000000000001E-3</c:v>
                </c:pt>
                <c:pt idx="115">
                  <c:v>7.0000000000000001E-3</c:v>
                </c:pt>
                <c:pt idx="116">
                  <c:v>5.0000000000000001E-3</c:v>
                </c:pt>
                <c:pt idx="117">
                  <c:v>7.0000000000000001E-3</c:v>
                </c:pt>
                <c:pt idx="118">
                  <c:v>7.0000000000000001E-3</c:v>
                </c:pt>
                <c:pt idx="119">
                  <c:v>8.0000000000000002E-3</c:v>
                </c:pt>
                <c:pt idx="120">
                  <c:v>1.0999999999999999E-2</c:v>
                </c:pt>
                <c:pt idx="121">
                  <c:v>7.0000000000000001E-3</c:v>
                </c:pt>
                <c:pt idx="122">
                  <c:v>7.0000000000000001E-3</c:v>
                </c:pt>
                <c:pt idx="123">
                  <c:v>8.9999999999999993E-3</c:v>
                </c:pt>
                <c:pt idx="124">
                  <c:v>6.5000000000000006E-3</c:v>
                </c:pt>
                <c:pt idx="125">
                  <c:v>7.0000000000000001E-3</c:v>
                </c:pt>
                <c:pt idx="126">
                  <c:v>8.0000000000000002E-3</c:v>
                </c:pt>
                <c:pt idx="127">
                  <c:v>7.0000000000000001E-3</c:v>
                </c:pt>
                <c:pt idx="128">
                  <c:v>7.0000000000000001E-3</c:v>
                </c:pt>
                <c:pt idx="129">
                  <c:v>6.0000000000000001E-3</c:v>
                </c:pt>
                <c:pt idx="130">
                  <c:v>8.0000000000000002E-3</c:v>
                </c:pt>
                <c:pt idx="131">
                  <c:v>7.0000000000000001E-3</c:v>
                </c:pt>
                <c:pt idx="132">
                  <c:v>6.0000000000000001E-3</c:v>
                </c:pt>
                <c:pt idx="133">
                  <c:v>6.0000000000000001E-3</c:v>
                </c:pt>
                <c:pt idx="134">
                  <c:v>7.0000000000000001E-3</c:v>
                </c:pt>
                <c:pt idx="135">
                  <c:v>6.5000000000000006E-3</c:v>
                </c:pt>
                <c:pt idx="136">
                  <c:v>8.0000000000000002E-3</c:v>
                </c:pt>
                <c:pt idx="137">
                  <c:v>4.5000000000000005E-3</c:v>
                </c:pt>
                <c:pt idx="138">
                  <c:v>8.9999999999999993E-3</c:v>
                </c:pt>
                <c:pt idx="139">
                  <c:v>6.5000000000000006E-3</c:v>
                </c:pt>
                <c:pt idx="140">
                  <c:v>2E-3</c:v>
                </c:pt>
                <c:pt idx="141">
                  <c:v>2E-3</c:v>
                </c:pt>
                <c:pt idx="142">
                  <c:v>5.0000000000000001E-3</c:v>
                </c:pt>
                <c:pt idx="143">
                  <c:v>6.0000000000000001E-3</c:v>
                </c:pt>
                <c:pt idx="144">
                  <c:v>6.0000000000000001E-3</c:v>
                </c:pt>
                <c:pt idx="145">
                  <c:v>7.0000000000000001E-3</c:v>
                </c:pt>
                <c:pt idx="146">
                  <c:v>6.0000000000000001E-3</c:v>
                </c:pt>
                <c:pt idx="147">
                  <c:v>6.5000000000000006E-3</c:v>
                </c:pt>
                <c:pt idx="148">
                  <c:v>8.0000000000000002E-3</c:v>
                </c:pt>
                <c:pt idx="149">
                  <c:v>7.0000000000000001E-3</c:v>
                </c:pt>
                <c:pt idx="150">
                  <c:v>6.0000000000000001E-3</c:v>
                </c:pt>
                <c:pt idx="151">
                  <c:v>7.0000000000000001E-3</c:v>
                </c:pt>
                <c:pt idx="152">
                  <c:v>6.0000000000000001E-3</c:v>
                </c:pt>
                <c:pt idx="153">
                  <c:v>6.0000000000000001E-3</c:v>
                </c:pt>
                <c:pt idx="154">
                  <c:v>7.0000000000000001E-3</c:v>
                </c:pt>
                <c:pt idx="155">
                  <c:v>2.5000000000000001E-3</c:v>
                </c:pt>
                <c:pt idx="156">
                  <c:v>6.0000000000000001E-3</c:v>
                </c:pt>
                <c:pt idx="157">
                  <c:v>5.4999999999999997E-3</c:v>
                </c:pt>
                <c:pt idx="158">
                  <c:v>5.0000000000000001E-3</c:v>
                </c:pt>
                <c:pt idx="159">
                  <c:v>6.0000000000000001E-3</c:v>
                </c:pt>
                <c:pt idx="160">
                  <c:v>6.0000000000000001E-3</c:v>
                </c:pt>
                <c:pt idx="161">
                  <c:v>5.4999999999999997E-3</c:v>
                </c:pt>
                <c:pt idx="162">
                  <c:v>6.0000000000000001E-3</c:v>
                </c:pt>
                <c:pt idx="163">
                  <c:v>5.4999999999999997E-3</c:v>
                </c:pt>
                <c:pt idx="164">
                  <c:v>6.0000000000000001E-3</c:v>
                </c:pt>
                <c:pt idx="165">
                  <c:v>7.0000000000000001E-3</c:v>
                </c:pt>
                <c:pt idx="166">
                  <c:v>6.0000000000000001E-3</c:v>
                </c:pt>
                <c:pt idx="167">
                  <c:v>7.0000000000000001E-3</c:v>
                </c:pt>
                <c:pt idx="168">
                  <c:v>6.0000000000000001E-3</c:v>
                </c:pt>
                <c:pt idx="169">
                  <c:v>7.4999999999999997E-3</c:v>
                </c:pt>
                <c:pt idx="170">
                  <c:v>1E-3</c:v>
                </c:pt>
                <c:pt idx="171">
                  <c:v>2E-3</c:v>
                </c:pt>
                <c:pt idx="172">
                  <c:v>2E-3</c:v>
                </c:pt>
                <c:pt idx="173">
                  <c:v>4.5000000000000005E-3</c:v>
                </c:pt>
                <c:pt idx="174">
                  <c:v>1.3000000000000001E-2</c:v>
                </c:pt>
                <c:pt idx="175">
                  <c:v>7.0000000000000001E-3</c:v>
                </c:pt>
                <c:pt idx="176">
                  <c:v>8.0000000000000002E-3</c:v>
                </c:pt>
                <c:pt idx="177">
                  <c:v>6.0000000000000001E-3</c:v>
                </c:pt>
                <c:pt idx="178">
                  <c:v>6.0000000000000001E-3</c:v>
                </c:pt>
                <c:pt idx="179">
                  <c:v>7.4999999999999997E-3</c:v>
                </c:pt>
                <c:pt idx="180">
                  <c:v>4.0000000000000001E-3</c:v>
                </c:pt>
                <c:pt idx="181">
                  <c:v>3.5000000000000001E-3</c:v>
                </c:pt>
                <c:pt idx="182">
                  <c:v>8.9999999999999993E-3</c:v>
                </c:pt>
                <c:pt idx="183">
                  <c:v>9.4999999999999998E-3</c:v>
                </c:pt>
                <c:pt idx="184">
                  <c:v>6.0000000000000001E-3</c:v>
                </c:pt>
                <c:pt idx="185">
                  <c:v>1.3499999999999998E-2</c:v>
                </c:pt>
                <c:pt idx="186">
                  <c:v>6.0000000000000001E-3</c:v>
                </c:pt>
                <c:pt idx="187">
                  <c:v>6.0000000000000001E-3</c:v>
                </c:pt>
                <c:pt idx="188">
                  <c:v>6.0000000000000001E-3</c:v>
                </c:pt>
                <c:pt idx="189">
                  <c:v>6.0000000000000001E-3</c:v>
                </c:pt>
                <c:pt idx="190">
                  <c:v>7.0000000000000001E-3</c:v>
                </c:pt>
                <c:pt idx="191">
                  <c:v>6.0000000000000001E-3</c:v>
                </c:pt>
                <c:pt idx="192">
                  <c:v>7.0000000000000001E-3</c:v>
                </c:pt>
                <c:pt idx="193">
                  <c:v>7.0000000000000001E-3</c:v>
                </c:pt>
                <c:pt idx="194">
                  <c:v>5.0000000000000001E-3</c:v>
                </c:pt>
                <c:pt idx="195">
                  <c:v>5.4999999999999997E-3</c:v>
                </c:pt>
                <c:pt idx="196">
                  <c:v>6.0000000000000001E-3</c:v>
                </c:pt>
                <c:pt idx="197">
                  <c:v>8.0000000000000002E-3</c:v>
                </c:pt>
                <c:pt idx="198">
                  <c:v>6.0000000000000001E-3</c:v>
                </c:pt>
                <c:pt idx="199">
                  <c:v>7.4999999999999997E-3</c:v>
                </c:pt>
                <c:pt idx="200">
                  <c:v>6.0000000000000001E-3</c:v>
                </c:pt>
                <c:pt idx="201">
                  <c:v>7.4999999999999997E-3</c:v>
                </c:pt>
                <c:pt idx="202">
                  <c:v>6.0000000000000001E-3</c:v>
                </c:pt>
                <c:pt idx="203">
                  <c:v>7.4999999999999997E-3</c:v>
                </c:pt>
                <c:pt idx="204">
                  <c:v>7.0000000000000001E-3</c:v>
                </c:pt>
                <c:pt idx="205">
                  <c:v>8.5000000000000006E-3</c:v>
                </c:pt>
              </c:numCache>
            </c:numRef>
          </c:yVal>
          <c:smooth val="0"/>
          <c:extLst>
            <c:ext xmlns:c16="http://schemas.microsoft.com/office/drawing/2014/chart" uri="{C3380CC4-5D6E-409C-BE32-E72D297353CC}">
              <c16:uniqueId val="{00000001-0B01-45F5-B904-C246BC3BFEC1}"/>
            </c:ext>
          </c:extLst>
        </c:ser>
        <c:ser>
          <c:idx val="1"/>
          <c:order val="1"/>
          <c:tx>
            <c:v>Monochloramine</c:v>
          </c:tx>
          <c:spPr>
            <a:ln w="25400" cap="rnd">
              <a:noFill/>
              <a:round/>
            </a:ln>
            <a:effectLst/>
          </c:spPr>
          <c:marker>
            <c:symbol val="circle"/>
            <c:size val="6"/>
            <c:spPr>
              <a:solidFill>
                <a:srgbClr val="F04646"/>
              </a:solidFill>
              <a:ln w="12700">
                <a:solidFill>
                  <a:srgbClr val="F04646">
                    <a:alpha val="95000"/>
                  </a:srgbClr>
                </a:solidFill>
              </a:ln>
              <a:effectLst/>
            </c:spPr>
          </c:marker>
          <c:trendline>
            <c:spPr>
              <a:ln w="19050" cap="rnd">
                <a:solidFill>
                  <a:schemeClr val="accent2"/>
                </a:solidFill>
                <a:prstDash val="sysDot"/>
              </a:ln>
              <a:effectLst/>
            </c:spPr>
            <c:trendlineType val="log"/>
            <c:dispRSqr val="0"/>
            <c:dispEq val="0"/>
          </c:trendline>
          <c:xVal>
            <c:numRef>
              <c:f>Physicochemical_Managed!$T$2:$T$207</c:f>
              <c:numCache>
                <c:formatCode>0.000</c:formatCode>
                <c:ptCount val="206"/>
                <c:pt idx="0">
                  <c:v>3.3733333333333335</c:v>
                </c:pt>
                <c:pt idx="1">
                  <c:v>3.21</c:v>
                </c:pt>
                <c:pt idx="2">
                  <c:v>3.37</c:v>
                </c:pt>
                <c:pt idx="3">
                  <c:v>3.62</c:v>
                </c:pt>
                <c:pt idx="4">
                  <c:v>3.61</c:v>
                </c:pt>
                <c:pt idx="5">
                  <c:v>3.6</c:v>
                </c:pt>
                <c:pt idx="6">
                  <c:v>3.5</c:v>
                </c:pt>
                <c:pt idx="7">
                  <c:v>3.32</c:v>
                </c:pt>
                <c:pt idx="8">
                  <c:v>3.91</c:v>
                </c:pt>
                <c:pt idx="9">
                  <c:v>0.01</c:v>
                </c:pt>
                <c:pt idx="10">
                  <c:v>0</c:v>
                </c:pt>
                <c:pt idx="11">
                  <c:v>0.31</c:v>
                </c:pt>
                <c:pt idx="12">
                  <c:v>0</c:v>
                </c:pt>
                <c:pt idx="13">
                  <c:v>0.02</c:v>
                </c:pt>
                <c:pt idx="14">
                  <c:v>0.01</c:v>
                </c:pt>
                <c:pt idx="15">
                  <c:v>3.49</c:v>
                </c:pt>
                <c:pt idx="16">
                  <c:v>3.53</c:v>
                </c:pt>
                <c:pt idx="17">
                  <c:v>3.26</c:v>
                </c:pt>
                <c:pt idx="18">
                  <c:v>3.66</c:v>
                </c:pt>
                <c:pt idx="19">
                  <c:v>3.94</c:v>
                </c:pt>
                <c:pt idx="20">
                  <c:v>2.2066666666666666</c:v>
                </c:pt>
                <c:pt idx="21">
                  <c:v>2.15</c:v>
                </c:pt>
                <c:pt idx="22">
                  <c:v>2.2000000000000002</c:v>
                </c:pt>
                <c:pt idx="23">
                  <c:v>2.0299999999999998</c:v>
                </c:pt>
                <c:pt idx="24">
                  <c:v>2.04</c:v>
                </c:pt>
                <c:pt idx="25">
                  <c:v>1.99</c:v>
                </c:pt>
                <c:pt idx="26">
                  <c:v>2.2799999999999998</c:v>
                </c:pt>
                <c:pt idx="27">
                  <c:v>2.2799999999999998</c:v>
                </c:pt>
                <c:pt idx="28">
                  <c:v>0</c:v>
                </c:pt>
                <c:pt idx="29">
                  <c:v>0.01</c:v>
                </c:pt>
                <c:pt idx="30">
                  <c:v>0.03</c:v>
                </c:pt>
                <c:pt idx="31">
                  <c:v>0.01</c:v>
                </c:pt>
                <c:pt idx="32">
                  <c:v>0.03</c:v>
                </c:pt>
                <c:pt idx="33">
                  <c:v>0.02</c:v>
                </c:pt>
                <c:pt idx="34">
                  <c:v>2.19</c:v>
                </c:pt>
                <c:pt idx="35">
                  <c:v>2.0099999999999998</c:v>
                </c:pt>
                <c:pt idx="36">
                  <c:v>1.96</c:v>
                </c:pt>
                <c:pt idx="37">
                  <c:v>1.24</c:v>
                </c:pt>
                <c:pt idx="38">
                  <c:v>1.9000000000000001</c:v>
                </c:pt>
                <c:pt idx="39">
                  <c:v>1.83</c:v>
                </c:pt>
                <c:pt idx="40">
                  <c:v>1.88</c:v>
                </c:pt>
                <c:pt idx="41">
                  <c:v>1.87</c:v>
                </c:pt>
                <c:pt idx="42">
                  <c:v>1.78</c:v>
                </c:pt>
                <c:pt idx="43">
                  <c:v>1.77</c:v>
                </c:pt>
                <c:pt idx="44">
                  <c:v>1.72</c:v>
                </c:pt>
                <c:pt idx="45">
                  <c:v>1.82</c:v>
                </c:pt>
                <c:pt idx="46">
                  <c:v>0</c:v>
                </c:pt>
                <c:pt idx="47">
                  <c:v>0.01</c:v>
                </c:pt>
                <c:pt idx="48">
                  <c:v>0</c:v>
                </c:pt>
                <c:pt idx="49">
                  <c:v>0.02</c:v>
                </c:pt>
                <c:pt idx="50">
                  <c:v>0</c:v>
                </c:pt>
                <c:pt idx="51">
                  <c:v>0.84</c:v>
                </c:pt>
                <c:pt idx="52">
                  <c:v>1.69</c:v>
                </c:pt>
                <c:pt idx="53">
                  <c:v>1.59</c:v>
                </c:pt>
                <c:pt idx="54">
                  <c:v>1.61</c:v>
                </c:pt>
                <c:pt idx="55">
                  <c:v>1.21</c:v>
                </c:pt>
                <c:pt idx="56">
                  <c:v>0.70666666666666667</c:v>
                </c:pt>
                <c:pt idx="57">
                  <c:v>0.65</c:v>
                </c:pt>
                <c:pt idx="58">
                  <c:v>0.72</c:v>
                </c:pt>
                <c:pt idx="59">
                  <c:v>0.6</c:v>
                </c:pt>
                <c:pt idx="60">
                  <c:v>0.85</c:v>
                </c:pt>
                <c:pt idx="61">
                  <c:v>0.34</c:v>
                </c:pt>
                <c:pt idx="62">
                  <c:v>0.49</c:v>
                </c:pt>
                <c:pt idx="63">
                  <c:v>0.73</c:v>
                </c:pt>
                <c:pt idx="64">
                  <c:v>0.71</c:v>
                </c:pt>
                <c:pt idx="65">
                  <c:v>0.01</c:v>
                </c:pt>
                <c:pt idx="66">
                  <c:v>0.01</c:v>
                </c:pt>
                <c:pt idx="67">
                  <c:v>0.01</c:v>
                </c:pt>
                <c:pt idx="68">
                  <c:v>0.01</c:v>
                </c:pt>
                <c:pt idx="69">
                  <c:v>0</c:v>
                </c:pt>
                <c:pt idx="70">
                  <c:v>0</c:v>
                </c:pt>
                <c:pt idx="71">
                  <c:v>0.7</c:v>
                </c:pt>
                <c:pt idx="72">
                  <c:v>0.84</c:v>
                </c:pt>
                <c:pt idx="73">
                  <c:v>0.66</c:v>
                </c:pt>
                <c:pt idx="74">
                  <c:v>0.7</c:v>
                </c:pt>
                <c:pt idx="75">
                  <c:v>1.66</c:v>
                </c:pt>
                <c:pt idx="76">
                  <c:v>1.49</c:v>
                </c:pt>
                <c:pt idx="77">
                  <c:v>1.48</c:v>
                </c:pt>
                <c:pt idx="78">
                  <c:v>1.36</c:v>
                </c:pt>
                <c:pt idx="79">
                  <c:v>1.6800000000000002</c:v>
                </c:pt>
                <c:pt idx="80">
                  <c:v>1.44</c:v>
                </c:pt>
                <c:pt idx="81">
                  <c:v>1.65</c:v>
                </c:pt>
                <c:pt idx="82">
                  <c:v>1.75</c:v>
                </c:pt>
                <c:pt idx="83">
                  <c:v>1.32</c:v>
                </c:pt>
                <c:pt idx="84">
                  <c:v>1.45</c:v>
                </c:pt>
                <c:pt idx="85">
                  <c:v>1.365</c:v>
                </c:pt>
                <c:pt idx="86">
                  <c:v>1.27</c:v>
                </c:pt>
                <c:pt idx="87">
                  <c:v>6.0000000000000005E-2</c:v>
                </c:pt>
                <c:pt idx="88">
                  <c:v>0.04</c:v>
                </c:pt>
                <c:pt idx="89">
                  <c:v>7.0000000000000007E-2</c:v>
                </c:pt>
                <c:pt idx="90">
                  <c:v>0.04</c:v>
                </c:pt>
                <c:pt idx="91">
                  <c:v>5.5000000000000007E-2</c:v>
                </c:pt>
                <c:pt idx="92">
                  <c:v>0.05</c:v>
                </c:pt>
                <c:pt idx="93">
                  <c:v>0.03</c:v>
                </c:pt>
                <c:pt idx="94">
                  <c:v>0.04</c:v>
                </c:pt>
                <c:pt idx="95">
                  <c:v>3.5000000000000003E-2</c:v>
                </c:pt>
                <c:pt idx="96">
                  <c:v>0.01</c:v>
                </c:pt>
                <c:pt idx="97">
                  <c:v>0.01</c:v>
                </c:pt>
                <c:pt idx="98">
                  <c:v>0</c:v>
                </c:pt>
                <c:pt idx="99">
                  <c:v>1.32</c:v>
                </c:pt>
                <c:pt idx="100">
                  <c:v>1.04</c:v>
                </c:pt>
                <c:pt idx="101">
                  <c:v>0.89000000000000012</c:v>
                </c:pt>
                <c:pt idx="102">
                  <c:v>1.35</c:v>
                </c:pt>
                <c:pt idx="103">
                  <c:v>1.085</c:v>
                </c:pt>
                <c:pt idx="104">
                  <c:v>0.56999999999999995</c:v>
                </c:pt>
                <c:pt idx="105">
                  <c:v>1.2549999999999999</c:v>
                </c:pt>
                <c:pt idx="106">
                  <c:v>0.7</c:v>
                </c:pt>
                <c:pt idx="107">
                  <c:v>0.79</c:v>
                </c:pt>
                <c:pt idx="108">
                  <c:v>2.6</c:v>
                </c:pt>
                <c:pt idx="109">
                  <c:v>2.0499999999999998</c:v>
                </c:pt>
                <c:pt idx="110">
                  <c:v>2.1</c:v>
                </c:pt>
                <c:pt idx="111">
                  <c:v>1.48</c:v>
                </c:pt>
                <c:pt idx="112">
                  <c:v>1.5</c:v>
                </c:pt>
                <c:pt idx="113">
                  <c:v>2.4249999999999998</c:v>
                </c:pt>
                <c:pt idx="114">
                  <c:v>2.2000000000000002</c:v>
                </c:pt>
                <c:pt idx="115">
                  <c:v>2.39</c:v>
                </c:pt>
                <c:pt idx="116">
                  <c:v>2.16</c:v>
                </c:pt>
                <c:pt idx="117">
                  <c:v>2.34</c:v>
                </c:pt>
                <c:pt idx="118">
                  <c:v>2.2200000000000002</c:v>
                </c:pt>
                <c:pt idx="119">
                  <c:v>2.6100000000000003</c:v>
                </c:pt>
                <c:pt idx="120">
                  <c:v>0.23</c:v>
                </c:pt>
                <c:pt idx="121">
                  <c:v>0.02</c:v>
                </c:pt>
                <c:pt idx="122">
                  <c:v>0.02</c:v>
                </c:pt>
                <c:pt idx="123">
                  <c:v>0.02</c:v>
                </c:pt>
                <c:pt idx="124">
                  <c:v>0.01</c:v>
                </c:pt>
                <c:pt idx="125">
                  <c:v>0.02</c:v>
                </c:pt>
                <c:pt idx="126">
                  <c:v>0.01</c:v>
                </c:pt>
                <c:pt idx="127">
                  <c:v>0.02</c:v>
                </c:pt>
                <c:pt idx="128">
                  <c:v>5.0000000000000001E-3</c:v>
                </c:pt>
                <c:pt idx="129">
                  <c:v>0</c:v>
                </c:pt>
                <c:pt idx="130">
                  <c:v>0.02</c:v>
                </c:pt>
                <c:pt idx="131">
                  <c:v>0.01</c:v>
                </c:pt>
                <c:pt idx="132">
                  <c:v>1.77</c:v>
                </c:pt>
                <c:pt idx="133">
                  <c:v>2.0449999999999999</c:v>
                </c:pt>
                <c:pt idx="134">
                  <c:v>2.19</c:v>
                </c:pt>
                <c:pt idx="135">
                  <c:v>2.415</c:v>
                </c:pt>
                <c:pt idx="136">
                  <c:v>1.93</c:v>
                </c:pt>
                <c:pt idx="137">
                  <c:v>2.1950000000000003</c:v>
                </c:pt>
                <c:pt idx="138">
                  <c:v>1.72</c:v>
                </c:pt>
                <c:pt idx="139">
                  <c:v>2.27</c:v>
                </c:pt>
                <c:pt idx="140">
                  <c:v>2.35</c:v>
                </c:pt>
                <c:pt idx="141">
                  <c:v>2.1550000000000002</c:v>
                </c:pt>
                <c:pt idx="142">
                  <c:v>2.3650000000000002</c:v>
                </c:pt>
                <c:pt idx="143">
                  <c:v>1.72</c:v>
                </c:pt>
                <c:pt idx="144">
                  <c:v>1.74</c:v>
                </c:pt>
                <c:pt idx="145">
                  <c:v>1.55</c:v>
                </c:pt>
                <c:pt idx="146">
                  <c:v>1.61</c:v>
                </c:pt>
                <c:pt idx="147">
                  <c:v>1.52</c:v>
                </c:pt>
                <c:pt idx="148">
                  <c:v>1.1599999999999999</c:v>
                </c:pt>
                <c:pt idx="149">
                  <c:v>1.56</c:v>
                </c:pt>
                <c:pt idx="150">
                  <c:v>1.61</c:v>
                </c:pt>
                <c:pt idx="151">
                  <c:v>1.4950000000000001</c:v>
                </c:pt>
                <c:pt idx="152">
                  <c:v>1.65</c:v>
                </c:pt>
                <c:pt idx="153">
                  <c:v>1.6549999999999998</c:v>
                </c:pt>
                <c:pt idx="154">
                  <c:v>0.02</c:v>
                </c:pt>
                <c:pt idx="155">
                  <c:v>1.4999999999999999E-2</c:v>
                </c:pt>
                <c:pt idx="156">
                  <c:v>0</c:v>
                </c:pt>
                <c:pt idx="157">
                  <c:v>5.0000000000000001E-3</c:v>
                </c:pt>
                <c:pt idx="158">
                  <c:v>0.03</c:v>
                </c:pt>
                <c:pt idx="159">
                  <c:v>5.0000000000000001E-3</c:v>
                </c:pt>
                <c:pt idx="160">
                  <c:v>0.04</c:v>
                </c:pt>
                <c:pt idx="161">
                  <c:v>0.02</c:v>
                </c:pt>
                <c:pt idx="162">
                  <c:v>0.04</c:v>
                </c:pt>
                <c:pt idx="163">
                  <c:v>0.01</c:v>
                </c:pt>
                <c:pt idx="164">
                  <c:v>0.74</c:v>
                </c:pt>
                <c:pt idx="165">
                  <c:v>1.9849999999999999</c:v>
                </c:pt>
                <c:pt idx="166">
                  <c:v>1.97</c:v>
                </c:pt>
                <c:pt idx="167">
                  <c:v>2.0199999999999996</c:v>
                </c:pt>
                <c:pt idx="168">
                  <c:v>1.89</c:v>
                </c:pt>
                <c:pt idx="169">
                  <c:v>1.855</c:v>
                </c:pt>
                <c:pt idx="170">
                  <c:v>1.67</c:v>
                </c:pt>
                <c:pt idx="171">
                  <c:v>1.87</c:v>
                </c:pt>
                <c:pt idx="172">
                  <c:v>1.18</c:v>
                </c:pt>
                <c:pt idx="173">
                  <c:v>1.34</c:v>
                </c:pt>
                <c:pt idx="174">
                  <c:v>1.6400000000000001</c:v>
                </c:pt>
                <c:pt idx="175">
                  <c:v>1.42</c:v>
                </c:pt>
                <c:pt idx="176">
                  <c:v>1.29</c:v>
                </c:pt>
                <c:pt idx="177">
                  <c:v>1.1599999999999999</c:v>
                </c:pt>
                <c:pt idx="178">
                  <c:v>1.1499999999999999</c:v>
                </c:pt>
                <c:pt idx="179">
                  <c:v>1.01</c:v>
                </c:pt>
                <c:pt idx="180">
                  <c:v>1.05</c:v>
                </c:pt>
                <c:pt idx="181">
                  <c:v>0.90500000000000003</c:v>
                </c:pt>
                <c:pt idx="182">
                  <c:v>1.08</c:v>
                </c:pt>
                <c:pt idx="183">
                  <c:v>0.69</c:v>
                </c:pt>
                <c:pt idx="184">
                  <c:v>0.09</c:v>
                </c:pt>
                <c:pt idx="185">
                  <c:v>1.4999999999999999E-2</c:v>
                </c:pt>
                <c:pt idx="186">
                  <c:v>0.02</c:v>
                </c:pt>
                <c:pt idx="187">
                  <c:v>0.28500000000000003</c:v>
                </c:pt>
                <c:pt idx="188">
                  <c:v>0.02</c:v>
                </c:pt>
                <c:pt idx="189">
                  <c:v>0.06</c:v>
                </c:pt>
                <c:pt idx="190">
                  <c:v>0</c:v>
                </c:pt>
                <c:pt idx="191">
                  <c:v>0.01</c:v>
                </c:pt>
                <c:pt idx="192">
                  <c:v>0.02</c:v>
                </c:pt>
                <c:pt idx="193">
                  <c:v>0.01</c:v>
                </c:pt>
                <c:pt idx="194">
                  <c:v>0.01</c:v>
                </c:pt>
                <c:pt idx="195">
                  <c:v>0.01</c:v>
                </c:pt>
                <c:pt idx="196">
                  <c:v>0.02</c:v>
                </c:pt>
                <c:pt idx="197">
                  <c:v>0.60499999999999998</c:v>
                </c:pt>
                <c:pt idx="198">
                  <c:v>1.1299999999999999</c:v>
                </c:pt>
                <c:pt idx="199">
                  <c:v>1.02</c:v>
                </c:pt>
                <c:pt idx="200">
                  <c:v>1.04</c:v>
                </c:pt>
                <c:pt idx="201">
                  <c:v>0.76500000000000001</c:v>
                </c:pt>
                <c:pt idx="202">
                  <c:v>0.95</c:v>
                </c:pt>
                <c:pt idx="203">
                  <c:v>0.92500000000000004</c:v>
                </c:pt>
                <c:pt idx="204">
                  <c:v>0.75</c:v>
                </c:pt>
                <c:pt idx="205">
                  <c:v>1.03</c:v>
                </c:pt>
              </c:numCache>
            </c:numRef>
          </c:xVal>
          <c:yVal>
            <c:numRef>
              <c:f>Physicochemical_Managed!$W$2:$W$207</c:f>
              <c:numCache>
                <c:formatCode>0.000</c:formatCode>
                <c:ptCount val="206"/>
                <c:pt idx="0">
                  <c:v>6.9999999999999993E-3</c:v>
                </c:pt>
                <c:pt idx="1">
                  <c:v>0.01</c:v>
                </c:pt>
                <c:pt idx="2">
                  <c:v>6.0000000000000001E-3</c:v>
                </c:pt>
                <c:pt idx="3">
                  <c:v>1.0999999999999999E-2</c:v>
                </c:pt>
                <c:pt idx="4">
                  <c:v>5.0000000000000001E-3</c:v>
                </c:pt>
                <c:pt idx="5">
                  <c:v>8.0000000000000002E-3</c:v>
                </c:pt>
                <c:pt idx="6">
                  <c:v>7.0000000000000001E-3</c:v>
                </c:pt>
                <c:pt idx="7">
                  <c:v>8.0000000000000002E-3</c:v>
                </c:pt>
                <c:pt idx="8">
                  <c:v>8.0000000000000002E-3</c:v>
                </c:pt>
                <c:pt idx="9">
                  <c:v>7.0000000000000001E-3</c:v>
                </c:pt>
                <c:pt idx="10">
                  <c:v>8.0000000000000002E-3</c:v>
                </c:pt>
                <c:pt idx="11">
                  <c:v>0</c:v>
                </c:pt>
                <c:pt idx="12">
                  <c:v>7.0000000000000001E-3</c:v>
                </c:pt>
                <c:pt idx="13">
                  <c:v>7.0000000000000001E-3</c:v>
                </c:pt>
                <c:pt idx="14">
                  <c:v>6.0000000000000001E-3</c:v>
                </c:pt>
                <c:pt idx="15">
                  <c:v>7.0000000000000001E-3</c:v>
                </c:pt>
                <c:pt idx="16">
                  <c:v>8.0000000000000002E-3</c:v>
                </c:pt>
                <c:pt idx="17">
                  <c:v>8.9999999999999993E-3</c:v>
                </c:pt>
                <c:pt idx="18">
                  <c:v>8.0000000000000002E-3</c:v>
                </c:pt>
                <c:pt idx="19">
                  <c:v>7.0000000000000001E-3</c:v>
                </c:pt>
                <c:pt idx="20">
                  <c:v>5.0000000000000001E-3</c:v>
                </c:pt>
                <c:pt idx="21">
                  <c:v>6.0000000000000001E-3</c:v>
                </c:pt>
                <c:pt idx="22">
                  <c:v>5.0000000000000001E-3</c:v>
                </c:pt>
                <c:pt idx="23">
                  <c:v>4.0000000000000001E-3</c:v>
                </c:pt>
                <c:pt idx="24">
                  <c:v>6.0000000000000001E-3</c:v>
                </c:pt>
                <c:pt idx="25">
                  <c:v>5.0000000000000001E-3</c:v>
                </c:pt>
                <c:pt idx="26">
                  <c:v>5.0000000000000001E-3</c:v>
                </c:pt>
                <c:pt idx="27">
                  <c:v>7.0000000000000001E-3</c:v>
                </c:pt>
                <c:pt idx="28">
                  <c:v>7.0000000000000001E-3</c:v>
                </c:pt>
                <c:pt idx="29">
                  <c:v>0.1</c:v>
                </c:pt>
                <c:pt idx="30">
                  <c:v>5.0000000000000001E-3</c:v>
                </c:pt>
                <c:pt idx="31">
                  <c:v>6.0000000000000001E-3</c:v>
                </c:pt>
                <c:pt idx="32">
                  <c:v>6.0000000000000001E-3</c:v>
                </c:pt>
                <c:pt idx="33">
                  <c:v>7.0000000000000001E-3</c:v>
                </c:pt>
                <c:pt idx="34">
                  <c:v>7.0000000000000001E-3</c:v>
                </c:pt>
                <c:pt idx="35">
                  <c:v>6.0000000000000001E-3</c:v>
                </c:pt>
                <c:pt idx="36">
                  <c:v>2E-3</c:v>
                </c:pt>
                <c:pt idx="37">
                  <c:v>1E-3</c:v>
                </c:pt>
                <c:pt idx="38">
                  <c:v>5.3333333333333332E-3</c:v>
                </c:pt>
                <c:pt idx="39">
                  <c:v>5.0000000000000001E-3</c:v>
                </c:pt>
                <c:pt idx="40">
                  <c:v>6.0000000000000001E-3</c:v>
                </c:pt>
                <c:pt idx="41">
                  <c:v>6.0000000000000001E-3</c:v>
                </c:pt>
                <c:pt idx="42">
                  <c:v>7.0000000000000001E-3</c:v>
                </c:pt>
                <c:pt idx="43">
                  <c:v>5.0000000000000001E-3</c:v>
                </c:pt>
                <c:pt idx="44">
                  <c:v>5.0000000000000001E-3</c:v>
                </c:pt>
                <c:pt idx="45">
                  <c:v>1E-3</c:v>
                </c:pt>
                <c:pt idx="46">
                  <c:v>6.0000000000000001E-3</c:v>
                </c:pt>
                <c:pt idx="47">
                  <c:v>7.0000000000000001E-3</c:v>
                </c:pt>
                <c:pt idx="48">
                  <c:v>7.0000000000000001E-3</c:v>
                </c:pt>
                <c:pt idx="49">
                  <c:v>6.0000000000000001E-3</c:v>
                </c:pt>
                <c:pt idx="50">
                  <c:v>5.0000000000000001E-3</c:v>
                </c:pt>
                <c:pt idx="51">
                  <c:v>7.0000000000000001E-3</c:v>
                </c:pt>
                <c:pt idx="52">
                  <c:v>5.0000000000000001E-3</c:v>
                </c:pt>
                <c:pt idx="53">
                  <c:v>6.0000000000000001E-3</c:v>
                </c:pt>
                <c:pt idx="54">
                  <c:v>5.0000000000000001E-3</c:v>
                </c:pt>
                <c:pt idx="55">
                  <c:v>7.0000000000000001E-3</c:v>
                </c:pt>
                <c:pt idx="56">
                  <c:v>0.06</c:v>
                </c:pt>
                <c:pt idx="57">
                  <c:v>7.0000000000000007E-2</c:v>
                </c:pt>
                <c:pt idx="58">
                  <c:v>4.8000000000000001E-2</c:v>
                </c:pt>
                <c:pt idx="59">
                  <c:v>7.5999999999999998E-2</c:v>
                </c:pt>
                <c:pt idx="60">
                  <c:v>5.1999999999999998E-2</c:v>
                </c:pt>
                <c:pt idx="61">
                  <c:v>6.3E-2</c:v>
                </c:pt>
                <c:pt idx="62">
                  <c:v>7.6999999999999999E-2</c:v>
                </c:pt>
                <c:pt idx="63">
                  <c:v>5.5E-2</c:v>
                </c:pt>
                <c:pt idx="64">
                  <c:v>5.0999999999999997E-2</c:v>
                </c:pt>
                <c:pt idx="65">
                  <c:v>8.0000000000000002E-3</c:v>
                </c:pt>
                <c:pt idx="66">
                  <c:v>1.2E-2</c:v>
                </c:pt>
                <c:pt idx="67">
                  <c:v>6.0000000000000001E-3</c:v>
                </c:pt>
                <c:pt idx="68">
                  <c:v>8.9999999999999993E-3</c:v>
                </c:pt>
                <c:pt idx="69">
                  <c:v>0.01</c:v>
                </c:pt>
                <c:pt idx="70">
                  <c:v>7.0000000000000001E-3</c:v>
                </c:pt>
                <c:pt idx="71">
                  <c:v>8.0000000000000002E-3</c:v>
                </c:pt>
                <c:pt idx="72">
                  <c:v>7.0000000000000001E-3</c:v>
                </c:pt>
                <c:pt idx="73">
                  <c:v>7.0000000000000001E-3</c:v>
                </c:pt>
                <c:pt idx="74">
                  <c:v>8.0000000000000002E-3</c:v>
                </c:pt>
                <c:pt idx="75">
                  <c:v>5.0000000000000001E-3</c:v>
                </c:pt>
                <c:pt idx="76">
                  <c:v>6.0000000000000001E-3</c:v>
                </c:pt>
                <c:pt idx="77">
                  <c:v>7.0000000000000001E-3</c:v>
                </c:pt>
                <c:pt idx="78">
                  <c:v>7.0000000000000001E-3</c:v>
                </c:pt>
                <c:pt idx="79">
                  <c:v>6.5000000000000006E-3</c:v>
                </c:pt>
                <c:pt idx="80">
                  <c:v>6.0000000000000001E-3</c:v>
                </c:pt>
                <c:pt idx="81">
                  <c:v>7.0000000000000001E-3</c:v>
                </c:pt>
                <c:pt idx="82">
                  <c:v>7.0000000000000001E-3</c:v>
                </c:pt>
                <c:pt idx="83">
                  <c:v>6.0000000000000001E-3</c:v>
                </c:pt>
                <c:pt idx="84">
                  <c:v>6.0000000000000001E-3</c:v>
                </c:pt>
                <c:pt idx="85">
                  <c:v>7.0000000000000001E-3</c:v>
                </c:pt>
                <c:pt idx="86">
                  <c:v>6.0000000000000001E-3</c:v>
                </c:pt>
                <c:pt idx="87">
                  <c:v>6.0000000000000001E-3</c:v>
                </c:pt>
                <c:pt idx="88">
                  <c:v>6.0000000000000001E-3</c:v>
                </c:pt>
                <c:pt idx="89">
                  <c:v>6.0000000000000001E-3</c:v>
                </c:pt>
                <c:pt idx="90">
                  <c:v>7.0000000000000001E-3</c:v>
                </c:pt>
                <c:pt idx="91">
                  <c:v>7.4999999999999997E-3</c:v>
                </c:pt>
                <c:pt idx="92">
                  <c:v>6.0000000000000001E-3</c:v>
                </c:pt>
                <c:pt idx="93">
                  <c:v>6.0000000000000001E-3</c:v>
                </c:pt>
                <c:pt idx="94">
                  <c:v>8.9999999999999993E-3</c:v>
                </c:pt>
                <c:pt idx="95">
                  <c:v>6.5000000000000006E-3</c:v>
                </c:pt>
                <c:pt idx="96">
                  <c:v>5.0000000000000001E-3</c:v>
                </c:pt>
                <c:pt idx="97">
                  <c:v>7.0000000000000001E-3</c:v>
                </c:pt>
                <c:pt idx="98">
                  <c:v>6.0000000000000001E-3</c:v>
                </c:pt>
                <c:pt idx="99">
                  <c:v>6.5000000000000006E-3</c:v>
                </c:pt>
                <c:pt idx="100">
                  <c:v>7.0000000000000001E-3</c:v>
                </c:pt>
                <c:pt idx="101">
                  <c:v>6.5000000000000006E-3</c:v>
                </c:pt>
                <c:pt idx="102">
                  <c:v>5.0000000000000001E-3</c:v>
                </c:pt>
                <c:pt idx="103">
                  <c:v>6.5000000000000006E-3</c:v>
                </c:pt>
                <c:pt idx="104">
                  <c:v>6.0000000000000001E-3</c:v>
                </c:pt>
                <c:pt idx="105">
                  <c:v>5.4000000000000006E-2</c:v>
                </c:pt>
                <c:pt idx="106">
                  <c:v>8.9999999999999993E-3</c:v>
                </c:pt>
                <c:pt idx="107">
                  <c:v>8.5000000000000006E-3</c:v>
                </c:pt>
                <c:pt idx="108">
                  <c:v>1.0500000000000001E-2</c:v>
                </c:pt>
                <c:pt idx="109">
                  <c:v>6.0000000000000001E-3</c:v>
                </c:pt>
                <c:pt idx="110">
                  <c:v>7.0000000000000001E-3</c:v>
                </c:pt>
                <c:pt idx="111">
                  <c:v>1.2999999999999999E-2</c:v>
                </c:pt>
                <c:pt idx="112">
                  <c:v>2.4E-2</c:v>
                </c:pt>
                <c:pt idx="113">
                  <c:v>8.0000000000000002E-3</c:v>
                </c:pt>
                <c:pt idx="114">
                  <c:v>7.0000000000000001E-3</c:v>
                </c:pt>
                <c:pt idx="115">
                  <c:v>7.0000000000000001E-3</c:v>
                </c:pt>
                <c:pt idx="116">
                  <c:v>5.0000000000000001E-3</c:v>
                </c:pt>
                <c:pt idx="117">
                  <c:v>7.0000000000000001E-3</c:v>
                </c:pt>
                <c:pt idx="118">
                  <c:v>7.0000000000000001E-3</c:v>
                </c:pt>
                <c:pt idx="119">
                  <c:v>8.0000000000000002E-3</c:v>
                </c:pt>
                <c:pt idx="120">
                  <c:v>1.0999999999999999E-2</c:v>
                </c:pt>
                <c:pt idx="121">
                  <c:v>7.0000000000000001E-3</c:v>
                </c:pt>
                <c:pt idx="122">
                  <c:v>7.0000000000000001E-3</c:v>
                </c:pt>
                <c:pt idx="123">
                  <c:v>8.9999999999999993E-3</c:v>
                </c:pt>
                <c:pt idx="124">
                  <c:v>6.5000000000000006E-3</c:v>
                </c:pt>
                <c:pt idx="125">
                  <c:v>7.0000000000000001E-3</c:v>
                </c:pt>
                <c:pt idx="126">
                  <c:v>8.0000000000000002E-3</c:v>
                </c:pt>
                <c:pt idx="127">
                  <c:v>7.0000000000000001E-3</c:v>
                </c:pt>
                <c:pt idx="128">
                  <c:v>7.0000000000000001E-3</c:v>
                </c:pt>
                <c:pt idx="129">
                  <c:v>6.0000000000000001E-3</c:v>
                </c:pt>
                <c:pt idx="130">
                  <c:v>8.0000000000000002E-3</c:v>
                </c:pt>
                <c:pt idx="131">
                  <c:v>7.0000000000000001E-3</c:v>
                </c:pt>
                <c:pt idx="132">
                  <c:v>6.0000000000000001E-3</c:v>
                </c:pt>
                <c:pt idx="133">
                  <c:v>6.0000000000000001E-3</c:v>
                </c:pt>
                <c:pt idx="134">
                  <c:v>7.0000000000000001E-3</c:v>
                </c:pt>
                <c:pt idx="135">
                  <c:v>6.5000000000000006E-3</c:v>
                </c:pt>
                <c:pt idx="136">
                  <c:v>8.0000000000000002E-3</c:v>
                </c:pt>
                <c:pt idx="137">
                  <c:v>4.5000000000000005E-3</c:v>
                </c:pt>
                <c:pt idx="138">
                  <c:v>8.9999999999999993E-3</c:v>
                </c:pt>
                <c:pt idx="139">
                  <c:v>6.5000000000000006E-3</c:v>
                </c:pt>
                <c:pt idx="140">
                  <c:v>2E-3</c:v>
                </c:pt>
                <c:pt idx="141">
                  <c:v>2E-3</c:v>
                </c:pt>
                <c:pt idx="142">
                  <c:v>5.0000000000000001E-3</c:v>
                </c:pt>
                <c:pt idx="143">
                  <c:v>6.0000000000000001E-3</c:v>
                </c:pt>
                <c:pt idx="144">
                  <c:v>6.0000000000000001E-3</c:v>
                </c:pt>
                <c:pt idx="145">
                  <c:v>7.0000000000000001E-3</c:v>
                </c:pt>
                <c:pt idx="146">
                  <c:v>6.0000000000000001E-3</c:v>
                </c:pt>
                <c:pt idx="147">
                  <c:v>6.5000000000000006E-3</c:v>
                </c:pt>
                <c:pt idx="148">
                  <c:v>8.0000000000000002E-3</c:v>
                </c:pt>
                <c:pt idx="149">
                  <c:v>7.0000000000000001E-3</c:v>
                </c:pt>
                <c:pt idx="150">
                  <c:v>6.0000000000000001E-3</c:v>
                </c:pt>
                <c:pt idx="151">
                  <c:v>7.0000000000000001E-3</c:v>
                </c:pt>
                <c:pt idx="152">
                  <c:v>6.0000000000000001E-3</c:v>
                </c:pt>
                <c:pt idx="153">
                  <c:v>6.0000000000000001E-3</c:v>
                </c:pt>
                <c:pt idx="154">
                  <c:v>7.0000000000000001E-3</c:v>
                </c:pt>
                <c:pt idx="155">
                  <c:v>2.5000000000000001E-3</c:v>
                </c:pt>
                <c:pt idx="156">
                  <c:v>6.0000000000000001E-3</c:v>
                </c:pt>
                <c:pt idx="157">
                  <c:v>5.4999999999999997E-3</c:v>
                </c:pt>
                <c:pt idx="158">
                  <c:v>5.0000000000000001E-3</c:v>
                </c:pt>
                <c:pt idx="159">
                  <c:v>6.0000000000000001E-3</c:v>
                </c:pt>
                <c:pt idx="160">
                  <c:v>6.0000000000000001E-3</c:v>
                </c:pt>
                <c:pt idx="161">
                  <c:v>5.4999999999999997E-3</c:v>
                </c:pt>
                <c:pt idx="162">
                  <c:v>6.0000000000000001E-3</c:v>
                </c:pt>
                <c:pt idx="163">
                  <c:v>5.4999999999999997E-3</c:v>
                </c:pt>
                <c:pt idx="164">
                  <c:v>6.0000000000000001E-3</c:v>
                </c:pt>
                <c:pt idx="165">
                  <c:v>7.0000000000000001E-3</c:v>
                </c:pt>
                <c:pt idx="166">
                  <c:v>6.0000000000000001E-3</c:v>
                </c:pt>
                <c:pt idx="167">
                  <c:v>7.0000000000000001E-3</c:v>
                </c:pt>
                <c:pt idx="168">
                  <c:v>6.0000000000000001E-3</c:v>
                </c:pt>
                <c:pt idx="169">
                  <c:v>7.4999999999999997E-3</c:v>
                </c:pt>
                <c:pt idx="170">
                  <c:v>1E-3</c:v>
                </c:pt>
                <c:pt idx="171">
                  <c:v>2E-3</c:v>
                </c:pt>
                <c:pt idx="172">
                  <c:v>2E-3</c:v>
                </c:pt>
                <c:pt idx="173">
                  <c:v>4.5000000000000005E-3</c:v>
                </c:pt>
                <c:pt idx="174">
                  <c:v>1.3000000000000001E-2</c:v>
                </c:pt>
                <c:pt idx="175">
                  <c:v>7.0000000000000001E-3</c:v>
                </c:pt>
                <c:pt idx="176">
                  <c:v>8.0000000000000002E-3</c:v>
                </c:pt>
                <c:pt idx="177">
                  <c:v>6.0000000000000001E-3</c:v>
                </c:pt>
                <c:pt idx="178">
                  <c:v>6.0000000000000001E-3</c:v>
                </c:pt>
                <c:pt idx="179">
                  <c:v>7.4999999999999997E-3</c:v>
                </c:pt>
                <c:pt idx="180">
                  <c:v>4.0000000000000001E-3</c:v>
                </c:pt>
                <c:pt idx="181">
                  <c:v>3.5000000000000001E-3</c:v>
                </c:pt>
                <c:pt idx="182">
                  <c:v>8.9999999999999993E-3</c:v>
                </c:pt>
                <c:pt idx="183">
                  <c:v>9.4999999999999998E-3</c:v>
                </c:pt>
                <c:pt idx="184">
                  <c:v>6.0000000000000001E-3</c:v>
                </c:pt>
                <c:pt idx="185">
                  <c:v>1.3499999999999998E-2</c:v>
                </c:pt>
                <c:pt idx="186">
                  <c:v>6.0000000000000001E-3</c:v>
                </c:pt>
                <c:pt idx="187">
                  <c:v>6.0000000000000001E-3</c:v>
                </c:pt>
                <c:pt idx="188">
                  <c:v>6.0000000000000001E-3</c:v>
                </c:pt>
                <c:pt idx="189">
                  <c:v>6.0000000000000001E-3</c:v>
                </c:pt>
                <c:pt idx="190">
                  <c:v>7.0000000000000001E-3</c:v>
                </c:pt>
                <c:pt idx="191">
                  <c:v>6.0000000000000001E-3</c:v>
                </c:pt>
                <c:pt idx="192">
                  <c:v>7.0000000000000001E-3</c:v>
                </c:pt>
                <c:pt idx="193">
                  <c:v>7.0000000000000001E-3</c:v>
                </c:pt>
                <c:pt idx="194">
                  <c:v>5.0000000000000001E-3</c:v>
                </c:pt>
                <c:pt idx="195">
                  <c:v>5.4999999999999997E-3</c:v>
                </c:pt>
                <c:pt idx="196">
                  <c:v>6.0000000000000001E-3</c:v>
                </c:pt>
                <c:pt idx="197">
                  <c:v>8.0000000000000002E-3</c:v>
                </c:pt>
                <c:pt idx="198">
                  <c:v>6.0000000000000001E-3</c:v>
                </c:pt>
                <c:pt idx="199">
                  <c:v>7.4999999999999997E-3</c:v>
                </c:pt>
                <c:pt idx="200">
                  <c:v>6.0000000000000001E-3</c:v>
                </c:pt>
                <c:pt idx="201">
                  <c:v>7.4999999999999997E-3</c:v>
                </c:pt>
                <c:pt idx="202">
                  <c:v>6.0000000000000001E-3</c:v>
                </c:pt>
                <c:pt idx="203">
                  <c:v>7.4999999999999997E-3</c:v>
                </c:pt>
                <c:pt idx="204">
                  <c:v>7.0000000000000001E-3</c:v>
                </c:pt>
                <c:pt idx="205">
                  <c:v>8.5000000000000006E-3</c:v>
                </c:pt>
              </c:numCache>
            </c:numRef>
          </c:yVal>
          <c:smooth val="0"/>
          <c:extLst>
            <c:ext xmlns:c16="http://schemas.microsoft.com/office/drawing/2014/chart" uri="{C3380CC4-5D6E-409C-BE32-E72D297353CC}">
              <c16:uniqueId val="{00000003-0B01-45F5-B904-C246BC3BFEC1}"/>
            </c:ext>
          </c:extLst>
        </c:ser>
        <c:dLbls>
          <c:showLegendKey val="0"/>
          <c:showVal val="0"/>
          <c:showCatName val="0"/>
          <c:showSerName val="0"/>
          <c:showPercent val="0"/>
          <c:showBubbleSize val="0"/>
        </c:dLbls>
        <c:axId val="403941288"/>
        <c:axId val="403917672"/>
      </c:scatterChart>
      <c:valAx>
        <c:axId val="403941288"/>
        <c:scaling>
          <c:orientation val="minMax"/>
          <c:max val="4.2"/>
          <c:min val="0"/>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Free chlorine or monochmoramine (mg Cl</a:t>
                </a:r>
                <a:r>
                  <a:rPr lang="en-US" baseline="-25000"/>
                  <a:t>2</a:t>
                </a:r>
                <a:r>
                  <a:rPr lang="en-US"/>
                  <a:t>·L</a:t>
                </a:r>
                <a:r>
                  <a:rPr lang="en-US" baseline="30000"/>
                  <a:t>-1</a:t>
                </a:r>
                <a:r>
                  <a:rPr lang="en-US"/>
                  <a:t>)</a:t>
                </a:r>
                <a:endParaRPr lang="en-US" b="1">
                  <a:solidFill>
                    <a:srgbClr val="FF0000"/>
                  </a:solidFill>
                </a:endParaRPr>
              </a:p>
            </c:rich>
          </c:tx>
          <c:layout>
            <c:manualLayout>
              <c:xMode val="edge"/>
              <c:yMode val="edge"/>
              <c:x val="0.2339238349489498"/>
              <c:y val="0.8621347405230253"/>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0" sourceLinked="0"/>
        <c:majorTickMark val="out"/>
        <c:minorTickMark val="in"/>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03917672"/>
        <c:crosses val="autoZero"/>
        <c:crossBetween val="midCat"/>
      </c:valAx>
      <c:valAx>
        <c:axId val="403917672"/>
        <c:scaling>
          <c:orientation val="minMax"/>
          <c:max val="0.10500000000000001"/>
          <c:min val="0"/>
        </c:scaling>
        <c:delete val="0"/>
        <c:axPos val="l"/>
        <c:majorGridlines>
          <c:spPr>
            <a:ln w="1270" cap="flat" cmpd="sng" algn="ctr">
              <a:solidFill>
                <a:schemeClr val="tx1"/>
              </a:solidFill>
              <a:prstDash val="solid"/>
              <a:round/>
            </a:ln>
            <a:effectLst/>
          </c:spPr>
        </c:majorGridlines>
        <c:minorGridlines>
          <c:spPr>
            <a:ln w="1270" cap="flat" cmpd="sng" algn="ctr">
              <a:solidFill>
                <a:schemeClr val="bg2">
                  <a:lumMod val="90000"/>
                </a:schemeClr>
              </a:solidFill>
              <a:prstDash val="dash"/>
              <a:round/>
            </a:ln>
            <a:effectLst/>
          </c:spPr>
        </c:min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sz="1200" b="0" i="0" u="none" strike="noStrike" baseline="0">
                    <a:effectLst/>
                  </a:rPr>
                  <a:t>Nitrite (mg NO</a:t>
                </a:r>
                <a:r>
                  <a:rPr lang="en-US" sz="1200" b="0" i="0" u="none" strike="noStrike" baseline="-25000">
                    <a:effectLst/>
                  </a:rPr>
                  <a:t>2</a:t>
                </a:r>
                <a:r>
                  <a:rPr lang="en-US" sz="1200" b="0" i="0" u="none" strike="noStrike" baseline="30000">
                    <a:effectLst/>
                  </a:rPr>
                  <a:t>-</a:t>
                </a:r>
                <a:r>
                  <a:rPr lang="en-US" sz="1200" b="0" i="0" u="none" strike="noStrike" baseline="0">
                    <a:effectLst/>
                  </a:rPr>
                  <a:t>-N·L</a:t>
                </a:r>
                <a:r>
                  <a:rPr lang="en-US" sz="1200" b="0" i="0" u="none" strike="noStrike" baseline="30000">
                    <a:effectLst/>
                  </a:rPr>
                  <a:t>-1</a:t>
                </a:r>
                <a:r>
                  <a:rPr lang="en-US" sz="1200" b="0" i="0" u="none" strike="noStrike" baseline="0">
                    <a:effectLst/>
                  </a:rPr>
                  <a:t>)</a:t>
                </a:r>
                <a:endParaRPr lang="en-US" b="0"/>
              </a:p>
            </c:rich>
          </c:tx>
          <c:layout>
            <c:manualLayout>
              <c:xMode val="edge"/>
              <c:yMode val="edge"/>
              <c:x val="6.5976053561081385E-5"/>
              <c:y val="0.23028098644558329"/>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00" sourceLinked="0"/>
        <c:majorTickMark val="out"/>
        <c:minorTickMark val="in"/>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03941288"/>
        <c:crosses val="autoZero"/>
        <c:crossBetween val="midCat"/>
        <c:majorUnit val="2.0000000000000004E-2"/>
        <c:minorUnit val="5.000000000000001E-3"/>
      </c:valAx>
      <c:spPr>
        <a:noFill/>
        <a:ln w="19050">
          <a:solidFill>
            <a:schemeClr val="tx1"/>
          </a:solidFill>
        </a:ln>
        <a:effectLst/>
      </c:spPr>
    </c:plotArea>
    <c:legend>
      <c:legendPos val="r"/>
      <c:layout>
        <c:manualLayout>
          <c:xMode val="edge"/>
          <c:yMode val="edge"/>
          <c:x val="0.51754421192400835"/>
          <c:y val="5.0250362259081249E-2"/>
          <c:w val="0.3287739736898973"/>
          <c:h val="0.15885731562826269"/>
        </c:manualLayout>
      </c:layout>
      <c:overlay val="0"/>
      <c:spPr>
        <a:solidFill>
          <a:schemeClr val="bg1"/>
        </a:solid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04646"/>
      </a:solid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13278008298755"/>
          <c:y val="3.6235046109691547E-2"/>
          <c:w val="0.77921161825726137"/>
          <c:h val="0.75850914427279748"/>
        </c:manualLayout>
      </c:layout>
      <c:lineChart>
        <c:grouping val="standard"/>
        <c:varyColors val="0"/>
        <c:ser>
          <c:idx val="3"/>
          <c:order val="0"/>
          <c:tx>
            <c:v>pH</c:v>
          </c:tx>
          <c:spPr>
            <a:ln w="6350" cap="rnd">
              <a:solidFill>
                <a:srgbClr val="F04646"/>
              </a:solidFill>
              <a:round/>
            </a:ln>
            <a:effectLst/>
          </c:spPr>
          <c:marker>
            <c:symbol val="circle"/>
            <c:size val="6"/>
            <c:spPr>
              <a:solidFill>
                <a:srgbClr val="F04646"/>
              </a:solidFill>
              <a:ln w="12700">
                <a:solidFill>
                  <a:srgbClr val="F04646"/>
                </a:solidFill>
              </a:ln>
              <a:effectLst/>
            </c:spPr>
          </c:marker>
          <c:cat>
            <c:numRef>
              <c:f>Physicochemical_Managed!$O$2:$O$21</c:f>
              <c:numCache>
                <c:formatCode>mm/dd/yyyy</c:formatCode>
                <c:ptCount val="20"/>
                <c:pt idx="0">
                  <c:v>44294</c:v>
                </c:pt>
                <c:pt idx="1">
                  <c:v>44306</c:v>
                </c:pt>
                <c:pt idx="2">
                  <c:v>44313</c:v>
                </c:pt>
                <c:pt idx="3">
                  <c:v>44320</c:v>
                </c:pt>
                <c:pt idx="4">
                  <c:v>44327</c:v>
                </c:pt>
                <c:pt idx="5">
                  <c:v>44335</c:v>
                </c:pt>
                <c:pt idx="6">
                  <c:v>44342</c:v>
                </c:pt>
                <c:pt idx="7">
                  <c:v>44350</c:v>
                </c:pt>
                <c:pt idx="8">
                  <c:v>44356</c:v>
                </c:pt>
                <c:pt idx="9">
                  <c:v>44363</c:v>
                </c:pt>
                <c:pt idx="10">
                  <c:v>44370</c:v>
                </c:pt>
                <c:pt idx="11">
                  <c:v>44377</c:v>
                </c:pt>
                <c:pt idx="12">
                  <c:v>44385</c:v>
                </c:pt>
                <c:pt idx="13">
                  <c:v>44391</c:v>
                </c:pt>
                <c:pt idx="14">
                  <c:v>44398</c:v>
                </c:pt>
                <c:pt idx="15">
                  <c:v>44405</c:v>
                </c:pt>
                <c:pt idx="16">
                  <c:v>44412</c:v>
                </c:pt>
                <c:pt idx="17">
                  <c:v>44419</c:v>
                </c:pt>
                <c:pt idx="18">
                  <c:v>44426</c:v>
                </c:pt>
                <c:pt idx="19">
                  <c:v>44433</c:v>
                </c:pt>
              </c:numCache>
            </c:numRef>
          </c:cat>
          <c:val>
            <c:numRef>
              <c:f>Physicochemical_Managed!$Q$2:$Q$21</c:f>
              <c:numCache>
                <c:formatCode>0.000</c:formatCode>
                <c:ptCount val="20"/>
                <c:pt idx="0">
                  <c:v>6.75</c:v>
                </c:pt>
                <c:pt idx="1">
                  <c:v>6.85</c:v>
                </c:pt>
                <c:pt idx="2">
                  <c:v>6.7</c:v>
                </c:pt>
                <c:pt idx="3">
                  <c:v>6.7</c:v>
                </c:pt>
                <c:pt idx="4">
                  <c:v>6.69</c:v>
                </c:pt>
                <c:pt idx="5">
                  <c:v>6.72</c:v>
                </c:pt>
                <c:pt idx="6">
                  <c:v>6.66</c:v>
                </c:pt>
                <c:pt idx="7">
                  <c:v>6.58</c:v>
                </c:pt>
                <c:pt idx="8">
                  <c:v>6.69</c:v>
                </c:pt>
                <c:pt idx="9">
                  <c:v>6.79</c:v>
                </c:pt>
                <c:pt idx="10">
                  <c:v>6.98</c:v>
                </c:pt>
                <c:pt idx="11">
                  <c:v>6.71</c:v>
                </c:pt>
                <c:pt idx="12">
                  <c:v>6.71</c:v>
                </c:pt>
                <c:pt idx="13">
                  <c:v>6.11</c:v>
                </c:pt>
                <c:pt idx="14">
                  <c:v>6.77</c:v>
                </c:pt>
                <c:pt idx="15">
                  <c:v>6.71</c:v>
                </c:pt>
                <c:pt idx="16">
                  <c:v>6.76</c:v>
                </c:pt>
                <c:pt idx="17">
                  <c:v>6.67</c:v>
                </c:pt>
                <c:pt idx="18">
                  <c:v>6.71</c:v>
                </c:pt>
                <c:pt idx="19">
                  <c:v>6.84</c:v>
                </c:pt>
              </c:numCache>
            </c:numRef>
          </c:val>
          <c:smooth val="0"/>
          <c:extLst>
            <c:ext xmlns:c16="http://schemas.microsoft.com/office/drawing/2014/chart" uri="{C3380CC4-5D6E-409C-BE32-E72D297353CC}">
              <c16:uniqueId val="{00000001-5712-4647-8397-DE2C69EFACCD}"/>
            </c:ext>
          </c:extLst>
        </c:ser>
        <c:dLbls>
          <c:showLegendKey val="0"/>
          <c:showVal val="0"/>
          <c:showCatName val="0"/>
          <c:showSerName val="0"/>
          <c:showPercent val="0"/>
          <c:showBubbleSize val="0"/>
        </c:dLbls>
        <c:marker val="1"/>
        <c:smooth val="0"/>
        <c:axId val="403941288"/>
        <c:axId val="403917672"/>
      </c:lineChart>
      <c:lineChart>
        <c:grouping val="standard"/>
        <c:varyColors val="0"/>
        <c:ser>
          <c:idx val="0"/>
          <c:order val="1"/>
          <c:tx>
            <c:v>Water temperature</c:v>
          </c:tx>
          <c:spPr>
            <a:ln w="6350" cap="rnd">
              <a:solidFill>
                <a:srgbClr val="5064E6"/>
              </a:solidFill>
              <a:round/>
            </a:ln>
            <a:effectLst/>
          </c:spPr>
          <c:marker>
            <c:symbol val="circle"/>
            <c:size val="6"/>
            <c:spPr>
              <a:noFill/>
              <a:ln w="12700">
                <a:solidFill>
                  <a:srgbClr val="5064E6">
                    <a:alpha val="95000"/>
                  </a:srgbClr>
                </a:solidFill>
              </a:ln>
              <a:effectLst/>
            </c:spPr>
          </c:marker>
          <c:cat>
            <c:numRef>
              <c:f>Physicochemical_Managed!$O$2:$O$21</c:f>
              <c:numCache>
                <c:formatCode>mm/dd/yyyy</c:formatCode>
                <c:ptCount val="20"/>
                <c:pt idx="0">
                  <c:v>44294</c:v>
                </c:pt>
                <c:pt idx="1">
                  <c:v>44306</c:v>
                </c:pt>
                <c:pt idx="2">
                  <c:v>44313</c:v>
                </c:pt>
                <c:pt idx="3">
                  <c:v>44320</c:v>
                </c:pt>
                <c:pt idx="4">
                  <c:v>44327</c:v>
                </c:pt>
                <c:pt idx="5">
                  <c:v>44335</c:v>
                </c:pt>
                <c:pt idx="6">
                  <c:v>44342</c:v>
                </c:pt>
                <c:pt idx="7">
                  <c:v>44350</c:v>
                </c:pt>
                <c:pt idx="8">
                  <c:v>44356</c:v>
                </c:pt>
                <c:pt idx="9">
                  <c:v>44363</c:v>
                </c:pt>
                <c:pt idx="10">
                  <c:v>44370</c:v>
                </c:pt>
                <c:pt idx="11">
                  <c:v>44377</c:v>
                </c:pt>
                <c:pt idx="12">
                  <c:v>44385</c:v>
                </c:pt>
                <c:pt idx="13">
                  <c:v>44391</c:v>
                </c:pt>
                <c:pt idx="14">
                  <c:v>44398</c:v>
                </c:pt>
                <c:pt idx="15">
                  <c:v>44405</c:v>
                </c:pt>
                <c:pt idx="16">
                  <c:v>44412</c:v>
                </c:pt>
                <c:pt idx="17">
                  <c:v>44419</c:v>
                </c:pt>
                <c:pt idx="18">
                  <c:v>44426</c:v>
                </c:pt>
                <c:pt idx="19">
                  <c:v>44433</c:v>
                </c:pt>
              </c:numCache>
            </c:numRef>
          </c:cat>
          <c:val>
            <c:numRef>
              <c:f>Physicochemical_Managed!$R$2:$R$21</c:f>
              <c:numCache>
                <c:formatCode>0.000</c:formatCode>
                <c:ptCount val="20"/>
                <c:pt idx="0">
                  <c:v>23.3</c:v>
                </c:pt>
                <c:pt idx="1">
                  <c:v>22.3</c:v>
                </c:pt>
                <c:pt idx="2">
                  <c:v>24.4</c:v>
                </c:pt>
                <c:pt idx="3">
                  <c:v>26.9</c:v>
                </c:pt>
                <c:pt idx="4">
                  <c:v>26.2</c:v>
                </c:pt>
                <c:pt idx="5">
                  <c:v>25.2</c:v>
                </c:pt>
                <c:pt idx="6">
                  <c:v>28.1</c:v>
                </c:pt>
                <c:pt idx="7">
                  <c:v>29.6</c:v>
                </c:pt>
                <c:pt idx="8">
                  <c:v>28.6</c:v>
                </c:pt>
                <c:pt idx="9">
                  <c:v>33.9</c:v>
                </c:pt>
                <c:pt idx="10">
                  <c:v>28.3</c:v>
                </c:pt>
                <c:pt idx="11">
                  <c:v>30.2</c:v>
                </c:pt>
                <c:pt idx="12">
                  <c:v>31.5</c:v>
                </c:pt>
                <c:pt idx="13">
                  <c:v>29.2</c:v>
                </c:pt>
                <c:pt idx="14">
                  <c:v>27.4</c:v>
                </c:pt>
                <c:pt idx="15">
                  <c:v>31.9</c:v>
                </c:pt>
                <c:pt idx="16">
                  <c:v>29.4</c:v>
                </c:pt>
                <c:pt idx="17">
                  <c:v>30.2</c:v>
                </c:pt>
                <c:pt idx="18">
                  <c:v>32.799999999999997</c:v>
                </c:pt>
                <c:pt idx="19">
                  <c:v>33.5</c:v>
                </c:pt>
              </c:numCache>
            </c:numRef>
          </c:val>
          <c:smooth val="0"/>
          <c:extLst>
            <c:ext xmlns:c16="http://schemas.microsoft.com/office/drawing/2014/chart" uri="{C3380CC4-5D6E-409C-BE32-E72D297353CC}">
              <c16:uniqueId val="{00000002-5712-4647-8397-DE2C69EFACCD}"/>
            </c:ext>
          </c:extLst>
        </c:ser>
        <c:dLbls>
          <c:showLegendKey val="0"/>
          <c:showVal val="0"/>
          <c:showCatName val="0"/>
          <c:showSerName val="0"/>
          <c:showPercent val="0"/>
          <c:showBubbleSize val="0"/>
        </c:dLbls>
        <c:marker val="1"/>
        <c:smooth val="0"/>
        <c:axId val="559296576"/>
        <c:axId val="559299528"/>
      </c:lineChart>
      <c:dateAx>
        <c:axId val="403941288"/>
        <c:scaling>
          <c:orientation val="minMax"/>
          <c:max val="44437"/>
          <c:min val="44287"/>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Sampling times--</a:t>
                </a:r>
                <a:r>
                  <a:rPr lang="en-US" b="1">
                    <a:solidFill>
                      <a:srgbClr val="FF0000"/>
                    </a:solidFill>
                  </a:rPr>
                  <a:t>EP</a:t>
                </a:r>
              </a:p>
            </c:rich>
          </c:tx>
          <c:layout>
            <c:manualLayout>
              <c:xMode val="edge"/>
              <c:yMode val="edge"/>
              <c:x val="0.39785997109175708"/>
              <c:y val="0.94951730232117781"/>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mm/dd/yyyy" sourceLinked="1"/>
        <c:majorTickMark val="out"/>
        <c:minorTickMark val="in"/>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03917672"/>
        <c:crosses val="autoZero"/>
        <c:auto val="1"/>
        <c:lblOffset val="100"/>
        <c:baseTimeUnit val="days"/>
        <c:majorUnit val="15"/>
        <c:majorTimeUnit val="days"/>
        <c:minorUnit val="5"/>
        <c:minorTimeUnit val="days"/>
      </c:dateAx>
      <c:valAx>
        <c:axId val="403917672"/>
        <c:scaling>
          <c:orientation val="minMax"/>
          <c:max val="7"/>
          <c:min val="6"/>
        </c:scaling>
        <c:delete val="0"/>
        <c:axPos val="l"/>
        <c:majorGridlines>
          <c:spPr>
            <a:ln w="1270" cap="flat" cmpd="sng" algn="ctr">
              <a:solidFill>
                <a:schemeClr val="tx1"/>
              </a:solidFill>
              <a:prstDash val="solid"/>
              <a:round/>
            </a:ln>
            <a:effectLst/>
          </c:spPr>
        </c:majorGridlines>
        <c:minorGridlines>
          <c:spPr>
            <a:ln w="1270" cap="flat" cmpd="sng" algn="ctr">
              <a:solidFill>
                <a:schemeClr val="bg2">
                  <a:lumMod val="90000"/>
                </a:schemeClr>
              </a:solidFill>
              <a:prstDash val="dash"/>
              <a:round/>
            </a:ln>
            <a:effectLst/>
          </c:spPr>
        </c:min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pH</a:t>
                </a:r>
              </a:p>
            </c:rich>
          </c:tx>
          <c:layout>
            <c:manualLayout>
              <c:xMode val="edge"/>
              <c:yMode val="edge"/>
              <c:x val="6.5976053561081385E-5"/>
              <c:y val="0.40005275279655506"/>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0" sourceLinked="0"/>
        <c:majorTickMark val="out"/>
        <c:minorTickMark val="in"/>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03941288"/>
        <c:crosses val="autoZero"/>
        <c:crossBetween val="between"/>
        <c:majorUnit val="0.2"/>
        <c:minorUnit val="5.000000000000001E-2"/>
      </c:valAx>
      <c:valAx>
        <c:axId val="559299528"/>
        <c:scaling>
          <c:orientation val="minMax"/>
          <c:max val="34.5"/>
          <c:min val="22"/>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sz="1200" b="0" i="0" baseline="0">
                    <a:solidFill>
                      <a:sysClr val="windowText" lastClr="000000"/>
                    </a:solidFill>
                    <a:effectLst/>
                  </a:rPr>
                  <a:t>Water temperature (°C)</a:t>
                </a:r>
                <a:endParaRPr lang="en-US" sz="1200">
                  <a:solidFill>
                    <a:sysClr val="windowText" lastClr="000000"/>
                  </a:solidFill>
                  <a:effectLst/>
                </a:endParaRPr>
              </a:p>
            </c:rich>
          </c:tx>
          <c:layout>
            <c:manualLayout>
              <c:xMode val="edge"/>
              <c:yMode val="edge"/>
              <c:x val="0.95648225881608995"/>
              <c:y val="0.28492426224667666"/>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 sourceLinked="0"/>
        <c:majorTickMark val="out"/>
        <c:minorTickMark val="in"/>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559296576"/>
        <c:crosses val="max"/>
        <c:crossBetween val="between"/>
        <c:majorUnit val="2"/>
        <c:minorUnit val="0.5"/>
      </c:valAx>
      <c:dateAx>
        <c:axId val="559296576"/>
        <c:scaling>
          <c:orientation val="minMax"/>
          <c:max val="44437"/>
          <c:min val="44287"/>
        </c:scaling>
        <c:delete val="0"/>
        <c:axPos val="t"/>
        <c:numFmt formatCode="mm/dd/yyyy"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bg1"/>
                </a:solidFill>
                <a:latin typeface="Times New Roman" panose="02020603050405020304" pitchFamily="18" charset="0"/>
                <a:ea typeface="+mn-ea"/>
                <a:cs typeface="Times New Roman" panose="02020603050405020304" pitchFamily="18" charset="0"/>
              </a:defRPr>
            </a:pPr>
            <a:endParaRPr lang="en-US"/>
          </a:p>
        </c:txPr>
        <c:crossAx val="559299528"/>
        <c:crosses val="max"/>
        <c:auto val="1"/>
        <c:lblOffset val="100"/>
        <c:baseTimeUnit val="days"/>
      </c:dateAx>
      <c:spPr>
        <a:noFill/>
        <a:ln w="19050">
          <a:solidFill>
            <a:schemeClr val="tx1"/>
          </a:solidFill>
        </a:ln>
        <a:effectLst/>
      </c:spPr>
    </c:plotArea>
    <c:legend>
      <c:legendPos val="r"/>
      <c:legendEntry>
        <c:idx val="0"/>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Entry>
      <c:layout>
        <c:manualLayout>
          <c:xMode val="edge"/>
          <c:yMode val="edge"/>
          <c:x val="0.11073969036513762"/>
          <c:y val="4.5257074692308309E-2"/>
          <c:w val="0.23537977027584361"/>
          <c:h val="8.0425152880114509E-2"/>
        </c:manualLayout>
      </c:layout>
      <c:overlay val="0"/>
      <c:spPr>
        <a:solidFill>
          <a:schemeClr val="bg1"/>
        </a:solid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04646"/>
      </a:solid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13278008298755"/>
          <c:y val="3.6235046109691547E-2"/>
          <c:w val="0.77921161825726137"/>
          <c:h val="0.75850914427279748"/>
        </c:manualLayout>
      </c:layout>
      <c:lineChart>
        <c:grouping val="standard"/>
        <c:varyColors val="0"/>
        <c:ser>
          <c:idx val="3"/>
          <c:order val="0"/>
          <c:tx>
            <c:v>Free chlorine</c:v>
          </c:tx>
          <c:spPr>
            <a:ln w="6350" cap="rnd">
              <a:solidFill>
                <a:srgbClr val="F04646"/>
              </a:solidFill>
              <a:round/>
            </a:ln>
            <a:effectLst/>
          </c:spPr>
          <c:marker>
            <c:symbol val="circle"/>
            <c:size val="6"/>
            <c:spPr>
              <a:solidFill>
                <a:srgbClr val="F04646"/>
              </a:solidFill>
              <a:ln w="12700">
                <a:solidFill>
                  <a:srgbClr val="F04646"/>
                </a:solidFill>
              </a:ln>
              <a:effectLst/>
            </c:spPr>
          </c:marker>
          <c:cat>
            <c:numRef>
              <c:f>Physicochemical_Managed!$O$2:$O$21</c:f>
              <c:numCache>
                <c:formatCode>mm/dd/yyyy</c:formatCode>
                <c:ptCount val="20"/>
                <c:pt idx="0">
                  <c:v>44294</c:v>
                </c:pt>
                <c:pt idx="1">
                  <c:v>44306</c:v>
                </c:pt>
                <c:pt idx="2">
                  <c:v>44313</c:v>
                </c:pt>
                <c:pt idx="3">
                  <c:v>44320</c:v>
                </c:pt>
                <c:pt idx="4">
                  <c:v>44327</c:v>
                </c:pt>
                <c:pt idx="5">
                  <c:v>44335</c:v>
                </c:pt>
                <c:pt idx="6">
                  <c:v>44342</c:v>
                </c:pt>
                <c:pt idx="7">
                  <c:v>44350</c:v>
                </c:pt>
                <c:pt idx="8">
                  <c:v>44356</c:v>
                </c:pt>
                <c:pt idx="9">
                  <c:v>44363</c:v>
                </c:pt>
                <c:pt idx="10">
                  <c:v>44370</c:v>
                </c:pt>
                <c:pt idx="11">
                  <c:v>44377</c:v>
                </c:pt>
                <c:pt idx="12">
                  <c:v>44385</c:v>
                </c:pt>
                <c:pt idx="13">
                  <c:v>44391</c:v>
                </c:pt>
                <c:pt idx="14">
                  <c:v>44398</c:v>
                </c:pt>
                <c:pt idx="15">
                  <c:v>44405</c:v>
                </c:pt>
                <c:pt idx="16">
                  <c:v>44412</c:v>
                </c:pt>
                <c:pt idx="17">
                  <c:v>44419</c:v>
                </c:pt>
                <c:pt idx="18">
                  <c:v>44426</c:v>
                </c:pt>
                <c:pt idx="19">
                  <c:v>44433</c:v>
                </c:pt>
              </c:numCache>
            </c:numRef>
          </c:cat>
          <c:val>
            <c:numRef>
              <c:f>Physicochemical_Managed!$S$2:$S$21</c:f>
              <c:numCache>
                <c:formatCode>0.000</c:formatCode>
                <c:ptCount val="20"/>
                <c:pt idx="0">
                  <c:v>7.0000000000000007E-2</c:v>
                </c:pt>
                <c:pt idx="1">
                  <c:v>0.05</c:v>
                </c:pt>
                <c:pt idx="2">
                  <c:v>0.16</c:v>
                </c:pt>
                <c:pt idx="3">
                  <c:v>0.12</c:v>
                </c:pt>
                <c:pt idx="4">
                  <c:v>0.21</c:v>
                </c:pt>
                <c:pt idx="5">
                  <c:v>0.17</c:v>
                </c:pt>
                <c:pt idx="6">
                  <c:v>0.08</c:v>
                </c:pt>
                <c:pt idx="7">
                  <c:v>0.08</c:v>
                </c:pt>
                <c:pt idx="8">
                  <c:v>0.08</c:v>
                </c:pt>
                <c:pt idx="9">
                  <c:v>3.82</c:v>
                </c:pt>
                <c:pt idx="10">
                  <c:v>4.0599999999999996</c:v>
                </c:pt>
                <c:pt idx="11">
                  <c:v>3.49</c:v>
                </c:pt>
                <c:pt idx="12">
                  <c:v>3.67</c:v>
                </c:pt>
                <c:pt idx="13">
                  <c:v>3.82</c:v>
                </c:pt>
                <c:pt idx="14">
                  <c:v>3.92</c:v>
                </c:pt>
                <c:pt idx="15">
                  <c:v>0.09</c:v>
                </c:pt>
                <c:pt idx="16">
                  <c:v>0.15</c:v>
                </c:pt>
                <c:pt idx="17">
                  <c:v>0.14000000000000001</c:v>
                </c:pt>
                <c:pt idx="18">
                  <c:v>0.18</c:v>
                </c:pt>
                <c:pt idx="19">
                  <c:v>0.21</c:v>
                </c:pt>
              </c:numCache>
            </c:numRef>
          </c:val>
          <c:smooth val="0"/>
          <c:extLst>
            <c:ext xmlns:c16="http://schemas.microsoft.com/office/drawing/2014/chart" uri="{C3380CC4-5D6E-409C-BE32-E72D297353CC}">
              <c16:uniqueId val="{00000000-30F6-48C2-9E39-F528D61077CC}"/>
            </c:ext>
          </c:extLst>
        </c:ser>
        <c:ser>
          <c:idx val="0"/>
          <c:order val="1"/>
          <c:tx>
            <c:v>Monochloramine</c:v>
          </c:tx>
          <c:spPr>
            <a:ln w="6350" cap="rnd">
              <a:solidFill>
                <a:srgbClr val="5064E6"/>
              </a:solidFill>
              <a:round/>
            </a:ln>
            <a:effectLst/>
          </c:spPr>
          <c:marker>
            <c:symbol val="circle"/>
            <c:size val="6"/>
            <c:spPr>
              <a:noFill/>
              <a:ln w="12700">
                <a:solidFill>
                  <a:srgbClr val="5064E6">
                    <a:alpha val="95000"/>
                  </a:srgbClr>
                </a:solidFill>
              </a:ln>
              <a:effectLst/>
            </c:spPr>
          </c:marker>
          <c:cat>
            <c:numRef>
              <c:f>Physicochemical_Managed!$O$2:$O$21</c:f>
              <c:numCache>
                <c:formatCode>mm/dd/yyyy</c:formatCode>
                <c:ptCount val="20"/>
                <c:pt idx="0">
                  <c:v>44294</c:v>
                </c:pt>
                <c:pt idx="1">
                  <c:v>44306</c:v>
                </c:pt>
                <c:pt idx="2">
                  <c:v>44313</c:v>
                </c:pt>
                <c:pt idx="3">
                  <c:v>44320</c:v>
                </c:pt>
                <c:pt idx="4">
                  <c:v>44327</c:v>
                </c:pt>
                <c:pt idx="5">
                  <c:v>44335</c:v>
                </c:pt>
                <c:pt idx="6">
                  <c:v>44342</c:v>
                </c:pt>
                <c:pt idx="7">
                  <c:v>44350</c:v>
                </c:pt>
                <c:pt idx="8">
                  <c:v>44356</c:v>
                </c:pt>
                <c:pt idx="9">
                  <c:v>44363</c:v>
                </c:pt>
                <c:pt idx="10">
                  <c:v>44370</c:v>
                </c:pt>
                <c:pt idx="11">
                  <c:v>44377</c:v>
                </c:pt>
                <c:pt idx="12">
                  <c:v>44385</c:v>
                </c:pt>
                <c:pt idx="13">
                  <c:v>44391</c:v>
                </c:pt>
                <c:pt idx="14">
                  <c:v>44398</c:v>
                </c:pt>
                <c:pt idx="15">
                  <c:v>44405</c:v>
                </c:pt>
                <c:pt idx="16">
                  <c:v>44412</c:v>
                </c:pt>
                <c:pt idx="17">
                  <c:v>44419</c:v>
                </c:pt>
                <c:pt idx="18">
                  <c:v>44426</c:v>
                </c:pt>
                <c:pt idx="19">
                  <c:v>44433</c:v>
                </c:pt>
              </c:numCache>
            </c:numRef>
          </c:cat>
          <c:val>
            <c:numRef>
              <c:f>Physicochemical_Managed!$T$2:$T$21</c:f>
              <c:numCache>
                <c:formatCode>0.000</c:formatCode>
                <c:ptCount val="20"/>
                <c:pt idx="0">
                  <c:v>3.3733333333333335</c:v>
                </c:pt>
                <c:pt idx="1">
                  <c:v>3.21</c:v>
                </c:pt>
                <c:pt idx="2">
                  <c:v>3.37</c:v>
                </c:pt>
                <c:pt idx="3">
                  <c:v>3.62</c:v>
                </c:pt>
                <c:pt idx="4">
                  <c:v>3.61</c:v>
                </c:pt>
                <c:pt idx="5">
                  <c:v>3.6</c:v>
                </c:pt>
                <c:pt idx="6">
                  <c:v>3.5</c:v>
                </c:pt>
                <c:pt idx="7">
                  <c:v>3.32</c:v>
                </c:pt>
                <c:pt idx="8">
                  <c:v>3.91</c:v>
                </c:pt>
                <c:pt idx="9">
                  <c:v>0.01</c:v>
                </c:pt>
                <c:pt idx="10">
                  <c:v>0</c:v>
                </c:pt>
                <c:pt idx="11">
                  <c:v>0.31</c:v>
                </c:pt>
                <c:pt idx="12">
                  <c:v>0</c:v>
                </c:pt>
                <c:pt idx="13">
                  <c:v>0.02</c:v>
                </c:pt>
                <c:pt idx="14">
                  <c:v>0.01</c:v>
                </c:pt>
                <c:pt idx="15">
                  <c:v>3.49</c:v>
                </c:pt>
                <c:pt idx="16">
                  <c:v>3.53</c:v>
                </c:pt>
                <c:pt idx="17">
                  <c:v>3.26</c:v>
                </c:pt>
                <c:pt idx="18">
                  <c:v>3.66</c:v>
                </c:pt>
                <c:pt idx="19">
                  <c:v>3.94</c:v>
                </c:pt>
              </c:numCache>
            </c:numRef>
          </c:val>
          <c:smooth val="0"/>
          <c:extLst>
            <c:ext xmlns:c16="http://schemas.microsoft.com/office/drawing/2014/chart" uri="{C3380CC4-5D6E-409C-BE32-E72D297353CC}">
              <c16:uniqueId val="{00000001-30F6-48C2-9E39-F528D61077CC}"/>
            </c:ext>
          </c:extLst>
        </c:ser>
        <c:ser>
          <c:idx val="1"/>
          <c:order val="2"/>
          <c:tx>
            <c:v>Total chlorine</c:v>
          </c:tx>
          <c:spPr>
            <a:ln w="6350" cap="rnd">
              <a:solidFill>
                <a:schemeClr val="tx1"/>
              </a:solidFill>
              <a:round/>
            </a:ln>
            <a:effectLst/>
          </c:spPr>
          <c:marker>
            <c:symbol val="square"/>
            <c:size val="6"/>
            <c:spPr>
              <a:noFill/>
              <a:ln w="12700">
                <a:solidFill>
                  <a:schemeClr val="tx1"/>
                </a:solidFill>
              </a:ln>
              <a:effectLst/>
            </c:spPr>
          </c:marker>
          <c:cat>
            <c:numRef>
              <c:f>Physicochemical_Managed!$O$2:$O$21</c:f>
              <c:numCache>
                <c:formatCode>mm/dd/yyyy</c:formatCode>
                <c:ptCount val="20"/>
                <c:pt idx="0">
                  <c:v>44294</c:v>
                </c:pt>
                <c:pt idx="1">
                  <c:v>44306</c:v>
                </c:pt>
                <c:pt idx="2">
                  <c:v>44313</c:v>
                </c:pt>
                <c:pt idx="3">
                  <c:v>44320</c:v>
                </c:pt>
                <c:pt idx="4">
                  <c:v>44327</c:v>
                </c:pt>
                <c:pt idx="5">
                  <c:v>44335</c:v>
                </c:pt>
                <c:pt idx="6">
                  <c:v>44342</c:v>
                </c:pt>
                <c:pt idx="7">
                  <c:v>44350</c:v>
                </c:pt>
                <c:pt idx="8">
                  <c:v>44356</c:v>
                </c:pt>
                <c:pt idx="9">
                  <c:v>44363</c:v>
                </c:pt>
                <c:pt idx="10">
                  <c:v>44370</c:v>
                </c:pt>
                <c:pt idx="11">
                  <c:v>44377</c:v>
                </c:pt>
                <c:pt idx="12">
                  <c:v>44385</c:v>
                </c:pt>
                <c:pt idx="13">
                  <c:v>44391</c:v>
                </c:pt>
                <c:pt idx="14">
                  <c:v>44398</c:v>
                </c:pt>
                <c:pt idx="15">
                  <c:v>44405</c:v>
                </c:pt>
                <c:pt idx="16">
                  <c:v>44412</c:v>
                </c:pt>
                <c:pt idx="17">
                  <c:v>44419</c:v>
                </c:pt>
                <c:pt idx="18">
                  <c:v>44426</c:v>
                </c:pt>
                <c:pt idx="19">
                  <c:v>44433</c:v>
                </c:pt>
              </c:numCache>
            </c:numRef>
          </c:cat>
          <c:val>
            <c:numRef>
              <c:f>Physicochemical_Managed!$U$2:$U$21</c:f>
              <c:numCache>
                <c:formatCode>0.000</c:formatCode>
                <c:ptCount val="20"/>
                <c:pt idx="0">
                  <c:v>3.6300000000000003</c:v>
                </c:pt>
                <c:pt idx="1">
                  <c:v>3.68</c:v>
                </c:pt>
                <c:pt idx="2">
                  <c:v>3.64</c:v>
                </c:pt>
                <c:pt idx="3">
                  <c:v>3.86</c:v>
                </c:pt>
                <c:pt idx="4">
                  <c:v>3.95</c:v>
                </c:pt>
                <c:pt idx="5">
                  <c:v>3.86</c:v>
                </c:pt>
                <c:pt idx="6">
                  <c:v>3.83</c:v>
                </c:pt>
                <c:pt idx="7">
                  <c:v>3.64</c:v>
                </c:pt>
                <c:pt idx="8">
                  <c:v>4.08</c:v>
                </c:pt>
                <c:pt idx="9">
                  <c:v>3.89</c:v>
                </c:pt>
                <c:pt idx="10">
                  <c:v>3.83</c:v>
                </c:pt>
                <c:pt idx="11">
                  <c:v>3.46</c:v>
                </c:pt>
                <c:pt idx="12">
                  <c:v>3.53</c:v>
                </c:pt>
                <c:pt idx="13">
                  <c:v>3.67</c:v>
                </c:pt>
                <c:pt idx="14">
                  <c:v>3.82</c:v>
                </c:pt>
                <c:pt idx="15">
                  <c:v>4.0599999999999996</c:v>
                </c:pt>
                <c:pt idx="16">
                  <c:v>3.57</c:v>
                </c:pt>
                <c:pt idx="17">
                  <c:v>3.89</c:v>
                </c:pt>
                <c:pt idx="18">
                  <c:v>3.82</c:v>
                </c:pt>
                <c:pt idx="19">
                  <c:v>3.94</c:v>
                </c:pt>
              </c:numCache>
            </c:numRef>
          </c:val>
          <c:smooth val="0"/>
          <c:extLst>
            <c:ext xmlns:c16="http://schemas.microsoft.com/office/drawing/2014/chart" uri="{C3380CC4-5D6E-409C-BE32-E72D297353CC}">
              <c16:uniqueId val="{00000003-30F6-48C2-9E39-F528D61077CC}"/>
            </c:ext>
          </c:extLst>
        </c:ser>
        <c:dLbls>
          <c:showLegendKey val="0"/>
          <c:showVal val="0"/>
          <c:showCatName val="0"/>
          <c:showSerName val="0"/>
          <c:showPercent val="0"/>
          <c:showBubbleSize val="0"/>
        </c:dLbls>
        <c:marker val="1"/>
        <c:smooth val="0"/>
        <c:axId val="403941288"/>
        <c:axId val="403917672"/>
      </c:lineChart>
      <c:dateAx>
        <c:axId val="403941288"/>
        <c:scaling>
          <c:orientation val="minMax"/>
          <c:max val="44437"/>
          <c:min val="44287"/>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Sampling times--</a:t>
                </a:r>
                <a:r>
                  <a:rPr lang="en-US" b="1">
                    <a:solidFill>
                      <a:srgbClr val="FF0000"/>
                    </a:solidFill>
                  </a:rPr>
                  <a:t>EP</a:t>
                </a:r>
              </a:p>
            </c:rich>
          </c:tx>
          <c:layout>
            <c:manualLayout>
              <c:xMode val="edge"/>
              <c:yMode val="edge"/>
              <c:x val="0.39785997109175708"/>
              <c:y val="0.94951730232117781"/>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mm/dd/yyyy" sourceLinked="1"/>
        <c:majorTickMark val="out"/>
        <c:minorTickMark val="in"/>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03917672"/>
        <c:crosses val="autoZero"/>
        <c:auto val="1"/>
        <c:lblOffset val="100"/>
        <c:baseTimeUnit val="days"/>
        <c:majorUnit val="15"/>
        <c:majorTimeUnit val="days"/>
        <c:minorUnit val="5"/>
        <c:minorTimeUnit val="days"/>
      </c:dateAx>
      <c:valAx>
        <c:axId val="403917672"/>
        <c:scaling>
          <c:orientation val="minMax"/>
          <c:max val="4.2"/>
          <c:min val="0"/>
        </c:scaling>
        <c:delete val="0"/>
        <c:axPos val="l"/>
        <c:majorGridlines>
          <c:spPr>
            <a:ln w="1270" cap="flat" cmpd="sng" algn="ctr">
              <a:solidFill>
                <a:schemeClr val="tx1"/>
              </a:solidFill>
              <a:prstDash val="solid"/>
              <a:round/>
            </a:ln>
            <a:effectLst/>
          </c:spPr>
        </c:majorGridlines>
        <c:minorGridlines>
          <c:spPr>
            <a:ln w="1270" cap="flat" cmpd="sng" algn="ctr">
              <a:solidFill>
                <a:schemeClr val="bg2">
                  <a:lumMod val="90000"/>
                </a:schemeClr>
              </a:solidFill>
              <a:prstDash val="dash"/>
              <a:round/>
            </a:ln>
            <a:effectLst/>
          </c:spPr>
        </c:min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Chlorine (mg Cl</a:t>
                </a:r>
                <a:r>
                  <a:rPr lang="en-US" baseline="-25000"/>
                  <a:t>2</a:t>
                </a:r>
                <a:r>
                  <a:rPr lang="en-US"/>
                  <a:t>·L</a:t>
                </a:r>
                <a:r>
                  <a:rPr lang="en-US" baseline="30000"/>
                  <a:t>-1</a:t>
                </a:r>
                <a:r>
                  <a:rPr lang="en-US"/>
                  <a:t>)</a:t>
                </a:r>
              </a:p>
            </c:rich>
          </c:tx>
          <c:layout>
            <c:manualLayout>
              <c:xMode val="edge"/>
              <c:yMode val="edge"/>
              <c:x val="6.5976053561081385E-5"/>
              <c:y val="0.29020043724685851"/>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0" sourceLinked="0"/>
        <c:majorTickMark val="out"/>
        <c:minorTickMark val="in"/>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03941288"/>
        <c:crosses val="autoZero"/>
        <c:crossBetween val="between"/>
        <c:majorUnit val="1"/>
        <c:minorUnit val="0.2"/>
      </c:valAx>
      <c:spPr>
        <a:noFill/>
        <a:ln w="19050">
          <a:solidFill>
            <a:schemeClr val="tx1"/>
          </a:solidFill>
        </a:ln>
        <a:effectLst/>
      </c:spPr>
    </c:plotArea>
    <c:legend>
      <c:legendPos val="r"/>
      <c:legendEntry>
        <c:idx val="0"/>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Entry>
      <c:layout>
        <c:manualLayout>
          <c:xMode val="edge"/>
          <c:yMode val="edge"/>
          <c:x val="0.11883530273446838"/>
          <c:y val="0.27744494654724977"/>
          <c:w val="0.22798312160438464"/>
          <c:h val="0.1434852636092151"/>
        </c:manualLayout>
      </c:layout>
      <c:overlay val="0"/>
      <c:spPr>
        <a:solidFill>
          <a:schemeClr val="bg1"/>
        </a:solid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04646"/>
      </a:solid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13278008298755"/>
          <c:y val="3.6235046109691547E-2"/>
          <c:w val="0.77921161825726137"/>
          <c:h val="0.75850914427279748"/>
        </c:manualLayout>
      </c:layout>
      <c:lineChart>
        <c:grouping val="standard"/>
        <c:varyColors val="0"/>
        <c:ser>
          <c:idx val="3"/>
          <c:order val="0"/>
          <c:tx>
            <c:v>Free ammonia</c:v>
          </c:tx>
          <c:spPr>
            <a:ln w="6350" cap="rnd">
              <a:solidFill>
                <a:srgbClr val="F04646"/>
              </a:solidFill>
              <a:round/>
            </a:ln>
            <a:effectLst/>
          </c:spPr>
          <c:marker>
            <c:symbol val="circle"/>
            <c:size val="6"/>
            <c:spPr>
              <a:solidFill>
                <a:srgbClr val="F04646"/>
              </a:solidFill>
              <a:ln w="12700">
                <a:solidFill>
                  <a:srgbClr val="F04646"/>
                </a:solidFill>
              </a:ln>
              <a:effectLst/>
            </c:spPr>
          </c:marker>
          <c:cat>
            <c:numRef>
              <c:f>Physicochemical_Managed!$O$2:$O$21</c:f>
              <c:numCache>
                <c:formatCode>mm/dd/yyyy</c:formatCode>
                <c:ptCount val="20"/>
                <c:pt idx="0">
                  <c:v>44294</c:v>
                </c:pt>
                <c:pt idx="1">
                  <c:v>44306</c:v>
                </c:pt>
                <c:pt idx="2">
                  <c:v>44313</c:v>
                </c:pt>
                <c:pt idx="3">
                  <c:v>44320</c:v>
                </c:pt>
                <c:pt idx="4">
                  <c:v>44327</c:v>
                </c:pt>
                <c:pt idx="5">
                  <c:v>44335</c:v>
                </c:pt>
                <c:pt idx="6">
                  <c:v>44342</c:v>
                </c:pt>
                <c:pt idx="7">
                  <c:v>44350</c:v>
                </c:pt>
                <c:pt idx="8">
                  <c:v>44356</c:v>
                </c:pt>
                <c:pt idx="9">
                  <c:v>44363</c:v>
                </c:pt>
                <c:pt idx="10">
                  <c:v>44370</c:v>
                </c:pt>
                <c:pt idx="11">
                  <c:v>44377</c:v>
                </c:pt>
                <c:pt idx="12">
                  <c:v>44385</c:v>
                </c:pt>
                <c:pt idx="13">
                  <c:v>44391</c:v>
                </c:pt>
                <c:pt idx="14">
                  <c:v>44398</c:v>
                </c:pt>
                <c:pt idx="15">
                  <c:v>44405</c:v>
                </c:pt>
                <c:pt idx="16">
                  <c:v>44412</c:v>
                </c:pt>
                <c:pt idx="17">
                  <c:v>44419</c:v>
                </c:pt>
                <c:pt idx="18">
                  <c:v>44426</c:v>
                </c:pt>
                <c:pt idx="19">
                  <c:v>44433</c:v>
                </c:pt>
              </c:numCache>
            </c:numRef>
          </c:cat>
          <c:val>
            <c:numRef>
              <c:f>Physicochemical_Managed!$V$2:$V$21</c:f>
              <c:numCache>
                <c:formatCode>0.000</c:formatCode>
                <c:ptCount val="20"/>
                <c:pt idx="0">
                  <c:v>0.11</c:v>
                </c:pt>
                <c:pt idx="1">
                  <c:v>0.19</c:v>
                </c:pt>
                <c:pt idx="2">
                  <c:v>7.0000000000000007E-2</c:v>
                </c:pt>
                <c:pt idx="3">
                  <c:v>0.09</c:v>
                </c:pt>
                <c:pt idx="4">
                  <c:v>0.06</c:v>
                </c:pt>
                <c:pt idx="5">
                  <c:v>0.25</c:v>
                </c:pt>
                <c:pt idx="6">
                  <c:v>7.0000000000000007E-2</c:v>
                </c:pt>
                <c:pt idx="7">
                  <c:v>0.56000000000000005</c:v>
                </c:pt>
                <c:pt idx="8">
                  <c:v>0.14000000000000001</c:v>
                </c:pt>
                <c:pt idx="9">
                  <c:v>0.08</c:v>
                </c:pt>
                <c:pt idx="10">
                  <c:v>0.03</c:v>
                </c:pt>
                <c:pt idx="11">
                  <c:v>0.26</c:v>
                </c:pt>
                <c:pt idx="12">
                  <c:v>0.06</c:v>
                </c:pt>
                <c:pt idx="13">
                  <c:v>7.0000000000000007E-2</c:v>
                </c:pt>
                <c:pt idx="14">
                  <c:v>0.01</c:v>
                </c:pt>
                <c:pt idx="15">
                  <c:v>0.04</c:v>
                </c:pt>
                <c:pt idx="16">
                  <c:v>0.01</c:v>
                </c:pt>
                <c:pt idx="17">
                  <c:v>0.36</c:v>
                </c:pt>
                <c:pt idx="18">
                  <c:v>0.03</c:v>
                </c:pt>
                <c:pt idx="19">
                  <c:v>0</c:v>
                </c:pt>
              </c:numCache>
            </c:numRef>
          </c:val>
          <c:smooth val="0"/>
          <c:extLst>
            <c:ext xmlns:c16="http://schemas.microsoft.com/office/drawing/2014/chart" uri="{C3380CC4-5D6E-409C-BE32-E72D297353CC}">
              <c16:uniqueId val="{00000000-E19F-4EE9-A849-8AA2429F4643}"/>
            </c:ext>
          </c:extLst>
        </c:ser>
        <c:ser>
          <c:idx val="0"/>
          <c:order val="1"/>
          <c:tx>
            <c:v>Nitrite</c:v>
          </c:tx>
          <c:spPr>
            <a:ln w="6350" cap="rnd">
              <a:solidFill>
                <a:srgbClr val="5064E6"/>
              </a:solidFill>
              <a:round/>
            </a:ln>
            <a:effectLst/>
          </c:spPr>
          <c:marker>
            <c:symbol val="circle"/>
            <c:size val="6"/>
            <c:spPr>
              <a:noFill/>
              <a:ln w="12700">
                <a:solidFill>
                  <a:srgbClr val="5064E6">
                    <a:alpha val="95000"/>
                  </a:srgbClr>
                </a:solidFill>
              </a:ln>
              <a:effectLst/>
            </c:spPr>
          </c:marker>
          <c:cat>
            <c:numRef>
              <c:f>Physicochemical_Managed!$O$2:$O$21</c:f>
              <c:numCache>
                <c:formatCode>mm/dd/yyyy</c:formatCode>
                <c:ptCount val="20"/>
                <c:pt idx="0">
                  <c:v>44294</c:v>
                </c:pt>
                <c:pt idx="1">
                  <c:v>44306</c:v>
                </c:pt>
                <c:pt idx="2">
                  <c:v>44313</c:v>
                </c:pt>
                <c:pt idx="3">
                  <c:v>44320</c:v>
                </c:pt>
                <c:pt idx="4">
                  <c:v>44327</c:v>
                </c:pt>
                <c:pt idx="5">
                  <c:v>44335</c:v>
                </c:pt>
                <c:pt idx="6">
                  <c:v>44342</c:v>
                </c:pt>
                <c:pt idx="7">
                  <c:v>44350</c:v>
                </c:pt>
                <c:pt idx="8">
                  <c:v>44356</c:v>
                </c:pt>
                <c:pt idx="9">
                  <c:v>44363</c:v>
                </c:pt>
                <c:pt idx="10">
                  <c:v>44370</c:v>
                </c:pt>
                <c:pt idx="11">
                  <c:v>44377</c:v>
                </c:pt>
                <c:pt idx="12">
                  <c:v>44385</c:v>
                </c:pt>
                <c:pt idx="13">
                  <c:v>44391</c:v>
                </c:pt>
                <c:pt idx="14">
                  <c:v>44398</c:v>
                </c:pt>
                <c:pt idx="15">
                  <c:v>44405</c:v>
                </c:pt>
                <c:pt idx="16">
                  <c:v>44412</c:v>
                </c:pt>
                <c:pt idx="17">
                  <c:v>44419</c:v>
                </c:pt>
                <c:pt idx="18">
                  <c:v>44426</c:v>
                </c:pt>
                <c:pt idx="19">
                  <c:v>44433</c:v>
                </c:pt>
              </c:numCache>
            </c:numRef>
          </c:cat>
          <c:val>
            <c:numRef>
              <c:f>Physicochemical_Managed!$W$2:$W$21</c:f>
              <c:numCache>
                <c:formatCode>0.000</c:formatCode>
                <c:ptCount val="20"/>
                <c:pt idx="0">
                  <c:v>6.9999999999999993E-3</c:v>
                </c:pt>
                <c:pt idx="1">
                  <c:v>0.01</c:v>
                </c:pt>
                <c:pt idx="2">
                  <c:v>6.0000000000000001E-3</c:v>
                </c:pt>
                <c:pt idx="3">
                  <c:v>1.0999999999999999E-2</c:v>
                </c:pt>
                <c:pt idx="4">
                  <c:v>5.0000000000000001E-3</c:v>
                </c:pt>
                <c:pt idx="5">
                  <c:v>8.0000000000000002E-3</c:v>
                </c:pt>
                <c:pt idx="6">
                  <c:v>7.0000000000000001E-3</c:v>
                </c:pt>
                <c:pt idx="7">
                  <c:v>8.0000000000000002E-3</c:v>
                </c:pt>
                <c:pt idx="8">
                  <c:v>8.0000000000000002E-3</c:v>
                </c:pt>
                <c:pt idx="9">
                  <c:v>7.0000000000000001E-3</c:v>
                </c:pt>
                <c:pt idx="10">
                  <c:v>8.0000000000000002E-3</c:v>
                </c:pt>
                <c:pt idx="11">
                  <c:v>0</c:v>
                </c:pt>
                <c:pt idx="12">
                  <c:v>7.0000000000000001E-3</c:v>
                </c:pt>
                <c:pt idx="13">
                  <c:v>7.0000000000000001E-3</c:v>
                </c:pt>
                <c:pt idx="14">
                  <c:v>6.0000000000000001E-3</c:v>
                </c:pt>
                <c:pt idx="15">
                  <c:v>7.0000000000000001E-3</c:v>
                </c:pt>
                <c:pt idx="16">
                  <c:v>8.0000000000000002E-3</c:v>
                </c:pt>
                <c:pt idx="17">
                  <c:v>8.9999999999999993E-3</c:v>
                </c:pt>
                <c:pt idx="18">
                  <c:v>8.0000000000000002E-3</c:v>
                </c:pt>
                <c:pt idx="19">
                  <c:v>7.0000000000000001E-3</c:v>
                </c:pt>
              </c:numCache>
            </c:numRef>
          </c:val>
          <c:smooth val="0"/>
          <c:extLst>
            <c:ext xmlns:c16="http://schemas.microsoft.com/office/drawing/2014/chart" uri="{C3380CC4-5D6E-409C-BE32-E72D297353CC}">
              <c16:uniqueId val="{00000001-E19F-4EE9-A849-8AA2429F4643}"/>
            </c:ext>
          </c:extLst>
        </c:ser>
        <c:dLbls>
          <c:showLegendKey val="0"/>
          <c:showVal val="0"/>
          <c:showCatName val="0"/>
          <c:showSerName val="0"/>
          <c:showPercent val="0"/>
          <c:showBubbleSize val="0"/>
        </c:dLbls>
        <c:marker val="1"/>
        <c:smooth val="0"/>
        <c:axId val="403941288"/>
        <c:axId val="403917672"/>
      </c:lineChart>
      <c:lineChart>
        <c:grouping val="standard"/>
        <c:varyColors val="0"/>
        <c:ser>
          <c:idx val="1"/>
          <c:order val="2"/>
          <c:tx>
            <c:v>Orthophosphate</c:v>
          </c:tx>
          <c:spPr>
            <a:ln w="6350" cap="rnd">
              <a:solidFill>
                <a:schemeClr val="tx1"/>
              </a:solidFill>
              <a:round/>
            </a:ln>
            <a:effectLst/>
          </c:spPr>
          <c:marker>
            <c:symbol val="square"/>
            <c:size val="6"/>
            <c:spPr>
              <a:noFill/>
              <a:ln w="12700">
                <a:solidFill>
                  <a:schemeClr val="tx1"/>
                </a:solidFill>
              </a:ln>
              <a:effectLst/>
            </c:spPr>
          </c:marker>
          <c:cat>
            <c:numRef>
              <c:f>Physicochemical_Managed!$O$2:$O$21</c:f>
              <c:numCache>
                <c:formatCode>mm/dd/yyyy</c:formatCode>
                <c:ptCount val="20"/>
                <c:pt idx="0">
                  <c:v>44294</c:v>
                </c:pt>
                <c:pt idx="1">
                  <c:v>44306</c:v>
                </c:pt>
                <c:pt idx="2">
                  <c:v>44313</c:v>
                </c:pt>
                <c:pt idx="3">
                  <c:v>44320</c:v>
                </c:pt>
                <c:pt idx="4">
                  <c:v>44327</c:v>
                </c:pt>
                <c:pt idx="5">
                  <c:v>44335</c:v>
                </c:pt>
                <c:pt idx="6">
                  <c:v>44342</c:v>
                </c:pt>
                <c:pt idx="7">
                  <c:v>44350</c:v>
                </c:pt>
                <c:pt idx="8">
                  <c:v>44356</c:v>
                </c:pt>
                <c:pt idx="9">
                  <c:v>44363</c:v>
                </c:pt>
                <c:pt idx="10">
                  <c:v>44370</c:v>
                </c:pt>
                <c:pt idx="11">
                  <c:v>44377</c:v>
                </c:pt>
                <c:pt idx="12">
                  <c:v>44385</c:v>
                </c:pt>
                <c:pt idx="13">
                  <c:v>44391</c:v>
                </c:pt>
                <c:pt idx="14">
                  <c:v>44398</c:v>
                </c:pt>
                <c:pt idx="15">
                  <c:v>44405</c:v>
                </c:pt>
                <c:pt idx="16">
                  <c:v>44412</c:v>
                </c:pt>
                <c:pt idx="17">
                  <c:v>44419</c:v>
                </c:pt>
                <c:pt idx="18">
                  <c:v>44426</c:v>
                </c:pt>
                <c:pt idx="19">
                  <c:v>44433</c:v>
                </c:pt>
              </c:numCache>
            </c:numRef>
          </c:cat>
          <c:val>
            <c:numRef>
              <c:f>Physicochemical_Managed!$X$2:$X$21</c:f>
              <c:numCache>
                <c:formatCode>0.000</c:formatCode>
                <c:ptCount val="20"/>
                <c:pt idx="0">
                  <c:v>0.22666666666666666</c:v>
                </c:pt>
                <c:pt idx="1">
                  <c:v>0.15</c:v>
                </c:pt>
                <c:pt idx="2">
                  <c:v>0.2</c:v>
                </c:pt>
                <c:pt idx="3">
                  <c:v>0.19</c:v>
                </c:pt>
                <c:pt idx="4">
                  <c:v>0.21</c:v>
                </c:pt>
                <c:pt idx="5">
                  <c:v>0.24</c:v>
                </c:pt>
                <c:pt idx="6">
                  <c:v>0.24</c:v>
                </c:pt>
                <c:pt idx="7">
                  <c:v>0.28000000000000003</c:v>
                </c:pt>
                <c:pt idx="8">
                  <c:v>0.27</c:v>
                </c:pt>
                <c:pt idx="9">
                  <c:v>0.28000000000000003</c:v>
                </c:pt>
                <c:pt idx="10">
                  <c:v>0.27</c:v>
                </c:pt>
                <c:pt idx="11">
                  <c:v>0.24</c:v>
                </c:pt>
                <c:pt idx="12">
                  <c:v>0.28999999999999998</c:v>
                </c:pt>
                <c:pt idx="13">
                  <c:v>0.23</c:v>
                </c:pt>
                <c:pt idx="14">
                  <c:v>0.19</c:v>
                </c:pt>
                <c:pt idx="15">
                  <c:v>0.3</c:v>
                </c:pt>
                <c:pt idx="16">
                  <c:v>0.32</c:v>
                </c:pt>
                <c:pt idx="17">
                  <c:v>0.27</c:v>
                </c:pt>
                <c:pt idx="18">
                  <c:v>0.28999999999999998</c:v>
                </c:pt>
                <c:pt idx="19">
                  <c:v>0.28999999999999998</c:v>
                </c:pt>
              </c:numCache>
            </c:numRef>
          </c:val>
          <c:smooth val="0"/>
          <c:extLst>
            <c:ext xmlns:c16="http://schemas.microsoft.com/office/drawing/2014/chart" uri="{C3380CC4-5D6E-409C-BE32-E72D297353CC}">
              <c16:uniqueId val="{00000002-E19F-4EE9-A849-8AA2429F4643}"/>
            </c:ext>
          </c:extLst>
        </c:ser>
        <c:dLbls>
          <c:showLegendKey val="0"/>
          <c:showVal val="0"/>
          <c:showCatName val="0"/>
          <c:showSerName val="0"/>
          <c:showPercent val="0"/>
          <c:showBubbleSize val="0"/>
        </c:dLbls>
        <c:marker val="1"/>
        <c:smooth val="0"/>
        <c:axId val="774072144"/>
        <c:axId val="780465376"/>
      </c:lineChart>
      <c:dateAx>
        <c:axId val="403941288"/>
        <c:scaling>
          <c:orientation val="minMax"/>
          <c:max val="44437"/>
          <c:min val="44287"/>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Sampling times--</a:t>
                </a:r>
                <a:r>
                  <a:rPr lang="en-US" b="1">
                    <a:solidFill>
                      <a:srgbClr val="FF0000"/>
                    </a:solidFill>
                  </a:rPr>
                  <a:t>EP</a:t>
                </a:r>
              </a:p>
            </c:rich>
          </c:tx>
          <c:layout>
            <c:manualLayout>
              <c:xMode val="edge"/>
              <c:yMode val="edge"/>
              <c:x val="0.39785997109175708"/>
              <c:y val="0.94951730232117781"/>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mm/dd/yyyy" sourceLinked="1"/>
        <c:majorTickMark val="out"/>
        <c:minorTickMark val="in"/>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03917672"/>
        <c:crosses val="autoZero"/>
        <c:auto val="1"/>
        <c:lblOffset val="100"/>
        <c:baseTimeUnit val="days"/>
        <c:majorUnit val="15"/>
        <c:majorTimeUnit val="days"/>
        <c:minorUnit val="5"/>
        <c:minorTimeUnit val="days"/>
      </c:dateAx>
      <c:valAx>
        <c:axId val="403917672"/>
        <c:scaling>
          <c:orientation val="minMax"/>
          <c:max val="0.60000000000000009"/>
          <c:min val="0"/>
        </c:scaling>
        <c:delete val="0"/>
        <c:axPos val="l"/>
        <c:majorGridlines>
          <c:spPr>
            <a:ln w="1270" cap="flat" cmpd="sng" algn="ctr">
              <a:solidFill>
                <a:schemeClr val="tx1"/>
              </a:solidFill>
              <a:prstDash val="solid"/>
              <a:round/>
            </a:ln>
            <a:effectLst/>
          </c:spPr>
        </c:majorGridlines>
        <c:minorGridlines>
          <c:spPr>
            <a:ln w="1270" cap="flat" cmpd="sng" algn="ctr">
              <a:solidFill>
                <a:schemeClr val="bg2">
                  <a:lumMod val="90000"/>
                </a:schemeClr>
              </a:solidFill>
              <a:prstDash val="dash"/>
              <a:round/>
            </a:ln>
            <a:effectLst/>
          </c:spPr>
        </c:min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Free</a:t>
                </a:r>
                <a:r>
                  <a:rPr lang="en-US" baseline="0"/>
                  <a:t> ammonia and nitrite</a:t>
                </a:r>
                <a:r>
                  <a:rPr lang="en-US"/>
                  <a:t> (mg N·L</a:t>
                </a:r>
                <a:r>
                  <a:rPr lang="en-US" baseline="30000"/>
                  <a:t>-1</a:t>
                </a:r>
                <a:r>
                  <a:rPr lang="en-US"/>
                  <a:t>)</a:t>
                </a:r>
              </a:p>
            </c:rich>
          </c:tx>
          <c:layout>
            <c:manualLayout>
              <c:xMode val="edge"/>
              <c:yMode val="edge"/>
              <c:x val="6.1376853305591516E-3"/>
              <c:y val="0.19033468591139982"/>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0" sourceLinked="0"/>
        <c:majorTickMark val="out"/>
        <c:minorTickMark val="in"/>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03941288"/>
        <c:crosses val="autoZero"/>
        <c:crossBetween val="between"/>
        <c:majorUnit val="0.1"/>
        <c:minorUnit val="2.5000000000000005E-2"/>
      </c:valAx>
      <c:valAx>
        <c:axId val="780465376"/>
        <c:scaling>
          <c:orientation val="minMax"/>
          <c:min val="0.1"/>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Orthophosphate (</a:t>
                </a:r>
                <a:r>
                  <a:rPr lang="en-US" baseline="0"/>
                  <a:t>PO</a:t>
                </a:r>
                <a:r>
                  <a:rPr lang="en-US" baseline="-25000"/>
                  <a:t>4</a:t>
                </a:r>
                <a:r>
                  <a:rPr lang="en-US" baseline="30000"/>
                  <a:t>3-</a:t>
                </a:r>
                <a:r>
                  <a:rPr lang="en-US" baseline="0"/>
                  <a:t>·L</a:t>
                </a:r>
                <a:r>
                  <a:rPr lang="en-US" baseline="30000"/>
                  <a:t>-1</a:t>
                </a:r>
                <a:r>
                  <a:rPr lang="en-US"/>
                  <a:t>)</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00" sourceLinked="0"/>
        <c:majorTickMark val="out"/>
        <c:minorTickMark val="in"/>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74072144"/>
        <c:crosses val="max"/>
        <c:crossBetween val="between"/>
      </c:valAx>
      <c:dateAx>
        <c:axId val="774072144"/>
        <c:scaling>
          <c:orientation val="minMax"/>
        </c:scaling>
        <c:delete val="1"/>
        <c:axPos val="b"/>
        <c:numFmt formatCode="mm/dd/yyyy" sourceLinked="1"/>
        <c:majorTickMark val="out"/>
        <c:minorTickMark val="none"/>
        <c:tickLblPos val="nextTo"/>
        <c:crossAx val="780465376"/>
        <c:crosses val="autoZero"/>
        <c:auto val="1"/>
        <c:lblOffset val="100"/>
        <c:baseTimeUnit val="days"/>
      </c:dateAx>
      <c:spPr>
        <a:noFill/>
        <a:ln w="19050">
          <a:solidFill>
            <a:schemeClr val="tx1"/>
          </a:solidFill>
        </a:ln>
        <a:effectLst/>
      </c:spPr>
    </c:plotArea>
    <c:legend>
      <c:legendPos val="r"/>
      <c:legendEntry>
        <c:idx val="0"/>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Entry>
      <c:layout>
        <c:manualLayout>
          <c:xMode val="edge"/>
          <c:yMode val="edge"/>
          <c:x val="0.11276357548719085"/>
          <c:y val="4.1040001112954506E-2"/>
          <c:w val="0.22798312160438464"/>
          <c:h val="0.11860058512406993"/>
        </c:manualLayout>
      </c:layout>
      <c:overlay val="0"/>
      <c:spPr>
        <a:solidFill>
          <a:schemeClr val="bg1"/>
        </a:solid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04646"/>
      </a:solid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13278008298755"/>
          <c:y val="3.6235046109691547E-2"/>
          <c:w val="0.77921161825726137"/>
          <c:h val="0.75850914427279748"/>
        </c:manualLayout>
      </c:layout>
      <c:lineChart>
        <c:grouping val="standard"/>
        <c:varyColors val="0"/>
        <c:ser>
          <c:idx val="3"/>
          <c:order val="0"/>
          <c:tx>
            <c:v>pH</c:v>
          </c:tx>
          <c:spPr>
            <a:ln w="6350" cap="rnd">
              <a:solidFill>
                <a:srgbClr val="F04646"/>
              </a:solidFill>
              <a:round/>
            </a:ln>
            <a:effectLst/>
          </c:spPr>
          <c:marker>
            <c:symbol val="circle"/>
            <c:size val="6"/>
            <c:spPr>
              <a:solidFill>
                <a:srgbClr val="F04646"/>
              </a:solidFill>
              <a:ln w="12700">
                <a:solidFill>
                  <a:srgbClr val="F04646"/>
                </a:solidFill>
              </a:ln>
              <a:effectLst/>
            </c:spPr>
          </c:marker>
          <c:cat>
            <c:numRef>
              <c:f>Physicochemical_Managed!$O$22:$O$39</c:f>
              <c:numCache>
                <c:formatCode>mm/dd/yyyy</c:formatCode>
                <c:ptCount val="18"/>
                <c:pt idx="0">
                  <c:v>44294</c:v>
                </c:pt>
                <c:pt idx="1">
                  <c:v>44306</c:v>
                </c:pt>
                <c:pt idx="2">
                  <c:v>44313</c:v>
                </c:pt>
                <c:pt idx="3">
                  <c:v>44320</c:v>
                </c:pt>
                <c:pt idx="4">
                  <c:v>44327</c:v>
                </c:pt>
                <c:pt idx="5">
                  <c:v>44335</c:v>
                </c:pt>
                <c:pt idx="6">
                  <c:v>44342</c:v>
                </c:pt>
                <c:pt idx="7">
                  <c:v>44356</c:v>
                </c:pt>
                <c:pt idx="8">
                  <c:v>44370</c:v>
                </c:pt>
                <c:pt idx="9">
                  <c:v>44377</c:v>
                </c:pt>
                <c:pt idx="10">
                  <c:v>44385</c:v>
                </c:pt>
                <c:pt idx="11">
                  <c:v>44391</c:v>
                </c:pt>
                <c:pt idx="12">
                  <c:v>44398</c:v>
                </c:pt>
                <c:pt idx="13">
                  <c:v>44405</c:v>
                </c:pt>
                <c:pt idx="14">
                  <c:v>44412</c:v>
                </c:pt>
                <c:pt idx="15">
                  <c:v>44419</c:v>
                </c:pt>
                <c:pt idx="16">
                  <c:v>44426</c:v>
                </c:pt>
                <c:pt idx="17">
                  <c:v>44433</c:v>
                </c:pt>
              </c:numCache>
            </c:numRef>
          </c:cat>
          <c:val>
            <c:numRef>
              <c:f>Physicochemical_Managed!$Q$22:$Q$39</c:f>
              <c:numCache>
                <c:formatCode>0.000</c:formatCode>
                <c:ptCount val="18"/>
                <c:pt idx="0">
                  <c:v>6.3533333333333326</c:v>
                </c:pt>
                <c:pt idx="1">
                  <c:v>6.24</c:v>
                </c:pt>
                <c:pt idx="2">
                  <c:v>6.55</c:v>
                </c:pt>
                <c:pt idx="3">
                  <c:v>6.43</c:v>
                </c:pt>
                <c:pt idx="4">
                  <c:v>6.44</c:v>
                </c:pt>
                <c:pt idx="5">
                  <c:v>6.62</c:v>
                </c:pt>
                <c:pt idx="6">
                  <c:v>6.56</c:v>
                </c:pt>
                <c:pt idx="7">
                  <c:v>6.87</c:v>
                </c:pt>
                <c:pt idx="8">
                  <c:v>6.92</c:v>
                </c:pt>
                <c:pt idx="9">
                  <c:v>7</c:v>
                </c:pt>
                <c:pt idx="10">
                  <c:v>6.88</c:v>
                </c:pt>
                <c:pt idx="11">
                  <c:v>6.77</c:v>
                </c:pt>
                <c:pt idx="12">
                  <c:v>6.71</c:v>
                </c:pt>
                <c:pt idx="13">
                  <c:v>6.74</c:v>
                </c:pt>
                <c:pt idx="14">
                  <c:v>6.7</c:v>
                </c:pt>
                <c:pt idx="15">
                  <c:v>6.68</c:v>
                </c:pt>
                <c:pt idx="16">
                  <c:v>6.78</c:v>
                </c:pt>
                <c:pt idx="17">
                  <c:v>6.85</c:v>
                </c:pt>
              </c:numCache>
            </c:numRef>
          </c:val>
          <c:smooth val="0"/>
          <c:extLst>
            <c:ext xmlns:c16="http://schemas.microsoft.com/office/drawing/2014/chart" uri="{C3380CC4-5D6E-409C-BE32-E72D297353CC}">
              <c16:uniqueId val="{00000000-F32D-4769-8A23-45F49869E439}"/>
            </c:ext>
          </c:extLst>
        </c:ser>
        <c:dLbls>
          <c:showLegendKey val="0"/>
          <c:showVal val="0"/>
          <c:showCatName val="0"/>
          <c:showSerName val="0"/>
          <c:showPercent val="0"/>
          <c:showBubbleSize val="0"/>
        </c:dLbls>
        <c:marker val="1"/>
        <c:smooth val="0"/>
        <c:axId val="403941288"/>
        <c:axId val="403917672"/>
      </c:lineChart>
      <c:lineChart>
        <c:grouping val="standard"/>
        <c:varyColors val="0"/>
        <c:ser>
          <c:idx val="0"/>
          <c:order val="1"/>
          <c:tx>
            <c:v>Water temperature</c:v>
          </c:tx>
          <c:spPr>
            <a:ln w="6350" cap="rnd">
              <a:solidFill>
                <a:srgbClr val="5064E6"/>
              </a:solidFill>
              <a:round/>
            </a:ln>
            <a:effectLst/>
          </c:spPr>
          <c:marker>
            <c:symbol val="circle"/>
            <c:size val="6"/>
            <c:spPr>
              <a:noFill/>
              <a:ln w="12700">
                <a:solidFill>
                  <a:srgbClr val="5064E6">
                    <a:alpha val="95000"/>
                  </a:srgbClr>
                </a:solidFill>
              </a:ln>
              <a:effectLst/>
            </c:spPr>
          </c:marker>
          <c:cat>
            <c:numRef>
              <c:f>Physicochemical_Managed!$O$22:$O$39</c:f>
              <c:numCache>
                <c:formatCode>mm/dd/yyyy</c:formatCode>
                <c:ptCount val="18"/>
                <c:pt idx="0">
                  <c:v>44294</c:v>
                </c:pt>
                <c:pt idx="1">
                  <c:v>44306</c:v>
                </c:pt>
                <c:pt idx="2">
                  <c:v>44313</c:v>
                </c:pt>
                <c:pt idx="3">
                  <c:v>44320</c:v>
                </c:pt>
                <c:pt idx="4">
                  <c:v>44327</c:v>
                </c:pt>
                <c:pt idx="5">
                  <c:v>44335</c:v>
                </c:pt>
                <c:pt idx="6">
                  <c:v>44342</c:v>
                </c:pt>
                <c:pt idx="7">
                  <c:v>44356</c:v>
                </c:pt>
                <c:pt idx="8">
                  <c:v>44370</c:v>
                </c:pt>
                <c:pt idx="9">
                  <c:v>44377</c:v>
                </c:pt>
                <c:pt idx="10">
                  <c:v>44385</c:v>
                </c:pt>
                <c:pt idx="11">
                  <c:v>44391</c:v>
                </c:pt>
                <c:pt idx="12">
                  <c:v>44398</c:v>
                </c:pt>
                <c:pt idx="13">
                  <c:v>44405</c:v>
                </c:pt>
                <c:pt idx="14">
                  <c:v>44412</c:v>
                </c:pt>
                <c:pt idx="15">
                  <c:v>44419</c:v>
                </c:pt>
                <c:pt idx="16">
                  <c:v>44426</c:v>
                </c:pt>
                <c:pt idx="17">
                  <c:v>44433</c:v>
                </c:pt>
              </c:numCache>
            </c:numRef>
          </c:cat>
          <c:val>
            <c:numRef>
              <c:f>Physicochemical_Managed!$R$22:$R$39</c:f>
              <c:numCache>
                <c:formatCode>0.000</c:formatCode>
                <c:ptCount val="18"/>
                <c:pt idx="0">
                  <c:v>22.033333333333331</c:v>
                </c:pt>
                <c:pt idx="1">
                  <c:v>21.2</c:v>
                </c:pt>
                <c:pt idx="2">
                  <c:v>23.3</c:v>
                </c:pt>
                <c:pt idx="3">
                  <c:v>24.6</c:v>
                </c:pt>
                <c:pt idx="4">
                  <c:v>25.1</c:v>
                </c:pt>
                <c:pt idx="5">
                  <c:v>24.4</c:v>
                </c:pt>
                <c:pt idx="6">
                  <c:v>25.8</c:v>
                </c:pt>
                <c:pt idx="7">
                  <c:v>26.4</c:v>
                </c:pt>
                <c:pt idx="8">
                  <c:v>27.6</c:v>
                </c:pt>
                <c:pt idx="9">
                  <c:v>28.1</c:v>
                </c:pt>
                <c:pt idx="10">
                  <c:v>28.6</c:v>
                </c:pt>
                <c:pt idx="11">
                  <c:v>28.6</c:v>
                </c:pt>
                <c:pt idx="12">
                  <c:v>28.6</c:v>
                </c:pt>
                <c:pt idx="13">
                  <c:v>29.7</c:v>
                </c:pt>
                <c:pt idx="14">
                  <c:v>29.7</c:v>
                </c:pt>
                <c:pt idx="15">
                  <c:v>29.7</c:v>
                </c:pt>
                <c:pt idx="16">
                  <c:v>29.9</c:v>
                </c:pt>
                <c:pt idx="17">
                  <c:v>29.6</c:v>
                </c:pt>
              </c:numCache>
            </c:numRef>
          </c:val>
          <c:smooth val="0"/>
          <c:extLst>
            <c:ext xmlns:c16="http://schemas.microsoft.com/office/drawing/2014/chart" uri="{C3380CC4-5D6E-409C-BE32-E72D297353CC}">
              <c16:uniqueId val="{00000001-F32D-4769-8A23-45F49869E439}"/>
            </c:ext>
          </c:extLst>
        </c:ser>
        <c:dLbls>
          <c:showLegendKey val="0"/>
          <c:showVal val="0"/>
          <c:showCatName val="0"/>
          <c:showSerName val="0"/>
          <c:showPercent val="0"/>
          <c:showBubbleSize val="0"/>
        </c:dLbls>
        <c:marker val="1"/>
        <c:smooth val="0"/>
        <c:axId val="559296576"/>
        <c:axId val="559299528"/>
      </c:lineChart>
      <c:dateAx>
        <c:axId val="403941288"/>
        <c:scaling>
          <c:orientation val="minMax"/>
          <c:max val="44437"/>
          <c:min val="44287"/>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Sampling times--</a:t>
                </a:r>
                <a:r>
                  <a:rPr lang="en-US" b="1">
                    <a:solidFill>
                      <a:srgbClr val="FF0000"/>
                    </a:solidFill>
                  </a:rPr>
                  <a:t>SPI</a:t>
                </a:r>
              </a:p>
            </c:rich>
          </c:tx>
          <c:layout>
            <c:manualLayout>
              <c:xMode val="edge"/>
              <c:yMode val="edge"/>
              <c:x val="0.39785997109175708"/>
              <c:y val="0.94951730232117781"/>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mm/dd/yyyy" sourceLinked="1"/>
        <c:majorTickMark val="out"/>
        <c:minorTickMark val="in"/>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03917672"/>
        <c:crosses val="autoZero"/>
        <c:auto val="1"/>
        <c:lblOffset val="100"/>
        <c:baseTimeUnit val="days"/>
        <c:majorUnit val="15"/>
        <c:majorTimeUnit val="days"/>
        <c:minorUnit val="5"/>
        <c:minorTimeUnit val="days"/>
      </c:dateAx>
      <c:valAx>
        <c:axId val="403917672"/>
        <c:scaling>
          <c:orientation val="minMax"/>
          <c:max val="7.05"/>
          <c:min val="6.2"/>
        </c:scaling>
        <c:delete val="0"/>
        <c:axPos val="l"/>
        <c:majorGridlines>
          <c:spPr>
            <a:ln w="1270" cap="flat" cmpd="sng" algn="ctr">
              <a:solidFill>
                <a:schemeClr val="tx1"/>
              </a:solidFill>
              <a:prstDash val="solid"/>
              <a:round/>
            </a:ln>
            <a:effectLst/>
          </c:spPr>
        </c:majorGridlines>
        <c:minorGridlines>
          <c:spPr>
            <a:ln w="1270" cap="flat" cmpd="sng" algn="ctr">
              <a:solidFill>
                <a:schemeClr val="bg2">
                  <a:lumMod val="90000"/>
                </a:schemeClr>
              </a:solidFill>
              <a:prstDash val="dash"/>
              <a:round/>
            </a:ln>
            <a:effectLst/>
          </c:spPr>
        </c:min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pH</a:t>
                </a:r>
              </a:p>
            </c:rich>
          </c:tx>
          <c:layout>
            <c:manualLayout>
              <c:xMode val="edge"/>
              <c:yMode val="edge"/>
              <c:x val="6.5976053561081385E-5"/>
              <c:y val="0.40005275279655506"/>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0" sourceLinked="0"/>
        <c:majorTickMark val="out"/>
        <c:minorTickMark val="in"/>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03941288"/>
        <c:crosses val="autoZero"/>
        <c:crossBetween val="between"/>
        <c:majorUnit val="0.2"/>
        <c:minorUnit val="5.000000000000001E-2"/>
      </c:valAx>
      <c:valAx>
        <c:axId val="559299528"/>
        <c:scaling>
          <c:orientation val="minMax"/>
          <c:max val="30"/>
          <c:min val="21"/>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sz="1200" b="0" i="0" baseline="0">
                    <a:solidFill>
                      <a:sysClr val="windowText" lastClr="000000"/>
                    </a:solidFill>
                    <a:effectLst/>
                  </a:rPr>
                  <a:t>Water temperature (°C)</a:t>
                </a:r>
                <a:endParaRPr lang="en-US" sz="1200">
                  <a:solidFill>
                    <a:sysClr val="windowText" lastClr="000000"/>
                  </a:solidFill>
                  <a:effectLst/>
                </a:endParaRPr>
              </a:p>
            </c:rich>
          </c:tx>
          <c:layout>
            <c:manualLayout>
              <c:xMode val="edge"/>
              <c:yMode val="edge"/>
              <c:x val="0.95445835572375726"/>
              <c:y val="0.26744775576297142"/>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 sourceLinked="0"/>
        <c:majorTickMark val="out"/>
        <c:minorTickMark val="in"/>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559296576"/>
        <c:crosses val="max"/>
        <c:crossBetween val="between"/>
        <c:majorUnit val="3"/>
        <c:minorUnit val="0.5"/>
      </c:valAx>
      <c:dateAx>
        <c:axId val="559296576"/>
        <c:scaling>
          <c:orientation val="minMax"/>
          <c:max val="44437"/>
          <c:min val="44287"/>
        </c:scaling>
        <c:delete val="0"/>
        <c:axPos val="t"/>
        <c:numFmt formatCode="mm/dd/yyyy"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bg1"/>
                </a:solidFill>
                <a:latin typeface="Times New Roman" panose="02020603050405020304" pitchFamily="18" charset="0"/>
                <a:ea typeface="+mn-ea"/>
                <a:cs typeface="Times New Roman" panose="02020603050405020304" pitchFamily="18" charset="0"/>
              </a:defRPr>
            </a:pPr>
            <a:endParaRPr lang="en-US"/>
          </a:p>
        </c:txPr>
        <c:crossAx val="559299528"/>
        <c:crosses val="max"/>
        <c:auto val="1"/>
        <c:lblOffset val="100"/>
        <c:baseTimeUnit val="days"/>
      </c:dateAx>
      <c:spPr>
        <a:noFill/>
        <a:ln w="19050">
          <a:solidFill>
            <a:schemeClr val="tx1"/>
          </a:solidFill>
        </a:ln>
        <a:effectLst/>
      </c:spPr>
    </c:plotArea>
    <c:legend>
      <c:legendPos val="r"/>
      <c:legendEntry>
        <c:idx val="0"/>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Entry>
      <c:layout>
        <c:manualLayout>
          <c:xMode val="edge"/>
          <c:yMode val="edge"/>
          <c:x val="0.11073969036513762"/>
          <c:y val="8.7700019009878255E-2"/>
          <c:w val="0.23537977027584361"/>
          <c:h val="8.0425152880114509E-2"/>
        </c:manualLayout>
      </c:layout>
      <c:overlay val="0"/>
      <c:spPr>
        <a:solidFill>
          <a:schemeClr val="bg1"/>
        </a:solid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04646"/>
      </a:solid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13278008298755"/>
          <c:y val="3.6235046109691547E-2"/>
          <c:w val="0.77921161825726137"/>
          <c:h val="0.75850914427279748"/>
        </c:manualLayout>
      </c:layout>
      <c:lineChart>
        <c:grouping val="standard"/>
        <c:varyColors val="0"/>
        <c:ser>
          <c:idx val="3"/>
          <c:order val="0"/>
          <c:tx>
            <c:v>Free chlorine</c:v>
          </c:tx>
          <c:spPr>
            <a:ln w="6350" cap="rnd">
              <a:solidFill>
                <a:srgbClr val="F04646"/>
              </a:solidFill>
              <a:round/>
            </a:ln>
            <a:effectLst/>
          </c:spPr>
          <c:marker>
            <c:symbol val="circle"/>
            <c:size val="6"/>
            <c:spPr>
              <a:solidFill>
                <a:srgbClr val="F04646"/>
              </a:solidFill>
              <a:ln w="12700">
                <a:solidFill>
                  <a:srgbClr val="F04646"/>
                </a:solidFill>
              </a:ln>
              <a:effectLst/>
            </c:spPr>
          </c:marker>
          <c:cat>
            <c:numRef>
              <c:f>Physicochemical_Managed!$O$22:$O$39</c:f>
              <c:numCache>
                <c:formatCode>mm/dd/yyyy</c:formatCode>
                <c:ptCount val="18"/>
                <c:pt idx="0">
                  <c:v>44294</c:v>
                </c:pt>
                <c:pt idx="1">
                  <c:v>44306</c:v>
                </c:pt>
                <c:pt idx="2">
                  <c:v>44313</c:v>
                </c:pt>
                <c:pt idx="3">
                  <c:v>44320</c:v>
                </c:pt>
                <c:pt idx="4">
                  <c:v>44327</c:v>
                </c:pt>
                <c:pt idx="5">
                  <c:v>44335</c:v>
                </c:pt>
                <c:pt idx="6">
                  <c:v>44342</c:v>
                </c:pt>
                <c:pt idx="7">
                  <c:v>44356</c:v>
                </c:pt>
                <c:pt idx="8">
                  <c:v>44370</c:v>
                </c:pt>
                <c:pt idx="9">
                  <c:v>44377</c:v>
                </c:pt>
                <c:pt idx="10">
                  <c:v>44385</c:v>
                </c:pt>
                <c:pt idx="11">
                  <c:v>44391</c:v>
                </c:pt>
                <c:pt idx="12">
                  <c:v>44398</c:v>
                </c:pt>
                <c:pt idx="13">
                  <c:v>44405</c:v>
                </c:pt>
                <c:pt idx="14">
                  <c:v>44412</c:v>
                </c:pt>
                <c:pt idx="15">
                  <c:v>44419</c:v>
                </c:pt>
                <c:pt idx="16">
                  <c:v>44426</c:v>
                </c:pt>
                <c:pt idx="17">
                  <c:v>44433</c:v>
                </c:pt>
              </c:numCache>
            </c:numRef>
          </c:cat>
          <c:val>
            <c:numRef>
              <c:f>Physicochemical_Managed!$S$22:$S$39</c:f>
              <c:numCache>
                <c:formatCode>0.000</c:formatCode>
                <c:ptCount val="18"/>
                <c:pt idx="0">
                  <c:v>9.3333333333333324E-2</c:v>
                </c:pt>
                <c:pt idx="1">
                  <c:v>0.15</c:v>
                </c:pt>
                <c:pt idx="2">
                  <c:v>0.04</c:v>
                </c:pt>
                <c:pt idx="3">
                  <c:v>0.08</c:v>
                </c:pt>
                <c:pt idx="4">
                  <c:v>0.18</c:v>
                </c:pt>
                <c:pt idx="5">
                  <c:v>0.17</c:v>
                </c:pt>
                <c:pt idx="6">
                  <c:v>0.11</c:v>
                </c:pt>
                <c:pt idx="7">
                  <c:v>0.11</c:v>
                </c:pt>
                <c:pt idx="8">
                  <c:v>3</c:v>
                </c:pt>
                <c:pt idx="9">
                  <c:v>2.78</c:v>
                </c:pt>
                <c:pt idx="10">
                  <c:v>2.67</c:v>
                </c:pt>
                <c:pt idx="11">
                  <c:v>2.64</c:v>
                </c:pt>
                <c:pt idx="12">
                  <c:v>2.78</c:v>
                </c:pt>
                <c:pt idx="13">
                  <c:v>0.04</c:v>
                </c:pt>
                <c:pt idx="14">
                  <c:v>0.06</c:v>
                </c:pt>
                <c:pt idx="15">
                  <c:v>0.1</c:v>
                </c:pt>
                <c:pt idx="16">
                  <c:v>7.0000000000000007E-2</c:v>
                </c:pt>
                <c:pt idx="17">
                  <c:v>0.11</c:v>
                </c:pt>
              </c:numCache>
            </c:numRef>
          </c:val>
          <c:smooth val="0"/>
          <c:extLst>
            <c:ext xmlns:c16="http://schemas.microsoft.com/office/drawing/2014/chart" uri="{C3380CC4-5D6E-409C-BE32-E72D297353CC}">
              <c16:uniqueId val="{00000000-1B05-4271-A855-F11B56C030EC}"/>
            </c:ext>
          </c:extLst>
        </c:ser>
        <c:ser>
          <c:idx val="0"/>
          <c:order val="1"/>
          <c:tx>
            <c:v>Monochloramine</c:v>
          </c:tx>
          <c:spPr>
            <a:ln w="6350" cap="rnd">
              <a:solidFill>
                <a:srgbClr val="5064E6"/>
              </a:solidFill>
              <a:round/>
            </a:ln>
            <a:effectLst/>
          </c:spPr>
          <c:marker>
            <c:symbol val="circle"/>
            <c:size val="6"/>
            <c:spPr>
              <a:noFill/>
              <a:ln w="12700">
                <a:solidFill>
                  <a:srgbClr val="5064E6">
                    <a:alpha val="95000"/>
                  </a:srgbClr>
                </a:solidFill>
              </a:ln>
              <a:effectLst/>
            </c:spPr>
          </c:marker>
          <c:cat>
            <c:numRef>
              <c:f>Physicochemical_Managed!$O$22:$O$39</c:f>
              <c:numCache>
                <c:formatCode>mm/dd/yyyy</c:formatCode>
                <c:ptCount val="18"/>
                <c:pt idx="0">
                  <c:v>44294</c:v>
                </c:pt>
                <c:pt idx="1">
                  <c:v>44306</c:v>
                </c:pt>
                <c:pt idx="2">
                  <c:v>44313</c:v>
                </c:pt>
                <c:pt idx="3">
                  <c:v>44320</c:v>
                </c:pt>
                <c:pt idx="4">
                  <c:v>44327</c:v>
                </c:pt>
                <c:pt idx="5">
                  <c:v>44335</c:v>
                </c:pt>
                <c:pt idx="6">
                  <c:v>44342</c:v>
                </c:pt>
                <c:pt idx="7">
                  <c:v>44356</c:v>
                </c:pt>
                <c:pt idx="8">
                  <c:v>44370</c:v>
                </c:pt>
                <c:pt idx="9">
                  <c:v>44377</c:v>
                </c:pt>
                <c:pt idx="10">
                  <c:v>44385</c:v>
                </c:pt>
                <c:pt idx="11">
                  <c:v>44391</c:v>
                </c:pt>
                <c:pt idx="12">
                  <c:v>44398</c:v>
                </c:pt>
                <c:pt idx="13">
                  <c:v>44405</c:v>
                </c:pt>
                <c:pt idx="14">
                  <c:v>44412</c:v>
                </c:pt>
                <c:pt idx="15">
                  <c:v>44419</c:v>
                </c:pt>
                <c:pt idx="16">
                  <c:v>44426</c:v>
                </c:pt>
                <c:pt idx="17">
                  <c:v>44433</c:v>
                </c:pt>
              </c:numCache>
            </c:numRef>
          </c:cat>
          <c:val>
            <c:numRef>
              <c:f>Physicochemical_Managed!$T$22:$T$39</c:f>
              <c:numCache>
                <c:formatCode>0.000</c:formatCode>
                <c:ptCount val="18"/>
                <c:pt idx="0">
                  <c:v>2.2066666666666666</c:v>
                </c:pt>
                <c:pt idx="1">
                  <c:v>2.15</c:v>
                </c:pt>
                <c:pt idx="2">
                  <c:v>2.2000000000000002</c:v>
                </c:pt>
                <c:pt idx="3">
                  <c:v>2.0299999999999998</c:v>
                </c:pt>
                <c:pt idx="4">
                  <c:v>2.04</c:v>
                </c:pt>
                <c:pt idx="5">
                  <c:v>1.99</c:v>
                </c:pt>
                <c:pt idx="6">
                  <c:v>2.2799999999999998</c:v>
                </c:pt>
                <c:pt idx="7">
                  <c:v>2.2799999999999998</c:v>
                </c:pt>
                <c:pt idx="8">
                  <c:v>0</c:v>
                </c:pt>
                <c:pt idx="9">
                  <c:v>0.01</c:v>
                </c:pt>
                <c:pt idx="10">
                  <c:v>0.03</c:v>
                </c:pt>
                <c:pt idx="11">
                  <c:v>0.01</c:v>
                </c:pt>
                <c:pt idx="12">
                  <c:v>0.03</c:v>
                </c:pt>
                <c:pt idx="13">
                  <c:v>0.02</c:v>
                </c:pt>
                <c:pt idx="14">
                  <c:v>2.19</c:v>
                </c:pt>
                <c:pt idx="15">
                  <c:v>2.0099999999999998</c:v>
                </c:pt>
                <c:pt idx="16">
                  <c:v>1.96</c:v>
                </c:pt>
                <c:pt idx="17">
                  <c:v>1.24</c:v>
                </c:pt>
              </c:numCache>
            </c:numRef>
          </c:val>
          <c:smooth val="0"/>
          <c:extLst>
            <c:ext xmlns:c16="http://schemas.microsoft.com/office/drawing/2014/chart" uri="{C3380CC4-5D6E-409C-BE32-E72D297353CC}">
              <c16:uniqueId val="{00000001-1B05-4271-A855-F11B56C030EC}"/>
            </c:ext>
          </c:extLst>
        </c:ser>
        <c:ser>
          <c:idx val="1"/>
          <c:order val="2"/>
          <c:tx>
            <c:v>Total chlorine</c:v>
          </c:tx>
          <c:spPr>
            <a:ln w="6350" cap="rnd">
              <a:solidFill>
                <a:schemeClr val="tx1"/>
              </a:solidFill>
              <a:round/>
            </a:ln>
            <a:effectLst/>
          </c:spPr>
          <c:marker>
            <c:symbol val="square"/>
            <c:size val="6"/>
            <c:spPr>
              <a:noFill/>
              <a:ln w="12700">
                <a:solidFill>
                  <a:schemeClr val="tx1"/>
                </a:solidFill>
              </a:ln>
              <a:effectLst/>
            </c:spPr>
          </c:marker>
          <c:cat>
            <c:numRef>
              <c:f>Physicochemical_Managed!$O$22:$O$39</c:f>
              <c:numCache>
                <c:formatCode>mm/dd/yyyy</c:formatCode>
                <c:ptCount val="18"/>
                <c:pt idx="0">
                  <c:v>44294</c:v>
                </c:pt>
                <c:pt idx="1">
                  <c:v>44306</c:v>
                </c:pt>
                <c:pt idx="2">
                  <c:v>44313</c:v>
                </c:pt>
                <c:pt idx="3">
                  <c:v>44320</c:v>
                </c:pt>
                <c:pt idx="4">
                  <c:v>44327</c:v>
                </c:pt>
                <c:pt idx="5">
                  <c:v>44335</c:v>
                </c:pt>
                <c:pt idx="6">
                  <c:v>44342</c:v>
                </c:pt>
                <c:pt idx="7">
                  <c:v>44356</c:v>
                </c:pt>
                <c:pt idx="8">
                  <c:v>44370</c:v>
                </c:pt>
                <c:pt idx="9">
                  <c:v>44377</c:v>
                </c:pt>
                <c:pt idx="10">
                  <c:v>44385</c:v>
                </c:pt>
                <c:pt idx="11">
                  <c:v>44391</c:v>
                </c:pt>
                <c:pt idx="12">
                  <c:v>44398</c:v>
                </c:pt>
                <c:pt idx="13">
                  <c:v>44405</c:v>
                </c:pt>
                <c:pt idx="14">
                  <c:v>44412</c:v>
                </c:pt>
                <c:pt idx="15">
                  <c:v>44419</c:v>
                </c:pt>
                <c:pt idx="16">
                  <c:v>44426</c:v>
                </c:pt>
                <c:pt idx="17">
                  <c:v>44433</c:v>
                </c:pt>
              </c:numCache>
            </c:numRef>
          </c:cat>
          <c:val>
            <c:numRef>
              <c:f>Physicochemical_Managed!$U$22:$U$39</c:f>
              <c:numCache>
                <c:formatCode>0.000</c:formatCode>
                <c:ptCount val="18"/>
                <c:pt idx="0">
                  <c:v>2.7566666666666664</c:v>
                </c:pt>
                <c:pt idx="1">
                  <c:v>2.89</c:v>
                </c:pt>
                <c:pt idx="2">
                  <c:v>2.61</c:v>
                </c:pt>
                <c:pt idx="3">
                  <c:v>2.25</c:v>
                </c:pt>
                <c:pt idx="4">
                  <c:v>2.34</c:v>
                </c:pt>
                <c:pt idx="5">
                  <c:v>2.25</c:v>
                </c:pt>
                <c:pt idx="6">
                  <c:v>2.72</c:v>
                </c:pt>
                <c:pt idx="7">
                  <c:v>2.42</c:v>
                </c:pt>
                <c:pt idx="8">
                  <c:v>2.92</c:v>
                </c:pt>
                <c:pt idx="9">
                  <c:v>2.8</c:v>
                </c:pt>
                <c:pt idx="10">
                  <c:v>2.78</c:v>
                </c:pt>
                <c:pt idx="11">
                  <c:v>2.81</c:v>
                </c:pt>
                <c:pt idx="12">
                  <c:v>2.73</c:v>
                </c:pt>
                <c:pt idx="13">
                  <c:v>0.04</c:v>
                </c:pt>
                <c:pt idx="14">
                  <c:v>2.48</c:v>
                </c:pt>
                <c:pt idx="15">
                  <c:v>2.35</c:v>
                </c:pt>
                <c:pt idx="16">
                  <c:v>2.36</c:v>
                </c:pt>
                <c:pt idx="17">
                  <c:v>1.21</c:v>
                </c:pt>
              </c:numCache>
            </c:numRef>
          </c:val>
          <c:smooth val="0"/>
          <c:extLst>
            <c:ext xmlns:c16="http://schemas.microsoft.com/office/drawing/2014/chart" uri="{C3380CC4-5D6E-409C-BE32-E72D297353CC}">
              <c16:uniqueId val="{00000002-1B05-4271-A855-F11B56C030EC}"/>
            </c:ext>
          </c:extLst>
        </c:ser>
        <c:dLbls>
          <c:showLegendKey val="0"/>
          <c:showVal val="0"/>
          <c:showCatName val="0"/>
          <c:showSerName val="0"/>
          <c:showPercent val="0"/>
          <c:showBubbleSize val="0"/>
        </c:dLbls>
        <c:marker val="1"/>
        <c:smooth val="0"/>
        <c:axId val="403941288"/>
        <c:axId val="403917672"/>
      </c:lineChart>
      <c:dateAx>
        <c:axId val="403941288"/>
        <c:scaling>
          <c:orientation val="minMax"/>
          <c:max val="44437"/>
          <c:min val="44287"/>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Sampling times--</a:t>
                </a:r>
                <a:r>
                  <a:rPr lang="en-US" b="1">
                    <a:solidFill>
                      <a:srgbClr val="FF0000"/>
                    </a:solidFill>
                  </a:rPr>
                  <a:t>SPI</a:t>
                </a:r>
              </a:p>
            </c:rich>
          </c:tx>
          <c:layout>
            <c:manualLayout>
              <c:xMode val="edge"/>
              <c:yMode val="edge"/>
              <c:x val="0.39785997109175708"/>
              <c:y val="0.94951730232117781"/>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mm/dd/yyyy" sourceLinked="1"/>
        <c:majorTickMark val="out"/>
        <c:minorTickMark val="in"/>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03917672"/>
        <c:crosses val="autoZero"/>
        <c:auto val="1"/>
        <c:lblOffset val="100"/>
        <c:baseTimeUnit val="days"/>
        <c:majorUnit val="15"/>
        <c:majorTimeUnit val="days"/>
        <c:minorUnit val="5"/>
        <c:minorTimeUnit val="days"/>
      </c:dateAx>
      <c:valAx>
        <c:axId val="403917672"/>
        <c:scaling>
          <c:orientation val="minMax"/>
          <c:max val="3.1"/>
          <c:min val="0"/>
        </c:scaling>
        <c:delete val="0"/>
        <c:axPos val="l"/>
        <c:majorGridlines>
          <c:spPr>
            <a:ln w="1270" cap="flat" cmpd="sng" algn="ctr">
              <a:solidFill>
                <a:schemeClr val="tx1"/>
              </a:solidFill>
              <a:prstDash val="solid"/>
              <a:round/>
            </a:ln>
            <a:effectLst/>
          </c:spPr>
        </c:majorGridlines>
        <c:minorGridlines>
          <c:spPr>
            <a:ln w="1270" cap="flat" cmpd="sng" algn="ctr">
              <a:solidFill>
                <a:schemeClr val="bg2">
                  <a:lumMod val="90000"/>
                </a:schemeClr>
              </a:solidFill>
              <a:prstDash val="dash"/>
              <a:round/>
            </a:ln>
            <a:effectLst/>
          </c:spPr>
        </c:min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Chlorine (mg Cl</a:t>
                </a:r>
                <a:r>
                  <a:rPr lang="en-US" baseline="-25000"/>
                  <a:t>2</a:t>
                </a:r>
                <a:r>
                  <a:rPr lang="en-US"/>
                  <a:t>·L</a:t>
                </a:r>
                <a:r>
                  <a:rPr lang="en-US" baseline="30000"/>
                  <a:t>-1</a:t>
                </a:r>
                <a:r>
                  <a:rPr lang="en-US"/>
                  <a:t>)</a:t>
                </a:r>
              </a:p>
            </c:rich>
          </c:tx>
          <c:layout>
            <c:manualLayout>
              <c:xMode val="edge"/>
              <c:yMode val="edge"/>
              <c:x val="6.5976053561081209E-5"/>
              <c:y val="0.2827105058966991"/>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0" sourceLinked="0"/>
        <c:majorTickMark val="out"/>
        <c:minorTickMark val="in"/>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03941288"/>
        <c:crosses val="autoZero"/>
        <c:crossBetween val="between"/>
        <c:majorUnit val="1"/>
        <c:minorUnit val="0.2"/>
      </c:valAx>
      <c:spPr>
        <a:noFill/>
        <a:ln w="19050">
          <a:solidFill>
            <a:schemeClr val="tx1"/>
          </a:solidFill>
        </a:ln>
        <a:effectLst/>
      </c:spPr>
    </c:plotArea>
    <c:legend>
      <c:legendPos val="r"/>
      <c:legendEntry>
        <c:idx val="0"/>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Entry>
      <c:layout>
        <c:manualLayout>
          <c:xMode val="edge"/>
          <c:yMode val="edge"/>
          <c:x val="0.12490701201146645"/>
          <c:y val="0.35983419139900324"/>
          <c:w val="0.22798312160438464"/>
          <c:h val="0.1434852636092151"/>
        </c:manualLayout>
      </c:layout>
      <c:overlay val="0"/>
      <c:spPr>
        <a:solidFill>
          <a:schemeClr val="bg1"/>
        </a:solid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04646"/>
      </a:solid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13278008298755"/>
          <c:y val="3.6235046109691547E-2"/>
          <c:w val="0.77921161825726137"/>
          <c:h val="0.75850914427279748"/>
        </c:manualLayout>
      </c:layout>
      <c:lineChart>
        <c:grouping val="standard"/>
        <c:varyColors val="0"/>
        <c:ser>
          <c:idx val="3"/>
          <c:order val="0"/>
          <c:tx>
            <c:v>Free ammonia</c:v>
          </c:tx>
          <c:spPr>
            <a:ln w="6350" cap="rnd">
              <a:solidFill>
                <a:srgbClr val="F04646"/>
              </a:solidFill>
              <a:round/>
            </a:ln>
            <a:effectLst/>
          </c:spPr>
          <c:marker>
            <c:symbol val="circle"/>
            <c:size val="6"/>
            <c:spPr>
              <a:solidFill>
                <a:srgbClr val="F04646"/>
              </a:solidFill>
              <a:ln w="12700">
                <a:solidFill>
                  <a:srgbClr val="F04646"/>
                </a:solidFill>
              </a:ln>
              <a:effectLst/>
            </c:spPr>
          </c:marker>
          <c:cat>
            <c:numRef>
              <c:f>Physicochemical_Managed!$O$22:$O$39</c:f>
              <c:numCache>
                <c:formatCode>mm/dd/yyyy</c:formatCode>
                <c:ptCount val="18"/>
                <c:pt idx="0">
                  <c:v>44294</c:v>
                </c:pt>
                <c:pt idx="1">
                  <c:v>44306</c:v>
                </c:pt>
                <c:pt idx="2">
                  <c:v>44313</c:v>
                </c:pt>
                <c:pt idx="3">
                  <c:v>44320</c:v>
                </c:pt>
                <c:pt idx="4">
                  <c:v>44327</c:v>
                </c:pt>
                <c:pt idx="5">
                  <c:v>44335</c:v>
                </c:pt>
                <c:pt idx="6">
                  <c:v>44342</c:v>
                </c:pt>
                <c:pt idx="7">
                  <c:v>44356</c:v>
                </c:pt>
                <c:pt idx="8">
                  <c:v>44370</c:v>
                </c:pt>
                <c:pt idx="9">
                  <c:v>44377</c:v>
                </c:pt>
                <c:pt idx="10">
                  <c:v>44385</c:v>
                </c:pt>
                <c:pt idx="11">
                  <c:v>44391</c:v>
                </c:pt>
                <c:pt idx="12">
                  <c:v>44398</c:v>
                </c:pt>
                <c:pt idx="13">
                  <c:v>44405</c:v>
                </c:pt>
                <c:pt idx="14">
                  <c:v>44412</c:v>
                </c:pt>
                <c:pt idx="15">
                  <c:v>44419</c:v>
                </c:pt>
                <c:pt idx="16">
                  <c:v>44426</c:v>
                </c:pt>
                <c:pt idx="17">
                  <c:v>44433</c:v>
                </c:pt>
              </c:numCache>
            </c:numRef>
          </c:cat>
          <c:val>
            <c:numRef>
              <c:f>Physicochemical_Managed!$V$22:$V$39</c:f>
              <c:numCache>
                <c:formatCode>0.000</c:formatCode>
                <c:ptCount val="18"/>
                <c:pt idx="0">
                  <c:v>0.2233333333333333</c:v>
                </c:pt>
                <c:pt idx="1">
                  <c:v>0.15</c:v>
                </c:pt>
                <c:pt idx="2">
                  <c:v>0.34</c:v>
                </c:pt>
                <c:pt idx="3">
                  <c:v>0.18</c:v>
                </c:pt>
                <c:pt idx="4">
                  <c:v>0.13</c:v>
                </c:pt>
                <c:pt idx="5">
                  <c:v>0.2</c:v>
                </c:pt>
                <c:pt idx="6">
                  <c:v>0.27</c:v>
                </c:pt>
                <c:pt idx="7">
                  <c:v>0.25</c:v>
                </c:pt>
                <c:pt idx="8">
                  <c:v>0</c:v>
                </c:pt>
                <c:pt idx="9">
                  <c:v>0.25</c:v>
                </c:pt>
                <c:pt idx="10">
                  <c:v>0.03</c:v>
                </c:pt>
                <c:pt idx="11">
                  <c:v>0.03</c:v>
                </c:pt>
                <c:pt idx="12">
                  <c:v>0.02</c:v>
                </c:pt>
                <c:pt idx="13">
                  <c:v>0.02</c:v>
                </c:pt>
                <c:pt idx="14">
                  <c:v>0.19</c:v>
                </c:pt>
                <c:pt idx="15">
                  <c:v>0.18</c:v>
                </c:pt>
                <c:pt idx="16">
                  <c:v>0.11</c:v>
                </c:pt>
                <c:pt idx="17">
                  <c:v>0.16</c:v>
                </c:pt>
              </c:numCache>
            </c:numRef>
          </c:val>
          <c:smooth val="0"/>
          <c:extLst>
            <c:ext xmlns:c16="http://schemas.microsoft.com/office/drawing/2014/chart" uri="{C3380CC4-5D6E-409C-BE32-E72D297353CC}">
              <c16:uniqueId val="{00000000-A5EB-4980-AE13-DB0D32CACBA5}"/>
            </c:ext>
          </c:extLst>
        </c:ser>
        <c:ser>
          <c:idx val="0"/>
          <c:order val="1"/>
          <c:tx>
            <c:v>Nitrite</c:v>
          </c:tx>
          <c:spPr>
            <a:ln w="6350" cap="rnd">
              <a:solidFill>
                <a:srgbClr val="5064E6"/>
              </a:solidFill>
              <a:round/>
            </a:ln>
            <a:effectLst/>
          </c:spPr>
          <c:marker>
            <c:symbol val="circle"/>
            <c:size val="6"/>
            <c:spPr>
              <a:noFill/>
              <a:ln w="12700">
                <a:solidFill>
                  <a:srgbClr val="5064E6">
                    <a:alpha val="95000"/>
                  </a:srgbClr>
                </a:solidFill>
              </a:ln>
              <a:effectLst/>
            </c:spPr>
          </c:marker>
          <c:cat>
            <c:numRef>
              <c:f>Physicochemical_Managed!$O$22:$O$39</c:f>
              <c:numCache>
                <c:formatCode>mm/dd/yyyy</c:formatCode>
                <c:ptCount val="18"/>
                <c:pt idx="0">
                  <c:v>44294</c:v>
                </c:pt>
                <c:pt idx="1">
                  <c:v>44306</c:v>
                </c:pt>
                <c:pt idx="2">
                  <c:v>44313</c:v>
                </c:pt>
                <c:pt idx="3">
                  <c:v>44320</c:v>
                </c:pt>
                <c:pt idx="4">
                  <c:v>44327</c:v>
                </c:pt>
                <c:pt idx="5">
                  <c:v>44335</c:v>
                </c:pt>
                <c:pt idx="6">
                  <c:v>44342</c:v>
                </c:pt>
                <c:pt idx="7">
                  <c:v>44356</c:v>
                </c:pt>
                <c:pt idx="8">
                  <c:v>44370</c:v>
                </c:pt>
                <c:pt idx="9">
                  <c:v>44377</c:v>
                </c:pt>
                <c:pt idx="10">
                  <c:v>44385</c:v>
                </c:pt>
                <c:pt idx="11">
                  <c:v>44391</c:v>
                </c:pt>
                <c:pt idx="12">
                  <c:v>44398</c:v>
                </c:pt>
                <c:pt idx="13">
                  <c:v>44405</c:v>
                </c:pt>
                <c:pt idx="14">
                  <c:v>44412</c:v>
                </c:pt>
                <c:pt idx="15">
                  <c:v>44419</c:v>
                </c:pt>
                <c:pt idx="16">
                  <c:v>44426</c:v>
                </c:pt>
                <c:pt idx="17">
                  <c:v>44433</c:v>
                </c:pt>
              </c:numCache>
            </c:numRef>
          </c:cat>
          <c:val>
            <c:numRef>
              <c:f>Physicochemical_Managed!$W$22:$W$39</c:f>
              <c:numCache>
                <c:formatCode>0.000</c:formatCode>
                <c:ptCount val="18"/>
                <c:pt idx="0">
                  <c:v>5.0000000000000001E-3</c:v>
                </c:pt>
                <c:pt idx="1">
                  <c:v>6.0000000000000001E-3</c:v>
                </c:pt>
                <c:pt idx="2">
                  <c:v>5.0000000000000001E-3</c:v>
                </c:pt>
                <c:pt idx="3">
                  <c:v>4.0000000000000001E-3</c:v>
                </c:pt>
                <c:pt idx="4">
                  <c:v>6.0000000000000001E-3</c:v>
                </c:pt>
                <c:pt idx="5">
                  <c:v>5.0000000000000001E-3</c:v>
                </c:pt>
                <c:pt idx="6">
                  <c:v>5.0000000000000001E-3</c:v>
                </c:pt>
                <c:pt idx="7">
                  <c:v>7.0000000000000001E-3</c:v>
                </c:pt>
                <c:pt idx="8">
                  <c:v>7.0000000000000001E-3</c:v>
                </c:pt>
                <c:pt idx="9">
                  <c:v>0.1</c:v>
                </c:pt>
                <c:pt idx="10">
                  <c:v>5.0000000000000001E-3</c:v>
                </c:pt>
                <c:pt idx="11">
                  <c:v>6.0000000000000001E-3</c:v>
                </c:pt>
                <c:pt idx="12">
                  <c:v>6.0000000000000001E-3</c:v>
                </c:pt>
                <c:pt idx="13">
                  <c:v>7.0000000000000001E-3</c:v>
                </c:pt>
                <c:pt idx="14">
                  <c:v>7.0000000000000001E-3</c:v>
                </c:pt>
                <c:pt idx="15">
                  <c:v>6.0000000000000001E-3</c:v>
                </c:pt>
                <c:pt idx="16">
                  <c:v>2E-3</c:v>
                </c:pt>
                <c:pt idx="17">
                  <c:v>1E-3</c:v>
                </c:pt>
              </c:numCache>
            </c:numRef>
          </c:val>
          <c:smooth val="0"/>
          <c:extLst>
            <c:ext xmlns:c16="http://schemas.microsoft.com/office/drawing/2014/chart" uri="{C3380CC4-5D6E-409C-BE32-E72D297353CC}">
              <c16:uniqueId val="{00000001-A5EB-4980-AE13-DB0D32CACBA5}"/>
            </c:ext>
          </c:extLst>
        </c:ser>
        <c:dLbls>
          <c:showLegendKey val="0"/>
          <c:showVal val="0"/>
          <c:showCatName val="0"/>
          <c:showSerName val="0"/>
          <c:showPercent val="0"/>
          <c:showBubbleSize val="0"/>
        </c:dLbls>
        <c:marker val="1"/>
        <c:smooth val="0"/>
        <c:axId val="403941288"/>
        <c:axId val="403917672"/>
      </c:lineChart>
      <c:lineChart>
        <c:grouping val="standard"/>
        <c:varyColors val="0"/>
        <c:ser>
          <c:idx val="1"/>
          <c:order val="2"/>
          <c:tx>
            <c:v>Orthophosphate</c:v>
          </c:tx>
          <c:spPr>
            <a:ln w="6350" cap="rnd">
              <a:solidFill>
                <a:schemeClr val="tx1"/>
              </a:solidFill>
              <a:round/>
            </a:ln>
            <a:effectLst/>
          </c:spPr>
          <c:marker>
            <c:symbol val="square"/>
            <c:size val="6"/>
            <c:spPr>
              <a:noFill/>
              <a:ln w="12700">
                <a:solidFill>
                  <a:schemeClr val="tx1"/>
                </a:solidFill>
              </a:ln>
              <a:effectLst/>
            </c:spPr>
          </c:marker>
          <c:cat>
            <c:numRef>
              <c:f>Physicochemical_Managed!$O$22:$O$39</c:f>
              <c:numCache>
                <c:formatCode>mm/dd/yyyy</c:formatCode>
                <c:ptCount val="18"/>
                <c:pt idx="0">
                  <c:v>44294</c:v>
                </c:pt>
                <c:pt idx="1">
                  <c:v>44306</c:v>
                </c:pt>
                <c:pt idx="2">
                  <c:v>44313</c:v>
                </c:pt>
                <c:pt idx="3">
                  <c:v>44320</c:v>
                </c:pt>
                <c:pt idx="4">
                  <c:v>44327</c:v>
                </c:pt>
                <c:pt idx="5">
                  <c:v>44335</c:v>
                </c:pt>
                <c:pt idx="6">
                  <c:v>44342</c:v>
                </c:pt>
                <c:pt idx="7">
                  <c:v>44356</c:v>
                </c:pt>
                <c:pt idx="8">
                  <c:v>44370</c:v>
                </c:pt>
                <c:pt idx="9">
                  <c:v>44377</c:v>
                </c:pt>
                <c:pt idx="10">
                  <c:v>44385</c:v>
                </c:pt>
                <c:pt idx="11">
                  <c:v>44391</c:v>
                </c:pt>
                <c:pt idx="12">
                  <c:v>44398</c:v>
                </c:pt>
                <c:pt idx="13">
                  <c:v>44405</c:v>
                </c:pt>
                <c:pt idx="14">
                  <c:v>44412</c:v>
                </c:pt>
                <c:pt idx="15">
                  <c:v>44419</c:v>
                </c:pt>
                <c:pt idx="16">
                  <c:v>44426</c:v>
                </c:pt>
                <c:pt idx="17">
                  <c:v>44433</c:v>
                </c:pt>
              </c:numCache>
            </c:numRef>
          </c:cat>
          <c:val>
            <c:numRef>
              <c:f>Physicochemical_Managed!$X$22:$X$39</c:f>
              <c:numCache>
                <c:formatCode>0.000</c:formatCode>
                <c:ptCount val="18"/>
                <c:pt idx="0">
                  <c:v>0.27999999999999997</c:v>
                </c:pt>
                <c:pt idx="1">
                  <c:v>0.28999999999999998</c:v>
                </c:pt>
                <c:pt idx="2">
                  <c:v>0.2</c:v>
                </c:pt>
                <c:pt idx="3">
                  <c:v>0.28999999999999998</c:v>
                </c:pt>
                <c:pt idx="4">
                  <c:v>0.28000000000000003</c:v>
                </c:pt>
                <c:pt idx="5">
                  <c:v>0.26</c:v>
                </c:pt>
                <c:pt idx="6">
                  <c:v>0.34</c:v>
                </c:pt>
                <c:pt idx="7">
                  <c:v>0.35</c:v>
                </c:pt>
                <c:pt idx="8">
                  <c:v>0.3</c:v>
                </c:pt>
                <c:pt idx="9">
                  <c:v>0.37</c:v>
                </c:pt>
                <c:pt idx="10">
                  <c:v>0.35</c:v>
                </c:pt>
                <c:pt idx="11">
                  <c:v>0.42</c:v>
                </c:pt>
                <c:pt idx="12">
                  <c:v>0.38</c:v>
                </c:pt>
                <c:pt idx="13">
                  <c:v>0.48</c:v>
                </c:pt>
                <c:pt idx="14">
                  <c:v>0.43</c:v>
                </c:pt>
                <c:pt idx="15">
                  <c:v>0.32</c:v>
                </c:pt>
                <c:pt idx="16">
                  <c:v>0.4</c:v>
                </c:pt>
                <c:pt idx="17">
                  <c:v>0.42</c:v>
                </c:pt>
              </c:numCache>
            </c:numRef>
          </c:val>
          <c:smooth val="0"/>
          <c:extLst>
            <c:ext xmlns:c16="http://schemas.microsoft.com/office/drawing/2014/chart" uri="{C3380CC4-5D6E-409C-BE32-E72D297353CC}">
              <c16:uniqueId val="{00000002-A5EB-4980-AE13-DB0D32CACBA5}"/>
            </c:ext>
          </c:extLst>
        </c:ser>
        <c:dLbls>
          <c:showLegendKey val="0"/>
          <c:showVal val="0"/>
          <c:showCatName val="0"/>
          <c:showSerName val="0"/>
          <c:showPercent val="0"/>
          <c:showBubbleSize val="0"/>
        </c:dLbls>
        <c:marker val="1"/>
        <c:smooth val="0"/>
        <c:axId val="774072144"/>
        <c:axId val="780465376"/>
      </c:lineChart>
      <c:dateAx>
        <c:axId val="403941288"/>
        <c:scaling>
          <c:orientation val="minMax"/>
          <c:max val="44437"/>
          <c:min val="44287"/>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Sampling times--</a:t>
                </a:r>
                <a:r>
                  <a:rPr lang="en-US" b="1">
                    <a:solidFill>
                      <a:srgbClr val="FF0000"/>
                    </a:solidFill>
                  </a:rPr>
                  <a:t>SPI</a:t>
                </a:r>
              </a:p>
            </c:rich>
          </c:tx>
          <c:layout>
            <c:manualLayout>
              <c:xMode val="edge"/>
              <c:yMode val="edge"/>
              <c:x val="0.39785997109175708"/>
              <c:y val="0.94951730232117781"/>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mm/dd/yyyy" sourceLinked="1"/>
        <c:majorTickMark val="out"/>
        <c:minorTickMark val="in"/>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03917672"/>
        <c:crosses val="autoZero"/>
        <c:auto val="1"/>
        <c:lblOffset val="100"/>
        <c:baseTimeUnit val="days"/>
        <c:majorUnit val="15"/>
        <c:majorTimeUnit val="days"/>
        <c:minorUnit val="5"/>
        <c:minorTimeUnit val="days"/>
      </c:dateAx>
      <c:valAx>
        <c:axId val="403917672"/>
        <c:scaling>
          <c:orientation val="minMax"/>
          <c:max val="0.35000000000000003"/>
          <c:min val="0"/>
        </c:scaling>
        <c:delete val="0"/>
        <c:axPos val="l"/>
        <c:majorGridlines>
          <c:spPr>
            <a:ln w="1270" cap="flat" cmpd="sng" algn="ctr">
              <a:solidFill>
                <a:schemeClr val="tx1"/>
              </a:solidFill>
              <a:prstDash val="solid"/>
              <a:round/>
            </a:ln>
            <a:effectLst/>
          </c:spPr>
        </c:majorGridlines>
        <c:minorGridlines>
          <c:spPr>
            <a:ln w="1270" cap="flat" cmpd="sng" algn="ctr">
              <a:solidFill>
                <a:schemeClr val="bg2">
                  <a:lumMod val="90000"/>
                </a:schemeClr>
              </a:solidFill>
              <a:prstDash val="dash"/>
              <a:round/>
            </a:ln>
            <a:effectLst/>
          </c:spPr>
        </c:min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Free</a:t>
                </a:r>
                <a:r>
                  <a:rPr lang="en-US" baseline="0"/>
                  <a:t> ammonia and nitrite</a:t>
                </a:r>
                <a:r>
                  <a:rPr lang="en-US"/>
                  <a:t> (mg N·L</a:t>
                </a:r>
                <a:r>
                  <a:rPr lang="en-US" baseline="30000"/>
                  <a:t>-1</a:t>
                </a:r>
                <a:r>
                  <a:rPr lang="en-US"/>
                  <a:t>)</a:t>
                </a:r>
              </a:p>
            </c:rich>
          </c:tx>
          <c:layout>
            <c:manualLayout>
              <c:xMode val="edge"/>
              <c:yMode val="edge"/>
              <c:x val="6.5976053561081385E-5"/>
              <c:y val="0.18783804212801333"/>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0" sourceLinked="0"/>
        <c:majorTickMark val="out"/>
        <c:minorTickMark val="in"/>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03941288"/>
        <c:crosses val="autoZero"/>
        <c:crossBetween val="between"/>
        <c:majorUnit val="0.1"/>
        <c:minorUnit val="2.5000000000000005E-2"/>
      </c:valAx>
      <c:valAx>
        <c:axId val="780465376"/>
        <c:scaling>
          <c:orientation val="minMax"/>
          <c:max val="0.5"/>
          <c:min val="0.15000000000000002"/>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Orthophosphate (</a:t>
                </a:r>
                <a:r>
                  <a:rPr lang="en-US" baseline="0"/>
                  <a:t>PO</a:t>
                </a:r>
                <a:r>
                  <a:rPr lang="en-US" baseline="-25000"/>
                  <a:t>4</a:t>
                </a:r>
                <a:r>
                  <a:rPr lang="en-US" baseline="30000"/>
                  <a:t>3-</a:t>
                </a:r>
                <a:r>
                  <a:rPr lang="en-US" baseline="0"/>
                  <a:t>·L</a:t>
                </a:r>
                <a:r>
                  <a:rPr lang="en-US" baseline="30000"/>
                  <a:t>-1</a:t>
                </a:r>
                <a:r>
                  <a:rPr lang="en-US"/>
                  <a:t>)</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00" sourceLinked="0"/>
        <c:majorTickMark val="out"/>
        <c:minorTickMark val="in"/>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74072144"/>
        <c:crosses val="max"/>
        <c:crossBetween val="between"/>
        <c:majorUnit val="5.000000000000001E-2"/>
        <c:minorUnit val="2.5000000000000005E-2"/>
      </c:valAx>
      <c:dateAx>
        <c:axId val="774072144"/>
        <c:scaling>
          <c:orientation val="minMax"/>
        </c:scaling>
        <c:delete val="1"/>
        <c:axPos val="b"/>
        <c:numFmt formatCode="mm/dd/yyyy" sourceLinked="1"/>
        <c:majorTickMark val="out"/>
        <c:minorTickMark val="none"/>
        <c:tickLblPos val="nextTo"/>
        <c:crossAx val="780465376"/>
        <c:crosses val="autoZero"/>
        <c:auto val="1"/>
        <c:lblOffset val="100"/>
        <c:baseTimeUnit val="days"/>
      </c:dateAx>
      <c:spPr>
        <a:noFill/>
        <a:ln w="19050">
          <a:solidFill>
            <a:schemeClr val="tx1"/>
          </a:solidFill>
        </a:ln>
        <a:effectLst/>
      </c:spPr>
    </c:plotArea>
    <c:legend>
      <c:legendPos val="r"/>
      <c:legendEntry>
        <c:idx val="0"/>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Entry>
      <c:layout>
        <c:manualLayout>
          <c:xMode val="edge"/>
          <c:yMode val="edge"/>
          <c:x val="0.25443680992075862"/>
          <c:y val="0.64273106094189525"/>
          <c:w val="0.22798312160438464"/>
          <c:h val="9.8627455336123951E-2"/>
        </c:manualLayout>
      </c:layout>
      <c:overlay val="0"/>
      <c:spPr>
        <a:solidFill>
          <a:schemeClr val="bg1"/>
        </a:solid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04646"/>
      </a:solid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13278008298755"/>
          <c:y val="3.6235046109691547E-2"/>
          <c:w val="0.77921161825726137"/>
          <c:h val="0.75850914427279748"/>
        </c:manualLayout>
      </c:layout>
      <c:lineChart>
        <c:grouping val="standard"/>
        <c:varyColors val="0"/>
        <c:ser>
          <c:idx val="3"/>
          <c:order val="0"/>
          <c:tx>
            <c:v>pH</c:v>
          </c:tx>
          <c:spPr>
            <a:ln w="6350" cap="rnd">
              <a:solidFill>
                <a:srgbClr val="F04646"/>
              </a:solidFill>
              <a:round/>
            </a:ln>
            <a:effectLst/>
          </c:spPr>
          <c:marker>
            <c:symbol val="circle"/>
            <c:size val="6"/>
            <c:spPr>
              <a:solidFill>
                <a:srgbClr val="F04646"/>
              </a:solidFill>
              <a:ln w="12700">
                <a:solidFill>
                  <a:srgbClr val="F04646"/>
                </a:solidFill>
              </a:ln>
              <a:effectLst/>
            </c:spPr>
          </c:marker>
          <c:cat>
            <c:numRef>
              <c:f>Physicochemical_Managed!$O$40:$O$57</c:f>
              <c:numCache>
                <c:formatCode>mm/dd/yyyy</c:formatCode>
                <c:ptCount val="18"/>
                <c:pt idx="0">
                  <c:v>44294</c:v>
                </c:pt>
                <c:pt idx="1">
                  <c:v>44306</c:v>
                </c:pt>
                <c:pt idx="2">
                  <c:v>44313</c:v>
                </c:pt>
                <c:pt idx="3">
                  <c:v>44320</c:v>
                </c:pt>
                <c:pt idx="4">
                  <c:v>44327</c:v>
                </c:pt>
                <c:pt idx="5">
                  <c:v>44335</c:v>
                </c:pt>
                <c:pt idx="6">
                  <c:v>44342</c:v>
                </c:pt>
                <c:pt idx="7">
                  <c:v>44356</c:v>
                </c:pt>
                <c:pt idx="8">
                  <c:v>44370</c:v>
                </c:pt>
                <c:pt idx="9">
                  <c:v>44377</c:v>
                </c:pt>
                <c:pt idx="10">
                  <c:v>44385</c:v>
                </c:pt>
                <c:pt idx="11">
                  <c:v>44391</c:v>
                </c:pt>
                <c:pt idx="12">
                  <c:v>44398</c:v>
                </c:pt>
                <c:pt idx="13">
                  <c:v>44405</c:v>
                </c:pt>
                <c:pt idx="14">
                  <c:v>44412</c:v>
                </c:pt>
                <c:pt idx="15">
                  <c:v>44419</c:v>
                </c:pt>
                <c:pt idx="16">
                  <c:v>44426</c:v>
                </c:pt>
                <c:pt idx="17">
                  <c:v>44433</c:v>
                </c:pt>
              </c:numCache>
            </c:numRef>
          </c:cat>
          <c:val>
            <c:numRef>
              <c:f>Physicochemical_Managed!$Q$40:$Q$57</c:f>
              <c:numCache>
                <c:formatCode>0.000</c:formatCode>
                <c:ptCount val="18"/>
                <c:pt idx="0">
                  <c:v>6.43</c:v>
                </c:pt>
                <c:pt idx="1">
                  <c:v>6.66</c:v>
                </c:pt>
                <c:pt idx="2">
                  <c:v>6.31</c:v>
                </c:pt>
                <c:pt idx="3">
                  <c:v>6.43</c:v>
                </c:pt>
                <c:pt idx="4">
                  <c:v>6.65</c:v>
                </c:pt>
                <c:pt idx="5">
                  <c:v>6.53</c:v>
                </c:pt>
                <c:pt idx="6">
                  <c:v>6.62</c:v>
                </c:pt>
                <c:pt idx="7">
                  <c:v>7.2</c:v>
                </c:pt>
                <c:pt idx="8">
                  <c:v>6.97</c:v>
                </c:pt>
                <c:pt idx="9">
                  <c:v>6.63</c:v>
                </c:pt>
                <c:pt idx="10">
                  <c:v>7.09</c:v>
                </c:pt>
                <c:pt idx="11">
                  <c:v>6.67</c:v>
                </c:pt>
                <c:pt idx="12">
                  <c:v>6.57</c:v>
                </c:pt>
                <c:pt idx="13">
                  <c:v>7</c:v>
                </c:pt>
                <c:pt idx="14">
                  <c:v>7.07</c:v>
                </c:pt>
                <c:pt idx="15">
                  <c:v>7.09</c:v>
                </c:pt>
                <c:pt idx="16">
                  <c:v>6.7</c:v>
                </c:pt>
                <c:pt idx="17">
                  <c:v>6.7</c:v>
                </c:pt>
              </c:numCache>
            </c:numRef>
          </c:val>
          <c:smooth val="0"/>
          <c:extLst>
            <c:ext xmlns:c16="http://schemas.microsoft.com/office/drawing/2014/chart" uri="{C3380CC4-5D6E-409C-BE32-E72D297353CC}">
              <c16:uniqueId val="{00000000-A209-429D-8029-2D85A8846325}"/>
            </c:ext>
          </c:extLst>
        </c:ser>
        <c:dLbls>
          <c:showLegendKey val="0"/>
          <c:showVal val="0"/>
          <c:showCatName val="0"/>
          <c:showSerName val="0"/>
          <c:showPercent val="0"/>
          <c:showBubbleSize val="0"/>
        </c:dLbls>
        <c:marker val="1"/>
        <c:smooth val="0"/>
        <c:axId val="403941288"/>
        <c:axId val="403917672"/>
      </c:lineChart>
      <c:lineChart>
        <c:grouping val="standard"/>
        <c:varyColors val="0"/>
        <c:ser>
          <c:idx val="0"/>
          <c:order val="1"/>
          <c:tx>
            <c:v>Water temperature</c:v>
          </c:tx>
          <c:spPr>
            <a:ln w="6350" cap="rnd">
              <a:solidFill>
                <a:srgbClr val="5064E6"/>
              </a:solidFill>
              <a:round/>
            </a:ln>
            <a:effectLst/>
          </c:spPr>
          <c:marker>
            <c:symbol val="circle"/>
            <c:size val="6"/>
            <c:spPr>
              <a:noFill/>
              <a:ln w="12700">
                <a:solidFill>
                  <a:srgbClr val="5064E6">
                    <a:alpha val="95000"/>
                  </a:srgbClr>
                </a:solidFill>
              </a:ln>
              <a:effectLst/>
            </c:spPr>
          </c:marker>
          <c:cat>
            <c:numRef>
              <c:f>Physicochemical_Managed!$O$40:$O$57</c:f>
              <c:numCache>
                <c:formatCode>mm/dd/yyyy</c:formatCode>
                <c:ptCount val="18"/>
                <c:pt idx="0">
                  <c:v>44294</c:v>
                </c:pt>
                <c:pt idx="1">
                  <c:v>44306</c:v>
                </c:pt>
                <c:pt idx="2">
                  <c:v>44313</c:v>
                </c:pt>
                <c:pt idx="3">
                  <c:v>44320</c:v>
                </c:pt>
                <c:pt idx="4">
                  <c:v>44327</c:v>
                </c:pt>
                <c:pt idx="5">
                  <c:v>44335</c:v>
                </c:pt>
                <c:pt idx="6">
                  <c:v>44342</c:v>
                </c:pt>
                <c:pt idx="7">
                  <c:v>44356</c:v>
                </c:pt>
                <c:pt idx="8">
                  <c:v>44370</c:v>
                </c:pt>
                <c:pt idx="9">
                  <c:v>44377</c:v>
                </c:pt>
                <c:pt idx="10">
                  <c:v>44385</c:v>
                </c:pt>
                <c:pt idx="11">
                  <c:v>44391</c:v>
                </c:pt>
                <c:pt idx="12">
                  <c:v>44398</c:v>
                </c:pt>
                <c:pt idx="13">
                  <c:v>44405</c:v>
                </c:pt>
                <c:pt idx="14">
                  <c:v>44412</c:v>
                </c:pt>
                <c:pt idx="15">
                  <c:v>44419</c:v>
                </c:pt>
                <c:pt idx="16">
                  <c:v>44426</c:v>
                </c:pt>
                <c:pt idx="17">
                  <c:v>44433</c:v>
                </c:pt>
              </c:numCache>
            </c:numRef>
          </c:cat>
          <c:val>
            <c:numRef>
              <c:f>Physicochemical_Managed!$R$40:$R$57</c:f>
              <c:numCache>
                <c:formatCode>0.000</c:formatCode>
                <c:ptCount val="18"/>
                <c:pt idx="0">
                  <c:v>21.533333333333331</c:v>
                </c:pt>
                <c:pt idx="1">
                  <c:v>20.6</c:v>
                </c:pt>
                <c:pt idx="2">
                  <c:v>22</c:v>
                </c:pt>
                <c:pt idx="3">
                  <c:v>24.3</c:v>
                </c:pt>
                <c:pt idx="4">
                  <c:v>24.4</c:v>
                </c:pt>
                <c:pt idx="5">
                  <c:v>24.8</c:v>
                </c:pt>
                <c:pt idx="6">
                  <c:v>25.3</c:v>
                </c:pt>
                <c:pt idx="7">
                  <c:v>25.2</c:v>
                </c:pt>
                <c:pt idx="8">
                  <c:v>26.6</c:v>
                </c:pt>
                <c:pt idx="9">
                  <c:v>27.4</c:v>
                </c:pt>
                <c:pt idx="10">
                  <c:v>27.2</c:v>
                </c:pt>
                <c:pt idx="11">
                  <c:v>27.6</c:v>
                </c:pt>
                <c:pt idx="12">
                  <c:v>27.7</c:v>
                </c:pt>
                <c:pt idx="13">
                  <c:v>28.6</c:v>
                </c:pt>
                <c:pt idx="14">
                  <c:v>28.2</c:v>
                </c:pt>
                <c:pt idx="15">
                  <c:v>29.5</c:v>
                </c:pt>
                <c:pt idx="16">
                  <c:v>28.6</c:v>
                </c:pt>
                <c:pt idx="17">
                  <c:v>30.4</c:v>
                </c:pt>
              </c:numCache>
            </c:numRef>
          </c:val>
          <c:smooth val="0"/>
          <c:extLst>
            <c:ext xmlns:c16="http://schemas.microsoft.com/office/drawing/2014/chart" uri="{C3380CC4-5D6E-409C-BE32-E72D297353CC}">
              <c16:uniqueId val="{00000001-A209-429D-8029-2D85A8846325}"/>
            </c:ext>
          </c:extLst>
        </c:ser>
        <c:dLbls>
          <c:showLegendKey val="0"/>
          <c:showVal val="0"/>
          <c:showCatName val="0"/>
          <c:showSerName val="0"/>
          <c:showPercent val="0"/>
          <c:showBubbleSize val="0"/>
        </c:dLbls>
        <c:marker val="1"/>
        <c:smooth val="0"/>
        <c:axId val="559296576"/>
        <c:axId val="559299528"/>
      </c:lineChart>
      <c:dateAx>
        <c:axId val="403941288"/>
        <c:scaling>
          <c:orientation val="minMax"/>
          <c:max val="44437"/>
          <c:min val="44287"/>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Sampling times--</a:t>
                </a:r>
                <a:r>
                  <a:rPr lang="en-US" b="1">
                    <a:solidFill>
                      <a:srgbClr val="FF0000"/>
                    </a:solidFill>
                  </a:rPr>
                  <a:t>SPO</a:t>
                </a:r>
              </a:p>
            </c:rich>
          </c:tx>
          <c:layout>
            <c:manualLayout>
              <c:xMode val="edge"/>
              <c:yMode val="edge"/>
              <c:x val="0.39785997109175708"/>
              <c:y val="0.94951730232117781"/>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mm/dd/yyyy" sourceLinked="1"/>
        <c:majorTickMark val="out"/>
        <c:minorTickMark val="in"/>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03917672"/>
        <c:crosses val="autoZero"/>
        <c:auto val="1"/>
        <c:lblOffset val="100"/>
        <c:baseTimeUnit val="days"/>
        <c:majorUnit val="15"/>
        <c:majorTimeUnit val="days"/>
        <c:minorUnit val="5"/>
        <c:minorTimeUnit val="days"/>
      </c:dateAx>
      <c:valAx>
        <c:axId val="403917672"/>
        <c:scaling>
          <c:orientation val="minMax"/>
          <c:max val="7.25"/>
          <c:min val="6.3"/>
        </c:scaling>
        <c:delete val="0"/>
        <c:axPos val="l"/>
        <c:majorGridlines>
          <c:spPr>
            <a:ln w="1270" cap="flat" cmpd="sng" algn="ctr">
              <a:solidFill>
                <a:schemeClr val="tx1"/>
              </a:solidFill>
              <a:prstDash val="solid"/>
              <a:round/>
            </a:ln>
            <a:effectLst/>
          </c:spPr>
        </c:majorGridlines>
        <c:minorGridlines>
          <c:spPr>
            <a:ln w="1270" cap="flat" cmpd="sng" algn="ctr">
              <a:solidFill>
                <a:schemeClr val="bg2">
                  <a:lumMod val="90000"/>
                </a:schemeClr>
              </a:solidFill>
              <a:prstDash val="dash"/>
              <a:round/>
            </a:ln>
            <a:effectLst/>
          </c:spPr>
        </c:min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pH</a:t>
                </a:r>
              </a:p>
            </c:rich>
          </c:tx>
          <c:layout>
            <c:manualLayout>
              <c:xMode val="edge"/>
              <c:yMode val="edge"/>
              <c:x val="6.5976053561081385E-5"/>
              <c:y val="0.40005275279655506"/>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0" sourceLinked="0"/>
        <c:majorTickMark val="out"/>
        <c:minorTickMark val="in"/>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03941288"/>
        <c:crosses val="autoZero"/>
        <c:crossBetween val="between"/>
        <c:majorUnit val="0.30000000000000004"/>
        <c:minorUnit val="5.000000000000001E-2"/>
      </c:valAx>
      <c:valAx>
        <c:axId val="559299528"/>
        <c:scaling>
          <c:orientation val="minMax"/>
          <c:max val="31"/>
          <c:min val="20"/>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sz="1200" b="0" i="0" baseline="0">
                    <a:solidFill>
                      <a:sysClr val="windowText" lastClr="000000"/>
                    </a:solidFill>
                    <a:effectLst/>
                  </a:rPr>
                  <a:t>Water temperature (°C)</a:t>
                </a:r>
                <a:endParaRPr lang="en-US" sz="1200">
                  <a:solidFill>
                    <a:sysClr val="windowText" lastClr="000000"/>
                  </a:solidFill>
                  <a:effectLst/>
                </a:endParaRPr>
              </a:p>
            </c:rich>
          </c:tx>
          <c:layout>
            <c:manualLayout>
              <c:xMode val="edge"/>
              <c:yMode val="edge"/>
              <c:x val="0.95648225881608995"/>
              <c:y val="0.25746118062942558"/>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 sourceLinked="0"/>
        <c:majorTickMark val="out"/>
        <c:minorTickMark val="in"/>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559296576"/>
        <c:crosses val="max"/>
        <c:crossBetween val="between"/>
        <c:majorUnit val="2"/>
        <c:minorUnit val="0.5"/>
      </c:valAx>
      <c:dateAx>
        <c:axId val="559296576"/>
        <c:scaling>
          <c:orientation val="minMax"/>
          <c:max val="44437"/>
          <c:min val="44287"/>
        </c:scaling>
        <c:delete val="0"/>
        <c:axPos val="t"/>
        <c:numFmt formatCode="mm/dd/yyyy"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bg1"/>
                </a:solidFill>
                <a:latin typeface="Times New Roman" panose="02020603050405020304" pitchFamily="18" charset="0"/>
                <a:ea typeface="+mn-ea"/>
                <a:cs typeface="Times New Roman" panose="02020603050405020304" pitchFamily="18" charset="0"/>
              </a:defRPr>
            </a:pPr>
            <a:endParaRPr lang="en-US"/>
          </a:p>
        </c:txPr>
        <c:crossAx val="559299528"/>
        <c:crosses val="max"/>
        <c:auto val="1"/>
        <c:lblOffset val="100"/>
        <c:baseTimeUnit val="days"/>
      </c:dateAx>
      <c:spPr>
        <a:noFill/>
        <a:ln w="19050">
          <a:solidFill>
            <a:schemeClr val="tx1"/>
          </a:solidFill>
        </a:ln>
        <a:effectLst/>
      </c:spPr>
    </c:plotArea>
    <c:legend>
      <c:legendPos val="r"/>
      <c:legendEntry>
        <c:idx val="0"/>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Entry>
      <c:layout>
        <c:manualLayout>
          <c:xMode val="edge"/>
          <c:yMode val="edge"/>
          <c:x val="0.11073969036513762"/>
          <c:y val="8.7700019009878255E-2"/>
          <c:w val="0.23537977027584361"/>
          <c:h val="8.0425152880114509E-2"/>
        </c:manualLayout>
      </c:layout>
      <c:overlay val="0"/>
      <c:spPr>
        <a:solidFill>
          <a:schemeClr val="bg1"/>
        </a:solid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04646"/>
      </a:solid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13278008298755"/>
          <c:y val="3.6235046109691547E-2"/>
          <c:w val="0.77921161825726137"/>
          <c:h val="0.75850914427279748"/>
        </c:manualLayout>
      </c:layout>
      <c:lineChart>
        <c:grouping val="standard"/>
        <c:varyColors val="0"/>
        <c:ser>
          <c:idx val="3"/>
          <c:order val="0"/>
          <c:tx>
            <c:strRef>
              <c:f>qPCR_Unique!$K$1</c:f>
              <c:strCache>
                <c:ptCount val="1"/>
                <c:pt idx="0">
                  <c:v>Legionella</c:v>
                </c:pt>
              </c:strCache>
            </c:strRef>
          </c:tx>
          <c:spPr>
            <a:ln w="6350" cap="rnd">
              <a:solidFill>
                <a:srgbClr val="F04646"/>
              </a:solidFill>
              <a:round/>
            </a:ln>
            <a:effectLst/>
          </c:spPr>
          <c:marker>
            <c:symbol val="circle"/>
            <c:size val="6"/>
            <c:spPr>
              <a:solidFill>
                <a:srgbClr val="F04646"/>
              </a:solidFill>
              <a:ln w="12700">
                <a:solidFill>
                  <a:srgbClr val="F04646"/>
                </a:solidFill>
              </a:ln>
              <a:effectLst/>
            </c:spPr>
          </c:marker>
          <c:errBars>
            <c:errDir val="y"/>
            <c:errBarType val="both"/>
            <c:errValType val="cust"/>
            <c:noEndCap val="0"/>
            <c:plus>
              <c:numRef>
                <c:f>qPCR_Unique!$M$3:$M$17</c:f>
                <c:numCache>
                  <c:formatCode>General</c:formatCode>
                  <c:ptCount val="15"/>
                  <c:pt idx="0">
                    <c:v>0.14788994274292655</c:v>
                  </c:pt>
                  <c:pt idx="1">
                    <c:v>5.2992127759468773E-2</c:v>
                  </c:pt>
                  <c:pt idx="2">
                    <c:v>1.2266886723812187E-2</c:v>
                  </c:pt>
                  <c:pt idx="3">
                    <c:v>0.28731606868291865</c:v>
                  </c:pt>
                  <c:pt idx="4">
                    <c:v>0</c:v>
                  </c:pt>
                  <c:pt idx="5">
                    <c:v>0.1022360351746279</c:v>
                  </c:pt>
                  <c:pt idx="6">
                    <c:v>0.39147166104896969</c:v>
                  </c:pt>
                  <c:pt idx="7">
                    <c:v>8.2044235114006742E-2</c:v>
                  </c:pt>
                  <c:pt idx="8">
                    <c:v>9.3361948215887822E-2</c:v>
                  </c:pt>
                  <c:pt idx="9">
                    <c:v>0.43429448190325176</c:v>
                  </c:pt>
                  <c:pt idx="10">
                    <c:v>5.8509948242459406E-2</c:v>
                  </c:pt>
                  <c:pt idx="11">
                    <c:v>0.27743898389146077</c:v>
                  </c:pt>
                  <c:pt idx="12">
                    <c:v>0.12909399143920816</c:v>
                  </c:pt>
                  <c:pt idx="13">
                    <c:v>0.1057228717670563</c:v>
                  </c:pt>
                  <c:pt idx="14">
                    <c:v>0.12071208104807526</c:v>
                  </c:pt>
                </c:numCache>
              </c:numRef>
            </c:plus>
            <c:minus>
              <c:numRef>
                <c:f>qPCR_Unique!$M$3:$M$17</c:f>
                <c:numCache>
                  <c:formatCode>General</c:formatCode>
                  <c:ptCount val="15"/>
                  <c:pt idx="0">
                    <c:v>0.14788994274292655</c:v>
                  </c:pt>
                  <c:pt idx="1">
                    <c:v>5.2992127759468773E-2</c:v>
                  </c:pt>
                  <c:pt idx="2">
                    <c:v>1.2266886723812187E-2</c:v>
                  </c:pt>
                  <c:pt idx="3">
                    <c:v>0.28731606868291865</c:v>
                  </c:pt>
                  <c:pt idx="4">
                    <c:v>0</c:v>
                  </c:pt>
                  <c:pt idx="5">
                    <c:v>0.1022360351746279</c:v>
                  </c:pt>
                  <c:pt idx="6">
                    <c:v>0.39147166104896969</c:v>
                  </c:pt>
                  <c:pt idx="7">
                    <c:v>8.2044235114006742E-2</c:v>
                  </c:pt>
                  <c:pt idx="8">
                    <c:v>9.3361948215887822E-2</c:v>
                  </c:pt>
                  <c:pt idx="9">
                    <c:v>0.43429448190325176</c:v>
                  </c:pt>
                  <c:pt idx="10">
                    <c:v>5.8509948242459406E-2</c:v>
                  </c:pt>
                  <c:pt idx="11">
                    <c:v>0.27743898389146077</c:v>
                  </c:pt>
                  <c:pt idx="12">
                    <c:v>0.12909399143920816</c:v>
                  </c:pt>
                  <c:pt idx="13">
                    <c:v>0.1057228717670563</c:v>
                  </c:pt>
                  <c:pt idx="14">
                    <c:v>0.12071208104807526</c:v>
                  </c:pt>
                </c:numCache>
              </c:numRef>
            </c:minus>
            <c:spPr>
              <a:noFill/>
              <a:ln w="12700" cap="flat" cmpd="sng" algn="ctr">
                <a:solidFill>
                  <a:srgbClr val="F04646"/>
                </a:solidFill>
                <a:round/>
              </a:ln>
              <a:effectLst/>
            </c:spPr>
          </c:errBars>
          <c:cat>
            <c:numRef>
              <c:f>qPCR_Unique!$G$3:$G$17</c:f>
              <c:numCache>
                <c:formatCode>mm/dd/yyyy</c:formatCode>
                <c:ptCount val="15"/>
                <c:pt idx="0">
                  <c:v>44335</c:v>
                </c:pt>
                <c:pt idx="1">
                  <c:v>44342</c:v>
                </c:pt>
                <c:pt idx="2">
                  <c:v>44350</c:v>
                </c:pt>
                <c:pt idx="3">
                  <c:v>44356</c:v>
                </c:pt>
                <c:pt idx="4">
                  <c:v>44363</c:v>
                </c:pt>
                <c:pt idx="5">
                  <c:v>44370</c:v>
                </c:pt>
                <c:pt idx="6">
                  <c:v>44377</c:v>
                </c:pt>
                <c:pt idx="7">
                  <c:v>44385</c:v>
                </c:pt>
                <c:pt idx="8">
                  <c:v>44391</c:v>
                </c:pt>
                <c:pt idx="9">
                  <c:v>44398</c:v>
                </c:pt>
                <c:pt idx="10">
                  <c:v>44405</c:v>
                </c:pt>
                <c:pt idx="11">
                  <c:v>44412</c:v>
                </c:pt>
                <c:pt idx="12">
                  <c:v>44419</c:v>
                </c:pt>
                <c:pt idx="13">
                  <c:v>44426</c:v>
                </c:pt>
                <c:pt idx="14">
                  <c:v>44433</c:v>
                </c:pt>
              </c:numCache>
            </c:numRef>
          </c:cat>
          <c:val>
            <c:numRef>
              <c:f>qPCR_Unique!$L$3:$L$17</c:f>
              <c:numCache>
                <c:formatCode>0.000</c:formatCode>
                <c:ptCount val="15"/>
                <c:pt idx="0">
                  <c:v>4.7229710237808709</c:v>
                </c:pt>
                <c:pt idx="1">
                  <c:v>4.3983402472244153</c:v>
                </c:pt>
                <c:pt idx="2">
                  <c:v>3.9174695393344017</c:v>
                </c:pt>
                <c:pt idx="3">
                  <c:v>4.1767319225757706</c:v>
                </c:pt>
                <c:pt idx="4">
                  <c:v>0</c:v>
                </c:pt>
                <c:pt idx="5">
                  <c:v>3.7119183612943583</c:v>
                </c:pt>
                <c:pt idx="6">
                  <c:v>3.4496228998138809</c:v>
                </c:pt>
                <c:pt idx="7">
                  <c:v>3.5173735394078167</c:v>
                </c:pt>
                <c:pt idx="8">
                  <c:v>3.5031007130453271</c:v>
                </c:pt>
                <c:pt idx="9">
                  <c:v>3.903561063124283</c:v>
                </c:pt>
                <c:pt idx="10">
                  <c:v>4.7632454669389199</c:v>
                </c:pt>
                <c:pt idx="11">
                  <c:v>3.7099616071987671</c:v>
                </c:pt>
                <c:pt idx="12">
                  <c:v>3.3165813878647228</c:v>
                </c:pt>
                <c:pt idx="13">
                  <c:v>4.9646320399135817</c:v>
                </c:pt>
                <c:pt idx="14">
                  <c:v>3.1697614258419864</c:v>
                </c:pt>
              </c:numCache>
            </c:numRef>
          </c:val>
          <c:smooth val="0"/>
          <c:extLst>
            <c:ext xmlns:c16="http://schemas.microsoft.com/office/drawing/2014/chart" uri="{C3380CC4-5D6E-409C-BE32-E72D297353CC}">
              <c16:uniqueId val="{00000000-67C5-4B4F-86C2-4F8A7A4C0F8A}"/>
            </c:ext>
          </c:extLst>
        </c:ser>
        <c:ser>
          <c:idx val="0"/>
          <c:order val="1"/>
          <c:tx>
            <c:strRef>
              <c:f>qPCR_Unique!$N$1</c:f>
              <c:strCache>
                <c:ptCount val="1"/>
                <c:pt idx="0">
                  <c:v>Mycobacterium</c:v>
                </c:pt>
              </c:strCache>
            </c:strRef>
          </c:tx>
          <c:spPr>
            <a:ln w="6350" cap="rnd">
              <a:solidFill>
                <a:srgbClr val="5064E6"/>
              </a:solidFill>
              <a:round/>
            </a:ln>
            <a:effectLst/>
          </c:spPr>
          <c:marker>
            <c:symbol val="circle"/>
            <c:size val="6"/>
            <c:spPr>
              <a:noFill/>
              <a:ln w="12700">
                <a:solidFill>
                  <a:srgbClr val="5064E6">
                    <a:alpha val="94902"/>
                  </a:srgbClr>
                </a:solidFill>
              </a:ln>
              <a:effectLst/>
            </c:spPr>
          </c:marker>
          <c:errBars>
            <c:errDir val="y"/>
            <c:errBarType val="both"/>
            <c:errValType val="cust"/>
            <c:noEndCap val="0"/>
            <c:plus>
              <c:numRef>
                <c:f>qPCR_Unique!$P$3:$P$17</c:f>
                <c:numCache>
                  <c:formatCode>General</c:formatCode>
                  <c:ptCount val="15"/>
                  <c:pt idx="0">
                    <c:v>0.13492832095299329</c:v>
                  </c:pt>
                  <c:pt idx="1">
                    <c:v>0.26297738069518506</c:v>
                  </c:pt>
                  <c:pt idx="2">
                    <c:v>3.6972262286928334E-2</c:v>
                  </c:pt>
                  <c:pt idx="3">
                    <c:v>0.22108847306442125</c:v>
                  </c:pt>
                  <c:pt idx="4">
                    <c:v>0.14140759558936419</c:v>
                  </c:pt>
                  <c:pt idx="5">
                    <c:v>3.9879239828460354E-3</c:v>
                  </c:pt>
                  <c:pt idx="6">
                    <c:v>1.8571555700006535E-2</c:v>
                  </c:pt>
                  <c:pt idx="7">
                    <c:v>0.13499729370255115</c:v>
                  </c:pt>
                  <c:pt idx="8">
                    <c:v>0.20910710850632552</c:v>
                  </c:pt>
                  <c:pt idx="9">
                    <c:v>0.43429448190325176</c:v>
                  </c:pt>
                  <c:pt idx="10">
                    <c:v>0.22912424371849563</c:v>
                  </c:pt>
                  <c:pt idx="11">
                    <c:v>0.16846143760324955</c:v>
                  </c:pt>
                  <c:pt idx="12">
                    <c:v>5.5612207980729935E-3</c:v>
                  </c:pt>
                  <c:pt idx="13">
                    <c:v>0.14487207710567926</c:v>
                  </c:pt>
                  <c:pt idx="14">
                    <c:v>3.7568591910838625E-2</c:v>
                  </c:pt>
                </c:numCache>
              </c:numRef>
            </c:plus>
            <c:minus>
              <c:numRef>
                <c:f>qPCR_Unique!$P$3:$P$17</c:f>
                <c:numCache>
                  <c:formatCode>General</c:formatCode>
                  <c:ptCount val="15"/>
                  <c:pt idx="0">
                    <c:v>0.13492832095299329</c:v>
                  </c:pt>
                  <c:pt idx="1">
                    <c:v>0.26297738069518506</c:v>
                  </c:pt>
                  <c:pt idx="2">
                    <c:v>3.6972262286928334E-2</c:v>
                  </c:pt>
                  <c:pt idx="3">
                    <c:v>0.22108847306442125</c:v>
                  </c:pt>
                  <c:pt idx="4">
                    <c:v>0.14140759558936419</c:v>
                  </c:pt>
                  <c:pt idx="5">
                    <c:v>3.9879239828460354E-3</c:v>
                  </c:pt>
                  <c:pt idx="6">
                    <c:v>1.8571555700006535E-2</c:v>
                  </c:pt>
                  <c:pt idx="7">
                    <c:v>0.13499729370255115</c:v>
                  </c:pt>
                  <c:pt idx="8">
                    <c:v>0.20910710850632552</c:v>
                  </c:pt>
                  <c:pt idx="9">
                    <c:v>0.43429448190325176</c:v>
                  </c:pt>
                  <c:pt idx="10">
                    <c:v>0.22912424371849563</c:v>
                  </c:pt>
                  <c:pt idx="11">
                    <c:v>0.16846143760324955</c:v>
                  </c:pt>
                  <c:pt idx="12">
                    <c:v>5.5612207980729935E-3</c:v>
                  </c:pt>
                  <c:pt idx="13">
                    <c:v>0.14487207710567926</c:v>
                  </c:pt>
                  <c:pt idx="14">
                    <c:v>3.7568591910838625E-2</c:v>
                  </c:pt>
                </c:numCache>
              </c:numRef>
            </c:minus>
            <c:spPr>
              <a:noFill/>
              <a:ln w="12700" cap="flat" cmpd="sng" algn="ctr">
                <a:solidFill>
                  <a:srgbClr val="5064E6"/>
                </a:solidFill>
                <a:round/>
              </a:ln>
              <a:effectLst/>
            </c:spPr>
          </c:errBars>
          <c:cat>
            <c:numRef>
              <c:f>qPCR_Unique!$G$3:$G$17</c:f>
              <c:numCache>
                <c:formatCode>mm/dd/yyyy</c:formatCode>
                <c:ptCount val="15"/>
                <c:pt idx="0">
                  <c:v>44335</c:v>
                </c:pt>
                <c:pt idx="1">
                  <c:v>44342</c:v>
                </c:pt>
                <c:pt idx="2">
                  <c:v>44350</c:v>
                </c:pt>
                <c:pt idx="3">
                  <c:v>44356</c:v>
                </c:pt>
                <c:pt idx="4">
                  <c:v>44363</c:v>
                </c:pt>
                <c:pt idx="5">
                  <c:v>44370</c:v>
                </c:pt>
                <c:pt idx="6">
                  <c:v>44377</c:v>
                </c:pt>
                <c:pt idx="7">
                  <c:v>44385</c:v>
                </c:pt>
                <c:pt idx="8">
                  <c:v>44391</c:v>
                </c:pt>
                <c:pt idx="9">
                  <c:v>44398</c:v>
                </c:pt>
                <c:pt idx="10">
                  <c:v>44405</c:v>
                </c:pt>
                <c:pt idx="11">
                  <c:v>44412</c:v>
                </c:pt>
                <c:pt idx="12">
                  <c:v>44419</c:v>
                </c:pt>
                <c:pt idx="13">
                  <c:v>44426</c:v>
                </c:pt>
                <c:pt idx="14">
                  <c:v>44433</c:v>
                </c:pt>
              </c:numCache>
            </c:numRef>
          </c:cat>
          <c:val>
            <c:numRef>
              <c:f>qPCR_Unique!$O$3:$O$17</c:f>
              <c:numCache>
                <c:formatCode>0.000</c:formatCode>
                <c:ptCount val="15"/>
                <c:pt idx="0">
                  <c:v>3.1797940234756839</c:v>
                </c:pt>
                <c:pt idx="1">
                  <c:v>2.9491774059529887</c:v>
                </c:pt>
                <c:pt idx="2">
                  <c:v>3.2434645556811552</c:v>
                </c:pt>
                <c:pt idx="3">
                  <c:v>3.3151970568903897</c:v>
                </c:pt>
                <c:pt idx="4">
                  <c:v>2.8252048194210433</c:v>
                </c:pt>
                <c:pt idx="5">
                  <c:v>3.0816381264248243</c:v>
                </c:pt>
                <c:pt idx="6">
                  <c:v>3.0995905834804347</c:v>
                </c:pt>
                <c:pt idx="7">
                  <c:v>3.0227691938237178</c:v>
                </c:pt>
                <c:pt idx="8">
                  <c:v>3.048371497817886</c:v>
                </c:pt>
                <c:pt idx="9">
                  <c:v>2.6437438289589763</c:v>
                </c:pt>
                <c:pt idx="10">
                  <c:v>2.9565019022298489</c:v>
                </c:pt>
                <c:pt idx="11">
                  <c:v>3.4315718643235331</c:v>
                </c:pt>
                <c:pt idx="12">
                  <c:v>3.473547112131016</c:v>
                </c:pt>
                <c:pt idx="13">
                  <c:v>3.1710241715303273</c:v>
                </c:pt>
                <c:pt idx="14">
                  <c:v>3.2751356342848927</c:v>
                </c:pt>
              </c:numCache>
            </c:numRef>
          </c:val>
          <c:smooth val="0"/>
          <c:extLst>
            <c:ext xmlns:c16="http://schemas.microsoft.com/office/drawing/2014/chart" uri="{C3380CC4-5D6E-409C-BE32-E72D297353CC}">
              <c16:uniqueId val="{00000001-67C5-4B4F-86C2-4F8A7A4C0F8A}"/>
            </c:ext>
          </c:extLst>
        </c:ser>
        <c:ser>
          <c:idx val="1"/>
          <c:order val="2"/>
          <c:tx>
            <c:strRef>
              <c:f>qPCR_Unique!$Q$1</c:f>
              <c:strCache>
                <c:ptCount val="1"/>
                <c:pt idx="0">
                  <c:v>Pseudomonas</c:v>
                </c:pt>
              </c:strCache>
            </c:strRef>
          </c:tx>
          <c:spPr>
            <a:ln w="6350" cap="rnd">
              <a:solidFill>
                <a:srgbClr val="F014C8"/>
              </a:solidFill>
              <a:round/>
            </a:ln>
            <a:effectLst/>
          </c:spPr>
          <c:marker>
            <c:symbol val="square"/>
            <c:size val="6"/>
            <c:spPr>
              <a:solidFill>
                <a:srgbClr val="F014C8"/>
              </a:solidFill>
              <a:ln w="12700">
                <a:solidFill>
                  <a:srgbClr val="F014C8"/>
                </a:solidFill>
              </a:ln>
              <a:effectLst/>
            </c:spPr>
          </c:marker>
          <c:errBars>
            <c:errDir val="y"/>
            <c:errBarType val="both"/>
            <c:errValType val="cust"/>
            <c:noEndCap val="0"/>
            <c:plus>
              <c:numRef>
                <c:f>qPCR_Unique!$S$3:$S$17</c:f>
                <c:numCache>
                  <c:formatCode>General</c:formatCode>
                  <c:ptCount val="15"/>
                  <c:pt idx="0">
                    <c:v>0</c:v>
                  </c:pt>
                  <c:pt idx="1">
                    <c:v>0</c:v>
                  </c:pt>
                  <c:pt idx="2">
                    <c:v>0</c:v>
                  </c:pt>
                  <c:pt idx="3">
                    <c:v>0.2839570800170545</c:v>
                  </c:pt>
                  <c:pt idx="4">
                    <c:v>0.42524661129923802</c:v>
                  </c:pt>
                  <c:pt idx="5">
                    <c:v>0</c:v>
                  </c:pt>
                  <c:pt idx="6">
                    <c:v>0</c:v>
                  </c:pt>
                  <c:pt idx="7">
                    <c:v>0.43429448190325176</c:v>
                  </c:pt>
                  <c:pt idx="8">
                    <c:v>0.12931347079532557</c:v>
                  </c:pt>
                  <c:pt idx="9">
                    <c:v>0.43429448190325176</c:v>
                  </c:pt>
                  <c:pt idx="10">
                    <c:v>0.43429448190325176</c:v>
                  </c:pt>
                  <c:pt idx="11">
                    <c:v>0.43429448190325176</c:v>
                  </c:pt>
                  <c:pt idx="12">
                    <c:v>0</c:v>
                  </c:pt>
                  <c:pt idx="13">
                    <c:v>0</c:v>
                  </c:pt>
                  <c:pt idx="14">
                    <c:v>0.16585477011411723</c:v>
                  </c:pt>
                </c:numCache>
              </c:numRef>
            </c:plus>
            <c:minus>
              <c:numRef>
                <c:f>qPCR_Unique!$S$3:$S$17</c:f>
                <c:numCache>
                  <c:formatCode>General</c:formatCode>
                  <c:ptCount val="15"/>
                  <c:pt idx="0">
                    <c:v>0</c:v>
                  </c:pt>
                  <c:pt idx="1">
                    <c:v>0</c:v>
                  </c:pt>
                  <c:pt idx="2">
                    <c:v>0</c:v>
                  </c:pt>
                  <c:pt idx="3">
                    <c:v>0.2839570800170545</c:v>
                  </c:pt>
                  <c:pt idx="4">
                    <c:v>0.42524661129923802</c:v>
                  </c:pt>
                  <c:pt idx="5">
                    <c:v>0</c:v>
                  </c:pt>
                  <c:pt idx="6">
                    <c:v>0</c:v>
                  </c:pt>
                  <c:pt idx="7">
                    <c:v>0.43429448190325176</c:v>
                  </c:pt>
                  <c:pt idx="8">
                    <c:v>0.12931347079532557</c:v>
                  </c:pt>
                  <c:pt idx="9">
                    <c:v>0.43429448190325176</c:v>
                  </c:pt>
                  <c:pt idx="10">
                    <c:v>0.43429448190325176</c:v>
                  </c:pt>
                  <c:pt idx="11">
                    <c:v>0.43429448190325176</c:v>
                  </c:pt>
                  <c:pt idx="12">
                    <c:v>0</c:v>
                  </c:pt>
                  <c:pt idx="13">
                    <c:v>0</c:v>
                  </c:pt>
                  <c:pt idx="14">
                    <c:v>0.16585477011411723</c:v>
                  </c:pt>
                </c:numCache>
              </c:numRef>
            </c:minus>
            <c:spPr>
              <a:noFill/>
              <a:ln w="12700" cap="flat" cmpd="sng" algn="ctr">
                <a:solidFill>
                  <a:srgbClr val="F014C8"/>
                </a:solidFill>
                <a:round/>
              </a:ln>
              <a:effectLst/>
            </c:spPr>
          </c:errBars>
          <c:cat>
            <c:numRef>
              <c:f>qPCR_Unique!$G$3:$G$17</c:f>
              <c:numCache>
                <c:formatCode>mm/dd/yyyy</c:formatCode>
                <c:ptCount val="15"/>
                <c:pt idx="0">
                  <c:v>44335</c:v>
                </c:pt>
                <c:pt idx="1">
                  <c:v>44342</c:v>
                </c:pt>
                <c:pt idx="2">
                  <c:v>44350</c:v>
                </c:pt>
                <c:pt idx="3">
                  <c:v>44356</c:v>
                </c:pt>
                <c:pt idx="4">
                  <c:v>44363</c:v>
                </c:pt>
                <c:pt idx="5">
                  <c:v>44370</c:v>
                </c:pt>
                <c:pt idx="6">
                  <c:v>44377</c:v>
                </c:pt>
                <c:pt idx="7">
                  <c:v>44385</c:v>
                </c:pt>
                <c:pt idx="8">
                  <c:v>44391</c:v>
                </c:pt>
                <c:pt idx="9">
                  <c:v>44398</c:v>
                </c:pt>
                <c:pt idx="10">
                  <c:v>44405</c:v>
                </c:pt>
                <c:pt idx="11">
                  <c:v>44412</c:v>
                </c:pt>
                <c:pt idx="12">
                  <c:v>44419</c:v>
                </c:pt>
                <c:pt idx="13">
                  <c:v>44426</c:v>
                </c:pt>
                <c:pt idx="14">
                  <c:v>44433</c:v>
                </c:pt>
              </c:numCache>
            </c:numRef>
          </c:cat>
          <c:val>
            <c:numRef>
              <c:f>qPCR_Unique!$R$3:$R$17</c:f>
              <c:numCache>
                <c:formatCode>0.000</c:formatCode>
                <c:ptCount val="15"/>
                <c:pt idx="0">
                  <c:v>0</c:v>
                </c:pt>
                <c:pt idx="1">
                  <c:v>0</c:v>
                </c:pt>
                <c:pt idx="2">
                  <c:v>0</c:v>
                </c:pt>
                <c:pt idx="3">
                  <c:v>3.3597301399743871</c:v>
                </c:pt>
                <c:pt idx="4">
                  <c:v>7.3148056493421336</c:v>
                </c:pt>
                <c:pt idx="5">
                  <c:v>0</c:v>
                </c:pt>
                <c:pt idx="6">
                  <c:v>0</c:v>
                </c:pt>
                <c:pt idx="7">
                  <c:v>2.6702701838332747</c:v>
                </c:pt>
                <c:pt idx="8">
                  <c:v>3.06189652349555</c:v>
                </c:pt>
                <c:pt idx="9">
                  <c:v>4.2802806593803524</c:v>
                </c:pt>
                <c:pt idx="10">
                  <c:v>3.2648335664820296</c:v>
                </c:pt>
                <c:pt idx="11">
                  <c:v>2.5078973554355652</c:v>
                </c:pt>
                <c:pt idx="12">
                  <c:v>0</c:v>
                </c:pt>
                <c:pt idx="13">
                  <c:v>0</c:v>
                </c:pt>
                <c:pt idx="14">
                  <c:v>3.0698234944731251</c:v>
                </c:pt>
              </c:numCache>
            </c:numRef>
          </c:val>
          <c:smooth val="0"/>
          <c:extLst>
            <c:ext xmlns:c16="http://schemas.microsoft.com/office/drawing/2014/chart" uri="{C3380CC4-5D6E-409C-BE32-E72D297353CC}">
              <c16:uniqueId val="{00000003-67C5-4B4F-86C2-4F8A7A4C0F8A}"/>
            </c:ext>
          </c:extLst>
        </c:ser>
        <c:ser>
          <c:idx val="2"/>
          <c:order val="3"/>
          <c:tx>
            <c:strRef>
              <c:f>qPCR_Unique!$T$1</c:f>
              <c:strCache>
                <c:ptCount val="1"/>
                <c:pt idx="0">
                  <c:v>Vermamoeba vermiformis</c:v>
                </c:pt>
              </c:strCache>
            </c:strRef>
          </c:tx>
          <c:spPr>
            <a:ln w="6350" cap="rnd">
              <a:solidFill>
                <a:srgbClr val="3CE63C"/>
              </a:solidFill>
              <a:round/>
            </a:ln>
            <a:effectLst/>
          </c:spPr>
          <c:marker>
            <c:symbol val="square"/>
            <c:size val="6"/>
            <c:spPr>
              <a:noFill/>
              <a:ln w="12700">
                <a:solidFill>
                  <a:srgbClr val="3CE63C"/>
                </a:solidFill>
              </a:ln>
              <a:effectLst/>
            </c:spPr>
          </c:marker>
          <c:errBars>
            <c:errDir val="y"/>
            <c:errBarType val="both"/>
            <c:errValType val="cust"/>
            <c:noEndCap val="0"/>
            <c:plus>
              <c:numRef>
                <c:f>qPCR_Unique!$V$3:$V$17</c:f>
                <c:numCache>
                  <c:formatCode>General</c:formatCode>
                  <c:ptCount val="15"/>
                  <c:pt idx="0">
                    <c:v>0</c:v>
                  </c:pt>
                  <c:pt idx="1">
                    <c:v>0.11642705313480027</c:v>
                  </c:pt>
                  <c:pt idx="2">
                    <c:v>0.43429448190325176</c:v>
                  </c:pt>
                  <c:pt idx="3">
                    <c:v>0</c:v>
                  </c:pt>
                  <c:pt idx="4">
                    <c:v>0.43429448190325171</c:v>
                  </c:pt>
                  <c:pt idx="5">
                    <c:v>0.13701356553114208</c:v>
                  </c:pt>
                  <c:pt idx="6">
                    <c:v>0.43429448190325171</c:v>
                  </c:pt>
                  <c:pt idx="7">
                    <c:v>0</c:v>
                  </c:pt>
                  <c:pt idx="8">
                    <c:v>0.1229186537572927</c:v>
                  </c:pt>
                  <c:pt idx="9">
                    <c:v>0</c:v>
                  </c:pt>
                  <c:pt idx="10">
                    <c:v>0.43429448190325171</c:v>
                  </c:pt>
                  <c:pt idx="11">
                    <c:v>0</c:v>
                  </c:pt>
                  <c:pt idx="12">
                    <c:v>0.43429448190325176</c:v>
                  </c:pt>
                  <c:pt idx="13">
                    <c:v>0.43429448190325176</c:v>
                  </c:pt>
                  <c:pt idx="14">
                    <c:v>0</c:v>
                  </c:pt>
                </c:numCache>
              </c:numRef>
            </c:plus>
            <c:minus>
              <c:numRef>
                <c:f>qPCR_Unique!$V$3:$V$17</c:f>
                <c:numCache>
                  <c:formatCode>General</c:formatCode>
                  <c:ptCount val="15"/>
                  <c:pt idx="0">
                    <c:v>0</c:v>
                  </c:pt>
                  <c:pt idx="1">
                    <c:v>0.11642705313480027</c:v>
                  </c:pt>
                  <c:pt idx="2">
                    <c:v>0.43429448190325176</c:v>
                  </c:pt>
                  <c:pt idx="3">
                    <c:v>0</c:v>
                  </c:pt>
                  <c:pt idx="4">
                    <c:v>0.43429448190325171</c:v>
                  </c:pt>
                  <c:pt idx="5">
                    <c:v>0.13701356553114208</c:v>
                  </c:pt>
                  <c:pt idx="6">
                    <c:v>0.43429448190325171</c:v>
                  </c:pt>
                  <c:pt idx="7">
                    <c:v>0</c:v>
                  </c:pt>
                  <c:pt idx="8">
                    <c:v>0.1229186537572927</c:v>
                  </c:pt>
                  <c:pt idx="9">
                    <c:v>0</c:v>
                  </c:pt>
                  <c:pt idx="10">
                    <c:v>0.43429448190325171</c:v>
                  </c:pt>
                  <c:pt idx="11">
                    <c:v>0</c:v>
                  </c:pt>
                  <c:pt idx="12">
                    <c:v>0.43429448190325176</c:v>
                  </c:pt>
                  <c:pt idx="13">
                    <c:v>0.43429448190325176</c:v>
                  </c:pt>
                  <c:pt idx="14">
                    <c:v>0</c:v>
                  </c:pt>
                </c:numCache>
              </c:numRef>
            </c:minus>
            <c:spPr>
              <a:noFill/>
              <a:ln w="12700" cap="flat" cmpd="sng" algn="ctr">
                <a:solidFill>
                  <a:srgbClr val="3CE63C"/>
                </a:solidFill>
                <a:round/>
              </a:ln>
              <a:effectLst/>
            </c:spPr>
          </c:errBars>
          <c:cat>
            <c:numRef>
              <c:f>qPCR_Unique!$G$3:$G$17</c:f>
              <c:numCache>
                <c:formatCode>mm/dd/yyyy</c:formatCode>
                <c:ptCount val="15"/>
                <c:pt idx="0">
                  <c:v>44335</c:v>
                </c:pt>
                <c:pt idx="1">
                  <c:v>44342</c:v>
                </c:pt>
                <c:pt idx="2">
                  <c:v>44350</c:v>
                </c:pt>
                <c:pt idx="3">
                  <c:v>44356</c:v>
                </c:pt>
                <c:pt idx="4">
                  <c:v>44363</c:v>
                </c:pt>
                <c:pt idx="5">
                  <c:v>44370</c:v>
                </c:pt>
                <c:pt idx="6">
                  <c:v>44377</c:v>
                </c:pt>
                <c:pt idx="7">
                  <c:v>44385</c:v>
                </c:pt>
                <c:pt idx="8">
                  <c:v>44391</c:v>
                </c:pt>
                <c:pt idx="9">
                  <c:v>44398</c:v>
                </c:pt>
                <c:pt idx="10">
                  <c:v>44405</c:v>
                </c:pt>
                <c:pt idx="11">
                  <c:v>44412</c:v>
                </c:pt>
                <c:pt idx="12">
                  <c:v>44419</c:v>
                </c:pt>
                <c:pt idx="13">
                  <c:v>44426</c:v>
                </c:pt>
                <c:pt idx="14">
                  <c:v>44433</c:v>
                </c:pt>
              </c:numCache>
            </c:numRef>
          </c:cat>
          <c:val>
            <c:numRef>
              <c:f>qPCR_Unique!$U$3:$U$17</c:f>
              <c:numCache>
                <c:formatCode>0.000</c:formatCode>
                <c:ptCount val="15"/>
                <c:pt idx="0">
                  <c:v>0</c:v>
                </c:pt>
                <c:pt idx="1">
                  <c:v>2.1604990068941463</c:v>
                </c:pt>
                <c:pt idx="2">
                  <c:v>2.7440271514333912</c:v>
                </c:pt>
                <c:pt idx="3">
                  <c:v>0</c:v>
                </c:pt>
                <c:pt idx="4">
                  <c:v>2.7622840466805152</c:v>
                </c:pt>
                <c:pt idx="5">
                  <c:v>2.831351610048888</c:v>
                </c:pt>
                <c:pt idx="6">
                  <c:v>2.1553193673056121</c:v>
                </c:pt>
                <c:pt idx="7">
                  <c:v>0</c:v>
                </c:pt>
                <c:pt idx="8">
                  <c:v>2.3526606607367042</c:v>
                </c:pt>
                <c:pt idx="9">
                  <c:v>0</c:v>
                </c:pt>
                <c:pt idx="10">
                  <c:v>3.0906484876986329</c:v>
                </c:pt>
                <c:pt idx="11">
                  <c:v>0</c:v>
                </c:pt>
                <c:pt idx="12">
                  <c:v>1.8080680376038922</c:v>
                </c:pt>
                <c:pt idx="13">
                  <c:v>2.0048199947937011</c:v>
                </c:pt>
                <c:pt idx="14">
                  <c:v>0</c:v>
                </c:pt>
              </c:numCache>
            </c:numRef>
          </c:val>
          <c:smooth val="0"/>
          <c:extLst>
            <c:ext xmlns:c16="http://schemas.microsoft.com/office/drawing/2014/chart" uri="{C3380CC4-5D6E-409C-BE32-E72D297353CC}">
              <c16:uniqueId val="{00000004-67C5-4B4F-86C2-4F8A7A4C0F8A}"/>
            </c:ext>
          </c:extLst>
        </c:ser>
        <c:ser>
          <c:idx val="4"/>
          <c:order val="4"/>
          <c:tx>
            <c:strRef>
              <c:f>qPCR_Unique!$W$1</c:f>
              <c:strCache>
                <c:ptCount val="1"/>
                <c:pt idx="0">
                  <c:v>Summed OP</c:v>
                </c:pt>
              </c:strCache>
            </c:strRef>
          </c:tx>
          <c:spPr>
            <a:ln w="6350" cap="rnd">
              <a:solidFill>
                <a:srgbClr val="28C8C8"/>
              </a:solidFill>
              <a:round/>
            </a:ln>
            <a:effectLst/>
          </c:spPr>
          <c:marker>
            <c:symbol val="diamond"/>
            <c:size val="12"/>
            <c:spPr>
              <a:noFill/>
              <a:ln w="12700">
                <a:solidFill>
                  <a:srgbClr val="28C8C8"/>
                </a:solidFill>
              </a:ln>
              <a:effectLst/>
            </c:spPr>
          </c:marker>
          <c:cat>
            <c:numRef>
              <c:f>qPCR_Unique!$G$3:$G$17</c:f>
              <c:numCache>
                <c:formatCode>mm/dd/yyyy</c:formatCode>
                <c:ptCount val="15"/>
                <c:pt idx="0">
                  <c:v>44335</c:v>
                </c:pt>
                <c:pt idx="1">
                  <c:v>44342</c:v>
                </c:pt>
                <c:pt idx="2">
                  <c:v>44350</c:v>
                </c:pt>
                <c:pt idx="3">
                  <c:v>44356</c:v>
                </c:pt>
                <c:pt idx="4">
                  <c:v>44363</c:v>
                </c:pt>
                <c:pt idx="5">
                  <c:v>44370</c:v>
                </c:pt>
                <c:pt idx="6">
                  <c:v>44377</c:v>
                </c:pt>
                <c:pt idx="7">
                  <c:v>44385</c:v>
                </c:pt>
                <c:pt idx="8">
                  <c:v>44391</c:v>
                </c:pt>
                <c:pt idx="9">
                  <c:v>44398</c:v>
                </c:pt>
                <c:pt idx="10">
                  <c:v>44405</c:v>
                </c:pt>
                <c:pt idx="11">
                  <c:v>44412</c:v>
                </c:pt>
                <c:pt idx="12">
                  <c:v>44419</c:v>
                </c:pt>
                <c:pt idx="13">
                  <c:v>44426</c:v>
                </c:pt>
                <c:pt idx="14">
                  <c:v>44433</c:v>
                </c:pt>
              </c:numCache>
            </c:numRef>
          </c:cat>
          <c:val>
            <c:numRef>
              <c:f>qPCR_Unique!$X$3:$X$17</c:f>
              <c:numCache>
                <c:formatCode>0.000</c:formatCode>
                <c:ptCount val="15"/>
                <c:pt idx="0">
                  <c:v>4.7352302561231019</c:v>
                </c:pt>
                <c:pt idx="1">
                  <c:v>4.4159298260944944</c:v>
                </c:pt>
                <c:pt idx="2">
                  <c:v>4.0243089142143083</c:v>
                </c:pt>
                <c:pt idx="3">
                  <c:v>4.2873068489727197</c:v>
                </c:pt>
                <c:pt idx="4">
                  <c:v>7.3148318841855584</c:v>
                </c:pt>
                <c:pt idx="5">
                  <c:v>3.8473453486612756</c:v>
                </c:pt>
                <c:pt idx="6">
                  <c:v>3.6249696603768022</c:v>
                </c:pt>
                <c:pt idx="7">
                  <c:v>3.6824338096107176</c:v>
                </c:pt>
                <c:pt idx="8">
                  <c:v>3.7544386541667936</c:v>
                </c:pt>
                <c:pt idx="9">
                  <c:v>4.4395837599444574</c:v>
                </c:pt>
                <c:pt idx="10">
                  <c:v>4.7920588152224175</c:v>
                </c:pt>
                <c:pt idx="11">
                  <c:v>3.9112367497031117</c:v>
                </c:pt>
                <c:pt idx="12">
                  <c:v>3.7086422698680894</c:v>
                </c:pt>
                <c:pt idx="13">
                  <c:v>4.9720302285741473</c:v>
                </c:pt>
                <c:pt idx="14">
                  <c:v>3.6567643468940103</c:v>
                </c:pt>
              </c:numCache>
            </c:numRef>
          </c:val>
          <c:smooth val="0"/>
          <c:extLst>
            <c:ext xmlns:c16="http://schemas.microsoft.com/office/drawing/2014/chart" uri="{C3380CC4-5D6E-409C-BE32-E72D297353CC}">
              <c16:uniqueId val="{00000005-67C5-4B4F-86C2-4F8A7A4C0F8A}"/>
            </c:ext>
          </c:extLst>
        </c:ser>
        <c:dLbls>
          <c:showLegendKey val="0"/>
          <c:showVal val="0"/>
          <c:showCatName val="0"/>
          <c:showSerName val="0"/>
          <c:showPercent val="0"/>
          <c:showBubbleSize val="0"/>
        </c:dLbls>
        <c:marker val="1"/>
        <c:smooth val="0"/>
        <c:axId val="403941288"/>
        <c:axId val="403917672"/>
      </c:lineChart>
      <c:lineChart>
        <c:grouping val="standard"/>
        <c:varyColors val="0"/>
        <c:ser>
          <c:idx val="5"/>
          <c:order val="5"/>
          <c:tx>
            <c:strRef>
              <c:f>qPCR_Unique!$H$1</c:f>
              <c:strCache>
                <c:ptCount val="1"/>
                <c:pt idx="0">
                  <c:v>Total bacteria</c:v>
                </c:pt>
              </c:strCache>
            </c:strRef>
          </c:tx>
          <c:spPr>
            <a:ln w="6350" cap="rnd">
              <a:solidFill>
                <a:schemeClr val="tx1"/>
              </a:solidFill>
              <a:round/>
            </a:ln>
            <a:effectLst/>
          </c:spPr>
          <c:marker>
            <c:symbol val="triangle"/>
            <c:size val="8"/>
            <c:spPr>
              <a:noFill/>
              <a:ln w="12700">
                <a:solidFill>
                  <a:schemeClr val="tx1"/>
                </a:solidFill>
              </a:ln>
              <a:effectLst/>
            </c:spPr>
          </c:marker>
          <c:errBars>
            <c:errDir val="y"/>
            <c:errBarType val="both"/>
            <c:errValType val="cust"/>
            <c:noEndCap val="0"/>
            <c:plus>
              <c:numRef>
                <c:f>qPCR_Unique!$J$3:$J$17</c:f>
                <c:numCache>
                  <c:formatCode>General</c:formatCode>
                  <c:ptCount val="15"/>
                  <c:pt idx="0">
                    <c:v>2.3035436250220781E-2</c:v>
                  </c:pt>
                  <c:pt idx="1">
                    <c:v>2.6457692832264634E-2</c:v>
                  </c:pt>
                  <c:pt idx="2">
                    <c:v>1.4858055983854399E-2</c:v>
                  </c:pt>
                  <c:pt idx="3">
                    <c:v>4.3285714611350855E-2</c:v>
                  </c:pt>
                  <c:pt idx="4">
                    <c:v>0.25898988519193905</c:v>
                  </c:pt>
                  <c:pt idx="5">
                    <c:v>4.073939284282424E-2</c:v>
                  </c:pt>
                  <c:pt idx="6">
                    <c:v>0</c:v>
                  </c:pt>
                  <c:pt idx="7">
                    <c:v>0.16523932968123001</c:v>
                  </c:pt>
                  <c:pt idx="8">
                    <c:v>3.4155392929378178E-2</c:v>
                  </c:pt>
                  <c:pt idx="9">
                    <c:v>0.43429448190325176</c:v>
                  </c:pt>
                  <c:pt idx="10">
                    <c:v>0.239039168598596</c:v>
                  </c:pt>
                  <c:pt idx="11">
                    <c:v>0.19902192501199695</c:v>
                  </c:pt>
                  <c:pt idx="12">
                    <c:v>0.20684816913427523</c:v>
                  </c:pt>
                  <c:pt idx="13">
                    <c:v>1.2995977104818765E-2</c:v>
                  </c:pt>
                  <c:pt idx="14">
                    <c:v>0.26900712822646244</c:v>
                  </c:pt>
                </c:numCache>
              </c:numRef>
            </c:plus>
            <c:minus>
              <c:numRef>
                <c:f>qPCR_Unique!$J$3:$J$17</c:f>
                <c:numCache>
                  <c:formatCode>General</c:formatCode>
                  <c:ptCount val="15"/>
                  <c:pt idx="0">
                    <c:v>2.3035436250220781E-2</c:v>
                  </c:pt>
                  <c:pt idx="1">
                    <c:v>2.6457692832264634E-2</c:v>
                  </c:pt>
                  <c:pt idx="2">
                    <c:v>1.4858055983854399E-2</c:v>
                  </c:pt>
                  <c:pt idx="3">
                    <c:v>4.3285714611350855E-2</c:v>
                  </c:pt>
                  <c:pt idx="4">
                    <c:v>0.25898988519193905</c:v>
                  </c:pt>
                  <c:pt idx="5">
                    <c:v>4.073939284282424E-2</c:v>
                  </c:pt>
                  <c:pt idx="6">
                    <c:v>0</c:v>
                  </c:pt>
                  <c:pt idx="7">
                    <c:v>0.16523932968123001</c:v>
                  </c:pt>
                  <c:pt idx="8">
                    <c:v>3.4155392929378178E-2</c:v>
                  </c:pt>
                  <c:pt idx="9">
                    <c:v>0.43429448190325176</c:v>
                  </c:pt>
                  <c:pt idx="10">
                    <c:v>0.239039168598596</c:v>
                  </c:pt>
                  <c:pt idx="11">
                    <c:v>0.19902192501199695</c:v>
                  </c:pt>
                  <c:pt idx="12">
                    <c:v>0.20684816913427523</c:v>
                  </c:pt>
                  <c:pt idx="13">
                    <c:v>1.2995977104818765E-2</c:v>
                  </c:pt>
                  <c:pt idx="14">
                    <c:v>0.26900712822646244</c:v>
                  </c:pt>
                </c:numCache>
              </c:numRef>
            </c:minus>
            <c:spPr>
              <a:noFill/>
              <a:ln w="12700" cap="flat" cmpd="sng" algn="ctr">
                <a:solidFill>
                  <a:schemeClr val="tx1"/>
                </a:solidFill>
                <a:round/>
              </a:ln>
              <a:effectLst/>
            </c:spPr>
          </c:errBars>
          <c:cat>
            <c:numRef>
              <c:f>qPCR_Unique!$G$3:$G$17</c:f>
              <c:numCache>
                <c:formatCode>mm/dd/yyyy</c:formatCode>
                <c:ptCount val="15"/>
                <c:pt idx="0">
                  <c:v>44335</c:v>
                </c:pt>
                <c:pt idx="1">
                  <c:v>44342</c:v>
                </c:pt>
                <c:pt idx="2">
                  <c:v>44350</c:v>
                </c:pt>
                <c:pt idx="3">
                  <c:v>44356</c:v>
                </c:pt>
                <c:pt idx="4">
                  <c:v>44363</c:v>
                </c:pt>
                <c:pt idx="5">
                  <c:v>44370</c:v>
                </c:pt>
                <c:pt idx="6">
                  <c:v>44377</c:v>
                </c:pt>
                <c:pt idx="7">
                  <c:v>44385</c:v>
                </c:pt>
                <c:pt idx="8">
                  <c:v>44391</c:v>
                </c:pt>
                <c:pt idx="9">
                  <c:v>44398</c:v>
                </c:pt>
                <c:pt idx="10">
                  <c:v>44405</c:v>
                </c:pt>
                <c:pt idx="11">
                  <c:v>44412</c:v>
                </c:pt>
                <c:pt idx="12">
                  <c:v>44419</c:v>
                </c:pt>
                <c:pt idx="13">
                  <c:v>44426</c:v>
                </c:pt>
                <c:pt idx="14">
                  <c:v>44433</c:v>
                </c:pt>
              </c:numCache>
            </c:numRef>
          </c:cat>
          <c:val>
            <c:numRef>
              <c:f>qPCR_Unique!$I$3:$I$17</c:f>
              <c:numCache>
                <c:formatCode>0.000</c:formatCode>
                <c:ptCount val="15"/>
                <c:pt idx="0">
                  <c:v>7.5073779335749142</c:v>
                </c:pt>
                <c:pt idx="1">
                  <c:v>7.4305880117388243</c:v>
                </c:pt>
                <c:pt idx="2">
                  <c:v>7.2010631024471907</c:v>
                </c:pt>
                <c:pt idx="3">
                  <c:v>7.5775594003841169</c:v>
                </c:pt>
                <c:pt idx="4">
                  <c:v>8.9201125773878598</c:v>
                </c:pt>
                <c:pt idx="5">
                  <c:v>7.384134194520211</c:v>
                </c:pt>
                <c:pt idx="6">
                  <c:v>6.6706494925420223</c:v>
                </c:pt>
                <c:pt idx="7">
                  <c:v>7.8312300053910073</c:v>
                </c:pt>
                <c:pt idx="8">
                  <c:v>6.9792893794204227</c:v>
                </c:pt>
                <c:pt idx="9">
                  <c:v>7.1243260630757259</c:v>
                </c:pt>
                <c:pt idx="10">
                  <c:v>7.4432373448654072</c:v>
                </c:pt>
                <c:pt idx="11">
                  <c:v>7.548210102201657</c:v>
                </c:pt>
                <c:pt idx="12">
                  <c:v>7.4768331624978526</c:v>
                </c:pt>
                <c:pt idx="13">
                  <c:v>7.4727366054879463</c:v>
                </c:pt>
                <c:pt idx="14">
                  <c:v>7.1744460476783178</c:v>
                </c:pt>
              </c:numCache>
            </c:numRef>
          </c:val>
          <c:smooth val="0"/>
          <c:extLst>
            <c:ext xmlns:c16="http://schemas.microsoft.com/office/drawing/2014/chart" uri="{C3380CC4-5D6E-409C-BE32-E72D297353CC}">
              <c16:uniqueId val="{00000006-67C5-4B4F-86C2-4F8A7A4C0F8A}"/>
            </c:ext>
          </c:extLst>
        </c:ser>
        <c:dLbls>
          <c:showLegendKey val="0"/>
          <c:showVal val="0"/>
          <c:showCatName val="0"/>
          <c:showSerName val="0"/>
          <c:showPercent val="0"/>
          <c:showBubbleSize val="0"/>
        </c:dLbls>
        <c:marker val="1"/>
        <c:smooth val="0"/>
        <c:axId val="803049488"/>
        <c:axId val="803055720"/>
      </c:lineChart>
      <c:dateAx>
        <c:axId val="403941288"/>
        <c:scaling>
          <c:orientation val="minMax"/>
          <c:max val="44434"/>
          <c:min val="44334"/>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Sampling times--</a:t>
                </a:r>
                <a:r>
                  <a:rPr lang="en-US" b="1">
                    <a:solidFill>
                      <a:srgbClr val="FF0000"/>
                    </a:solidFill>
                  </a:rPr>
                  <a:t>EP</a:t>
                </a:r>
              </a:p>
            </c:rich>
          </c:tx>
          <c:layout>
            <c:manualLayout>
              <c:xMode val="edge"/>
              <c:yMode val="edge"/>
              <c:x val="0.39785997109175708"/>
              <c:y val="0.94951730232117781"/>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mm/dd/yyyy" sourceLinked="1"/>
        <c:majorTickMark val="out"/>
        <c:minorTickMark val="in"/>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03917672"/>
        <c:crosses val="autoZero"/>
        <c:auto val="1"/>
        <c:lblOffset val="100"/>
        <c:baseTimeUnit val="days"/>
        <c:majorUnit val="10"/>
        <c:majorTimeUnit val="days"/>
        <c:minorUnit val="5"/>
        <c:minorTimeUnit val="days"/>
      </c:dateAx>
      <c:valAx>
        <c:axId val="403917672"/>
        <c:scaling>
          <c:orientation val="minMax"/>
          <c:max val="8"/>
          <c:min val="0"/>
        </c:scaling>
        <c:delete val="0"/>
        <c:axPos val="l"/>
        <c:majorGridlines>
          <c:spPr>
            <a:ln w="1270" cap="flat" cmpd="sng" algn="ctr">
              <a:solidFill>
                <a:schemeClr val="tx1"/>
              </a:solidFill>
              <a:prstDash val="solid"/>
              <a:round/>
            </a:ln>
            <a:effectLst/>
          </c:spPr>
        </c:majorGridlines>
        <c:minorGridlines>
          <c:spPr>
            <a:ln w="1270" cap="flat" cmpd="sng" algn="ctr">
              <a:solidFill>
                <a:schemeClr val="bg2">
                  <a:lumMod val="90000"/>
                </a:schemeClr>
              </a:solidFill>
              <a:prstDash val="dash"/>
              <a:round/>
            </a:ln>
            <a:effectLst/>
          </c:spPr>
        </c:min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sz="1200" b="0" i="0" baseline="0">
                    <a:effectLst/>
                  </a:rPr>
                  <a:t>log</a:t>
                </a:r>
                <a:r>
                  <a:rPr lang="en-US" sz="1200" b="0" i="0" baseline="-25000">
                    <a:effectLst/>
                  </a:rPr>
                  <a:t>10</a:t>
                </a:r>
                <a:r>
                  <a:rPr lang="en-US" sz="1200" b="0" i="0" baseline="0">
                    <a:effectLst/>
                  </a:rPr>
                  <a:t>[OP (GCN·L</a:t>
                </a:r>
                <a:r>
                  <a:rPr lang="en-US" sz="1200" b="0" i="0" baseline="30000">
                    <a:effectLst/>
                  </a:rPr>
                  <a:t>-1</a:t>
                </a:r>
                <a:r>
                  <a:rPr lang="en-US" sz="1200" b="0" i="0" baseline="0">
                    <a:effectLst/>
                  </a:rPr>
                  <a:t>)]</a:t>
                </a:r>
                <a:endParaRPr lang="en-US" sz="1200">
                  <a:effectLst/>
                </a:endParaRPr>
              </a:p>
            </c:rich>
          </c:tx>
          <c:layout>
            <c:manualLayout>
              <c:xMode val="edge"/>
              <c:yMode val="edge"/>
              <c:x val="6.5976053561081385E-5"/>
              <c:y val="0.2827105058966991"/>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0" sourceLinked="0"/>
        <c:majorTickMark val="out"/>
        <c:minorTickMark val="in"/>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03941288"/>
        <c:crosses val="autoZero"/>
        <c:crossBetween val="between"/>
        <c:majorUnit val="2"/>
        <c:minorUnit val="0.5"/>
      </c:valAx>
      <c:valAx>
        <c:axId val="803055720"/>
        <c:scaling>
          <c:orientation val="minMax"/>
          <c:max val="9.1999999999999993"/>
          <c:min val="6.5"/>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sz="1200" b="0" i="0" baseline="0">
                    <a:effectLst/>
                  </a:rPr>
                  <a:t>log</a:t>
                </a:r>
                <a:r>
                  <a:rPr lang="en-US" sz="1200" b="0" i="0" baseline="-25000">
                    <a:effectLst/>
                  </a:rPr>
                  <a:t>10</a:t>
                </a:r>
                <a:r>
                  <a:rPr lang="en-US" sz="1200" b="0" i="0" baseline="0">
                    <a:effectLst/>
                  </a:rPr>
                  <a:t>[Total bacteria (GCN·L</a:t>
                </a:r>
                <a:r>
                  <a:rPr lang="en-US" sz="1200" b="0" i="0" baseline="30000">
                    <a:effectLst/>
                  </a:rPr>
                  <a:t>-1</a:t>
                </a:r>
                <a:r>
                  <a:rPr lang="en-US" sz="1200" b="0" i="0" baseline="0">
                    <a:effectLst/>
                  </a:rPr>
                  <a:t>)]</a:t>
                </a:r>
                <a:endParaRPr lang="en-US" sz="1200">
                  <a:effectLst/>
                </a:endParaRPr>
              </a:p>
            </c:rich>
          </c:tx>
          <c:layout>
            <c:manualLayout>
              <c:xMode val="edge"/>
              <c:yMode val="edge"/>
              <c:x val="0.95664193998920155"/>
              <c:y val="0.20690728939384437"/>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0" sourceLinked="0"/>
        <c:majorTickMark val="out"/>
        <c:minorTickMark val="in"/>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803049488"/>
        <c:crosses val="max"/>
        <c:crossBetween val="between"/>
        <c:minorUnit val="0.25"/>
      </c:valAx>
      <c:dateAx>
        <c:axId val="803049488"/>
        <c:scaling>
          <c:orientation val="minMax"/>
        </c:scaling>
        <c:delete val="1"/>
        <c:axPos val="b"/>
        <c:numFmt formatCode="mm/dd/yyyy" sourceLinked="1"/>
        <c:majorTickMark val="out"/>
        <c:minorTickMark val="none"/>
        <c:tickLblPos val="nextTo"/>
        <c:crossAx val="803055720"/>
        <c:crosses val="autoZero"/>
        <c:auto val="1"/>
        <c:lblOffset val="100"/>
        <c:baseTimeUnit val="days"/>
        <c:majorUnit val="1"/>
        <c:minorUnit val="1"/>
      </c:dateAx>
      <c:spPr>
        <a:noFill/>
        <a:ln w="19050">
          <a:solidFill>
            <a:schemeClr val="tx1"/>
          </a:solidFill>
        </a:ln>
        <a:effectLst/>
      </c:spPr>
    </c:plotArea>
    <c:legend>
      <c:legendPos val="r"/>
      <c:legendEntry>
        <c:idx val="0"/>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Entry>
      <c:layout>
        <c:manualLayout>
          <c:xMode val="edge"/>
          <c:yMode val="edge"/>
          <c:x val="0.53575933975500245"/>
          <c:y val="4.7753718475694783E-2"/>
          <c:w val="0.31765286524120145"/>
          <c:h val="0.23454100776731437"/>
        </c:manualLayout>
      </c:layout>
      <c:overlay val="0"/>
      <c:spPr>
        <a:solidFill>
          <a:schemeClr val="bg1"/>
        </a:solid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04646"/>
      </a:solid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13278008298755"/>
          <c:y val="3.6235046109691547E-2"/>
          <c:w val="0.77921161825726137"/>
          <c:h val="0.75850914427279748"/>
        </c:manualLayout>
      </c:layout>
      <c:lineChart>
        <c:grouping val="standard"/>
        <c:varyColors val="0"/>
        <c:ser>
          <c:idx val="3"/>
          <c:order val="0"/>
          <c:tx>
            <c:v>Free chlorine</c:v>
          </c:tx>
          <c:spPr>
            <a:ln w="6350" cap="rnd">
              <a:solidFill>
                <a:srgbClr val="F04646"/>
              </a:solidFill>
              <a:round/>
            </a:ln>
            <a:effectLst/>
          </c:spPr>
          <c:marker>
            <c:symbol val="circle"/>
            <c:size val="6"/>
            <c:spPr>
              <a:solidFill>
                <a:srgbClr val="F04646"/>
              </a:solidFill>
              <a:ln w="12700">
                <a:solidFill>
                  <a:srgbClr val="F04646"/>
                </a:solidFill>
              </a:ln>
              <a:effectLst/>
            </c:spPr>
          </c:marker>
          <c:cat>
            <c:numRef>
              <c:f>Physicochemical_Managed!$O$40:$O$57</c:f>
              <c:numCache>
                <c:formatCode>mm/dd/yyyy</c:formatCode>
                <c:ptCount val="18"/>
                <c:pt idx="0">
                  <c:v>44294</c:v>
                </c:pt>
                <c:pt idx="1">
                  <c:v>44306</c:v>
                </c:pt>
                <c:pt idx="2">
                  <c:v>44313</c:v>
                </c:pt>
                <c:pt idx="3">
                  <c:v>44320</c:v>
                </c:pt>
                <c:pt idx="4">
                  <c:v>44327</c:v>
                </c:pt>
                <c:pt idx="5">
                  <c:v>44335</c:v>
                </c:pt>
                <c:pt idx="6">
                  <c:v>44342</c:v>
                </c:pt>
                <c:pt idx="7">
                  <c:v>44356</c:v>
                </c:pt>
                <c:pt idx="8">
                  <c:v>44370</c:v>
                </c:pt>
                <c:pt idx="9">
                  <c:v>44377</c:v>
                </c:pt>
                <c:pt idx="10">
                  <c:v>44385</c:v>
                </c:pt>
                <c:pt idx="11">
                  <c:v>44391</c:v>
                </c:pt>
                <c:pt idx="12">
                  <c:v>44398</c:v>
                </c:pt>
                <c:pt idx="13">
                  <c:v>44405</c:v>
                </c:pt>
                <c:pt idx="14">
                  <c:v>44412</c:v>
                </c:pt>
                <c:pt idx="15">
                  <c:v>44419</c:v>
                </c:pt>
                <c:pt idx="16">
                  <c:v>44426</c:v>
                </c:pt>
                <c:pt idx="17">
                  <c:v>44433</c:v>
                </c:pt>
              </c:numCache>
            </c:numRef>
          </c:cat>
          <c:val>
            <c:numRef>
              <c:f>Physicochemical_Managed!$S$40:$S$57</c:f>
              <c:numCache>
                <c:formatCode>0.000</c:formatCode>
                <c:ptCount val="18"/>
                <c:pt idx="0">
                  <c:v>1.0133333333333334</c:v>
                </c:pt>
                <c:pt idx="1">
                  <c:v>2.77</c:v>
                </c:pt>
                <c:pt idx="2">
                  <c:v>0.21</c:v>
                </c:pt>
                <c:pt idx="3">
                  <c:v>0.08</c:v>
                </c:pt>
                <c:pt idx="4">
                  <c:v>0.09</c:v>
                </c:pt>
                <c:pt idx="5">
                  <c:v>0.11</c:v>
                </c:pt>
                <c:pt idx="6">
                  <c:v>0.09</c:v>
                </c:pt>
                <c:pt idx="7">
                  <c:v>0.09</c:v>
                </c:pt>
                <c:pt idx="8">
                  <c:v>2.68</c:v>
                </c:pt>
                <c:pt idx="9">
                  <c:v>2.52</c:v>
                </c:pt>
                <c:pt idx="10">
                  <c:v>2.35</c:v>
                </c:pt>
                <c:pt idx="11">
                  <c:v>2.52</c:v>
                </c:pt>
                <c:pt idx="12">
                  <c:v>2.39</c:v>
                </c:pt>
                <c:pt idx="13">
                  <c:v>0.05</c:v>
                </c:pt>
                <c:pt idx="14">
                  <c:v>0.1</c:v>
                </c:pt>
                <c:pt idx="15">
                  <c:v>0.11</c:v>
                </c:pt>
                <c:pt idx="16">
                  <c:v>0.09</c:v>
                </c:pt>
                <c:pt idx="17">
                  <c:v>0.08</c:v>
                </c:pt>
              </c:numCache>
            </c:numRef>
          </c:val>
          <c:smooth val="0"/>
          <c:extLst>
            <c:ext xmlns:c16="http://schemas.microsoft.com/office/drawing/2014/chart" uri="{C3380CC4-5D6E-409C-BE32-E72D297353CC}">
              <c16:uniqueId val="{00000000-FD78-4E6C-85B2-B9178B1C86E5}"/>
            </c:ext>
          </c:extLst>
        </c:ser>
        <c:ser>
          <c:idx val="0"/>
          <c:order val="1"/>
          <c:tx>
            <c:v>Monochloramine</c:v>
          </c:tx>
          <c:spPr>
            <a:ln w="6350" cap="rnd">
              <a:solidFill>
                <a:srgbClr val="5064E6"/>
              </a:solidFill>
              <a:round/>
            </a:ln>
            <a:effectLst/>
          </c:spPr>
          <c:marker>
            <c:symbol val="circle"/>
            <c:size val="6"/>
            <c:spPr>
              <a:noFill/>
              <a:ln w="12700">
                <a:solidFill>
                  <a:srgbClr val="5064E6">
                    <a:alpha val="95000"/>
                  </a:srgbClr>
                </a:solidFill>
              </a:ln>
              <a:effectLst/>
            </c:spPr>
          </c:marker>
          <c:cat>
            <c:numRef>
              <c:f>Physicochemical_Managed!$O$40:$O$57</c:f>
              <c:numCache>
                <c:formatCode>mm/dd/yyyy</c:formatCode>
                <c:ptCount val="18"/>
                <c:pt idx="0">
                  <c:v>44294</c:v>
                </c:pt>
                <c:pt idx="1">
                  <c:v>44306</c:v>
                </c:pt>
                <c:pt idx="2">
                  <c:v>44313</c:v>
                </c:pt>
                <c:pt idx="3">
                  <c:v>44320</c:v>
                </c:pt>
                <c:pt idx="4">
                  <c:v>44327</c:v>
                </c:pt>
                <c:pt idx="5">
                  <c:v>44335</c:v>
                </c:pt>
                <c:pt idx="6">
                  <c:v>44342</c:v>
                </c:pt>
                <c:pt idx="7">
                  <c:v>44356</c:v>
                </c:pt>
                <c:pt idx="8">
                  <c:v>44370</c:v>
                </c:pt>
                <c:pt idx="9">
                  <c:v>44377</c:v>
                </c:pt>
                <c:pt idx="10">
                  <c:v>44385</c:v>
                </c:pt>
                <c:pt idx="11">
                  <c:v>44391</c:v>
                </c:pt>
                <c:pt idx="12">
                  <c:v>44398</c:v>
                </c:pt>
                <c:pt idx="13">
                  <c:v>44405</c:v>
                </c:pt>
                <c:pt idx="14">
                  <c:v>44412</c:v>
                </c:pt>
                <c:pt idx="15">
                  <c:v>44419</c:v>
                </c:pt>
                <c:pt idx="16">
                  <c:v>44426</c:v>
                </c:pt>
                <c:pt idx="17">
                  <c:v>44433</c:v>
                </c:pt>
              </c:numCache>
            </c:numRef>
          </c:cat>
          <c:val>
            <c:numRef>
              <c:f>Physicochemical_Managed!$T$40:$T$57</c:f>
              <c:numCache>
                <c:formatCode>0.000</c:formatCode>
                <c:ptCount val="18"/>
                <c:pt idx="0">
                  <c:v>1.9000000000000001</c:v>
                </c:pt>
                <c:pt idx="1">
                  <c:v>1.83</c:v>
                </c:pt>
                <c:pt idx="2">
                  <c:v>1.88</c:v>
                </c:pt>
                <c:pt idx="3">
                  <c:v>1.87</c:v>
                </c:pt>
                <c:pt idx="4">
                  <c:v>1.78</c:v>
                </c:pt>
                <c:pt idx="5">
                  <c:v>1.77</c:v>
                </c:pt>
                <c:pt idx="6">
                  <c:v>1.72</c:v>
                </c:pt>
                <c:pt idx="7">
                  <c:v>1.82</c:v>
                </c:pt>
                <c:pt idx="8">
                  <c:v>0</c:v>
                </c:pt>
                <c:pt idx="9">
                  <c:v>0.01</c:v>
                </c:pt>
                <c:pt idx="10">
                  <c:v>0</c:v>
                </c:pt>
                <c:pt idx="11">
                  <c:v>0.02</c:v>
                </c:pt>
                <c:pt idx="12">
                  <c:v>0</c:v>
                </c:pt>
                <c:pt idx="13">
                  <c:v>0.84</c:v>
                </c:pt>
                <c:pt idx="14">
                  <c:v>1.69</c:v>
                </c:pt>
                <c:pt idx="15">
                  <c:v>1.59</c:v>
                </c:pt>
                <c:pt idx="16">
                  <c:v>1.61</c:v>
                </c:pt>
                <c:pt idx="17">
                  <c:v>1.21</c:v>
                </c:pt>
              </c:numCache>
            </c:numRef>
          </c:val>
          <c:smooth val="0"/>
          <c:extLst>
            <c:ext xmlns:c16="http://schemas.microsoft.com/office/drawing/2014/chart" uri="{C3380CC4-5D6E-409C-BE32-E72D297353CC}">
              <c16:uniqueId val="{00000001-FD78-4E6C-85B2-B9178B1C86E5}"/>
            </c:ext>
          </c:extLst>
        </c:ser>
        <c:ser>
          <c:idx val="1"/>
          <c:order val="2"/>
          <c:tx>
            <c:v>Total chlorine</c:v>
          </c:tx>
          <c:spPr>
            <a:ln w="6350" cap="rnd">
              <a:solidFill>
                <a:schemeClr val="tx1"/>
              </a:solidFill>
              <a:round/>
            </a:ln>
            <a:effectLst/>
          </c:spPr>
          <c:marker>
            <c:symbol val="square"/>
            <c:size val="6"/>
            <c:spPr>
              <a:noFill/>
              <a:ln w="12700">
                <a:solidFill>
                  <a:schemeClr val="tx1"/>
                </a:solidFill>
              </a:ln>
              <a:effectLst/>
            </c:spPr>
          </c:marker>
          <c:cat>
            <c:numRef>
              <c:f>Physicochemical_Managed!$O$40:$O$57</c:f>
              <c:numCache>
                <c:formatCode>mm/dd/yyyy</c:formatCode>
                <c:ptCount val="18"/>
                <c:pt idx="0">
                  <c:v>44294</c:v>
                </c:pt>
                <c:pt idx="1">
                  <c:v>44306</c:v>
                </c:pt>
                <c:pt idx="2">
                  <c:v>44313</c:v>
                </c:pt>
                <c:pt idx="3">
                  <c:v>44320</c:v>
                </c:pt>
                <c:pt idx="4">
                  <c:v>44327</c:v>
                </c:pt>
                <c:pt idx="5">
                  <c:v>44335</c:v>
                </c:pt>
                <c:pt idx="6">
                  <c:v>44342</c:v>
                </c:pt>
                <c:pt idx="7">
                  <c:v>44356</c:v>
                </c:pt>
                <c:pt idx="8">
                  <c:v>44370</c:v>
                </c:pt>
                <c:pt idx="9">
                  <c:v>44377</c:v>
                </c:pt>
                <c:pt idx="10">
                  <c:v>44385</c:v>
                </c:pt>
                <c:pt idx="11">
                  <c:v>44391</c:v>
                </c:pt>
                <c:pt idx="12">
                  <c:v>44398</c:v>
                </c:pt>
                <c:pt idx="13">
                  <c:v>44405</c:v>
                </c:pt>
                <c:pt idx="14">
                  <c:v>44412</c:v>
                </c:pt>
                <c:pt idx="15">
                  <c:v>44419</c:v>
                </c:pt>
                <c:pt idx="16">
                  <c:v>44426</c:v>
                </c:pt>
                <c:pt idx="17">
                  <c:v>44433</c:v>
                </c:pt>
              </c:numCache>
            </c:numRef>
          </c:cat>
          <c:val>
            <c:numRef>
              <c:f>Physicochemical_Managed!$U$40:$U$57</c:f>
              <c:numCache>
                <c:formatCode>0.000</c:formatCode>
                <c:ptCount val="18"/>
                <c:pt idx="0">
                  <c:v>1.7599999999999998</c:v>
                </c:pt>
                <c:pt idx="1">
                  <c:v>0.13</c:v>
                </c:pt>
                <c:pt idx="2">
                  <c:v>2.52</c:v>
                </c:pt>
                <c:pt idx="3">
                  <c:v>2.2200000000000002</c:v>
                </c:pt>
                <c:pt idx="4">
                  <c:v>2.13</c:v>
                </c:pt>
                <c:pt idx="5">
                  <c:v>2.23</c:v>
                </c:pt>
                <c:pt idx="6">
                  <c:v>2.34</c:v>
                </c:pt>
                <c:pt idx="7">
                  <c:v>2.2599999999999998</c:v>
                </c:pt>
                <c:pt idx="8">
                  <c:v>2.74</c:v>
                </c:pt>
                <c:pt idx="9">
                  <c:v>2.5499999999999998</c:v>
                </c:pt>
                <c:pt idx="10">
                  <c:v>2.56</c:v>
                </c:pt>
                <c:pt idx="11">
                  <c:v>2.73</c:v>
                </c:pt>
                <c:pt idx="12">
                  <c:v>2.4300000000000002</c:v>
                </c:pt>
                <c:pt idx="13">
                  <c:v>1.02</c:v>
                </c:pt>
                <c:pt idx="14">
                  <c:v>1.91</c:v>
                </c:pt>
                <c:pt idx="15">
                  <c:v>1.82</c:v>
                </c:pt>
                <c:pt idx="16">
                  <c:v>1.8</c:v>
                </c:pt>
                <c:pt idx="17">
                  <c:v>1.19</c:v>
                </c:pt>
              </c:numCache>
            </c:numRef>
          </c:val>
          <c:smooth val="0"/>
          <c:extLst>
            <c:ext xmlns:c16="http://schemas.microsoft.com/office/drawing/2014/chart" uri="{C3380CC4-5D6E-409C-BE32-E72D297353CC}">
              <c16:uniqueId val="{00000002-FD78-4E6C-85B2-B9178B1C86E5}"/>
            </c:ext>
          </c:extLst>
        </c:ser>
        <c:dLbls>
          <c:showLegendKey val="0"/>
          <c:showVal val="0"/>
          <c:showCatName val="0"/>
          <c:showSerName val="0"/>
          <c:showPercent val="0"/>
          <c:showBubbleSize val="0"/>
        </c:dLbls>
        <c:marker val="1"/>
        <c:smooth val="0"/>
        <c:axId val="403941288"/>
        <c:axId val="403917672"/>
      </c:lineChart>
      <c:dateAx>
        <c:axId val="403941288"/>
        <c:scaling>
          <c:orientation val="minMax"/>
          <c:max val="44437"/>
          <c:min val="44287"/>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Sampling times--</a:t>
                </a:r>
                <a:r>
                  <a:rPr lang="en-US" b="1">
                    <a:solidFill>
                      <a:srgbClr val="FF0000"/>
                    </a:solidFill>
                  </a:rPr>
                  <a:t>SPO</a:t>
                </a:r>
              </a:p>
            </c:rich>
          </c:tx>
          <c:layout>
            <c:manualLayout>
              <c:xMode val="edge"/>
              <c:yMode val="edge"/>
              <c:x val="0.39785997109175708"/>
              <c:y val="0.94951730232117781"/>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mm/dd/yyyy" sourceLinked="1"/>
        <c:majorTickMark val="out"/>
        <c:minorTickMark val="in"/>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03917672"/>
        <c:crosses val="autoZero"/>
        <c:auto val="1"/>
        <c:lblOffset val="100"/>
        <c:baseTimeUnit val="days"/>
        <c:majorUnit val="15"/>
        <c:majorTimeUnit val="days"/>
        <c:minorUnit val="5"/>
        <c:minorTimeUnit val="days"/>
      </c:dateAx>
      <c:valAx>
        <c:axId val="403917672"/>
        <c:scaling>
          <c:orientation val="minMax"/>
          <c:max val="3"/>
          <c:min val="0"/>
        </c:scaling>
        <c:delete val="0"/>
        <c:axPos val="l"/>
        <c:majorGridlines>
          <c:spPr>
            <a:ln w="1270" cap="flat" cmpd="sng" algn="ctr">
              <a:solidFill>
                <a:schemeClr val="tx1"/>
              </a:solidFill>
              <a:prstDash val="solid"/>
              <a:round/>
            </a:ln>
            <a:effectLst/>
          </c:spPr>
        </c:majorGridlines>
        <c:minorGridlines>
          <c:spPr>
            <a:ln w="1270" cap="flat" cmpd="sng" algn="ctr">
              <a:solidFill>
                <a:schemeClr val="bg2">
                  <a:lumMod val="90000"/>
                </a:schemeClr>
              </a:solidFill>
              <a:prstDash val="dash"/>
              <a:round/>
            </a:ln>
            <a:effectLst/>
          </c:spPr>
        </c:min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Chlorine (mg Cl</a:t>
                </a:r>
                <a:r>
                  <a:rPr lang="en-US" baseline="-25000"/>
                  <a:t>2</a:t>
                </a:r>
                <a:r>
                  <a:rPr lang="en-US"/>
                  <a:t>·L</a:t>
                </a:r>
                <a:r>
                  <a:rPr lang="en-US" baseline="30000"/>
                  <a:t>-1</a:t>
                </a:r>
                <a:r>
                  <a:rPr lang="en-US"/>
                  <a:t>)</a:t>
                </a:r>
              </a:p>
            </c:rich>
          </c:tx>
          <c:layout>
            <c:manualLayout>
              <c:xMode val="edge"/>
              <c:yMode val="edge"/>
              <c:x val="6.5976053561081209E-5"/>
              <c:y val="0.2827105058966991"/>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0" sourceLinked="0"/>
        <c:majorTickMark val="out"/>
        <c:minorTickMark val="in"/>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03941288"/>
        <c:crosses val="autoZero"/>
        <c:crossBetween val="between"/>
        <c:majorUnit val="1"/>
        <c:minorUnit val="0.2"/>
      </c:valAx>
      <c:spPr>
        <a:noFill/>
        <a:ln w="19050">
          <a:solidFill>
            <a:schemeClr val="tx1"/>
          </a:solidFill>
        </a:ln>
        <a:effectLst/>
      </c:spPr>
    </c:plotArea>
    <c:legend>
      <c:legendPos val="r"/>
      <c:legendEntry>
        <c:idx val="0"/>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Entry>
      <c:layout>
        <c:manualLayout>
          <c:xMode val="edge"/>
          <c:yMode val="edge"/>
          <c:x val="0.23419777899743172"/>
          <c:y val="0.40727042328334612"/>
          <c:w val="0.22798312160438464"/>
          <c:h val="0.11352553820857748"/>
        </c:manualLayout>
      </c:layout>
      <c:overlay val="0"/>
      <c:spPr>
        <a:solidFill>
          <a:schemeClr val="bg1"/>
        </a:solid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04646"/>
      </a:solid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13278008298755"/>
          <c:y val="3.6235046109691547E-2"/>
          <c:w val="0.77921161825726137"/>
          <c:h val="0.75850914427279748"/>
        </c:manualLayout>
      </c:layout>
      <c:lineChart>
        <c:grouping val="standard"/>
        <c:varyColors val="0"/>
        <c:ser>
          <c:idx val="3"/>
          <c:order val="0"/>
          <c:tx>
            <c:v>Free ammonia</c:v>
          </c:tx>
          <c:spPr>
            <a:ln w="6350" cap="rnd">
              <a:solidFill>
                <a:srgbClr val="F04646"/>
              </a:solidFill>
              <a:round/>
            </a:ln>
            <a:effectLst/>
          </c:spPr>
          <c:marker>
            <c:symbol val="circle"/>
            <c:size val="6"/>
            <c:spPr>
              <a:solidFill>
                <a:srgbClr val="F04646"/>
              </a:solidFill>
              <a:ln w="12700">
                <a:solidFill>
                  <a:srgbClr val="F04646"/>
                </a:solidFill>
              </a:ln>
              <a:effectLst/>
            </c:spPr>
          </c:marker>
          <c:cat>
            <c:numRef>
              <c:f>Physicochemical_Managed!$O$40:$O$57</c:f>
              <c:numCache>
                <c:formatCode>mm/dd/yyyy</c:formatCode>
                <c:ptCount val="18"/>
                <c:pt idx="0">
                  <c:v>44294</c:v>
                </c:pt>
                <c:pt idx="1">
                  <c:v>44306</c:v>
                </c:pt>
                <c:pt idx="2">
                  <c:v>44313</c:v>
                </c:pt>
                <c:pt idx="3">
                  <c:v>44320</c:v>
                </c:pt>
                <c:pt idx="4">
                  <c:v>44327</c:v>
                </c:pt>
                <c:pt idx="5">
                  <c:v>44335</c:v>
                </c:pt>
                <c:pt idx="6">
                  <c:v>44342</c:v>
                </c:pt>
                <c:pt idx="7">
                  <c:v>44356</c:v>
                </c:pt>
                <c:pt idx="8">
                  <c:v>44370</c:v>
                </c:pt>
                <c:pt idx="9">
                  <c:v>44377</c:v>
                </c:pt>
                <c:pt idx="10">
                  <c:v>44385</c:v>
                </c:pt>
                <c:pt idx="11">
                  <c:v>44391</c:v>
                </c:pt>
                <c:pt idx="12">
                  <c:v>44398</c:v>
                </c:pt>
                <c:pt idx="13">
                  <c:v>44405</c:v>
                </c:pt>
                <c:pt idx="14">
                  <c:v>44412</c:v>
                </c:pt>
                <c:pt idx="15">
                  <c:v>44419</c:v>
                </c:pt>
                <c:pt idx="16">
                  <c:v>44426</c:v>
                </c:pt>
                <c:pt idx="17">
                  <c:v>44433</c:v>
                </c:pt>
              </c:numCache>
            </c:numRef>
          </c:cat>
          <c:val>
            <c:numRef>
              <c:f>Physicochemical_Managed!$V$40:$V$57</c:f>
              <c:numCache>
                <c:formatCode>0.000</c:formatCode>
                <c:ptCount val="18"/>
                <c:pt idx="0">
                  <c:v>0.29666666666666669</c:v>
                </c:pt>
                <c:pt idx="1">
                  <c:v>0.24</c:v>
                </c:pt>
                <c:pt idx="2">
                  <c:v>0.34</c:v>
                </c:pt>
                <c:pt idx="3">
                  <c:v>0.22</c:v>
                </c:pt>
                <c:pt idx="4">
                  <c:v>0.21</c:v>
                </c:pt>
                <c:pt idx="5">
                  <c:v>0.33</c:v>
                </c:pt>
                <c:pt idx="6">
                  <c:v>0.25</c:v>
                </c:pt>
                <c:pt idx="7">
                  <c:v>0.14000000000000001</c:v>
                </c:pt>
                <c:pt idx="8">
                  <c:v>0.03</c:v>
                </c:pt>
                <c:pt idx="9">
                  <c:v>0.21</c:v>
                </c:pt>
                <c:pt idx="10">
                  <c:v>0.03</c:v>
                </c:pt>
                <c:pt idx="11">
                  <c:v>0.22</c:v>
                </c:pt>
                <c:pt idx="12">
                  <c:v>0.03</c:v>
                </c:pt>
                <c:pt idx="13">
                  <c:v>0.16</c:v>
                </c:pt>
                <c:pt idx="14">
                  <c:v>0.25</c:v>
                </c:pt>
                <c:pt idx="15">
                  <c:v>0.18</c:v>
                </c:pt>
                <c:pt idx="16">
                  <c:v>0.18</c:v>
                </c:pt>
                <c:pt idx="17">
                  <c:v>0.21</c:v>
                </c:pt>
              </c:numCache>
            </c:numRef>
          </c:val>
          <c:smooth val="0"/>
          <c:extLst>
            <c:ext xmlns:c16="http://schemas.microsoft.com/office/drawing/2014/chart" uri="{C3380CC4-5D6E-409C-BE32-E72D297353CC}">
              <c16:uniqueId val="{00000000-9090-477E-904D-6F2888AB64BA}"/>
            </c:ext>
          </c:extLst>
        </c:ser>
        <c:ser>
          <c:idx val="0"/>
          <c:order val="1"/>
          <c:tx>
            <c:v>Nitrite</c:v>
          </c:tx>
          <c:spPr>
            <a:ln w="6350" cap="rnd">
              <a:solidFill>
                <a:srgbClr val="5064E6"/>
              </a:solidFill>
              <a:round/>
            </a:ln>
            <a:effectLst/>
          </c:spPr>
          <c:marker>
            <c:symbol val="circle"/>
            <c:size val="6"/>
            <c:spPr>
              <a:noFill/>
              <a:ln w="12700">
                <a:solidFill>
                  <a:srgbClr val="5064E6">
                    <a:alpha val="95000"/>
                  </a:srgbClr>
                </a:solidFill>
              </a:ln>
              <a:effectLst/>
            </c:spPr>
          </c:marker>
          <c:cat>
            <c:numRef>
              <c:f>Physicochemical_Managed!$O$40:$O$57</c:f>
              <c:numCache>
                <c:formatCode>mm/dd/yyyy</c:formatCode>
                <c:ptCount val="18"/>
                <c:pt idx="0">
                  <c:v>44294</c:v>
                </c:pt>
                <c:pt idx="1">
                  <c:v>44306</c:v>
                </c:pt>
                <c:pt idx="2">
                  <c:v>44313</c:v>
                </c:pt>
                <c:pt idx="3">
                  <c:v>44320</c:v>
                </c:pt>
                <c:pt idx="4">
                  <c:v>44327</c:v>
                </c:pt>
                <c:pt idx="5">
                  <c:v>44335</c:v>
                </c:pt>
                <c:pt idx="6">
                  <c:v>44342</c:v>
                </c:pt>
                <c:pt idx="7">
                  <c:v>44356</c:v>
                </c:pt>
                <c:pt idx="8">
                  <c:v>44370</c:v>
                </c:pt>
                <c:pt idx="9">
                  <c:v>44377</c:v>
                </c:pt>
                <c:pt idx="10">
                  <c:v>44385</c:v>
                </c:pt>
                <c:pt idx="11">
                  <c:v>44391</c:v>
                </c:pt>
                <c:pt idx="12">
                  <c:v>44398</c:v>
                </c:pt>
                <c:pt idx="13">
                  <c:v>44405</c:v>
                </c:pt>
                <c:pt idx="14">
                  <c:v>44412</c:v>
                </c:pt>
                <c:pt idx="15">
                  <c:v>44419</c:v>
                </c:pt>
                <c:pt idx="16">
                  <c:v>44426</c:v>
                </c:pt>
                <c:pt idx="17">
                  <c:v>44433</c:v>
                </c:pt>
              </c:numCache>
            </c:numRef>
          </c:cat>
          <c:val>
            <c:numRef>
              <c:f>Physicochemical_Managed!$W$40:$W$57</c:f>
              <c:numCache>
                <c:formatCode>0.000</c:formatCode>
                <c:ptCount val="18"/>
                <c:pt idx="0">
                  <c:v>5.3333333333333332E-3</c:v>
                </c:pt>
                <c:pt idx="1">
                  <c:v>5.0000000000000001E-3</c:v>
                </c:pt>
                <c:pt idx="2">
                  <c:v>6.0000000000000001E-3</c:v>
                </c:pt>
                <c:pt idx="3">
                  <c:v>6.0000000000000001E-3</c:v>
                </c:pt>
                <c:pt idx="4">
                  <c:v>7.0000000000000001E-3</c:v>
                </c:pt>
                <c:pt idx="5">
                  <c:v>5.0000000000000001E-3</c:v>
                </c:pt>
                <c:pt idx="6">
                  <c:v>5.0000000000000001E-3</c:v>
                </c:pt>
                <c:pt idx="7">
                  <c:v>1E-3</c:v>
                </c:pt>
                <c:pt idx="8">
                  <c:v>6.0000000000000001E-3</c:v>
                </c:pt>
                <c:pt idx="9">
                  <c:v>7.0000000000000001E-3</c:v>
                </c:pt>
                <c:pt idx="10">
                  <c:v>7.0000000000000001E-3</c:v>
                </c:pt>
                <c:pt idx="11">
                  <c:v>6.0000000000000001E-3</c:v>
                </c:pt>
                <c:pt idx="12">
                  <c:v>5.0000000000000001E-3</c:v>
                </c:pt>
                <c:pt idx="13">
                  <c:v>7.0000000000000001E-3</c:v>
                </c:pt>
                <c:pt idx="14">
                  <c:v>5.0000000000000001E-3</c:v>
                </c:pt>
                <c:pt idx="15">
                  <c:v>6.0000000000000001E-3</c:v>
                </c:pt>
                <c:pt idx="16">
                  <c:v>5.0000000000000001E-3</c:v>
                </c:pt>
                <c:pt idx="17">
                  <c:v>7.0000000000000001E-3</c:v>
                </c:pt>
              </c:numCache>
            </c:numRef>
          </c:val>
          <c:smooth val="0"/>
          <c:extLst>
            <c:ext xmlns:c16="http://schemas.microsoft.com/office/drawing/2014/chart" uri="{C3380CC4-5D6E-409C-BE32-E72D297353CC}">
              <c16:uniqueId val="{00000001-9090-477E-904D-6F2888AB64BA}"/>
            </c:ext>
          </c:extLst>
        </c:ser>
        <c:dLbls>
          <c:showLegendKey val="0"/>
          <c:showVal val="0"/>
          <c:showCatName val="0"/>
          <c:showSerName val="0"/>
          <c:showPercent val="0"/>
          <c:showBubbleSize val="0"/>
        </c:dLbls>
        <c:marker val="1"/>
        <c:smooth val="0"/>
        <c:axId val="403941288"/>
        <c:axId val="403917672"/>
      </c:lineChart>
      <c:lineChart>
        <c:grouping val="standard"/>
        <c:varyColors val="0"/>
        <c:ser>
          <c:idx val="1"/>
          <c:order val="2"/>
          <c:tx>
            <c:v>Orthophosphate</c:v>
          </c:tx>
          <c:spPr>
            <a:ln w="6350" cap="rnd">
              <a:solidFill>
                <a:schemeClr val="tx1"/>
              </a:solidFill>
              <a:round/>
            </a:ln>
            <a:effectLst/>
          </c:spPr>
          <c:marker>
            <c:symbol val="square"/>
            <c:size val="6"/>
            <c:spPr>
              <a:noFill/>
              <a:ln w="12700">
                <a:solidFill>
                  <a:schemeClr val="tx1"/>
                </a:solidFill>
              </a:ln>
              <a:effectLst/>
            </c:spPr>
          </c:marker>
          <c:cat>
            <c:numRef>
              <c:f>Physicochemical_Managed!$O$40:$O$57</c:f>
              <c:numCache>
                <c:formatCode>mm/dd/yyyy</c:formatCode>
                <c:ptCount val="18"/>
                <c:pt idx="0">
                  <c:v>44294</c:v>
                </c:pt>
                <c:pt idx="1">
                  <c:v>44306</c:v>
                </c:pt>
                <c:pt idx="2">
                  <c:v>44313</c:v>
                </c:pt>
                <c:pt idx="3">
                  <c:v>44320</c:v>
                </c:pt>
                <c:pt idx="4">
                  <c:v>44327</c:v>
                </c:pt>
                <c:pt idx="5">
                  <c:v>44335</c:v>
                </c:pt>
                <c:pt idx="6">
                  <c:v>44342</c:v>
                </c:pt>
                <c:pt idx="7">
                  <c:v>44356</c:v>
                </c:pt>
                <c:pt idx="8">
                  <c:v>44370</c:v>
                </c:pt>
                <c:pt idx="9">
                  <c:v>44377</c:v>
                </c:pt>
                <c:pt idx="10">
                  <c:v>44385</c:v>
                </c:pt>
                <c:pt idx="11">
                  <c:v>44391</c:v>
                </c:pt>
                <c:pt idx="12">
                  <c:v>44398</c:v>
                </c:pt>
                <c:pt idx="13">
                  <c:v>44405</c:v>
                </c:pt>
                <c:pt idx="14">
                  <c:v>44412</c:v>
                </c:pt>
                <c:pt idx="15">
                  <c:v>44419</c:v>
                </c:pt>
                <c:pt idx="16">
                  <c:v>44426</c:v>
                </c:pt>
                <c:pt idx="17">
                  <c:v>44433</c:v>
                </c:pt>
              </c:numCache>
            </c:numRef>
          </c:cat>
          <c:val>
            <c:numRef>
              <c:f>Physicochemical_Managed!$X$40:$X$57</c:f>
              <c:numCache>
                <c:formatCode>0.000</c:formatCode>
                <c:ptCount val="18"/>
                <c:pt idx="0">
                  <c:v>0.33</c:v>
                </c:pt>
                <c:pt idx="1">
                  <c:v>0.33</c:v>
                </c:pt>
                <c:pt idx="2">
                  <c:v>0.32</c:v>
                </c:pt>
                <c:pt idx="3">
                  <c:v>0.32</c:v>
                </c:pt>
                <c:pt idx="4">
                  <c:v>0.3</c:v>
                </c:pt>
                <c:pt idx="5">
                  <c:v>0.26</c:v>
                </c:pt>
                <c:pt idx="6">
                  <c:v>0.35</c:v>
                </c:pt>
                <c:pt idx="7">
                  <c:v>0.36</c:v>
                </c:pt>
                <c:pt idx="8">
                  <c:v>0.32</c:v>
                </c:pt>
                <c:pt idx="9">
                  <c:v>0.37</c:v>
                </c:pt>
                <c:pt idx="10">
                  <c:v>0.41</c:v>
                </c:pt>
                <c:pt idx="11">
                  <c:v>0.38</c:v>
                </c:pt>
                <c:pt idx="12">
                  <c:v>0.4</c:v>
                </c:pt>
                <c:pt idx="13">
                  <c:v>0.47</c:v>
                </c:pt>
                <c:pt idx="14">
                  <c:v>0.4</c:v>
                </c:pt>
                <c:pt idx="15">
                  <c:v>0.44</c:v>
                </c:pt>
                <c:pt idx="16">
                  <c:v>0.38</c:v>
                </c:pt>
                <c:pt idx="17">
                  <c:v>0.38</c:v>
                </c:pt>
              </c:numCache>
            </c:numRef>
          </c:val>
          <c:smooth val="0"/>
          <c:extLst>
            <c:ext xmlns:c16="http://schemas.microsoft.com/office/drawing/2014/chart" uri="{C3380CC4-5D6E-409C-BE32-E72D297353CC}">
              <c16:uniqueId val="{00000002-9090-477E-904D-6F2888AB64BA}"/>
            </c:ext>
          </c:extLst>
        </c:ser>
        <c:dLbls>
          <c:showLegendKey val="0"/>
          <c:showVal val="0"/>
          <c:showCatName val="0"/>
          <c:showSerName val="0"/>
          <c:showPercent val="0"/>
          <c:showBubbleSize val="0"/>
        </c:dLbls>
        <c:marker val="1"/>
        <c:smooth val="0"/>
        <c:axId val="774072144"/>
        <c:axId val="780465376"/>
      </c:lineChart>
      <c:dateAx>
        <c:axId val="403941288"/>
        <c:scaling>
          <c:orientation val="minMax"/>
          <c:max val="44437"/>
          <c:min val="44287"/>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Sampling times--</a:t>
                </a:r>
                <a:r>
                  <a:rPr lang="en-US" b="1">
                    <a:solidFill>
                      <a:srgbClr val="FF0000"/>
                    </a:solidFill>
                  </a:rPr>
                  <a:t>SPO</a:t>
                </a:r>
              </a:p>
            </c:rich>
          </c:tx>
          <c:layout>
            <c:manualLayout>
              <c:xMode val="edge"/>
              <c:yMode val="edge"/>
              <c:x val="0.39785997109175708"/>
              <c:y val="0.94951730232117781"/>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mm/dd/yyyy" sourceLinked="1"/>
        <c:majorTickMark val="out"/>
        <c:minorTickMark val="in"/>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03917672"/>
        <c:crosses val="autoZero"/>
        <c:auto val="1"/>
        <c:lblOffset val="100"/>
        <c:baseTimeUnit val="days"/>
        <c:majorUnit val="15"/>
        <c:majorTimeUnit val="days"/>
        <c:minorUnit val="5"/>
        <c:minorTimeUnit val="days"/>
      </c:dateAx>
      <c:valAx>
        <c:axId val="403917672"/>
        <c:scaling>
          <c:orientation val="minMax"/>
          <c:max val="0.35000000000000003"/>
          <c:min val="0"/>
        </c:scaling>
        <c:delete val="0"/>
        <c:axPos val="l"/>
        <c:majorGridlines>
          <c:spPr>
            <a:ln w="1270" cap="flat" cmpd="sng" algn="ctr">
              <a:solidFill>
                <a:schemeClr val="tx1"/>
              </a:solidFill>
              <a:prstDash val="solid"/>
              <a:round/>
            </a:ln>
            <a:effectLst/>
          </c:spPr>
        </c:majorGridlines>
        <c:minorGridlines>
          <c:spPr>
            <a:ln w="1270" cap="flat" cmpd="sng" algn="ctr">
              <a:solidFill>
                <a:schemeClr val="bg2">
                  <a:lumMod val="90000"/>
                </a:schemeClr>
              </a:solidFill>
              <a:prstDash val="dash"/>
              <a:round/>
            </a:ln>
            <a:effectLst/>
          </c:spPr>
        </c:min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Free</a:t>
                </a:r>
                <a:r>
                  <a:rPr lang="en-US" baseline="0"/>
                  <a:t> ammonia and nitrite</a:t>
                </a:r>
                <a:r>
                  <a:rPr lang="en-US"/>
                  <a:t> (mg N·L</a:t>
                </a:r>
                <a:r>
                  <a:rPr lang="en-US" baseline="30000"/>
                  <a:t>-1</a:t>
                </a:r>
                <a:r>
                  <a:rPr lang="en-US"/>
                  <a:t>)</a:t>
                </a:r>
              </a:p>
            </c:rich>
          </c:tx>
          <c:layout>
            <c:manualLayout>
              <c:xMode val="edge"/>
              <c:yMode val="edge"/>
              <c:x val="6.5976053561081385E-5"/>
              <c:y val="0.18783804212801333"/>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00" sourceLinked="0"/>
        <c:majorTickMark val="out"/>
        <c:minorTickMark val="in"/>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03941288"/>
        <c:crosses val="autoZero"/>
        <c:crossBetween val="between"/>
        <c:majorUnit val="5.000000000000001E-2"/>
        <c:minorUnit val="2.5000000000000005E-2"/>
      </c:valAx>
      <c:valAx>
        <c:axId val="780465376"/>
        <c:scaling>
          <c:orientation val="minMax"/>
          <c:max val="0.5"/>
          <c:min val="0.25"/>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Orthophosphate (</a:t>
                </a:r>
                <a:r>
                  <a:rPr lang="en-US" baseline="0"/>
                  <a:t>PO</a:t>
                </a:r>
                <a:r>
                  <a:rPr lang="en-US" baseline="-25000"/>
                  <a:t>4</a:t>
                </a:r>
                <a:r>
                  <a:rPr lang="en-US" baseline="30000"/>
                  <a:t>3-</a:t>
                </a:r>
                <a:r>
                  <a:rPr lang="en-US" baseline="0"/>
                  <a:t>·L</a:t>
                </a:r>
                <a:r>
                  <a:rPr lang="en-US" baseline="30000"/>
                  <a:t>-1</a:t>
                </a:r>
                <a:r>
                  <a:rPr lang="en-US"/>
                  <a:t>)</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00" sourceLinked="0"/>
        <c:majorTickMark val="out"/>
        <c:minorTickMark val="in"/>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74072144"/>
        <c:crosses val="max"/>
        <c:crossBetween val="between"/>
        <c:majorUnit val="5.000000000000001E-2"/>
        <c:minorUnit val="2.5000000000000005E-2"/>
      </c:valAx>
      <c:dateAx>
        <c:axId val="774072144"/>
        <c:scaling>
          <c:orientation val="minMax"/>
        </c:scaling>
        <c:delete val="1"/>
        <c:axPos val="b"/>
        <c:numFmt formatCode="mm/dd/yyyy" sourceLinked="1"/>
        <c:majorTickMark val="out"/>
        <c:minorTickMark val="none"/>
        <c:tickLblPos val="nextTo"/>
        <c:crossAx val="780465376"/>
        <c:crosses val="autoZero"/>
        <c:auto val="1"/>
        <c:lblOffset val="100"/>
        <c:baseTimeUnit val="days"/>
      </c:dateAx>
      <c:spPr>
        <a:noFill/>
        <a:ln w="19050">
          <a:solidFill>
            <a:schemeClr val="tx1"/>
          </a:solidFill>
        </a:ln>
        <a:effectLst/>
      </c:spPr>
    </c:plotArea>
    <c:legend>
      <c:legendPos val="r"/>
      <c:legendEntry>
        <c:idx val="0"/>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Entry>
      <c:layout>
        <c:manualLayout>
          <c:xMode val="edge"/>
          <c:yMode val="edge"/>
          <c:x val="0.12288310891913376"/>
          <c:y val="0.36310695720261088"/>
          <c:w val="0.22798312160438464"/>
          <c:h val="9.8627455336123951E-2"/>
        </c:manualLayout>
      </c:layout>
      <c:overlay val="0"/>
      <c:spPr>
        <a:solidFill>
          <a:schemeClr val="bg1"/>
        </a:solid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04646"/>
      </a:solid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13278008298755"/>
          <c:y val="3.6235046109691547E-2"/>
          <c:w val="0.77921161825726137"/>
          <c:h val="0.75850914427279748"/>
        </c:manualLayout>
      </c:layout>
      <c:lineChart>
        <c:grouping val="standard"/>
        <c:varyColors val="0"/>
        <c:ser>
          <c:idx val="3"/>
          <c:order val="0"/>
          <c:tx>
            <c:v>pH</c:v>
          </c:tx>
          <c:spPr>
            <a:ln w="6350" cap="rnd">
              <a:solidFill>
                <a:srgbClr val="F04646"/>
              </a:solidFill>
              <a:round/>
            </a:ln>
            <a:effectLst/>
          </c:spPr>
          <c:marker>
            <c:symbol val="circle"/>
            <c:size val="6"/>
            <c:spPr>
              <a:solidFill>
                <a:srgbClr val="F04646"/>
              </a:solidFill>
              <a:ln w="12700">
                <a:solidFill>
                  <a:srgbClr val="F04646"/>
                </a:solidFill>
              </a:ln>
              <a:effectLst/>
            </c:spPr>
          </c:marker>
          <c:cat>
            <c:numRef>
              <c:f>Physicochemical_Managed!$O$58:$O$76</c:f>
              <c:numCache>
                <c:formatCode>mm/dd/yyyy</c:formatCode>
                <c:ptCount val="19"/>
                <c:pt idx="0">
                  <c:v>44294</c:v>
                </c:pt>
                <c:pt idx="1">
                  <c:v>44306</c:v>
                </c:pt>
                <c:pt idx="2">
                  <c:v>44313</c:v>
                </c:pt>
                <c:pt idx="3">
                  <c:v>44320</c:v>
                </c:pt>
                <c:pt idx="4">
                  <c:v>44327</c:v>
                </c:pt>
                <c:pt idx="5">
                  <c:v>44335</c:v>
                </c:pt>
                <c:pt idx="6">
                  <c:v>44342</c:v>
                </c:pt>
                <c:pt idx="7">
                  <c:v>44356</c:v>
                </c:pt>
                <c:pt idx="8">
                  <c:v>44363</c:v>
                </c:pt>
                <c:pt idx="9">
                  <c:v>44370</c:v>
                </c:pt>
                <c:pt idx="10">
                  <c:v>44377</c:v>
                </c:pt>
                <c:pt idx="11">
                  <c:v>44385</c:v>
                </c:pt>
                <c:pt idx="12">
                  <c:v>44391</c:v>
                </c:pt>
                <c:pt idx="13">
                  <c:v>44398</c:v>
                </c:pt>
                <c:pt idx="14">
                  <c:v>44405</c:v>
                </c:pt>
                <c:pt idx="15">
                  <c:v>44432</c:v>
                </c:pt>
                <c:pt idx="16">
                  <c:v>44419</c:v>
                </c:pt>
                <c:pt idx="17">
                  <c:v>44426</c:v>
                </c:pt>
                <c:pt idx="18">
                  <c:v>44433</c:v>
                </c:pt>
              </c:numCache>
            </c:numRef>
          </c:cat>
          <c:val>
            <c:numRef>
              <c:f>Physicochemical_Managed!$Q$58:$Q$76</c:f>
              <c:numCache>
                <c:formatCode>0.000</c:formatCode>
                <c:ptCount val="19"/>
                <c:pt idx="0">
                  <c:v>6.5533333333333337</c:v>
                </c:pt>
                <c:pt idx="1">
                  <c:v>6.75</c:v>
                </c:pt>
                <c:pt idx="2">
                  <c:v>6.62</c:v>
                </c:pt>
                <c:pt idx="3">
                  <c:v>6.54</c:v>
                </c:pt>
                <c:pt idx="4">
                  <c:v>6.66</c:v>
                </c:pt>
                <c:pt idx="5">
                  <c:v>6.78</c:v>
                </c:pt>
                <c:pt idx="6">
                  <c:v>6.35</c:v>
                </c:pt>
                <c:pt idx="7">
                  <c:v>6.61</c:v>
                </c:pt>
                <c:pt idx="8">
                  <c:v>6.53</c:v>
                </c:pt>
                <c:pt idx="9">
                  <c:v>6.97</c:v>
                </c:pt>
                <c:pt idx="10">
                  <c:v>6.86</c:v>
                </c:pt>
                <c:pt idx="11">
                  <c:v>6.41</c:v>
                </c:pt>
                <c:pt idx="12">
                  <c:v>6.42</c:v>
                </c:pt>
                <c:pt idx="13">
                  <c:v>6.83</c:v>
                </c:pt>
                <c:pt idx="14">
                  <c:v>6.71</c:v>
                </c:pt>
                <c:pt idx="15">
                  <c:v>6.73</c:v>
                </c:pt>
                <c:pt idx="16">
                  <c:v>6.8</c:v>
                </c:pt>
                <c:pt idx="17">
                  <c:v>6.75</c:v>
                </c:pt>
                <c:pt idx="18">
                  <c:v>6.73</c:v>
                </c:pt>
              </c:numCache>
            </c:numRef>
          </c:val>
          <c:smooth val="0"/>
          <c:extLst>
            <c:ext xmlns:c16="http://schemas.microsoft.com/office/drawing/2014/chart" uri="{C3380CC4-5D6E-409C-BE32-E72D297353CC}">
              <c16:uniqueId val="{00000000-8270-4478-A049-7534671BD96A}"/>
            </c:ext>
          </c:extLst>
        </c:ser>
        <c:dLbls>
          <c:showLegendKey val="0"/>
          <c:showVal val="0"/>
          <c:showCatName val="0"/>
          <c:showSerName val="0"/>
          <c:showPercent val="0"/>
          <c:showBubbleSize val="0"/>
        </c:dLbls>
        <c:marker val="1"/>
        <c:smooth val="0"/>
        <c:axId val="403941288"/>
        <c:axId val="403917672"/>
      </c:lineChart>
      <c:lineChart>
        <c:grouping val="standard"/>
        <c:varyColors val="0"/>
        <c:ser>
          <c:idx val="0"/>
          <c:order val="1"/>
          <c:tx>
            <c:v>Water temperature</c:v>
          </c:tx>
          <c:spPr>
            <a:ln w="6350" cap="rnd">
              <a:solidFill>
                <a:srgbClr val="5064E6"/>
              </a:solidFill>
              <a:round/>
            </a:ln>
            <a:effectLst/>
          </c:spPr>
          <c:marker>
            <c:symbol val="circle"/>
            <c:size val="6"/>
            <c:spPr>
              <a:noFill/>
              <a:ln w="12700">
                <a:solidFill>
                  <a:srgbClr val="5064E6">
                    <a:alpha val="95000"/>
                  </a:srgbClr>
                </a:solidFill>
              </a:ln>
              <a:effectLst/>
            </c:spPr>
          </c:marker>
          <c:cat>
            <c:numRef>
              <c:f>Physicochemical_Managed!$O$58:$O$76</c:f>
              <c:numCache>
                <c:formatCode>mm/dd/yyyy</c:formatCode>
                <c:ptCount val="19"/>
                <c:pt idx="0">
                  <c:v>44294</c:v>
                </c:pt>
                <c:pt idx="1">
                  <c:v>44306</c:v>
                </c:pt>
                <c:pt idx="2">
                  <c:v>44313</c:v>
                </c:pt>
                <c:pt idx="3">
                  <c:v>44320</c:v>
                </c:pt>
                <c:pt idx="4">
                  <c:v>44327</c:v>
                </c:pt>
                <c:pt idx="5">
                  <c:v>44335</c:v>
                </c:pt>
                <c:pt idx="6">
                  <c:v>44342</c:v>
                </c:pt>
                <c:pt idx="7">
                  <c:v>44356</c:v>
                </c:pt>
                <c:pt idx="8">
                  <c:v>44363</c:v>
                </c:pt>
                <c:pt idx="9">
                  <c:v>44370</c:v>
                </c:pt>
                <c:pt idx="10">
                  <c:v>44377</c:v>
                </c:pt>
                <c:pt idx="11">
                  <c:v>44385</c:v>
                </c:pt>
                <c:pt idx="12">
                  <c:v>44391</c:v>
                </c:pt>
                <c:pt idx="13">
                  <c:v>44398</c:v>
                </c:pt>
                <c:pt idx="14">
                  <c:v>44405</c:v>
                </c:pt>
                <c:pt idx="15">
                  <c:v>44432</c:v>
                </c:pt>
                <c:pt idx="16">
                  <c:v>44419</c:v>
                </c:pt>
                <c:pt idx="17">
                  <c:v>44426</c:v>
                </c:pt>
                <c:pt idx="18">
                  <c:v>44433</c:v>
                </c:pt>
              </c:numCache>
            </c:numRef>
          </c:cat>
          <c:val>
            <c:numRef>
              <c:f>Physicochemical_Managed!$R$58:$R$76</c:f>
              <c:numCache>
                <c:formatCode>0.000</c:formatCode>
                <c:ptCount val="19"/>
                <c:pt idx="0">
                  <c:v>22.633333333333336</c:v>
                </c:pt>
                <c:pt idx="1">
                  <c:v>23</c:v>
                </c:pt>
                <c:pt idx="2">
                  <c:v>22.8</c:v>
                </c:pt>
                <c:pt idx="3">
                  <c:v>24.6</c:v>
                </c:pt>
                <c:pt idx="4">
                  <c:v>23.7</c:v>
                </c:pt>
                <c:pt idx="5">
                  <c:v>23.8</c:v>
                </c:pt>
                <c:pt idx="6">
                  <c:v>24.6</c:v>
                </c:pt>
                <c:pt idx="7">
                  <c:v>26</c:v>
                </c:pt>
                <c:pt idx="8">
                  <c:v>27.1</c:v>
                </c:pt>
                <c:pt idx="9">
                  <c:v>26.5</c:v>
                </c:pt>
                <c:pt idx="10">
                  <c:v>25.9</c:v>
                </c:pt>
                <c:pt idx="11">
                  <c:v>26.9</c:v>
                </c:pt>
                <c:pt idx="12">
                  <c:v>27.1</c:v>
                </c:pt>
                <c:pt idx="13">
                  <c:v>26.6</c:v>
                </c:pt>
                <c:pt idx="14">
                  <c:v>28.8</c:v>
                </c:pt>
                <c:pt idx="15">
                  <c:v>28.4</c:v>
                </c:pt>
                <c:pt idx="16">
                  <c:v>27.5</c:v>
                </c:pt>
                <c:pt idx="17">
                  <c:v>28.1</c:v>
                </c:pt>
                <c:pt idx="18">
                  <c:v>28.6</c:v>
                </c:pt>
              </c:numCache>
            </c:numRef>
          </c:val>
          <c:smooth val="0"/>
          <c:extLst>
            <c:ext xmlns:c16="http://schemas.microsoft.com/office/drawing/2014/chart" uri="{C3380CC4-5D6E-409C-BE32-E72D297353CC}">
              <c16:uniqueId val="{00000001-8270-4478-A049-7534671BD96A}"/>
            </c:ext>
          </c:extLst>
        </c:ser>
        <c:dLbls>
          <c:showLegendKey val="0"/>
          <c:showVal val="0"/>
          <c:showCatName val="0"/>
          <c:showSerName val="0"/>
          <c:showPercent val="0"/>
          <c:showBubbleSize val="0"/>
        </c:dLbls>
        <c:marker val="1"/>
        <c:smooth val="0"/>
        <c:axId val="559296576"/>
        <c:axId val="559299528"/>
      </c:lineChart>
      <c:dateAx>
        <c:axId val="403941288"/>
        <c:scaling>
          <c:orientation val="minMax"/>
          <c:max val="44437"/>
          <c:min val="44287"/>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Sampling times--</a:t>
                </a:r>
                <a:r>
                  <a:rPr lang="en-US" b="1">
                    <a:solidFill>
                      <a:srgbClr val="FF0000"/>
                    </a:solidFill>
                  </a:rPr>
                  <a:t>MRT</a:t>
                </a:r>
              </a:p>
            </c:rich>
          </c:tx>
          <c:layout>
            <c:manualLayout>
              <c:xMode val="edge"/>
              <c:yMode val="edge"/>
              <c:x val="0.39785997109175708"/>
              <c:y val="0.94951730232117781"/>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mm/dd/yyyy" sourceLinked="1"/>
        <c:majorTickMark val="out"/>
        <c:minorTickMark val="in"/>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03917672"/>
        <c:crosses val="autoZero"/>
        <c:auto val="1"/>
        <c:lblOffset val="100"/>
        <c:baseTimeUnit val="days"/>
        <c:majorUnit val="15"/>
        <c:majorTimeUnit val="days"/>
        <c:minorUnit val="5"/>
        <c:minorTimeUnit val="days"/>
      </c:dateAx>
      <c:valAx>
        <c:axId val="403917672"/>
        <c:scaling>
          <c:orientation val="minMax"/>
          <c:max val="7"/>
          <c:min val="6.3"/>
        </c:scaling>
        <c:delete val="0"/>
        <c:axPos val="l"/>
        <c:majorGridlines>
          <c:spPr>
            <a:ln w="1270" cap="flat" cmpd="sng" algn="ctr">
              <a:solidFill>
                <a:schemeClr val="tx1"/>
              </a:solidFill>
              <a:prstDash val="solid"/>
              <a:round/>
            </a:ln>
            <a:effectLst/>
          </c:spPr>
        </c:majorGridlines>
        <c:minorGridlines>
          <c:spPr>
            <a:ln w="1270" cap="flat" cmpd="sng" algn="ctr">
              <a:solidFill>
                <a:schemeClr val="bg2">
                  <a:lumMod val="90000"/>
                </a:schemeClr>
              </a:solidFill>
              <a:prstDash val="dash"/>
              <a:round/>
            </a:ln>
            <a:effectLst/>
          </c:spPr>
        </c:min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pH</a:t>
                </a:r>
              </a:p>
            </c:rich>
          </c:tx>
          <c:layout>
            <c:manualLayout>
              <c:xMode val="edge"/>
              <c:yMode val="edge"/>
              <c:x val="6.5976053561081385E-5"/>
              <c:y val="0.40005275279655506"/>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0" sourceLinked="0"/>
        <c:majorTickMark val="out"/>
        <c:minorTickMark val="in"/>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03941288"/>
        <c:crosses val="autoZero"/>
        <c:crossBetween val="between"/>
        <c:majorUnit val="0.1"/>
        <c:minorUnit val="5.000000000000001E-2"/>
      </c:valAx>
      <c:valAx>
        <c:axId val="559299528"/>
        <c:scaling>
          <c:orientation val="minMax"/>
          <c:max val="29"/>
          <c:min val="22"/>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sz="1200" b="0" i="0" baseline="0">
                    <a:solidFill>
                      <a:sysClr val="windowText" lastClr="000000"/>
                    </a:solidFill>
                    <a:effectLst/>
                  </a:rPr>
                  <a:t>Water temperature (°C)</a:t>
                </a:r>
                <a:endParaRPr lang="en-US" sz="1200">
                  <a:solidFill>
                    <a:sysClr val="windowText" lastClr="000000"/>
                  </a:solidFill>
                  <a:effectLst/>
                </a:endParaRPr>
              </a:p>
            </c:rich>
          </c:tx>
          <c:layout>
            <c:manualLayout>
              <c:xMode val="edge"/>
              <c:yMode val="edge"/>
              <c:x val="0.95648225881608995"/>
              <c:y val="0.26744775576297142"/>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 sourceLinked="0"/>
        <c:majorTickMark val="out"/>
        <c:minorTickMark val="in"/>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559296576"/>
        <c:crosses val="max"/>
        <c:crossBetween val="between"/>
        <c:majorUnit val="1"/>
        <c:minorUnit val="0.5"/>
      </c:valAx>
      <c:dateAx>
        <c:axId val="559296576"/>
        <c:scaling>
          <c:orientation val="minMax"/>
          <c:max val="44437"/>
          <c:min val="44287"/>
        </c:scaling>
        <c:delete val="0"/>
        <c:axPos val="t"/>
        <c:numFmt formatCode="mm/dd/yyyy"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bg1"/>
                </a:solidFill>
                <a:latin typeface="Times New Roman" panose="02020603050405020304" pitchFamily="18" charset="0"/>
                <a:ea typeface="+mn-ea"/>
                <a:cs typeface="Times New Roman" panose="02020603050405020304" pitchFamily="18" charset="0"/>
              </a:defRPr>
            </a:pPr>
            <a:endParaRPr lang="en-US"/>
          </a:p>
        </c:txPr>
        <c:crossAx val="559299528"/>
        <c:crosses val="max"/>
        <c:auto val="1"/>
        <c:lblOffset val="100"/>
        <c:baseTimeUnit val="days"/>
      </c:dateAx>
      <c:spPr>
        <a:noFill/>
        <a:ln w="19050">
          <a:solidFill>
            <a:schemeClr val="tx1"/>
          </a:solidFill>
        </a:ln>
        <a:effectLst/>
      </c:spPr>
    </c:plotArea>
    <c:legend>
      <c:legendPos val="r"/>
      <c:legendEntry>
        <c:idx val="0"/>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Entry>
      <c:layout>
        <c:manualLayout>
          <c:xMode val="edge"/>
          <c:yMode val="edge"/>
          <c:x val="0.11073969036513762"/>
          <c:y val="5.0250362259081242E-2"/>
          <c:w val="0.23537977027584361"/>
          <c:h val="8.0425152880114509E-2"/>
        </c:manualLayout>
      </c:layout>
      <c:overlay val="0"/>
      <c:spPr>
        <a:solidFill>
          <a:schemeClr val="bg1"/>
        </a:solid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04646"/>
      </a:solid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13278008298755"/>
          <c:y val="3.6235046109691547E-2"/>
          <c:w val="0.77921161825726137"/>
          <c:h val="0.75850914427279748"/>
        </c:manualLayout>
      </c:layout>
      <c:lineChart>
        <c:grouping val="standard"/>
        <c:varyColors val="0"/>
        <c:ser>
          <c:idx val="3"/>
          <c:order val="0"/>
          <c:tx>
            <c:v>Free chlorine</c:v>
          </c:tx>
          <c:spPr>
            <a:ln w="6350" cap="rnd">
              <a:solidFill>
                <a:srgbClr val="F04646"/>
              </a:solidFill>
              <a:round/>
            </a:ln>
            <a:effectLst/>
          </c:spPr>
          <c:marker>
            <c:symbol val="circle"/>
            <c:size val="6"/>
            <c:spPr>
              <a:solidFill>
                <a:srgbClr val="F04646"/>
              </a:solidFill>
              <a:ln w="12700">
                <a:solidFill>
                  <a:srgbClr val="F04646"/>
                </a:solidFill>
              </a:ln>
              <a:effectLst/>
            </c:spPr>
          </c:marker>
          <c:cat>
            <c:numRef>
              <c:f>Physicochemical_Managed!$O$58:$O$76</c:f>
              <c:numCache>
                <c:formatCode>mm/dd/yyyy</c:formatCode>
                <c:ptCount val="19"/>
                <c:pt idx="0">
                  <c:v>44294</c:v>
                </c:pt>
                <c:pt idx="1">
                  <c:v>44306</c:v>
                </c:pt>
                <c:pt idx="2">
                  <c:v>44313</c:v>
                </c:pt>
                <c:pt idx="3">
                  <c:v>44320</c:v>
                </c:pt>
                <c:pt idx="4">
                  <c:v>44327</c:v>
                </c:pt>
                <c:pt idx="5">
                  <c:v>44335</c:v>
                </c:pt>
                <c:pt idx="6">
                  <c:v>44342</c:v>
                </c:pt>
                <c:pt idx="7">
                  <c:v>44356</c:v>
                </c:pt>
                <c:pt idx="8">
                  <c:v>44363</c:v>
                </c:pt>
                <c:pt idx="9">
                  <c:v>44370</c:v>
                </c:pt>
                <c:pt idx="10">
                  <c:v>44377</c:v>
                </c:pt>
                <c:pt idx="11">
                  <c:v>44385</c:v>
                </c:pt>
                <c:pt idx="12">
                  <c:v>44391</c:v>
                </c:pt>
                <c:pt idx="13">
                  <c:v>44398</c:v>
                </c:pt>
                <c:pt idx="14">
                  <c:v>44405</c:v>
                </c:pt>
                <c:pt idx="15">
                  <c:v>44432</c:v>
                </c:pt>
                <c:pt idx="16">
                  <c:v>44419</c:v>
                </c:pt>
                <c:pt idx="17">
                  <c:v>44426</c:v>
                </c:pt>
                <c:pt idx="18">
                  <c:v>44433</c:v>
                </c:pt>
              </c:numCache>
            </c:numRef>
          </c:cat>
          <c:val>
            <c:numRef>
              <c:f>Physicochemical_Managed!$S$58:$S$76</c:f>
              <c:numCache>
                <c:formatCode>0.000</c:formatCode>
                <c:ptCount val="19"/>
                <c:pt idx="0">
                  <c:v>6.2333333333333331E-2</c:v>
                </c:pt>
                <c:pt idx="1">
                  <c:v>7.0000000000000001E-3</c:v>
                </c:pt>
                <c:pt idx="2">
                  <c:v>7.0000000000000007E-2</c:v>
                </c:pt>
                <c:pt idx="3">
                  <c:v>0.11</c:v>
                </c:pt>
                <c:pt idx="4">
                  <c:v>0.08</c:v>
                </c:pt>
                <c:pt idx="5">
                  <c:v>0.15</c:v>
                </c:pt>
                <c:pt idx="6">
                  <c:v>0.04</c:v>
                </c:pt>
                <c:pt idx="7">
                  <c:v>7.0000000000000007E-2</c:v>
                </c:pt>
                <c:pt idx="8">
                  <c:v>7.0000000000000007E-2</c:v>
                </c:pt>
                <c:pt idx="9">
                  <c:v>2.73</c:v>
                </c:pt>
                <c:pt idx="10">
                  <c:v>2.2200000000000002</c:v>
                </c:pt>
                <c:pt idx="11">
                  <c:v>1.77</c:v>
                </c:pt>
                <c:pt idx="12">
                  <c:v>1.35</c:v>
                </c:pt>
                <c:pt idx="13">
                  <c:v>1.89</c:v>
                </c:pt>
                <c:pt idx="14">
                  <c:v>1.86</c:v>
                </c:pt>
                <c:pt idx="15">
                  <c:v>0.06</c:v>
                </c:pt>
                <c:pt idx="16">
                  <c:v>0.1</c:v>
                </c:pt>
                <c:pt idx="17">
                  <c:v>0.04</c:v>
                </c:pt>
                <c:pt idx="18">
                  <c:v>0.08</c:v>
                </c:pt>
              </c:numCache>
            </c:numRef>
          </c:val>
          <c:smooth val="0"/>
          <c:extLst>
            <c:ext xmlns:c16="http://schemas.microsoft.com/office/drawing/2014/chart" uri="{C3380CC4-5D6E-409C-BE32-E72D297353CC}">
              <c16:uniqueId val="{00000000-AC50-4979-9656-6E8BD70DADD9}"/>
            </c:ext>
          </c:extLst>
        </c:ser>
        <c:ser>
          <c:idx val="0"/>
          <c:order val="1"/>
          <c:tx>
            <c:v>Monochloramine</c:v>
          </c:tx>
          <c:spPr>
            <a:ln w="6350" cap="rnd">
              <a:solidFill>
                <a:srgbClr val="5064E6"/>
              </a:solidFill>
              <a:round/>
            </a:ln>
            <a:effectLst/>
          </c:spPr>
          <c:marker>
            <c:symbol val="circle"/>
            <c:size val="6"/>
            <c:spPr>
              <a:noFill/>
              <a:ln w="12700">
                <a:solidFill>
                  <a:srgbClr val="5064E6">
                    <a:alpha val="95000"/>
                  </a:srgbClr>
                </a:solidFill>
              </a:ln>
              <a:effectLst/>
            </c:spPr>
          </c:marker>
          <c:cat>
            <c:numRef>
              <c:f>Physicochemical_Managed!$O$58:$O$76</c:f>
              <c:numCache>
                <c:formatCode>mm/dd/yyyy</c:formatCode>
                <c:ptCount val="19"/>
                <c:pt idx="0">
                  <c:v>44294</c:v>
                </c:pt>
                <c:pt idx="1">
                  <c:v>44306</c:v>
                </c:pt>
                <c:pt idx="2">
                  <c:v>44313</c:v>
                </c:pt>
                <c:pt idx="3">
                  <c:v>44320</c:v>
                </c:pt>
                <c:pt idx="4">
                  <c:v>44327</c:v>
                </c:pt>
                <c:pt idx="5">
                  <c:v>44335</c:v>
                </c:pt>
                <c:pt idx="6">
                  <c:v>44342</c:v>
                </c:pt>
                <c:pt idx="7">
                  <c:v>44356</c:v>
                </c:pt>
                <c:pt idx="8">
                  <c:v>44363</c:v>
                </c:pt>
                <c:pt idx="9">
                  <c:v>44370</c:v>
                </c:pt>
                <c:pt idx="10">
                  <c:v>44377</c:v>
                </c:pt>
                <c:pt idx="11">
                  <c:v>44385</c:v>
                </c:pt>
                <c:pt idx="12">
                  <c:v>44391</c:v>
                </c:pt>
                <c:pt idx="13">
                  <c:v>44398</c:v>
                </c:pt>
                <c:pt idx="14">
                  <c:v>44405</c:v>
                </c:pt>
                <c:pt idx="15">
                  <c:v>44432</c:v>
                </c:pt>
                <c:pt idx="16">
                  <c:v>44419</c:v>
                </c:pt>
                <c:pt idx="17">
                  <c:v>44426</c:v>
                </c:pt>
                <c:pt idx="18">
                  <c:v>44433</c:v>
                </c:pt>
              </c:numCache>
            </c:numRef>
          </c:cat>
          <c:val>
            <c:numRef>
              <c:f>Physicochemical_Managed!$T$58:$T$76</c:f>
              <c:numCache>
                <c:formatCode>0.000</c:formatCode>
                <c:ptCount val="19"/>
                <c:pt idx="0">
                  <c:v>0.70666666666666667</c:v>
                </c:pt>
                <c:pt idx="1">
                  <c:v>0.65</c:v>
                </c:pt>
                <c:pt idx="2">
                  <c:v>0.72</c:v>
                </c:pt>
                <c:pt idx="3">
                  <c:v>0.6</c:v>
                </c:pt>
                <c:pt idx="4">
                  <c:v>0.85</c:v>
                </c:pt>
                <c:pt idx="5">
                  <c:v>0.34</c:v>
                </c:pt>
                <c:pt idx="6">
                  <c:v>0.49</c:v>
                </c:pt>
                <c:pt idx="7">
                  <c:v>0.73</c:v>
                </c:pt>
                <c:pt idx="8">
                  <c:v>0.71</c:v>
                </c:pt>
                <c:pt idx="9">
                  <c:v>0.01</c:v>
                </c:pt>
                <c:pt idx="10">
                  <c:v>0.01</c:v>
                </c:pt>
                <c:pt idx="11">
                  <c:v>0.01</c:v>
                </c:pt>
                <c:pt idx="12">
                  <c:v>0.01</c:v>
                </c:pt>
                <c:pt idx="13">
                  <c:v>0</c:v>
                </c:pt>
                <c:pt idx="14">
                  <c:v>0</c:v>
                </c:pt>
                <c:pt idx="15">
                  <c:v>0.7</c:v>
                </c:pt>
                <c:pt idx="16">
                  <c:v>0.84</c:v>
                </c:pt>
                <c:pt idx="17">
                  <c:v>0.66</c:v>
                </c:pt>
                <c:pt idx="18">
                  <c:v>0.7</c:v>
                </c:pt>
              </c:numCache>
            </c:numRef>
          </c:val>
          <c:smooth val="0"/>
          <c:extLst>
            <c:ext xmlns:c16="http://schemas.microsoft.com/office/drawing/2014/chart" uri="{C3380CC4-5D6E-409C-BE32-E72D297353CC}">
              <c16:uniqueId val="{00000001-AC50-4979-9656-6E8BD70DADD9}"/>
            </c:ext>
          </c:extLst>
        </c:ser>
        <c:ser>
          <c:idx val="1"/>
          <c:order val="2"/>
          <c:tx>
            <c:v>Total chlorine</c:v>
          </c:tx>
          <c:spPr>
            <a:ln w="6350" cap="rnd">
              <a:solidFill>
                <a:schemeClr val="tx1"/>
              </a:solidFill>
              <a:round/>
            </a:ln>
            <a:effectLst/>
          </c:spPr>
          <c:marker>
            <c:symbol val="square"/>
            <c:size val="6"/>
            <c:spPr>
              <a:noFill/>
              <a:ln w="12700">
                <a:solidFill>
                  <a:schemeClr val="tx1"/>
                </a:solidFill>
              </a:ln>
              <a:effectLst/>
            </c:spPr>
          </c:marker>
          <c:cat>
            <c:numRef>
              <c:f>Physicochemical_Managed!$O$58:$O$76</c:f>
              <c:numCache>
                <c:formatCode>mm/dd/yyyy</c:formatCode>
                <c:ptCount val="19"/>
                <c:pt idx="0">
                  <c:v>44294</c:v>
                </c:pt>
                <c:pt idx="1">
                  <c:v>44306</c:v>
                </c:pt>
                <c:pt idx="2">
                  <c:v>44313</c:v>
                </c:pt>
                <c:pt idx="3">
                  <c:v>44320</c:v>
                </c:pt>
                <c:pt idx="4">
                  <c:v>44327</c:v>
                </c:pt>
                <c:pt idx="5">
                  <c:v>44335</c:v>
                </c:pt>
                <c:pt idx="6">
                  <c:v>44342</c:v>
                </c:pt>
                <c:pt idx="7">
                  <c:v>44356</c:v>
                </c:pt>
                <c:pt idx="8">
                  <c:v>44363</c:v>
                </c:pt>
                <c:pt idx="9">
                  <c:v>44370</c:v>
                </c:pt>
                <c:pt idx="10">
                  <c:v>44377</c:v>
                </c:pt>
                <c:pt idx="11">
                  <c:v>44385</c:v>
                </c:pt>
                <c:pt idx="12">
                  <c:v>44391</c:v>
                </c:pt>
                <c:pt idx="13">
                  <c:v>44398</c:v>
                </c:pt>
                <c:pt idx="14">
                  <c:v>44405</c:v>
                </c:pt>
                <c:pt idx="15">
                  <c:v>44432</c:v>
                </c:pt>
                <c:pt idx="16">
                  <c:v>44419</c:v>
                </c:pt>
                <c:pt idx="17">
                  <c:v>44426</c:v>
                </c:pt>
                <c:pt idx="18">
                  <c:v>44433</c:v>
                </c:pt>
              </c:numCache>
            </c:numRef>
          </c:cat>
          <c:val>
            <c:numRef>
              <c:f>Physicochemical_Managed!$U$58:$U$76</c:f>
              <c:numCache>
                <c:formatCode>0.000</c:formatCode>
                <c:ptCount val="19"/>
                <c:pt idx="0">
                  <c:v>1.0899999999999999</c:v>
                </c:pt>
                <c:pt idx="1">
                  <c:v>0.84</c:v>
                </c:pt>
                <c:pt idx="2">
                  <c:v>1.18</c:v>
                </c:pt>
                <c:pt idx="3">
                  <c:v>0.85</c:v>
                </c:pt>
                <c:pt idx="4">
                  <c:v>1.17</c:v>
                </c:pt>
                <c:pt idx="5">
                  <c:v>0.54</c:v>
                </c:pt>
                <c:pt idx="6">
                  <c:v>0.76</c:v>
                </c:pt>
                <c:pt idx="7">
                  <c:v>0.86</c:v>
                </c:pt>
                <c:pt idx="8">
                  <c:v>1.03</c:v>
                </c:pt>
                <c:pt idx="9">
                  <c:v>2.65</c:v>
                </c:pt>
                <c:pt idx="10">
                  <c:v>2.3199999999999998</c:v>
                </c:pt>
                <c:pt idx="11">
                  <c:v>0.84</c:v>
                </c:pt>
                <c:pt idx="12">
                  <c:v>1.36</c:v>
                </c:pt>
                <c:pt idx="13">
                  <c:v>1.89</c:v>
                </c:pt>
                <c:pt idx="14">
                  <c:v>1.54</c:v>
                </c:pt>
                <c:pt idx="15">
                  <c:v>0.82</c:v>
                </c:pt>
                <c:pt idx="16">
                  <c:v>0.98</c:v>
                </c:pt>
                <c:pt idx="17">
                  <c:v>0.77</c:v>
                </c:pt>
                <c:pt idx="18">
                  <c:v>0.64</c:v>
                </c:pt>
              </c:numCache>
            </c:numRef>
          </c:val>
          <c:smooth val="0"/>
          <c:extLst>
            <c:ext xmlns:c16="http://schemas.microsoft.com/office/drawing/2014/chart" uri="{C3380CC4-5D6E-409C-BE32-E72D297353CC}">
              <c16:uniqueId val="{00000002-AC50-4979-9656-6E8BD70DADD9}"/>
            </c:ext>
          </c:extLst>
        </c:ser>
        <c:dLbls>
          <c:showLegendKey val="0"/>
          <c:showVal val="0"/>
          <c:showCatName val="0"/>
          <c:showSerName val="0"/>
          <c:showPercent val="0"/>
          <c:showBubbleSize val="0"/>
        </c:dLbls>
        <c:marker val="1"/>
        <c:smooth val="0"/>
        <c:axId val="403941288"/>
        <c:axId val="403917672"/>
      </c:lineChart>
      <c:dateAx>
        <c:axId val="403941288"/>
        <c:scaling>
          <c:orientation val="minMax"/>
          <c:max val="44437"/>
          <c:min val="44287"/>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Sampling times--</a:t>
                </a:r>
                <a:r>
                  <a:rPr lang="en-US" b="1">
                    <a:solidFill>
                      <a:srgbClr val="FF0000"/>
                    </a:solidFill>
                  </a:rPr>
                  <a:t>MRT</a:t>
                </a:r>
              </a:p>
            </c:rich>
          </c:tx>
          <c:layout>
            <c:manualLayout>
              <c:xMode val="edge"/>
              <c:yMode val="edge"/>
              <c:x val="0.39785997109175708"/>
              <c:y val="0.94951730232117781"/>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mm/dd/yyyy" sourceLinked="1"/>
        <c:majorTickMark val="out"/>
        <c:minorTickMark val="in"/>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03917672"/>
        <c:crosses val="autoZero"/>
        <c:auto val="1"/>
        <c:lblOffset val="100"/>
        <c:baseTimeUnit val="days"/>
        <c:majorUnit val="15"/>
        <c:majorTimeUnit val="days"/>
        <c:minorUnit val="5"/>
        <c:minorTimeUnit val="days"/>
      </c:dateAx>
      <c:valAx>
        <c:axId val="403917672"/>
        <c:scaling>
          <c:orientation val="minMax"/>
          <c:max val="3"/>
          <c:min val="0"/>
        </c:scaling>
        <c:delete val="0"/>
        <c:axPos val="l"/>
        <c:majorGridlines>
          <c:spPr>
            <a:ln w="1270" cap="flat" cmpd="sng" algn="ctr">
              <a:solidFill>
                <a:schemeClr val="tx1"/>
              </a:solidFill>
              <a:prstDash val="solid"/>
              <a:round/>
            </a:ln>
            <a:effectLst/>
          </c:spPr>
        </c:majorGridlines>
        <c:minorGridlines>
          <c:spPr>
            <a:ln w="1270" cap="flat" cmpd="sng" algn="ctr">
              <a:solidFill>
                <a:schemeClr val="bg2">
                  <a:lumMod val="90000"/>
                </a:schemeClr>
              </a:solidFill>
              <a:prstDash val="dash"/>
              <a:round/>
            </a:ln>
            <a:effectLst/>
          </c:spPr>
        </c:min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Chlorine (mg Cl</a:t>
                </a:r>
                <a:r>
                  <a:rPr lang="en-US" baseline="-25000"/>
                  <a:t>2</a:t>
                </a:r>
                <a:r>
                  <a:rPr lang="en-US"/>
                  <a:t>·L</a:t>
                </a:r>
                <a:r>
                  <a:rPr lang="en-US" baseline="30000"/>
                  <a:t>-1</a:t>
                </a:r>
                <a:r>
                  <a:rPr lang="en-US"/>
                  <a:t>)</a:t>
                </a:r>
              </a:p>
            </c:rich>
          </c:tx>
          <c:layout>
            <c:manualLayout>
              <c:xMode val="edge"/>
              <c:yMode val="edge"/>
              <c:x val="6.5976053561081209E-5"/>
              <c:y val="0.2827105058966991"/>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0" sourceLinked="0"/>
        <c:majorTickMark val="out"/>
        <c:minorTickMark val="in"/>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03941288"/>
        <c:crosses val="autoZero"/>
        <c:crossBetween val="between"/>
        <c:majorUnit val="0.5"/>
        <c:minorUnit val="0.25"/>
      </c:valAx>
      <c:spPr>
        <a:noFill/>
        <a:ln w="19050">
          <a:solidFill>
            <a:schemeClr val="tx1"/>
          </a:solidFill>
        </a:ln>
        <a:effectLst/>
      </c:spPr>
    </c:plotArea>
    <c:legend>
      <c:legendPos val="r"/>
      <c:legendEntry>
        <c:idx val="0"/>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Entry>
      <c:layout>
        <c:manualLayout>
          <c:xMode val="edge"/>
          <c:yMode val="edge"/>
          <c:x val="0.11073969036513762"/>
          <c:y val="4.0263787125535376E-2"/>
          <c:w val="0.22798312160438464"/>
          <c:h val="0.11352553820857748"/>
        </c:manualLayout>
      </c:layout>
      <c:overlay val="0"/>
      <c:spPr>
        <a:solidFill>
          <a:schemeClr val="bg1"/>
        </a:solid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04646"/>
      </a:solid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13278008298755"/>
          <c:y val="3.6235046109691547E-2"/>
          <c:w val="0.77921161825726137"/>
          <c:h val="0.75850914427279748"/>
        </c:manualLayout>
      </c:layout>
      <c:lineChart>
        <c:grouping val="standard"/>
        <c:varyColors val="0"/>
        <c:ser>
          <c:idx val="3"/>
          <c:order val="0"/>
          <c:tx>
            <c:v>Free ammonia</c:v>
          </c:tx>
          <c:spPr>
            <a:ln w="6350" cap="rnd">
              <a:solidFill>
                <a:srgbClr val="F04646"/>
              </a:solidFill>
              <a:round/>
            </a:ln>
            <a:effectLst/>
          </c:spPr>
          <c:marker>
            <c:symbol val="circle"/>
            <c:size val="6"/>
            <c:spPr>
              <a:solidFill>
                <a:srgbClr val="F04646"/>
              </a:solidFill>
              <a:ln w="12700">
                <a:solidFill>
                  <a:srgbClr val="F04646"/>
                </a:solidFill>
              </a:ln>
              <a:effectLst/>
            </c:spPr>
          </c:marker>
          <c:cat>
            <c:numRef>
              <c:f>Physicochemical_Managed!$O$58:$O$76</c:f>
              <c:numCache>
                <c:formatCode>mm/dd/yyyy</c:formatCode>
                <c:ptCount val="19"/>
                <c:pt idx="0">
                  <c:v>44294</c:v>
                </c:pt>
                <c:pt idx="1">
                  <c:v>44306</c:v>
                </c:pt>
                <c:pt idx="2">
                  <c:v>44313</c:v>
                </c:pt>
                <c:pt idx="3">
                  <c:v>44320</c:v>
                </c:pt>
                <c:pt idx="4">
                  <c:v>44327</c:v>
                </c:pt>
                <c:pt idx="5">
                  <c:v>44335</c:v>
                </c:pt>
                <c:pt idx="6">
                  <c:v>44342</c:v>
                </c:pt>
                <c:pt idx="7">
                  <c:v>44356</c:v>
                </c:pt>
                <c:pt idx="8">
                  <c:v>44363</c:v>
                </c:pt>
                <c:pt idx="9">
                  <c:v>44370</c:v>
                </c:pt>
                <c:pt idx="10">
                  <c:v>44377</c:v>
                </c:pt>
                <c:pt idx="11">
                  <c:v>44385</c:v>
                </c:pt>
                <c:pt idx="12">
                  <c:v>44391</c:v>
                </c:pt>
                <c:pt idx="13">
                  <c:v>44398</c:v>
                </c:pt>
                <c:pt idx="14">
                  <c:v>44405</c:v>
                </c:pt>
                <c:pt idx="15">
                  <c:v>44432</c:v>
                </c:pt>
                <c:pt idx="16">
                  <c:v>44419</c:v>
                </c:pt>
                <c:pt idx="17">
                  <c:v>44426</c:v>
                </c:pt>
                <c:pt idx="18">
                  <c:v>44433</c:v>
                </c:pt>
              </c:numCache>
            </c:numRef>
          </c:cat>
          <c:val>
            <c:numRef>
              <c:f>Physicochemical_Managed!$V$58:$V$76</c:f>
              <c:numCache>
                <c:formatCode>0.000</c:formatCode>
                <c:ptCount val="19"/>
                <c:pt idx="0">
                  <c:v>0.33</c:v>
                </c:pt>
                <c:pt idx="1">
                  <c:v>0.22</c:v>
                </c:pt>
                <c:pt idx="2">
                  <c:v>0.39</c:v>
                </c:pt>
                <c:pt idx="3">
                  <c:v>0.28999999999999998</c:v>
                </c:pt>
                <c:pt idx="4">
                  <c:v>0.23</c:v>
                </c:pt>
                <c:pt idx="5">
                  <c:v>0.17</c:v>
                </c:pt>
                <c:pt idx="6">
                  <c:v>0.19</c:v>
                </c:pt>
                <c:pt idx="7">
                  <c:v>0.2</c:v>
                </c:pt>
                <c:pt idx="8">
                  <c:v>0.33</c:v>
                </c:pt>
                <c:pt idx="9">
                  <c:v>0.19</c:v>
                </c:pt>
                <c:pt idx="10">
                  <c:v>0.1</c:v>
                </c:pt>
                <c:pt idx="11">
                  <c:v>0.05</c:v>
                </c:pt>
                <c:pt idx="12">
                  <c:v>0.01</c:v>
                </c:pt>
                <c:pt idx="13">
                  <c:v>0.24</c:v>
                </c:pt>
                <c:pt idx="14">
                  <c:v>0.03</c:v>
                </c:pt>
                <c:pt idx="15">
                  <c:v>0.17</c:v>
                </c:pt>
                <c:pt idx="16">
                  <c:v>0.19</c:v>
                </c:pt>
                <c:pt idx="17">
                  <c:v>0.24</c:v>
                </c:pt>
                <c:pt idx="18">
                  <c:v>0.7</c:v>
                </c:pt>
              </c:numCache>
            </c:numRef>
          </c:val>
          <c:smooth val="0"/>
          <c:extLst>
            <c:ext xmlns:c16="http://schemas.microsoft.com/office/drawing/2014/chart" uri="{C3380CC4-5D6E-409C-BE32-E72D297353CC}">
              <c16:uniqueId val="{00000000-A817-4140-9EE5-254DBB104F80}"/>
            </c:ext>
          </c:extLst>
        </c:ser>
        <c:ser>
          <c:idx val="0"/>
          <c:order val="1"/>
          <c:tx>
            <c:v>Nitrite</c:v>
          </c:tx>
          <c:spPr>
            <a:ln w="6350" cap="rnd">
              <a:solidFill>
                <a:srgbClr val="5064E6"/>
              </a:solidFill>
              <a:round/>
            </a:ln>
            <a:effectLst/>
          </c:spPr>
          <c:marker>
            <c:symbol val="circle"/>
            <c:size val="6"/>
            <c:spPr>
              <a:noFill/>
              <a:ln w="12700">
                <a:solidFill>
                  <a:srgbClr val="5064E6">
                    <a:alpha val="95000"/>
                  </a:srgbClr>
                </a:solidFill>
              </a:ln>
              <a:effectLst/>
            </c:spPr>
          </c:marker>
          <c:cat>
            <c:numRef>
              <c:f>Physicochemical_Managed!$O$58:$O$76</c:f>
              <c:numCache>
                <c:formatCode>mm/dd/yyyy</c:formatCode>
                <c:ptCount val="19"/>
                <c:pt idx="0">
                  <c:v>44294</c:v>
                </c:pt>
                <c:pt idx="1">
                  <c:v>44306</c:v>
                </c:pt>
                <c:pt idx="2">
                  <c:v>44313</c:v>
                </c:pt>
                <c:pt idx="3">
                  <c:v>44320</c:v>
                </c:pt>
                <c:pt idx="4">
                  <c:v>44327</c:v>
                </c:pt>
                <c:pt idx="5">
                  <c:v>44335</c:v>
                </c:pt>
                <c:pt idx="6">
                  <c:v>44342</c:v>
                </c:pt>
                <c:pt idx="7">
                  <c:v>44356</c:v>
                </c:pt>
                <c:pt idx="8">
                  <c:v>44363</c:v>
                </c:pt>
                <c:pt idx="9">
                  <c:v>44370</c:v>
                </c:pt>
                <c:pt idx="10">
                  <c:v>44377</c:v>
                </c:pt>
                <c:pt idx="11">
                  <c:v>44385</c:v>
                </c:pt>
                <c:pt idx="12">
                  <c:v>44391</c:v>
                </c:pt>
                <c:pt idx="13">
                  <c:v>44398</c:v>
                </c:pt>
                <c:pt idx="14">
                  <c:v>44405</c:v>
                </c:pt>
                <c:pt idx="15">
                  <c:v>44432</c:v>
                </c:pt>
                <c:pt idx="16">
                  <c:v>44419</c:v>
                </c:pt>
                <c:pt idx="17">
                  <c:v>44426</c:v>
                </c:pt>
                <c:pt idx="18">
                  <c:v>44433</c:v>
                </c:pt>
              </c:numCache>
            </c:numRef>
          </c:cat>
          <c:val>
            <c:numRef>
              <c:f>Physicochemical_Managed!$W$58:$W$76</c:f>
              <c:numCache>
                <c:formatCode>0.000</c:formatCode>
                <c:ptCount val="19"/>
                <c:pt idx="0">
                  <c:v>0.06</c:v>
                </c:pt>
                <c:pt idx="1">
                  <c:v>7.0000000000000007E-2</c:v>
                </c:pt>
                <c:pt idx="2">
                  <c:v>4.8000000000000001E-2</c:v>
                </c:pt>
                <c:pt idx="3">
                  <c:v>7.5999999999999998E-2</c:v>
                </c:pt>
                <c:pt idx="4">
                  <c:v>5.1999999999999998E-2</c:v>
                </c:pt>
                <c:pt idx="5">
                  <c:v>6.3E-2</c:v>
                </c:pt>
                <c:pt idx="6">
                  <c:v>7.6999999999999999E-2</c:v>
                </c:pt>
                <c:pt idx="7">
                  <c:v>5.5E-2</c:v>
                </c:pt>
                <c:pt idx="8">
                  <c:v>5.0999999999999997E-2</c:v>
                </c:pt>
                <c:pt idx="9">
                  <c:v>8.0000000000000002E-3</c:v>
                </c:pt>
                <c:pt idx="10">
                  <c:v>1.2E-2</c:v>
                </c:pt>
                <c:pt idx="11">
                  <c:v>6.0000000000000001E-3</c:v>
                </c:pt>
                <c:pt idx="12">
                  <c:v>8.9999999999999993E-3</c:v>
                </c:pt>
                <c:pt idx="13">
                  <c:v>0.01</c:v>
                </c:pt>
                <c:pt idx="14">
                  <c:v>7.0000000000000001E-3</c:v>
                </c:pt>
                <c:pt idx="15">
                  <c:v>8.0000000000000002E-3</c:v>
                </c:pt>
                <c:pt idx="16">
                  <c:v>7.0000000000000001E-3</c:v>
                </c:pt>
                <c:pt idx="17">
                  <c:v>7.0000000000000001E-3</c:v>
                </c:pt>
                <c:pt idx="18">
                  <c:v>8.0000000000000002E-3</c:v>
                </c:pt>
              </c:numCache>
            </c:numRef>
          </c:val>
          <c:smooth val="0"/>
          <c:extLst>
            <c:ext xmlns:c16="http://schemas.microsoft.com/office/drawing/2014/chart" uri="{C3380CC4-5D6E-409C-BE32-E72D297353CC}">
              <c16:uniqueId val="{00000001-A817-4140-9EE5-254DBB104F80}"/>
            </c:ext>
          </c:extLst>
        </c:ser>
        <c:dLbls>
          <c:showLegendKey val="0"/>
          <c:showVal val="0"/>
          <c:showCatName val="0"/>
          <c:showSerName val="0"/>
          <c:showPercent val="0"/>
          <c:showBubbleSize val="0"/>
        </c:dLbls>
        <c:marker val="1"/>
        <c:smooth val="0"/>
        <c:axId val="403941288"/>
        <c:axId val="403917672"/>
      </c:lineChart>
      <c:lineChart>
        <c:grouping val="standard"/>
        <c:varyColors val="0"/>
        <c:ser>
          <c:idx val="1"/>
          <c:order val="2"/>
          <c:tx>
            <c:v>Orthophosphate</c:v>
          </c:tx>
          <c:spPr>
            <a:ln w="6350" cap="rnd">
              <a:solidFill>
                <a:schemeClr val="tx1"/>
              </a:solidFill>
              <a:round/>
            </a:ln>
            <a:effectLst/>
          </c:spPr>
          <c:marker>
            <c:symbol val="square"/>
            <c:size val="6"/>
            <c:spPr>
              <a:noFill/>
              <a:ln w="12700">
                <a:solidFill>
                  <a:schemeClr val="tx1"/>
                </a:solidFill>
              </a:ln>
              <a:effectLst/>
            </c:spPr>
          </c:marker>
          <c:cat>
            <c:numRef>
              <c:f>Physicochemical_Managed!$O$58:$O$76</c:f>
              <c:numCache>
                <c:formatCode>mm/dd/yyyy</c:formatCode>
                <c:ptCount val="19"/>
                <c:pt idx="0">
                  <c:v>44294</c:v>
                </c:pt>
                <c:pt idx="1">
                  <c:v>44306</c:v>
                </c:pt>
                <c:pt idx="2">
                  <c:v>44313</c:v>
                </c:pt>
                <c:pt idx="3">
                  <c:v>44320</c:v>
                </c:pt>
                <c:pt idx="4">
                  <c:v>44327</c:v>
                </c:pt>
                <c:pt idx="5">
                  <c:v>44335</c:v>
                </c:pt>
                <c:pt idx="6">
                  <c:v>44342</c:v>
                </c:pt>
                <c:pt idx="7">
                  <c:v>44356</c:v>
                </c:pt>
                <c:pt idx="8">
                  <c:v>44363</c:v>
                </c:pt>
                <c:pt idx="9">
                  <c:v>44370</c:v>
                </c:pt>
                <c:pt idx="10">
                  <c:v>44377</c:v>
                </c:pt>
                <c:pt idx="11">
                  <c:v>44385</c:v>
                </c:pt>
                <c:pt idx="12">
                  <c:v>44391</c:v>
                </c:pt>
                <c:pt idx="13">
                  <c:v>44398</c:v>
                </c:pt>
                <c:pt idx="14">
                  <c:v>44405</c:v>
                </c:pt>
                <c:pt idx="15">
                  <c:v>44432</c:v>
                </c:pt>
                <c:pt idx="16">
                  <c:v>44419</c:v>
                </c:pt>
                <c:pt idx="17">
                  <c:v>44426</c:v>
                </c:pt>
                <c:pt idx="18">
                  <c:v>44433</c:v>
                </c:pt>
              </c:numCache>
            </c:numRef>
          </c:cat>
          <c:val>
            <c:numRef>
              <c:f>Physicochemical_Managed!$X$58:$X$76</c:f>
              <c:numCache>
                <c:formatCode>0.000</c:formatCode>
                <c:ptCount val="19"/>
                <c:pt idx="0">
                  <c:v>0.5033333333333333</c:v>
                </c:pt>
                <c:pt idx="1">
                  <c:v>0.49</c:v>
                </c:pt>
                <c:pt idx="2">
                  <c:v>0.51</c:v>
                </c:pt>
                <c:pt idx="3">
                  <c:v>0.49</c:v>
                </c:pt>
                <c:pt idx="4">
                  <c:v>0.49</c:v>
                </c:pt>
                <c:pt idx="5">
                  <c:v>0.53</c:v>
                </c:pt>
                <c:pt idx="6">
                  <c:v>0.48</c:v>
                </c:pt>
                <c:pt idx="7">
                  <c:v>0.51</c:v>
                </c:pt>
                <c:pt idx="8">
                  <c:v>0.56000000000000005</c:v>
                </c:pt>
                <c:pt idx="9">
                  <c:v>0.53</c:v>
                </c:pt>
                <c:pt idx="10">
                  <c:v>0.67</c:v>
                </c:pt>
                <c:pt idx="11">
                  <c:v>0.65</c:v>
                </c:pt>
                <c:pt idx="12">
                  <c:v>0.54</c:v>
                </c:pt>
                <c:pt idx="13">
                  <c:v>0.69</c:v>
                </c:pt>
                <c:pt idx="14">
                  <c:v>0.65</c:v>
                </c:pt>
                <c:pt idx="15">
                  <c:v>0.69</c:v>
                </c:pt>
                <c:pt idx="16">
                  <c:v>0.7</c:v>
                </c:pt>
                <c:pt idx="17">
                  <c:v>0.69</c:v>
                </c:pt>
                <c:pt idx="18">
                  <c:v>0.66</c:v>
                </c:pt>
              </c:numCache>
            </c:numRef>
          </c:val>
          <c:smooth val="0"/>
          <c:extLst>
            <c:ext xmlns:c16="http://schemas.microsoft.com/office/drawing/2014/chart" uri="{C3380CC4-5D6E-409C-BE32-E72D297353CC}">
              <c16:uniqueId val="{00000002-A817-4140-9EE5-254DBB104F80}"/>
            </c:ext>
          </c:extLst>
        </c:ser>
        <c:dLbls>
          <c:showLegendKey val="0"/>
          <c:showVal val="0"/>
          <c:showCatName val="0"/>
          <c:showSerName val="0"/>
          <c:showPercent val="0"/>
          <c:showBubbleSize val="0"/>
        </c:dLbls>
        <c:marker val="1"/>
        <c:smooth val="0"/>
        <c:axId val="774072144"/>
        <c:axId val="780465376"/>
      </c:lineChart>
      <c:dateAx>
        <c:axId val="403941288"/>
        <c:scaling>
          <c:orientation val="minMax"/>
          <c:max val="44437"/>
          <c:min val="44287"/>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Sampling times--</a:t>
                </a:r>
                <a:r>
                  <a:rPr lang="en-US" b="1">
                    <a:solidFill>
                      <a:srgbClr val="FF0000"/>
                    </a:solidFill>
                  </a:rPr>
                  <a:t>MRT</a:t>
                </a:r>
              </a:p>
            </c:rich>
          </c:tx>
          <c:layout>
            <c:manualLayout>
              <c:xMode val="edge"/>
              <c:yMode val="edge"/>
              <c:x val="0.39785997109175708"/>
              <c:y val="0.94951730232117781"/>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mm/dd/yyyy" sourceLinked="1"/>
        <c:majorTickMark val="out"/>
        <c:minorTickMark val="in"/>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03917672"/>
        <c:crosses val="autoZero"/>
        <c:auto val="1"/>
        <c:lblOffset val="100"/>
        <c:baseTimeUnit val="days"/>
        <c:majorUnit val="15"/>
        <c:majorTimeUnit val="days"/>
        <c:minorUnit val="5"/>
        <c:minorTimeUnit val="days"/>
      </c:dateAx>
      <c:valAx>
        <c:axId val="403917672"/>
        <c:scaling>
          <c:orientation val="minMax"/>
          <c:max val="0.71000000000000008"/>
          <c:min val="0"/>
        </c:scaling>
        <c:delete val="0"/>
        <c:axPos val="l"/>
        <c:majorGridlines>
          <c:spPr>
            <a:ln w="1270" cap="flat" cmpd="sng" algn="ctr">
              <a:solidFill>
                <a:schemeClr val="tx1"/>
              </a:solidFill>
              <a:prstDash val="solid"/>
              <a:round/>
            </a:ln>
            <a:effectLst/>
          </c:spPr>
        </c:majorGridlines>
        <c:minorGridlines>
          <c:spPr>
            <a:ln w="1270" cap="flat" cmpd="sng" algn="ctr">
              <a:solidFill>
                <a:schemeClr val="bg2">
                  <a:lumMod val="90000"/>
                </a:schemeClr>
              </a:solidFill>
              <a:prstDash val="dash"/>
              <a:round/>
            </a:ln>
            <a:effectLst/>
          </c:spPr>
        </c:min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Free</a:t>
                </a:r>
                <a:r>
                  <a:rPr lang="en-US" baseline="0"/>
                  <a:t> ammonia and nitrite</a:t>
                </a:r>
                <a:r>
                  <a:rPr lang="en-US"/>
                  <a:t> (mg N·L</a:t>
                </a:r>
                <a:r>
                  <a:rPr lang="en-US" baseline="30000"/>
                  <a:t>-1</a:t>
                </a:r>
                <a:r>
                  <a:rPr lang="en-US"/>
                  <a:t>)</a:t>
                </a:r>
              </a:p>
            </c:rich>
          </c:tx>
          <c:layout>
            <c:manualLayout>
              <c:xMode val="edge"/>
              <c:yMode val="edge"/>
              <c:x val="6.5976053561081385E-5"/>
              <c:y val="0.19782461726155923"/>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0" sourceLinked="0"/>
        <c:majorTickMark val="out"/>
        <c:minorTickMark val="in"/>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03941288"/>
        <c:crosses val="autoZero"/>
        <c:crossBetween val="between"/>
        <c:majorUnit val="0.1"/>
        <c:minorUnit val="5.000000000000001E-2"/>
      </c:valAx>
      <c:valAx>
        <c:axId val="780465376"/>
        <c:scaling>
          <c:orientation val="minMax"/>
          <c:max val="0.71000000000000008"/>
          <c:min val="0.45"/>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Orthophosphate (</a:t>
                </a:r>
                <a:r>
                  <a:rPr lang="en-US" baseline="0"/>
                  <a:t>PO</a:t>
                </a:r>
                <a:r>
                  <a:rPr lang="en-US" baseline="-25000"/>
                  <a:t>4</a:t>
                </a:r>
                <a:r>
                  <a:rPr lang="en-US" baseline="30000"/>
                  <a:t>3-</a:t>
                </a:r>
                <a:r>
                  <a:rPr lang="en-US" baseline="0"/>
                  <a:t>·L</a:t>
                </a:r>
                <a:r>
                  <a:rPr lang="en-US" baseline="30000"/>
                  <a:t>-1</a:t>
                </a:r>
                <a:r>
                  <a:rPr lang="en-US"/>
                  <a:t>)</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00" sourceLinked="0"/>
        <c:majorTickMark val="out"/>
        <c:minorTickMark val="in"/>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74072144"/>
        <c:crosses val="max"/>
        <c:crossBetween val="between"/>
        <c:majorUnit val="5.000000000000001E-2"/>
        <c:minorUnit val="2.5000000000000005E-2"/>
      </c:valAx>
      <c:dateAx>
        <c:axId val="774072144"/>
        <c:scaling>
          <c:orientation val="minMax"/>
        </c:scaling>
        <c:delete val="1"/>
        <c:axPos val="b"/>
        <c:numFmt formatCode="mm/dd/yyyy" sourceLinked="1"/>
        <c:majorTickMark val="out"/>
        <c:minorTickMark val="none"/>
        <c:tickLblPos val="nextTo"/>
        <c:crossAx val="780465376"/>
        <c:crosses val="autoZero"/>
        <c:auto val="1"/>
        <c:lblOffset val="100"/>
        <c:baseTimeUnit val="days"/>
      </c:dateAx>
      <c:spPr>
        <a:noFill/>
        <a:ln w="19050">
          <a:solidFill>
            <a:schemeClr val="tx1"/>
          </a:solidFill>
        </a:ln>
        <a:effectLst/>
      </c:spPr>
    </c:plotArea>
    <c:legend>
      <c:legendPos val="r"/>
      <c:legendEntry>
        <c:idx val="0"/>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Entry>
      <c:layout>
        <c:manualLayout>
          <c:xMode val="edge"/>
          <c:yMode val="edge"/>
          <c:x val="0.11681139964213569"/>
          <c:y val="5.3523128062688954E-2"/>
          <c:w val="0.22798312160438464"/>
          <c:h val="9.8627455336123951E-2"/>
        </c:manualLayout>
      </c:layout>
      <c:overlay val="0"/>
      <c:spPr>
        <a:solidFill>
          <a:schemeClr val="bg1"/>
        </a:solid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04646"/>
      </a:solid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13278008298755"/>
          <c:y val="3.6235046109691547E-2"/>
          <c:w val="0.77921161825726137"/>
          <c:h val="0.75850914427279748"/>
        </c:manualLayout>
      </c:layout>
      <c:lineChart>
        <c:grouping val="standard"/>
        <c:varyColors val="0"/>
        <c:ser>
          <c:idx val="3"/>
          <c:order val="0"/>
          <c:tx>
            <c:v>pH</c:v>
          </c:tx>
          <c:spPr>
            <a:ln w="6350" cap="rnd">
              <a:solidFill>
                <a:srgbClr val="F04646"/>
              </a:solidFill>
              <a:round/>
            </a:ln>
            <a:effectLst/>
          </c:spPr>
          <c:marker>
            <c:symbol val="circle"/>
            <c:size val="6"/>
            <c:spPr>
              <a:solidFill>
                <a:srgbClr val="F04646"/>
              </a:solidFill>
              <a:ln w="12700">
                <a:solidFill>
                  <a:srgbClr val="F04646"/>
                </a:solidFill>
              </a:ln>
              <a:effectLst/>
            </c:spPr>
          </c:marker>
          <c:cat>
            <c:numRef>
              <c:f>Physicochemical_Managed!$O$77:$O$109</c:f>
              <c:numCache>
                <c:formatCode>mm/dd/yyyy</c:formatCode>
                <c:ptCount val="33"/>
                <c:pt idx="0">
                  <c:v>44293</c:v>
                </c:pt>
                <c:pt idx="1">
                  <c:v>44313</c:v>
                </c:pt>
                <c:pt idx="2">
                  <c:v>44327</c:v>
                </c:pt>
                <c:pt idx="3">
                  <c:v>44334</c:v>
                </c:pt>
                <c:pt idx="4">
                  <c:v>44335</c:v>
                </c:pt>
                <c:pt idx="5">
                  <c:v>44341</c:v>
                </c:pt>
                <c:pt idx="6">
                  <c:v>44342</c:v>
                </c:pt>
                <c:pt idx="7">
                  <c:v>44349</c:v>
                </c:pt>
                <c:pt idx="8">
                  <c:v>44350</c:v>
                </c:pt>
                <c:pt idx="9">
                  <c:v>44355</c:v>
                </c:pt>
                <c:pt idx="10">
                  <c:v>44356</c:v>
                </c:pt>
                <c:pt idx="11">
                  <c:v>44362</c:v>
                </c:pt>
                <c:pt idx="12">
                  <c:v>44363</c:v>
                </c:pt>
                <c:pt idx="13">
                  <c:v>44369</c:v>
                </c:pt>
                <c:pt idx="14">
                  <c:v>44370</c:v>
                </c:pt>
                <c:pt idx="15">
                  <c:v>44376</c:v>
                </c:pt>
                <c:pt idx="16">
                  <c:v>44377</c:v>
                </c:pt>
                <c:pt idx="17">
                  <c:v>44384</c:v>
                </c:pt>
                <c:pt idx="18">
                  <c:v>44385</c:v>
                </c:pt>
                <c:pt idx="19">
                  <c:v>44390</c:v>
                </c:pt>
                <c:pt idx="20">
                  <c:v>44391</c:v>
                </c:pt>
                <c:pt idx="21">
                  <c:v>44397</c:v>
                </c:pt>
                <c:pt idx="22">
                  <c:v>44398</c:v>
                </c:pt>
                <c:pt idx="23">
                  <c:v>44404</c:v>
                </c:pt>
                <c:pt idx="24">
                  <c:v>44405</c:v>
                </c:pt>
                <c:pt idx="25">
                  <c:v>44411</c:v>
                </c:pt>
                <c:pt idx="26">
                  <c:v>44412</c:v>
                </c:pt>
                <c:pt idx="27">
                  <c:v>44418</c:v>
                </c:pt>
                <c:pt idx="28">
                  <c:v>44419</c:v>
                </c:pt>
                <c:pt idx="29">
                  <c:v>44425</c:v>
                </c:pt>
                <c:pt idx="30">
                  <c:v>44426</c:v>
                </c:pt>
                <c:pt idx="31">
                  <c:v>44432</c:v>
                </c:pt>
                <c:pt idx="32">
                  <c:v>44433</c:v>
                </c:pt>
              </c:numCache>
            </c:numRef>
          </c:cat>
          <c:val>
            <c:numRef>
              <c:f>Physicochemical_Managed!$Q$77:$Q$109</c:f>
              <c:numCache>
                <c:formatCode>0.000</c:formatCode>
                <c:ptCount val="33"/>
                <c:pt idx="0">
                  <c:v>6.7666666666666657</c:v>
                </c:pt>
                <c:pt idx="1">
                  <c:v>6.78</c:v>
                </c:pt>
                <c:pt idx="2">
                  <c:v>6.74</c:v>
                </c:pt>
                <c:pt idx="3">
                  <c:v>7.09</c:v>
                </c:pt>
                <c:pt idx="4">
                  <c:v>6.82</c:v>
                </c:pt>
                <c:pt idx="5">
                  <c:v>6.95</c:v>
                </c:pt>
                <c:pt idx="6">
                  <c:v>6.7200000000000006</c:v>
                </c:pt>
                <c:pt idx="7">
                  <c:v>6.81</c:v>
                </c:pt>
                <c:pt idx="8">
                  <c:v>6.7050000000000001</c:v>
                </c:pt>
                <c:pt idx="9">
                  <c:v>6.75</c:v>
                </c:pt>
                <c:pt idx="10">
                  <c:v>6.7449999999999992</c:v>
                </c:pt>
                <c:pt idx="11">
                  <c:v>6.76</c:v>
                </c:pt>
                <c:pt idx="12">
                  <c:v>6.74</c:v>
                </c:pt>
                <c:pt idx="13">
                  <c:v>6.72</c:v>
                </c:pt>
                <c:pt idx="14">
                  <c:v>6.7949999999999999</c:v>
                </c:pt>
                <c:pt idx="15">
                  <c:v>6.7</c:v>
                </c:pt>
                <c:pt idx="16">
                  <c:v>6.76</c:v>
                </c:pt>
                <c:pt idx="17">
                  <c:v>6.8</c:v>
                </c:pt>
                <c:pt idx="18">
                  <c:v>6.8849999999999998</c:v>
                </c:pt>
                <c:pt idx="19">
                  <c:v>6.74</c:v>
                </c:pt>
                <c:pt idx="20">
                  <c:v>6.8849999999999998</c:v>
                </c:pt>
                <c:pt idx="21">
                  <c:v>6.78</c:v>
                </c:pt>
                <c:pt idx="22">
                  <c:v>6.8450000000000006</c:v>
                </c:pt>
                <c:pt idx="23">
                  <c:v>6.74</c:v>
                </c:pt>
                <c:pt idx="24">
                  <c:v>6.75</c:v>
                </c:pt>
                <c:pt idx="25">
                  <c:v>6.81</c:v>
                </c:pt>
                <c:pt idx="26">
                  <c:v>6.74</c:v>
                </c:pt>
                <c:pt idx="27">
                  <c:v>6.82</c:v>
                </c:pt>
                <c:pt idx="28">
                  <c:v>6.82</c:v>
                </c:pt>
                <c:pt idx="29">
                  <c:v>6.73</c:v>
                </c:pt>
                <c:pt idx="30">
                  <c:v>7.1050000000000004</c:v>
                </c:pt>
                <c:pt idx="31">
                  <c:v>6.84</c:v>
                </c:pt>
                <c:pt idx="32">
                  <c:v>6.915</c:v>
                </c:pt>
              </c:numCache>
            </c:numRef>
          </c:val>
          <c:smooth val="0"/>
          <c:extLst>
            <c:ext xmlns:c16="http://schemas.microsoft.com/office/drawing/2014/chart" uri="{C3380CC4-5D6E-409C-BE32-E72D297353CC}">
              <c16:uniqueId val="{00000000-F405-454A-B1D5-EA006062077B}"/>
            </c:ext>
          </c:extLst>
        </c:ser>
        <c:dLbls>
          <c:showLegendKey val="0"/>
          <c:showVal val="0"/>
          <c:showCatName val="0"/>
          <c:showSerName val="0"/>
          <c:showPercent val="0"/>
          <c:showBubbleSize val="0"/>
        </c:dLbls>
        <c:marker val="1"/>
        <c:smooth val="0"/>
        <c:axId val="403941288"/>
        <c:axId val="403917672"/>
      </c:lineChart>
      <c:lineChart>
        <c:grouping val="standard"/>
        <c:varyColors val="0"/>
        <c:ser>
          <c:idx val="0"/>
          <c:order val="1"/>
          <c:tx>
            <c:v>Water temperature</c:v>
          </c:tx>
          <c:spPr>
            <a:ln w="6350" cap="rnd">
              <a:solidFill>
                <a:srgbClr val="5064E6"/>
              </a:solidFill>
              <a:round/>
            </a:ln>
            <a:effectLst/>
          </c:spPr>
          <c:marker>
            <c:symbol val="circle"/>
            <c:size val="6"/>
            <c:spPr>
              <a:noFill/>
              <a:ln w="12700">
                <a:solidFill>
                  <a:srgbClr val="5064E6">
                    <a:alpha val="95000"/>
                  </a:srgbClr>
                </a:solidFill>
              </a:ln>
              <a:effectLst/>
            </c:spPr>
          </c:marker>
          <c:cat>
            <c:numRef>
              <c:f>Physicochemical_Managed!$O$77:$O$109</c:f>
              <c:numCache>
                <c:formatCode>mm/dd/yyyy</c:formatCode>
                <c:ptCount val="33"/>
                <c:pt idx="0">
                  <c:v>44293</c:v>
                </c:pt>
                <c:pt idx="1">
                  <c:v>44313</c:v>
                </c:pt>
                <c:pt idx="2">
                  <c:v>44327</c:v>
                </c:pt>
                <c:pt idx="3">
                  <c:v>44334</c:v>
                </c:pt>
                <c:pt idx="4">
                  <c:v>44335</c:v>
                </c:pt>
                <c:pt idx="5">
                  <c:v>44341</c:v>
                </c:pt>
                <c:pt idx="6">
                  <c:v>44342</c:v>
                </c:pt>
                <c:pt idx="7">
                  <c:v>44349</c:v>
                </c:pt>
                <c:pt idx="8">
                  <c:v>44350</c:v>
                </c:pt>
                <c:pt idx="9">
                  <c:v>44355</c:v>
                </c:pt>
                <c:pt idx="10">
                  <c:v>44356</c:v>
                </c:pt>
                <c:pt idx="11">
                  <c:v>44362</c:v>
                </c:pt>
                <c:pt idx="12">
                  <c:v>44363</c:v>
                </c:pt>
                <c:pt idx="13">
                  <c:v>44369</c:v>
                </c:pt>
                <c:pt idx="14">
                  <c:v>44370</c:v>
                </c:pt>
                <c:pt idx="15">
                  <c:v>44376</c:v>
                </c:pt>
                <c:pt idx="16">
                  <c:v>44377</c:v>
                </c:pt>
                <c:pt idx="17">
                  <c:v>44384</c:v>
                </c:pt>
                <c:pt idx="18">
                  <c:v>44385</c:v>
                </c:pt>
                <c:pt idx="19">
                  <c:v>44390</c:v>
                </c:pt>
                <c:pt idx="20">
                  <c:v>44391</c:v>
                </c:pt>
                <c:pt idx="21">
                  <c:v>44397</c:v>
                </c:pt>
                <c:pt idx="22">
                  <c:v>44398</c:v>
                </c:pt>
                <c:pt idx="23">
                  <c:v>44404</c:v>
                </c:pt>
                <c:pt idx="24">
                  <c:v>44405</c:v>
                </c:pt>
                <c:pt idx="25">
                  <c:v>44411</c:v>
                </c:pt>
                <c:pt idx="26">
                  <c:v>44412</c:v>
                </c:pt>
                <c:pt idx="27">
                  <c:v>44418</c:v>
                </c:pt>
                <c:pt idx="28">
                  <c:v>44419</c:v>
                </c:pt>
                <c:pt idx="29">
                  <c:v>44425</c:v>
                </c:pt>
                <c:pt idx="30">
                  <c:v>44426</c:v>
                </c:pt>
                <c:pt idx="31">
                  <c:v>44432</c:v>
                </c:pt>
                <c:pt idx="32">
                  <c:v>44433</c:v>
                </c:pt>
              </c:numCache>
            </c:numRef>
          </c:cat>
          <c:val>
            <c:numRef>
              <c:f>Physicochemical_Managed!$R$77:$R$109</c:f>
              <c:numCache>
                <c:formatCode>0.000</c:formatCode>
                <c:ptCount val="33"/>
                <c:pt idx="0">
                  <c:v>22.400000000000002</c:v>
                </c:pt>
                <c:pt idx="1">
                  <c:v>24.2</c:v>
                </c:pt>
                <c:pt idx="2">
                  <c:v>26.7</c:v>
                </c:pt>
                <c:pt idx="3">
                  <c:v>25</c:v>
                </c:pt>
                <c:pt idx="4">
                  <c:v>24.8</c:v>
                </c:pt>
                <c:pt idx="5">
                  <c:v>25.6</c:v>
                </c:pt>
                <c:pt idx="6">
                  <c:v>25.65</c:v>
                </c:pt>
                <c:pt idx="7">
                  <c:v>26.7</c:v>
                </c:pt>
                <c:pt idx="8">
                  <c:v>26.35</c:v>
                </c:pt>
                <c:pt idx="9">
                  <c:v>27.1</c:v>
                </c:pt>
                <c:pt idx="10">
                  <c:v>27.25</c:v>
                </c:pt>
                <c:pt idx="11">
                  <c:v>28.7</c:v>
                </c:pt>
                <c:pt idx="12">
                  <c:v>28</c:v>
                </c:pt>
                <c:pt idx="13">
                  <c:v>27.3</c:v>
                </c:pt>
                <c:pt idx="14">
                  <c:v>27.75</c:v>
                </c:pt>
                <c:pt idx="15">
                  <c:v>27.7</c:v>
                </c:pt>
                <c:pt idx="16">
                  <c:v>27.700000000000003</c:v>
                </c:pt>
                <c:pt idx="17">
                  <c:v>28</c:v>
                </c:pt>
                <c:pt idx="18">
                  <c:v>28.15</c:v>
                </c:pt>
                <c:pt idx="19">
                  <c:v>28</c:v>
                </c:pt>
                <c:pt idx="20">
                  <c:v>28</c:v>
                </c:pt>
                <c:pt idx="21">
                  <c:v>23.8</c:v>
                </c:pt>
                <c:pt idx="22">
                  <c:v>23.4</c:v>
                </c:pt>
                <c:pt idx="23">
                  <c:v>24</c:v>
                </c:pt>
                <c:pt idx="24">
                  <c:v>24.200000000000003</c:v>
                </c:pt>
                <c:pt idx="25">
                  <c:v>24.1</c:v>
                </c:pt>
                <c:pt idx="26">
                  <c:v>23.6</c:v>
                </c:pt>
                <c:pt idx="27">
                  <c:v>24</c:v>
                </c:pt>
                <c:pt idx="28">
                  <c:v>23.1</c:v>
                </c:pt>
                <c:pt idx="29">
                  <c:v>23.4</c:v>
                </c:pt>
                <c:pt idx="30">
                  <c:v>23.299999999999997</c:v>
                </c:pt>
                <c:pt idx="31">
                  <c:v>23.4</c:v>
                </c:pt>
                <c:pt idx="32">
                  <c:v>23.9</c:v>
                </c:pt>
              </c:numCache>
            </c:numRef>
          </c:val>
          <c:smooth val="0"/>
          <c:extLst>
            <c:ext xmlns:c16="http://schemas.microsoft.com/office/drawing/2014/chart" uri="{C3380CC4-5D6E-409C-BE32-E72D297353CC}">
              <c16:uniqueId val="{00000001-F405-454A-B1D5-EA006062077B}"/>
            </c:ext>
          </c:extLst>
        </c:ser>
        <c:dLbls>
          <c:showLegendKey val="0"/>
          <c:showVal val="0"/>
          <c:showCatName val="0"/>
          <c:showSerName val="0"/>
          <c:showPercent val="0"/>
          <c:showBubbleSize val="0"/>
        </c:dLbls>
        <c:marker val="1"/>
        <c:smooth val="0"/>
        <c:axId val="559296576"/>
        <c:axId val="559299528"/>
      </c:lineChart>
      <c:dateAx>
        <c:axId val="403941288"/>
        <c:scaling>
          <c:orientation val="minMax"/>
          <c:max val="44437"/>
          <c:min val="44287"/>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Sampling times--</a:t>
                </a:r>
                <a:r>
                  <a:rPr lang="en-US" b="1">
                    <a:solidFill>
                      <a:srgbClr val="FF0000"/>
                    </a:solidFill>
                  </a:rPr>
                  <a:t>RN</a:t>
                </a:r>
              </a:p>
            </c:rich>
          </c:tx>
          <c:layout>
            <c:manualLayout>
              <c:xMode val="edge"/>
              <c:yMode val="edge"/>
              <c:x val="0.40797950088956109"/>
              <c:y val="0.94951727294155164"/>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mm/dd/yyyy" sourceLinked="1"/>
        <c:majorTickMark val="out"/>
        <c:minorTickMark val="in"/>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03917672"/>
        <c:crosses val="autoZero"/>
        <c:auto val="1"/>
        <c:lblOffset val="100"/>
        <c:baseTimeUnit val="days"/>
        <c:majorUnit val="15"/>
        <c:majorTimeUnit val="days"/>
        <c:minorUnit val="5"/>
        <c:minorTimeUnit val="days"/>
      </c:dateAx>
      <c:valAx>
        <c:axId val="403917672"/>
        <c:scaling>
          <c:orientation val="minMax"/>
          <c:max val="7.1149999999999993"/>
          <c:min val="6.6899999999999995"/>
        </c:scaling>
        <c:delete val="0"/>
        <c:axPos val="l"/>
        <c:majorGridlines>
          <c:spPr>
            <a:ln w="1270" cap="flat" cmpd="sng" algn="ctr">
              <a:solidFill>
                <a:schemeClr val="tx1"/>
              </a:solidFill>
              <a:prstDash val="solid"/>
              <a:round/>
            </a:ln>
            <a:effectLst/>
          </c:spPr>
        </c:majorGridlines>
        <c:minorGridlines>
          <c:spPr>
            <a:ln w="1270" cap="flat" cmpd="sng" algn="ctr">
              <a:solidFill>
                <a:schemeClr val="bg2">
                  <a:lumMod val="90000"/>
                </a:schemeClr>
              </a:solidFill>
              <a:prstDash val="dash"/>
              <a:round/>
            </a:ln>
            <a:effectLst/>
          </c:spPr>
        </c:min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pH</a:t>
                </a:r>
              </a:p>
            </c:rich>
          </c:tx>
          <c:layout>
            <c:manualLayout>
              <c:xMode val="edge"/>
              <c:yMode val="edge"/>
              <c:x val="6.5976053561081385E-5"/>
              <c:y val="0.40005275279655506"/>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0" sourceLinked="0"/>
        <c:majorTickMark val="out"/>
        <c:minorTickMark val="in"/>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03941288"/>
        <c:crosses val="autoZero"/>
        <c:crossBetween val="between"/>
        <c:majorUnit val="0.1"/>
        <c:minorUnit val="2.5000000000000005E-2"/>
      </c:valAx>
      <c:valAx>
        <c:axId val="559299528"/>
        <c:scaling>
          <c:orientation val="minMax"/>
          <c:max val="29"/>
          <c:min val="22"/>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sz="1200" b="0" i="0" baseline="0">
                    <a:solidFill>
                      <a:sysClr val="windowText" lastClr="000000"/>
                    </a:solidFill>
                    <a:effectLst/>
                  </a:rPr>
                  <a:t>Water temperature (°C)</a:t>
                </a:r>
                <a:endParaRPr lang="en-US" sz="1200">
                  <a:solidFill>
                    <a:sysClr val="windowText" lastClr="000000"/>
                  </a:solidFill>
                  <a:effectLst/>
                </a:endParaRPr>
              </a:p>
            </c:rich>
          </c:tx>
          <c:layout>
            <c:manualLayout>
              <c:xMode val="edge"/>
              <c:yMode val="edge"/>
              <c:x val="0.95648225881608995"/>
              <c:y val="0.2699443995463578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 sourceLinked="0"/>
        <c:majorTickMark val="out"/>
        <c:minorTickMark val="in"/>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559296576"/>
        <c:crosses val="max"/>
        <c:crossBetween val="between"/>
        <c:majorUnit val="1"/>
        <c:minorUnit val="0.5"/>
      </c:valAx>
      <c:dateAx>
        <c:axId val="559296576"/>
        <c:scaling>
          <c:orientation val="minMax"/>
          <c:max val="44437"/>
          <c:min val="44287"/>
        </c:scaling>
        <c:delete val="0"/>
        <c:axPos val="t"/>
        <c:numFmt formatCode="mm/dd/yyyy"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bg1"/>
                </a:solidFill>
                <a:latin typeface="Times New Roman" panose="02020603050405020304" pitchFamily="18" charset="0"/>
                <a:ea typeface="+mn-ea"/>
                <a:cs typeface="Times New Roman" panose="02020603050405020304" pitchFamily="18" charset="0"/>
              </a:defRPr>
            </a:pPr>
            <a:endParaRPr lang="en-US"/>
          </a:p>
        </c:txPr>
        <c:crossAx val="559299528"/>
        <c:crosses val="max"/>
        <c:auto val="1"/>
        <c:lblOffset val="100"/>
        <c:baseTimeUnit val="days"/>
      </c:dateAx>
      <c:spPr>
        <a:noFill/>
        <a:ln w="19050">
          <a:solidFill>
            <a:schemeClr val="tx1"/>
          </a:solidFill>
        </a:ln>
        <a:effectLst/>
      </c:spPr>
    </c:plotArea>
    <c:legend>
      <c:legendPos val="r"/>
      <c:legendEntry>
        <c:idx val="0"/>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Entry>
      <c:layout>
        <c:manualLayout>
          <c:xMode val="edge"/>
          <c:yMode val="edge"/>
          <c:x val="0.11276359345747031"/>
          <c:y val="8.7700019009878255E-2"/>
          <c:w val="0.19490170842918986"/>
          <c:h val="0.13285467233123033"/>
        </c:manualLayout>
      </c:layout>
      <c:overlay val="0"/>
      <c:spPr>
        <a:solidFill>
          <a:schemeClr val="bg1"/>
        </a:solid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04646"/>
      </a:solid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13278008298755"/>
          <c:y val="3.6235046109691547E-2"/>
          <c:w val="0.77921161825726137"/>
          <c:h val="0.75850914427279748"/>
        </c:manualLayout>
      </c:layout>
      <c:lineChart>
        <c:grouping val="standard"/>
        <c:varyColors val="0"/>
        <c:ser>
          <c:idx val="3"/>
          <c:order val="0"/>
          <c:tx>
            <c:v>Free chlorine</c:v>
          </c:tx>
          <c:spPr>
            <a:ln w="6350" cap="rnd">
              <a:solidFill>
                <a:srgbClr val="F04646"/>
              </a:solidFill>
              <a:round/>
            </a:ln>
            <a:effectLst/>
          </c:spPr>
          <c:marker>
            <c:symbol val="circle"/>
            <c:size val="6"/>
            <c:spPr>
              <a:solidFill>
                <a:srgbClr val="F04646"/>
              </a:solidFill>
              <a:ln w="12700">
                <a:solidFill>
                  <a:srgbClr val="F04646"/>
                </a:solidFill>
              </a:ln>
              <a:effectLst/>
            </c:spPr>
          </c:marker>
          <c:cat>
            <c:numRef>
              <c:f>Physicochemical_Managed!$O$77:$O$109</c:f>
              <c:numCache>
                <c:formatCode>mm/dd/yyyy</c:formatCode>
                <c:ptCount val="33"/>
                <c:pt idx="0">
                  <c:v>44293</c:v>
                </c:pt>
                <c:pt idx="1">
                  <c:v>44313</c:v>
                </c:pt>
                <c:pt idx="2">
                  <c:v>44327</c:v>
                </c:pt>
                <c:pt idx="3">
                  <c:v>44334</c:v>
                </c:pt>
                <c:pt idx="4">
                  <c:v>44335</c:v>
                </c:pt>
                <c:pt idx="5">
                  <c:v>44341</c:v>
                </c:pt>
                <c:pt idx="6">
                  <c:v>44342</c:v>
                </c:pt>
                <c:pt idx="7">
                  <c:v>44349</c:v>
                </c:pt>
                <c:pt idx="8">
                  <c:v>44350</c:v>
                </c:pt>
                <c:pt idx="9">
                  <c:v>44355</c:v>
                </c:pt>
                <c:pt idx="10">
                  <c:v>44356</c:v>
                </c:pt>
                <c:pt idx="11">
                  <c:v>44362</c:v>
                </c:pt>
                <c:pt idx="12">
                  <c:v>44363</c:v>
                </c:pt>
                <c:pt idx="13">
                  <c:v>44369</c:v>
                </c:pt>
                <c:pt idx="14">
                  <c:v>44370</c:v>
                </c:pt>
                <c:pt idx="15">
                  <c:v>44376</c:v>
                </c:pt>
                <c:pt idx="16">
                  <c:v>44377</c:v>
                </c:pt>
                <c:pt idx="17">
                  <c:v>44384</c:v>
                </c:pt>
                <c:pt idx="18">
                  <c:v>44385</c:v>
                </c:pt>
                <c:pt idx="19">
                  <c:v>44390</c:v>
                </c:pt>
                <c:pt idx="20">
                  <c:v>44391</c:v>
                </c:pt>
                <c:pt idx="21">
                  <c:v>44397</c:v>
                </c:pt>
                <c:pt idx="22">
                  <c:v>44398</c:v>
                </c:pt>
                <c:pt idx="23">
                  <c:v>44404</c:v>
                </c:pt>
                <c:pt idx="24">
                  <c:v>44405</c:v>
                </c:pt>
                <c:pt idx="25">
                  <c:v>44411</c:v>
                </c:pt>
                <c:pt idx="26">
                  <c:v>44412</c:v>
                </c:pt>
                <c:pt idx="27">
                  <c:v>44418</c:v>
                </c:pt>
                <c:pt idx="28">
                  <c:v>44419</c:v>
                </c:pt>
                <c:pt idx="29">
                  <c:v>44425</c:v>
                </c:pt>
                <c:pt idx="30">
                  <c:v>44426</c:v>
                </c:pt>
                <c:pt idx="31">
                  <c:v>44432</c:v>
                </c:pt>
                <c:pt idx="32">
                  <c:v>44433</c:v>
                </c:pt>
              </c:numCache>
            </c:numRef>
          </c:cat>
          <c:val>
            <c:numRef>
              <c:f>Physicochemical_Managed!$S$77:$S$109</c:f>
              <c:numCache>
                <c:formatCode>0.000</c:formatCode>
                <c:ptCount val="33"/>
                <c:pt idx="0">
                  <c:v>0.08</c:v>
                </c:pt>
                <c:pt idx="1">
                  <c:v>0.14000000000000001</c:v>
                </c:pt>
                <c:pt idx="2">
                  <c:v>0.14000000000000001</c:v>
                </c:pt>
                <c:pt idx="3">
                  <c:v>0.06</c:v>
                </c:pt>
                <c:pt idx="4">
                  <c:v>7.4999999999999997E-2</c:v>
                </c:pt>
                <c:pt idx="5">
                  <c:v>7.0000000000000007E-2</c:v>
                </c:pt>
                <c:pt idx="6">
                  <c:v>6.0000000000000005E-2</c:v>
                </c:pt>
                <c:pt idx="7">
                  <c:v>0.09</c:v>
                </c:pt>
                <c:pt idx="8">
                  <c:v>0.08</c:v>
                </c:pt>
                <c:pt idx="9">
                  <c:v>0.12</c:v>
                </c:pt>
                <c:pt idx="10">
                  <c:v>0.13500000000000001</c:v>
                </c:pt>
                <c:pt idx="11">
                  <c:v>0.09</c:v>
                </c:pt>
                <c:pt idx="12">
                  <c:v>0.70500000000000007</c:v>
                </c:pt>
                <c:pt idx="13">
                  <c:v>0.99</c:v>
                </c:pt>
                <c:pt idx="14">
                  <c:v>2.2549999999999999</c:v>
                </c:pt>
                <c:pt idx="15">
                  <c:v>1.06</c:v>
                </c:pt>
                <c:pt idx="16">
                  <c:v>1.915</c:v>
                </c:pt>
                <c:pt idx="17">
                  <c:v>1.19</c:v>
                </c:pt>
                <c:pt idx="18">
                  <c:v>1.625</c:v>
                </c:pt>
                <c:pt idx="19">
                  <c:v>2.14</c:v>
                </c:pt>
                <c:pt idx="20">
                  <c:v>1.8599999999999999</c:v>
                </c:pt>
                <c:pt idx="21">
                  <c:v>2.39</c:v>
                </c:pt>
                <c:pt idx="22">
                  <c:v>2.21</c:v>
                </c:pt>
                <c:pt idx="23">
                  <c:v>1.33</c:v>
                </c:pt>
                <c:pt idx="24">
                  <c:v>0.105</c:v>
                </c:pt>
                <c:pt idx="25">
                  <c:v>0.11</c:v>
                </c:pt>
                <c:pt idx="26">
                  <c:v>9.5000000000000001E-2</c:v>
                </c:pt>
                <c:pt idx="27">
                  <c:v>0.15</c:v>
                </c:pt>
                <c:pt idx="28">
                  <c:v>0.1</c:v>
                </c:pt>
                <c:pt idx="29">
                  <c:v>0.03</c:v>
                </c:pt>
                <c:pt idx="30">
                  <c:v>7.0000000000000007E-2</c:v>
                </c:pt>
                <c:pt idx="31">
                  <c:v>7.0000000000000007E-2</c:v>
                </c:pt>
                <c:pt idx="32">
                  <c:v>7.0000000000000007E-2</c:v>
                </c:pt>
              </c:numCache>
            </c:numRef>
          </c:val>
          <c:smooth val="0"/>
          <c:extLst>
            <c:ext xmlns:c16="http://schemas.microsoft.com/office/drawing/2014/chart" uri="{C3380CC4-5D6E-409C-BE32-E72D297353CC}">
              <c16:uniqueId val="{00000000-8060-40ED-9C70-1E81F00E4586}"/>
            </c:ext>
          </c:extLst>
        </c:ser>
        <c:ser>
          <c:idx val="0"/>
          <c:order val="1"/>
          <c:tx>
            <c:v>Monochloramine</c:v>
          </c:tx>
          <c:spPr>
            <a:ln w="6350" cap="rnd">
              <a:solidFill>
                <a:srgbClr val="5064E6"/>
              </a:solidFill>
              <a:round/>
            </a:ln>
            <a:effectLst/>
          </c:spPr>
          <c:marker>
            <c:symbol val="circle"/>
            <c:size val="6"/>
            <c:spPr>
              <a:noFill/>
              <a:ln w="12700">
                <a:solidFill>
                  <a:srgbClr val="5064E6">
                    <a:alpha val="95000"/>
                  </a:srgbClr>
                </a:solidFill>
              </a:ln>
              <a:effectLst/>
            </c:spPr>
          </c:marker>
          <c:cat>
            <c:numRef>
              <c:f>Physicochemical_Managed!$O$77:$O$109</c:f>
              <c:numCache>
                <c:formatCode>mm/dd/yyyy</c:formatCode>
                <c:ptCount val="33"/>
                <c:pt idx="0">
                  <c:v>44293</c:v>
                </c:pt>
                <c:pt idx="1">
                  <c:v>44313</c:v>
                </c:pt>
                <c:pt idx="2">
                  <c:v>44327</c:v>
                </c:pt>
                <c:pt idx="3">
                  <c:v>44334</c:v>
                </c:pt>
                <c:pt idx="4">
                  <c:v>44335</c:v>
                </c:pt>
                <c:pt idx="5">
                  <c:v>44341</c:v>
                </c:pt>
                <c:pt idx="6">
                  <c:v>44342</c:v>
                </c:pt>
                <c:pt idx="7">
                  <c:v>44349</c:v>
                </c:pt>
                <c:pt idx="8">
                  <c:v>44350</c:v>
                </c:pt>
                <c:pt idx="9">
                  <c:v>44355</c:v>
                </c:pt>
                <c:pt idx="10">
                  <c:v>44356</c:v>
                </c:pt>
                <c:pt idx="11">
                  <c:v>44362</c:v>
                </c:pt>
                <c:pt idx="12">
                  <c:v>44363</c:v>
                </c:pt>
                <c:pt idx="13">
                  <c:v>44369</c:v>
                </c:pt>
                <c:pt idx="14">
                  <c:v>44370</c:v>
                </c:pt>
                <c:pt idx="15">
                  <c:v>44376</c:v>
                </c:pt>
                <c:pt idx="16">
                  <c:v>44377</c:v>
                </c:pt>
                <c:pt idx="17">
                  <c:v>44384</c:v>
                </c:pt>
                <c:pt idx="18">
                  <c:v>44385</c:v>
                </c:pt>
                <c:pt idx="19">
                  <c:v>44390</c:v>
                </c:pt>
                <c:pt idx="20">
                  <c:v>44391</c:v>
                </c:pt>
                <c:pt idx="21">
                  <c:v>44397</c:v>
                </c:pt>
                <c:pt idx="22">
                  <c:v>44398</c:v>
                </c:pt>
                <c:pt idx="23">
                  <c:v>44404</c:v>
                </c:pt>
                <c:pt idx="24">
                  <c:v>44405</c:v>
                </c:pt>
                <c:pt idx="25">
                  <c:v>44411</c:v>
                </c:pt>
                <c:pt idx="26">
                  <c:v>44412</c:v>
                </c:pt>
                <c:pt idx="27">
                  <c:v>44418</c:v>
                </c:pt>
                <c:pt idx="28">
                  <c:v>44419</c:v>
                </c:pt>
                <c:pt idx="29">
                  <c:v>44425</c:v>
                </c:pt>
                <c:pt idx="30">
                  <c:v>44426</c:v>
                </c:pt>
                <c:pt idx="31">
                  <c:v>44432</c:v>
                </c:pt>
                <c:pt idx="32">
                  <c:v>44433</c:v>
                </c:pt>
              </c:numCache>
            </c:numRef>
          </c:cat>
          <c:val>
            <c:numRef>
              <c:f>Physicochemical_Managed!$T$77:$T$109</c:f>
              <c:numCache>
                <c:formatCode>0.000</c:formatCode>
                <c:ptCount val="33"/>
                <c:pt idx="0">
                  <c:v>1.66</c:v>
                </c:pt>
                <c:pt idx="1">
                  <c:v>1.49</c:v>
                </c:pt>
                <c:pt idx="2">
                  <c:v>1.48</c:v>
                </c:pt>
                <c:pt idx="3">
                  <c:v>1.36</c:v>
                </c:pt>
                <c:pt idx="4">
                  <c:v>1.6800000000000002</c:v>
                </c:pt>
                <c:pt idx="5">
                  <c:v>1.44</c:v>
                </c:pt>
                <c:pt idx="6">
                  <c:v>1.65</c:v>
                </c:pt>
                <c:pt idx="7">
                  <c:v>1.75</c:v>
                </c:pt>
                <c:pt idx="8">
                  <c:v>1.32</c:v>
                </c:pt>
                <c:pt idx="9">
                  <c:v>1.45</c:v>
                </c:pt>
                <c:pt idx="10">
                  <c:v>1.365</c:v>
                </c:pt>
                <c:pt idx="11">
                  <c:v>1.27</c:v>
                </c:pt>
                <c:pt idx="12">
                  <c:v>6.0000000000000005E-2</c:v>
                </c:pt>
                <c:pt idx="13">
                  <c:v>0.04</c:v>
                </c:pt>
                <c:pt idx="14">
                  <c:v>7.0000000000000007E-2</c:v>
                </c:pt>
                <c:pt idx="15">
                  <c:v>0.04</c:v>
                </c:pt>
                <c:pt idx="16">
                  <c:v>5.5000000000000007E-2</c:v>
                </c:pt>
                <c:pt idx="17">
                  <c:v>0.05</c:v>
                </c:pt>
                <c:pt idx="18">
                  <c:v>0.03</c:v>
                </c:pt>
                <c:pt idx="19">
                  <c:v>0.04</c:v>
                </c:pt>
                <c:pt idx="20">
                  <c:v>3.5000000000000003E-2</c:v>
                </c:pt>
                <c:pt idx="21">
                  <c:v>0.01</c:v>
                </c:pt>
                <c:pt idx="22">
                  <c:v>0.01</c:v>
                </c:pt>
                <c:pt idx="23">
                  <c:v>0</c:v>
                </c:pt>
                <c:pt idx="24">
                  <c:v>1.32</c:v>
                </c:pt>
                <c:pt idx="25">
                  <c:v>1.04</c:v>
                </c:pt>
                <c:pt idx="26">
                  <c:v>0.89000000000000012</c:v>
                </c:pt>
                <c:pt idx="27">
                  <c:v>1.35</c:v>
                </c:pt>
                <c:pt idx="28">
                  <c:v>1.085</c:v>
                </c:pt>
                <c:pt idx="29">
                  <c:v>0.56999999999999995</c:v>
                </c:pt>
                <c:pt idx="30">
                  <c:v>1.2549999999999999</c:v>
                </c:pt>
                <c:pt idx="31">
                  <c:v>0.7</c:v>
                </c:pt>
                <c:pt idx="32">
                  <c:v>0.79</c:v>
                </c:pt>
              </c:numCache>
            </c:numRef>
          </c:val>
          <c:smooth val="0"/>
          <c:extLst>
            <c:ext xmlns:c16="http://schemas.microsoft.com/office/drawing/2014/chart" uri="{C3380CC4-5D6E-409C-BE32-E72D297353CC}">
              <c16:uniqueId val="{00000001-8060-40ED-9C70-1E81F00E4586}"/>
            </c:ext>
          </c:extLst>
        </c:ser>
        <c:ser>
          <c:idx val="1"/>
          <c:order val="2"/>
          <c:tx>
            <c:v>Total chlorine</c:v>
          </c:tx>
          <c:spPr>
            <a:ln w="6350" cap="rnd">
              <a:solidFill>
                <a:schemeClr val="tx1"/>
              </a:solidFill>
              <a:round/>
            </a:ln>
            <a:effectLst/>
          </c:spPr>
          <c:marker>
            <c:symbol val="square"/>
            <c:size val="6"/>
            <c:spPr>
              <a:noFill/>
              <a:ln w="12700">
                <a:solidFill>
                  <a:schemeClr val="tx1"/>
                </a:solidFill>
              </a:ln>
              <a:effectLst/>
            </c:spPr>
          </c:marker>
          <c:cat>
            <c:numRef>
              <c:f>Physicochemical_Managed!$O$77:$O$109</c:f>
              <c:numCache>
                <c:formatCode>mm/dd/yyyy</c:formatCode>
                <c:ptCount val="33"/>
                <c:pt idx="0">
                  <c:v>44293</c:v>
                </c:pt>
                <c:pt idx="1">
                  <c:v>44313</c:v>
                </c:pt>
                <c:pt idx="2">
                  <c:v>44327</c:v>
                </c:pt>
                <c:pt idx="3">
                  <c:v>44334</c:v>
                </c:pt>
                <c:pt idx="4">
                  <c:v>44335</c:v>
                </c:pt>
                <c:pt idx="5">
                  <c:v>44341</c:v>
                </c:pt>
                <c:pt idx="6">
                  <c:v>44342</c:v>
                </c:pt>
                <c:pt idx="7">
                  <c:v>44349</c:v>
                </c:pt>
                <c:pt idx="8">
                  <c:v>44350</c:v>
                </c:pt>
                <c:pt idx="9">
                  <c:v>44355</c:v>
                </c:pt>
                <c:pt idx="10">
                  <c:v>44356</c:v>
                </c:pt>
                <c:pt idx="11">
                  <c:v>44362</c:v>
                </c:pt>
                <c:pt idx="12">
                  <c:v>44363</c:v>
                </c:pt>
                <c:pt idx="13">
                  <c:v>44369</c:v>
                </c:pt>
                <c:pt idx="14">
                  <c:v>44370</c:v>
                </c:pt>
                <c:pt idx="15">
                  <c:v>44376</c:v>
                </c:pt>
                <c:pt idx="16">
                  <c:v>44377</c:v>
                </c:pt>
                <c:pt idx="17">
                  <c:v>44384</c:v>
                </c:pt>
                <c:pt idx="18">
                  <c:v>44385</c:v>
                </c:pt>
                <c:pt idx="19">
                  <c:v>44390</c:v>
                </c:pt>
                <c:pt idx="20">
                  <c:v>44391</c:v>
                </c:pt>
                <c:pt idx="21">
                  <c:v>44397</c:v>
                </c:pt>
                <c:pt idx="22">
                  <c:v>44398</c:v>
                </c:pt>
                <c:pt idx="23">
                  <c:v>44404</c:v>
                </c:pt>
                <c:pt idx="24">
                  <c:v>44405</c:v>
                </c:pt>
                <c:pt idx="25">
                  <c:v>44411</c:v>
                </c:pt>
                <c:pt idx="26">
                  <c:v>44412</c:v>
                </c:pt>
                <c:pt idx="27">
                  <c:v>44418</c:v>
                </c:pt>
                <c:pt idx="28">
                  <c:v>44419</c:v>
                </c:pt>
                <c:pt idx="29">
                  <c:v>44425</c:v>
                </c:pt>
                <c:pt idx="30">
                  <c:v>44426</c:v>
                </c:pt>
                <c:pt idx="31">
                  <c:v>44432</c:v>
                </c:pt>
                <c:pt idx="32">
                  <c:v>44433</c:v>
                </c:pt>
              </c:numCache>
            </c:numRef>
          </c:cat>
          <c:val>
            <c:numRef>
              <c:f>Physicochemical_Managed!$U$77:$U$109</c:f>
              <c:numCache>
                <c:formatCode>0.000</c:formatCode>
                <c:ptCount val="33"/>
                <c:pt idx="0">
                  <c:v>1.7566666666666666</c:v>
                </c:pt>
                <c:pt idx="1">
                  <c:v>1.45</c:v>
                </c:pt>
                <c:pt idx="2">
                  <c:v>1.39</c:v>
                </c:pt>
                <c:pt idx="3">
                  <c:v>1.31</c:v>
                </c:pt>
                <c:pt idx="4">
                  <c:v>1.7949999999999999</c:v>
                </c:pt>
                <c:pt idx="5">
                  <c:v>1.34</c:v>
                </c:pt>
                <c:pt idx="6">
                  <c:v>1.75</c:v>
                </c:pt>
                <c:pt idx="7">
                  <c:v>1.68</c:v>
                </c:pt>
                <c:pt idx="8">
                  <c:v>1.51</c:v>
                </c:pt>
                <c:pt idx="9">
                  <c:v>1.46</c:v>
                </c:pt>
                <c:pt idx="10">
                  <c:v>1.2850000000000001</c:v>
                </c:pt>
                <c:pt idx="11">
                  <c:v>1.1100000000000001</c:v>
                </c:pt>
                <c:pt idx="12">
                  <c:v>0.85499999999999998</c:v>
                </c:pt>
                <c:pt idx="13">
                  <c:v>0.99</c:v>
                </c:pt>
                <c:pt idx="14">
                  <c:v>2.3849999999999998</c:v>
                </c:pt>
                <c:pt idx="15">
                  <c:v>1.02</c:v>
                </c:pt>
                <c:pt idx="16">
                  <c:v>1.895</c:v>
                </c:pt>
                <c:pt idx="17">
                  <c:v>1.21</c:v>
                </c:pt>
                <c:pt idx="18">
                  <c:v>1.7050000000000001</c:v>
                </c:pt>
                <c:pt idx="19">
                  <c:v>2.12</c:v>
                </c:pt>
                <c:pt idx="20">
                  <c:v>1.835</c:v>
                </c:pt>
                <c:pt idx="21">
                  <c:v>2.39</c:v>
                </c:pt>
                <c:pt idx="22">
                  <c:v>2.2000000000000002</c:v>
                </c:pt>
                <c:pt idx="23">
                  <c:v>1.35</c:v>
                </c:pt>
                <c:pt idx="24">
                  <c:v>1.335</c:v>
                </c:pt>
                <c:pt idx="25">
                  <c:v>0.84</c:v>
                </c:pt>
                <c:pt idx="26">
                  <c:v>0.8</c:v>
                </c:pt>
                <c:pt idx="27">
                  <c:v>1.26</c:v>
                </c:pt>
                <c:pt idx="28">
                  <c:v>1.095</c:v>
                </c:pt>
                <c:pt idx="29">
                  <c:v>0.41</c:v>
                </c:pt>
                <c:pt idx="30">
                  <c:v>1.2850000000000001</c:v>
                </c:pt>
                <c:pt idx="31">
                  <c:v>0.55000000000000004</c:v>
                </c:pt>
                <c:pt idx="32">
                  <c:v>0.64500000000000002</c:v>
                </c:pt>
              </c:numCache>
            </c:numRef>
          </c:val>
          <c:smooth val="0"/>
          <c:extLst>
            <c:ext xmlns:c16="http://schemas.microsoft.com/office/drawing/2014/chart" uri="{C3380CC4-5D6E-409C-BE32-E72D297353CC}">
              <c16:uniqueId val="{00000002-8060-40ED-9C70-1E81F00E4586}"/>
            </c:ext>
          </c:extLst>
        </c:ser>
        <c:dLbls>
          <c:showLegendKey val="0"/>
          <c:showVal val="0"/>
          <c:showCatName val="0"/>
          <c:showSerName val="0"/>
          <c:showPercent val="0"/>
          <c:showBubbleSize val="0"/>
        </c:dLbls>
        <c:marker val="1"/>
        <c:smooth val="0"/>
        <c:axId val="403941288"/>
        <c:axId val="403917672"/>
      </c:lineChart>
      <c:dateAx>
        <c:axId val="403941288"/>
        <c:scaling>
          <c:orientation val="minMax"/>
          <c:max val="44437"/>
          <c:min val="44287"/>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Sampling times--</a:t>
                </a:r>
                <a:r>
                  <a:rPr lang="en-US" b="1">
                    <a:solidFill>
                      <a:srgbClr val="FF0000"/>
                    </a:solidFill>
                  </a:rPr>
                  <a:t>RN</a:t>
                </a:r>
              </a:p>
            </c:rich>
          </c:tx>
          <c:layout>
            <c:manualLayout>
              <c:xMode val="edge"/>
              <c:yMode val="edge"/>
              <c:x val="0.39785997109175708"/>
              <c:y val="0.94951730232117781"/>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mm/dd/yyyy" sourceLinked="1"/>
        <c:majorTickMark val="out"/>
        <c:minorTickMark val="in"/>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03917672"/>
        <c:crosses val="autoZero"/>
        <c:auto val="1"/>
        <c:lblOffset val="100"/>
        <c:baseTimeUnit val="days"/>
        <c:majorUnit val="15"/>
        <c:majorTimeUnit val="days"/>
        <c:minorUnit val="5"/>
        <c:minorTimeUnit val="days"/>
      </c:dateAx>
      <c:valAx>
        <c:axId val="403917672"/>
        <c:scaling>
          <c:orientation val="minMax"/>
          <c:max val="2.5"/>
          <c:min val="0"/>
        </c:scaling>
        <c:delete val="0"/>
        <c:axPos val="l"/>
        <c:majorGridlines>
          <c:spPr>
            <a:ln w="1270" cap="flat" cmpd="sng" algn="ctr">
              <a:solidFill>
                <a:schemeClr val="tx1"/>
              </a:solidFill>
              <a:prstDash val="solid"/>
              <a:round/>
            </a:ln>
            <a:effectLst/>
          </c:spPr>
        </c:majorGridlines>
        <c:minorGridlines>
          <c:spPr>
            <a:ln w="1270" cap="flat" cmpd="sng" algn="ctr">
              <a:solidFill>
                <a:schemeClr val="bg2">
                  <a:lumMod val="90000"/>
                </a:schemeClr>
              </a:solidFill>
              <a:prstDash val="dash"/>
              <a:round/>
            </a:ln>
            <a:effectLst/>
          </c:spPr>
        </c:min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Chlorine (mg Cl</a:t>
                </a:r>
                <a:r>
                  <a:rPr lang="en-US" baseline="-25000"/>
                  <a:t>2</a:t>
                </a:r>
                <a:r>
                  <a:rPr lang="en-US"/>
                  <a:t>·L</a:t>
                </a:r>
                <a:r>
                  <a:rPr lang="en-US" baseline="30000"/>
                  <a:t>-1</a:t>
                </a:r>
                <a:r>
                  <a:rPr lang="en-US"/>
                  <a:t>)</a:t>
                </a:r>
              </a:p>
            </c:rich>
          </c:tx>
          <c:layout>
            <c:manualLayout>
              <c:xMode val="edge"/>
              <c:yMode val="edge"/>
              <c:x val="6.5976053561081385E-5"/>
              <c:y val="0.27272393076315321"/>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0" sourceLinked="0"/>
        <c:majorTickMark val="out"/>
        <c:minorTickMark val="in"/>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03941288"/>
        <c:crosses val="autoZero"/>
        <c:crossBetween val="between"/>
        <c:majorUnit val="0.5"/>
        <c:minorUnit val="0.25"/>
      </c:valAx>
      <c:spPr>
        <a:noFill/>
        <a:ln w="19050">
          <a:solidFill>
            <a:schemeClr val="tx1"/>
          </a:solidFill>
        </a:ln>
        <a:effectLst/>
      </c:spPr>
    </c:plotArea>
    <c:legend>
      <c:legendPos val="r"/>
      <c:legendEntry>
        <c:idx val="0"/>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Entry>
      <c:layout>
        <c:manualLayout>
          <c:xMode val="edge"/>
          <c:yMode val="edge"/>
          <c:x val="0.11883530273446839"/>
          <c:y val="5.2747006042467723E-2"/>
          <c:w val="0.22798312160438464"/>
          <c:h val="0.11352553820857748"/>
        </c:manualLayout>
      </c:layout>
      <c:overlay val="0"/>
      <c:spPr>
        <a:solidFill>
          <a:schemeClr val="bg1"/>
        </a:solid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04646"/>
      </a:solid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13278008298755"/>
          <c:y val="3.6235046109691547E-2"/>
          <c:w val="0.77921161825726137"/>
          <c:h val="0.75850914427279748"/>
        </c:manualLayout>
      </c:layout>
      <c:lineChart>
        <c:grouping val="standard"/>
        <c:varyColors val="0"/>
        <c:ser>
          <c:idx val="3"/>
          <c:order val="0"/>
          <c:tx>
            <c:v>Free ammonia</c:v>
          </c:tx>
          <c:spPr>
            <a:ln w="6350" cap="rnd">
              <a:solidFill>
                <a:srgbClr val="F04646"/>
              </a:solidFill>
              <a:round/>
            </a:ln>
            <a:effectLst/>
          </c:spPr>
          <c:marker>
            <c:symbol val="circle"/>
            <c:size val="6"/>
            <c:spPr>
              <a:solidFill>
                <a:srgbClr val="F04646"/>
              </a:solidFill>
              <a:ln w="12700">
                <a:solidFill>
                  <a:srgbClr val="F04646"/>
                </a:solidFill>
              </a:ln>
              <a:effectLst/>
            </c:spPr>
          </c:marker>
          <c:cat>
            <c:numRef>
              <c:f>Physicochemical_Managed!$O$77:$O$109</c:f>
              <c:numCache>
                <c:formatCode>mm/dd/yyyy</c:formatCode>
                <c:ptCount val="33"/>
                <c:pt idx="0">
                  <c:v>44293</c:v>
                </c:pt>
                <c:pt idx="1">
                  <c:v>44313</c:v>
                </c:pt>
                <c:pt idx="2">
                  <c:v>44327</c:v>
                </c:pt>
                <c:pt idx="3">
                  <c:v>44334</c:v>
                </c:pt>
                <c:pt idx="4">
                  <c:v>44335</c:v>
                </c:pt>
                <c:pt idx="5">
                  <c:v>44341</c:v>
                </c:pt>
                <c:pt idx="6">
                  <c:v>44342</c:v>
                </c:pt>
                <c:pt idx="7">
                  <c:v>44349</c:v>
                </c:pt>
                <c:pt idx="8">
                  <c:v>44350</c:v>
                </c:pt>
                <c:pt idx="9">
                  <c:v>44355</c:v>
                </c:pt>
                <c:pt idx="10">
                  <c:v>44356</c:v>
                </c:pt>
                <c:pt idx="11">
                  <c:v>44362</c:v>
                </c:pt>
                <c:pt idx="12">
                  <c:v>44363</c:v>
                </c:pt>
                <c:pt idx="13">
                  <c:v>44369</c:v>
                </c:pt>
                <c:pt idx="14">
                  <c:v>44370</c:v>
                </c:pt>
                <c:pt idx="15">
                  <c:v>44376</c:v>
                </c:pt>
                <c:pt idx="16">
                  <c:v>44377</c:v>
                </c:pt>
                <c:pt idx="17">
                  <c:v>44384</c:v>
                </c:pt>
                <c:pt idx="18">
                  <c:v>44385</c:v>
                </c:pt>
                <c:pt idx="19">
                  <c:v>44390</c:v>
                </c:pt>
                <c:pt idx="20">
                  <c:v>44391</c:v>
                </c:pt>
                <c:pt idx="21">
                  <c:v>44397</c:v>
                </c:pt>
                <c:pt idx="22">
                  <c:v>44398</c:v>
                </c:pt>
                <c:pt idx="23">
                  <c:v>44404</c:v>
                </c:pt>
                <c:pt idx="24">
                  <c:v>44405</c:v>
                </c:pt>
                <c:pt idx="25">
                  <c:v>44411</c:v>
                </c:pt>
                <c:pt idx="26">
                  <c:v>44412</c:v>
                </c:pt>
                <c:pt idx="27">
                  <c:v>44418</c:v>
                </c:pt>
                <c:pt idx="28">
                  <c:v>44419</c:v>
                </c:pt>
                <c:pt idx="29">
                  <c:v>44425</c:v>
                </c:pt>
                <c:pt idx="30">
                  <c:v>44426</c:v>
                </c:pt>
                <c:pt idx="31">
                  <c:v>44432</c:v>
                </c:pt>
                <c:pt idx="32">
                  <c:v>44433</c:v>
                </c:pt>
              </c:numCache>
            </c:numRef>
          </c:cat>
          <c:val>
            <c:numRef>
              <c:f>Physicochemical_Managed!$V$77:$V$109</c:f>
              <c:numCache>
                <c:formatCode>0.000</c:formatCode>
                <c:ptCount val="33"/>
                <c:pt idx="0">
                  <c:v>0.32333333333333331</c:v>
                </c:pt>
                <c:pt idx="1">
                  <c:v>0.24</c:v>
                </c:pt>
                <c:pt idx="2">
                  <c:v>0.28999999999999998</c:v>
                </c:pt>
                <c:pt idx="3">
                  <c:v>0.28000000000000003</c:v>
                </c:pt>
                <c:pt idx="4">
                  <c:v>0.33999999999999997</c:v>
                </c:pt>
                <c:pt idx="5">
                  <c:v>0.28000000000000003</c:v>
                </c:pt>
                <c:pt idx="6">
                  <c:v>0.32</c:v>
                </c:pt>
                <c:pt idx="7">
                  <c:v>0.34</c:v>
                </c:pt>
                <c:pt idx="8">
                  <c:v>0.29000000000000004</c:v>
                </c:pt>
                <c:pt idx="9">
                  <c:v>0.31</c:v>
                </c:pt>
                <c:pt idx="10">
                  <c:v>0.41500000000000004</c:v>
                </c:pt>
                <c:pt idx="11">
                  <c:v>0.49</c:v>
                </c:pt>
                <c:pt idx="12">
                  <c:v>0.13500000000000001</c:v>
                </c:pt>
                <c:pt idx="13">
                  <c:v>0.23</c:v>
                </c:pt>
                <c:pt idx="14">
                  <c:v>2.5000000000000001E-2</c:v>
                </c:pt>
                <c:pt idx="15">
                  <c:v>0.09</c:v>
                </c:pt>
                <c:pt idx="16">
                  <c:v>6.5000000000000002E-2</c:v>
                </c:pt>
                <c:pt idx="17">
                  <c:v>0.05</c:v>
                </c:pt>
                <c:pt idx="18">
                  <c:v>3.5000000000000003E-2</c:v>
                </c:pt>
                <c:pt idx="19">
                  <c:v>7.0000000000000007E-2</c:v>
                </c:pt>
                <c:pt idx="20">
                  <c:v>0.17499999999999999</c:v>
                </c:pt>
                <c:pt idx="21">
                  <c:v>7.0000000000000007E-2</c:v>
                </c:pt>
                <c:pt idx="22">
                  <c:v>6.9999999999999993E-2</c:v>
                </c:pt>
                <c:pt idx="23">
                  <c:v>0.06</c:v>
                </c:pt>
                <c:pt idx="24">
                  <c:v>0.18</c:v>
                </c:pt>
                <c:pt idx="25">
                  <c:v>0.21</c:v>
                </c:pt>
                <c:pt idx="26">
                  <c:v>0.27</c:v>
                </c:pt>
                <c:pt idx="27">
                  <c:v>0.23</c:v>
                </c:pt>
                <c:pt idx="28">
                  <c:v>0.18</c:v>
                </c:pt>
                <c:pt idx="29">
                  <c:v>0.19</c:v>
                </c:pt>
                <c:pt idx="30">
                  <c:v>0.17499999999999999</c:v>
                </c:pt>
                <c:pt idx="31">
                  <c:v>0.12</c:v>
                </c:pt>
                <c:pt idx="32">
                  <c:v>0.24</c:v>
                </c:pt>
              </c:numCache>
            </c:numRef>
          </c:val>
          <c:smooth val="0"/>
          <c:extLst>
            <c:ext xmlns:c16="http://schemas.microsoft.com/office/drawing/2014/chart" uri="{C3380CC4-5D6E-409C-BE32-E72D297353CC}">
              <c16:uniqueId val="{00000000-F01D-46AC-8CCD-D743E8A08E54}"/>
            </c:ext>
          </c:extLst>
        </c:ser>
        <c:ser>
          <c:idx val="0"/>
          <c:order val="1"/>
          <c:tx>
            <c:v>Nitrite</c:v>
          </c:tx>
          <c:spPr>
            <a:ln w="6350" cap="rnd">
              <a:solidFill>
                <a:srgbClr val="5064E6"/>
              </a:solidFill>
              <a:round/>
            </a:ln>
            <a:effectLst/>
          </c:spPr>
          <c:marker>
            <c:symbol val="circle"/>
            <c:size val="6"/>
            <c:spPr>
              <a:noFill/>
              <a:ln w="12700">
                <a:solidFill>
                  <a:srgbClr val="5064E6">
                    <a:alpha val="95000"/>
                  </a:srgbClr>
                </a:solidFill>
              </a:ln>
              <a:effectLst/>
            </c:spPr>
          </c:marker>
          <c:cat>
            <c:numRef>
              <c:f>Physicochemical_Managed!$O$77:$O$109</c:f>
              <c:numCache>
                <c:formatCode>mm/dd/yyyy</c:formatCode>
                <c:ptCount val="33"/>
                <c:pt idx="0">
                  <c:v>44293</c:v>
                </c:pt>
                <c:pt idx="1">
                  <c:v>44313</c:v>
                </c:pt>
                <c:pt idx="2">
                  <c:v>44327</c:v>
                </c:pt>
                <c:pt idx="3">
                  <c:v>44334</c:v>
                </c:pt>
                <c:pt idx="4">
                  <c:v>44335</c:v>
                </c:pt>
                <c:pt idx="5">
                  <c:v>44341</c:v>
                </c:pt>
                <c:pt idx="6">
                  <c:v>44342</c:v>
                </c:pt>
                <c:pt idx="7">
                  <c:v>44349</c:v>
                </c:pt>
                <c:pt idx="8">
                  <c:v>44350</c:v>
                </c:pt>
                <c:pt idx="9">
                  <c:v>44355</c:v>
                </c:pt>
                <c:pt idx="10">
                  <c:v>44356</c:v>
                </c:pt>
                <c:pt idx="11">
                  <c:v>44362</c:v>
                </c:pt>
                <c:pt idx="12">
                  <c:v>44363</c:v>
                </c:pt>
                <c:pt idx="13">
                  <c:v>44369</c:v>
                </c:pt>
                <c:pt idx="14">
                  <c:v>44370</c:v>
                </c:pt>
                <c:pt idx="15">
                  <c:v>44376</c:v>
                </c:pt>
                <c:pt idx="16">
                  <c:v>44377</c:v>
                </c:pt>
                <c:pt idx="17">
                  <c:v>44384</c:v>
                </c:pt>
                <c:pt idx="18">
                  <c:v>44385</c:v>
                </c:pt>
                <c:pt idx="19">
                  <c:v>44390</c:v>
                </c:pt>
                <c:pt idx="20">
                  <c:v>44391</c:v>
                </c:pt>
                <c:pt idx="21">
                  <c:v>44397</c:v>
                </c:pt>
                <c:pt idx="22">
                  <c:v>44398</c:v>
                </c:pt>
                <c:pt idx="23">
                  <c:v>44404</c:v>
                </c:pt>
                <c:pt idx="24">
                  <c:v>44405</c:v>
                </c:pt>
                <c:pt idx="25">
                  <c:v>44411</c:v>
                </c:pt>
                <c:pt idx="26">
                  <c:v>44412</c:v>
                </c:pt>
                <c:pt idx="27">
                  <c:v>44418</c:v>
                </c:pt>
                <c:pt idx="28">
                  <c:v>44419</c:v>
                </c:pt>
                <c:pt idx="29">
                  <c:v>44425</c:v>
                </c:pt>
                <c:pt idx="30">
                  <c:v>44426</c:v>
                </c:pt>
                <c:pt idx="31">
                  <c:v>44432</c:v>
                </c:pt>
                <c:pt idx="32">
                  <c:v>44433</c:v>
                </c:pt>
              </c:numCache>
            </c:numRef>
          </c:cat>
          <c:val>
            <c:numRef>
              <c:f>Physicochemical_Managed!$W$77:$W$109</c:f>
              <c:numCache>
                <c:formatCode>0.000</c:formatCode>
                <c:ptCount val="33"/>
                <c:pt idx="0">
                  <c:v>5.0000000000000001E-3</c:v>
                </c:pt>
                <c:pt idx="1">
                  <c:v>6.0000000000000001E-3</c:v>
                </c:pt>
                <c:pt idx="2">
                  <c:v>7.0000000000000001E-3</c:v>
                </c:pt>
                <c:pt idx="3">
                  <c:v>7.0000000000000001E-3</c:v>
                </c:pt>
                <c:pt idx="4">
                  <c:v>6.5000000000000006E-3</c:v>
                </c:pt>
                <c:pt idx="5">
                  <c:v>6.0000000000000001E-3</c:v>
                </c:pt>
                <c:pt idx="6">
                  <c:v>7.0000000000000001E-3</c:v>
                </c:pt>
                <c:pt idx="7">
                  <c:v>7.0000000000000001E-3</c:v>
                </c:pt>
                <c:pt idx="8">
                  <c:v>6.0000000000000001E-3</c:v>
                </c:pt>
                <c:pt idx="9">
                  <c:v>6.0000000000000001E-3</c:v>
                </c:pt>
                <c:pt idx="10">
                  <c:v>7.0000000000000001E-3</c:v>
                </c:pt>
                <c:pt idx="11">
                  <c:v>6.0000000000000001E-3</c:v>
                </c:pt>
                <c:pt idx="12">
                  <c:v>6.0000000000000001E-3</c:v>
                </c:pt>
                <c:pt idx="13">
                  <c:v>6.0000000000000001E-3</c:v>
                </c:pt>
                <c:pt idx="14">
                  <c:v>6.0000000000000001E-3</c:v>
                </c:pt>
                <c:pt idx="15">
                  <c:v>7.0000000000000001E-3</c:v>
                </c:pt>
                <c:pt idx="16">
                  <c:v>7.4999999999999997E-3</c:v>
                </c:pt>
                <c:pt idx="17">
                  <c:v>6.0000000000000001E-3</c:v>
                </c:pt>
                <c:pt idx="18">
                  <c:v>6.0000000000000001E-3</c:v>
                </c:pt>
                <c:pt idx="19">
                  <c:v>8.9999999999999993E-3</c:v>
                </c:pt>
                <c:pt idx="20">
                  <c:v>6.5000000000000006E-3</c:v>
                </c:pt>
                <c:pt idx="21">
                  <c:v>5.0000000000000001E-3</c:v>
                </c:pt>
                <c:pt idx="22">
                  <c:v>7.0000000000000001E-3</c:v>
                </c:pt>
                <c:pt idx="23">
                  <c:v>6.0000000000000001E-3</c:v>
                </c:pt>
                <c:pt idx="24">
                  <c:v>6.5000000000000006E-3</c:v>
                </c:pt>
                <c:pt idx="25">
                  <c:v>7.0000000000000001E-3</c:v>
                </c:pt>
                <c:pt idx="26">
                  <c:v>6.5000000000000006E-3</c:v>
                </c:pt>
                <c:pt idx="27">
                  <c:v>5.0000000000000001E-3</c:v>
                </c:pt>
                <c:pt idx="28">
                  <c:v>6.5000000000000006E-3</c:v>
                </c:pt>
                <c:pt idx="29">
                  <c:v>6.0000000000000001E-3</c:v>
                </c:pt>
                <c:pt idx="30">
                  <c:v>5.4000000000000006E-2</c:v>
                </c:pt>
                <c:pt idx="31">
                  <c:v>8.9999999999999993E-3</c:v>
                </c:pt>
                <c:pt idx="32">
                  <c:v>8.5000000000000006E-3</c:v>
                </c:pt>
              </c:numCache>
            </c:numRef>
          </c:val>
          <c:smooth val="0"/>
          <c:extLst>
            <c:ext xmlns:c16="http://schemas.microsoft.com/office/drawing/2014/chart" uri="{C3380CC4-5D6E-409C-BE32-E72D297353CC}">
              <c16:uniqueId val="{00000001-F01D-46AC-8CCD-D743E8A08E54}"/>
            </c:ext>
          </c:extLst>
        </c:ser>
        <c:dLbls>
          <c:showLegendKey val="0"/>
          <c:showVal val="0"/>
          <c:showCatName val="0"/>
          <c:showSerName val="0"/>
          <c:showPercent val="0"/>
          <c:showBubbleSize val="0"/>
        </c:dLbls>
        <c:marker val="1"/>
        <c:smooth val="0"/>
        <c:axId val="403941288"/>
        <c:axId val="403917672"/>
      </c:lineChart>
      <c:lineChart>
        <c:grouping val="standard"/>
        <c:varyColors val="0"/>
        <c:ser>
          <c:idx val="1"/>
          <c:order val="2"/>
          <c:tx>
            <c:v>Orthophosphate</c:v>
          </c:tx>
          <c:spPr>
            <a:ln w="6350" cap="rnd">
              <a:solidFill>
                <a:schemeClr val="tx1"/>
              </a:solidFill>
              <a:round/>
            </a:ln>
            <a:effectLst/>
          </c:spPr>
          <c:marker>
            <c:symbol val="square"/>
            <c:size val="6"/>
            <c:spPr>
              <a:noFill/>
              <a:ln w="12700">
                <a:solidFill>
                  <a:schemeClr val="tx1"/>
                </a:solidFill>
              </a:ln>
              <a:effectLst/>
            </c:spPr>
          </c:marker>
          <c:cat>
            <c:numRef>
              <c:f>Physicochemical_Managed!$O$77:$O$109</c:f>
              <c:numCache>
                <c:formatCode>mm/dd/yyyy</c:formatCode>
                <c:ptCount val="33"/>
                <c:pt idx="0">
                  <c:v>44293</c:v>
                </c:pt>
                <c:pt idx="1">
                  <c:v>44313</c:v>
                </c:pt>
                <c:pt idx="2">
                  <c:v>44327</c:v>
                </c:pt>
                <c:pt idx="3">
                  <c:v>44334</c:v>
                </c:pt>
                <c:pt idx="4">
                  <c:v>44335</c:v>
                </c:pt>
                <c:pt idx="5">
                  <c:v>44341</c:v>
                </c:pt>
                <c:pt idx="6">
                  <c:v>44342</c:v>
                </c:pt>
                <c:pt idx="7">
                  <c:v>44349</c:v>
                </c:pt>
                <c:pt idx="8">
                  <c:v>44350</c:v>
                </c:pt>
                <c:pt idx="9">
                  <c:v>44355</c:v>
                </c:pt>
                <c:pt idx="10">
                  <c:v>44356</c:v>
                </c:pt>
                <c:pt idx="11">
                  <c:v>44362</c:v>
                </c:pt>
                <c:pt idx="12">
                  <c:v>44363</c:v>
                </c:pt>
                <c:pt idx="13">
                  <c:v>44369</c:v>
                </c:pt>
                <c:pt idx="14">
                  <c:v>44370</c:v>
                </c:pt>
                <c:pt idx="15">
                  <c:v>44376</c:v>
                </c:pt>
                <c:pt idx="16">
                  <c:v>44377</c:v>
                </c:pt>
                <c:pt idx="17">
                  <c:v>44384</c:v>
                </c:pt>
                <c:pt idx="18">
                  <c:v>44385</c:v>
                </c:pt>
                <c:pt idx="19">
                  <c:v>44390</c:v>
                </c:pt>
                <c:pt idx="20">
                  <c:v>44391</c:v>
                </c:pt>
                <c:pt idx="21">
                  <c:v>44397</c:v>
                </c:pt>
                <c:pt idx="22">
                  <c:v>44398</c:v>
                </c:pt>
                <c:pt idx="23">
                  <c:v>44404</c:v>
                </c:pt>
                <c:pt idx="24">
                  <c:v>44405</c:v>
                </c:pt>
                <c:pt idx="25">
                  <c:v>44411</c:v>
                </c:pt>
                <c:pt idx="26">
                  <c:v>44412</c:v>
                </c:pt>
                <c:pt idx="27">
                  <c:v>44418</c:v>
                </c:pt>
                <c:pt idx="28">
                  <c:v>44419</c:v>
                </c:pt>
                <c:pt idx="29">
                  <c:v>44425</c:v>
                </c:pt>
                <c:pt idx="30">
                  <c:v>44426</c:v>
                </c:pt>
                <c:pt idx="31">
                  <c:v>44432</c:v>
                </c:pt>
                <c:pt idx="32">
                  <c:v>44433</c:v>
                </c:pt>
              </c:numCache>
            </c:numRef>
          </c:cat>
          <c:val>
            <c:numRef>
              <c:f>Physicochemical_Managed!$X$77:$X$109</c:f>
              <c:numCache>
                <c:formatCode>0.000</c:formatCode>
                <c:ptCount val="33"/>
                <c:pt idx="0">
                  <c:v>0.54999999999999993</c:v>
                </c:pt>
                <c:pt idx="1">
                  <c:v>0.54</c:v>
                </c:pt>
                <c:pt idx="2">
                  <c:v>0.53</c:v>
                </c:pt>
                <c:pt idx="3">
                  <c:v>0.55000000000000004</c:v>
                </c:pt>
                <c:pt idx="4">
                  <c:v>0.46500000000000002</c:v>
                </c:pt>
                <c:pt idx="5">
                  <c:v>0.55000000000000004</c:v>
                </c:pt>
                <c:pt idx="6">
                  <c:v>0.505</c:v>
                </c:pt>
                <c:pt idx="7">
                  <c:v>0.56000000000000005</c:v>
                </c:pt>
                <c:pt idx="8">
                  <c:v>0.61499999999999999</c:v>
                </c:pt>
                <c:pt idx="9">
                  <c:v>0.56000000000000005</c:v>
                </c:pt>
                <c:pt idx="10">
                  <c:v>0.55499999999999994</c:v>
                </c:pt>
                <c:pt idx="11">
                  <c:v>0.7</c:v>
                </c:pt>
                <c:pt idx="12">
                  <c:v>0.57000000000000006</c:v>
                </c:pt>
                <c:pt idx="13">
                  <c:v>0.7</c:v>
                </c:pt>
                <c:pt idx="14">
                  <c:v>0.53</c:v>
                </c:pt>
                <c:pt idx="15">
                  <c:v>0.74</c:v>
                </c:pt>
                <c:pt idx="16">
                  <c:v>0.54499999999999993</c:v>
                </c:pt>
                <c:pt idx="17">
                  <c:v>0.67</c:v>
                </c:pt>
                <c:pt idx="18">
                  <c:v>0.255</c:v>
                </c:pt>
                <c:pt idx="19">
                  <c:v>0.63</c:v>
                </c:pt>
                <c:pt idx="20">
                  <c:v>0.6100000000000001</c:v>
                </c:pt>
                <c:pt idx="21">
                  <c:v>0.57999999999999996</c:v>
                </c:pt>
                <c:pt idx="22">
                  <c:v>0.56499999999999995</c:v>
                </c:pt>
                <c:pt idx="23">
                  <c:v>0.68</c:v>
                </c:pt>
                <c:pt idx="24">
                  <c:v>0.56499999999999995</c:v>
                </c:pt>
                <c:pt idx="25">
                  <c:v>0.67</c:v>
                </c:pt>
                <c:pt idx="26">
                  <c:v>0.6100000000000001</c:v>
                </c:pt>
                <c:pt idx="27">
                  <c:v>0.63</c:v>
                </c:pt>
                <c:pt idx="28">
                  <c:v>0.61</c:v>
                </c:pt>
                <c:pt idx="29">
                  <c:v>0.64</c:v>
                </c:pt>
                <c:pt idx="30">
                  <c:v>0.66999999999999993</c:v>
                </c:pt>
                <c:pt idx="31">
                  <c:v>0.6</c:v>
                </c:pt>
                <c:pt idx="32">
                  <c:v>0.62</c:v>
                </c:pt>
              </c:numCache>
            </c:numRef>
          </c:val>
          <c:smooth val="0"/>
          <c:extLst>
            <c:ext xmlns:c16="http://schemas.microsoft.com/office/drawing/2014/chart" uri="{C3380CC4-5D6E-409C-BE32-E72D297353CC}">
              <c16:uniqueId val="{00000002-F01D-46AC-8CCD-D743E8A08E54}"/>
            </c:ext>
          </c:extLst>
        </c:ser>
        <c:dLbls>
          <c:showLegendKey val="0"/>
          <c:showVal val="0"/>
          <c:showCatName val="0"/>
          <c:showSerName val="0"/>
          <c:showPercent val="0"/>
          <c:showBubbleSize val="0"/>
        </c:dLbls>
        <c:marker val="1"/>
        <c:smooth val="0"/>
        <c:axId val="774072144"/>
        <c:axId val="780465376"/>
      </c:lineChart>
      <c:dateAx>
        <c:axId val="403941288"/>
        <c:scaling>
          <c:orientation val="minMax"/>
          <c:max val="44437"/>
          <c:min val="44287"/>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Sampling times--</a:t>
                </a:r>
                <a:r>
                  <a:rPr lang="en-US" b="1">
                    <a:solidFill>
                      <a:srgbClr val="FF0000"/>
                    </a:solidFill>
                  </a:rPr>
                  <a:t>RN</a:t>
                </a:r>
              </a:p>
            </c:rich>
          </c:tx>
          <c:layout>
            <c:manualLayout>
              <c:xMode val="edge"/>
              <c:yMode val="edge"/>
              <c:x val="0.39785997109175708"/>
              <c:y val="0.94951730232117781"/>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mm/dd/yyyy" sourceLinked="1"/>
        <c:majorTickMark val="out"/>
        <c:minorTickMark val="in"/>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03917672"/>
        <c:crosses val="autoZero"/>
        <c:auto val="1"/>
        <c:lblOffset val="100"/>
        <c:baseTimeUnit val="days"/>
        <c:majorUnit val="15"/>
        <c:majorTimeUnit val="days"/>
        <c:minorUnit val="5"/>
        <c:minorTimeUnit val="days"/>
      </c:dateAx>
      <c:valAx>
        <c:axId val="403917672"/>
        <c:scaling>
          <c:orientation val="minMax"/>
          <c:max val="0.5"/>
          <c:min val="0"/>
        </c:scaling>
        <c:delete val="0"/>
        <c:axPos val="l"/>
        <c:majorGridlines>
          <c:spPr>
            <a:ln w="1270" cap="flat" cmpd="sng" algn="ctr">
              <a:solidFill>
                <a:schemeClr val="tx1"/>
              </a:solidFill>
              <a:prstDash val="solid"/>
              <a:round/>
            </a:ln>
            <a:effectLst/>
          </c:spPr>
        </c:majorGridlines>
        <c:minorGridlines>
          <c:spPr>
            <a:ln w="1270" cap="flat" cmpd="sng" algn="ctr">
              <a:solidFill>
                <a:schemeClr val="bg2">
                  <a:lumMod val="90000"/>
                </a:schemeClr>
              </a:solidFill>
              <a:prstDash val="dash"/>
              <a:round/>
            </a:ln>
            <a:effectLst/>
          </c:spPr>
        </c:min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Free</a:t>
                </a:r>
                <a:r>
                  <a:rPr lang="en-US" baseline="0"/>
                  <a:t> ammonia and nitrite</a:t>
                </a:r>
                <a:r>
                  <a:rPr lang="en-US"/>
                  <a:t> (mg N·L</a:t>
                </a:r>
                <a:r>
                  <a:rPr lang="en-US" baseline="30000"/>
                  <a:t>-1</a:t>
                </a:r>
                <a:r>
                  <a:rPr lang="en-US"/>
                  <a:t>)</a:t>
                </a:r>
              </a:p>
            </c:rich>
          </c:tx>
          <c:layout>
            <c:manualLayout>
              <c:xMode val="edge"/>
              <c:yMode val="edge"/>
              <c:x val="6.5976053561081385E-5"/>
              <c:y val="0.17785146699446749"/>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0" sourceLinked="0"/>
        <c:majorTickMark val="out"/>
        <c:minorTickMark val="in"/>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03941288"/>
        <c:crosses val="autoZero"/>
        <c:crossBetween val="between"/>
        <c:majorUnit val="0.1"/>
        <c:minorUnit val="2.5000000000000005E-2"/>
      </c:valAx>
      <c:valAx>
        <c:axId val="780465376"/>
        <c:scaling>
          <c:orientation val="minMax"/>
          <c:max val="0.8"/>
          <c:min val="0.2"/>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Orthophosphate (</a:t>
                </a:r>
                <a:r>
                  <a:rPr lang="en-US" baseline="0"/>
                  <a:t>PO</a:t>
                </a:r>
                <a:r>
                  <a:rPr lang="en-US" baseline="-25000"/>
                  <a:t>4</a:t>
                </a:r>
                <a:r>
                  <a:rPr lang="en-US" baseline="30000"/>
                  <a:t>3-</a:t>
                </a:r>
                <a:r>
                  <a:rPr lang="en-US" baseline="0"/>
                  <a:t>·L</a:t>
                </a:r>
                <a:r>
                  <a:rPr lang="en-US" baseline="30000"/>
                  <a:t>-1</a:t>
                </a:r>
                <a:r>
                  <a:rPr lang="en-US"/>
                  <a:t>)</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00" sourceLinked="0"/>
        <c:majorTickMark val="out"/>
        <c:minorTickMark val="in"/>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74072144"/>
        <c:crosses val="max"/>
        <c:crossBetween val="between"/>
        <c:majorUnit val="0.2"/>
        <c:minorUnit val="5.000000000000001E-2"/>
      </c:valAx>
      <c:dateAx>
        <c:axId val="774072144"/>
        <c:scaling>
          <c:orientation val="minMax"/>
        </c:scaling>
        <c:delete val="1"/>
        <c:axPos val="b"/>
        <c:numFmt formatCode="mm/dd/yyyy" sourceLinked="1"/>
        <c:majorTickMark val="out"/>
        <c:minorTickMark val="none"/>
        <c:tickLblPos val="nextTo"/>
        <c:crossAx val="780465376"/>
        <c:crosses val="autoZero"/>
        <c:auto val="1"/>
        <c:lblOffset val="100"/>
        <c:baseTimeUnit val="days"/>
      </c:dateAx>
      <c:spPr>
        <a:noFill/>
        <a:ln w="19050">
          <a:solidFill>
            <a:schemeClr val="tx1"/>
          </a:solidFill>
        </a:ln>
        <a:effectLst/>
      </c:spPr>
    </c:plotArea>
    <c:legend>
      <c:legendPos val="r"/>
      <c:legendEntry>
        <c:idx val="0"/>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Entry>
      <c:layout>
        <c:manualLayout>
          <c:xMode val="edge"/>
          <c:yMode val="edge"/>
          <c:x val="0.11681139964213569"/>
          <c:y val="5.3523128062688954E-2"/>
          <c:w val="0.22798312160438464"/>
          <c:h val="9.8627455336123951E-2"/>
        </c:manualLayout>
      </c:layout>
      <c:overlay val="0"/>
      <c:spPr>
        <a:solidFill>
          <a:schemeClr val="bg1"/>
        </a:solid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04646"/>
      </a:solid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13278008298755"/>
          <c:y val="3.6235046109691547E-2"/>
          <c:w val="0.77921161825726137"/>
          <c:h val="0.75850914427279748"/>
        </c:manualLayout>
      </c:layout>
      <c:lineChart>
        <c:grouping val="standard"/>
        <c:varyColors val="0"/>
        <c:ser>
          <c:idx val="3"/>
          <c:order val="0"/>
          <c:tx>
            <c:v>pH</c:v>
          </c:tx>
          <c:spPr>
            <a:ln w="6350" cap="rnd">
              <a:solidFill>
                <a:srgbClr val="F04646"/>
              </a:solidFill>
              <a:round/>
            </a:ln>
            <a:effectLst/>
          </c:spPr>
          <c:marker>
            <c:symbol val="circle"/>
            <c:size val="6"/>
            <c:spPr>
              <a:solidFill>
                <a:srgbClr val="F04646"/>
              </a:solidFill>
              <a:ln w="12700">
                <a:solidFill>
                  <a:srgbClr val="F04646"/>
                </a:solidFill>
              </a:ln>
              <a:effectLst/>
            </c:spPr>
          </c:marker>
          <c:cat>
            <c:numRef>
              <c:f>Physicochemical_Managed!$O$110:$O$143</c:f>
              <c:numCache>
                <c:formatCode>mm/dd/yyyy</c:formatCode>
                <c:ptCount val="34"/>
                <c:pt idx="0">
                  <c:v>44293</c:v>
                </c:pt>
                <c:pt idx="1">
                  <c:v>44306</c:v>
                </c:pt>
                <c:pt idx="2">
                  <c:v>44313</c:v>
                </c:pt>
                <c:pt idx="3">
                  <c:v>44327</c:v>
                </c:pt>
                <c:pt idx="4">
                  <c:v>44334</c:v>
                </c:pt>
                <c:pt idx="5">
                  <c:v>44335</c:v>
                </c:pt>
                <c:pt idx="6">
                  <c:v>44341</c:v>
                </c:pt>
                <c:pt idx="7">
                  <c:v>44342</c:v>
                </c:pt>
                <c:pt idx="8">
                  <c:v>44349</c:v>
                </c:pt>
                <c:pt idx="9">
                  <c:v>44350</c:v>
                </c:pt>
                <c:pt idx="10">
                  <c:v>44355</c:v>
                </c:pt>
                <c:pt idx="11">
                  <c:v>44356</c:v>
                </c:pt>
                <c:pt idx="12">
                  <c:v>44362</c:v>
                </c:pt>
                <c:pt idx="13">
                  <c:v>44363</c:v>
                </c:pt>
                <c:pt idx="14">
                  <c:v>44364</c:v>
                </c:pt>
                <c:pt idx="15">
                  <c:v>44369</c:v>
                </c:pt>
                <c:pt idx="16">
                  <c:v>44370</c:v>
                </c:pt>
                <c:pt idx="17">
                  <c:v>44376</c:v>
                </c:pt>
                <c:pt idx="18">
                  <c:v>44377</c:v>
                </c:pt>
                <c:pt idx="19">
                  <c:v>44384</c:v>
                </c:pt>
                <c:pt idx="20">
                  <c:v>44385</c:v>
                </c:pt>
                <c:pt idx="21">
                  <c:v>44390</c:v>
                </c:pt>
                <c:pt idx="22">
                  <c:v>44391</c:v>
                </c:pt>
                <c:pt idx="23">
                  <c:v>44397</c:v>
                </c:pt>
                <c:pt idx="24">
                  <c:v>44404</c:v>
                </c:pt>
                <c:pt idx="25">
                  <c:v>44405</c:v>
                </c:pt>
                <c:pt idx="26">
                  <c:v>44411</c:v>
                </c:pt>
                <c:pt idx="27">
                  <c:v>44412</c:v>
                </c:pt>
                <c:pt idx="28">
                  <c:v>44418</c:v>
                </c:pt>
                <c:pt idx="29">
                  <c:v>44419</c:v>
                </c:pt>
                <c:pt idx="30">
                  <c:v>44425</c:v>
                </c:pt>
                <c:pt idx="31">
                  <c:v>44426</c:v>
                </c:pt>
                <c:pt idx="32">
                  <c:v>44432</c:v>
                </c:pt>
                <c:pt idx="33">
                  <c:v>44433</c:v>
                </c:pt>
              </c:numCache>
            </c:numRef>
          </c:cat>
          <c:val>
            <c:numRef>
              <c:f>Physicochemical_Managed!$Q$110:$Q$143</c:f>
              <c:numCache>
                <c:formatCode>0.000</c:formatCode>
                <c:ptCount val="34"/>
                <c:pt idx="0">
                  <c:v>6.6400000000000006</c:v>
                </c:pt>
                <c:pt idx="1">
                  <c:v>7.05</c:v>
                </c:pt>
                <c:pt idx="2">
                  <c:v>6.95</c:v>
                </c:pt>
                <c:pt idx="3">
                  <c:v>7.41</c:v>
                </c:pt>
                <c:pt idx="4">
                  <c:v>7.3</c:v>
                </c:pt>
                <c:pt idx="5">
                  <c:v>7.43</c:v>
                </c:pt>
                <c:pt idx="6">
                  <c:v>7.35</c:v>
                </c:pt>
                <c:pt idx="7">
                  <c:v>6.88</c:v>
                </c:pt>
                <c:pt idx="8">
                  <c:v>7.29</c:v>
                </c:pt>
                <c:pt idx="9">
                  <c:v>7.2449999999999992</c:v>
                </c:pt>
                <c:pt idx="10">
                  <c:v>7.45</c:v>
                </c:pt>
                <c:pt idx="11">
                  <c:v>6.8149999999999995</c:v>
                </c:pt>
                <c:pt idx="12">
                  <c:v>6.92</c:v>
                </c:pt>
                <c:pt idx="13">
                  <c:v>7.12</c:v>
                </c:pt>
                <c:pt idx="14">
                  <c:v>7.06</c:v>
                </c:pt>
                <c:pt idx="15">
                  <c:v>7.33</c:v>
                </c:pt>
                <c:pt idx="16">
                  <c:v>7.1</c:v>
                </c:pt>
                <c:pt idx="17">
                  <c:v>7.05</c:v>
                </c:pt>
                <c:pt idx="18">
                  <c:v>6.9850000000000003</c:v>
                </c:pt>
                <c:pt idx="19">
                  <c:v>6.45</c:v>
                </c:pt>
                <c:pt idx="20">
                  <c:v>6.7450000000000001</c:v>
                </c:pt>
                <c:pt idx="21">
                  <c:v>6.69</c:v>
                </c:pt>
                <c:pt idx="22">
                  <c:v>6.8650000000000002</c:v>
                </c:pt>
                <c:pt idx="23">
                  <c:v>6.5966666666666667</c:v>
                </c:pt>
                <c:pt idx="24">
                  <c:v>6.61</c:v>
                </c:pt>
                <c:pt idx="25">
                  <c:v>6.7450000000000001</c:v>
                </c:pt>
                <c:pt idx="26">
                  <c:v>6.61</c:v>
                </c:pt>
                <c:pt idx="27">
                  <c:v>6.66</c:v>
                </c:pt>
                <c:pt idx="28">
                  <c:v>6.64</c:v>
                </c:pt>
                <c:pt idx="29">
                  <c:v>6.64</c:v>
                </c:pt>
                <c:pt idx="30">
                  <c:v>6.71</c:v>
                </c:pt>
                <c:pt idx="31">
                  <c:v>6.6549999999999994</c:v>
                </c:pt>
                <c:pt idx="32">
                  <c:v>6.73</c:v>
                </c:pt>
                <c:pt idx="33">
                  <c:v>6.8599999999999994</c:v>
                </c:pt>
              </c:numCache>
            </c:numRef>
          </c:val>
          <c:smooth val="0"/>
          <c:extLst>
            <c:ext xmlns:c16="http://schemas.microsoft.com/office/drawing/2014/chart" uri="{C3380CC4-5D6E-409C-BE32-E72D297353CC}">
              <c16:uniqueId val="{00000000-93B1-45CE-8EF1-AC4BC9B9733B}"/>
            </c:ext>
          </c:extLst>
        </c:ser>
        <c:dLbls>
          <c:showLegendKey val="0"/>
          <c:showVal val="0"/>
          <c:showCatName val="0"/>
          <c:showSerName val="0"/>
          <c:showPercent val="0"/>
          <c:showBubbleSize val="0"/>
        </c:dLbls>
        <c:marker val="1"/>
        <c:smooth val="0"/>
        <c:axId val="403941288"/>
        <c:axId val="403917672"/>
      </c:lineChart>
      <c:lineChart>
        <c:grouping val="standard"/>
        <c:varyColors val="0"/>
        <c:ser>
          <c:idx val="0"/>
          <c:order val="1"/>
          <c:tx>
            <c:v>Water temperature</c:v>
          </c:tx>
          <c:spPr>
            <a:ln w="6350" cap="rnd">
              <a:solidFill>
                <a:srgbClr val="5064E6"/>
              </a:solidFill>
              <a:round/>
            </a:ln>
            <a:effectLst/>
          </c:spPr>
          <c:marker>
            <c:symbol val="circle"/>
            <c:size val="6"/>
            <c:spPr>
              <a:noFill/>
              <a:ln w="12700">
                <a:solidFill>
                  <a:srgbClr val="5064E6">
                    <a:alpha val="95000"/>
                  </a:srgbClr>
                </a:solidFill>
              </a:ln>
              <a:effectLst/>
            </c:spPr>
          </c:marker>
          <c:cat>
            <c:numRef>
              <c:f>Physicochemical_Managed!$O$110:$O$143</c:f>
              <c:numCache>
                <c:formatCode>mm/dd/yyyy</c:formatCode>
                <c:ptCount val="34"/>
                <c:pt idx="0">
                  <c:v>44293</c:v>
                </c:pt>
                <c:pt idx="1">
                  <c:v>44306</c:v>
                </c:pt>
                <c:pt idx="2">
                  <c:v>44313</c:v>
                </c:pt>
                <c:pt idx="3">
                  <c:v>44327</c:v>
                </c:pt>
                <c:pt idx="4">
                  <c:v>44334</c:v>
                </c:pt>
                <c:pt idx="5">
                  <c:v>44335</c:v>
                </c:pt>
                <c:pt idx="6">
                  <c:v>44341</c:v>
                </c:pt>
                <c:pt idx="7">
                  <c:v>44342</c:v>
                </c:pt>
                <c:pt idx="8">
                  <c:v>44349</c:v>
                </c:pt>
                <c:pt idx="9">
                  <c:v>44350</c:v>
                </c:pt>
                <c:pt idx="10">
                  <c:v>44355</c:v>
                </c:pt>
                <c:pt idx="11">
                  <c:v>44356</c:v>
                </c:pt>
                <c:pt idx="12">
                  <c:v>44362</c:v>
                </c:pt>
                <c:pt idx="13">
                  <c:v>44363</c:v>
                </c:pt>
                <c:pt idx="14">
                  <c:v>44364</c:v>
                </c:pt>
                <c:pt idx="15">
                  <c:v>44369</c:v>
                </c:pt>
                <c:pt idx="16">
                  <c:v>44370</c:v>
                </c:pt>
                <c:pt idx="17">
                  <c:v>44376</c:v>
                </c:pt>
                <c:pt idx="18">
                  <c:v>44377</c:v>
                </c:pt>
                <c:pt idx="19">
                  <c:v>44384</c:v>
                </c:pt>
                <c:pt idx="20">
                  <c:v>44385</c:v>
                </c:pt>
                <c:pt idx="21">
                  <c:v>44390</c:v>
                </c:pt>
                <c:pt idx="22">
                  <c:v>44391</c:v>
                </c:pt>
                <c:pt idx="23">
                  <c:v>44397</c:v>
                </c:pt>
                <c:pt idx="24">
                  <c:v>44404</c:v>
                </c:pt>
                <c:pt idx="25">
                  <c:v>44405</c:v>
                </c:pt>
                <c:pt idx="26">
                  <c:v>44411</c:v>
                </c:pt>
                <c:pt idx="27">
                  <c:v>44412</c:v>
                </c:pt>
                <c:pt idx="28">
                  <c:v>44418</c:v>
                </c:pt>
                <c:pt idx="29">
                  <c:v>44419</c:v>
                </c:pt>
                <c:pt idx="30">
                  <c:v>44425</c:v>
                </c:pt>
                <c:pt idx="31">
                  <c:v>44426</c:v>
                </c:pt>
                <c:pt idx="32">
                  <c:v>44432</c:v>
                </c:pt>
                <c:pt idx="33">
                  <c:v>44433</c:v>
                </c:pt>
              </c:numCache>
            </c:numRef>
          </c:cat>
          <c:val>
            <c:numRef>
              <c:f>Physicochemical_Managed!$R$110:$R$143</c:f>
              <c:numCache>
                <c:formatCode>0.000</c:formatCode>
                <c:ptCount val="34"/>
                <c:pt idx="0">
                  <c:v>23.5</c:v>
                </c:pt>
                <c:pt idx="1">
                  <c:v>18.899999999999999</c:v>
                </c:pt>
                <c:pt idx="2">
                  <c:v>22.7</c:v>
                </c:pt>
                <c:pt idx="3">
                  <c:v>24.8</c:v>
                </c:pt>
                <c:pt idx="4">
                  <c:v>23.3</c:v>
                </c:pt>
                <c:pt idx="5">
                  <c:v>24.5</c:v>
                </c:pt>
                <c:pt idx="6">
                  <c:v>23.4</c:v>
                </c:pt>
                <c:pt idx="7">
                  <c:v>25</c:v>
                </c:pt>
                <c:pt idx="8">
                  <c:v>25</c:v>
                </c:pt>
                <c:pt idx="9">
                  <c:v>25.05</c:v>
                </c:pt>
                <c:pt idx="10">
                  <c:v>25.3</c:v>
                </c:pt>
                <c:pt idx="11">
                  <c:v>26.95</c:v>
                </c:pt>
                <c:pt idx="12">
                  <c:v>24.1</c:v>
                </c:pt>
                <c:pt idx="13">
                  <c:v>28.8</c:v>
                </c:pt>
                <c:pt idx="14">
                  <c:v>27</c:v>
                </c:pt>
                <c:pt idx="15">
                  <c:v>25</c:v>
                </c:pt>
                <c:pt idx="16">
                  <c:v>27.4</c:v>
                </c:pt>
                <c:pt idx="17">
                  <c:v>24.4</c:v>
                </c:pt>
                <c:pt idx="18">
                  <c:v>26.7</c:v>
                </c:pt>
                <c:pt idx="19">
                  <c:v>25</c:v>
                </c:pt>
                <c:pt idx="20">
                  <c:v>27.15</c:v>
                </c:pt>
                <c:pt idx="21">
                  <c:v>24.8</c:v>
                </c:pt>
                <c:pt idx="22">
                  <c:v>27.95</c:v>
                </c:pt>
                <c:pt idx="23">
                  <c:v>27.5</c:v>
                </c:pt>
                <c:pt idx="24">
                  <c:v>26.9</c:v>
                </c:pt>
                <c:pt idx="25">
                  <c:v>28.15</c:v>
                </c:pt>
                <c:pt idx="26">
                  <c:v>26.7</c:v>
                </c:pt>
                <c:pt idx="27">
                  <c:v>26.799999999999997</c:v>
                </c:pt>
                <c:pt idx="28">
                  <c:v>26.1</c:v>
                </c:pt>
                <c:pt idx="29">
                  <c:v>29.5</c:v>
                </c:pt>
                <c:pt idx="30">
                  <c:v>26.9</c:v>
                </c:pt>
                <c:pt idx="31">
                  <c:v>28.3</c:v>
                </c:pt>
                <c:pt idx="32">
                  <c:v>28.5</c:v>
                </c:pt>
                <c:pt idx="33">
                  <c:v>29</c:v>
                </c:pt>
              </c:numCache>
            </c:numRef>
          </c:val>
          <c:smooth val="0"/>
          <c:extLst>
            <c:ext xmlns:c16="http://schemas.microsoft.com/office/drawing/2014/chart" uri="{C3380CC4-5D6E-409C-BE32-E72D297353CC}">
              <c16:uniqueId val="{00000001-93B1-45CE-8EF1-AC4BC9B9733B}"/>
            </c:ext>
          </c:extLst>
        </c:ser>
        <c:dLbls>
          <c:showLegendKey val="0"/>
          <c:showVal val="0"/>
          <c:showCatName val="0"/>
          <c:showSerName val="0"/>
          <c:showPercent val="0"/>
          <c:showBubbleSize val="0"/>
        </c:dLbls>
        <c:marker val="1"/>
        <c:smooth val="0"/>
        <c:axId val="559296576"/>
        <c:axId val="559299528"/>
      </c:lineChart>
      <c:dateAx>
        <c:axId val="403941288"/>
        <c:scaling>
          <c:orientation val="minMax"/>
          <c:max val="44437"/>
          <c:min val="44287"/>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Sampling times--</a:t>
                </a:r>
                <a:r>
                  <a:rPr lang="en-US" b="1">
                    <a:solidFill>
                      <a:srgbClr val="FF0000"/>
                    </a:solidFill>
                  </a:rPr>
                  <a:t>RU</a:t>
                </a:r>
              </a:p>
            </c:rich>
          </c:tx>
          <c:layout>
            <c:manualLayout>
              <c:xMode val="edge"/>
              <c:yMode val="edge"/>
              <c:x val="0.40797950088956109"/>
              <c:y val="0.94951727294155164"/>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mm/dd/yyyy" sourceLinked="1"/>
        <c:majorTickMark val="out"/>
        <c:minorTickMark val="in"/>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03917672"/>
        <c:crosses val="autoZero"/>
        <c:auto val="1"/>
        <c:lblOffset val="100"/>
        <c:baseTimeUnit val="days"/>
        <c:majorUnit val="15"/>
        <c:majorTimeUnit val="days"/>
        <c:minorUnit val="5"/>
        <c:minorTimeUnit val="days"/>
      </c:dateAx>
      <c:valAx>
        <c:axId val="403917672"/>
        <c:scaling>
          <c:orientation val="minMax"/>
          <c:max val="7.5"/>
          <c:min val="6.4"/>
        </c:scaling>
        <c:delete val="0"/>
        <c:axPos val="l"/>
        <c:majorGridlines>
          <c:spPr>
            <a:ln w="1270" cap="flat" cmpd="sng" algn="ctr">
              <a:solidFill>
                <a:schemeClr val="tx1"/>
              </a:solidFill>
              <a:prstDash val="solid"/>
              <a:round/>
            </a:ln>
            <a:effectLst/>
          </c:spPr>
        </c:majorGridlines>
        <c:minorGridlines>
          <c:spPr>
            <a:ln w="1270" cap="flat" cmpd="sng" algn="ctr">
              <a:solidFill>
                <a:schemeClr val="bg2">
                  <a:lumMod val="90000"/>
                </a:schemeClr>
              </a:solidFill>
              <a:prstDash val="dash"/>
              <a:round/>
            </a:ln>
            <a:effectLst/>
          </c:spPr>
        </c:min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pH</a:t>
                </a:r>
              </a:p>
            </c:rich>
          </c:tx>
          <c:layout>
            <c:manualLayout>
              <c:xMode val="edge"/>
              <c:yMode val="edge"/>
              <c:x val="6.5976053561081385E-5"/>
              <c:y val="0.40005275279655506"/>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0" sourceLinked="0"/>
        <c:majorTickMark val="out"/>
        <c:minorTickMark val="in"/>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03941288"/>
        <c:crosses val="autoZero"/>
        <c:crossBetween val="between"/>
        <c:majorUnit val="0.2"/>
        <c:minorUnit val="0.1"/>
      </c:valAx>
      <c:valAx>
        <c:axId val="559299528"/>
        <c:scaling>
          <c:orientation val="minMax"/>
          <c:max val="30"/>
          <c:min val="18"/>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sz="1200" b="0" i="0" baseline="0">
                    <a:solidFill>
                      <a:sysClr val="windowText" lastClr="000000"/>
                    </a:solidFill>
                    <a:effectLst/>
                  </a:rPr>
                  <a:t>Water temperature (°C)</a:t>
                </a:r>
                <a:endParaRPr lang="en-US" sz="1200">
                  <a:solidFill>
                    <a:sysClr val="windowText" lastClr="000000"/>
                  </a:solidFill>
                  <a:effectLst/>
                </a:endParaRPr>
              </a:p>
            </c:rich>
          </c:tx>
          <c:layout>
            <c:manualLayout>
              <c:xMode val="edge"/>
              <c:yMode val="edge"/>
              <c:x val="0.95850616190842264"/>
              <c:y val="0.2724410433297443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 sourceLinked="0"/>
        <c:majorTickMark val="out"/>
        <c:minorTickMark val="in"/>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559296576"/>
        <c:crosses val="max"/>
        <c:crossBetween val="between"/>
        <c:majorUnit val="2"/>
        <c:minorUnit val="0.5"/>
      </c:valAx>
      <c:dateAx>
        <c:axId val="559296576"/>
        <c:scaling>
          <c:orientation val="minMax"/>
          <c:max val="44437"/>
          <c:min val="44287"/>
        </c:scaling>
        <c:delete val="0"/>
        <c:axPos val="t"/>
        <c:numFmt formatCode="mm/dd/yyyy"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bg1"/>
                </a:solidFill>
                <a:latin typeface="Times New Roman" panose="02020603050405020304" pitchFamily="18" charset="0"/>
                <a:ea typeface="+mn-ea"/>
                <a:cs typeface="Times New Roman" panose="02020603050405020304" pitchFamily="18" charset="0"/>
              </a:defRPr>
            </a:pPr>
            <a:endParaRPr lang="en-US"/>
          </a:p>
        </c:txPr>
        <c:crossAx val="559299528"/>
        <c:crosses val="max"/>
        <c:auto val="1"/>
        <c:lblOffset val="100"/>
        <c:baseTimeUnit val="days"/>
      </c:dateAx>
      <c:spPr>
        <a:noFill/>
        <a:ln w="19050">
          <a:solidFill>
            <a:schemeClr val="tx1"/>
          </a:solidFill>
        </a:ln>
        <a:effectLst/>
      </c:spPr>
    </c:plotArea>
    <c:legend>
      <c:legendPos val="r"/>
      <c:legendEntry>
        <c:idx val="0"/>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Entry>
      <c:layout>
        <c:manualLayout>
          <c:xMode val="edge"/>
          <c:yMode val="edge"/>
          <c:x val="0.23824558518209712"/>
          <c:y val="0.63945829513828756"/>
          <c:w val="0.20502122389085331"/>
          <c:h val="0.13285467233123033"/>
        </c:manualLayout>
      </c:layout>
      <c:overlay val="0"/>
      <c:spPr>
        <a:solidFill>
          <a:schemeClr val="bg1"/>
        </a:solid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04646"/>
      </a:solid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13278008298755"/>
          <c:y val="3.6235046109691547E-2"/>
          <c:w val="0.77921161825726137"/>
          <c:h val="0.75850914427279748"/>
        </c:manualLayout>
      </c:layout>
      <c:lineChart>
        <c:grouping val="standard"/>
        <c:varyColors val="0"/>
        <c:ser>
          <c:idx val="3"/>
          <c:order val="0"/>
          <c:tx>
            <c:v>Free chlorine</c:v>
          </c:tx>
          <c:spPr>
            <a:ln w="6350" cap="rnd">
              <a:solidFill>
                <a:srgbClr val="F04646"/>
              </a:solidFill>
              <a:round/>
            </a:ln>
            <a:effectLst/>
          </c:spPr>
          <c:marker>
            <c:symbol val="circle"/>
            <c:size val="6"/>
            <c:spPr>
              <a:solidFill>
                <a:srgbClr val="F04646"/>
              </a:solidFill>
              <a:ln w="12700">
                <a:solidFill>
                  <a:srgbClr val="F04646"/>
                </a:solidFill>
              </a:ln>
              <a:effectLst/>
            </c:spPr>
          </c:marker>
          <c:cat>
            <c:numRef>
              <c:f>Physicochemical_Managed!$O$110:$O$143</c:f>
              <c:numCache>
                <c:formatCode>mm/dd/yyyy</c:formatCode>
                <c:ptCount val="34"/>
                <c:pt idx="0">
                  <c:v>44293</c:v>
                </c:pt>
                <c:pt idx="1">
                  <c:v>44306</c:v>
                </c:pt>
                <c:pt idx="2">
                  <c:v>44313</c:v>
                </c:pt>
                <c:pt idx="3">
                  <c:v>44327</c:v>
                </c:pt>
                <c:pt idx="4">
                  <c:v>44334</c:v>
                </c:pt>
                <c:pt idx="5">
                  <c:v>44335</c:v>
                </c:pt>
                <c:pt idx="6">
                  <c:v>44341</c:v>
                </c:pt>
                <c:pt idx="7">
                  <c:v>44342</c:v>
                </c:pt>
                <c:pt idx="8">
                  <c:v>44349</c:v>
                </c:pt>
                <c:pt idx="9">
                  <c:v>44350</c:v>
                </c:pt>
                <c:pt idx="10">
                  <c:v>44355</c:v>
                </c:pt>
                <c:pt idx="11">
                  <c:v>44356</c:v>
                </c:pt>
                <c:pt idx="12">
                  <c:v>44362</c:v>
                </c:pt>
                <c:pt idx="13">
                  <c:v>44363</c:v>
                </c:pt>
                <c:pt idx="14">
                  <c:v>44364</c:v>
                </c:pt>
                <c:pt idx="15">
                  <c:v>44369</c:v>
                </c:pt>
                <c:pt idx="16">
                  <c:v>44370</c:v>
                </c:pt>
                <c:pt idx="17">
                  <c:v>44376</c:v>
                </c:pt>
                <c:pt idx="18">
                  <c:v>44377</c:v>
                </c:pt>
                <c:pt idx="19">
                  <c:v>44384</c:v>
                </c:pt>
                <c:pt idx="20">
                  <c:v>44385</c:v>
                </c:pt>
                <c:pt idx="21">
                  <c:v>44390</c:v>
                </c:pt>
                <c:pt idx="22">
                  <c:v>44391</c:v>
                </c:pt>
                <c:pt idx="23">
                  <c:v>44397</c:v>
                </c:pt>
                <c:pt idx="24">
                  <c:v>44404</c:v>
                </c:pt>
                <c:pt idx="25">
                  <c:v>44405</c:v>
                </c:pt>
                <c:pt idx="26">
                  <c:v>44411</c:v>
                </c:pt>
                <c:pt idx="27">
                  <c:v>44412</c:v>
                </c:pt>
                <c:pt idx="28">
                  <c:v>44418</c:v>
                </c:pt>
                <c:pt idx="29">
                  <c:v>44419</c:v>
                </c:pt>
                <c:pt idx="30">
                  <c:v>44425</c:v>
                </c:pt>
                <c:pt idx="31">
                  <c:v>44426</c:v>
                </c:pt>
                <c:pt idx="32">
                  <c:v>44432</c:v>
                </c:pt>
                <c:pt idx="33">
                  <c:v>44433</c:v>
                </c:pt>
              </c:numCache>
            </c:numRef>
          </c:cat>
          <c:val>
            <c:numRef>
              <c:f>Physicochemical_Managed!$S$110:$S$143</c:f>
              <c:numCache>
                <c:formatCode>0.000</c:formatCode>
                <c:ptCount val="34"/>
                <c:pt idx="0">
                  <c:v>7.5000000000000011E-2</c:v>
                </c:pt>
                <c:pt idx="1">
                  <c:v>0.15</c:v>
                </c:pt>
                <c:pt idx="2">
                  <c:v>0.09</c:v>
                </c:pt>
                <c:pt idx="3">
                  <c:v>0.15</c:v>
                </c:pt>
                <c:pt idx="4">
                  <c:v>0.13</c:v>
                </c:pt>
                <c:pt idx="5">
                  <c:v>8.4999999999999992E-2</c:v>
                </c:pt>
                <c:pt idx="6">
                  <c:v>0.1</c:v>
                </c:pt>
                <c:pt idx="7">
                  <c:v>0.13500000000000001</c:v>
                </c:pt>
                <c:pt idx="8">
                  <c:v>0.09</c:v>
                </c:pt>
                <c:pt idx="9">
                  <c:v>7.4999999999999997E-2</c:v>
                </c:pt>
                <c:pt idx="10">
                  <c:v>0.09</c:v>
                </c:pt>
                <c:pt idx="11">
                  <c:v>0.1</c:v>
                </c:pt>
                <c:pt idx="12">
                  <c:v>0.1</c:v>
                </c:pt>
                <c:pt idx="13">
                  <c:v>2.36</c:v>
                </c:pt>
                <c:pt idx="14">
                  <c:v>2.37</c:v>
                </c:pt>
                <c:pt idx="15">
                  <c:v>2.72</c:v>
                </c:pt>
                <c:pt idx="16">
                  <c:v>3.26</c:v>
                </c:pt>
                <c:pt idx="17">
                  <c:v>2.58</c:v>
                </c:pt>
                <c:pt idx="18">
                  <c:v>3.08</c:v>
                </c:pt>
                <c:pt idx="19">
                  <c:v>2.29</c:v>
                </c:pt>
                <c:pt idx="20">
                  <c:v>2.6550000000000002</c:v>
                </c:pt>
                <c:pt idx="21">
                  <c:v>2.0299999999999998</c:v>
                </c:pt>
                <c:pt idx="22">
                  <c:v>3.0150000000000001</c:v>
                </c:pt>
                <c:pt idx="23">
                  <c:v>2.2399999999999998</c:v>
                </c:pt>
                <c:pt idx="24">
                  <c:v>0.13</c:v>
                </c:pt>
                <c:pt idx="25">
                  <c:v>0.1</c:v>
                </c:pt>
                <c:pt idx="26">
                  <c:v>0.14000000000000001</c:v>
                </c:pt>
                <c:pt idx="27">
                  <c:v>0.01</c:v>
                </c:pt>
                <c:pt idx="28">
                  <c:v>0.11</c:v>
                </c:pt>
                <c:pt idx="29">
                  <c:v>0.09</c:v>
                </c:pt>
                <c:pt idx="30">
                  <c:v>0.1</c:v>
                </c:pt>
                <c:pt idx="31">
                  <c:v>0.11</c:v>
                </c:pt>
                <c:pt idx="32">
                  <c:v>0.12</c:v>
                </c:pt>
                <c:pt idx="33">
                  <c:v>0.04</c:v>
                </c:pt>
              </c:numCache>
            </c:numRef>
          </c:val>
          <c:smooth val="0"/>
          <c:extLst>
            <c:ext xmlns:c16="http://schemas.microsoft.com/office/drawing/2014/chart" uri="{C3380CC4-5D6E-409C-BE32-E72D297353CC}">
              <c16:uniqueId val="{00000000-5815-46D0-BC81-A6C399A771B0}"/>
            </c:ext>
          </c:extLst>
        </c:ser>
        <c:ser>
          <c:idx val="0"/>
          <c:order val="1"/>
          <c:tx>
            <c:v>Monochloramine</c:v>
          </c:tx>
          <c:spPr>
            <a:ln w="6350" cap="rnd">
              <a:solidFill>
                <a:srgbClr val="5064E6"/>
              </a:solidFill>
              <a:round/>
            </a:ln>
            <a:effectLst/>
          </c:spPr>
          <c:marker>
            <c:symbol val="circle"/>
            <c:size val="6"/>
            <c:spPr>
              <a:noFill/>
              <a:ln w="12700">
                <a:solidFill>
                  <a:srgbClr val="5064E6">
                    <a:alpha val="95000"/>
                  </a:srgbClr>
                </a:solidFill>
              </a:ln>
              <a:effectLst/>
            </c:spPr>
          </c:marker>
          <c:cat>
            <c:numRef>
              <c:f>Physicochemical_Managed!$O$110:$O$143</c:f>
              <c:numCache>
                <c:formatCode>mm/dd/yyyy</c:formatCode>
                <c:ptCount val="34"/>
                <c:pt idx="0">
                  <c:v>44293</c:v>
                </c:pt>
                <c:pt idx="1">
                  <c:v>44306</c:v>
                </c:pt>
                <c:pt idx="2">
                  <c:v>44313</c:v>
                </c:pt>
                <c:pt idx="3">
                  <c:v>44327</c:v>
                </c:pt>
                <c:pt idx="4">
                  <c:v>44334</c:v>
                </c:pt>
                <c:pt idx="5">
                  <c:v>44335</c:v>
                </c:pt>
                <c:pt idx="6">
                  <c:v>44341</c:v>
                </c:pt>
                <c:pt idx="7">
                  <c:v>44342</c:v>
                </c:pt>
                <c:pt idx="8">
                  <c:v>44349</c:v>
                </c:pt>
                <c:pt idx="9">
                  <c:v>44350</c:v>
                </c:pt>
                <c:pt idx="10">
                  <c:v>44355</c:v>
                </c:pt>
                <c:pt idx="11">
                  <c:v>44356</c:v>
                </c:pt>
                <c:pt idx="12">
                  <c:v>44362</c:v>
                </c:pt>
                <c:pt idx="13">
                  <c:v>44363</c:v>
                </c:pt>
                <c:pt idx="14">
                  <c:v>44364</c:v>
                </c:pt>
                <c:pt idx="15">
                  <c:v>44369</c:v>
                </c:pt>
                <c:pt idx="16">
                  <c:v>44370</c:v>
                </c:pt>
                <c:pt idx="17">
                  <c:v>44376</c:v>
                </c:pt>
                <c:pt idx="18">
                  <c:v>44377</c:v>
                </c:pt>
                <c:pt idx="19">
                  <c:v>44384</c:v>
                </c:pt>
                <c:pt idx="20">
                  <c:v>44385</c:v>
                </c:pt>
                <c:pt idx="21">
                  <c:v>44390</c:v>
                </c:pt>
                <c:pt idx="22">
                  <c:v>44391</c:v>
                </c:pt>
                <c:pt idx="23">
                  <c:v>44397</c:v>
                </c:pt>
                <c:pt idx="24">
                  <c:v>44404</c:v>
                </c:pt>
                <c:pt idx="25">
                  <c:v>44405</c:v>
                </c:pt>
                <c:pt idx="26">
                  <c:v>44411</c:v>
                </c:pt>
                <c:pt idx="27">
                  <c:v>44412</c:v>
                </c:pt>
                <c:pt idx="28">
                  <c:v>44418</c:v>
                </c:pt>
                <c:pt idx="29">
                  <c:v>44419</c:v>
                </c:pt>
                <c:pt idx="30">
                  <c:v>44425</c:v>
                </c:pt>
                <c:pt idx="31">
                  <c:v>44426</c:v>
                </c:pt>
                <c:pt idx="32">
                  <c:v>44432</c:v>
                </c:pt>
                <c:pt idx="33">
                  <c:v>44433</c:v>
                </c:pt>
              </c:numCache>
            </c:numRef>
          </c:cat>
          <c:val>
            <c:numRef>
              <c:f>Physicochemical_Managed!$T$110:$T$143</c:f>
              <c:numCache>
                <c:formatCode>0.000</c:formatCode>
                <c:ptCount val="34"/>
                <c:pt idx="0">
                  <c:v>2.6</c:v>
                </c:pt>
                <c:pt idx="1">
                  <c:v>2.0499999999999998</c:v>
                </c:pt>
                <c:pt idx="2">
                  <c:v>2.1</c:v>
                </c:pt>
                <c:pt idx="3">
                  <c:v>1.48</c:v>
                </c:pt>
                <c:pt idx="4">
                  <c:v>1.5</c:v>
                </c:pt>
                <c:pt idx="5">
                  <c:v>2.4249999999999998</c:v>
                </c:pt>
                <c:pt idx="6">
                  <c:v>2.2000000000000002</c:v>
                </c:pt>
                <c:pt idx="7">
                  <c:v>2.39</c:v>
                </c:pt>
                <c:pt idx="8">
                  <c:v>2.16</c:v>
                </c:pt>
                <c:pt idx="9">
                  <c:v>2.34</c:v>
                </c:pt>
                <c:pt idx="10">
                  <c:v>2.2200000000000002</c:v>
                </c:pt>
                <c:pt idx="11">
                  <c:v>2.6100000000000003</c:v>
                </c:pt>
                <c:pt idx="12">
                  <c:v>0.23</c:v>
                </c:pt>
                <c:pt idx="13">
                  <c:v>0.02</c:v>
                </c:pt>
                <c:pt idx="14">
                  <c:v>0.02</c:v>
                </c:pt>
                <c:pt idx="15">
                  <c:v>0.02</c:v>
                </c:pt>
                <c:pt idx="16">
                  <c:v>0.01</c:v>
                </c:pt>
                <c:pt idx="17">
                  <c:v>0.02</c:v>
                </c:pt>
                <c:pt idx="18">
                  <c:v>0.01</c:v>
                </c:pt>
                <c:pt idx="19">
                  <c:v>0.02</c:v>
                </c:pt>
                <c:pt idx="20">
                  <c:v>5.0000000000000001E-3</c:v>
                </c:pt>
                <c:pt idx="21">
                  <c:v>0</c:v>
                </c:pt>
                <c:pt idx="22">
                  <c:v>0.02</c:v>
                </c:pt>
                <c:pt idx="23">
                  <c:v>0.01</c:v>
                </c:pt>
                <c:pt idx="24">
                  <c:v>1.77</c:v>
                </c:pt>
                <c:pt idx="25">
                  <c:v>2.0449999999999999</c:v>
                </c:pt>
                <c:pt idx="26">
                  <c:v>2.19</c:v>
                </c:pt>
                <c:pt idx="27">
                  <c:v>2.415</c:v>
                </c:pt>
                <c:pt idx="28">
                  <c:v>1.93</c:v>
                </c:pt>
                <c:pt idx="29">
                  <c:v>2.1950000000000003</c:v>
                </c:pt>
                <c:pt idx="30">
                  <c:v>1.72</c:v>
                </c:pt>
                <c:pt idx="31">
                  <c:v>2.27</c:v>
                </c:pt>
                <c:pt idx="32">
                  <c:v>2.35</c:v>
                </c:pt>
                <c:pt idx="33">
                  <c:v>2.1550000000000002</c:v>
                </c:pt>
              </c:numCache>
            </c:numRef>
          </c:val>
          <c:smooth val="0"/>
          <c:extLst>
            <c:ext xmlns:c16="http://schemas.microsoft.com/office/drawing/2014/chart" uri="{C3380CC4-5D6E-409C-BE32-E72D297353CC}">
              <c16:uniqueId val="{00000001-5815-46D0-BC81-A6C399A771B0}"/>
            </c:ext>
          </c:extLst>
        </c:ser>
        <c:ser>
          <c:idx val="1"/>
          <c:order val="2"/>
          <c:tx>
            <c:v>Total chlorine</c:v>
          </c:tx>
          <c:spPr>
            <a:ln w="6350" cap="rnd">
              <a:solidFill>
                <a:schemeClr val="tx1"/>
              </a:solidFill>
              <a:round/>
            </a:ln>
            <a:effectLst/>
          </c:spPr>
          <c:marker>
            <c:symbol val="square"/>
            <c:size val="6"/>
            <c:spPr>
              <a:noFill/>
              <a:ln w="12700">
                <a:solidFill>
                  <a:schemeClr val="tx1"/>
                </a:solidFill>
              </a:ln>
              <a:effectLst/>
            </c:spPr>
          </c:marker>
          <c:cat>
            <c:numRef>
              <c:f>Physicochemical_Managed!$O$110:$O$143</c:f>
              <c:numCache>
                <c:formatCode>mm/dd/yyyy</c:formatCode>
                <c:ptCount val="34"/>
                <c:pt idx="0">
                  <c:v>44293</c:v>
                </c:pt>
                <c:pt idx="1">
                  <c:v>44306</c:v>
                </c:pt>
                <c:pt idx="2">
                  <c:v>44313</c:v>
                </c:pt>
                <c:pt idx="3">
                  <c:v>44327</c:v>
                </c:pt>
                <c:pt idx="4">
                  <c:v>44334</c:v>
                </c:pt>
                <c:pt idx="5">
                  <c:v>44335</c:v>
                </c:pt>
                <c:pt idx="6">
                  <c:v>44341</c:v>
                </c:pt>
                <c:pt idx="7">
                  <c:v>44342</c:v>
                </c:pt>
                <c:pt idx="8">
                  <c:v>44349</c:v>
                </c:pt>
                <c:pt idx="9">
                  <c:v>44350</c:v>
                </c:pt>
                <c:pt idx="10">
                  <c:v>44355</c:v>
                </c:pt>
                <c:pt idx="11">
                  <c:v>44356</c:v>
                </c:pt>
                <c:pt idx="12">
                  <c:v>44362</c:v>
                </c:pt>
                <c:pt idx="13">
                  <c:v>44363</c:v>
                </c:pt>
                <c:pt idx="14">
                  <c:v>44364</c:v>
                </c:pt>
                <c:pt idx="15">
                  <c:v>44369</c:v>
                </c:pt>
                <c:pt idx="16">
                  <c:v>44370</c:v>
                </c:pt>
                <c:pt idx="17">
                  <c:v>44376</c:v>
                </c:pt>
                <c:pt idx="18">
                  <c:v>44377</c:v>
                </c:pt>
                <c:pt idx="19">
                  <c:v>44384</c:v>
                </c:pt>
                <c:pt idx="20">
                  <c:v>44385</c:v>
                </c:pt>
                <c:pt idx="21">
                  <c:v>44390</c:v>
                </c:pt>
                <c:pt idx="22">
                  <c:v>44391</c:v>
                </c:pt>
                <c:pt idx="23">
                  <c:v>44397</c:v>
                </c:pt>
                <c:pt idx="24">
                  <c:v>44404</c:v>
                </c:pt>
                <c:pt idx="25">
                  <c:v>44405</c:v>
                </c:pt>
                <c:pt idx="26">
                  <c:v>44411</c:v>
                </c:pt>
                <c:pt idx="27">
                  <c:v>44412</c:v>
                </c:pt>
                <c:pt idx="28">
                  <c:v>44418</c:v>
                </c:pt>
                <c:pt idx="29">
                  <c:v>44419</c:v>
                </c:pt>
                <c:pt idx="30">
                  <c:v>44425</c:v>
                </c:pt>
                <c:pt idx="31">
                  <c:v>44426</c:v>
                </c:pt>
                <c:pt idx="32">
                  <c:v>44432</c:v>
                </c:pt>
                <c:pt idx="33">
                  <c:v>44433</c:v>
                </c:pt>
              </c:numCache>
            </c:numRef>
          </c:cat>
          <c:val>
            <c:numRef>
              <c:f>Physicochemical_Managed!$U$110:$U$143</c:f>
              <c:numCache>
                <c:formatCode>0.000</c:formatCode>
                <c:ptCount val="34"/>
                <c:pt idx="0">
                  <c:v>2.95</c:v>
                </c:pt>
                <c:pt idx="1">
                  <c:v>2.69</c:v>
                </c:pt>
                <c:pt idx="2">
                  <c:v>2.69</c:v>
                </c:pt>
                <c:pt idx="3">
                  <c:v>1.79</c:v>
                </c:pt>
                <c:pt idx="4">
                  <c:v>1.95</c:v>
                </c:pt>
                <c:pt idx="5">
                  <c:v>2.86</c:v>
                </c:pt>
                <c:pt idx="6">
                  <c:v>2.85</c:v>
                </c:pt>
                <c:pt idx="7">
                  <c:v>2.9950000000000001</c:v>
                </c:pt>
                <c:pt idx="8">
                  <c:v>2.4300000000000002</c:v>
                </c:pt>
                <c:pt idx="9">
                  <c:v>2.56</c:v>
                </c:pt>
                <c:pt idx="10">
                  <c:v>2.52</c:v>
                </c:pt>
                <c:pt idx="11">
                  <c:v>2.87</c:v>
                </c:pt>
                <c:pt idx="12">
                  <c:v>0.39</c:v>
                </c:pt>
                <c:pt idx="13">
                  <c:v>2.41</c:v>
                </c:pt>
                <c:pt idx="14">
                  <c:v>2.4900000000000002</c:v>
                </c:pt>
                <c:pt idx="15">
                  <c:v>2.79</c:v>
                </c:pt>
                <c:pt idx="16">
                  <c:v>3.3</c:v>
                </c:pt>
                <c:pt idx="17">
                  <c:v>2.69</c:v>
                </c:pt>
                <c:pt idx="18">
                  <c:v>3.0649999999999999</c:v>
                </c:pt>
                <c:pt idx="19">
                  <c:v>2.42</c:v>
                </c:pt>
                <c:pt idx="20">
                  <c:v>2.73</c:v>
                </c:pt>
                <c:pt idx="21">
                  <c:v>2.19</c:v>
                </c:pt>
                <c:pt idx="22">
                  <c:v>3.0250000000000004</c:v>
                </c:pt>
                <c:pt idx="23">
                  <c:v>2.3566666666666669</c:v>
                </c:pt>
                <c:pt idx="24">
                  <c:v>1.95</c:v>
                </c:pt>
                <c:pt idx="25">
                  <c:v>2.2549999999999999</c:v>
                </c:pt>
                <c:pt idx="26">
                  <c:v>2.62</c:v>
                </c:pt>
                <c:pt idx="27">
                  <c:v>2.7800000000000002</c:v>
                </c:pt>
                <c:pt idx="28">
                  <c:v>2.2200000000000002</c:v>
                </c:pt>
                <c:pt idx="29">
                  <c:v>2.665</c:v>
                </c:pt>
                <c:pt idx="30">
                  <c:v>1.93</c:v>
                </c:pt>
                <c:pt idx="31">
                  <c:v>2.7350000000000003</c:v>
                </c:pt>
                <c:pt idx="32">
                  <c:v>2.46</c:v>
                </c:pt>
                <c:pt idx="33">
                  <c:v>2.2850000000000001</c:v>
                </c:pt>
              </c:numCache>
            </c:numRef>
          </c:val>
          <c:smooth val="0"/>
          <c:extLst>
            <c:ext xmlns:c16="http://schemas.microsoft.com/office/drawing/2014/chart" uri="{C3380CC4-5D6E-409C-BE32-E72D297353CC}">
              <c16:uniqueId val="{00000002-5815-46D0-BC81-A6C399A771B0}"/>
            </c:ext>
          </c:extLst>
        </c:ser>
        <c:dLbls>
          <c:showLegendKey val="0"/>
          <c:showVal val="0"/>
          <c:showCatName val="0"/>
          <c:showSerName val="0"/>
          <c:showPercent val="0"/>
          <c:showBubbleSize val="0"/>
        </c:dLbls>
        <c:marker val="1"/>
        <c:smooth val="0"/>
        <c:axId val="403941288"/>
        <c:axId val="403917672"/>
      </c:lineChart>
      <c:dateAx>
        <c:axId val="403941288"/>
        <c:scaling>
          <c:orientation val="minMax"/>
          <c:max val="44437"/>
          <c:min val="44287"/>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Sampling times--</a:t>
                </a:r>
                <a:r>
                  <a:rPr lang="en-US" b="1">
                    <a:solidFill>
                      <a:srgbClr val="FF0000"/>
                    </a:solidFill>
                  </a:rPr>
                  <a:t>RU</a:t>
                </a:r>
              </a:p>
            </c:rich>
          </c:tx>
          <c:layout>
            <c:manualLayout>
              <c:xMode val="edge"/>
              <c:yMode val="edge"/>
              <c:x val="0.39785997109175708"/>
              <c:y val="0.94951730232117781"/>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mm/dd/yyyy" sourceLinked="1"/>
        <c:majorTickMark val="out"/>
        <c:minorTickMark val="in"/>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03917672"/>
        <c:crosses val="autoZero"/>
        <c:auto val="1"/>
        <c:lblOffset val="100"/>
        <c:baseTimeUnit val="days"/>
        <c:majorUnit val="15"/>
        <c:majorTimeUnit val="days"/>
        <c:minorUnit val="5"/>
        <c:minorTimeUnit val="days"/>
      </c:dateAx>
      <c:valAx>
        <c:axId val="403917672"/>
        <c:scaling>
          <c:orientation val="minMax"/>
          <c:max val="3.5"/>
          <c:min val="0"/>
        </c:scaling>
        <c:delete val="0"/>
        <c:axPos val="l"/>
        <c:majorGridlines>
          <c:spPr>
            <a:ln w="1270" cap="flat" cmpd="sng" algn="ctr">
              <a:solidFill>
                <a:schemeClr val="tx1"/>
              </a:solidFill>
              <a:prstDash val="solid"/>
              <a:round/>
            </a:ln>
            <a:effectLst/>
          </c:spPr>
        </c:majorGridlines>
        <c:minorGridlines>
          <c:spPr>
            <a:ln w="1270" cap="flat" cmpd="sng" algn="ctr">
              <a:solidFill>
                <a:schemeClr val="bg2">
                  <a:lumMod val="90000"/>
                </a:schemeClr>
              </a:solidFill>
              <a:prstDash val="dash"/>
              <a:round/>
            </a:ln>
            <a:effectLst/>
          </c:spPr>
        </c:min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Chlorine (mg Cl</a:t>
                </a:r>
                <a:r>
                  <a:rPr lang="en-US" baseline="-25000"/>
                  <a:t>2</a:t>
                </a:r>
                <a:r>
                  <a:rPr lang="en-US"/>
                  <a:t>·L</a:t>
                </a:r>
                <a:r>
                  <a:rPr lang="en-US" baseline="30000"/>
                  <a:t>-1</a:t>
                </a:r>
                <a:r>
                  <a:rPr lang="en-US"/>
                  <a:t>)</a:t>
                </a:r>
              </a:p>
            </c:rich>
          </c:tx>
          <c:layout>
            <c:manualLayout>
              <c:xMode val="edge"/>
              <c:yMode val="edge"/>
              <c:x val="6.5976053561081209E-5"/>
              <c:y val="0.2827105058966991"/>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0" sourceLinked="0"/>
        <c:majorTickMark val="out"/>
        <c:minorTickMark val="in"/>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03941288"/>
        <c:crosses val="autoZero"/>
        <c:crossBetween val="between"/>
        <c:majorUnit val="0.5"/>
        <c:minorUnit val="0.25"/>
      </c:valAx>
      <c:spPr>
        <a:noFill/>
        <a:ln w="19050">
          <a:solidFill>
            <a:schemeClr val="tx1"/>
          </a:solidFill>
        </a:ln>
        <a:effectLst/>
      </c:spPr>
    </c:plotArea>
    <c:legend>
      <c:legendPos val="r"/>
      <c:legendEntry>
        <c:idx val="0"/>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Entry>
      <c:layout>
        <c:manualLayout>
          <c:xMode val="edge"/>
          <c:yMode val="edge"/>
          <c:x val="0.114787496549803"/>
          <c:y val="0.57454555677023933"/>
          <c:w val="0.22798312160438464"/>
          <c:h val="0.11352553820857748"/>
        </c:manualLayout>
      </c:layout>
      <c:overlay val="0"/>
      <c:spPr>
        <a:solidFill>
          <a:schemeClr val="bg1"/>
        </a:solid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04646"/>
      </a:solid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13278008298755"/>
          <c:y val="3.6235046109691547E-2"/>
          <c:w val="0.77921161825726137"/>
          <c:h val="0.75850914427279748"/>
        </c:manualLayout>
      </c:layout>
      <c:lineChart>
        <c:grouping val="standard"/>
        <c:varyColors val="0"/>
        <c:ser>
          <c:idx val="3"/>
          <c:order val="0"/>
          <c:tx>
            <c:strRef>
              <c:f>qPCR_Unique!$K$1</c:f>
              <c:strCache>
                <c:ptCount val="1"/>
                <c:pt idx="0">
                  <c:v>Legionella</c:v>
                </c:pt>
              </c:strCache>
            </c:strRef>
          </c:tx>
          <c:spPr>
            <a:ln w="6350" cap="rnd">
              <a:solidFill>
                <a:srgbClr val="F04646"/>
              </a:solidFill>
              <a:round/>
            </a:ln>
            <a:effectLst/>
          </c:spPr>
          <c:marker>
            <c:symbol val="circle"/>
            <c:size val="6"/>
            <c:spPr>
              <a:solidFill>
                <a:srgbClr val="F04646"/>
              </a:solidFill>
              <a:ln w="12700">
                <a:solidFill>
                  <a:srgbClr val="F04646"/>
                </a:solidFill>
              </a:ln>
              <a:effectLst/>
            </c:spPr>
          </c:marker>
          <c:errBars>
            <c:errDir val="y"/>
            <c:errBarType val="both"/>
            <c:errValType val="cust"/>
            <c:noEndCap val="0"/>
            <c:plus>
              <c:numRef>
                <c:f>qPCR_Unique!$M$18:$M$31</c:f>
                <c:numCache>
                  <c:formatCode>General</c:formatCode>
                  <c:ptCount val="14"/>
                  <c:pt idx="0">
                    <c:v>2.9516469219282287E-2</c:v>
                  </c:pt>
                  <c:pt idx="1">
                    <c:v>0.16126766777143298</c:v>
                  </c:pt>
                  <c:pt idx="2">
                    <c:v>2.7470789199276341E-2</c:v>
                  </c:pt>
                  <c:pt idx="3">
                    <c:v>0.19674278356235073</c:v>
                  </c:pt>
                  <c:pt idx="4">
                    <c:v>0</c:v>
                  </c:pt>
                  <c:pt idx="5">
                    <c:v>0.43429448190325176</c:v>
                  </c:pt>
                  <c:pt idx="6">
                    <c:v>0.11906382903343478</c:v>
                  </c:pt>
                  <c:pt idx="7">
                    <c:v>0.2506677084956192</c:v>
                  </c:pt>
                  <c:pt idx="8">
                    <c:v>0</c:v>
                  </c:pt>
                  <c:pt idx="9">
                    <c:v>0</c:v>
                  </c:pt>
                  <c:pt idx="10">
                    <c:v>0.27255859693364748</c:v>
                  </c:pt>
                  <c:pt idx="11">
                    <c:v>0.35849273168062923</c:v>
                  </c:pt>
                  <c:pt idx="12">
                    <c:v>0.24120410446646018</c:v>
                  </c:pt>
                  <c:pt idx="13">
                    <c:v>0.43429448190325176</c:v>
                  </c:pt>
                </c:numCache>
              </c:numRef>
            </c:plus>
            <c:minus>
              <c:numRef>
                <c:f>qPCR_Unique!$M$18:$M$31</c:f>
                <c:numCache>
                  <c:formatCode>General</c:formatCode>
                  <c:ptCount val="14"/>
                  <c:pt idx="0">
                    <c:v>2.9516469219282287E-2</c:v>
                  </c:pt>
                  <c:pt idx="1">
                    <c:v>0.16126766777143298</c:v>
                  </c:pt>
                  <c:pt idx="2">
                    <c:v>2.7470789199276341E-2</c:v>
                  </c:pt>
                  <c:pt idx="3">
                    <c:v>0.19674278356235073</c:v>
                  </c:pt>
                  <c:pt idx="4">
                    <c:v>0</c:v>
                  </c:pt>
                  <c:pt idx="5">
                    <c:v>0.43429448190325176</c:v>
                  </c:pt>
                  <c:pt idx="6">
                    <c:v>0.11906382903343478</c:v>
                  </c:pt>
                  <c:pt idx="7">
                    <c:v>0.2506677084956192</c:v>
                  </c:pt>
                  <c:pt idx="8">
                    <c:v>0</c:v>
                  </c:pt>
                  <c:pt idx="9">
                    <c:v>0</c:v>
                  </c:pt>
                  <c:pt idx="10">
                    <c:v>0.27255859693364748</c:v>
                  </c:pt>
                  <c:pt idx="11">
                    <c:v>0.35849273168062923</c:v>
                  </c:pt>
                  <c:pt idx="12">
                    <c:v>0.24120410446646018</c:v>
                  </c:pt>
                  <c:pt idx="13">
                    <c:v>0.43429448190325176</c:v>
                  </c:pt>
                </c:numCache>
              </c:numRef>
            </c:minus>
            <c:spPr>
              <a:noFill/>
              <a:ln w="12700" cap="flat" cmpd="sng" algn="ctr">
                <a:solidFill>
                  <a:srgbClr val="F04646"/>
                </a:solidFill>
                <a:round/>
              </a:ln>
              <a:effectLst/>
            </c:spPr>
          </c:errBars>
          <c:cat>
            <c:numRef>
              <c:f>qPCR_Unique!$G$18:$G$31</c:f>
              <c:numCache>
                <c:formatCode>mm/dd/yyyy</c:formatCode>
                <c:ptCount val="14"/>
                <c:pt idx="0">
                  <c:v>44335</c:v>
                </c:pt>
                <c:pt idx="1">
                  <c:v>44342</c:v>
                </c:pt>
                <c:pt idx="2">
                  <c:v>44350</c:v>
                </c:pt>
                <c:pt idx="3">
                  <c:v>44356</c:v>
                </c:pt>
                <c:pt idx="4">
                  <c:v>44370</c:v>
                </c:pt>
                <c:pt idx="5">
                  <c:v>44377</c:v>
                </c:pt>
                <c:pt idx="6">
                  <c:v>44385</c:v>
                </c:pt>
                <c:pt idx="7">
                  <c:v>44391</c:v>
                </c:pt>
                <c:pt idx="8">
                  <c:v>44398</c:v>
                </c:pt>
                <c:pt idx="9">
                  <c:v>44405</c:v>
                </c:pt>
                <c:pt idx="10">
                  <c:v>44412</c:v>
                </c:pt>
                <c:pt idx="11">
                  <c:v>44419</c:v>
                </c:pt>
                <c:pt idx="12">
                  <c:v>44426</c:v>
                </c:pt>
                <c:pt idx="13">
                  <c:v>44433</c:v>
                </c:pt>
              </c:numCache>
            </c:numRef>
          </c:cat>
          <c:val>
            <c:numRef>
              <c:f>qPCR_Unique!$L$18:$L$31</c:f>
              <c:numCache>
                <c:formatCode>0.000</c:formatCode>
                <c:ptCount val="14"/>
                <c:pt idx="0">
                  <c:v>4.721946009032651</c:v>
                </c:pt>
                <c:pt idx="1">
                  <c:v>4.8538832053589882</c:v>
                </c:pt>
                <c:pt idx="2">
                  <c:v>4.7165192407443959</c:v>
                </c:pt>
                <c:pt idx="3">
                  <c:v>4.163497354716899</c:v>
                </c:pt>
                <c:pt idx="4">
                  <c:v>0</c:v>
                </c:pt>
                <c:pt idx="5">
                  <c:v>2.6724300034261792</c:v>
                </c:pt>
                <c:pt idx="6">
                  <c:v>2.4792015600758024</c:v>
                </c:pt>
                <c:pt idx="7">
                  <c:v>3.0981883072865495</c:v>
                </c:pt>
                <c:pt idx="8">
                  <c:v>0</c:v>
                </c:pt>
                <c:pt idx="9">
                  <c:v>0</c:v>
                </c:pt>
                <c:pt idx="10">
                  <c:v>3.7621508354431223</c:v>
                </c:pt>
                <c:pt idx="11">
                  <c:v>3.8028826843473644</c:v>
                </c:pt>
                <c:pt idx="12">
                  <c:v>4.5633325917001768</c:v>
                </c:pt>
                <c:pt idx="13">
                  <c:v>4.0692002329379919</c:v>
                </c:pt>
              </c:numCache>
            </c:numRef>
          </c:val>
          <c:smooth val="0"/>
          <c:extLst>
            <c:ext xmlns:c16="http://schemas.microsoft.com/office/drawing/2014/chart" uri="{C3380CC4-5D6E-409C-BE32-E72D297353CC}">
              <c16:uniqueId val="{00000000-D05C-447C-ADE6-E3254FE6B34D}"/>
            </c:ext>
          </c:extLst>
        </c:ser>
        <c:ser>
          <c:idx val="0"/>
          <c:order val="1"/>
          <c:tx>
            <c:strRef>
              <c:f>qPCR_Unique!$N$1</c:f>
              <c:strCache>
                <c:ptCount val="1"/>
                <c:pt idx="0">
                  <c:v>Mycobacterium</c:v>
                </c:pt>
              </c:strCache>
            </c:strRef>
          </c:tx>
          <c:spPr>
            <a:ln w="6350" cap="rnd">
              <a:solidFill>
                <a:srgbClr val="5064E6"/>
              </a:solidFill>
              <a:round/>
            </a:ln>
            <a:effectLst/>
          </c:spPr>
          <c:marker>
            <c:symbol val="circle"/>
            <c:size val="6"/>
            <c:spPr>
              <a:noFill/>
              <a:ln w="12700">
                <a:solidFill>
                  <a:srgbClr val="5064E6">
                    <a:alpha val="94902"/>
                  </a:srgbClr>
                </a:solidFill>
              </a:ln>
              <a:effectLst/>
            </c:spPr>
          </c:marker>
          <c:errBars>
            <c:errDir val="y"/>
            <c:errBarType val="both"/>
            <c:errValType val="cust"/>
            <c:noEndCap val="0"/>
            <c:plus>
              <c:numRef>
                <c:f>qPCR_Unique!$P$18:$P$31</c:f>
                <c:numCache>
                  <c:formatCode>General</c:formatCode>
                  <c:ptCount val="14"/>
                  <c:pt idx="0">
                    <c:v>0.13845464993722353</c:v>
                  </c:pt>
                  <c:pt idx="1">
                    <c:v>0.43429448190325176</c:v>
                  </c:pt>
                  <c:pt idx="2">
                    <c:v>7.889095762529999E-2</c:v>
                  </c:pt>
                  <c:pt idx="3">
                    <c:v>8.5745817406865599E-2</c:v>
                  </c:pt>
                  <c:pt idx="4">
                    <c:v>0.43429448190325176</c:v>
                  </c:pt>
                  <c:pt idx="5">
                    <c:v>0</c:v>
                  </c:pt>
                  <c:pt idx="6">
                    <c:v>0</c:v>
                  </c:pt>
                  <c:pt idx="7">
                    <c:v>0</c:v>
                  </c:pt>
                  <c:pt idx="8">
                    <c:v>0</c:v>
                  </c:pt>
                  <c:pt idx="9">
                    <c:v>0</c:v>
                  </c:pt>
                  <c:pt idx="10">
                    <c:v>6.4102134359966353E-2</c:v>
                  </c:pt>
                  <c:pt idx="11">
                    <c:v>0.20787693142600364</c:v>
                  </c:pt>
                  <c:pt idx="12">
                    <c:v>0.43429448190325176</c:v>
                  </c:pt>
                  <c:pt idx="13">
                    <c:v>2.0781092842217158E-2</c:v>
                  </c:pt>
                </c:numCache>
              </c:numRef>
            </c:plus>
            <c:minus>
              <c:numRef>
                <c:f>qPCR_Unique!$P$18:$P$31</c:f>
                <c:numCache>
                  <c:formatCode>General</c:formatCode>
                  <c:ptCount val="14"/>
                  <c:pt idx="0">
                    <c:v>0.13845464993722353</c:v>
                  </c:pt>
                  <c:pt idx="1">
                    <c:v>0.43429448190325176</c:v>
                  </c:pt>
                  <c:pt idx="2">
                    <c:v>7.889095762529999E-2</c:v>
                  </c:pt>
                  <c:pt idx="3">
                    <c:v>8.5745817406865599E-2</c:v>
                  </c:pt>
                  <c:pt idx="4">
                    <c:v>0.43429448190325176</c:v>
                  </c:pt>
                  <c:pt idx="5">
                    <c:v>0</c:v>
                  </c:pt>
                  <c:pt idx="6">
                    <c:v>0</c:v>
                  </c:pt>
                  <c:pt idx="7">
                    <c:v>0</c:v>
                  </c:pt>
                  <c:pt idx="8">
                    <c:v>0</c:v>
                  </c:pt>
                  <c:pt idx="9">
                    <c:v>0</c:v>
                  </c:pt>
                  <c:pt idx="10">
                    <c:v>6.4102134359966353E-2</c:v>
                  </c:pt>
                  <c:pt idx="11">
                    <c:v>0.20787693142600364</c:v>
                  </c:pt>
                  <c:pt idx="12">
                    <c:v>0.43429448190325176</c:v>
                  </c:pt>
                  <c:pt idx="13">
                    <c:v>2.0781092842217158E-2</c:v>
                  </c:pt>
                </c:numCache>
              </c:numRef>
            </c:minus>
            <c:spPr>
              <a:noFill/>
              <a:ln w="12700" cap="flat" cmpd="sng" algn="ctr">
                <a:solidFill>
                  <a:srgbClr val="5064E6"/>
                </a:solidFill>
                <a:round/>
              </a:ln>
              <a:effectLst/>
            </c:spPr>
          </c:errBars>
          <c:cat>
            <c:numRef>
              <c:f>qPCR_Unique!$G$18:$G$31</c:f>
              <c:numCache>
                <c:formatCode>mm/dd/yyyy</c:formatCode>
                <c:ptCount val="14"/>
                <c:pt idx="0">
                  <c:v>44335</c:v>
                </c:pt>
                <c:pt idx="1">
                  <c:v>44342</c:v>
                </c:pt>
                <c:pt idx="2">
                  <c:v>44350</c:v>
                </c:pt>
                <c:pt idx="3">
                  <c:v>44356</c:v>
                </c:pt>
                <c:pt idx="4">
                  <c:v>44370</c:v>
                </c:pt>
                <c:pt idx="5">
                  <c:v>44377</c:v>
                </c:pt>
                <c:pt idx="6">
                  <c:v>44385</c:v>
                </c:pt>
                <c:pt idx="7">
                  <c:v>44391</c:v>
                </c:pt>
                <c:pt idx="8">
                  <c:v>44398</c:v>
                </c:pt>
                <c:pt idx="9">
                  <c:v>44405</c:v>
                </c:pt>
                <c:pt idx="10">
                  <c:v>44412</c:v>
                </c:pt>
                <c:pt idx="11">
                  <c:v>44419</c:v>
                </c:pt>
                <c:pt idx="12">
                  <c:v>44426</c:v>
                </c:pt>
                <c:pt idx="13">
                  <c:v>44433</c:v>
                </c:pt>
              </c:numCache>
            </c:numRef>
          </c:cat>
          <c:val>
            <c:numRef>
              <c:f>qPCR_Unique!$O$18:$O$31</c:f>
              <c:numCache>
                <c:formatCode>0.000</c:formatCode>
                <c:ptCount val="14"/>
                <c:pt idx="0">
                  <c:v>2.5435253467391021</c:v>
                </c:pt>
                <c:pt idx="1">
                  <c:v>2.6247939608020308</c:v>
                </c:pt>
                <c:pt idx="2">
                  <c:v>3.2087115531519972</c:v>
                </c:pt>
                <c:pt idx="3">
                  <c:v>3.1234874552157841</c:v>
                </c:pt>
                <c:pt idx="4">
                  <c:v>1.8361707979478543</c:v>
                </c:pt>
                <c:pt idx="5">
                  <c:v>0</c:v>
                </c:pt>
                <c:pt idx="6">
                  <c:v>0</c:v>
                </c:pt>
                <c:pt idx="7">
                  <c:v>0</c:v>
                </c:pt>
                <c:pt idx="8">
                  <c:v>0</c:v>
                </c:pt>
                <c:pt idx="9">
                  <c:v>0</c:v>
                </c:pt>
                <c:pt idx="10">
                  <c:v>2.828397132065815</c:v>
                </c:pt>
                <c:pt idx="11">
                  <c:v>2.8390480438118804</c:v>
                </c:pt>
                <c:pt idx="12">
                  <c:v>2.0264676710536986</c:v>
                </c:pt>
                <c:pt idx="13">
                  <c:v>2.1889560866282487</c:v>
                </c:pt>
              </c:numCache>
            </c:numRef>
          </c:val>
          <c:smooth val="0"/>
          <c:extLst>
            <c:ext xmlns:c16="http://schemas.microsoft.com/office/drawing/2014/chart" uri="{C3380CC4-5D6E-409C-BE32-E72D297353CC}">
              <c16:uniqueId val="{00000001-D05C-447C-ADE6-E3254FE6B34D}"/>
            </c:ext>
          </c:extLst>
        </c:ser>
        <c:ser>
          <c:idx val="1"/>
          <c:order val="2"/>
          <c:tx>
            <c:strRef>
              <c:f>qPCR_Unique!$Q$1</c:f>
              <c:strCache>
                <c:ptCount val="1"/>
                <c:pt idx="0">
                  <c:v>Pseudomonas</c:v>
                </c:pt>
              </c:strCache>
            </c:strRef>
          </c:tx>
          <c:spPr>
            <a:ln w="6350" cap="rnd">
              <a:solidFill>
                <a:srgbClr val="F014C8"/>
              </a:solidFill>
              <a:round/>
            </a:ln>
            <a:effectLst/>
          </c:spPr>
          <c:marker>
            <c:symbol val="square"/>
            <c:size val="6"/>
            <c:spPr>
              <a:solidFill>
                <a:srgbClr val="F014C8"/>
              </a:solidFill>
              <a:ln w="12700">
                <a:solidFill>
                  <a:srgbClr val="F014C8"/>
                </a:solidFill>
              </a:ln>
              <a:effectLst/>
            </c:spPr>
          </c:marker>
          <c:errBars>
            <c:errDir val="y"/>
            <c:errBarType val="both"/>
            <c:errValType val="cust"/>
            <c:noEndCap val="0"/>
            <c:plus>
              <c:numRef>
                <c:f>qPCR_Unique!$S$18:$S$31</c:f>
                <c:numCache>
                  <c:formatCode>General</c:formatCode>
                  <c:ptCount val="14"/>
                  <c:pt idx="0">
                    <c:v>0</c:v>
                  </c:pt>
                  <c:pt idx="1">
                    <c:v>0</c:v>
                  </c:pt>
                  <c:pt idx="2">
                    <c:v>8.9389147864278221E-2</c:v>
                  </c:pt>
                  <c:pt idx="3">
                    <c:v>0.21885505358285348</c:v>
                  </c:pt>
                  <c:pt idx="4">
                    <c:v>0</c:v>
                  </c:pt>
                  <c:pt idx="5">
                    <c:v>0</c:v>
                  </c:pt>
                  <c:pt idx="6">
                    <c:v>0</c:v>
                  </c:pt>
                  <c:pt idx="7">
                    <c:v>0</c:v>
                  </c:pt>
                  <c:pt idx="8">
                    <c:v>0.43429448190325176</c:v>
                  </c:pt>
                  <c:pt idx="9">
                    <c:v>0.33952687880923438</c:v>
                  </c:pt>
                  <c:pt idx="10">
                    <c:v>0</c:v>
                  </c:pt>
                  <c:pt idx="11">
                    <c:v>0.22928586786247901</c:v>
                  </c:pt>
                  <c:pt idx="12">
                    <c:v>0</c:v>
                  </c:pt>
                  <c:pt idx="13">
                    <c:v>0.43429448190325176</c:v>
                  </c:pt>
                </c:numCache>
              </c:numRef>
            </c:plus>
            <c:minus>
              <c:numRef>
                <c:f>qPCR_Unique!$S$18:$S$31</c:f>
                <c:numCache>
                  <c:formatCode>General</c:formatCode>
                  <c:ptCount val="14"/>
                  <c:pt idx="0">
                    <c:v>0</c:v>
                  </c:pt>
                  <c:pt idx="1">
                    <c:v>0</c:v>
                  </c:pt>
                  <c:pt idx="2">
                    <c:v>8.9389147864278221E-2</c:v>
                  </c:pt>
                  <c:pt idx="3">
                    <c:v>0.21885505358285348</c:v>
                  </c:pt>
                  <c:pt idx="4">
                    <c:v>0</c:v>
                  </c:pt>
                  <c:pt idx="5">
                    <c:v>0</c:v>
                  </c:pt>
                  <c:pt idx="6">
                    <c:v>0</c:v>
                  </c:pt>
                  <c:pt idx="7">
                    <c:v>0</c:v>
                  </c:pt>
                  <c:pt idx="8">
                    <c:v>0.43429448190325176</c:v>
                  </c:pt>
                  <c:pt idx="9">
                    <c:v>0.33952687880923438</c:v>
                  </c:pt>
                  <c:pt idx="10">
                    <c:v>0</c:v>
                  </c:pt>
                  <c:pt idx="11">
                    <c:v>0.22928586786247901</c:v>
                  </c:pt>
                  <c:pt idx="12">
                    <c:v>0</c:v>
                  </c:pt>
                  <c:pt idx="13">
                    <c:v>0.43429448190325176</c:v>
                  </c:pt>
                </c:numCache>
              </c:numRef>
            </c:minus>
            <c:spPr>
              <a:noFill/>
              <a:ln w="12700" cap="flat" cmpd="sng" algn="ctr">
                <a:solidFill>
                  <a:srgbClr val="F014C8"/>
                </a:solidFill>
                <a:round/>
              </a:ln>
              <a:effectLst/>
            </c:spPr>
          </c:errBars>
          <c:cat>
            <c:numRef>
              <c:f>qPCR_Unique!$G$18:$G$31</c:f>
              <c:numCache>
                <c:formatCode>mm/dd/yyyy</c:formatCode>
                <c:ptCount val="14"/>
                <c:pt idx="0">
                  <c:v>44335</c:v>
                </c:pt>
                <c:pt idx="1">
                  <c:v>44342</c:v>
                </c:pt>
                <c:pt idx="2">
                  <c:v>44350</c:v>
                </c:pt>
                <c:pt idx="3">
                  <c:v>44356</c:v>
                </c:pt>
                <c:pt idx="4">
                  <c:v>44370</c:v>
                </c:pt>
                <c:pt idx="5">
                  <c:v>44377</c:v>
                </c:pt>
                <c:pt idx="6">
                  <c:v>44385</c:v>
                </c:pt>
                <c:pt idx="7">
                  <c:v>44391</c:v>
                </c:pt>
                <c:pt idx="8">
                  <c:v>44398</c:v>
                </c:pt>
                <c:pt idx="9">
                  <c:v>44405</c:v>
                </c:pt>
                <c:pt idx="10">
                  <c:v>44412</c:v>
                </c:pt>
                <c:pt idx="11">
                  <c:v>44419</c:v>
                </c:pt>
                <c:pt idx="12">
                  <c:v>44426</c:v>
                </c:pt>
                <c:pt idx="13">
                  <c:v>44433</c:v>
                </c:pt>
              </c:numCache>
            </c:numRef>
          </c:cat>
          <c:val>
            <c:numRef>
              <c:f>qPCR_Unique!$R$18:$R$31</c:f>
              <c:numCache>
                <c:formatCode>0.000</c:formatCode>
                <c:ptCount val="14"/>
                <c:pt idx="0">
                  <c:v>0</c:v>
                </c:pt>
                <c:pt idx="1">
                  <c:v>0</c:v>
                </c:pt>
                <c:pt idx="2">
                  <c:v>3.477353983322319</c:v>
                </c:pt>
                <c:pt idx="3">
                  <c:v>3.8012376756987201</c:v>
                </c:pt>
                <c:pt idx="4">
                  <c:v>0</c:v>
                </c:pt>
                <c:pt idx="5">
                  <c:v>0</c:v>
                </c:pt>
                <c:pt idx="6">
                  <c:v>0</c:v>
                </c:pt>
                <c:pt idx="7">
                  <c:v>0</c:v>
                </c:pt>
                <c:pt idx="8">
                  <c:v>4.1051102984023373</c:v>
                </c:pt>
                <c:pt idx="9">
                  <c:v>5.8665072771985223</c:v>
                </c:pt>
                <c:pt idx="10">
                  <c:v>0</c:v>
                </c:pt>
                <c:pt idx="11">
                  <c:v>3.1450774317855172</c:v>
                </c:pt>
                <c:pt idx="12">
                  <c:v>0</c:v>
                </c:pt>
                <c:pt idx="13">
                  <c:v>5.0415213521965967</c:v>
                </c:pt>
              </c:numCache>
            </c:numRef>
          </c:val>
          <c:smooth val="0"/>
          <c:extLst>
            <c:ext xmlns:c16="http://schemas.microsoft.com/office/drawing/2014/chart" uri="{C3380CC4-5D6E-409C-BE32-E72D297353CC}">
              <c16:uniqueId val="{00000002-D05C-447C-ADE6-E3254FE6B34D}"/>
            </c:ext>
          </c:extLst>
        </c:ser>
        <c:ser>
          <c:idx val="2"/>
          <c:order val="3"/>
          <c:tx>
            <c:strRef>
              <c:f>qPCR_Unique!$T$1</c:f>
              <c:strCache>
                <c:ptCount val="1"/>
                <c:pt idx="0">
                  <c:v>Vermamoeba vermiformis</c:v>
                </c:pt>
              </c:strCache>
            </c:strRef>
          </c:tx>
          <c:spPr>
            <a:ln w="6350" cap="rnd">
              <a:solidFill>
                <a:srgbClr val="3CE63C"/>
              </a:solidFill>
              <a:round/>
            </a:ln>
            <a:effectLst/>
          </c:spPr>
          <c:marker>
            <c:symbol val="square"/>
            <c:size val="6"/>
            <c:spPr>
              <a:noFill/>
              <a:ln w="12700">
                <a:solidFill>
                  <a:srgbClr val="3CE63C"/>
                </a:solidFill>
              </a:ln>
              <a:effectLst/>
            </c:spPr>
          </c:marker>
          <c:errBars>
            <c:errDir val="y"/>
            <c:errBarType val="both"/>
            <c:errValType val="cust"/>
            <c:noEndCap val="0"/>
            <c:plus>
              <c:numRef>
                <c:f>qPCR_Unique!$V$18:$V$31</c:f>
                <c:numCache>
                  <c:formatCode>General</c:formatCode>
                  <c:ptCount val="14"/>
                  <c:pt idx="0">
                    <c:v>2.7161047944297051E-2</c:v>
                  </c:pt>
                  <c:pt idx="1">
                    <c:v>0.43429448190325176</c:v>
                  </c:pt>
                  <c:pt idx="2">
                    <c:v>0.20032811483339752</c:v>
                  </c:pt>
                  <c:pt idx="3">
                    <c:v>0.10162435235722379</c:v>
                  </c:pt>
                  <c:pt idx="4">
                    <c:v>0.43429448190325176</c:v>
                  </c:pt>
                  <c:pt idx="5">
                    <c:v>0</c:v>
                  </c:pt>
                  <c:pt idx="6">
                    <c:v>0.43429448190325176</c:v>
                  </c:pt>
                  <c:pt idx="7">
                    <c:v>0</c:v>
                  </c:pt>
                  <c:pt idx="8">
                    <c:v>0</c:v>
                  </c:pt>
                  <c:pt idx="9">
                    <c:v>0</c:v>
                  </c:pt>
                  <c:pt idx="10">
                    <c:v>0</c:v>
                  </c:pt>
                  <c:pt idx="11">
                    <c:v>0</c:v>
                  </c:pt>
                  <c:pt idx="12">
                    <c:v>0</c:v>
                  </c:pt>
                  <c:pt idx="13">
                    <c:v>0</c:v>
                  </c:pt>
                </c:numCache>
              </c:numRef>
            </c:plus>
            <c:minus>
              <c:numRef>
                <c:f>qPCR_Unique!$V$18:$V$31</c:f>
                <c:numCache>
                  <c:formatCode>General</c:formatCode>
                  <c:ptCount val="14"/>
                  <c:pt idx="0">
                    <c:v>2.7161047944297051E-2</c:v>
                  </c:pt>
                  <c:pt idx="1">
                    <c:v>0.43429448190325176</c:v>
                  </c:pt>
                  <c:pt idx="2">
                    <c:v>0.20032811483339752</c:v>
                  </c:pt>
                  <c:pt idx="3">
                    <c:v>0.10162435235722379</c:v>
                  </c:pt>
                  <c:pt idx="4">
                    <c:v>0.43429448190325176</c:v>
                  </c:pt>
                  <c:pt idx="5">
                    <c:v>0</c:v>
                  </c:pt>
                  <c:pt idx="6">
                    <c:v>0.43429448190325176</c:v>
                  </c:pt>
                  <c:pt idx="7">
                    <c:v>0</c:v>
                  </c:pt>
                  <c:pt idx="8">
                    <c:v>0</c:v>
                  </c:pt>
                  <c:pt idx="9">
                    <c:v>0</c:v>
                  </c:pt>
                  <c:pt idx="10">
                    <c:v>0</c:v>
                  </c:pt>
                  <c:pt idx="11">
                    <c:v>0</c:v>
                  </c:pt>
                  <c:pt idx="12">
                    <c:v>0</c:v>
                  </c:pt>
                  <c:pt idx="13">
                    <c:v>0</c:v>
                  </c:pt>
                </c:numCache>
              </c:numRef>
            </c:minus>
            <c:spPr>
              <a:noFill/>
              <a:ln w="12700" cap="flat" cmpd="sng" algn="ctr">
                <a:solidFill>
                  <a:srgbClr val="3CE63C"/>
                </a:solidFill>
                <a:round/>
              </a:ln>
              <a:effectLst/>
            </c:spPr>
          </c:errBars>
          <c:cat>
            <c:numRef>
              <c:f>qPCR_Unique!$G$18:$G$31</c:f>
              <c:numCache>
                <c:formatCode>mm/dd/yyyy</c:formatCode>
                <c:ptCount val="14"/>
                <c:pt idx="0">
                  <c:v>44335</c:v>
                </c:pt>
                <c:pt idx="1">
                  <c:v>44342</c:v>
                </c:pt>
                <c:pt idx="2">
                  <c:v>44350</c:v>
                </c:pt>
                <c:pt idx="3">
                  <c:v>44356</c:v>
                </c:pt>
                <c:pt idx="4">
                  <c:v>44370</c:v>
                </c:pt>
                <c:pt idx="5">
                  <c:v>44377</c:v>
                </c:pt>
                <c:pt idx="6">
                  <c:v>44385</c:v>
                </c:pt>
                <c:pt idx="7">
                  <c:v>44391</c:v>
                </c:pt>
                <c:pt idx="8">
                  <c:v>44398</c:v>
                </c:pt>
                <c:pt idx="9">
                  <c:v>44405</c:v>
                </c:pt>
                <c:pt idx="10">
                  <c:v>44412</c:v>
                </c:pt>
                <c:pt idx="11">
                  <c:v>44419</c:v>
                </c:pt>
                <c:pt idx="12">
                  <c:v>44426</c:v>
                </c:pt>
                <c:pt idx="13">
                  <c:v>44433</c:v>
                </c:pt>
              </c:numCache>
            </c:numRef>
          </c:cat>
          <c:val>
            <c:numRef>
              <c:f>qPCR_Unique!$U$18:$U$31</c:f>
              <c:numCache>
                <c:formatCode>0.000</c:formatCode>
                <c:ptCount val="14"/>
                <c:pt idx="0">
                  <c:v>2.5274824013348796</c:v>
                </c:pt>
                <c:pt idx="1">
                  <c:v>2.4706463928792002</c:v>
                </c:pt>
                <c:pt idx="2">
                  <c:v>2.863857763568129</c:v>
                </c:pt>
                <c:pt idx="3">
                  <c:v>3.0157247208101761</c:v>
                </c:pt>
                <c:pt idx="4">
                  <c:v>2.2615535480783655</c:v>
                </c:pt>
                <c:pt idx="5">
                  <c:v>0</c:v>
                </c:pt>
                <c:pt idx="6">
                  <c:v>3.6197326464697857</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3-D05C-447C-ADE6-E3254FE6B34D}"/>
            </c:ext>
          </c:extLst>
        </c:ser>
        <c:ser>
          <c:idx val="4"/>
          <c:order val="4"/>
          <c:tx>
            <c:strRef>
              <c:f>qPCR_Unique!$W$1</c:f>
              <c:strCache>
                <c:ptCount val="1"/>
                <c:pt idx="0">
                  <c:v>Summed OP</c:v>
                </c:pt>
              </c:strCache>
            </c:strRef>
          </c:tx>
          <c:spPr>
            <a:ln w="6350" cap="rnd">
              <a:solidFill>
                <a:srgbClr val="28C8C8"/>
              </a:solidFill>
              <a:round/>
            </a:ln>
            <a:effectLst/>
          </c:spPr>
          <c:marker>
            <c:symbol val="diamond"/>
            <c:size val="12"/>
            <c:spPr>
              <a:noFill/>
              <a:ln w="12700">
                <a:solidFill>
                  <a:srgbClr val="28C8C8"/>
                </a:solidFill>
              </a:ln>
              <a:effectLst/>
            </c:spPr>
          </c:marker>
          <c:cat>
            <c:numRef>
              <c:f>qPCR_Unique!$G$18:$G$31</c:f>
              <c:numCache>
                <c:formatCode>mm/dd/yyyy</c:formatCode>
                <c:ptCount val="14"/>
                <c:pt idx="0">
                  <c:v>44335</c:v>
                </c:pt>
                <c:pt idx="1">
                  <c:v>44342</c:v>
                </c:pt>
                <c:pt idx="2">
                  <c:v>44350</c:v>
                </c:pt>
                <c:pt idx="3">
                  <c:v>44356</c:v>
                </c:pt>
                <c:pt idx="4">
                  <c:v>44370</c:v>
                </c:pt>
                <c:pt idx="5">
                  <c:v>44377</c:v>
                </c:pt>
                <c:pt idx="6">
                  <c:v>44385</c:v>
                </c:pt>
                <c:pt idx="7">
                  <c:v>44391</c:v>
                </c:pt>
                <c:pt idx="8">
                  <c:v>44398</c:v>
                </c:pt>
                <c:pt idx="9">
                  <c:v>44405</c:v>
                </c:pt>
                <c:pt idx="10">
                  <c:v>44412</c:v>
                </c:pt>
                <c:pt idx="11">
                  <c:v>44419</c:v>
                </c:pt>
                <c:pt idx="12">
                  <c:v>44426</c:v>
                </c:pt>
                <c:pt idx="13">
                  <c:v>44433</c:v>
                </c:pt>
              </c:numCache>
            </c:numRef>
          </c:cat>
          <c:val>
            <c:numRef>
              <c:f>qPCR_Unique!$X$18:$X$31</c:f>
              <c:numCache>
                <c:formatCode>0.000</c:formatCode>
                <c:ptCount val="14"/>
                <c:pt idx="0">
                  <c:v>4.7275646836244176</c:v>
                </c:pt>
                <c:pt idx="1">
                  <c:v>4.8582211499574273</c:v>
                </c:pt>
                <c:pt idx="2">
                  <c:v>4.7589975382098917</c:v>
                </c:pt>
                <c:pt idx="3">
                  <c:v>4.366695681353594</c:v>
                </c:pt>
                <c:pt idx="4">
                  <c:v>2.4000161379836684</c:v>
                </c:pt>
                <c:pt idx="5">
                  <c:v>2.6724300034261792</c:v>
                </c:pt>
                <c:pt idx="6">
                  <c:v>3.6500712522310739</c:v>
                </c:pt>
                <c:pt idx="7">
                  <c:v>3.0981883072865495</c:v>
                </c:pt>
                <c:pt idx="8">
                  <c:v>4.1051102984023373</c:v>
                </c:pt>
                <c:pt idx="9">
                  <c:v>5.8665072771985223</c:v>
                </c:pt>
                <c:pt idx="10">
                  <c:v>3.8100012547570228</c:v>
                </c:pt>
                <c:pt idx="11">
                  <c:v>3.9262666364612002</c:v>
                </c:pt>
                <c:pt idx="12">
                  <c:v>4.5645923561721409</c:v>
                </c:pt>
                <c:pt idx="13">
                  <c:v>5.0860552312793166</c:v>
                </c:pt>
              </c:numCache>
            </c:numRef>
          </c:val>
          <c:smooth val="0"/>
          <c:extLst>
            <c:ext xmlns:c16="http://schemas.microsoft.com/office/drawing/2014/chart" uri="{C3380CC4-5D6E-409C-BE32-E72D297353CC}">
              <c16:uniqueId val="{00000004-D05C-447C-ADE6-E3254FE6B34D}"/>
            </c:ext>
          </c:extLst>
        </c:ser>
        <c:dLbls>
          <c:showLegendKey val="0"/>
          <c:showVal val="0"/>
          <c:showCatName val="0"/>
          <c:showSerName val="0"/>
          <c:showPercent val="0"/>
          <c:showBubbleSize val="0"/>
        </c:dLbls>
        <c:marker val="1"/>
        <c:smooth val="0"/>
        <c:axId val="403941288"/>
        <c:axId val="403917672"/>
      </c:lineChart>
      <c:lineChart>
        <c:grouping val="standard"/>
        <c:varyColors val="0"/>
        <c:ser>
          <c:idx val="5"/>
          <c:order val="5"/>
          <c:tx>
            <c:strRef>
              <c:f>qPCR_Unique!$H$1</c:f>
              <c:strCache>
                <c:ptCount val="1"/>
                <c:pt idx="0">
                  <c:v>Total bacteria</c:v>
                </c:pt>
              </c:strCache>
            </c:strRef>
          </c:tx>
          <c:spPr>
            <a:ln w="6350" cap="rnd">
              <a:solidFill>
                <a:schemeClr val="tx1"/>
              </a:solidFill>
              <a:round/>
            </a:ln>
            <a:effectLst/>
          </c:spPr>
          <c:marker>
            <c:symbol val="triangle"/>
            <c:size val="8"/>
            <c:spPr>
              <a:noFill/>
              <a:ln w="12700">
                <a:solidFill>
                  <a:schemeClr val="tx1"/>
                </a:solidFill>
              </a:ln>
              <a:effectLst/>
            </c:spPr>
          </c:marker>
          <c:errBars>
            <c:errDir val="y"/>
            <c:errBarType val="both"/>
            <c:errValType val="cust"/>
            <c:noEndCap val="0"/>
            <c:plus>
              <c:numRef>
                <c:f>qPCR_Unique!$J$18:$J$31</c:f>
                <c:numCache>
                  <c:formatCode>General</c:formatCode>
                  <c:ptCount val="14"/>
                  <c:pt idx="0">
                    <c:v>8.3739746480381488E-2</c:v>
                  </c:pt>
                  <c:pt idx="1">
                    <c:v>7.4720344749401507E-2</c:v>
                  </c:pt>
                  <c:pt idx="2">
                    <c:v>0</c:v>
                  </c:pt>
                  <c:pt idx="3">
                    <c:v>2.3206287351900681E-2</c:v>
                  </c:pt>
                  <c:pt idx="4">
                    <c:v>0.2937595748300737</c:v>
                  </c:pt>
                  <c:pt idx="5">
                    <c:v>0.43429448190325176</c:v>
                  </c:pt>
                  <c:pt idx="6">
                    <c:v>0.32575543700956072</c:v>
                  </c:pt>
                  <c:pt idx="7">
                    <c:v>0.43429448190325176</c:v>
                  </c:pt>
                  <c:pt idx="8">
                    <c:v>0.43429448190325176</c:v>
                  </c:pt>
                  <c:pt idx="9">
                    <c:v>0.34832853327517965</c:v>
                  </c:pt>
                  <c:pt idx="10">
                    <c:v>0.4162793164291988</c:v>
                  </c:pt>
                  <c:pt idx="11">
                    <c:v>0.16937546303109191</c:v>
                  </c:pt>
                  <c:pt idx="12">
                    <c:v>0.21111643634973712</c:v>
                  </c:pt>
                  <c:pt idx="13">
                    <c:v>0.42907509179096531</c:v>
                  </c:pt>
                </c:numCache>
              </c:numRef>
            </c:plus>
            <c:minus>
              <c:numRef>
                <c:f>qPCR_Unique!$J$18:$J$31</c:f>
                <c:numCache>
                  <c:formatCode>General</c:formatCode>
                  <c:ptCount val="14"/>
                  <c:pt idx="0">
                    <c:v>8.3739746480381488E-2</c:v>
                  </c:pt>
                  <c:pt idx="1">
                    <c:v>7.4720344749401507E-2</c:v>
                  </c:pt>
                  <c:pt idx="2">
                    <c:v>0</c:v>
                  </c:pt>
                  <c:pt idx="3">
                    <c:v>2.3206287351900681E-2</c:v>
                  </c:pt>
                  <c:pt idx="4">
                    <c:v>0.2937595748300737</c:v>
                  </c:pt>
                  <c:pt idx="5">
                    <c:v>0.43429448190325176</c:v>
                  </c:pt>
                  <c:pt idx="6">
                    <c:v>0.32575543700956072</c:v>
                  </c:pt>
                  <c:pt idx="7">
                    <c:v>0.43429448190325176</c:v>
                  </c:pt>
                  <c:pt idx="8">
                    <c:v>0.43429448190325176</c:v>
                  </c:pt>
                  <c:pt idx="9">
                    <c:v>0.34832853327517965</c:v>
                  </c:pt>
                  <c:pt idx="10">
                    <c:v>0.4162793164291988</c:v>
                  </c:pt>
                  <c:pt idx="11">
                    <c:v>0.16937546303109191</c:v>
                  </c:pt>
                  <c:pt idx="12">
                    <c:v>0.21111643634973712</c:v>
                  </c:pt>
                  <c:pt idx="13">
                    <c:v>0.42907509179096531</c:v>
                  </c:pt>
                </c:numCache>
              </c:numRef>
            </c:minus>
            <c:spPr>
              <a:noFill/>
              <a:ln w="12700" cap="flat" cmpd="sng" algn="ctr">
                <a:solidFill>
                  <a:schemeClr val="tx1"/>
                </a:solidFill>
                <a:round/>
              </a:ln>
              <a:effectLst/>
            </c:spPr>
          </c:errBars>
          <c:cat>
            <c:numRef>
              <c:f>qPCR_Unique!$G$18:$G$31</c:f>
              <c:numCache>
                <c:formatCode>mm/dd/yyyy</c:formatCode>
                <c:ptCount val="14"/>
                <c:pt idx="0">
                  <c:v>44335</c:v>
                </c:pt>
                <c:pt idx="1">
                  <c:v>44342</c:v>
                </c:pt>
                <c:pt idx="2">
                  <c:v>44350</c:v>
                </c:pt>
                <c:pt idx="3">
                  <c:v>44356</c:v>
                </c:pt>
                <c:pt idx="4">
                  <c:v>44370</c:v>
                </c:pt>
                <c:pt idx="5">
                  <c:v>44377</c:v>
                </c:pt>
                <c:pt idx="6">
                  <c:v>44385</c:v>
                </c:pt>
                <c:pt idx="7">
                  <c:v>44391</c:v>
                </c:pt>
                <c:pt idx="8">
                  <c:v>44398</c:v>
                </c:pt>
                <c:pt idx="9">
                  <c:v>44405</c:v>
                </c:pt>
                <c:pt idx="10">
                  <c:v>44412</c:v>
                </c:pt>
                <c:pt idx="11">
                  <c:v>44419</c:v>
                </c:pt>
                <c:pt idx="12">
                  <c:v>44426</c:v>
                </c:pt>
                <c:pt idx="13">
                  <c:v>44433</c:v>
                </c:pt>
              </c:numCache>
            </c:numRef>
          </c:cat>
          <c:val>
            <c:numRef>
              <c:f>(qPCR_Unique!$I$18:$I$19,qPCR_Unique!$AA$20,qPCR_Unique!$I$21:$I$31)</c:f>
              <c:numCache>
                <c:formatCode>0.000</c:formatCode>
                <c:ptCount val="14"/>
                <c:pt idx="0">
                  <c:v>7.2488480361773453</c:v>
                </c:pt>
                <c:pt idx="1">
                  <c:v>7.4112603147058156</c:v>
                </c:pt>
                <c:pt idx="2">
                  <c:v>7.311591677936808</c:v>
                </c:pt>
                <c:pt idx="3">
                  <c:v>7.1820159348297006</c:v>
                </c:pt>
                <c:pt idx="4">
                  <c:v>6.0332986709654914</c:v>
                </c:pt>
                <c:pt idx="5">
                  <c:v>5.6489012349832528</c:v>
                </c:pt>
                <c:pt idx="6">
                  <c:v>5.4593349146911159</c:v>
                </c:pt>
                <c:pt idx="7">
                  <c:v>5.9118235110714696</c:v>
                </c:pt>
                <c:pt idx="8">
                  <c:v>6.3136663056555458</c:v>
                </c:pt>
                <c:pt idx="9">
                  <c:v>8.6081730970830517</c:v>
                </c:pt>
                <c:pt idx="10">
                  <c:v>7.7628834849747959</c:v>
                </c:pt>
                <c:pt idx="11">
                  <c:v>6.9571425802081057</c:v>
                </c:pt>
                <c:pt idx="12">
                  <c:v>7.093407807743783</c:v>
                </c:pt>
                <c:pt idx="13">
                  <c:v>9.5187224424310894</c:v>
                </c:pt>
              </c:numCache>
            </c:numRef>
          </c:val>
          <c:smooth val="0"/>
          <c:extLst>
            <c:ext xmlns:c16="http://schemas.microsoft.com/office/drawing/2014/chart" uri="{C3380CC4-5D6E-409C-BE32-E72D297353CC}">
              <c16:uniqueId val="{00000005-D05C-447C-ADE6-E3254FE6B34D}"/>
            </c:ext>
          </c:extLst>
        </c:ser>
        <c:dLbls>
          <c:showLegendKey val="0"/>
          <c:showVal val="0"/>
          <c:showCatName val="0"/>
          <c:showSerName val="0"/>
          <c:showPercent val="0"/>
          <c:showBubbleSize val="0"/>
        </c:dLbls>
        <c:marker val="1"/>
        <c:smooth val="0"/>
        <c:axId val="803049488"/>
        <c:axId val="803055720"/>
      </c:lineChart>
      <c:dateAx>
        <c:axId val="403941288"/>
        <c:scaling>
          <c:orientation val="minMax"/>
          <c:max val="44434"/>
          <c:min val="44334"/>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Sampling times--</a:t>
                </a:r>
                <a:r>
                  <a:rPr lang="en-US" b="1">
                    <a:solidFill>
                      <a:srgbClr val="FF0000"/>
                    </a:solidFill>
                  </a:rPr>
                  <a:t>SPI</a:t>
                </a:r>
              </a:p>
            </c:rich>
          </c:tx>
          <c:layout>
            <c:manualLayout>
              <c:xMode val="edge"/>
              <c:yMode val="edge"/>
              <c:x val="0.39785997109175708"/>
              <c:y val="0.94951730232117781"/>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mm/dd/yyyy" sourceLinked="1"/>
        <c:majorTickMark val="out"/>
        <c:minorTickMark val="in"/>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03917672"/>
        <c:crosses val="autoZero"/>
        <c:auto val="1"/>
        <c:lblOffset val="100"/>
        <c:baseTimeUnit val="days"/>
        <c:majorUnit val="10"/>
        <c:majorTimeUnit val="days"/>
        <c:minorUnit val="5"/>
        <c:minorTimeUnit val="days"/>
      </c:dateAx>
      <c:valAx>
        <c:axId val="403917672"/>
        <c:scaling>
          <c:orientation val="minMax"/>
          <c:max val="6.5"/>
          <c:min val="0"/>
        </c:scaling>
        <c:delete val="0"/>
        <c:axPos val="l"/>
        <c:majorGridlines>
          <c:spPr>
            <a:ln w="1270" cap="flat" cmpd="sng" algn="ctr">
              <a:solidFill>
                <a:schemeClr val="tx1"/>
              </a:solidFill>
              <a:prstDash val="solid"/>
              <a:round/>
            </a:ln>
            <a:effectLst/>
          </c:spPr>
        </c:majorGridlines>
        <c:minorGridlines>
          <c:spPr>
            <a:ln w="1270" cap="flat" cmpd="sng" algn="ctr">
              <a:solidFill>
                <a:schemeClr val="bg2">
                  <a:lumMod val="90000"/>
                </a:schemeClr>
              </a:solidFill>
              <a:prstDash val="dash"/>
              <a:round/>
            </a:ln>
            <a:effectLst/>
          </c:spPr>
        </c:min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sz="1200" b="0" i="0" baseline="0">
                    <a:effectLst/>
                  </a:rPr>
                  <a:t>log</a:t>
                </a:r>
                <a:r>
                  <a:rPr lang="en-US" sz="1200" b="0" i="0" baseline="-25000">
                    <a:effectLst/>
                  </a:rPr>
                  <a:t>10</a:t>
                </a:r>
                <a:r>
                  <a:rPr lang="en-US" sz="1200" b="0" i="0" baseline="0">
                    <a:effectLst/>
                  </a:rPr>
                  <a:t>[OP (GCN·L</a:t>
                </a:r>
                <a:r>
                  <a:rPr lang="en-US" sz="1200" b="0" i="0" baseline="30000">
                    <a:effectLst/>
                  </a:rPr>
                  <a:t>-1</a:t>
                </a:r>
                <a:r>
                  <a:rPr lang="en-US" sz="1200" b="0" i="0" baseline="0">
                    <a:effectLst/>
                  </a:rPr>
                  <a:t>)]</a:t>
                </a:r>
                <a:endParaRPr lang="en-US" sz="1200">
                  <a:effectLst/>
                </a:endParaRPr>
              </a:p>
            </c:rich>
          </c:tx>
          <c:layout>
            <c:manualLayout>
              <c:xMode val="edge"/>
              <c:yMode val="edge"/>
              <c:x val="6.5976053561081385E-5"/>
              <c:y val="0.2827105058966991"/>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0" sourceLinked="0"/>
        <c:majorTickMark val="out"/>
        <c:minorTickMark val="in"/>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03941288"/>
        <c:crosses val="autoZero"/>
        <c:crossBetween val="between"/>
        <c:majorUnit val="2"/>
        <c:minorUnit val="0.5"/>
      </c:valAx>
      <c:valAx>
        <c:axId val="803055720"/>
        <c:scaling>
          <c:orientation val="minMax"/>
          <c:max val="10"/>
          <c:min val="5"/>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sz="1200" b="0" i="0" baseline="0">
                    <a:effectLst/>
                  </a:rPr>
                  <a:t>log</a:t>
                </a:r>
                <a:r>
                  <a:rPr lang="en-US" sz="1200" b="0" i="0" baseline="-25000">
                    <a:effectLst/>
                  </a:rPr>
                  <a:t>10</a:t>
                </a:r>
                <a:r>
                  <a:rPr lang="en-US" sz="1200" b="0" i="0" baseline="0">
                    <a:effectLst/>
                  </a:rPr>
                  <a:t>[Total bacteria (GCN·L</a:t>
                </a:r>
                <a:r>
                  <a:rPr lang="en-US" sz="1200" b="0" i="0" baseline="30000">
                    <a:effectLst/>
                  </a:rPr>
                  <a:t>-1</a:t>
                </a:r>
                <a:r>
                  <a:rPr lang="en-US" sz="1200" b="0" i="0" baseline="0">
                    <a:effectLst/>
                  </a:rPr>
                  <a:t>)]</a:t>
                </a:r>
                <a:endParaRPr lang="en-US" sz="1200">
                  <a:effectLst/>
                </a:endParaRPr>
              </a:p>
            </c:rich>
          </c:tx>
          <c:layout>
            <c:manualLayout>
              <c:xMode val="edge"/>
              <c:yMode val="edge"/>
              <c:x val="0.95664193998920155"/>
              <c:y val="0.20690728939384437"/>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0" sourceLinked="0"/>
        <c:majorTickMark val="out"/>
        <c:minorTickMark val="in"/>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803049488"/>
        <c:crosses val="max"/>
        <c:crossBetween val="between"/>
        <c:majorUnit val="1"/>
        <c:minorUnit val="0.25"/>
      </c:valAx>
      <c:dateAx>
        <c:axId val="803049488"/>
        <c:scaling>
          <c:orientation val="minMax"/>
        </c:scaling>
        <c:delete val="1"/>
        <c:axPos val="b"/>
        <c:numFmt formatCode="mm/dd/yyyy" sourceLinked="1"/>
        <c:majorTickMark val="out"/>
        <c:minorTickMark val="none"/>
        <c:tickLblPos val="nextTo"/>
        <c:crossAx val="803055720"/>
        <c:crosses val="autoZero"/>
        <c:auto val="1"/>
        <c:lblOffset val="100"/>
        <c:baseTimeUnit val="days"/>
        <c:majorUnit val="1"/>
        <c:minorUnit val="1"/>
      </c:dateAx>
      <c:spPr>
        <a:noFill/>
        <a:ln w="19050">
          <a:solidFill>
            <a:schemeClr val="tx1"/>
          </a:solidFill>
        </a:ln>
        <a:effectLst/>
      </c:spPr>
    </c:plotArea>
    <c:legend>
      <c:legendPos val="r"/>
      <c:legendEntry>
        <c:idx val="0"/>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Entry>
      <c:layout>
        <c:manualLayout>
          <c:xMode val="edge"/>
          <c:yMode val="edge"/>
          <c:x val="0.12085918656638521"/>
          <c:y val="4.276043090892185E-2"/>
          <c:w val="0.31765286524120145"/>
          <c:h val="0.23454100776731437"/>
        </c:manualLayout>
      </c:layout>
      <c:overlay val="0"/>
      <c:spPr>
        <a:solidFill>
          <a:schemeClr val="bg1"/>
        </a:solid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04646"/>
      </a:solid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13278008298755"/>
          <c:y val="3.6235046109691547E-2"/>
          <c:w val="0.77921161825726137"/>
          <c:h val="0.75850914427279748"/>
        </c:manualLayout>
      </c:layout>
      <c:lineChart>
        <c:grouping val="standard"/>
        <c:varyColors val="0"/>
        <c:ser>
          <c:idx val="3"/>
          <c:order val="0"/>
          <c:tx>
            <c:v>Free ammonia</c:v>
          </c:tx>
          <c:spPr>
            <a:ln w="6350" cap="rnd">
              <a:solidFill>
                <a:srgbClr val="F04646"/>
              </a:solidFill>
              <a:round/>
            </a:ln>
            <a:effectLst/>
          </c:spPr>
          <c:marker>
            <c:symbol val="circle"/>
            <c:size val="6"/>
            <c:spPr>
              <a:solidFill>
                <a:srgbClr val="F04646"/>
              </a:solidFill>
              <a:ln w="12700">
                <a:solidFill>
                  <a:srgbClr val="F04646"/>
                </a:solidFill>
              </a:ln>
              <a:effectLst/>
            </c:spPr>
          </c:marker>
          <c:cat>
            <c:numRef>
              <c:f>Physicochemical_Managed!$O$110:$O$143</c:f>
              <c:numCache>
                <c:formatCode>mm/dd/yyyy</c:formatCode>
                <c:ptCount val="34"/>
                <c:pt idx="0">
                  <c:v>44293</c:v>
                </c:pt>
                <c:pt idx="1">
                  <c:v>44306</c:v>
                </c:pt>
                <c:pt idx="2">
                  <c:v>44313</c:v>
                </c:pt>
                <c:pt idx="3">
                  <c:v>44327</c:v>
                </c:pt>
                <c:pt idx="4">
                  <c:v>44334</c:v>
                </c:pt>
                <c:pt idx="5">
                  <c:v>44335</c:v>
                </c:pt>
                <c:pt idx="6">
                  <c:v>44341</c:v>
                </c:pt>
                <c:pt idx="7">
                  <c:v>44342</c:v>
                </c:pt>
                <c:pt idx="8">
                  <c:v>44349</c:v>
                </c:pt>
                <c:pt idx="9">
                  <c:v>44350</c:v>
                </c:pt>
                <c:pt idx="10">
                  <c:v>44355</c:v>
                </c:pt>
                <c:pt idx="11">
                  <c:v>44356</c:v>
                </c:pt>
                <c:pt idx="12">
                  <c:v>44362</c:v>
                </c:pt>
                <c:pt idx="13">
                  <c:v>44363</c:v>
                </c:pt>
                <c:pt idx="14">
                  <c:v>44364</c:v>
                </c:pt>
                <c:pt idx="15">
                  <c:v>44369</c:v>
                </c:pt>
                <c:pt idx="16">
                  <c:v>44370</c:v>
                </c:pt>
                <c:pt idx="17">
                  <c:v>44376</c:v>
                </c:pt>
                <c:pt idx="18">
                  <c:v>44377</c:v>
                </c:pt>
                <c:pt idx="19">
                  <c:v>44384</c:v>
                </c:pt>
                <c:pt idx="20">
                  <c:v>44385</c:v>
                </c:pt>
                <c:pt idx="21">
                  <c:v>44390</c:v>
                </c:pt>
                <c:pt idx="22">
                  <c:v>44391</c:v>
                </c:pt>
                <c:pt idx="23">
                  <c:v>44397</c:v>
                </c:pt>
                <c:pt idx="24">
                  <c:v>44404</c:v>
                </c:pt>
                <c:pt idx="25">
                  <c:v>44405</c:v>
                </c:pt>
                <c:pt idx="26">
                  <c:v>44411</c:v>
                </c:pt>
                <c:pt idx="27">
                  <c:v>44412</c:v>
                </c:pt>
                <c:pt idx="28">
                  <c:v>44418</c:v>
                </c:pt>
                <c:pt idx="29">
                  <c:v>44419</c:v>
                </c:pt>
                <c:pt idx="30">
                  <c:v>44425</c:v>
                </c:pt>
                <c:pt idx="31">
                  <c:v>44426</c:v>
                </c:pt>
                <c:pt idx="32">
                  <c:v>44432</c:v>
                </c:pt>
                <c:pt idx="33">
                  <c:v>44433</c:v>
                </c:pt>
              </c:numCache>
            </c:numRef>
          </c:cat>
          <c:val>
            <c:numRef>
              <c:f>Physicochemical_Managed!$V$110:$V$143</c:f>
              <c:numCache>
                <c:formatCode>0.000</c:formatCode>
                <c:ptCount val="34"/>
                <c:pt idx="0">
                  <c:v>0.20500000000000002</c:v>
                </c:pt>
                <c:pt idx="1">
                  <c:v>0.24</c:v>
                </c:pt>
                <c:pt idx="2">
                  <c:v>0.15</c:v>
                </c:pt>
                <c:pt idx="3">
                  <c:v>0.32</c:v>
                </c:pt>
                <c:pt idx="4">
                  <c:v>0.43</c:v>
                </c:pt>
                <c:pt idx="5">
                  <c:v>0.28500000000000003</c:v>
                </c:pt>
                <c:pt idx="6">
                  <c:v>0.21</c:v>
                </c:pt>
                <c:pt idx="7">
                  <c:v>0.2</c:v>
                </c:pt>
                <c:pt idx="8">
                  <c:v>0.25</c:v>
                </c:pt>
                <c:pt idx="9">
                  <c:v>0.26</c:v>
                </c:pt>
                <c:pt idx="10">
                  <c:v>0.34</c:v>
                </c:pt>
                <c:pt idx="11">
                  <c:v>0.155</c:v>
                </c:pt>
                <c:pt idx="12">
                  <c:v>0.1</c:v>
                </c:pt>
                <c:pt idx="13">
                  <c:v>0.09</c:v>
                </c:pt>
                <c:pt idx="14">
                  <c:v>0.19</c:v>
                </c:pt>
                <c:pt idx="15">
                  <c:v>0.1</c:v>
                </c:pt>
                <c:pt idx="16">
                  <c:v>1.4999999999999999E-2</c:v>
                </c:pt>
                <c:pt idx="17">
                  <c:v>0.1</c:v>
                </c:pt>
                <c:pt idx="18">
                  <c:v>0.04</c:v>
                </c:pt>
                <c:pt idx="19">
                  <c:v>0.03</c:v>
                </c:pt>
                <c:pt idx="20">
                  <c:v>0.05</c:v>
                </c:pt>
                <c:pt idx="21">
                  <c:v>0.04</c:v>
                </c:pt>
                <c:pt idx="22">
                  <c:v>9.5000000000000001E-2</c:v>
                </c:pt>
                <c:pt idx="23">
                  <c:v>4.6666666666666669E-2</c:v>
                </c:pt>
                <c:pt idx="24">
                  <c:v>0.18</c:v>
                </c:pt>
                <c:pt idx="25">
                  <c:v>0.14000000000000001</c:v>
                </c:pt>
                <c:pt idx="26">
                  <c:v>0.11</c:v>
                </c:pt>
                <c:pt idx="27">
                  <c:v>0.115</c:v>
                </c:pt>
                <c:pt idx="28">
                  <c:v>0.14000000000000001</c:v>
                </c:pt>
                <c:pt idx="29">
                  <c:v>0.14499999999999999</c:v>
                </c:pt>
                <c:pt idx="30">
                  <c:v>0.19</c:v>
                </c:pt>
                <c:pt idx="31">
                  <c:v>0.13500000000000001</c:v>
                </c:pt>
                <c:pt idx="32">
                  <c:v>0.1</c:v>
                </c:pt>
                <c:pt idx="33">
                  <c:v>0.245</c:v>
                </c:pt>
              </c:numCache>
            </c:numRef>
          </c:val>
          <c:smooth val="0"/>
          <c:extLst>
            <c:ext xmlns:c16="http://schemas.microsoft.com/office/drawing/2014/chart" uri="{C3380CC4-5D6E-409C-BE32-E72D297353CC}">
              <c16:uniqueId val="{00000000-33C3-4AC7-87D5-1EB44BBC0AB6}"/>
            </c:ext>
          </c:extLst>
        </c:ser>
        <c:ser>
          <c:idx val="0"/>
          <c:order val="1"/>
          <c:tx>
            <c:v>Nitrite</c:v>
          </c:tx>
          <c:spPr>
            <a:ln w="6350" cap="rnd">
              <a:solidFill>
                <a:srgbClr val="5064E6"/>
              </a:solidFill>
              <a:round/>
            </a:ln>
            <a:effectLst/>
          </c:spPr>
          <c:marker>
            <c:symbol val="circle"/>
            <c:size val="6"/>
            <c:spPr>
              <a:noFill/>
              <a:ln w="12700">
                <a:solidFill>
                  <a:srgbClr val="5064E6">
                    <a:alpha val="95000"/>
                  </a:srgbClr>
                </a:solidFill>
              </a:ln>
              <a:effectLst/>
            </c:spPr>
          </c:marker>
          <c:cat>
            <c:numRef>
              <c:f>Physicochemical_Managed!$O$110:$O$143</c:f>
              <c:numCache>
                <c:formatCode>mm/dd/yyyy</c:formatCode>
                <c:ptCount val="34"/>
                <c:pt idx="0">
                  <c:v>44293</c:v>
                </c:pt>
                <c:pt idx="1">
                  <c:v>44306</c:v>
                </c:pt>
                <c:pt idx="2">
                  <c:v>44313</c:v>
                </c:pt>
                <c:pt idx="3">
                  <c:v>44327</c:v>
                </c:pt>
                <c:pt idx="4">
                  <c:v>44334</c:v>
                </c:pt>
                <c:pt idx="5">
                  <c:v>44335</c:v>
                </c:pt>
                <c:pt idx="6">
                  <c:v>44341</c:v>
                </c:pt>
                <c:pt idx="7">
                  <c:v>44342</c:v>
                </c:pt>
                <c:pt idx="8">
                  <c:v>44349</c:v>
                </c:pt>
                <c:pt idx="9">
                  <c:v>44350</c:v>
                </c:pt>
                <c:pt idx="10">
                  <c:v>44355</c:v>
                </c:pt>
                <c:pt idx="11">
                  <c:v>44356</c:v>
                </c:pt>
                <c:pt idx="12">
                  <c:v>44362</c:v>
                </c:pt>
                <c:pt idx="13">
                  <c:v>44363</c:v>
                </c:pt>
                <c:pt idx="14">
                  <c:v>44364</c:v>
                </c:pt>
                <c:pt idx="15">
                  <c:v>44369</c:v>
                </c:pt>
                <c:pt idx="16">
                  <c:v>44370</c:v>
                </c:pt>
                <c:pt idx="17">
                  <c:v>44376</c:v>
                </c:pt>
                <c:pt idx="18">
                  <c:v>44377</c:v>
                </c:pt>
                <c:pt idx="19">
                  <c:v>44384</c:v>
                </c:pt>
                <c:pt idx="20">
                  <c:v>44385</c:v>
                </c:pt>
                <c:pt idx="21">
                  <c:v>44390</c:v>
                </c:pt>
                <c:pt idx="22">
                  <c:v>44391</c:v>
                </c:pt>
                <c:pt idx="23">
                  <c:v>44397</c:v>
                </c:pt>
                <c:pt idx="24">
                  <c:v>44404</c:v>
                </c:pt>
                <c:pt idx="25">
                  <c:v>44405</c:v>
                </c:pt>
                <c:pt idx="26">
                  <c:v>44411</c:v>
                </c:pt>
                <c:pt idx="27">
                  <c:v>44412</c:v>
                </c:pt>
                <c:pt idx="28">
                  <c:v>44418</c:v>
                </c:pt>
                <c:pt idx="29">
                  <c:v>44419</c:v>
                </c:pt>
                <c:pt idx="30">
                  <c:v>44425</c:v>
                </c:pt>
                <c:pt idx="31">
                  <c:v>44426</c:v>
                </c:pt>
                <c:pt idx="32">
                  <c:v>44432</c:v>
                </c:pt>
                <c:pt idx="33">
                  <c:v>44433</c:v>
                </c:pt>
              </c:numCache>
            </c:numRef>
          </c:cat>
          <c:val>
            <c:numRef>
              <c:f>Physicochemical_Managed!$W$110:$W$143</c:f>
              <c:numCache>
                <c:formatCode>0.000</c:formatCode>
                <c:ptCount val="34"/>
                <c:pt idx="0">
                  <c:v>1.0500000000000001E-2</c:v>
                </c:pt>
                <c:pt idx="1">
                  <c:v>6.0000000000000001E-3</c:v>
                </c:pt>
                <c:pt idx="2">
                  <c:v>7.0000000000000001E-3</c:v>
                </c:pt>
                <c:pt idx="3">
                  <c:v>1.2999999999999999E-2</c:v>
                </c:pt>
                <c:pt idx="4">
                  <c:v>2.4E-2</c:v>
                </c:pt>
                <c:pt idx="5">
                  <c:v>8.0000000000000002E-3</c:v>
                </c:pt>
                <c:pt idx="6">
                  <c:v>7.0000000000000001E-3</c:v>
                </c:pt>
                <c:pt idx="7">
                  <c:v>7.0000000000000001E-3</c:v>
                </c:pt>
                <c:pt idx="8">
                  <c:v>5.0000000000000001E-3</c:v>
                </c:pt>
                <c:pt idx="9">
                  <c:v>7.0000000000000001E-3</c:v>
                </c:pt>
                <c:pt idx="10">
                  <c:v>7.0000000000000001E-3</c:v>
                </c:pt>
                <c:pt idx="11">
                  <c:v>8.0000000000000002E-3</c:v>
                </c:pt>
                <c:pt idx="12">
                  <c:v>1.0999999999999999E-2</c:v>
                </c:pt>
                <c:pt idx="13">
                  <c:v>7.0000000000000001E-3</c:v>
                </c:pt>
                <c:pt idx="14">
                  <c:v>7.0000000000000001E-3</c:v>
                </c:pt>
                <c:pt idx="15">
                  <c:v>8.9999999999999993E-3</c:v>
                </c:pt>
                <c:pt idx="16">
                  <c:v>6.5000000000000006E-3</c:v>
                </c:pt>
                <c:pt idx="17">
                  <c:v>7.0000000000000001E-3</c:v>
                </c:pt>
                <c:pt idx="18">
                  <c:v>8.0000000000000002E-3</c:v>
                </c:pt>
                <c:pt idx="19">
                  <c:v>7.0000000000000001E-3</c:v>
                </c:pt>
                <c:pt idx="20">
                  <c:v>7.0000000000000001E-3</c:v>
                </c:pt>
                <c:pt idx="21">
                  <c:v>6.0000000000000001E-3</c:v>
                </c:pt>
                <c:pt idx="22">
                  <c:v>8.0000000000000002E-3</c:v>
                </c:pt>
                <c:pt idx="23">
                  <c:v>7.0000000000000001E-3</c:v>
                </c:pt>
                <c:pt idx="24">
                  <c:v>6.0000000000000001E-3</c:v>
                </c:pt>
                <c:pt idx="25">
                  <c:v>6.0000000000000001E-3</c:v>
                </c:pt>
                <c:pt idx="26">
                  <c:v>7.0000000000000001E-3</c:v>
                </c:pt>
                <c:pt idx="27">
                  <c:v>6.5000000000000006E-3</c:v>
                </c:pt>
                <c:pt idx="28">
                  <c:v>8.0000000000000002E-3</c:v>
                </c:pt>
                <c:pt idx="29">
                  <c:v>4.5000000000000005E-3</c:v>
                </c:pt>
                <c:pt idx="30">
                  <c:v>8.9999999999999993E-3</c:v>
                </c:pt>
                <c:pt idx="31">
                  <c:v>6.5000000000000006E-3</c:v>
                </c:pt>
                <c:pt idx="32">
                  <c:v>2E-3</c:v>
                </c:pt>
                <c:pt idx="33">
                  <c:v>2E-3</c:v>
                </c:pt>
              </c:numCache>
            </c:numRef>
          </c:val>
          <c:smooth val="0"/>
          <c:extLst>
            <c:ext xmlns:c16="http://schemas.microsoft.com/office/drawing/2014/chart" uri="{C3380CC4-5D6E-409C-BE32-E72D297353CC}">
              <c16:uniqueId val="{00000001-33C3-4AC7-87D5-1EB44BBC0AB6}"/>
            </c:ext>
          </c:extLst>
        </c:ser>
        <c:dLbls>
          <c:showLegendKey val="0"/>
          <c:showVal val="0"/>
          <c:showCatName val="0"/>
          <c:showSerName val="0"/>
          <c:showPercent val="0"/>
          <c:showBubbleSize val="0"/>
        </c:dLbls>
        <c:marker val="1"/>
        <c:smooth val="0"/>
        <c:axId val="403941288"/>
        <c:axId val="403917672"/>
      </c:lineChart>
      <c:lineChart>
        <c:grouping val="standard"/>
        <c:varyColors val="0"/>
        <c:ser>
          <c:idx val="1"/>
          <c:order val="2"/>
          <c:tx>
            <c:v>Orthophosphate</c:v>
          </c:tx>
          <c:spPr>
            <a:ln w="6350" cap="rnd">
              <a:solidFill>
                <a:schemeClr val="tx1"/>
              </a:solidFill>
              <a:round/>
            </a:ln>
            <a:effectLst/>
          </c:spPr>
          <c:marker>
            <c:symbol val="square"/>
            <c:size val="6"/>
            <c:spPr>
              <a:noFill/>
              <a:ln w="12700">
                <a:solidFill>
                  <a:schemeClr val="tx1"/>
                </a:solidFill>
              </a:ln>
              <a:effectLst/>
            </c:spPr>
          </c:marker>
          <c:cat>
            <c:numRef>
              <c:f>Physicochemical_Managed!$O$110:$O$143</c:f>
              <c:numCache>
                <c:formatCode>mm/dd/yyyy</c:formatCode>
                <c:ptCount val="34"/>
                <c:pt idx="0">
                  <c:v>44293</c:v>
                </c:pt>
                <c:pt idx="1">
                  <c:v>44306</c:v>
                </c:pt>
                <c:pt idx="2">
                  <c:v>44313</c:v>
                </c:pt>
                <c:pt idx="3">
                  <c:v>44327</c:v>
                </c:pt>
                <c:pt idx="4">
                  <c:v>44334</c:v>
                </c:pt>
                <c:pt idx="5">
                  <c:v>44335</c:v>
                </c:pt>
                <c:pt idx="6">
                  <c:v>44341</c:v>
                </c:pt>
                <c:pt idx="7">
                  <c:v>44342</c:v>
                </c:pt>
                <c:pt idx="8">
                  <c:v>44349</c:v>
                </c:pt>
                <c:pt idx="9">
                  <c:v>44350</c:v>
                </c:pt>
                <c:pt idx="10">
                  <c:v>44355</c:v>
                </c:pt>
                <c:pt idx="11">
                  <c:v>44356</c:v>
                </c:pt>
                <c:pt idx="12">
                  <c:v>44362</c:v>
                </c:pt>
                <c:pt idx="13">
                  <c:v>44363</c:v>
                </c:pt>
                <c:pt idx="14">
                  <c:v>44364</c:v>
                </c:pt>
                <c:pt idx="15">
                  <c:v>44369</c:v>
                </c:pt>
                <c:pt idx="16">
                  <c:v>44370</c:v>
                </c:pt>
                <c:pt idx="17">
                  <c:v>44376</c:v>
                </c:pt>
                <c:pt idx="18">
                  <c:v>44377</c:v>
                </c:pt>
                <c:pt idx="19">
                  <c:v>44384</c:v>
                </c:pt>
                <c:pt idx="20">
                  <c:v>44385</c:v>
                </c:pt>
                <c:pt idx="21">
                  <c:v>44390</c:v>
                </c:pt>
                <c:pt idx="22">
                  <c:v>44391</c:v>
                </c:pt>
                <c:pt idx="23">
                  <c:v>44397</c:v>
                </c:pt>
                <c:pt idx="24">
                  <c:v>44404</c:v>
                </c:pt>
                <c:pt idx="25">
                  <c:v>44405</c:v>
                </c:pt>
                <c:pt idx="26">
                  <c:v>44411</c:v>
                </c:pt>
                <c:pt idx="27">
                  <c:v>44412</c:v>
                </c:pt>
                <c:pt idx="28">
                  <c:v>44418</c:v>
                </c:pt>
                <c:pt idx="29">
                  <c:v>44419</c:v>
                </c:pt>
                <c:pt idx="30">
                  <c:v>44425</c:v>
                </c:pt>
                <c:pt idx="31">
                  <c:v>44426</c:v>
                </c:pt>
                <c:pt idx="32">
                  <c:v>44432</c:v>
                </c:pt>
                <c:pt idx="33">
                  <c:v>44433</c:v>
                </c:pt>
              </c:numCache>
            </c:numRef>
          </c:cat>
          <c:val>
            <c:numRef>
              <c:f>Physicochemical_Managed!$X$110:$X$143</c:f>
              <c:numCache>
                <c:formatCode>0.000</c:formatCode>
                <c:ptCount val="34"/>
                <c:pt idx="0">
                  <c:v>0.36499999999999999</c:v>
                </c:pt>
                <c:pt idx="1">
                  <c:v>0.34</c:v>
                </c:pt>
                <c:pt idx="2">
                  <c:v>0.3</c:v>
                </c:pt>
                <c:pt idx="3">
                  <c:v>0.25</c:v>
                </c:pt>
                <c:pt idx="4">
                  <c:v>0.28999999999999998</c:v>
                </c:pt>
                <c:pt idx="5">
                  <c:v>0.28500000000000003</c:v>
                </c:pt>
                <c:pt idx="6">
                  <c:v>0.28000000000000003</c:v>
                </c:pt>
                <c:pt idx="7">
                  <c:v>0.27</c:v>
                </c:pt>
                <c:pt idx="8">
                  <c:v>0.41</c:v>
                </c:pt>
                <c:pt idx="9">
                  <c:v>0.39</c:v>
                </c:pt>
                <c:pt idx="10">
                  <c:v>0.36</c:v>
                </c:pt>
                <c:pt idx="11">
                  <c:v>0.33999999999999997</c:v>
                </c:pt>
                <c:pt idx="12">
                  <c:v>0.56000000000000005</c:v>
                </c:pt>
                <c:pt idx="13">
                  <c:v>0.34</c:v>
                </c:pt>
                <c:pt idx="14">
                  <c:v>0.41</c:v>
                </c:pt>
                <c:pt idx="15">
                  <c:v>0.34</c:v>
                </c:pt>
                <c:pt idx="16">
                  <c:v>0.32999999999999996</c:v>
                </c:pt>
                <c:pt idx="17">
                  <c:v>0.42</c:v>
                </c:pt>
                <c:pt idx="18">
                  <c:v>0.32</c:v>
                </c:pt>
                <c:pt idx="19">
                  <c:v>0.4</c:v>
                </c:pt>
                <c:pt idx="20">
                  <c:v>0.4</c:v>
                </c:pt>
                <c:pt idx="21">
                  <c:v>0.41</c:v>
                </c:pt>
                <c:pt idx="22">
                  <c:v>0.46</c:v>
                </c:pt>
                <c:pt idx="23">
                  <c:v>0.40666666666666668</c:v>
                </c:pt>
                <c:pt idx="24">
                  <c:v>0.42</c:v>
                </c:pt>
                <c:pt idx="25">
                  <c:v>0.44</c:v>
                </c:pt>
                <c:pt idx="26">
                  <c:v>0.34</c:v>
                </c:pt>
                <c:pt idx="27">
                  <c:v>0.35499999999999998</c:v>
                </c:pt>
                <c:pt idx="28">
                  <c:v>0.43</c:v>
                </c:pt>
                <c:pt idx="29">
                  <c:v>0.39500000000000002</c:v>
                </c:pt>
                <c:pt idx="30">
                  <c:v>0.4</c:v>
                </c:pt>
                <c:pt idx="31">
                  <c:v>0.34</c:v>
                </c:pt>
                <c:pt idx="32">
                  <c:v>0.39</c:v>
                </c:pt>
                <c:pt idx="33">
                  <c:v>0.37</c:v>
                </c:pt>
              </c:numCache>
            </c:numRef>
          </c:val>
          <c:smooth val="0"/>
          <c:extLst>
            <c:ext xmlns:c16="http://schemas.microsoft.com/office/drawing/2014/chart" uri="{C3380CC4-5D6E-409C-BE32-E72D297353CC}">
              <c16:uniqueId val="{00000002-33C3-4AC7-87D5-1EB44BBC0AB6}"/>
            </c:ext>
          </c:extLst>
        </c:ser>
        <c:dLbls>
          <c:showLegendKey val="0"/>
          <c:showVal val="0"/>
          <c:showCatName val="0"/>
          <c:showSerName val="0"/>
          <c:showPercent val="0"/>
          <c:showBubbleSize val="0"/>
        </c:dLbls>
        <c:marker val="1"/>
        <c:smooth val="0"/>
        <c:axId val="774072144"/>
        <c:axId val="780465376"/>
      </c:lineChart>
      <c:dateAx>
        <c:axId val="403941288"/>
        <c:scaling>
          <c:orientation val="minMax"/>
          <c:max val="44437"/>
          <c:min val="44287"/>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Sampling times--</a:t>
                </a:r>
                <a:r>
                  <a:rPr lang="en-US" b="1">
                    <a:solidFill>
                      <a:srgbClr val="FF0000"/>
                    </a:solidFill>
                  </a:rPr>
                  <a:t>RU</a:t>
                </a:r>
              </a:p>
            </c:rich>
          </c:tx>
          <c:layout>
            <c:manualLayout>
              <c:xMode val="edge"/>
              <c:yMode val="edge"/>
              <c:x val="0.39785997109175708"/>
              <c:y val="0.94951730232117781"/>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mm/dd/yyyy" sourceLinked="1"/>
        <c:majorTickMark val="out"/>
        <c:minorTickMark val="in"/>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03917672"/>
        <c:crosses val="autoZero"/>
        <c:auto val="1"/>
        <c:lblOffset val="100"/>
        <c:baseTimeUnit val="days"/>
        <c:majorUnit val="15"/>
        <c:majorTimeUnit val="days"/>
        <c:minorUnit val="5"/>
        <c:minorTimeUnit val="days"/>
      </c:dateAx>
      <c:valAx>
        <c:axId val="403917672"/>
        <c:scaling>
          <c:orientation val="minMax"/>
          <c:max val="0.5"/>
          <c:min val="0"/>
        </c:scaling>
        <c:delete val="0"/>
        <c:axPos val="l"/>
        <c:majorGridlines>
          <c:spPr>
            <a:ln w="1270" cap="flat" cmpd="sng" algn="ctr">
              <a:solidFill>
                <a:schemeClr val="tx1"/>
              </a:solidFill>
              <a:prstDash val="solid"/>
              <a:round/>
            </a:ln>
            <a:effectLst/>
          </c:spPr>
        </c:majorGridlines>
        <c:minorGridlines>
          <c:spPr>
            <a:ln w="1270" cap="flat" cmpd="sng" algn="ctr">
              <a:solidFill>
                <a:schemeClr val="bg2">
                  <a:lumMod val="90000"/>
                </a:schemeClr>
              </a:solidFill>
              <a:prstDash val="dash"/>
              <a:round/>
            </a:ln>
            <a:effectLst/>
          </c:spPr>
        </c:min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Free</a:t>
                </a:r>
                <a:r>
                  <a:rPr lang="en-US" baseline="0"/>
                  <a:t> ammonia and nitrite</a:t>
                </a:r>
                <a:r>
                  <a:rPr lang="en-US"/>
                  <a:t> (mg N·L</a:t>
                </a:r>
                <a:r>
                  <a:rPr lang="en-US" baseline="30000"/>
                  <a:t>-1</a:t>
                </a:r>
                <a:r>
                  <a:rPr lang="en-US"/>
                  <a:t>)</a:t>
                </a:r>
              </a:p>
            </c:rich>
          </c:tx>
          <c:layout>
            <c:manualLayout>
              <c:xMode val="edge"/>
              <c:yMode val="edge"/>
              <c:x val="6.5976053561081385E-5"/>
              <c:y val="0.18534139834462687"/>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0" sourceLinked="0"/>
        <c:majorTickMark val="out"/>
        <c:minorTickMark val="in"/>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03941288"/>
        <c:crosses val="autoZero"/>
        <c:crossBetween val="between"/>
        <c:majorUnit val="0.1"/>
        <c:minorUnit val="2.5000000000000005E-2"/>
      </c:valAx>
      <c:valAx>
        <c:axId val="780465376"/>
        <c:scaling>
          <c:orientation val="minMax"/>
          <c:max val="0.60000000000000009"/>
          <c:min val="0.2"/>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Orthophosphate (</a:t>
                </a:r>
                <a:r>
                  <a:rPr lang="en-US" baseline="0"/>
                  <a:t>PO</a:t>
                </a:r>
                <a:r>
                  <a:rPr lang="en-US" baseline="-25000"/>
                  <a:t>4</a:t>
                </a:r>
                <a:r>
                  <a:rPr lang="en-US" baseline="30000"/>
                  <a:t>3-</a:t>
                </a:r>
                <a:r>
                  <a:rPr lang="en-US" baseline="0"/>
                  <a:t>·L</a:t>
                </a:r>
                <a:r>
                  <a:rPr lang="en-US" baseline="30000"/>
                  <a:t>-1</a:t>
                </a:r>
                <a:r>
                  <a:rPr lang="en-US"/>
                  <a:t>)</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00" sourceLinked="0"/>
        <c:majorTickMark val="out"/>
        <c:minorTickMark val="in"/>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74072144"/>
        <c:crosses val="max"/>
        <c:crossBetween val="between"/>
        <c:majorUnit val="0.1"/>
        <c:minorUnit val="2.5000000000000005E-2"/>
      </c:valAx>
      <c:dateAx>
        <c:axId val="774072144"/>
        <c:scaling>
          <c:orientation val="minMax"/>
        </c:scaling>
        <c:delete val="1"/>
        <c:axPos val="b"/>
        <c:numFmt formatCode="mm/dd/yyyy" sourceLinked="1"/>
        <c:majorTickMark val="out"/>
        <c:minorTickMark val="none"/>
        <c:tickLblPos val="nextTo"/>
        <c:crossAx val="780465376"/>
        <c:crosses val="autoZero"/>
        <c:auto val="1"/>
        <c:lblOffset val="100"/>
        <c:baseTimeUnit val="days"/>
      </c:dateAx>
      <c:spPr>
        <a:noFill/>
        <a:ln w="19050">
          <a:solidFill>
            <a:schemeClr val="tx1"/>
          </a:solidFill>
        </a:ln>
        <a:effectLst/>
      </c:spPr>
    </c:plotArea>
    <c:legend>
      <c:legendPos val="r"/>
      <c:legendEntry>
        <c:idx val="0"/>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Entry>
      <c:layout>
        <c:manualLayout>
          <c:xMode val="edge"/>
          <c:yMode val="edge"/>
          <c:x val="0.10466798108813954"/>
          <c:y val="4.6033196712529548E-2"/>
          <c:w val="0.22798312160438464"/>
          <c:h val="9.8627455336123951E-2"/>
        </c:manualLayout>
      </c:layout>
      <c:overlay val="0"/>
      <c:spPr>
        <a:solidFill>
          <a:schemeClr val="bg1"/>
        </a:solid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04646"/>
      </a:solid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13278008298755"/>
          <c:y val="3.6235046109691547E-2"/>
          <c:w val="0.77921161825726137"/>
          <c:h val="0.75850914427279748"/>
        </c:manualLayout>
      </c:layout>
      <c:lineChart>
        <c:grouping val="standard"/>
        <c:varyColors val="0"/>
        <c:ser>
          <c:idx val="3"/>
          <c:order val="0"/>
          <c:tx>
            <c:v>pH</c:v>
          </c:tx>
          <c:spPr>
            <a:ln w="6350" cap="rnd">
              <a:solidFill>
                <a:srgbClr val="F04646"/>
              </a:solidFill>
              <a:round/>
            </a:ln>
            <a:effectLst/>
          </c:spPr>
          <c:marker>
            <c:symbol val="circle"/>
            <c:size val="6"/>
            <c:spPr>
              <a:solidFill>
                <a:srgbClr val="F04646"/>
              </a:solidFill>
              <a:ln w="12700">
                <a:solidFill>
                  <a:srgbClr val="F04646"/>
                </a:solidFill>
              </a:ln>
              <a:effectLst/>
            </c:spPr>
          </c:marker>
          <c:cat>
            <c:numRef>
              <c:f>Physicochemical_Managed!$O$144:$O$175</c:f>
              <c:numCache>
                <c:formatCode>mm/dd/yyyy</c:formatCode>
                <c:ptCount val="32"/>
                <c:pt idx="0">
                  <c:v>44293</c:v>
                </c:pt>
                <c:pt idx="1">
                  <c:v>44306</c:v>
                </c:pt>
                <c:pt idx="2">
                  <c:v>44313</c:v>
                </c:pt>
                <c:pt idx="3">
                  <c:v>44327</c:v>
                </c:pt>
                <c:pt idx="4">
                  <c:v>44334</c:v>
                </c:pt>
                <c:pt idx="5">
                  <c:v>44335</c:v>
                </c:pt>
                <c:pt idx="6">
                  <c:v>44341</c:v>
                </c:pt>
                <c:pt idx="7">
                  <c:v>44342</c:v>
                </c:pt>
                <c:pt idx="8">
                  <c:v>44349</c:v>
                </c:pt>
                <c:pt idx="9">
                  <c:v>44350</c:v>
                </c:pt>
                <c:pt idx="10">
                  <c:v>44355</c:v>
                </c:pt>
                <c:pt idx="11">
                  <c:v>44356</c:v>
                </c:pt>
                <c:pt idx="12">
                  <c:v>44362</c:v>
                </c:pt>
                <c:pt idx="13">
                  <c:v>44363</c:v>
                </c:pt>
                <c:pt idx="14">
                  <c:v>44369</c:v>
                </c:pt>
                <c:pt idx="15">
                  <c:v>44370</c:v>
                </c:pt>
                <c:pt idx="16">
                  <c:v>44384</c:v>
                </c:pt>
                <c:pt idx="17">
                  <c:v>44385</c:v>
                </c:pt>
                <c:pt idx="18">
                  <c:v>44390</c:v>
                </c:pt>
                <c:pt idx="19">
                  <c:v>44391</c:v>
                </c:pt>
                <c:pt idx="20">
                  <c:v>44397</c:v>
                </c:pt>
                <c:pt idx="21">
                  <c:v>44398</c:v>
                </c:pt>
                <c:pt idx="22">
                  <c:v>44404</c:v>
                </c:pt>
                <c:pt idx="23">
                  <c:v>44405</c:v>
                </c:pt>
                <c:pt idx="24">
                  <c:v>44411</c:v>
                </c:pt>
                <c:pt idx="25">
                  <c:v>44412</c:v>
                </c:pt>
                <c:pt idx="26">
                  <c:v>44418</c:v>
                </c:pt>
                <c:pt idx="27">
                  <c:v>44419</c:v>
                </c:pt>
                <c:pt idx="28">
                  <c:v>44425</c:v>
                </c:pt>
                <c:pt idx="29">
                  <c:v>44426</c:v>
                </c:pt>
                <c:pt idx="30">
                  <c:v>44432</c:v>
                </c:pt>
                <c:pt idx="31">
                  <c:v>44433</c:v>
                </c:pt>
              </c:numCache>
            </c:numRef>
          </c:cat>
          <c:val>
            <c:numRef>
              <c:f>Physicochemical_Managed!$Q$144:$Q$175</c:f>
              <c:numCache>
                <c:formatCode>0.000</c:formatCode>
                <c:ptCount val="32"/>
                <c:pt idx="0">
                  <c:v>6.4849999999999994</c:v>
                </c:pt>
                <c:pt idx="1">
                  <c:v>6.86</c:v>
                </c:pt>
                <c:pt idx="2">
                  <c:v>7.14</c:v>
                </c:pt>
                <c:pt idx="3">
                  <c:v>7.39</c:v>
                </c:pt>
                <c:pt idx="4">
                  <c:v>7.15</c:v>
                </c:pt>
                <c:pt idx="5">
                  <c:v>7.0449999999999999</c:v>
                </c:pt>
                <c:pt idx="6">
                  <c:v>7.12</c:v>
                </c:pt>
                <c:pt idx="7">
                  <c:v>6.87</c:v>
                </c:pt>
                <c:pt idx="8">
                  <c:v>7.72</c:v>
                </c:pt>
                <c:pt idx="9">
                  <c:v>7.0250000000000004</c:v>
                </c:pt>
                <c:pt idx="10">
                  <c:v>7.2</c:v>
                </c:pt>
                <c:pt idx="11">
                  <c:v>6.9249999999999998</c:v>
                </c:pt>
                <c:pt idx="12">
                  <c:v>7.29</c:v>
                </c:pt>
                <c:pt idx="13">
                  <c:v>7.0350000000000001</c:v>
                </c:pt>
                <c:pt idx="14">
                  <c:v>7.18</c:v>
                </c:pt>
                <c:pt idx="15">
                  <c:v>6.9850000000000003</c:v>
                </c:pt>
                <c:pt idx="16">
                  <c:v>6.98</c:v>
                </c:pt>
                <c:pt idx="17">
                  <c:v>6.915</c:v>
                </c:pt>
                <c:pt idx="18">
                  <c:v>6.81</c:v>
                </c:pt>
                <c:pt idx="19">
                  <c:v>6.8800000000000008</c:v>
                </c:pt>
                <c:pt idx="20">
                  <c:v>6.85</c:v>
                </c:pt>
                <c:pt idx="21">
                  <c:v>6.8149999999999995</c:v>
                </c:pt>
                <c:pt idx="22">
                  <c:v>6.72</c:v>
                </c:pt>
                <c:pt idx="23">
                  <c:v>6.4649999999999999</c:v>
                </c:pt>
                <c:pt idx="24">
                  <c:v>6.37</c:v>
                </c:pt>
                <c:pt idx="25">
                  <c:v>6.9049999999999994</c:v>
                </c:pt>
                <c:pt idx="26">
                  <c:v>6.37</c:v>
                </c:pt>
                <c:pt idx="27">
                  <c:v>6.4049999999999994</c:v>
                </c:pt>
                <c:pt idx="28">
                  <c:v>6.48</c:v>
                </c:pt>
                <c:pt idx="29">
                  <c:v>6.8849999999999998</c:v>
                </c:pt>
                <c:pt idx="30">
                  <c:v>6.96</c:v>
                </c:pt>
                <c:pt idx="31">
                  <c:v>7.0049999999999999</c:v>
                </c:pt>
              </c:numCache>
            </c:numRef>
          </c:val>
          <c:smooth val="0"/>
          <c:extLst>
            <c:ext xmlns:c16="http://schemas.microsoft.com/office/drawing/2014/chart" uri="{C3380CC4-5D6E-409C-BE32-E72D297353CC}">
              <c16:uniqueId val="{00000000-BFAA-4EAD-B4AC-5292E23AC50C}"/>
            </c:ext>
          </c:extLst>
        </c:ser>
        <c:dLbls>
          <c:showLegendKey val="0"/>
          <c:showVal val="0"/>
          <c:showCatName val="0"/>
          <c:showSerName val="0"/>
          <c:showPercent val="0"/>
          <c:showBubbleSize val="0"/>
        </c:dLbls>
        <c:marker val="1"/>
        <c:smooth val="0"/>
        <c:axId val="403941288"/>
        <c:axId val="403917672"/>
      </c:lineChart>
      <c:lineChart>
        <c:grouping val="standard"/>
        <c:varyColors val="0"/>
        <c:ser>
          <c:idx val="0"/>
          <c:order val="1"/>
          <c:tx>
            <c:v>Water temperature</c:v>
          </c:tx>
          <c:spPr>
            <a:ln w="6350" cap="rnd">
              <a:solidFill>
                <a:srgbClr val="5064E6"/>
              </a:solidFill>
              <a:round/>
            </a:ln>
            <a:effectLst/>
          </c:spPr>
          <c:marker>
            <c:symbol val="circle"/>
            <c:size val="6"/>
            <c:spPr>
              <a:noFill/>
              <a:ln w="12700">
                <a:solidFill>
                  <a:srgbClr val="5064E6">
                    <a:alpha val="95000"/>
                  </a:srgbClr>
                </a:solidFill>
              </a:ln>
              <a:effectLst/>
            </c:spPr>
          </c:marker>
          <c:cat>
            <c:numRef>
              <c:f>Physicochemical_Managed!$O$144:$O$175</c:f>
              <c:numCache>
                <c:formatCode>mm/dd/yyyy</c:formatCode>
                <c:ptCount val="32"/>
                <c:pt idx="0">
                  <c:v>44293</c:v>
                </c:pt>
                <c:pt idx="1">
                  <c:v>44306</c:v>
                </c:pt>
                <c:pt idx="2">
                  <c:v>44313</c:v>
                </c:pt>
                <c:pt idx="3">
                  <c:v>44327</c:v>
                </c:pt>
                <c:pt idx="4">
                  <c:v>44334</c:v>
                </c:pt>
                <c:pt idx="5">
                  <c:v>44335</c:v>
                </c:pt>
                <c:pt idx="6">
                  <c:v>44341</c:v>
                </c:pt>
                <c:pt idx="7">
                  <c:v>44342</c:v>
                </c:pt>
                <c:pt idx="8">
                  <c:v>44349</c:v>
                </c:pt>
                <c:pt idx="9">
                  <c:v>44350</c:v>
                </c:pt>
                <c:pt idx="10">
                  <c:v>44355</c:v>
                </c:pt>
                <c:pt idx="11">
                  <c:v>44356</c:v>
                </c:pt>
                <c:pt idx="12">
                  <c:v>44362</c:v>
                </c:pt>
                <c:pt idx="13">
                  <c:v>44363</c:v>
                </c:pt>
                <c:pt idx="14">
                  <c:v>44369</c:v>
                </c:pt>
                <c:pt idx="15">
                  <c:v>44370</c:v>
                </c:pt>
                <c:pt idx="16">
                  <c:v>44384</c:v>
                </c:pt>
                <c:pt idx="17">
                  <c:v>44385</c:v>
                </c:pt>
                <c:pt idx="18">
                  <c:v>44390</c:v>
                </c:pt>
                <c:pt idx="19">
                  <c:v>44391</c:v>
                </c:pt>
                <c:pt idx="20">
                  <c:v>44397</c:v>
                </c:pt>
                <c:pt idx="21">
                  <c:v>44398</c:v>
                </c:pt>
                <c:pt idx="22">
                  <c:v>44404</c:v>
                </c:pt>
                <c:pt idx="23">
                  <c:v>44405</c:v>
                </c:pt>
                <c:pt idx="24">
                  <c:v>44411</c:v>
                </c:pt>
                <c:pt idx="25">
                  <c:v>44412</c:v>
                </c:pt>
                <c:pt idx="26">
                  <c:v>44418</c:v>
                </c:pt>
                <c:pt idx="27">
                  <c:v>44419</c:v>
                </c:pt>
                <c:pt idx="28">
                  <c:v>44425</c:v>
                </c:pt>
                <c:pt idx="29">
                  <c:v>44426</c:v>
                </c:pt>
                <c:pt idx="30">
                  <c:v>44432</c:v>
                </c:pt>
                <c:pt idx="31">
                  <c:v>44433</c:v>
                </c:pt>
              </c:numCache>
            </c:numRef>
          </c:cat>
          <c:val>
            <c:numRef>
              <c:f>Physicochemical_Managed!$R$144:$R$175</c:f>
              <c:numCache>
                <c:formatCode>0.000</c:formatCode>
                <c:ptCount val="32"/>
                <c:pt idx="0">
                  <c:v>20.9</c:v>
                </c:pt>
                <c:pt idx="1">
                  <c:v>20.9</c:v>
                </c:pt>
                <c:pt idx="2">
                  <c:v>21.6</c:v>
                </c:pt>
                <c:pt idx="3">
                  <c:v>23.2</c:v>
                </c:pt>
                <c:pt idx="4">
                  <c:v>23.8</c:v>
                </c:pt>
                <c:pt idx="5">
                  <c:v>23.549999999999997</c:v>
                </c:pt>
                <c:pt idx="6">
                  <c:v>23.5</c:v>
                </c:pt>
                <c:pt idx="7">
                  <c:v>23.65</c:v>
                </c:pt>
                <c:pt idx="8">
                  <c:v>23.7</c:v>
                </c:pt>
                <c:pt idx="9">
                  <c:v>24.35</c:v>
                </c:pt>
                <c:pt idx="10">
                  <c:v>24.4</c:v>
                </c:pt>
                <c:pt idx="11">
                  <c:v>24.75</c:v>
                </c:pt>
                <c:pt idx="12">
                  <c:v>27.4</c:v>
                </c:pt>
                <c:pt idx="13">
                  <c:v>26.450000000000003</c:v>
                </c:pt>
                <c:pt idx="14">
                  <c:v>25.8</c:v>
                </c:pt>
                <c:pt idx="15">
                  <c:v>26.1</c:v>
                </c:pt>
                <c:pt idx="16">
                  <c:v>26.7</c:v>
                </c:pt>
                <c:pt idx="17">
                  <c:v>26.6</c:v>
                </c:pt>
                <c:pt idx="18">
                  <c:v>25.3</c:v>
                </c:pt>
                <c:pt idx="19">
                  <c:v>26.55</c:v>
                </c:pt>
                <c:pt idx="20">
                  <c:v>25.4</c:v>
                </c:pt>
                <c:pt idx="21">
                  <c:v>26.85</c:v>
                </c:pt>
                <c:pt idx="22">
                  <c:v>28.3</c:v>
                </c:pt>
                <c:pt idx="23">
                  <c:v>27.6</c:v>
                </c:pt>
                <c:pt idx="24">
                  <c:v>27.3</c:v>
                </c:pt>
                <c:pt idx="25">
                  <c:v>27.2</c:v>
                </c:pt>
                <c:pt idx="26">
                  <c:v>27.9</c:v>
                </c:pt>
                <c:pt idx="27">
                  <c:v>27.950000000000003</c:v>
                </c:pt>
                <c:pt idx="28">
                  <c:v>26.7</c:v>
                </c:pt>
                <c:pt idx="29">
                  <c:v>27.35</c:v>
                </c:pt>
                <c:pt idx="30">
                  <c:v>27.9</c:v>
                </c:pt>
                <c:pt idx="31">
                  <c:v>27.95</c:v>
                </c:pt>
              </c:numCache>
            </c:numRef>
          </c:val>
          <c:smooth val="0"/>
          <c:extLst>
            <c:ext xmlns:c16="http://schemas.microsoft.com/office/drawing/2014/chart" uri="{C3380CC4-5D6E-409C-BE32-E72D297353CC}">
              <c16:uniqueId val="{00000001-BFAA-4EAD-B4AC-5292E23AC50C}"/>
            </c:ext>
          </c:extLst>
        </c:ser>
        <c:dLbls>
          <c:showLegendKey val="0"/>
          <c:showVal val="0"/>
          <c:showCatName val="0"/>
          <c:showSerName val="0"/>
          <c:showPercent val="0"/>
          <c:showBubbleSize val="0"/>
        </c:dLbls>
        <c:marker val="1"/>
        <c:smooth val="0"/>
        <c:axId val="559296576"/>
        <c:axId val="559299528"/>
      </c:lineChart>
      <c:dateAx>
        <c:axId val="403941288"/>
        <c:scaling>
          <c:orientation val="minMax"/>
          <c:max val="44437"/>
          <c:min val="44287"/>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Sampling times--</a:t>
                </a:r>
                <a:r>
                  <a:rPr lang="en-US" b="1">
                    <a:solidFill>
                      <a:srgbClr val="FF0000"/>
                    </a:solidFill>
                  </a:rPr>
                  <a:t>RL</a:t>
                </a:r>
              </a:p>
            </c:rich>
          </c:tx>
          <c:layout>
            <c:manualLayout>
              <c:xMode val="edge"/>
              <c:yMode val="edge"/>
              <c:x val="0.40797950088956109"/>
              <c:y val="0.94951727294155164"/>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mm/dd/yyyy" sourceLinked="1"/>
        <c:majorTickMark val="out"/>
        <c:minorTickMark val="in"/>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03917672"/>
        <c:crosses val="autoZero"/>
        <c:auto val="1"/>
        <c:lblOffset val="100"/>
        <c:baseTimeUnit val="days"/>
        <c:majorUnit val="15"/>
        <c:majorTimeUnit val="days"/>
        <c:minorUnit val="5"/>
        <c:minorTimeUnit val="days"/>
      </c:dateAx>
      <c:valAx>
        <c:axId val="403917672"/>
        <c:scaling>
          <c:orientation val="minMax"/>
          <c:max val="7.8"/>
          <c:min val="6.3"/>
        </c:scaling>
        <c:delete val="0"/>
        <c:axPos val="l"/>
        <c:majorGridlines>
          <c:spPr>
            <a:ln w="1270" cap="flat" cmpd="sng" algn="ctr">
              <a:solidFill>
                <a:schemeClr val="tx1"/>
              </a:solidFill>
              <a:prstDash val="solid"/>
              <a:round/>
            </a:ln>
            <a:effectLst/>
          </c:spPr>
        </c:majorGridlines>
        <c:minorGridlines>
          <c:spPr>
            <a:ln w="1270" cap="flat" cmpd="sng" algn="ctr">
              <a:solidFill>
                <a:schemeClr val="bg2">
                  <a:lumMod val="90000"/>
                </a:schemeClr>
              </a:solidFill>
              <a:prstDash val="dash"/>
              <a:round/>
            </a:ln>
            <a:effectLst/>
          </c:spPr>
        </c:min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pH</a:t>
                </a:r>
              </a:p>
            </c:rich>
          </c:tx>
          <c:layout>
            <c:manualLayout>
              <c:xMode val="edge"/>
              <c:yMode val="edge"/>
              <c:x val="6.5976053561081385E-5"/>
              <c:y val="0.40005275279655506"/>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0" sourceLinked="0"/>
        <c:majorTickMark val="out"/>
        <c:minorTickMark val="in"/>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03941288"/>
        <c:crosses val="autoZero"/>
        <c:crossBetween val="between"/>
        <c:majorUnit val="0.30000000000000004"/>
        <c:minorUnit val="0.1"/>
      </c:valAx>
      <c:valAx>
        <c:axId val="559299528"/>
        <c:scaling>
          <c:orientation val="minMax"/>
          <c:max val="29"/>
          <c:min val="20"/>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sz="1200" b="0" i="0" baseline="0">
                    <a:solidFill>
                      <a:sysClr val="windowText" lastClr="000000"/>
                    </a:solidFill>
                    <a:effectLst/>
                  </a:rPr>
                  <a:t>Water temperature (°C)</a:t>
                </a:r>
                <a:endParaRPr lang="en-US" sz="1200">
                  <a:solidFill>
                    <a:sysClr val="windowText" lastClr="000000"/>
                  </a:solidFill>
                  <a:effectLst/>
                </a:endParaRPr>
              </a:p>
            </c:rich>
          </c:tx>
          <c:layout>
            <c:manualLayout>
              <c:xMode val="edge"/>
              <c:yMode val="edge"/>
              <c:x val="0.95850616190842264"/>
              <c:y val="0.26744775576297142"/>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 sourceLinked="0"/>
        <c:majorTickMark val="out"/>
        <c:minorTickMark val="in"/>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559296576"/>
        <c:crosses val="max"/>
        <c:crossBetween val="between"/>
        <c:majorUnit val="3"/>
        <c:minorUnit val="0.5"/>
      </c:valAx>
      <c:dateAx>
        <c:axId val="559296576"/>
        <c:scaling>
          <c:orientation val="minMax"/>
          <c:max val="44437"/>
          <c:min val="44287"/>
        </c:scaling>
        <c:delete val="0"/>
        <c:axPos val="t"/>
        <c:numFmt formatCode="mm/dd/yyyy"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bg1"/>
                </a:solidFill>
                <a:latin typeface="Times New Roman" panose="02020603050405020304" pitchFamily="18" charset="0"/>
                <a:ea typeface="+mn-ea"/>
                <a:cs typeface="Times New Roman" panose="02020603050405020304" pitchFamily="18" charset="0"/>
              </a:defRPr>
            </a:pPr>
            <a:endParaRPr lang="en-US"/>
          </a:p>
        </c:txPr>
        <c:crossAx val="559299528"/>
        <c:crosses val="max"/>
        <c:auto val="1"/>
        <c:lblOffset val="100"/>
        <c:baseTimeUnit val="days"/>
      </c:dateAx>
      <c:spPr>
        <a:noFill/>
        <a:ln w="19050">
          <a:solidFill>
            <a:schemeClr val="tx1"/>
          </a:solidFill>
        </a:ln>
        <a:effectLst/>
      </c:spPr>
    </c:plotArea>
    <c:legend>
      <c:legendPos val="r"/>
      <c:legendEntry>
        <c:idx val="0"/>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Entry>
      <c:layout>
        <c:manualLayout>
          <c:xMode val="edge"/>
          <c:yMode val="edge"/>
          <c:x val="0.10669188418047225"/>
          <c:y val="4.775371847569479E-2"/>
          <c:w val="0.27788173521483012"/>
          <c:h val="0.10788823449736565"/>
        </c:manualLayout>
      </c:layout>
      <c:overlay val="0"/>
      <c:spPr>
        <a:solidFill>
          <a:schemeClr val="bg1"/>
        </a:solid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04646"/>
      </a:solid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13278008298755"/>
          <c:y val="3.6235046109691547E-2"/>
          <c:w val="0.77921161825726137"/>
          <c:h val="0.75850914427279748"/>
        </c:manualLayout>
      </c:layout>
      <c:lineChart>
        <c:grouping val="standard"/>
        <c:varyColors val="0"/>
        <c:ser>
          <c:idx val="3"/>
          <c:order val="0"/>
          <c:tx>
            <c:v>Free chlorine</c:v>
          </c:tx>
          <c:spPr>
            <a:ln w="6350" cap="rnd">
              <a:solidFill>
                <a:srgbClr val="F04646"/>
              </a:solidFill>
              <a:round/>
            </a:ln>
            <a:effectLst/>
          </c:spPr>
          <c:marker>
            <c:symbol val="circle"/>
            <c:size val="6"/>
            <c:spPr>
              <a:solidFill>
                <a:srgbClr val="F04646"/>
              </a:solidFill>
              <a:ln w="12700">
                <a:solidFill>
                  <a:srgbClr val="F04646"/>
                </a:solidFill>
              </a:ln>
              <a:effectLst/>
            </c:spPr>
          </c:marker>
          <c:cat>
            <c:numRef>
              <c:f>Physicochemical_Managed!$O$144:$O$175</c:f>
              <c:numCache>
                <c:formatCode>mm/dd/yyyy</c:formatCode>
                <c:ptCount val="32"/>
                <c:pt idx="0">
                  <c:v>44293</c:v>
                </c:pt>
                <c:pt idx="1">
                  <c:v>44306</c:v>
                </c:pt>
                <c:pt idx="2">
                  <c:v>44313</c:v>
                </c:pt>
                <c:pt idx="3">
                  <c:v>44327</c:v>
                </c:pt>
                <c:pt idx="4">
                  <c:v>44334</c:v>
                </c:pt>
                <c:pt idx="5">
                  <c:v>44335</c:v>
                </c:pt>
                <c:pt idx="6">
                  <c:v>44341</c:v>
                </c:pt>
                <c:pt idx="7">
                  <c:v>44342</c:v>
                </c:pt>
                <c:pt idx="8">
                  <c:v>44349</c:v>
                </c:pt>
                <c:pt idx="9">
                  <c:v>44350</c:v>
                </c:pt>
                <c:pt idx="10">
                  <c:v>44355</c:v>
                </c:pt>
                <c:pt idx="11">
                  <c:v>44356</c:v>
                </c:pt>
                <c:pt idx="12">
                  <c:v>44362</c:v>
                </c:pt>
                <c:pt idx="13">
                  <c:v>44363</c:v>
                </c:pt>
                <c:pt idx="14">
                  <c:v>44369</c:v>
                </c:pt>
                <c:pt idx="15">
                  <c:v>44370</c:v>
                </c:pt>
                <c:pt idx="16">
                  <c:v>44384</c:v>
                </c:pt>
                <c:pt idx="17">
                  <c:v>44385</c:v>
                </c:pt>
                <c:pt idx="18">
                  <c:v>44390</c:v>
                </c:pt>
                <c:pt idx="19">
                  <c:v>44391</c:v>
                </c:pt>
                <c:pt idx="20">
                  <c:v>44397</c:v>
                </c:pt>
                <c:pt idx="21">
                  <c:v>44398</c:v>
                </c:pt>
                <c:pt idx="22">
                  <c:v>44404</c:v>
                </c:pt>
                <c:pt idx="23">
                  <c:v>44405</c:v>
                </c:pt>
                <c:pt idx="24">
                  <c:v>44411</c:v>
                </c:pt>
                <c:pt idx="25">
                  <c:v>44412</c:v>
                </c:pt>
                <c:pt idx="26">
                  <c:v>44418</c:v>
                </c:pt>
                <c:pt idx="27">
                  <c:v>44419</c:v>
                </c:pt>
                <c:pt idx="28">
                  <c:v>44425</c:v>
                </c:pt>
                <c:pt idx="29">
                  <c:v>44426</c:v>
                </c:pt>
                <c:pt idx="30">
                  <c:v>44432</c:v>
                </c:pt>
                <c:pt idx="31">
                  <c:v>44433</c:v>
                </c:pt>
              </c:numCache>
            </c:numRef>
          </c:cat>
          <c:val>
            <c:numRef>
              <c:f>Physicochemical_Managed!$S$144:$S$175</c:f>
              <c:numCache>
                <c:formatCode>0.000</c:formatCode>
                <c:ptCount val="32"/>
                <c:pt idx="0">
                  <c:v>0.14500000000000002</c:v>
                </c:pt>
                <c:pt idx="1">
                  <c:v>0.09</c:v>
                </c:pt>
                <c:pt idx="2">
                  <c:v>0.05</c:v>
                </c:pt>
                <c:pt idx="3">
                  <c:v>0.09</c:v>
                </c:pt>
                <c:pt idx="4">
                  <c:v>0.1</c:v>
                </c:pt>
                <c:pt idx="5">
                  <c:v>0.19</c:v>
                </c:pt>
                <c:pt idx="6">
                  <c:v>0.16</c:v>
                </c:pt>
                <c:pt idx="7">
                  <c:v>0.09</c:v>
                </c:pt>
                <c:pt idx="8">
                  <c:v>0.1</c:v>
                </c:pt>
                <c:pt idx="9">
                  <c:v>0.125</c:v>
                </c:pt>
                <c:pt idx="10">
                  <c:v>0.14000000000000001</c:v>
                </c:pt>
                <c:pt idx="11">
                  <c:v>8.4999999999999992E-2</c:v>
                </c:pt>
                <c:pt idx="12">
                  <c:v>0.91</c:v>
                </c:pt>
                <c:pt idx="13">
                  <c:v>1.4849999999999999</c:v>
                </c:pt>
                <c:pt idx="14">
                  <c:v>2.15</c:v>
                </c:pt>
                <c:pt idx="15">
                  <c:v>2.14</c:v>
                </c:pt>
                <c:pt idx="16">
                  <c:v>2.09</c:v>
                </c:pt>
                <c:pt idx="17">
                  <c:v>1.9849999999999999</c:v>
                </c:pt>
                <c:pt idx="18">
                  <c:v>1.49</c:v>
                </c:pt>
                <c:pt idx="19">
                  <c:v>2.4750000000000001</c:v>
                </c:pt>
                <c:pt idx="20">
                  <c:v>2.14</c:v>
                </c:pt>
                <c:pt idx="21">
                  <c:v>1.85</c:v>
                </c:pt>
                <c:pt idx="22">
                  <c:v>0.09</c:v>
                </c:pt>
                <c:pt idx="23">
                  <c:v>9.5000000000000001E-2</c:v>
                </c:pt>
                <c:pt idx="24">
                  <c:v>0.14000000000000001</c:v>
                </c:pt>
                <c:pt idx="25">
                  <c:v>7.0000000000000007E-2</c:v>
                </c:pt>
                <c:pt idx="26">
                  <c:v>0.12</c:v>
                </c:pt>
                <c:pt idx="27">
                  <c:v>0.125</c:v>
                </c:pt>
                <c:pt idx="28">
                  <c:v>0.17</c:v>
                </c:pt>
                <c:pt idx="29">
                  <c:v>6.5000000000000002E-2</c:v>
                </c:pt>
                <c:pt idx="30">
                  <c:v>0.08</c:v>
                </c:pt>
                <c:pt idx="31">
                  <c:v>6.0000000000000005E-2</c:v>
                </c:pt>
              </c:numCache>
            </c:numRef>
          </c:val>
          <c:smooth val="0"/>
          <c:extLst>
            <c:ext xmlns:c16="http://schemas.microsoft.com/office/drawing/2014/chart" uri="{C3380CC4-5D6E-409C-BE32-E72D297353CC}">
              <c16:uniqueId val="{00000000-760C-49B2-878B-E55811273D11}"/>
            </c:ext>
          </c:extLst>
        </c:ser>
        <c:ser>
          <c:idx val="0"/>
          <c:order val="1"/>
          <c:tx>
            <c:v>Monochloramine</c:v>
          </c:tx>
          <c:spPr>
            <a:ln w="6350" cap="rnd">
              <a:solidFill>
                <a:srgbClr val="5064E6"/>
              </a:solidFill>
              <a:round/>
            </a:ln>
            <a:effectLst/>
          </c:spPr>
          <c:marker>
            <c:symbol val="circle"/>
            <c:size val="6"/>
            <c:spPr>
              <a:noFill/>
              <a:ln w="12700">
                <a:solidFill>
                  <a:srgbClr val="5064E6">
                    <a:alpha val="95000"/>
                  </a:srgbClr>
                </a:solidFill>
              </a:ln>
              <a:effectLst/>
            </c:spPr>
          </c:marker>
          <c:cat>
            <c:numRef>
              <c:f>Physicochemical_Managed!$O$144:$O$175</c:f>
              <c:numCache>
                <c:formatCode>mm/dd/yyyy</c:formatCode>
                <c:ptCount val="32"/>
                <c:pt idx="0">
                  <c:v>44293</c:v>
                </c:pt>
                <c:pt idx="1">
                  <c:v>44306</c:v>
                </c:pt>
                <c:pt idx="2">
                  <c:v>44313</c:v>
                </c:pt>
                <c:pt idx="3">
                  <c:v>44327</c:v>
                </c:pt>
                <c:pt idx="4">
                  <c:v>44334</c:v>
                </c:pt>
                <c:pt idx="5">
                  <c:v>44335</c:v>
                </c:pt>
                <c:pt idx="6">
                  <c:v>44341</c:v>
                </c:pt>
                <c:pt idx="7">
                  <c:v>44342</c:v>
                </c:pt>
                <c:pt idx="8">
                  <c:v>44349</c:v>
                </c:pt>
                <c:pt idx="9">
                  <c:v>44350</c:v>
                </c:pt>
                <c:pt idx="10">
                  <c:v>44355</c:v>
                </c:pt>
                <c:pt idx="11">
                  <c:v>44356</c:v>
                </c:pt>
                <c:pt idx="12">
                  <c:v>44362</c:v>
                </c:pt>
                <c:pt idx="13">
                  <c:v>44363</c:v>
                </c:pt>
                <c:pt idx="14">
                  <c:v>44369</c:v>
                </c:pt>
                <c:pt idx="15">
                  <c:v>44370</c:v>
                </c:pt>
                <c:pt idx="16">
                  <c:v>44384</c:v>
                </c:pt>
                <c:pt idx="17">
                  <c:v>44385</c:v>
                </c:pt>
                <c:pt idx="18">
                  <c:v>44390</c:v>
                </c:pt>
                <c:pt idx="19">
                  <c:v>44391</c:v>
                </c:pt>
                <c:pt idx="20">
                  <c:v>44397</c:v>
                </c:pt>
                <c:pt idx="21">
                  <c:v>44398</c:v>
                </c:pt>
                <c:pt idx="22">
                  <c:v>44404</c:v>
                </c:pt>
                <c:pt idx="23">
                  <c:v>44405</c:v>
                </c:pt>
                <c:pt idx="24">
                  <c:v>44411</c:v>
                </c:pt>
                <c:pt idx="25">
                  <c:v>44412</c:v>
                </c:pt>
                <c:pt idx="26">
                  <c:v>44418</c:v>
                </c:pt>
                <c:pt idx="27">
                  <c:v>44419</c:v>
                </c:pt>
                <c:pt idx="28">
                  <c:v>44425</c:v>
                </c:pt>
                <c:pt idx="29">
                  <c:v>44426</c:v>
                </c:pt>
                <c:pt idx="30">
                  <c:v>44432</c:v>
                </c:pt>
                <c:pt idx="31">
                  <c:v>44433</c:v>
                </c:pt>
              </c:numCache>
            </c:numRef>
          </c:cat>
          <c:val>
            <c:numRef>
              <c:f>Physicochemical_Managed!$T$144:$T$175</c:f>
              <c:numCache>
                <c:formatCode>0.000</c:formatCode>
                <c:ptCount val="32"/>
                <c:pt idx="0">
                  <c:v>2.3650000000000002</c:v>
                </c:pt>
                <c:pt idx="1">
                  <c:v>1.72</c:v>
                </c:pt>
                <c:pt idx="2">
                  <c:v>1.74</c:v>
                </c:pt>
                <c:pt idx="3">
                  <c:v>1.55</c:v>
                </c:pt>
                <c:pt idx="4">
                  <c:v>1.61</c:v>
                </c:pt>
                <c:pt idx="5">
                  <c:v>1.52</c:v>
                </c:pt>
                <c:pt idx="6">
                  <c:v>1.1599999999999999</c:v>
                </c:pt>
                <c:pt idx="7">
                  <c:v>1.56</c:v>
                </c:pt>
                <c:pt idx="8">
                  <c:v>1.61</c:v>
                </c:pt>
                <c:pt idx="9">
                  <c:v>1.4950000000000001</c:v>
                </c:pt>
                <c:pt idx="10">
                  <c:v>1.65</c:v>
                </c:pt>
                <c:pt idx="11">
                  <c:v>1.6549999999999998</c:v>
                </c:pt>
                <c:pt idx="12">
                  <c:v>0.02</c:v>
                </c:pt>
                <c:pt idx="13">
                  <c:v>1.4999999999999999E-2</c:v>
                </c:pt>
                <c:pt idx="14">
                  <c:v>0</c:v>
                </c:pt>
                <c:pt idx="15">
                  <c:v>5.0000000000000001E-3</c:v>
                </c:pt>
                <c:pt idx="16">
                  <c:v>0.03</c:v>
                </c:pt>
                <c:pt idx="17">
                  <c:v>5.0000000000000001E-3</c:v>
                </c:pt>
                <c:pt idx="18">
                  <c:v>0.04</c:v>
                </c:pt>
                <c:pt idx="19">
                  <c:v>0.02</c:v>
                </c:pt>
                <c:pt idx="20">
                  <c:v>0.04</c:v>
                </c:pt>
                <c:pt idx="21">
                  <c:v>0.01</c:v>
                </c:pt>
                <c:pt idx="22">
                  <c:v>0.74</c:v>
                </c:pt>
                <c:pt idx="23">
                  <c:v>1.9849999999999999</c:v>
                </c:pt>
                <c:pt idx="24">
                  <c:v>1.97</c:v>
                </c:pt>
                <c:pt idx="25">
                  <c:v>2.0199999999999996</c:v>
                </c:pt>
                <c:pt idx="26">
                  <c:v>1.89</c:v>
                </c:pt>
                <c:pt idx="27">
                  <c:v>1.855</c:v>
                </c:pt>
                <c:pt idx="28">
                  <c:v>1.67</c:v>
                </c:pt>
                <c:pt idx="29">
                  <c:v>1.87</c:v>
                </c:pt>
                <c:pt idx="30">
                  <c:v>1.18</c:v>
                </c:pt>
                <c:pt idx="31">
                  <c:v>1.34</c:v>
                </c:pt>
              </c:numCache>
            </c:numRef>
          </c:val>
          <c:smooth val="0"/>
          <c:extLst>
            <c:ext xmlns:c16="http://schemas.microsoft.com/office/drawing/2014/chart" uri="{C3380CC4-5D6E-409C-BE32-E72D297353CC}">
              <c16:uniqueId val="{00000001-760C-49B2-878B-E55811273D11}"/>
            </c:ext>
          </c:extLst>
        </c:ser>
        <c:ser>
          <c:idx val="1"/>
          <c:order val="2"/>
          <c:tx>
            <c:v>Total chlorine</c:v>
          </c:tx>
          <c:spPr>
            <a:ln w="6350" cap="rnd">
              <a:solidFill>
                <a:schemeClr val="tx1"/>
              </a:solidFill>
              <a:round/>
            </a:ln>
            <a:effectLst/>
          </c:spPr>
          <c:marker>
            <c:symbol val="square"/>
            <c:size val="6"/>
            <c:spPr>
              <a:noFill/>
              <a:ln w="12700">
                <a:solidFill>
                  <a:schemeClr val="tx1"/>
                </a:solidFill>
              </a:ln>
              <a:effectLst/>
            </c:spPr>
          </c:marker>
          <c:cat>
            <c:numRef>
              <c:f>Physicochemical_Managed!$O$144:$O$175</c:f>
              <c:numCache>
                <c:formatCode>mm/dd/yyyy</c:formatCode>
                <c:ptCount val="32"/>
                <c:pt idx="0">
                  <c:v>44293</c:v>
                </c:pt>
                <c:pt idx="1">
                  <c:v>44306</c:v>
                </c:pt>
                <c:pt idx="2">
                  <c:v>44313</c:v>
                </c:pt>
                <c:pt idx="3">
                  <c:v>44327</c:v>
                </c:pt>
                <c:pt idx="4">
                  <c:v>44334</c:v>
                </c:pt>
                <c:pt idx="5">
                  <c:v>44335</c:v>
                </c:pt>
                <c:pt idx="6">
                  <c:v>44341</c:v>
                </c:pt>
                <c:pt idx="7">
                  <c:v>44342</c:v>
                </c:pt>
                <c:pt idx="8">
                  <c:v>44349</c:v>
                </c:pt>
                <c:pt idx="9">
                  <c:v>44350</c:v>
                </c:pt>
                <c:pt idx="10">
                  <c:v>44355</c:v>
                </c:pt>
                <c:pt idx="11">
                  <c:v>44356</c:v>
                </c:pt>
                <c:pt idx="12">
                  <c:v>44362</c:v>
                </c:pt>
                <c:pt idx="13">
                  <c:v>44363</c:v>
                </c:pt>
                <c:pt idx="14">
                  <c:v>44369</c:v>
                </c:pt>
                <c:pt idx="15">
                  <c:v>44370</c:v>
                </c:pt>
                <c:pt idx="16">
                  <c:v>44384</c:v>
                </c:pt>
                <c:pt idx="17">
                  <c:v>44385</c:v>
                </c:pt>
                <c:pt idx="18">
                  <c:v>44390</c:v>
                </c:pt>
                <c:pt idx="19">
                  <c:v>44391</c:v>
                </c:pt>
                <c:pt idx="20">
                  <c:v>44397</c:v>
                </c:pt>
                <c:pt idx="21">
                  <c:v>44398</c:v>
                </c:pt>
                <c:pt idx="22">
                  <c:v>44404</c:v>
                </c:pt>
                <c:pt idx="23">
                  <c:v>44405</c:v>
                </c:pt>
                <c:pt idx="24">
                  <c:v>44411</c:v>
                </c:pt>
                <c:pt idx="25">
                  <c:v>44412</c:v>
                </c:pt>
                <c:pt idx="26">
                  <c:v>44418</c:v>
                </c:pt>
                <c:pt idx="27">
                  <c:v>44419</c:v>
                </c:pt>
                <c:pt idx="28">
                  <c:v>44425</c:v>
                </c:pt>
                <c:pt idx="29">
                  <c:v>44426</c:v>
                </c:pt>
                <c:pt idx="30">
                  <c:v>44432</c:v>
                </c:pt>
                <c:pt idx="31">
                  <c:v>44433</c:v>
                </c:pt>
              </c:numCache>
            </c:numRef>
          </c:cat>
          <c:val>
            <c:numRef>
              <c:f>Physicochemical_Managed!$U$144:$U$175</c:f>
              <c:numCache>
                <c:formatCode>0.000</c:formatCode>
                <c:ptCount val="32"/>
                <c:pt idx="0">
                  <c:v>2.5350000000000001</c:v>
                </c:pt>
                <c:pt idx="1">
                  <c:v>2.4</c:v>
                </c:pt>
                <c:pt idx="2">
                  <c:v>2.19</c:v>
                </c:pt>
                <c:pt idx="3">
                  <c:v>1.75</c:v>
                </c:pt>
                <c:pt idx="4">
                  <c:v>1.79</c:v>
                </c:pt>
                <c:pt idx="5">
                  <c:v>1.7650000000000001</c:v>
                </c:pt>
                <c:pt idx="6">
                  <c:v>1.99</c:v>
                </c:pt>
                <c:pt idx="7">
                  <c:v>1.885</c:v>
                </c:pt>
                <c:pt idx="8">
                  <c:v>1.76</c:v>
                </c:pt>
                <c:pt idx="9">
                  <c:v>1.585</c:v>
                </c:pt>
                <c:pt idx="10">
                  <c:v>1.68</c:v>
                </c:pt>
                <c:pt idx="11">
                  <c:v>1.635</c:v>
                </c:pt>
                <c:pt idx="12">
                  <c:v>1.1000000000000001</c:v>
                </c:pt>
                <c:pt idx="13">
                  <c:v>1.53</c:v>
                </c:pt>
                <c:pt idx="14">
                  <c:v>2.04</c:v>
                </c:pt>
                <c:pt idx="15">
                  <c:v>2.165</c:v>
                </c:pt>
                <c:pt idx="16">
                  <c:v>2.27</c:v>
                </c:pt>
                <c:pt idx="17">
                  <c:v>2.4500000000000002</c:v>
                </c:pt>
                <c:pt idx="18">
                  <c:v>2.38</c:v>
                </c:pt>
                <c:pt idx="19">
                  <c:v>2.6949999999999998</c:v>
                </c:pt>
                <c:pt idx="20">
                  <c:v>2.14</c:v>
                </c:pt>
                <c:pt idx="21">
                  <c:v>2.2549999999999999</c:v>
                </c:pt>
                <c:pt idx="22">
                  <c:v>0.93</c:v>
                </c:pt>
                <c:pt idx="23">
                  <c:v>2.1349999999999998</c:v>
                </c:pt>
                <c:pt idx="24">
                  <c:v>2.06</c:v>
                </c:pt>
                <c:pt idx="25">
                  <c:v>2.2999999999999998</c:v>
                </c:pt>
                <c:pt idx="26">
                  <c:v>2.21</c:v>
                </c:pt>
                <c:pt idx="27">
                  <c:v>2.0350000000000001</c:v>
                </c:pt>
                <c:pt idx="28">
                  <c:v>2.0299999999999998</c:v>
                </c:pt>
                <c:pt idx="29">
                  <c:v>2.2000000000000002</c:v>
                </c:pt>
                <c:pt idx="30">
                  <c:v>1.19</c:v>
                </c:pt>
                <c:pt idx="31">
                  <c:v>1.3050000000000002</c:v>
                </c:pt>
              </c:numCache>
            </c:numRef>
          </c:val>
          <c:smooth val="0"/>
          <c:extLst>
            <c:ext xmlns:c16="http://schemas.microsoft.com/office/drawing/2014/chart" uri="{C3380CC4-5D6E-409C-BE32-E72D297353CC}">
              <c16:uniqueId val="{00000002-760C-49B2-878B-E55811273D11}"/>
            </c:ext>
          </c:extLst>
        </c:ser>
        <c:dLbls>
          <c:showLegendKey val="0"/>
          <c:showVal val="0"/>
          <c:showCatName val="0"/>
          <c:showSerName val="0"/>
          <c:showPercent val="0"/>
          <c:showBubbleSize val="0"/>
        </c:dLbls>
        <c:marker val="1"/>
        <c:smooth val="0"/>
        <c:axId val="403941288"/>
        <c:axId val="403917672"/>
      </c:lineChart>
      <c:dateAx>
        <c:axId val="403941288"/>
        <c:scaling>
          <c:orientation val="minMax"/>
          <c:max val="44437"/>
          <c:min val="44287"/>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Sampling times--</a:t>
                </a:r>
                <a:r>
                  <a:rPr lang="en-US" b="1">
                    <a:solidFill>
                      <a:srgbClr val="FF0000"/>
                    </a:solidFill>
                  </a:rPr>
                  <a:t>RL</a:t>
                </a:r>
              </a:p>
            </c:rich>
          </c:tx>
          <c:layout>
            <c:manualLayout>
              <c:xMode val="edge"/>
              <c:yMode val="edge"/>
              <c:x val="0.39785997109175708"/>
              <c:y val="0.94951730232117781"/>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mm/dd/yyyy" sourceLinked="1"/>
        <c:majorTickMark val="out"/>
        <c:minorTickMark val="in"/>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03917672"/>
        <c:crosses val="autoZero"/>
        <c:auto val="1"/>
        <c:lblOffset val="100"/>
        <c:baseTimeUnit val="days"/>
        <c:majorUnit val="15"/>
        <c:majorTimeUnit val="days"/>
        <c:minorUnit val="5"/>
        <c:minorTimeUnit val="days"/>
      </c:dateAx>
      <c:valAx>
        <c:axId val="403917672"/>
        <c:scaling>
          <c:orientation val="minMax"/>
          <c:max val="2.75"/>
          <c:min val="0"/>
        </c:scaling>
        <c:delete val="0"/>
        <c:axPos val="l"/>
        <c:majorGridlines>
          <c:spPr>
            <a:ln w="1270" cap="flat" cmpd="sng" algn="ctr">
              <a:solidFill>
                <a:schemeClr val="tx1"/>
              </a:solidFill>
              <a:prstDash val="solid"/>
              <a:round/>
            </a:ln>
            <a:effectLst/>
          </c:spPr>
        </c:majorGridlines>
        <c:minorGridlines>
          <c:spPr>
            <a:ln w="1270" cap="flat" cmpd="sng" algn="ctr">
              <a:solidFill>
                <a:schemeClr val="bg2">
                  <a:lumMod val="90000"/>
                </a:schemeClr>
              </a:solidFill>
              <a:prstDash val="dash"/>
              <a:round/>
            </a:ln>
            <a:effectLst/>
          </c:spPr>
        </c:min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Chlorine (mg Cl</a:t>
                </a:r>
                <a:r>
                  <a:rPr lang="en-US" baseline="-25000"/>
                  <a:t>2</a:t>
                </a:r>
                <a:r>
                  <a:rPr lang="en-US"/>
                  <a:t>·L</a:t>
                </a:r>
                <a:r>
                  <a:rPr lang="en-US" baseline="30000"/>
                  <a:t>-1</a:t>
                </a:r>
                <a:r>
                  <a:rPr lang="en-US"/>
                  <a:t>)</a:t>
                </a:r>
              </a:p>
            </c:rich>
          </c:tx>
          <c:layout>
            <c:manualLayout>
              <c:xMode val="edge"/>
              <c:yMode val="edge"/>
              <c:x val="6.5976053561081209E-5"/>
              <c:y val="0.2827105058966991"/>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0" sourceLinked="0"/>
        <c:majorTickMark val="out"/>
        <c:minorTickMark val="in"/>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03941288"/>
        <c:crosses val="autoZero"/>
        <c:crossBetween val="between"/>
        <c:majorUnit val="0.5"/>
        <c:minorUnit val="0.25"/>
      </c:valAx>
      <c:spPr>
        <a:noFill/>
        <a:ln w="19050">
          <a:solidFill>
            <a:schemeClr val="tx1"/>
          </a:solidFill>
        </a:ln>
        <a:effectLst/>
      </c:spPr>
    </c:plotArea>
    <c:legend>
      <c:legendPos val="r"/>
      <c:legendEntry>
        <c:idx val="0"/>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Entry>
      <c:layout>
        <c:manualLayout>
          <c:xMode val="edge"/>
          <c:yMode val="edge"/>
          <c:x val="0.10264407799580685"/>
          <c:y val="0.53210261245266943"/>
          <c:w val="0.22798312160438464"/>
          <c:h val="0.11352553820857748"/>
        </c:manualLayout>
      </c:layout>
      <c:overlay val="0"/>
      <c:spPr>
        <a:solidFill>
          <a:schemeClr val="bg1"/>
        </a:solid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04646"/>
      </a:solid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13278008298755"/>
          <c:y val="3.6235046109691547E-2"/>
          <c:w val="0.77921161825726137"/>
          <c:h val="0.75850914427279748"/>
        </c:manualLayout>
      </c:layout>
      <c:lineChart>
        <c:grouping val="standard"/>
        <c:varyColors val="0"/>
        <c:ser>
          <c:idx val="3"/>
          <c:order val="0"/>
          <c:tx>
            <c:v>Free ammonia</c:v>
          </c:tx>
          <c:spPr>
            <a:ln w="6350" cap="rnd">
              <a:solidFill>
                <a:srgbClr val="F04646"/>
              </a:solidFill>
              <a:round/>
            </a:ln>
            <a:effectLst/>
          </c:spPr>
          <c:marker>
            <c:symbol val="circle"/>
            <c:size val="6"/>
            <c:spPr>
              <a:solidFill>
                <a:srgbClr val="F04646"/>
              </a:solidFill>
              <a:ln w="12700">
                <a:solidFill>
                  <a:srgbClr val="F04646"/>
                </a:solidFill>
              </a:ln>
              <a:effectLst/>
            </c:spPr>
          </c:marker>
          <c:cat>
            <c:numRef>
              <c:f>Physicochemical_Managed!$O$144:$O$175</c:f>
              <c:numCache>
                <c:formatCode>mm/dd/yyyy</c:formatCode>
                <c:ptCount val="32"/>
                <c:pt idx="0">
                  <c:v>44293</c:v>
                </c:pt>
                <c:pt idx="1">
                  <c:v>44306</c:v>
                </c:pt>
                <c:pt idx="2">
                  <c:v>44313</c:v>
                </c:pt>
                <c:pt idx="3">
                  <c:v>44327</c:v>
                </c:pt>
                <c:pt idx="4">
                  <c:v>44334</c:v>
                </c:pt>
                <c:pt idx="5">
                  <c:v>44335</c:v>
                </c:pt>
                <c:pt idx="6">
                  <c:v>44341</c:v>
                </c:pt>
                <c:pt idx="7">
                  <c:v>44342</c:v>
                </c:pt>
                <c:pt idx="8">
                  <c:v>44349</c:v>
                </c:pt>
                <c:pt idx="9">
                  <c:v>44350</c:v>
                </c:pt>
                <c:pt idx="10">
                  <c:v>44355</c:v>
                </c:pt>
                <c:pt idx="11">
                  <c:v>44356</c:v>
                </c:pt>
                <c:pt idx="12">
                  <c:v>44362</c:v>
                </c:pt>
                <c:pt idx="13">
                  <c:v>44363</c:v>
                </c:pt>
                <c:pt idx="14">
                  <c:v>44369</c:v>
                </c:pt>
                <c:pt idx="15">
                  <c:v>44370</c:v>
                </c:pt>
                <c:pt idx="16">
                  <c:v>44384</c:v>
                </c:pt>
                <c:pt idx="17">
                  <c:v>44385</c:v>
                </c:pt>
                <c:pt idx="18">
                  <c:v>44390</c:v>
                </c:pt>
                <c:pt idx="19">
                  <c:v>44391</c:v>
                </c:pt>
                <c:pt idx="20">
                  <c:v>44397</c:v>
                </c:pt>
                <c:pt idx="21">
                  <c:v>44398</c:v>
                </c:pt>
                <c:pt idx="22">
                  <c:v>44404</c:v>
                </c:pt>
                <c:pt idx="23">
                  <c:v>44405</c:v>
                </c:pt>
                <c:pt idx="24">
                  <c:v>44411</c:v>
                </c:pt>
                <c:pt idx="25">
                  <c:v>44412</c:v>
                </c:pt>
                <c:pt idx="26">
                  <c:v>44418</c:v>
                </c:pt>
                <c:pt idx="27">
                  <c:v>44419</c:v>
                </c:pt>
                <c:pt idx="28">
                  <c:v>44425</c:v>
                </c:pt>
                <c:pt idx="29">
                  <c:v>44426</c:v>
                </c:pt>
                <c:pt idx="30">
                  <c:v>44432</c:v>
                </c:pt>
                <c:pt idx="31">
                  <c:v>44433</c:v>
                </c:pt>
              </c:numCache>
            </c:numRef>
          </c:cat>
          <c:val>
            <c:numRef>
              <c:f>Physicochemical_Managed!$V$144:$V$175</c:f>
              <c:numCache>
                <c:formatCode>0.000</c:formatCode>
                <c:ptCount val="32"/>
                <c:pt idx="0">
                  <c:v>0.16500000000000001</c:v>
                </c:pt>
                <c:pt idx="1">
                  <c:v>0.22</c:v>
                </c:pt>
                <c:pt idx="2">
                  <c:v>0.18</c:v>
                </c:pt>
                <c:pt idx="3">
                  <c:v>0.28999999999999998</c:v>
                </c:pt>
                <c:pt idx="4">
                  <c:v>0.2</c:v>
                </c:pt>
                <c:pt idx="5">
                  <c:v>0.27</c:v>
                </c:pt>
                <c:pt idx="6">
                  <c:v>0.24</c:v>
                </c:pt>
                <c:pt idx="7">
                  <c:v>0.21000000000000002</c:v>
                </c:pt>
                <c:pt idx="8">
                  <c:v>0.18</c:v>
                </c:pt>
                <c:pt idx="9">
                  <c:v>0.27500000000000002</c:v>
                </c:pt>
                <c:pt idx="10">
                  <c:v>0.27</c:v>
                </c:pt>
                <c:pt idx="11">
                  <c:v>0.21500000000000002</c:v>
                </c:pt>
                <c:pt idx="12">
                  <c:v>0.05</c:v>
                </c:pt>
                <c:pt idx="13">
                  <c:v>0.155</c:v>
                </c:pt>
                <c:pt idx="14">
                  <c:v>0.12</c:v>
                </c:pt>
                <c:pt idx="15">
                  <c:v>0.08</c:v>
                </c:pt>
                <c:pt idx="16">
                  <c:v>0.02</c:v>
                </c:pt>
                <c:pt idx="17">
                  <c:v>0.04</c:v>
                </c:pt>
                <c:pt idx="18">
                  <c:v>0.01</c:v>
                </c:pt>
                <c:pt idx="19">
                  <c:v>1.4999999999999999E-2</c:v>
                </c:pt>
                <c:pt idx="20">
                  <c:v>0.09</c:v>
                </c:pt>
                <c:pt idx="21">
                  <c:v>0.02</c:v>
                </c:pt>
                <c:pt idx="22">
                  <c:v>0.04</c:v>
                </c:pt>
                <c:pt idx="23">
                  <c:v>0.15</c:v>
                </c:pt>
                <c:pt idx="24">
                  <c:v>0.24</c:v>
                </c:pt>
                <c:pt idx="25">
                  <c:v>0.16500000000000001</c:v>
                </c:pt>
                <c:pt idx="26">
                  <c:v>0.1</c:v>
                </c:pt>
                <c:pt idx="27">
                  <c:v>0.15000000000000002</c:v>
                </c:pt>
                <c:pt idx="28">
                  <c:v>0.16</c:v>
                </c:pt>
                <c:pt idx="29">
                  <c:v>0.23</c:v>
                </c:pt>
                <c:pt idx="30">
                  <c:v>0.14000000000000001</c:v>
                </c:pt>
                <c:pt idx="31">
                  <c:v>0.17</c:v>
                </c:pt>
              </c:numCache>
            </c:numRef>
          </c:val>
          <c:smooth val="0"/>
          <c:extLst>
            <c:ext xmlns:c16="http://schemas.microsoft.com/office/drawing/2014/chart" uri="{C3380CC4-5D6E-409C-BE32-E72D297353CC}">
              <c16:uniqueId val="{00000000-225B-4FF2-B2B5-FEE700733886}"/>
            </c:ext>
          </c:extLst>
        </c:ser>
        <c:ser>
          <c:idx val="0"/>
          <c:order val="1"/>
          <c:tx>
            <c:v>Nitrite</c:v>
          </c:tx>
          <c:spPr>
            <a:ln w="6350" cap="rnd">
              <a:solidFill>
                <a:srgbClr val="5064E6"/>
              </a:solidFill>
              <a:round/>
            </a:ln>
            <a:effectLst/>
          </c:spPr>
          <c:marker>
            <c:symbol val="circle"/>
            <c:size val="6"/>
            <c:spPr>
              <a:noFill/>
              <a:ln w="12700">
                <a:solidFill>
                  <a:srgbClr val="5064E6">
                    <a:alpha val="95000"/>
                  </a:srgbClr>
                </a:solidFill>
              </a:ln>
              <a:effectLst/>
            </c:spPr>
          </c:marker>
          <c:cat>
            <c:numRef>
              <c:f>Physicochemical_Managed!$O$144:$O$175</c:f>
              <c:numCache>
                <c:formatCode>mm/dd/yyyy</c:formatCode>
                <c:ptCount val="32"/>
                <c:pt idx="0">
                  <c:v>44293</c:v>
                </c:pt>
                <c:pt idx="1">
                  <c:v>44306</c:v>
                </c:pt>
                <c:pt idx="2">
                  <c:v>44313</c:v>
                </c:pt>
                <c:pt idx="3">
                  <c:v>44327</c:v>
                </c:pt>
                <c:pt idx="4">
                  <c:v>44334</c:v>
                </c:pt>
                <c:pt idx="5">
                  <c:v>44335</c:v>
                </c:pt>
                <c:pt idx="6">
                  <c:v>44341</c:v>
                </c:pt>
                <c:pt idx="7">
                  <c:v>44342</c:v>
                </c:pt>
                <c:pt idx="8">
                  <c:v>44349</c:v>
                </c:pt>
                <c:pt idx="9">
                  <c:v>44350</c:v>
                </c:pt>
                <c:pt idx="10">
                  <c:v>44355</c:v>
                </c:pt>
                <c:pt idx="11">
                  <c:v>44356</c:v>
                </c:pt>
                <c:pt idx="12">
                  <c:v>44362</c:v>
                </c:pt>
                <c:pt idx="13">
                  <c:v>44363</c:v>
                </c:pt>
                <c:pt idx="14">
                  <c:v>44369</c:v>
                </c:pt>
                <c:pt idx="15">
                  <c:v>44370</c:v>
                </c:pt>
                <c:pt idx="16">
                  <c:v>44384</c:v>
                </c:pt>
                <c:pt idx="17">
                  <c:v>44385</c:v>
                </c:pt>
                <c:pt idx="18">
                  <c:v>44390</c:v>
                </c:pt>
                <c:pt idx="19">
                  <c:v>44391</c:v>
                </c:pt>
                <c:pt idx="20">
                  <c:v>44397</c:v>
                </c:pt>
                <c:pt idx="21">
                  <c:v>44398</c:v>
                </c:pt>
                <c:pt idx="22">
                  <c:v>44404</c:v>
                </c:pt>
                <c:pt idx="23">
                  <c:v>44405</c:v>
                </c:pt>
                <c:pt idx="24">
                  <c:v>44411</c:v>
                </c:pt>
                <c:pt idx="25">
                  <c:v>44412</c:v>
                </c:pt>
                <c:pt idx="26">
                  <c:v>44418</c:v>
                </c:pt>
                <c:pt idx="27">
                  <c:v>44419</c:v>
                </c:pt>
                <c:pt idx="28">
                  <c:v>44425</c:v>
                </c:pt>
                <c:pt idx="29">
                  <c:v>44426</c:v>
                </c:pt>
                <c:pt idx="30">
                  <c:v>44432</c:v>
                </c:pt>
                <c:pt idx="31">
                  <c:v>44433</c:v>
                </c:pt>
              </c:numCache>
            </c:numRef>
          </c:cat>
          <c:val>
            <c:numRef>
              <c:f>Physicochemical_Managed!$W$144:$W$175</c:f>
              <c:numCache>
                <c:formatCode>0.000</c:formatCode>
                <c:ptCount val="32"/>
                <c:pt idx="0">
                  <c:v>5.0000000000000001E-3</c:v>
                </c:pt>
                <c:pt idx="1">
                  <c:v>6.0000000000000001E-3</c:v>
                </c:pt>
                <c:pt idx="2">
                  <c:v>6.0000000000000001E-3</c:v>
                </c:pt>
                <c:pt idx="3">
                  <c:v>7.0000000000000001E-3</c:v>
                </c:pt>
                <c:pt idx="4">
                  <c:v>6.0000000000000001E-3</c:v>
                </c:pt>
                <c:pt idx="5">
                  <c:v>6.5000000000000006E-3</c:v>
                </c:pt>
                <c:pt idx="6">
                  <c:v>8.0000000000000002E-3</c:v>
                </c:pt>
                <c:pt idx="7">
                  <c:v>7.0000000000000001E-3</c:v>
                </c:pt>
                <c:pt idx="8">
                  <c:v>6.0000000000000001E-3</c:v>
                </c:pt>
                <c:pt idx="9">
                  <c:v>7.0000000000000001E-3</c:v>
                </c:pt>
                <c:pt idx="10">
                  <c:v>6.0000000000000001E-3</c:v>
                </c:pt>
                <c:pt idx="11">
                  <c:v>6.0000000000000001E-3</c:v>
                </c:pt>
                <c:pt idx="12">
                  <c:v>7.0000000000000001E-3</c:v>
                </c:pt>
                <c:pt idx="13">
                  <c:v>2.5000000000000001E-3</c:v>
                </c:pt>
                <c:pt idx="14">
                  <c:v>6.0000000000000001E-3</c:v>
                </c:pt>
                <c:pt idx="15">
                  <c:v>5.4999999999999997E-3</c:v>
                </c:pt>
                <c:pt idx="16">
                  <c:v>5.0000000000000001E-3</c:v>
                </c:pt>
                <c:pt idx="17">
                  <c:v>6.0000000000000001E-3</c:v>
                </c:pt>
                <c:pt idx="18">
                  <c:v>6.0000000000000001E-3</c:v>
                </c:pt>
                <c:pt idx="19">
                  <c:v>5.4999999999999997E-3</c:v>
                </c:pt>
                <c:pt idx="20">
                  <c:v>6.0000000000000001E-3</c:v>
                </c:pt>
                <c:pt idx="21">
                  <c:v>5.4999999999999997E-3</c:v>
                </c:pt>
                <c:pt idx="22">
                  <c:v>6.0000000000000001E-3</c:v>
                </c:pt>
                <c:pt idx="23">
                  <c:v>7.0000000000000001E-3</c:v>
                </c:pt>
                <c:pt idx="24">
                  <c:v>6.0000000000000001E-3</c:v>
                </c:pt>
                <c:pt idx="25">
                  <c:v>7.0000000000000001E-3</c:v>
                </c:pt>
                <c:pt idx="26">
                  <c:v>6.0000000000000001E-3</c:v>
                </c:pt>
                <c:pt idx="27">
                  <c:v>7.4999999999999997E-3</c:v>
                </c:pt>
                <c:pt idx="28">
                  <c:v>1E-3</c:v>
                </c:pt>
                <c:pt idx="29">
                  <c:v>2E-3</c:v>
                </c:pt>
                <c:pt idx="30">
                  <c:v>2E-3</c:v>
                </c:pt>
                <c:pt idx="31">
                  <c:v>4.5000000000000005E-3</c:v>
                </c:pt>
              </c:numCache>
            </c:numRef>
          </c:val>
          <c:smooth val="0"/>
          <c:extLst>
            <c:ext xmlns:c16="http://schemas.microsoft.com/office/drawing/2014/chart" uri="{C3380CC4-5D6E-409C-BE32-E72D297353CC}">
              <c16:uniqueId val="{00000001-225B-4FF2-B2B5-FEE700733886}"/>
            </c:ext>
          </c:extLst>
        </c:ser>
        <c:dLbls>
          <c:showLegendKey val="0"/>
          <c:showVal val="0"/>
          <c:showCatName val="0"/>
          <c:showSerName val="0"/>
          <c:showPercent val="0"/>
          <c:showBubbleSize val="0"/>
        </c:dLbls>
        <c:marker val="1"/>
        <c:smooth val="0"/>
        <c:axId val="403941288"/>
        <c:axId val="403917672"/>
      </c:lineChart>
      <c:lineChart>
        <c:grouping val="standard"/>
        <c:varyColors val="0"/>
        <c:ser>
          <c:idx val="1"/>
          <c:order val="2"/>
          <c:tx>
            <c:v>Orthophosphate</c:v>
          </c:tx>
          <c:spPr>
            <a:ln w="6350" cap="rnd">
              <a:solidFill>
                <a:schemeClr val="tx1"/>
              </a:solidFill>
              <a:round/>
            </a:ln>
            <a:effectLst/>
          </c:spPr>
          <c:marker>
            <c:symbol val="square"/>
            <c:size val="6"/>
            <c:spPr>
              <a:noFill/>
              <a:ln w="12700">
                <a:solidFill>
                  <a:schemeClr val="tx1"/>
                </a:solidFill>
              </a:ln>
              <a:effectLst/>
            </c:spPr>
          </c:marker>
          <c:cat>
            <c:numRef>
              <c:f>Physicochemical_Managed!$O$144:$O$175</c:f>
              <c:numCache>
                <c:formatCode>mm/dd/yyyy</c:formatCode>
                <c:ptCount val="32"/>
                <c:pt idx="0">
                  <c:v>44293</c:v>
                </c:pt>
                <c:pt idx="1">
                  <c:v>44306</c:v>
                </c:pt>
                <c:pt idx="2">
                  <c:v>44313</c:v>
                </c:pt>
                <c:pt idx="3">
                  <c:v>44327</c:v>
                </c:pt>
                <c:pt idx="4">
                  <c:v>44334</c:v>
                </c:pt>
                <c:pt idx="5">
                  <c:v>44335</c:v>
                </c:pt>
                <c:pt idx="6">
                  <c:v>44341</c:v>
                </c:pt>
                <c:pt idx="7">
                  <c:v>44342</c:v>
                </c:pt>
                <c:pt idx="8">
                  <c:v>44349</c:v>
                </c:pt>
                <c:pt idx="9">
                  <c:v>44350</c:v>
                </c:pt>
                <c:pt idx="10">
                  <c:v>44355</c:v>
                </c:pt>
                <c:pt idx="11">
                  <c:v>44356</c:v>
                </c:pt>
                <c:pt idx="12">
                  <c:v>44362</c:v>
                </c:pt>
                <c:pt idx="13">
                  <c:v>44363</c:v>
                </c:pt>
                <c:pt idx="14">
                  <c:v>44369</c:v>
                </c:pt>
                <c:pt idx="15">
                  <c:v>44370</c:v>
                </c:pt>
                <c:pt idx="16">
                  <c:v>44384</c:v>
                </c:pt>
                <c:pt idx="17">
                  <c:v>44385</c:v>
                </c:pt>
                <c:pt idx="18">
                  <c:v>44390</c:v>
                </c:pt>
                <c:pt idx="19">
                  <c:v>44391</c:v>
                </c:pt>
                <c:pt idx="20">
                  <c:v>44397</c:v>
                </c:pt>
                <c:pt idx="21">
                  <c:v>44398</c:v>
                </c:pt>
                <c:pt idx="22">
                  <c:v>44404</c:v>
                </c:pt>
                <c:pt idx="23">
                  <c:v>44405</c:v>
                </c:pt>
                <c:pt idx="24">
                  <c:v>44411</c:v>
                </c:pt>
                <c:pt idx="25">
                  <c:v>44412</c:v>
                </c:pt>
                <c:pt idx="26">
                  <c:v>44418</c:v>
                </c:pt>
                <c:pt idx="27">
                  <c:v>44419</c:v>
                </c:pt>
                <c:pt idx="28">
                  <c:v>44425</c:v>
                </c:pt>
                <c:pt idx="29">
                  <c:v>44426</c:v>
                </c:pt>
                <c:pt idx="30">
                  <c:v>44432</c:v>
                </c:pt>
                <c:pt idx="31">
                  <c:v>44433</c:v>
                </c:pt>
              </c:numCache>
            </c:numRef>
          </c:cat>
          <c:val>
            <c:numRef>
              <c:f>Physicochemical_Managed!$X$144:$X$175</c:f>
              <c:numCache>
                <c:formatCode>0.000</c:formatCode>
                <c:ptCount val="32"/>
                <c:pt idx="0">
                  <c:v>0.35499999999999998</c:v>
                </c:pt>
                <c:pt idx="1">
                  <c:v>0.39</c:v>
                </c:pt>
                <c:pt idx="2">
                  <c:v>0.36</c:v>
                </c:pt>
                <c:pt idx="3">
                  <c:v>0.34</c:v>
                </c:pt>
                <c:pt idx="4">
                  <c:v>0.38</c:v>
                </c:pt>
                <c:pt idx="5">
                  <c:v>0.38</c:v>
                </c:pt>
                <c:pt idx="6">
                  <c:v>0.38</c:v>
                </c:pt>
                <c:pt idx="7">
                  <c:v>0.32999999999999996</c:v>
                </c:pt>
                <c:pt idx="8">
                  <c:v>0.35</c:v>
                </c:pt>
                <c:pt idx="9">
                  <c:v>0.41000000000000003</c:v>
                </c:pt>
                <c:pt idx="10">
                  <c:v>0.41</c:v>
                </c:pt>
                <c:pt idx="11">
                  <c:v>0.39</c:v>
                </c:pt>
                <c:pt idx="12">
                  <c:v>0.42</c:v>
                </c:pt>
                <c:pt idx="13">
                  <c:v>0.44</c:v>
                </c:pt>
                <c:pt idx="14">
                  <c:v>0.43</c:v>
                </c:pt>
                <c:pt idx="15">
                  <c:v>0.42</c:v>
                </c:pt>
                <c:pt idx="16">
                  <c:v>0.46</c:v>
                </c:pt>
                <c:pt idx="17">
                  <c:v>0.47499999999999998</c:v>
                </c:pt>
                <c:pt idx="18">
                  <c:v>0.45</c:v>
                </c:pt>
                <c:pt idx="19">
                  <c:v>0.45499999999999996</c:v>
                </c:pt>
                <c:pt idx="20">
                  <c:v>0.54</c:v>
                </c:pt>
                <c:pt idx="21">
                  <c:v>0.49</c:v>
                </c:pt>
                <c:pt idx="22">
                  <c:v>0.49</c:v>
                </c:pt>
                <c:pt idx="23">
                  <c:v>0.44999999999999996</c:v>
                </c:pt>
                <c:pt idx="24">
                  <c:v>0.44</c:v>
                </c:pt>
                <c:pt idx="25">
                  <c:v>0.47</c:v>
                </c:pt>
                <c:pt idx="26">
                  <c:v>0.48</c:v>
                </c:pt>
                <c:pt idx="27">
                  <c:v>0.5</c:v>
                </c:pt>
                <c:pt idx="28">
                  <c:v>0.43</c:v>
                </c:pt>
                <c:pt idx="29">
                  <c:v>0.375</c:v>
                </c:pt>
                <c:pt idx="30">
                  <c:v>0.5</c:v>
                </c:pt>
                <c:pt idx="31">
                  <c:v>0.51</c:v>
                </c:pt>
              </c:numCache>
            </c:numRef>
          </c:val>
          <c:smooth val="0"/>
          <c:extLst>
            <c:ext xmlns:c16="http://schemas.microsoft.com/office/drawing/2014/chart" uri="{C3380CC4-5D6E-409C-BE32-E72D297353CC}">
              <c16:uniqueId val="{00000002-225B-4FF2-B2B5-FEE700733886}"/>
            </c:ext>
          </c:extLst>
        </c:ser>
        <c:dLbls>
          <c:showLegendKey val="0"/>
          <c:showVal val="0"/>
          <c:showCatName val="0"/>
          <c:showSerName val="0"/>
          <c:showPercent val="0"/>
          <c:showBubbleSize val="0"/>
        </c:dLbls>
        <c:marker val="1"/>
        <c:smooth val="0"/>
        <c:axId val="774072144"/>
        <c:axId val="780465376"/>
      </c:lineChart>
      <c:dateAx>
        <c:axId val="403941288"/>
        <c:scaling>
          <c:orientation val="minMax"/>
          <c:max val="44437"/>
          <c:min val="44287"/>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Sampling times--</a:t>
                </a:r>
                <a:r>
                  <a:rPr lang="en-US" b="1">
                    <a:solidFill>
                      <a:srgbClr val="FF0000"/>
                    </a:solidFill>
                  </a:rPr>
                  <a:t>RL</a:t>
                </a:r>
              </a:p>
            </c:rich>
          </c:tx>
          <c:layout>
            <c:manualLayout>
              <c:xMode val="edge"/>
              <c:yMode val="edge"/>
              <c:x val="0.39785997109175708"/>
              <c:y val="0.94951730232117781"/>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mm/dd/yyyy" sourceLinked="1"/>
        <c:majorTickMark val="out"/>
        <c:minorTickMark val="in"/>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03917672"/>
        <c:crosses val="autoZero"/>
        <c:auto val="1"/>
        <c:lblOffset val="100"/>
        <c:baseTimeUnit val="days"/>
        <c:majorUnit val="15"/>
        <c:majorTimeUnit val="days"/>
        <c:minorUnit val="5"/>
        <c:minorTimeUnit val="days"/>
      </c:dateAx>
      <c:valAx>
        <c:axId val="403917672"/>
        <c:scaling>
          <c:orientation val="minMax"/>
          <c:max val="0.30000000000000004"/>
          <c:min val="0"/>
        </c:scaling>
        <c:delete val="0"/>
        <c:axPos val="l"/>
        <c:majorGridlines>
          <c:spPr>
            <a:ln w="1270" cap="flat" cmpd="sng" algn="ctr">
              <a:solidFill>
                <a:schemeClr val="tx1"/>
              </a:solidFill>
              <a:prstDash val="solid"/>
              <a:round/>
            </a:ln>
            <a:effectLst/>
          </c:spPr>
        </c:majorGridlines>
        <c:minorGridlines>
          <c:spPr>
            <a:ln w="1270" cap="flat" cmpd="sng" algn="ctr">
              <a:solidFill>
                <a:schemeClr val="bg2">
                  <a:lumMod val="90000"/>
                </a:schemeClr>
              </a:solidFill>
              <a:prstDash val="dash"/>
              <a:round/>
            </a:ln>
            <a:effectLst/>
          </c:spPr>
        </c:min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Free</a:t>
                </a:r>
                <a:r>
                  <a:rPr lang="en-US" baseline="0"/>
                  <a:t> ammonia and nitrite</a:t>
                </a:r>
                <a:r>
                  <a:rPr lang="en-US"/>
                  <a:t> (mg N·L</a:t>
                </a:r>
                <a:r>
                  <a:rPr lang="en-US" baseline="30000"/>
                  <a:t>-1</a:t>
                </a:r>
                <a:r>
                  <a:rPr lang="en-US"/>
                  <a:t>)</a:t>
                </a:r>
              </a:p>
            </c:rich>
          </c:tx>
          <c:layout>
            <c:manualLayout>
              <c:xMode val="edge"/>
              <c:yMode val="edge"/>
              <c:x val="6.5976053561081385E-5"/>
              <c:y val="0.18783804212801333"/>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00" sourceLinked="0"/>
        <c:majorTickMark val="out"/>
        <c:minorTickMark val="in"/>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03941288"/>
        <c:crosses val="autoZero"/>
        <c:crossBetween val="between"/>
        <c:majorUnit val="5.000000000000001E-2"/>
        <c:minorUnit val="2.5000000000000005E-2"/>
      </c:valAx>
      <c:valAx>
        <c:axId val="780465376"/>
        <c:scaling>
          <c:orientation val="minMax"/>
          <c:max val="0.55000000000000004"/>
          <c:min val="0.30000000000000004"/>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Orthophosphate (</a:t>
                </a:r>
                <a:r>
                  <a:rPr lang="en-US" baseline="0"/>
                  <a:t>PO</a:t>
                </a:r>
                <a:r>
                  <a:rPr lang="en-US" baseline="-25000"/>
                  <a:t>4</a:t>
                </a:r>
                <a:r>
                  <a:rPr lang="en-US" baseline="30000"/>
                  <a:t>3-</a:t>
                </a:r>
                <a:r>
                  <a:rPr lang="en-US" baseline="0"/>
                  <a:t>·L</a:t>
                </a:r>
                <a:r>
                  <a:rPr lang="en-US" baseline="30000"/>
                  <a:t>-1</a:t>
                </a:r>
                <a:r>
                  <a:rPr lang="en-US"/>
                  <a:t>)</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00" sourceLinked="0"/>
        <c:majorTickMark val="out"/>
        <c:minorTickMark val="in"/>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74072144"/>
        <c:crosses val="max"/>
        <c:crossBetween val="between"/>
        <c:majorUnit val="5.000000000000001E-2"/>
        <c:minorUnit val="2.5000000000000005E-2"/>
      </c:valAx>
      <c:dateAx>
        <c:axId val="774072144"/>
        <c:scaling>
          <c:orientation val="minMax"/>
        </c:scaling>
        <c:delete val="1"/>
        <c:axPos val="b"/>
        <c:numFmt formatCode="mm/dd/yyyy" sourceLinked="1"/>
        <c:majorTickMark val="out"/>
        <c:minorTickMark val="none"/>
        <c:tickLblPos val="nextTo"/>
        <c:crossAx val="780465376"/>
        <c:crosses val="autoZero"/>
        <c:auto val="1"/>
        <c:lblOffset val="100"/>
        <c:baseTimeUnit val="days"/>
      </c:dateAx>
      <c:spPr>
        <a:noFill/>
        <a:ln w="19050">
          <a:solidFill>
            <a:schemeClr val="tx1"/>
          </a:solidFill>
        </a:ln>
        <a:effectLst/>
      </c:spPr>
    </c:plotArea>
    <c:legend>
      <c:legendPos val="r"/>
      <c:legendEntry>
        <c:idx val="0"/>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Entry>
      <c:layout>
        <c:manualLayout>
          <c:xMode val="edge"/>
          <c:yMode val="edge"/>
          <c:x val="0.15526555839645681"/>
          <c:y val="0.37309353233615672"/>
          <c:w val="0.22798312160438464"/>
          <c:h val="9.8627455336123951E-2"/>
        </c:manualLayout>
      </c:layout>
      <c:overlay val="0"/>
      <c:spPr>
        <a:solidFill>
          <a:schemeClr val="bg1"/>
        </a:solid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04646"/>
      </a:solid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13278008298755"/>
          <c:y val="3.6235046109691547E-2"/>
          <c:w val="0.77921161825726137"/>
          <c:h val="0.75850914427279748"/>
        </c:manualLayout>
      </c:layout>
      <c:lineChart>
        <c:grouping val="standard"/>
        <c:varyColors val="0"/>
        <c:ser>
          <c:idx val="3"/>
          <c:order val="0"/>
          <c:tx>
            <c:v>pH</c:v>
          </c:tx>
          <c:spPr>
            <a:ln w="6350" cap="rnd">
              <a:solidFill>
                <a:srgbClr val="F04646"/>
              </a:solidFill>
              <a:round/>
            </a:ln>
            <a:effectLst/>
          </c:spPr>
          <c:marker>
            <c:symbol val="circle"/>
            <c:size val="6"/>
            <c:spPr>
              <a:solidFill>
                <a:srgbClr val="F04646"/>
              </a:solidFill>
              <a:ln w="12700">
                <a:solidFill>
                  <a:srgbClr val="F04646"/>
                </a:solidFill>
              </a:ln>
              <a:effectLst/>
            </c:spPr>
          </c:marker>
          <c:cat>
            <c:numRef>
              <c:f>Physicochemical_Managed!$O$176:$O$207</c:f>
              <c:numCache>
                <c:formatCode>mm/dd/yyyy</c:formatCode>
                <c:ptCount val="32"/>
                <c:pt idx="0">
                  <c:v>44293</c:v>
                </c:pt>
                <c:pt idx="1">
                  <c:v>44306</c:v>
                </c:pt>
                <c:pt idx="2">
                  <c:v>44313</c:v>
                </c:pt>
                <c:pt idx="3">
                  <c:v>44327</c:v>
                </c:pt>
                <c:pt idx="4">
                  <c:v>44334</c:v>
                </c:pt>
                <c:pt idx="5">
                  <c:v>44335</c:v>
                </c:pt>
                <c:pt idx="6">
                  <c:v>44341</c:v>
                </c:pt>
                <c:pt idx="7">
                  <c:v>44342</c:v>
                </c:pt>
                <c:pt idx="8">
                  <c:v>44349</c:v>
                </c:pt>
                <c:pt idx="9">
                  <c:v>44350</c:v>
                </c:pt>
                <c:pt idx="10">
                  <c:v>44362</c:v>
                </c:pt>
                <c:pt idx="11">
                  <c:v>44363</c:v>
                </c:pt>
                <c:pt idx="12">
                  <c:v>44369</c:v>
                </c:pt>
                <c:pt idx="13">
                  <c:v>44370</c:v>
                </c:pt>
                <c:pt idx="14">
                  <c:v>44376</c:v>
                </c:pt>
                <c:pt idx="15">
                  <c:v>44377</c:v>
                </c:pt>
                <c:pt idx="16">
                  <c:v>44384</c:v>
                </c:pt>
                <c:pt idx="17">
                  <c:v>44385</c:v>
                </c:pt>
                <c:pt idx="18">
                  <c:v>44390</c:v>
                </c:pt>
                <c:pt idx="19">
                  <c:v>44391</c:v>
                </c:pt>
                <c:pt idx="20">
                  <c:v>44397</c:v>
                </c:pt>
                <c:pt idx="21">
                  <c:v>44398</c:v>
                </c:pt>
                <c:pt idx="22">
                  <c:v>44404</c:v>
                </c:pt>
                <c:pt idx="23">
                  <c:v>44405</c:v>
                </c:pt>
                <c:pt idx="24">
                  <c:v>44411</c:v>
                </c:pt>
                <c:pt idx="25">
                  <c:v>44412</c:v>
                </c:pt>
                <c:pt idx="26">
                  <c:v>44418</c:v>
                </c:pt>
                <c:pt idx="27">
                  <c:v>44419</c:v>
                </c:pt>
                <c:pt idx="28">
                  <c:v>44425</c:v>
                </c:pt>
                <c:pt idx="29">
                  <c:v>44426</c:v>
                </c:pt>
                <c:pt idx="30">
                  <c:v>44432</c:v>
                </c:pt>
                <c:pt idx="31">
                  <c:v>44433</c:v>
                </c:pt>
              </c:numCache>
            </c:numRef>
          </c:cat>
          <c:val>
            <c:numRef>
              <c:f>Physicochemical_Managed!$Q$176:$Q$207</c:f>
              <c:numCache>
                <c:formatCode>0.000</c:formatCode>
                <c:ptCount val="32"/>
                <c:pt idx="0">
                  <c:v>6.7750000000000004</c:v>
                </c:pt>
                <c:pt idx="1">
                  <c:v>6.61</c:v>
                </c:pt>
                <c:pt idx="2">
                  <c:v>6.74</c:v>
                </c:pt>
                <c:pt idx="3">
                  <c:v>6.79</c:v>
                </c:pt>
                <c:pt idx="4">
                  <c:v>6.8</c:v>
                </c:pt>
                <c:pt idx="5">
                  <c:v>6.7850000000000001</c:v>
                </c:pt>
                <c:pt idx="6">
                  <c:v>6.72</c:v>
                </c:pt>
                <c:pt idx="7">
                  <c:v>6.7050000000000001</c:v>
                </c:pt>
                <c:pt idx="8">
                  <c:v>6.76</c:v>
                </c:pt>
                <c:pt idx="9">
                  <c:v>6.7750000000000004</c:v>
                </c:pt>
                <c:pt idx="10">
                  <c:v>7.01</c:v>
                </c:pt>
                <c:pt idx="11">
                  <c:v>6.8900000000000006</c:v>
                </c:pt>
                <c:pt idx="12">
                  <c:v>6.94</c:v>
                </c:pt>
                <c:pt idx="13">
                  <c:v>7.0600000000000005</c:v>
                </c:pt>
                <c:pt idx="14">
                  <c:v>7.01</c:v>
                </c:pt>
                <c:pt idx="15">
                  <c:v>7.02</c:v>
                </c:pt>
                <c:pt idx="16">
                  <c:v>7.01</c:v>
                </c:pt>
                <c:pt idx="17">
                  <c:v>6.9949999999999992</c:v>
                </c:pt>
                <c:pt idx="18">
                  <c:v>6.9</c:v>
                </c:pt>
                <c:pt idx="19">
                  <c:v>6.9450000000000003</c:v>
                </c:pt>
                <c:pt idx="20">
                  <c:v>6.92</c:v>
                </c:pt>
                <c:pt idx="21">
                  <c:v>6.9250000000000007</c:v>
                </c:pt>
                <c:pt idx="22">
                  <c:v>6.9</c:v>
                </c:pt>
                <c:pt idx="23">
                  <c:v>6.915</c:v>
                </c:pt>
                <c:pt idx="24">
                  <c:v>6.85</c:v>
                </c:pt>
                <c:pt idx="25">
                  <c:v>6.875</c:v>
                </c:pt>
                <c:pt idx="26">
                  <c:v>6.85</c:v>
                </c:pt>
                <c:pt idx="27">
                  <c:v>6.87</c:v>
                </c:pt>
                <c:pt idx="28">
                  <c:v>6.9</c:v>
                </c:pt>
                <c:pt idx="29">
                  <c:v>6.8599999999999994</c:v>
                </c:pt>
                <c:pt idx="30">
                  <c:v>6.95</c:v>
                </c:pt>
                <c:pt idx="31">
                  <c:v>7.0049999999999999</c:v>
                </c:pt>
              </c:numCache>
            </c:numRef>
          </c:val>
          <c:smooth val="0"/>
          <c:extLst>
            <c:ext xmlns:c16="http://schemas.microsoft.com/office/drawing/2014/chart" uri="{C3380CC4-5D6E-409C-BE32-E72D297353CC}">
              <c16:uniqueId val="{00000000-E6E3-4074-8BD5-5757E4DB7D62}"/>
            </c:ext>
          </c:extLst>
        </c:ser>
        <c:dLbls>
          <c:showLegendKey val="0"/>
          <c:showVal val="0"/>
          <c:showCatName val="0"/>
          <c:showSerName val="0"/>
          <c:showPercent val="0"/>
          <c:showBubbleSize val="0"/>
        </c:dLbls>
        <c:marker val="1"/>
        <c:smooth val="0"/>
        <c:axId val="403941288"/>
        <c:axId val="403917672"/>
      </c:lineChart>
      <c:lineChart>
        <c:grouping val="standard"/>
        <c:varyColors val="0"/>
        <c:ser>
          <c:idx val="0"/>
          <c:order val="1"/>
          <c:tx>
            <c:v>Water temperature</c:v>
          </c:tx>
          <c:spPr>
            <a:ln w="6350" cap="rnd">
              <a:solidFill>
                <a:srgbClr val="5064E6"/>
              </a:solidFill>
              <a:round/>
            </a:ln>
            <a:effectLst/>
          </c:spPr>
          <c:marker>
            <c:symbol val="circle"/>
            <c:size val="6"/>
            <c:spPr>
              <a:noFill/>
              <a:ln w="12700">
                <a:solidFill>
                  <a:srgbClr val="5064E6">
                    <a:alpha val="95000"/>
                  </a:srgbClr>
                </a:solidFill>
              </a:ln>
              <a:effectLst/>
            </c:spPr>
          </c:marker>
          <c:cat>
            <c:numRef>
              <c:f>Physicochemical_Managed!$O$176:$O$207</c:f>
              <c:numCache>
                <c:formatCode>mm/dd/yyyy</c:formatCode>
                <c:ptCount val="32"/>
                <c:pt idx="0">
                  <c:v>44293</c:v>
                </c:pt>
                <c:pt idx="1">
                  <c:v>44306</c:v>
                </c:pt>
                <c:pt idx="2">
                  <c:v>44313</c:v>
                </c:pt>
                <c:pt idx="3">
                  <c:v>44327</c:v>
                </c:pt>
                <c:pt idx="4">
                  <c:v>44334</c:v>
                </c:pt>
                <c:pt idx="5">
                  <c:v>44335</c:v>
                </c:pt>
                <c:pt idx="6">
                  <c:v>44341</c:v>
                </c:pt>
                <c:pt idx="7">
                  <c:v>44342</c:v>
                </c:pt>
                <c:pt idx="8">
                  <c:v>44349</c:v>
                </c:pt>
                <c:pt idx="9">
                  <c:v>44350</c:v>
                </c:pt>
                <c:pt idx="10">
                  <c:v>44362</c:v>
                </c:pt>
                <c:pt idx="11">
                  <c:v>44363</c:v>
                </c:pt>
                <c:pt idx="12">
                  <c:v>44369</c:v>
                </c:pt>
                <c:pt idx="13">
                  <c:v>44370</c:v>
                </c:pt>
                <c:pt idx="14">
                  <c:v>44376</c:v>
                </c:pt>
                <c:pt idx="15">
                  <c:v>44377</c:v>
                </c:pt>
                <c:pt idx="16">
                  <c:v>44384</c:v>
                </c:pt>
                <c:pt idx="17">
                  <c:v>44385</c:v>
                </c:pt>
                <c:pt idx="18">
                  <c:v>44390</c:v>
                </c:pt>
                <c:pt idx="19">
                  <c:v>44391</c:v>
                </c:pt>
                <c:pt idx="20">
                  <c:v>44397</c:v>
                </c:pt>
                <c:pt idx="21">
                  <c:v>44398</c:v>
                </c:pt>
                <c:pt idx="22">
                  <c:v>44404</c:v>
                </c:pt>
                <c:pt idx="23">
                  <c:v>44405</c:v>
                </c:pt>
                <c:pt idx="24">
                  <c:v>44411</c:v>
                </c:pt>
                <c:pt idx="25">
                  <c:v>44412</c:v>
                </c:pt>
                <c:pt idx="26">
                  <c:v>44418</c:v>
                </c:pt>
                <c:pt idx="27">
                  <c:v>44419</c:v>
                </c:pt>
                <c:pt idx="28">
                  <c:v>44425</c:v>
                </c:pt>
                <c:pt idx="29">
                  <c:v>44426</c:v>
                </c:pt>
                <c:pt idx="30">
                  <c:v>44432</c:v>
                </c:pt>
                <c:pt idx="31">
                  <c:v>44433</c:v>
                </c:pt>
              </c:numCache>
            </c:numRef>
          </c:cat>
          <c:val>
            <c:numRef>
              <c:f>Physicochemical_Managed!$R$176:$R$207</c:f>
              <c:numCache>
                <c:formatCode>0.000</c:formatCode>
                <c:ptCount val="32"/>
                <c:pt idx="0">
                  <c:v>22.35</c:v>
                </c:pt>
                <c:pt idx="1">
                  <c:v>19</c:v>
                </c:pt>
                <c:pt idx="2">
                  <c:v>22.6</c:v>
                </c:pt>
                <c:pt idx="3">
                  <c:v>24.7</c:v>
                </c:pt>
                <c:pt idx="4">
                  <c:v>22.7</c:v>
                </c:pt>
                <c:pt idx="5">
                  <c:v>22.85</c:v>
                </c:pt>
                <c:pt idx="6">
                  <c:v>22.2</c:v>
                </c:pt>
                <c:pt idx="7">
                  <c:v>23.15</c:v>
                </c:pt>
                <c:pt idx="8">
                  <c:v>24.3</c:v>
                </c:pt>
                <c:pt idx="9">
                  <c:v>23.799999999999997</c:v>
                </c:pt>
                <c:pt idx="10">
                  <c:v>27.9</c:v>
                </c:pt>
                <c:pt idx="11">
                  <c:v>24.35</c:v>
                </c:pt>
                <c:pt idx="12">
                  <c:v>23.8</c:v>
                </c:pt>
                <c:pt idx="13">
                  <c:v>24.5</c:v>
                </c:pt>
                <c:pt idx="14">
                  <c:v>23.8</c:v>
                </c:pt>
                <c:pt idx="15">
                  <c:v>24.1</c:v>
                </c:pt>
                <c:pt idx="16">
                  <c:v>24.4</c:v>
                </c:pt>
                <c:pt idx="17">
                  <c:v>24.4</c:v>
                </c:pt>
                <c:pt idx="18">
                  <c:v>23.7</c:v>
                </c:pt>
                <c:pt idx="19">
                  <c:v>24.2</c:v>
                </c:pt>
                <c:pt idx="20">
                  <c:v>24.4</c:v>
                </c:pt>
                <c:pt idx="21">
                  <c:v>24.299999999999997</c:v>
                </c:pt>
                <c:pt idx="22">
                  <c:v>24</c:v>
                </c:pt>
                <c:pt idx="23">
                  <c:v>24.725000000000001</c:v>
                </c:pt>
                <c:pt idx="24">
                  <c:v>24.3</c:v>
                </c:pt>
                <c:pt idx="25">
                  <c:v>24.6</c:v>
                </c:pt>
                <c:pt idx="26">
                  <c:v>23.9</c:v>
                </c:pt>
                <c:pt idx="27">
                  <c:v>24.65</c:v>
                </c:pt>
                <c:pt idx="28">
                  <c:v>24.4</c:v>
                </c:pt>
                <c:pt idx="29">
                  <c:v>24.9</c:v>
                </c:pt>
                <c:pt idx="30">
                  <c:v>24.6</c:v>
                </c:pt>
                <c:pt idx="31">
                  <c:v>24.45</c:v>
                </c:pt>
              </c:numCache>
            </c:numRef>
          </c:val>
          <c:smooth val="0"/>
          <c:extLst>
            <c:ext xmlns:c16="http://schemas.microsoft.com/office/drawing/2014/chart" uri="{C3380CC4-5D6E-409C-BE32-E72D297353CC}">
              <c16:uniqueId val="{00000001-E6E3-4074-8BD5-5757E4DB7D62}"/>
            </c:ext>
          </c:extLst>
        </c:ser>
        <c:dLbls>
          <c:showLegendKey val="0"/>
          <c:showVal val="0"/>
          <c:showCatName val="0"/>
          <c:showSerName val="0"/>
          <c:showPercent val="0"/>
          <c:showBubbleSize val="0"/>
        </c:dLbls>
        <c:marker val="1"/>
        <c:smooth val="0"/>
        <c:axId val="559296576"/>
        <c:axId val="559299528"/>
      </c:lineChart>
      <c:dateAx>
        <c:axId val="403941288"/>
        <c:scaling>
          <c:orientation val="minMax"/>
          <c:max val="44437"/>
          <c:min val="44287"/>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Sampling times--</a:t>
                </a:r>
                <a:r>
                  <a:rPr lang="en-US" b="1">
                    <a:solidFill>
                      <a:srgbClr val="FF0000"/>
                    </a:solidFill>
                  </a:rPr>
                  <a:t>RS</a:t>
                </a:r>
              </a:p>
            </c:rich>
          </c:tx>
          <c:layout>
            <c:manualLayout>
              <c:xMode val="edge"/>
              <c:yMode val="edge"/>
              <c:x val="0.40797950088956109"/>
              <c:y val="0.94951727294155164"/>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mm/dd/yyyy" sourceLinked="1"/>
        <c:majorTickMark val="out"/>
        <c:minorTickMark val="in"/>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03917672"/>
        <c:crosses val="autoZero"/>
        <c:auto val="1"/>
        <c:lblOffset val="100"/>
        <c:baseTimeUnit val="days"/>
        <c:majorUnit val="15"/>
        <c:majorTimeUnit val="days"/>
        <c:minorUnit val="5"/>
        <c:minorTimeUnit val="days"/>
      </c:dateAx>
      <c:valAx>
        <c:axId val="403917672"/>
        <c:scaling>
          <c:orientation val="minMax"/>
          <c:max val="7.1"/>
          <c:min val="6.6"/>
        </c:scaling>
        <c:delete val="0"/>
        <c:axPos val="l"/>
        <c:majorGridlines>
          <c:spPr>
            <a:ln w="1270" cap="flat" cmpd="sng" algn="ctr">
              <a:solidFill>
                <a:schemeClr val="tx1"/>
              </a:solidFill>
              <a:prstDash val="solid"/>
              <a:round/>
            </a:ln>
            <a:effectLst/>
          </c:spPr>
        </c:majorGridlines>
        <c:minorGridlines>
          <c:spPr>
            <a:ln w="1270" cap="flat" cmpd="sng" algn="ctr">
              <a:solidFill>
                <a:schemeClr val="bg2">
                  <a:lumMod val="90000"/>
                </a:schemeClr>
              </a:solidFill>
              <a:prstDash val="dash"/>
              <a:round/>
            </a:ln>
            <a:effectLst/>
          </c:spPr>
        </c:min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pH</a:t>
                </a:r>
              </a:p>
            </c:rich>
          </c:tx>
          <c:layout>
            <c:manualLayout>
              <c:xMode val="edge"/>
              <c:yMode val="edge"/>
              <c:x val="6.5976053561081385E-5"/>
              <c:y val="0.40005275279655506"/>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0" sourceLinked="0"/>
        <c:majorTickMark val="out"/>
        <c:minorTickMark val="in"/>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03941288"/>
        <c:crosses val="autoZero"/>
        <c:crossBetween val="between"/>
        <c:majorUnit val="0.1"/>
        <c:minorUnit val="5.000000000000001E-2"/>
      </c:valAx>
      <c:valAx>
        <c:axId val="559299528"/>
        <c:scaling>
          <c:orientation val="minMax"/>
          <c:max val="28.1"/>
          <c:min val="18"/>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sz="1200" b="0" i="0" baseline="0">
                    <a:solidFill>
                      <a:sysClr val="windowText" lastClr="000000"/>
                    </a:solidFill>
                    <a:effectLst/>
                  </a:rPr>
                  <a:t>Water temperature (°C)</a:t>
                </a:r>
                <a:endParaRPr lang="en-US" sz="1200">
                  <a:solidFill>
                    <a:sysClr val="windowText" lastClr="000000"/>
                  </a:solidFill>
                  <a:effectLst/>
                </a:endParaRPr>
              </a:p>
            </c:rich>
          </c:tx>
          <c:layout>
            <c:manualLayout>
              <c:xMode val="edge"/>
              <c:yMode val="edge"/>
              <c:x val="0.95648225881608995"/>
              <c:y val="0.28492426224667666"/>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 sourceLinked="0"/>
        <c:majorTickMark val="out"/>
        <c:minorTickMark val="in"/>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559296576"/>
        <c:crosses val="max"/>
        <c:crossBetween val="between"/>
        <c:majorUnit val="2"/>
        <c:minorUnit val="0.5"/>
      </c:valAx>
      <c:dateAx>
        <c:axId val="559296576"/>
        <c:scaling>
          <c:orientation val="minMax"/>
          <c:max val="44437"/>
          <c:min val="44287"/>
        </c:scaling>
        <c:delete val="0"/>
        <c:axPos val="t"/>
        <c:numFmt formatCode="mm/dd/yyyy"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bg1"/>
                </a:solidFill>
                <a:latin typeface="Times New Roman" panose="02020603050405020304" pitchFamily="18" charset="0"/>
                <a:ea typeface="+mn-ea"/>
                <a:cs typeface="Times New Roman" panose="02020603050405020304" pitchFamily="18" charset="0"/>
              </a:defRPr>
            </a:pPr>
            <a:endParaRPr lang="en-US"/>
          </a:p>
        </c:txPr>
        <c:crossAx val="559299528"/>
        <c:crosses val="max"/>
        <c:auto val="1"/>
        <c:lblOffset val="100"/>
        <c:baseTimeUnit val="days"/>
      </c:dateAx>
      <c:spPr>
        <a:noFill/>
        <a:ln w="19050">
          <a:solidFill>
            <a:schemeClr val="tx1"/>
          </a:solidFill>
        </a:ln>
        <a:effectLst/>
      </c:spPr>
    </c:plotArea>
    <c:legend>
      <c:legendPos val="r"/>
      <c:legendEntry>
        <c:idx val="0"/>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Entry>
      <c:layout>
        <c:manualLayout>
          <c:xMode val="edge"/>
          <c:yMode val="edge"/>
          <c:x val="0.10669188418047225"/>
          <c:y val="4.775371847569479E-2"/>
          <c:w val="0.27788173521483012"/>
          <c:h val="0.10788823449736565"/>
        </c:manualLayout>
      </c:layout>
      <c:overlay val="0"/>
      <c:spPr>
        <a:solidFill>
          <a:schemeClr val="bg1"/>
        </a:solid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04646"/>
      </a:solid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13278008298755"/>
          <c:y val="3.6235046109691547E-2"/>
          <c:w val="0.77921161825726137"/>
          <c:h val="0.75850914427279748"/>
        </c:manualLayout>
      </c:layout>
      <c:lineChart>
        <c:grouping val="standard"/>
        <c:varyColors val="0"/>
        <c:ser>
          <c:idx val="3"/>
          <c:order val="0"/>
          <c:tx>
            <c:v>Free chlorine</c:v>
          </c:tx>
          <c:spPr>
            <a:ln w="6350" cap="rnd">
              <a:solidFill>
                <a:srgbClr val="F04646"/>
              </a:solidFill>
              <a:round/>
            </a:ln>
            <a:effectLst/>
          </c:spPr>
          <c:marker>
            <c:symbol val="circle"/>
            <c:size val="6"/>
            <c:spPr>
              <a:solidFill>
                <a:srgbClr val="F04646"/>
              </a:solidFill>
              <a:ln w="12700">
                <a:solidFill>
                  <a:srgbClr val="F04646"/>
                </a:solidFill>
              </a:ln>
              <a:effectLst/>
            </c:spPr>
          </c:marker>
          <c:cat>
            <c:numRef>
              <c:f>Physicochemical_Managed!$O$176:$O$207</c:f>
              <c:numCache>
                <c:formatCode>mm/dd/yyyy</c:formatCode>
                <c:ptCount val="32"/>
                <c:pt idx="0">
                  <c:v>44293</c:v>
                </c:pt>
                <c:pt idx="1">
                  <c:v>44306</c:v>
                </c:pt>
                <c:pt idx="2">
                  <c:v>44313</c:v>
                </c:pt>
                <c:pt idx="3">
                  <c:v>44327</c:v>
                </c:pt>
                <c:pt idx="4">
                  <c:v>44334</c:v>
                </c:pt>
                <c:pt idx="5">
                  <c:v>44335</c:v>
                </c:pt>
                <c:pt idx="6">
                  <c:v>44341</c:v>
                </c:pt>
                <c:pt idx="7">
                  <c:v>44342</c:v>
                </c:pt>
                <c:pt idx="8">
                  <c:v>44349</c:v>
                </c:pt>
                <c:pt idx="9">
                  <c:v>44350</c:v>
                </c:pt>
                <c:pt idx="10">
                  <c:v>44362</c:v>
                </c:pt>
                <c:pt idx="11">
                  <c:v>44363</c:v>
                </c:pt>
                <c:pt idx="12">
                  <c:v>44369</c:v>
                </c:pt>
                <c:pt idx="13">
                  <c:v>44370</c:v>
                </c:pt>
                <c:pt idx="14">
                  <c:v>44376</c:v>
                </c:pt>
                <c:pt idx="15">
                  <c:v>44377</c:v>
                </c:pt>
                <c:pt idx="16">
                  <c:v>44384</c:v>
                </c:pt>
                <c:pt idx="17">
                  <c:v>44385</c:v>
                </c:pt>
                <c:pt idx="18">
                  <c:v>44390</c:v>
                </c:pt>
                <c:pt idx="19">
                  <c:v>44391</c:v>
                </c:pt>
                <c:pt idx="20">
                  <c:v>44397</c:v>
                </c:pt>
                <c:pt idx="21">
                  <c:v>44398</c:v>
                </c:pt>
                <c:pt idx="22">
                  <c:v>44404</c:v>
                </c:pt>
                <c:pt idx="23">
                  <c:v>44405</c:v>
                </c:pt>
                <c:pt idx="24">
                  <c:v>44411</c:v>
                </c:pt>
                <c:pt idx="25">
                  <c:v>44412</c:v>
                </c:pt>
                <c:pt idx="26">
                  <c:v>44418</c:v>
                </c:pt>
                <c:pt idx="27">
                  <c:v>44419</c:v>
                </c:pt>
                <c:pt idx="28">
                  <c:v>44425</c:v>
                </c:pt>
                <c:pt idx="29">
                  <c:v>44426</c:v>
                </c:pt>
                <c:pt idx="30">
                  <c:v>44432</c:v>
                </c:pt>
                <c:pt idx="31">
                  <c:v>44433</c:v>
                </c:pt>
              </c:numCache>
            </c:numRef>
          </c:cat>
          <c:val>
            <c:numRef>
              <c:f>Physicochemical_Managed!$S$176:$S$207</c:f>
              <c:numCache>
                <c:formatCode>0.000</c:formatCode>
                <c:ptCount val="32"/>
                <c:pt idx="0">
                  <c:v>2.5000000000000001E-2</c:v>
                </c:pt>
                <c:pt idx="1">
                  <c:v>0.09</c:v>
                </c:pt>
                <c:pt idx="2">
                  <c:v>0.06</c:v>
                </c:pt>
                <c:pt idx="3">
                  <c:v>0.06</c:v>
                </c:pt>
                <c:pt idx="4">
                  <c:v>0</c:v>
                </c:pt>
                <c:pt idx="5">
                  <c:v>0.08</c:v>
                </c:pt>
                <c:pt idx="6">
                  <c:v>0.08</c:v>
                </c:pt>
                <c:pt idx="7">
                  <c:v>0.05</c:v>
                </c:pt>
                <c:pt idx="8">
                  <c:v>7.0000000000000007E-2</c:v>
                </c:pt>
                <c:pt idx="9">
                  <c:v>0.13</c:v>
                </c:pt>
                <c:pt idx="10">
                  <c:v>0.14000000000000001</c:v>
                </c:pt>
                <c:pt idx="11">
                  <c:v>0.02</c:v>
                </c:pt>
                <c:pt idx="12">
                  <c:v>1.7</c:v>
                </c:pt>
                <c:pt idx="13">
                  <c:v>1.375</c:v>
                </c:pt>
                <c:pt idx="14">
                  <c:v>1.37</c:v>
                </c:pt>
                <c:pt idx="15">
                  <c:v>1.45</c:v>
                </c:pt>
                <c:pt idx="16">
                  <c:v>1.74</c:v>
                </c:pt>
                <c:pt idx="17">
                  <c:v>1.2050000000000001</c:v>
                </c:pt>
                <c:pt idx="18">
                  <c:v>1.84</c:v>
                </c:pt>
                <c:pt idx="19">
                  <c:v>1.76</c:v>
                </c:pt>
                <c:pt idx="20">
                  <c:v>1.58</c:v>
                </c:pt>
                <c:pt idx="21">
                  <c:v>1.7349999999999999</c:v>
                </c:pt>
                <c:pt idx="22">
                  <c:v>1.37</c:v>
                </c:pt>
                <c:pt idx="23">
                  <c:v>0.05</c:v>
                </c:pt>
                <c:pt idx="24">
                  <c:v>0</c:v>
                </c:pt>
                <c:pt idx="25">
                  <c:v>7.0000000000000007E-2</c:v>
                </c:pt>
                <c:pt idx="26">
                  <c:v>0.11</c:v>
                </c:pt>
                <c:pt idx="27">
                  <c:v>6.5000000000000002E-2</c:v>
                </c:pt>
                <c:pt idx="28">
                  <c:v>0.09</c:v>
                </c:pt>
                <c:pt idx="29">
                  <c:v>0.05</c:v>
                </c:pt>
                <c:pt idx="30">
                  <c:v>0.04</c:v>
                </c:pt>
                <c:pt idx="31">
                  <c:v>0.08</c:v>
                </c:pt>
              </c:numCache>
            </c:numRef>
          </c:val>
          <c:smooth val="0"/>
          <c:extLst>
            <c:ext xmlns:c16="http://schemas.microsoft.com/office/drawing/2014/chart" uri="{C3380CC4-5D6E-409C-BE32-E72D297353CC}">
              <c16:uniqueId val="{00000000-4B03-42A0-BC04-16A9EFE940CA}"/>
            </c:ext>
          </c:extLst>
        </c:ser>
        <c:ser>
          <c:idx val="0"/>
          <c:order val="1"/>
          <c:tx>
            <c:v>Monochloramine</c:v>
          </c:tx>
          <c:spPr>
            <a:ln w="6350" cap="rnd">
              <a:solidFill>
                <a:srgbClr val="5064E6"/>
              </a:solidFill>
              <a:round/>
            </a:ln>
            <a:effectLst/>
          </c:spPr>
          <c:marker>
            <c:symbol val="circle"/>
            <c:size val="6"/>
            <c:spPr>
              <a:noFill/>
              <a:ln w="12700">
                <a:solidFill>
                  <a:srgbClr val="5064E6">
                    <a:alpha val="95000"/>
                  </a:srgbClr>
                </a:solidFill>
              </a:ln>
              <a:effectLst/>
            </c:spPr>
          </c:marker>
          <c:cat>
            <c:numRef>
              <c:f>Physicochemical_Managed!$O$176:$O$207</c:f>
              <c:numCache>
                <c:formatCode>mm/dd/yyyy</c:formatCode>
                <c:ptCount val="32"/>
                <c:pt idx="0">
                  <c:v>44293</c:v>
                </c:pt>
                <c:pt idx="1">
                  <c:v>44306</c:v>
                </c:pt>
                <c:pt idx="2">
                  <c:v>44313</c:v>
                </c:pt>
                <c:pt idx="3">
                  <c:v>44327</c:v>
                </c:pt>
                <c:pt idx="4">
                  <c:v>44334</c:v>
                </c:pt>
                <c:pt idx="5">
                  <c:v>44335</c:v>
                </c:pt>
                <c:pt idx="6">
                  <c:v>44341</c:v>
                </c:pt>
                <c:pt idx="7">
                  <c:v>44342</c:v>
                </c:pt>
                <c:pt idx="8">
                  <c:v>44349</c:v>
                </c:pt>
                <c:pt idx="9">
                  <c:v>44350</c:v>
                </c:pt>
                <c:pt idx="10">
                  <c:v>44362</c:v>
                </c:pt>
                <c:pt idx="11">
                  <c:v>44363</c:v>
                </c:pt>
                <c:pt idx="12">
                  <c:v>44369</c:v>
                </c:pt>
                <c:pt idx="13">
                  <c:v>44370</c:v>
                </c:pt>
                <c:pt idx="14">
                  <c:v>44376</c:v>
                </c:pt>
                <c:pt idx="15">
                  <c:v>44377</c:v>
                </c:pt>
                <c:pt idx="16">
                  <c:v>44384</c:v>
                </c:pt>
                <c:pt idx="17">
                  <c:v>44385</c:v>
                </c:pt>
                <c:pt idx="18">
                  <c:v>44390</c:v>
                </c:pt>
                <c:pt idx="19">
                  <c:v>44391</c:v>
                </c:pt>
                <c:pt idx="20">
                  <c:v>44397</c:v>
                </c:pt>
                <c:pt idx="21">
                  <c:v>44398</c:v>
                </c:pt>
                <c:pt idx="22">
                  <c:v>44404</c:v>
                </c:pt>
                <c:pt idx="23">
                  <c:v>44405</c:v>
                </c:pt>
                <c:pt idx="24">
                  <c:v>44411</c:v>
                </c:pt>
                <c:pt idx="25">
                  <c:v>44412</c:v>
                </c:pt>
                <c:pt idx="26">
                  <c:v>44418</c:v>
                </c:pt>
                <c:pt idx="27">
                  <c:v>44419</c:v>
                </c:pt>
                <c:pt idx="28">
                  <c:v>44425</c:v>
                </c:pt>
                <c:pt idx="29">
                  <c:v>44426</c:v>
                </c:pt>
                <c:pt idx="30">
                  <c:v>44432</c:v>
                </c:pt>
                <c:pt idx="31">
                  <c:v>44433</c:v>
                </c:pt>
              </c:numCache>
            </c:numRef>
          </c:cat>
          <c:val>
            <c:numRef>
              <c:f>Physicochemical_Managed!$T$176:$T$207</c:f>
              <c:numCache>
                <c:formatCode>0.000</c:formatCode>
                <c:ptCount val="32"/>
                <c:pt idx="0">
                  <c:v>1.6400000000000001</c:v>
                </c:pt>
                <c:pt idx="1">
                  <c:v>1.42</c:v>
                </c:pt>
                <c:pt idx="2">
                  <c:v>1.29</c:v>
                </c:pt>
                <c:pt idx="3">
                  <c:v>1.1599999999999999</c:v>
                </c:pt>
                <c:pt idx="4">
                  <c:v>1.1499999999999999</c:v>
                </c:pt>
                <c:pt idx="5">
                  <c:v>1.01</c:v>
                </c:pt>
                <c:pt idx="6">
                  <c:v>1.05</c:v>
                </c:pt>
                <c:pt idx="7">
                  <c:v>0.90500000000000003</c:v>
                </c:pt>
                <c:pt idx="8">
                  <c:v>1.08</c:v>
                </c:pt>
                <c:pt idx="9">
                  <c:v>0.69</c:v>
                </c:pt>
                <c:pt idx="10">
                  <c:v>0.09</c:v>
                </c:pt>
                <c:pt idx="11">
                  <c:v>1.4999999999999999E-2</c:v>
                </c:pt>
                <c:pt idx="12">
                  <c:v>0.02</c:v>
                </c:pt>
                <c:pt idx="13">
                  <c:v>0.28500000000000003</c:v>
                </c:pt>
                <c:pt idx="14">
                  <c:v>0.02</c:v>
                </c:pt>
                <c:pt idx="15">
                  <c:v>0.06</c:v>
                </c:pt>
                <c:pt idx="16">
                  <c:v>0</c:v>
                </c:pt>
                <c:pt idx="17">
                  <c:v>0.01</c:v>
                </c:pt>
                <c:pt idx="18">
                  <c:v>0.02</c:v>
                </c:pt>
                <c:pt idx="19">
                  <c:v>0.01</c:v>
                </c:pt>
                <c:pt idx="20">
                  <c:v>0.01</c:v>
                </c:pt>
                <c:pt idx="21">
                  <c:v>0.01</c:v>
                </c:pt>
                <c:pt idx="22">
                  <c:v>0.02</c:v>
                </c:pt>
                <c:pt idx="23">
                  <c:v>0.60499999999999998</c:v>
                </c:pt>
                <c:pt idx="24">
                  <c:v>1.1299999999999999</c:v>
                </c:pt>
                <c:pt idx="25">
                  <c:v>1.02</c:v>
                </c:pt>
                <c:pt idx="26">
                  <c:v>1.04</c:v>
                </c:pt>
                <c:pt idx="27">
                  <c:v>0.76500000000000001</c:v>
                </c:pt>
                <c:pt idx="28">
                  <c:v>0.95</c:v>
                </c:pt>
                <c:pt idx="29">
                  <c:v>0.92500000000000004</c:v>
                </c:pt>
                <c:pt idx="30">
                  <c:v>0.75</c:v>
                </c:pt>
                <c:pt idx="31">
                  <c:v>1.03</c:v>
                </c:pt>
              </c:numCache>
            </c:numRef>
          </c:val>
          <c:smooth val="0"/>
          <c:extLst>
            <c:ext xmlns:c16="http://schemas.microsoft.com/office/drawing/2014/chart" uri="{C3380CC4-5D6E-409C-BE32-E72D297353CC}">
              <c16:uniqueId val="{00000001-4B03-42A0-BC04-16A9EFE940CA}"/>
            </c:ext>
          </c:extLst>
        </c:ser>
        <c:ser>
          <c:idx val="1"/>
          <c:order val="2"/>
          <c:tx>
            <c:v>Total chlorine</c:v>
          </c:tx>
          <c:spPr>
            <a:ln w="6350" cap="rnd">
              <a:solidFill>
                <a:schemeClr val="tx1"/>
              </a:solidFill>
              <a:round/>
            </a:ln>
            <a:effectLst/>
          </c:spPr>
          <c:marker>
            <c:symbol val="square"/>
            <c:size val="6"/>
            <c:spPr>
              <a:noFill/>
              <a:ln w="12700">
                <a:solidFill>
                  <a:schemeClr val="tx1"/>
                </a:solidFill>
              </a:ln>
              <a:effectLst/>
            </c:spPr>
          </c:marker>
          <c:cat>
            <c:numRef>
              <c:f>Physicochemical_Managed!$O$176:$O$207</c:f>
              <c:numCache>
                <c:formatCode>mm/dd/yyyy</c:formatCode>
                <c:ptCount val="32"/>
                <c:pt idx="0">
                  <c:v>44293</c:v>
                </c:pt>
                <c:pt idx="1">
                  <c:v>44306</c:v>
                </c:pt>
                <c:pt idx="2">
                  <c:v>44313</c:v>
                </c:pt>
                <c:pt idx="3">
                  <c:v>44327</c:v>
                </c:pt>
                <c:pt idx="4">
                  <c:v>44334</c:v>
                </c:pt>
                <c:pt idx="5">
                  <c:v>44335</c:v>
                </c:pt>
                <c:pt idx="6">
                  <c:v>44341</c:v>
                </c:pt>
                <c:pt idx="7">
                  <c:v>44342</c:v>
                </c:pt>
                <c:pt idx="8">
                  <c:v>44349</c:v>
                </c:pt>
                <c:pt idx="9">
                  <c:v>44350</c:v>
                </c:pt>
                <c:pt idx="10">
                  <c:v>44362</c:v>
                </c:pt>
                <c:pt idx="11">
                  <c:v>44363</c:v>
                </c:pt>
                <c:pt idx="12">
                  <c:v>44369</c:v>
                </c:pt>
                <c:pt idx="13">
                  <c:v>44370</c:v>
                </c:pt>
                <c:pt idx="14">
                  <c:v>44376</c:v>
                </c:pt>
                <c:pt idx="15">
                  <c:v>44377</c:v>
                </c:pt>
                <c:pt idx="16">
                  <c:v>44384</c:v>
                </c:pt>
                <c:pt idx="17">
                  <c:v>44385</c:v>
                </c:pt>
                <c:pt idx="18">
                  <c:v>44390</c:v>
                </c:pt>
                <c:pt idx="19">
                  <c:v>44391</c:v>
                </c:pt>
                <c:pt idx="20">
                  <c:v>44397</c:v>
                </c:pt>
                <c:pt idx="21">
                  <c:v>44398</c:v>
                </c:pt>
                <c:pt idx="22">
                  <c:v>44404</c:v>
                </c:pt>
                <c:pt idx="23">
                  <c:v>44405</c:v>
                </c:pt>
                <c:pt idx="24">
                  <c:v>44411</c:v>
                </c:pt>
                <c:pt idx="25">
                  <c:v>44412</c:v>
                </c:pt>
                <c:pt idx="26">
                  <c:v>44418</c:v>
                </c:pt>
                <c:pt idx="27">
                  <c:v>44419</c:v>
                </c:pt>
                <c:pt idx="28">
                  <c:v>44425</c:v>
                </c:pt>
                <c:pt idx="29">
                  <c:v>44426</c:v>
                </c:pt>
                <c:pt idx="30">
                  <c:v>44432</c:v>
                </c:pt>
                <c:pt idx="31">
                  <c:v>44433</c:v>
                </c:pt>
              </c:numCache>
            </c:numRef>
          </c:cat>
          <c:val>
            <c:numRef>
              <c:f>Physicochemical_Managed!$U$176:$U$207</c:f>
              <c:numCache>
                <c:formatCode>0.000</c:formatCode>
                <c:ptCount val="32"/>
                <c:pt idx="0">
                  <c:v>2.125</c:v>
                </c:pt>
                <c:pt idx="1">
                  <c:v>1.95</c:v>
                </c:pt>
                <c:pt idx="2">
                  <c:v>1.35</c:v>
                </c:pt>
                <c:pt idx="3">
                  <c:v>1.08</c:v>
                </c:pt>
                <c:pt idx="4">
                  <c:v>1.42</c:v>
                </c:pt>
                <c:pt idx="5">
                  <c:v>1.0649999999999999</c:v>
                </c:pt>
                <c:pt idx="6">
                  <c:v>1.44</c:v>
                </c:pt>
                <c:pt idx="7">
                  <c:v>1.2450000000000001</c:v>
                </c:pt>
                <c:pt idx="8">
                  <c:v>1.29</c:v>
                </c:pt>
                <c:pt idx="9">
                  <c:v>0.64500000000000002</c:v>
                </c:pt>
                <c:pt idx="10">
                  <c:v>0.15</c:v>
                </c:pt>
                <c:pt idx="11">
                  <c:v>0.12</c:v>
                </c:pt>
                <c:pt idx="12">
                  <c:v>1.94</c:v>
                </c:pt>
                <c:pt idx="13">
                  <c:v>1.53</c:v>
                </c:pt>
                <c:pt idx="14">
                  <c:v>1.52</c:v>
                </c:pt>
                <c:pt idx="15">
                  <c:v>1.615</c:v>
                </c:pt>
                <c:pt idx="16">
                  <c:v>1.97</c:v>
                </c:pt>
                <c:pt idx="17">
                  <c:v>1.585</c:v>
                </c:pt>
                <c:pt idx="18">
                  <c:v>2.09</c:v>
                </c:pt>
                <c:pt idx="19">
                  <c:v>1.9350000000000001</c:v>
                </c:pt>
                <c:pt idx="20">
                  <c:v>2.11</c:v>
                </c:pt>
                <c:pt idx="21">
                  <c:v>1.9650000000000001</c:v>
                </c:pt>
                <c:pt idx="22">
                  <c:v>1.54</c:v>
                </c:pt>
                <c:pt idx="23">
                  <c:v>0.70500000000000007</c:v>
                </c:pt>
                <c:pt idx="24">
                  <c:v>1.25</c:v>
                </c:pt>
                <c:pt idx="25">
                  <c:v>1.105</c:v>
                </c:pt>
                <c:pt idx="26">
                  <c:v>0.93</c:v>
                </c:pt>
                <c:pt idx="27">
                  <c:v>0.67500000000000004</c:v>
                </c:pt>
                <c:pt idx="28">
                  <c:v>0.85</c:v>
                </c:pt>
                <c:pt idx="29">
                  <c:v>0.95499999999999996</c:v>
                </c:pt>
                <c:pt idx="30">
                  <c:v>0.6</c:v>
                </c:pt>
                <c:pt idx="31">
                  <c:v>0.89</c:v>
                </c:pt>
              </c:numCache>
            </c:numRef>
          </c:val>
          <c:smooth val="0"/>
          <c:extLst>
            <c:ext xmlns:c16="http://schemas.microsoft.com/office/drawing/2014/chart" uri="{C3380CC4-5D6E-409C-BE32-E72D297353CC}">
              <c16:uniqueId val="{00000002-4B03-42A0-BC04-16A9EFE940CA}"/>
            </c:ext>
          </c:extLst>
        </c:ser>
        <c:dLbls>
          <c:showLegendKey val="0"/>
          <c:showVal val="0"/>
          <c:showCatName val="0"/>
          <c:showSerName val="0"/>
          <c:showPercent val="0"/>
          <c:showBubbleSize val="0"/>
        </c:dLbls>
        <c:marker val="1"/>
        <c:smooth val="0"/>
        <c:axId val="403941288"/>
        <c:axId val="403917672"/>
      </c:lineChart>
      <c:dateAx>
        <c:axId val="403941288"/>
        <c:scaling>
          <c:orientation val="minMax"/>
          <c:max val="44437"/>
          <c:min val="44287"/>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Sampling times--</a:t>
                </a:r>
                <a:r>
                  <a:rPr lang="en-US" b="1">
                    <a:solidFill>
                      <a:srgbClr val="FF0000"/>
                    </a:solidFill>
                  </a:rPr>
                  <a:t>RS</a:t>
                </a:r>
              </a:p>
            </c:rich>
          </c:tx>
          <c:layout>
            <c:manualLayout>
              <c:xMode val="edge"/>
              <c:yMode val="edge"/>
              <c:x val="0.39785997109175708"/>
              <c:y val="0.94951730232117781"/>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mm/dd/yyyy" sourceLinked="1"/>
        <c:majorTickMark val="out"/>
        <c:minorTickMark val="in"/>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03917672"/>
        <c:crosses val="autoZero"/>
        <c:auto val="1"/>
        <c:lblOffset val="100"/>
        <c:baseTimeUnit val="days"/>
        <c:majorUnit val="15"/>
        <c:majorTimeUnit val="days"/>
        <c:minorUnit val="5"/>
        <c:minorTimeUnit val="days"/>
      </c:dateAx>
      <c:valAx>
        <c:axId val="403917672"/>
        <c:scaling>
          <c:orientation val="minMax"/>
          <c:max val="2.25"/>
          <c:min val="0"/>
        </c:scaling>
        <c:delete val="0"/>
        <c:axPos val="l"/>
        <c:majorGridlines>
          <c:spPr>
            <a:ln w="1270" cap="flat" cmpd="sng" algn="ctr">
              <a:solidFill>
                <a:schemeClr val="tx1"/>
              </a:solidFill>
              <a:prstDash val="solid"/>
              <a:round/>
            </a:ln>
            <a:effectLst/>
          </c:spPr>
        </c:majorGridlines>
        <c:minorGridlines>
          <c:spPr>
            <a:ln w="1270" cap="flat" cmpd="sng" algn="ctr">
              <a:solidFill>
                <a:schemeClr val="bg2">
                  <a:lumMod val="90000"/>
                </a:schemeClr>
              </a:solidFill>
              <a:prstDash val="dash"/>
              <a:round/>
            </a:ln>
            <a:effectLst/>
          </c:spPr>
        </c:min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Chlorine (mg Cl</a:t>
                </a:r>
                <a:r>
                  <a:rPr lang="en-US" baseline="-25000"/>
                  <a:t>2</a:t>
                </a:r>
                <a:r>
                  <a:rPr lang="en-US"/>
                  <a:t>·L</a:t>
                </a:r>
                <a:r>
                  <a:rPr lang="en-US" baseline="30000"/>
                  <a:t>-1</a:t>
                </a:r>
                <a:r>
                  <a:rPr lang="en-US"/>
                  <a:t>)</a:t>
                </a:r>
              </a:p>
            </c:rich>
          </c:tx>
          <c:layout>
            <c:manualLayout>
              <c:xMode val="edge"/>
              <c:yMode val="edge"/>
              <c:x val="6.5976053561081385E-5"/>
              <c:y val="0.26523399941299386"/>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0" sourceLinked="0"/>
        <c:majorTickMark val="out"/>
        <c:minorTickMark val="in"/>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03941288"/>
        <c:crosses val="autoZero"/>
        <c:crossBetween val="between"/>
        <c:majorUnit val="0.5"/>
        <c:minorUnit val="0.25"/>
      </c:valAx>
      <c:spPr>
        <a:noFill/>
        <a:ln w="19050">
          <a:solidFill>
            <a:schemeClr val="tx1"/>
          </a:solidFill>
        </a:ln>
        <a:effectLst/>
      </c:spPr>
    </c:plotArea>
    <c:legend>
      <c:legendPos val="r"/>
      <c:legendEntry>
        <c:idx val="0"/>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Entry>
      <c:layout>
        <c:manualLayout>
          <c:xMode val="edge"/>
          <c:yMode val="edge"/>
          <c:x val="0.11073969036513762"/>
          <c:y val="0.49714959948525889"/>
          <c:w val="0.22798312160438464"/>
          <c:h val="0.11352553820857748"/>
        </c:manualLayout>
      </c:layout>
      <c:overlay val="0"/>
      <c:spPr>
        <a:solidFill>
          <a:schemeClr val="bg1"/>
        </a:solid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04646"/>
      </a:solid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13278008298755"/>
          <c:y val="3.6235046109691547E-2"/>
          <c:w val="0.77921161825726137"/>
          <c:h val="0.75850914427279748"/>
        </c:manualLayout>
      </c:layout>
      <c:lineChart>
        <c:grouping val="standard"/>
        <c:varyColors val="0"/>
        <c:ser>
          <c:idx val="3"/>
          <c:order val="0"/>
          <c:tx>
            <c:v>Free ammonia</c:v>
          </c:tx>
          <c:spPr>
            <a:ln w="6350" cap="rnd">
              <a:solidFill>
                <a:srgbClr val="F04646"/>
              </a:solidFill>
              <a:round/>
            </a:ln>
            <a:effectLst/>
          </c:spPr>
          <c:marker>
            <c:symbol val="circle"/>
            <c:size val="6"/>
            <c:spPr>
              <a:solidFill>
                <a:srgbClr val="F04646"/>
              </a:solidFill>
              <a:ln w="12700">
                <a:solidFill>
                  <a:srgbClr val="F04646"/>
                </a:solidFill>
              </a:ln>
              <a:effectLst/>
            </c:spPr>
          </c:marker>
          <c:cat>
            <c:numRef>
              <c:f>Physicochemical_Managed!$O$176:$O$207</c:f>
              <c:numCache>
                <c:formatCode>mm/dd/yyyy</c:formatCode>
                <c:ptCount val="32"/>
                <c:pt idx="0">
                  <c:v>44293</c:v>
                </c:pt>
                <c:pt idx="1">
                  <c:v>44306</c:v>
                </c:pt>
                <c:pt idx="2">
                  <c:v>44313</c:v>
                </c:pt>
                <c:pt idx="3">
                  <c:v>44327</c:v>
                </c:pt>
                <c:pt idx="4">
                  <c:v>44334</c:v>
                </c:pt>
                <c:pt idx="5">
                  <c:v>44335</c:v>
                </c:pt>
                <c:pt idx="6">
                  <c:v>44341</c:v>
                </c:pt>
                <c:pt idx="7">
                  <c:v>44342</c:v>
                </c:pt>
                <c:pt idx="8">
                  <c:v>44349</c:v>
                </c:pt>
                <c:pt idx="9">
                  <c:v>44350</c:v>
                </c:pt>
                <c:pt idx="10">
                  <c:v>44362</c:v>
                </c:pt>
                <c:pt idx="11">
                  <c:v>44363</c:v>
                </c:pt>
                <c:pt idx="12">
                  <c:v>44369</c:v>
                </c:pt>
                <c:pt idx="13">
                  <c:v>44370</c:v>
                </c:pt>
                <c:pt idx="14">
                  <c:v>44376</c:v>
                </c:pt>
                <c:pt idx="15">
                  <c:v>44377</c:v>
                </c:pt>
                <c:pt idx="16">
                  <c:v>44384</c:v>
                </c:pt>
                <c:pt idx="17">
                  <c:v>44385</c:v>
                </c:pt>
                <c:pt idx="18">
                  <c:v>44390</c:v>
                </c:pt>
                <c:pt idx="19">
                  <c:v>44391</c:v>
                </c:pt>
                <c:pt idx="20">
                  <c:v>44397</c:v>
                </c:pt>
                <c:pt idx="21">
                  <c:v>44398</c:v>
                </c:pt>
                <c:pt idx="22">
                  <c:v>44404</c:v>
                </c:pt>
                <c:pt idx="23">
                  <c:v>44405</c:v>
                </c:pt>
                <c:pt idx="24">
                  <c:v>44411</c:v>
                </c:pt>
                <c:pt idx="25">
                  <c:v>44412</c:v>
                </c:pt>
                <c:pt idx="26">
                  <c:v>44418</c:v>
                </c:pt>
                <c:pt idx="27">
                  <c:v>44419</c:v>
                </c:pt>
                <c:pt idx="28">
                  <c:v>44425</c:v>
                </c:pt>
                <c:pt idx="29">
                  <c:v>44426</c:v>
                </c:pt>
                <c:pt idx="30">
                  <c:v>44432</c:v>
                </c:pt>
                <c:pt idx="31">
                  <c:v>44433</c:v>
                </c:pt>
              </c:numCache>
            </c:numRef>
          </c:cat>
          <c:val>
            <c:numRef>
              <c:f>Physicochemical_Managed!$V$176:$V$207</c:f>
              <c:numCache>
                <c:formatCode>0.000</c:formatCode>
                <c:ptCount val="32"/>
                <c:pt idx="0">
                  <c:v>0.23499999999999999</c:v>
                </c:pt>
                <c:pt idx="1">
                  <c:v>0.27</c:v>
                </c:pt>
                <c:pt idx="2">
                  <c:v>0.27</c:v>
                </c:pt>
                <c:pt idx="3">
                  <c:v>0.22</c:v>
                </c:pt>
                <c:pt idx="4">
                  <c:v>0.25</c:v>
                </c:pt>
                <c:pt idx="5">
                  <c:v>0.25</c:v>
                </c:pt>
                <c:pt idx="6">
                  <c:v>0.22</c:v>
                </c:pt>
                <c:pt idx="7">
                  <c:v>0.23499999999999999</c:v>
                </c:pt>
                <c:pt idx="8">
                  <c:v>0.24</c:v>
                </c:pt>
                <c:pt idx="9">
                  <c:v>0.33499999999999996</c:v>
                </c:pt>
                <c:pt idx="10">
                  <c:v>0.01</c:v>
                </c:pt>
                <c:pt idx="11">
                  <c:v>6.5000000000000002E-2</c:v>
                </c:pt>
                <c:pt idx="12">
                  <c:v>0.03</c:v>
                </c:pt>
                <c:pt idx="13">
                  <c:v>8.4999999999999992E-2</c:v>
                </c:pt>
                <c:pt idx="14">
                  <c:v>0.02</c:v>
                </c:pt>
                <c:pt idx="15">
                  <c:v>0.08</c:v>
                </c:pt>
                <c:pt idx="16">
                  <c:v>0.02</c:v>
                </c:pt>
                <c:pt idx="17">
                  <c:v>0.12000000000000001</c:v>
                </c:pt>
                <c:pt idx="18">
                  <c:v>0.02</c:v>
                </c:pt>
                <c:pt idx="19">
                  <c:v>3.5000000000000003E-2</c:v>
                </c:pt>
                <c:pt idx="20">
                  <c:v>0.03</c:v>
                </c:pt>
                <c:pt idx="21">
                  <c:v>0.02</c:v>
                </c:pt>
                <c:pt idx="22">
                  <c:v>0.04</c:v>
                </c:pt>
                <c:pt idx="23">
                  <c:v>0.15000000000000002</c:v>
                </c:pt>
                <c:pt idx="24">
                  <c:v>0.19</c:v>
                </c:pt>
                <c:pt idx="25">
                  <c:v>0.20500000000000002</c:v>
                </c:pt>
                <c:pt idx="26">
                  <c:v>0.21</c:v>
                </c:pt>
                <c:pt idx="27">
                  <c:v>0.24</c:v>
                </c:pt>
                <c:pt idx="28">
                  <c:v>0.19</c:v>
                </c:pt>
                <c:pt idx="29">
                  <c:v>0.23499999999999999</c:v>
                </c:pt>
                <c:pt idx="30">
                  <c:v>0.24</c:v>
                </c:pt>
                <c:pt idx="31">
                  <c:v>0.37</c:v>
                </c:pt>
              </c:numCache>
            </c:numRef>
          </c:val>
          <c:smooth val="0"/>
          <c:extLst>
            <c:ext xmlns:c16="http://schemas.microsoft.com/office/drawing/2014/chart" uri="{C3380CC4-5D6E-409C-BE32-E72D297353CC}">
              <c16:uniqueId val="{00000000-0FCB-4EC2-8082-688AEBFA68E9}"/>
            </c:ext>
          </c:extLst>
        </c:ser>
        <c:ser>
          <c:idx val="0"/>
          <c:order val="1"/>
          <c:tx>
            <c:v>Nitrite</c:v>
          </c:tx>
          <c:spPr>
            <a:ln w="6350" cap="rnd">
              <a:solidFill>
                <a:srgbClr val="5064E6"/>
              </a:solidFill>
              <a:round/>
            </a:ln>
            <a:effectLst/>
          </c:spPr>
          <c:marker>
            <c:symbol val="circle"/>
            <c:size val="6"/>
            <c:spPr>
              <a:noFill/>
              <a:ln w="12700">
                <a:solidFill>
                  <a:srgbClr val="5064E6">
                    <a:alpha val="95000"/>
                  </a:srgbClr>
                </a:solidFill>
              </a:ln>
              <a:effectLst/>
            </c:spPr>
          </c:marker>
          <c:cat>
            <c:numRef>
              <c:f>Physicochemical_Managed!$O$176:$O$207</c:f>
              <c:numCache>
                <c:formatCode>mm/dd/yyyy</c:formatCode>
                <c:ptCount val="32"/>
                <c:pt idx="0">
                  <c:v>44293</c:v>
                </c:pt>
                <c:pt idx="1">
                  <c:v>44306</c:v>
                </c:pt>
                <c:pt idx="2">
                  <c:v>44313</c:v>
                </c:pt>
                <c:pt idx="3">
                  <c:v>44327</c:v>
                </c:pt>
                <c:pt idx="4">
                  <c:v>44334</c:v>
                </c:pt>
                <c:pt idx="5">
                  <c:v>44335</c:v>
                </c:pt>
                <c:pt idx="6">
                  <c:v>44341</c:v>
                </c:pt>
                <c:pt idx="7">
                  <c:v>44342</c:v>
                </c:pt>
                <c:pt idx="8">
                  <c:v>44349</c:v>
                </c:pt>
                <c:pt idx="9">
                  <c:v>44350</c:v>
                </c:pt>
                <c:pt idx="10">
                  <c:v>44362</c:v>
                </c:pt>
                <c:pt idx="11">
                  <c:v>44363</c:v>
                </c:pt>
                <c:pt idx="12">
                  <c:v>44369</c:v>
                </c:pt>
                <c:pt idx="13">
                  <c:v>44370</c:v>
                </c:pt>
                <c:pt idx="14">
                  <c:v>44376</c:v>
                </c:pt>
                <c:pt idx="15">
                  <c:v>44377</c:v>
                </c:pt>
                <c:pt idx="16">
                  <c:v>44384</c:v>
                </c:pt>
                <c:pt idx="17">
                  <c:v>44385</c:v>
                </c:pt>
                <c:pt idx="18">
                  <c:v>44390</c:v>
                </c:pt>
                <c:pt idx="19">
                  <c:v>44391</c:v>
                </c:pt>
                <c:pt idx="20">
                  <c:v>44397</c:v>
                </c:pt>
                <c:pt idx="21">
                  <c:v>44398</c:v>
                </c:pt>
                <c:pt idx="22">
                  <c:v>44404</c:v>
                </c:pt>
                <c:pt idx="23">
                  <c:v>44405</c:v>
                </c:pt>
                <c:pt idx="24">
                  <c:v>44411</c:v>
                </c:pt>
                <c:pt idx="25">
                  <c:v>44412</c:v>
                </c:pt>
                <c:pt idx="26">
                  <c:v>44418</c:v>
                </c:pt>
                <c:pt idx="27">
                  <c:v>44419</c:v>
                </c:pt>
                <c:pt idx="28">
                  <c:v>44425</c:v>
                </c:pt>
                <c:pt idx="29">
                  <c:v>44426</c:v>
                </c:pt>
                <c:pt idx="30">
                  <c:v>44432</c:v>
                </c:pt>
                <c:pt idx="31">
                  <c:v>44433</c:v>
                </c:pt>
              </c:numCache>
            </c:numRef>
          </c:cat>
          <c:val>
            <c:numRef>
              <c:f>Physicochemical_Managed!$W$176:$W$207</c:f>
              <c:numCache>
                <c:formatCode>0.000</c:formatCode>
                <c:ptCount val="32"/>
                <c:pt idx="0">
                  <c:v>1.3000000000000001E-2</c:v>
                </c:pt>
                <c:pt idx="1">
                  <c:v>7.0000000000000001E-3</c:v>
                </c:pt>
                <c:pt idx="2">
                  <c:v>8.0000000000000002E-3</c:v>
                </c:pt>
                <c:pt idx="3">
                  <c:v>6.0000000000000001E-3</c:v>
                </c:pt>
                <c:pt idx="4">
                  <c:v>6.0000000000000001E-3</c:v>
                </c:pt>
                <c:pt idx="5">
                  <c:v>7.4999999999999997E-3</c:v>
                </c:pt>
                <c:pt idx="6">
                  <c:v>4.0000000000000001E-3</c:v>
                </c:pt>
                <c:pt idx="7">
                  <c:v>3.5000000000000001E-3</c:v>
                </c:pt>
                <c:pt idx="8">
                  <c:v>8.9999999999999993E-3</c:v>
                </c:pt>
                <c:pt idx="9">
                  <c:v>9.4999999999999998E-3</c:v>
                </c:pt>
                <c:pt idx="10">
                  <c:v>6.0000000000000001E-3</c:v>
                </c:pt>
                <c:pt idx="11">
                  <c:v>1.3499999999999998E-2</c:v>
                </c:pt>
                <c:pt idx="12">
                  <c:v>6.0000000000000001E-3</c:v>
                </c:pt>
                <c:pt idx="13">
                  <c:v>6.0000000000000001E-3</c:v>
                </c:pt>
                <c:pt idx="14">
                  <c:v>6.0000000000000001E-3</c:v>
                </c:pt>
                <c:pt idx="15">
                  <c:v>6.0000000000000001E-3</c:v>
                </c:pt>
                <c:pt idx="16">
                  <c:v>7.0000000000000001E-3</c:v>
                </c:pt>
                <c:pt idx="17">
                  <c:v>6.0000000000000001E-3</c:v>
                </c:pt>
                <c:pt idx="18">
                  <c:v>7.0000000000000001E-3</c:v>
                </c:pt>
                <c:pt idx="19">
                  <c:v>7.0000000000000001E-3</c:v>
                </c:pt>
                <c:pt idx="20">
                  <c:v>5.0000000000000001E-3</c:v>
                </c:pt>
                <c:pt idx="21">
                  <c:v>5.4999999999999997E-3</c:v>
                </c:pt>
                <c:pt idx="22">
                  <c:v>6.0000000000000001E-3</c:v>
                </c:pt>
                <c:pt idx="23">
                  <c:v>8.0000000000000002E-3</c:v>
                </c:pt>
                <c:pt idx="24">
                  <c:v>6.0000000000000001E-3</c:v>
                </c:pt>
                <c:pt idx="25">
                  <c:v>7.4999999999999997E-3</c:v>
                </c:pt>
                <c:pt idx="26">
                  <c:v>6.0000000000000001E-3</c:v>
                </c:pt>
                <c:pt idx="27">
                  <c:v>7.4999999999999997E-3</c:v>
                </c:pt>
                <c:pt idx="28">
                  <c:v>6.0000000000000001E-3</c:v>
                </c:pt>
                <c:pt idx="29">
                  <c:v>7.4999999999999997E-3</c:v>
                </c:pt>
                <c:pt idx="30">
                  <c:v>7.0000000000000001E-3</c:v>
                </c:pt>
                <c:pt idx="31">
                  <c:v>8.5000000000000006E-3</c:v>
                </c:pt>
              </c:numCache>
            </c:numRef>
          </c:val>
          <c:smooth val="0"/>
          <c:extLst>
            <c:ext xmlns:c16="http://schemas.microsoft.com/office/drawing/2014/chart" uri="{C3380CC4-5D6E-409C-BE32-E72D297353CC}">
              <c16:uniqueId val="{00000001-0FCB-4EC2-8082-688AEBFA68E9}"/>
            </c:ext>
          </c:extLst>
        </c:ser>
        <c:dLbls>
          <c:showLegendKey val="0"/>
          <c:showVal val="0"/>
          <c:showCatName val="0"/>
          <c:showSerName val="0"/>
          <c:showPercent val="0"/>
          <c:showBubbleSize val="0"/>
        </c:dLbls>
        <c:marker val="1"/>
        <c:smooth val="0"/>
        <c:axId val="403941288"/>
        <c:axId val="403917672"/>
      </c:lineChart>
      <c:lineChart>
        <c:grouping val="standard"/>
        <c:varyColors val="0"/>
        <c:ser>
          <c:idx val="1"/>
          <c:order val="2"/>
          <c:tx>
            <c:v>Orthophosphate</c:v>
          </c:tx>
          <c:spPr>
            <a:ln w="6350" cap="rnd">
              <a:solidFill>
                <a:schemeClr val="tx1"/>
              </a:solidFill>
              <a:round/>
            </a:ln>
            <a:effectLst/>
          </c:spPr>
          <c:marker>
            <c:symbol val="square"/>
            <c:size val="6"/>
            <c:spPr>
              <a:noFill/>
              <a:ln w="12700">
                <a:solidFill>
                  <a:schemeClr val="tx1"/>
                </a:solidFill>
              </a:ln>
              <a:effectLst/>
            </c:spPr>
          </c:marker>
          <c:cat>
            <c:numRef>
              <c:f>Physicochemical_Managed!$O$176:$O$207</c:f>
              <c:numCache>
                <c:formatCode>mm/dd/yyyy</c:formatCode>
                <c:ptCount val="32"/>
                <c:pt idx="0">
                  <c:v>44293</c:v>
                </c:pt>
                <c:pt idx="1">
                  <c:v>44306</c:v>
                </c:pt>
                <c:pt idx="2">
                  <c:v>44313</c:v>
                </c:pt>
                <c:pt idx="3">
                  <c:v>44327</c:v>
                </c:pt>
                <c:pt idx="4">
                  <c:v>44334</c:v>
                </c:pt>
                <c:pt idx="5">
                  <c:v>44335</c:v>
                </c:pt>
                <c:pt idx="6">
                  <c:v>44341</c:v>
                </c:pt>
                <c:pt idx="7">
                  <c:v>44342</c:v>
                </c:pt>
                <c:pt idx="8">
                  <c:v>44349</c:v>
                </c:pt>
                <c:pt idx="9">
                  <c:v>44350</c:v>
                </c:pt>
                <c:pt idx="10">
                  <c:v>44362</c:v>
                </c:pt>
                <c:pt idx="11">
                  <c:v>44363</c:v>
                </c:pt>
                <c:pt idx="12">
                  <c:v>44369</c:v>
                </c:pt>
                <c:pt idx="13">
                  <c:v>44370</c:v>
                </c:pt>
                <c:pt idx="14">
                  <c:v>44376</c:v>
                </c:pt>
                <c:pt idx="15">
                  <c:v>44377</c:v>
                </c:pt>
                <c:pt idx="16">
                  <c:v>44384</c:v>
                </c:pt>
                <c:pt idx="17">
                  <c:v>44385</c:v>
                </c:pt>
                <c:pt idx="18">
                  <c:v>44390</c:v>
                </c:pt>
                <c:pt idx="19">
                  <c:v>44391</c:v>
                </c:pt>
                <c:pt idx="20">
                  <c:v>44397</c:v>
                </c:pt>
                <c:pt idx="21">
                  <c:v>44398</c:v>
                </c:pt>
                <c:pt idx="22">
                  <c:v>44404</c:v>
                </c:pt>
                <c:pt idx="23">
                  <c:v>44405</c:v>
                </c:pt>
                <c:pt idx="24">
                  <c:v>44411</c:v>
                </c:pt>
                <c:pt idx="25">
                  <c:v>44412</c:v>
                </c:pt>
                <c:pt idx="26">
                  <c:v>44418</c:v>
                </c:pt>
                <c:pt idx="27">
                  <c:v>44419</c:v>
                </c:pt>
                <c:pt idx="28">
                  <c:v>44425</c:v>
                </c:pt>
                <c:pt idx="29">
                  <c:v>44426</c:v>
                </c:pt>
                <c:pt idx="30">
                  <c:v>44432</c:v>
                </c:pt>
                <c:pt idx="31">
                  <c:v>44433</c:v>
                </c:pt>
              </c:numCache>
            </c:numRef>
          </c:cat>
          <c:val>
            <c:numRef>
              <c:f>Physicochemical_Managed!$X$176:$X$207</c:f>
              <c:numCache>
                <c:formatCode>0.000</c:formatCode>
                <c:ptCount val="32"/>
                <c:pt idx="0">
                  <c:v>0.47499999999999998</c:v>
                </c:pt>
                <c:pt idx="1">
                  <c:v>0.49</c:v>
                </c:pt>
                <c:pt idx="2">
                  <c:v>0.47</c:v>
                </c:pt>
                <c:pt idx="3">
                  <c:v>0.41</c:v>
                </c:pt>
                <c:pt idx="4">
                  <c:v>0.4</c:v>
                </c:pt>
                <c:pt idx="5">
                  <c:v>0.435</c:v>
                </c:pt>
                <c:pt idx="6">
                  <c:v>0.41</c:v>
                </c:pt>
                <c:pt idx="7">
                  <c:v>0.53</c:v>
                </c:pt>
                <c:pt idx="8">
                  <c:v>0.49</c:v>
                </c:pt>
                <c:pt idx="9">
                  <c:v>0.48</c:v>
                </c:pt>
                <c:pt idx="10">
                  <c:v>0.44</c:v>
                </c:pt>
                <c:pt idx="11">
                  <c:v>0.57000000000000006</c:v>
                </c:pt>
                <c:pt idx="12">
                  <c:v>0.56999999999999995</c:v>
                </c:pt>
                <c:pt idx="13">
                  <c:v>0.53500000000000003</c:v>
                </c:pt>
                <c:pt idx="14">
                  <c:v>0.54</c:v>
                </c:pt>
                <c:pt idx="15">
                  <c:v>0.59</c:v>
                </c:pt>
                <c:pt idx="16">
                  <c:v>0.52</c:v>
                </c:pt>
                <c:pt idx="17">
                  <c:v>0.54499999999999993</c:v>
                </c:pt>
                <c:pt idx="18">
                  <c:v>0.55000000000000004</c:v>
                </c:pt>
                <c:pt idx="19">
                  <c:v>0.57000000000000006</c:v>
                </c:pt>
                <c:pt idx="20">
                  <c:v>0.56000000000000005</c:v>
                </c:pt>
                <c:pt idx="21">
                  <c:v>0.59</c:v>
                </c:pt>
                <c:pt idx="22">
                  <c:v>0.64</c:v>
                </c:pt>
                <c:pt idx="23">
                  <c:v>0.57499999999999996</c:v>
                </c:pt>
                <c:pt idx="24">
                  <c:v>0.64</c:v>
                </c:pt>
                <c:pt idx="25">
                  <c:v>0.63</c:v>
                </c:pt>
                <c:pt idx="26">
                  <c:v>0.59</c:v>
                </c:pt>
                <c:pt idx="27">
                  <c:v>0.61</c:v>
                </c:pt>
                <c:pt idx="28">
                  <c:v>0.53</c:v>
                </c:pt>
                <c:pt idx="29">
                  <c:v>0.59</c:v>
                </c:pt>
                <c:pt idx="30">
                  <c:v>0.68</c:v>
                </c:pt>
                <c:pt idx="31">
                  <c:v>0.60499999999999998</c:v>
                </c:pt>
              </c:numCache>
            </c:numRef>
          </c:val>
          <c:smooth val="0"/>
          <c:extLst>
            <c:ext xmlns:c16="http://schemas.microsoft.com/office/drawing/2014/chart" uri="{C3380CC4-5D6E-409C-BE32-E72D297353CC}">
              <c16:uniqueId val="{00000002-0FCB-4EC2-8082-688AEBFA68E9}"/>
            </c:ext>
          </c:extLst>
        </c:ser>
        <c:dLbls>
          <c:showLegendKey val="0"/>
          <c:showVal val="0"/>
          <c:showCatName val="0"/>
          <c:showSerName val="0"/>
          <c:showPercent val="0"/>
          <c:showBubbleSize val="0"/>
        </c:dLbls>
        <c:marker val="1"/>
        <c:smooth val="0"/>
        <c:axId val="774072144"/>
        <c:axId val="780465376"/>
      </c:lineChart>
      <c:dateAx>
        <c:axId val="403941288"/>
        <c:scaling>
          <c:orientation val="minMax"/>
          <c:max val="44437"/>
          <c:min val="44287"/>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Sampling times--</a:t>
                </a:r>
                <a:r>
                  <a:rPr lang="en-US" b="1">
                    <a:solidFill>
                      <a:srgbClr val="FF0000"/>
                    </a:solidFill>
                  </a:rPr>
                  <a:t>RS</a:t>
                </a:r>
              </a:p>
            </c:rich>
          </c:tx>
          <c:layout>
            <c:manualLayout>
              <c:xMode val="edge"/>
              <c:yMode val="edge"/>
              <c:x val="0.39785997109175708"/>
              <c:y val="0.94951730232117781"/>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mm/dd/yyyy" sourceLinked="1"/>
        <c:majorTickMark val="out"/>
        <c:minorTickMark val="in"/>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03917672"/>
        <c:crosses val="autoZero"/>
        <c:auto val="1"/>
        <c:lblOffset val="100"/>
        <c:baseTimeUnit val="days"/>
        <c:majorUnit val="15"/>
        <c:majorTimeUnit val="days"/>
        <c:minorUnit val="5"/>
        <c:minorTimeUnit val="days"/>
      </c:dateAx>
      <c:valAx>
        <c:axId val="403917672"/>
        <c:scaling>
          <c:orientation val="minMax"/>
          <c:max val="0.4"/>
          <c:min val="0"/>
        </c:scaling>
        <c:delete val="0"/>
        <c:axPos val="l"/>
        <c:majorGridlines>
          <c:spPr>
            <a:ln w="1270" cap="flat" cmpd="sng" algn="ctr">
              <a:solidFill>
                <a:schemeClr val="tx1"/>
              </a:solidFill>
              <a:prstDash val="solid"/>
              <a:round/>
            </a:ln>
            <a:effectLst/>
          </c:spPr>
        </c:majorGridlines>
        <c:minorGridlines>
          <c:spPr>
            <a:ln w="1270" cap="flat" cmpd="sng" algn="ctr">
              <a:solidFill>
                <a:schemeClr val="bg2">
                  <a:lumMod val="90000"/>
                </a:schemeClr>
              </a:solidFill>
              <a:prstDash val="dash"/>
              <a:round/>
            </a:ln>
            <a:effectLst/>
          </c:spPr>
        </c:min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Free</a:t>
                </a:r>
                <a:r>
                  <a:rPr lang="en-US" baseline="0"/>
                  <a:t> ammonia and nitrite</a:t>
                </a:r>
                <a:r>
                  <a:rPr lang="en-US"/>
                  <a:t> (mg N·L</a:t>
                </a:r>
                <a:r>
                  <a:rPr lang="en-US" baseline="30000"/>
                  <a:t>-1</a:t>
                </a:r>
                <a:r>
                  <a:rPr lang="en-US"/>
                  <a:t>)</a:t>
                </a:r>
              </a:p>
            </c:rich>
          </c:tx>
          <c:layout>
            <c:manualLayout>
              <c:xMode val="edge"/>
              <c:yMode val="edge"/>
              <c:x val="6.5976053561081209E-5"/>
              <c:y val="0.19033468591139982"/>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00" sourceLinked="0"/>
        <c:majorTickMark val="out"/>
        <c:minorTickMark val="in"/>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03941288"/>
        <c:crosses val="autoZero"/>
        <c:crossBetween val="between"/>
        <c:majorUnit val="0.1"/>
        <c:minorUnit val="2.5000000000000005E-2"/>
      </c:valAx>
      <c:valAx>
        <c:axId val="780465376"/>
        <c:scaling>
          <c:orientation val="minMax"/>
          <c:max val="0.70000000000000007"/>
          <c:min val="0.35000000000000003"/>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Orthophosphate (</a:t>
                </a:r>
                <a:r>
                  <a:rPr lang="en-US" baseline="0"/>
                  <a:t>PO</a:t>
                </a:r>
                <a:r>
                  <a:rPr lang="en-US" baseline="-25000"/>
                  <a:t>4</a:t>
                </a:r>
                <a:r>
                  <a:rPr lang="en-US" baseline="30000"/>
                  <a:t>3-</a:t>
                </a:r>
                <a:r>
                  <a:rPr lang="en-US" baseline="0"/>
                  <a:t>·L</a:t>
                </a:r>
                <a:r>
                  <a:rPr lang="en-US" baseline="30000"/>
                  <a:t>-1</a:t>
                </a:r>
                <a:r>
                  <a:rPr lang="en-US"/>
                  <a:t>)</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00" sourceLinked="0"/>
        <c:majorTickMark val="out"/>
        <c:minorTickMark val="in"/>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74072144"/>
        <c:crosses val="max"/>
        <c:crossBetween val="between"/>
        <c:majorUnit val="5.000000000000001E-2"/>
        <c:minorUnit val="2.5000000000000005E-2"/>
      </c:valAx>
      <c:dateAx>
        <c:axId val="774072144"/>
        <c:scaling>
          <c:orientation val="minMax"/>
        </c:scaling>
        <c:delete val="1"/>
        <c:axPos val="b"/>
        <c:numFmt formatCode="mm/dd/yyyy" sourceLinked="1"/>
        <c:majorTickMark val="out"/>
        <c:minorTickMark val="none"/>
        <c:tickLblPos val="nextTo"/>
        <c:crossAx val="780465376"/>
        <c:crosses val="autoZero"/>
        <c:auto val="1"/>
        <c:lblOffset val="100"/>
        <c:baseTimeUnit val="days"/>
      </c:dateAx>
      <c:spPr>
        <a:noFill/>
        <a:ln w="19050">
          <a:solidFill>
            <a:schemeClr val="tx1"/>
          </a:solidFill>
        </a:ln>
        <a:effectLst/>
      </c:spPr>
    </c:plotArea>
    <c:legend>
      <c:legendPos val="r"/>
      <c:legendEntry>
        <c:idx val="0"/>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Entry>
      <c:layout>
        <c:manualLayout>
          <c:xMode val="edge"/>
          <c:yMode val="edge"/>
          <c:x val="0.10466798108813954"/>
          <c:y val="4.6033196712529548E-2"/>
          <c:w val="0.22798312160438464"/>
          <c:h val="9.8627455336123951E-2"/>
        </c:manualLayout>
      </c:layout>
      <c:overlay val="0"/>
      <c:spPr>
        <a:solidFill>
          <a:schemeClr val="bg1"/>
        </a:solid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04646"/>
      </a:solid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13278008298755"/>
          <c:y val="3.6235046109691547E-2"/>
          <c:w val="0.77921161825726137"/>
          <c:h val="0.75850914427279748"/>
        </c:manualLayout>
      </c:layout>
      <c:lineChart>
        <c:grouping val="standard"/>
        <c:varyColors val="0"/>
        <c:ser>
          <c:idx val="3"/>
          <c:order val="0"/>
          <c:tx>
            <c:strRef>
              <c:f>qPCR_Unique!$K$1</c:f>
              <c:strCache>
                <c:ptCount val="1"/>
                <c:pt idx="0">
                  <c:v>Legionella</c:v>
                </c:pt>
              </c:strCache>
            </c:strRef>
          </c:tx>
          <c:spPr>
            <a:ln w="6350" cap="rnd">
              <a:solidFill>
                <a:srgbClr val="F04646"/>
              </a:solidFill>
              <a:round/>
            </a:ln>
            <a:effectLst/>
          </c:spPr>
          <c:marker>
            <c:symbol val="circle"/>
            <c:size val="6"/>
            <c:spPr>
              <a:solidFill>
                <a:srgbClr val="F04646"/>
              </a:solidFill>
              <a:ln w="12700">
                <a:solidFill>
                  <a:srgbClr val="F04646"/>
                </a:solidFill>
              </a:ln>
              <a:effectLst/>
            </c:spPr>
          </c:marker>
          <c:errBars>
            <c:errDir val="y"/>
            <c:errBarType val="both"/>
            <c:errValType val="cust"/>
            <c:noEndCap val="0"/>
            <c:plus>
              <c:numRef>
                <c:f>qPCR_Unique!$M$32:$M$45</c:f>
                <c:numCache>
                  <c:formatCode>General</c:formatCode>
                  <c:ptCount val="14"/>
                  <c:pt idx="0">
                    <c:v>1.183747321165329E-2</c:v>
                  </c:pt>
                  <c:pt idx="1">
                    <c:v>1.7038562379018952E-2</c:v>
                  </c:pt>
                  <c:pt idx="2">
                    <c:v>4.702753297180004E-2</c:v>
                  </c:pt>
                  <c:pt idx="3">
                    <c:v>0.16732303039122209</c:v>
                  </c:pt>
                  <c:pt idx="4">
                    <c:v>0</c:v>
                  </c:pt>
                  <c:pt idx="5">
                    <c:v>0</c:v>
                  </c:pt>
                  <c:pt idx="6">
                    <c:v>0.11278915013912376</c:v>
                  </c:pt>
                  <c:pt idx="7">
                    <c:v>9.4548581526901307E-2</c:v>
                  </c:pt>
                  <c:pt idx="8">
                    <c:v>4.158728707838804E-2</c:v>
                  </c:pt>
                  <c:pt idx="9">
                    <c:v>0.43429448190325176</c:v>
                  </c:pt>
                  <c:pt idx="10">
                    <c:v>1.3379572783233354E-2</c:v>
                  </c:pt>
                  <c:pt idx="11">
                    <c:v>8.873549332693853E-2</c:v>
                  </c:pt>
                  <c:pt idx="12">
                    <c:v>0.1575620758765113</c:v>
                  </c:pt>
                  <c:pt idx="13">
                    <c:v>3.2994466628272309E-2</c:v>
                  </c:pt>
                </c:numCache>
              </c:numRef>
            </c:plus>
            <c:minus>
              <c:numRef>
                <c:f>qPCR_Unique!$M$32:$M$45</c:f>
                <c:numCache>
                  <c:formatCode>General</c:formatCode>
                  <c:ptCount val="14"/>
                  <c:pt idx="0">
                    <c:v>1.183747321165329E-2</c:v>
                  </c:pt>
                  <c:pt idx="1">
                    <c:v>1.7038562379018952E-2</c:v>
                  </c:pt>
                  <c:pt idx="2">
                    <c:v>4.702753297180004E-2</c:v>
                  </c:pt>
                  <c:pt idx="3">
                    <c:v>0.16732303039122209</c:v>
                  </c:pt>
                  <c:pt idx="4">
                    <c:v>0</c:v>
                  </c:pt>
                  <c:pt idx="5">
                    <c:v>0</c:v>
                  </c:pt>
                  <c:pt idx="6">
                    <c:v>0.11278915013912376</c:v>
                  </c:pt>
                  <c:pt idx="7">
                    <c:v>9.4548581526901307E-2</c:v>
                  </c:pt>
                  <c:pt idx="8">
                    <c:v>4.158728707838804E-2</c:v>
                  </c:pt>
                  <c:pt idx="9">
                    <c:v>0.43429448190325176</c:v>
                  </c:pt>
                  <c:pt idx="10">
                    <c:v>1.3379572783233354E-2</c:v>
                  </c:pt>
                  <c:pt idx="11">
                    <c:v>8.873549332693853E-2</c:v>
                  </c:pt>
                  <c:pt idx="12">
                    <c:v>0.1575620758765113</c:v>
                  </c:pt>
                  <c:pt idx="13">
                    <c:v>3.2994466628272309E-2</c:v>
                  </c:pt>
                </c:numCache>
              </c:numRef>
            </c:minus>
            <c:spPr>
              <a:noFill/>
              <a:ln w="12700" cap="flat" cmpd="sng" algn="ctr">
                <a:solidFill>
                  <a:srgbClr val="F04646"/>
                </a:solidFill>
                <a:round/>
              </a:ln>
              <a:effectLst/>
            </c:spPr>
          </c:errBars>
          <c:cat>
            <c:numRef>
              <c:f>qPCR_Unique!$G$32:$G$45</c:f>
              <c:numCache>
                <c:formatCode>mm/dd/yyyy</c:formatCode>
                <c:ptCount val="14"/>
                <c:pt idx="0">
                  <c:v>44335</c:v>
                </c:pt>
                <c:pt idx="1">
                  <c:v>44342</c:v>
                </c:pt>
                <c:pt idx="2">
                  <c:v>44350</c:v>
                </c:pt>
                <c:pt idx="3">
                  <c:v>44356</c:v>
                </c:pt>
                <c:pt idx="4">
                  <c:v>44370</c:v>
                </c:pt>
                <c:pt idx="5">
                  <c:v>44377</c:v>
                </c:pt>
                <c:pt idx="6">
                  <c:v>44385</c:v>
                </c:pt>
                <c:pt idx="7">
                  <c:v>44391</c:v>
                </c:pt>
                <c:pt idx="8">
                  <c:v>44398</c:v>
                </c:pt>
                <c:pt idx="9">
                  <c:v>44405</c:v>
                </c:pt>
                <c:pt idx="10">
                  <c:v>44412</c:v>
                </c:pt>
                <c:pt idx="11">
                  <c:v>44419</c:v>
                </c:pt>
                <c:pt idx="12">
                  <c:v>44426</c:v>
                </c:pt>
                <c:pt idx="13">
                  <c:v>44433</c:v>
                </c:pt>
              </c:numCache>
            </c:numRef>
          </c:cat>
          <c:val>
            <c:numRef>
              <c:f>qPCR_Unique!$L$32:$L$45</c:f>
              <c:numCache>
                <c:formatCode>0.000</c:formatCode>
                <c:ptCount val="14"/>
                <c:pt idx="0">
                  <c:v>5.1051171753821354</c:v>
                </c:pt>
                <c:pt idx="1">
                  <c:v>4.3579867486689796</c:v>
                </c:pt>
                <c:pt idx="2">
                  <c:v>4.8444474553321486</c:v>
                </c:pt>
                <c:pt idx="3">
                  <c:v>4.4053095940815297</c:v>
                </c:pt>
                <c:pt idx="4">
                  <c:v>0</c:v>
                </c:pt>
                <c:pt idx="5">
                  <c:v>0</c:v>
                </c:pt>
                <c:pt idx="6">
                  <c:v>2.8348287037714068</c:v>
                </c:pt>
                <c:pt idx="7">
                  <c:v>2.8803480784195954</c:v>
                </c:pt>
                <c:pt idx="8">
                  <c:v>2.6639377692904969</c:v>
                </c:pt>
                <c:pt idx="9">
                  <c:v>3.9091048998141136</c:v>
                </c:pt>
                <c:pt idx="10">
                  <c:v>3.6671601345541878</c:v>
                </c:pt>
                <c:pt idx="11">
                  <c:v>4.0247043077357461</c:v>
                </c:pt>
                <c:pt idx="12">
                  <c:v>4.2469220709916948</c:v>
                </c:pt>
                <c:pt idx="13">
                  <c:v>4.1192138535715888</c:v>
                </c:pt>
              </c:numCache>
            </c:numRef>
          </c:val>
          <c:smooth val="0"/>
          <c:extLst>
            <c:ext xmlns:c16="http://schemas.microsoft.com/office/drawing/2014/chart" uri="{C3380CC4-5D6E-409C-BE32-E72D297353CC}">
              <c16:uniqueId val="{00000000-FC56-40E5-8119-ADF711C49157}"/>
            </c:ext>
          </c:extLst>
        </c:ser>
        <c:ser>
          <c:idx val="0"/>
          <c:order val="1"/>
          <c:tx>
            <c:strRef>
              <c:f>qPCR_Unique!$N$1</c:f>
              <c:strCache>
                <c:ptCount val="1"/>
                <c:pt idx="0">
                  <c:v>Mycobacterium</c:v>
                </c:pt>
              </c:strCache>
            </c:strRef>
          </c:tx>
          <c:spPr>
            <a:ln w="6350" cap="rnd">
              <a:solidFill>
                <a:srgbClr val="5064E6"/>
              </a:solidFill>
              <a:round/>
            </a:ln>
            <a:effectLst/>
          </c:spPr>
          <c:marker>
            <c:symbol val="circle"/>
            <c:size val="6"/>
            <c:spPr>
              <a:noFill/>
              <a:ln w="12700">
                <a:solidFill>
                  <a:srgbClr val="5064E6">
                    <a:alpha val="94902"/>
                  </a:srgbClr>
                </a:solidFill>
              </a:ln>
              <a:effectLst/>
            </c:spPr>
          </c:marker>
          <c:errBars>
            <c:errDir val="y"/>
            <c:errBarType val="both"/>
            <c:errValType val="cust"/>
            <c:noEndCap val="0"/>
            <c:plus>
              <c:numRef>
                <c:f>qPCR_Unique!$P$32:$P$45</c:f>
                <c:numCache>
                  <c:formatCode>General</c:formatCode>
                  <c:ptCount val="14"/>
                  <c:pt idx="0">
                    <c:v>0.18185081074288614</c:v>
                  </c:pt>
                  <c:pt idx="1">
                    <c:v>7.8988598793511305E-2</c:v>
                  </c:pt>
                  <c:pt idx="2">
                    <c:v>0.10855756933633319</c:v>
                  </c:pt>
                  <c:pt idx="3">
                    <c:v>9.8356843547808437E-2</c:v>
                  </c:pt>
                  <c:pt idx="4">
                    <c:v>0</c:v>
                  </c:pt>
                  <c:pt idx="5">
                    <c:v>0</c:v>
                  </c:pt>
                  <c:pt idx="6">
                    <c:v>0</c:v>
                  </c:pt>
                  <c:pt idx="7">
                    <c:v>0</c:v>
                  </c:pt>
                  <c:pt idx="8">
                    <c:v>0</c:v>
                  </c:pt>
                  <c:pt idx="9">
                    <c:v>0.43429448190325176</c:v>
                  </c:pt>
                  <c:pt idx="10">
                    <c:v>0.43429448190325176</c:v>
                  </c:pt>
                  <c:pt idx="11">
                    <c:v>0.12122521138605627</c:v>
                  </c:pt>
                  <c:pt idx="12">
                    <c:v>0</c:v>
                  </c:pt>
                  <c:pt idx="13">
                    <c:v>0</c:v>
                  </c:pt>
                </c:numCache>
              </c:numRef>
            </c:plus>
            <c:minus>
              <c:numRef>
                <c:f>qPCR_Unique!$P$32:$P$45</c:f>
                <c:numCache>
                  <c:formatCode>General</c:formatCode>
                  <c:ptCount val="14"/>
                  <c:pt idx="0">
                    <c:v>0.18185081074288614</c:v>
                  </c:pt>
                  <c:pt idx="1">
                    <c:v>7.8988598793511305E-2</c:v>
                  </c:pt>
                  <c:pt idx="2">
                    <c:v>0.10855756933633319</c:v>
                  </c:pt>
                  <c:pt idx="3">
                    <c:v>9.8356843547808437E-2</c:v>
                  </c:pt>
                  <c:pt idx="4">
                    <c:v>0</c:v>
                  </c:pt>
                  <c:pt idx="5">
                    <c:v>0</c:v>
                  </c:pt>
                  <c:pt idx="6">
                    <c:v>0</c:v>
                  </c:pt>
                  <c:pt idx="7">
                    <c:v>0</c:v>
                  </c:pt>
                  <c:pt idx="8">
                    <c:v>0</c:v>
                  </c:pt>
                  <c:pt idx="9">
                    <c:v>0.43429448190325176</c:v>
                  </c:pt>
                  <c:pt idx="10">
                    <c:v>0.43429448190325176</c:v>
                  </c:pt>
                  <c:pt idx="11">
                    <c:v>0.12122521138605627</c:v>
                  </c:pt>
                  <c:pt idx="12">
                    <c:v>0</c:v>
                  </c:pt>
                  <c:pt idx="13">
                    <c:v>0</c:v>
                  </c:pt>
                </c:numCache>
              </c:numRef>
            </c:minus>
            <c:spPr>
              <a:noFill/>
              <a:ln w="12700" cap="flat" cmpd="sng" algn="ctr">
                <a:solidFill>
                  <a:srgbClr val="5064E6"/>
                </a:solidFill>
                <a:round/>
              </a:ln>
              <a:effectLst/>
            </c:spPr>
          </c:errBars>
          <c:cat>
            <c:numRef>
              <c:f>qPCR_Unique!$G$32:$G$45</c:f>
              <c:numCache>
                <c:formatCode>mm/dd/yyyy</c:formatCode>
                <c:ptCount val="14"/>
                <c:pt idx="0">
                  <c:v>44335</c:v>
                </c:pt>
                <c:pt idx="1">
                  <c:v>44342</c:v>
                </c:pt>
                <c:pt idx="2">
                  <c:v>44350</c:v>
                </c:pt>
                <c:pt idx="3">
                  <c:v>44356</c:v>
                </c:pt>
                <c:pt idx="4">
                  <c:v>44370</c:v>
                </c:pt>
                <c:pt idx="5">
                  <c:v>44377</c:v>
                </c:pt>
                <c:pt idx="6">
                  <c:v>44385</c:v>
                </c:pt>
                <c:pt idx="7">
                  <c:v>44391</c:v>
                </c:pt>
                <c:pt idx="8">
                  <c:v>44398</c:v>
                </c:pt>
                <c:pt idx="9">
                  <c:v>44405</c:v>
                </c:pt>
                <c:pt idx="10">
                  <c:v>44412</c:v>
                </c:pt>
                <c:pt idx="11">
                  <c:v>44419</c:v>
                </c:pt>
                <c:pt idx="12">
                  <c:v>44426</c:v>
                </c:pt>
                <c:pt idx="13">
                  <c:v>44433</c:v>
                </c:pt>
              </c:numCache>
            </c:numRef>
          </c:cat>
          <c:val>
            <c:numRef>
              <c:f>qPCR_Unique!$O$32:$O$45</c:f>
              <c:numCache>
                <c:formatCode>0.000</c:formatCode>
                <c:ptCount val="14"/>
                <c:pt idx="0">
                  <c:v>3.3694614758953745</c:v>
                </c:pt>
                <c:pt idx="1">
                  <c:v>2.4934356195993486</c:v>
                </c:pt>
                <c:pt idx="2">
                  <c:v>3.1723941296475311</c:v>
                </c:pt>
                <c:pt idx="3">
                  <c:v>3.3310670461162957</c:v>
                </c:pt>
                <c:pt idx="4">
                  <c:v>0</c:v>
                </c:pt>
                <c:pt idx="5">
                  <c:v>0</c:v>
                </c:pt>
                <c:pt idx="6">
                  <c:v>0</c:v>
                </c:pt>
                <c:pt idx="7">
                  <c:v>0</c:v>
                </c:pt>
                <c:pt idx="8">
                  <c:v>0</c:v>
                </c:pt>
                <c:pt idx="9">
                  <c:v>3.279550348825468</c:v>
                </c:pt>
                <c:pt idx="10">
                  <c:v>2.0876180924738739</c:v>
                </c:pt>
                <c:pt idx="11">
                  <c:v>3.1257503535272613</c:v>
                </c:pt>
                <c:pt idx="12">
                  <c:v>0</c:v>
                </c:pt>
                <c:pt idx="13">
                  <c:v>0</c:v>
                </c:pt>
              </c:numCache>
            </c:numRef>
          </c:val>
          <c:smooth val="0"/>
          <c:extLst>
            <c:ext xmlns:c16="http://schemas.microsoft.com/office/drawing/2014/chart" uri="{C3380CC4-5D6E-409C-BE32-E72D297353CC}">
              <c16:uniqueId val="{00000001-FC56-40E5-8119-ADF711C49157}"/>
            </c:ext>
          </c:extLst>
        </c:ser>
        <c:ser>
          <c:idx val="1"/>
          <c:order val="2"/>
          <c:tx>
            <c:strRef>
              <c:f>qPCR_Unique!$Q$1</c:f>
              <c:strCache>
                <c:ptCount val="1"/>
                <c:pt idx="0">
                  <c:v>Pseudomonas</c:v>
                </c:pt>
              </c:strCache>
            </c:strRef>
          </c:tx>
          <c:spPr>
            <a:ln w="6350" cap="rnd">
              <a:solidFill>
                <a:srgbClr val="F014C8"/>
              </a:solidFill>
              <a:round/>
            </a:ln>
            <a:effectLst/>
          </c:spPr>
          <c:marker>
            <c:symbol val="square"/>
            <c:size val="6"/>
            <c:spPr>
              <a:solidFill>
                <a:srgbClr val="F014C8"/>
              </a:solidFill>
              <a:ln w="12700">
                <a:solidFill>
                  <a:srgbClr val="F014C8"/>
                </a:solidFill>
              </a:ln>
              <a:effectLst/>
            </c:spPr>
          </c:marker>
          <c:errBars>
            <c:errDir val="y"/>
            <c:errBarType val="both"/>
            <c:errValType val="cust"/>
            <c:noEndCap val="0"/>
            <c:plus>
              <c:numRef>
                <c:f>qPCR_Unique!$S$32:$S$45</c:f>
                <c:numCache>
                  <c:formatCode>General</c:formatCode>
                  <c:ptCount val="14"/>
                  <c:pt idx="0">
                    <c:v>0.43429448190325176</c:v>
                  </c:pt>
                  <c:pt idx="1">
                    <c:v>0.43429448190325171</c:v>
                  </c:pt>
                  <c:pt idx="2">
                    <c:v>0.43429448190325176</c:v>
                  </c:pt>
                  <c:pt idx="3">
                    <c:v>9.4508594094169632E-2</c:v>
                  </c:pt>
                  <c:pt idx="4">
                    <c:v>0</c:v>
                  </c:pt>
                  <c:pt idx="5">
                    <c:v>0</c:v>
                  </c:pt>
                  <c:pt idx="6">
                    <c:v>0</c:v>
                  </c:pt>
                  <c:pt idx="7">
                    <c:v>0</c:v>
                  </c:pt>
                  <c:pt idx="8">
                    <c:v>0</c:v>
                  </c:pt>
                  <c:pt idx="9">
                    <c:v>0</c:v>
                  </c:pt>
                  <c:pt idx="10">
                    <c:v>0.43429448190325176</c:v>
                  </c:pt>
                  <c:pt idx="11">
                    <c:v>0</c:v>
                  </c:pt>
                  <c:pt idx="12">
                    <c:v>0</c:v>
                  </c:pt>
                  <c:pt idx="13">
                    <c:v>0.43429448190325176</c:v>
                  </c:pt>
                </c:numCache>
              </c:numRef>
            </c:plus>
            <c:minus>
              <c:numRef>
                <c:f>qPCR_Unique!$S$32:$S$45</c:f>
                <c:numCache>
                  <c:formatCode>General</c:formatCode>
                  <c:ptCount val="14"/>
                  <c:pt idx="0">
                    <c:v>0.43429448190325176</c:v>
                  </c:pt>
                  <c:pt idx="1">
                    <c:v>0.43429448190325171</c:v>
                  </c:pt>
                  <c:pt idx="2">
                    <c:v>0.43429448190325176</c:v>
                  </c:pt>
                  <c:pt idx="3">
                    <c:v>9.4508594094169632E-2</c:v>
                  </c:pt>
                  <c:pt idx="4">
                    <c:v>0</c:v>
                  </c:pt>
                  <c:pt idx="5">
                    <c:v>0</c:v>
                  </c:pt>
                  <c:pt idx="6">
                    <c:v>0</c:v>
                  </c:pt>
                  <c:pt idx="7">
                    <c:v>0</c:v>
                  </c:pt>
                  <c:pt idx="8">
                    <c:v>0</c:v>
                  </c:pt>
                  <c:pt idx="9">
                    <c:v>0</c:v>
                  </c:pt>
                  <c:pt idx="10">
                    <c:v>0.43429448190325176</c:v>
                  </c:pt>
                  <c:pt idx="11">
                    <c:v>0</c:v>
                  </c:pt>
                  <c:pt idx="12">
                    <c:v>0</c:v>
                  </c:pt>
                  <c:pt idx="13">
                    <c:v>0.43429448190325176</c:v>
                  </c:pt>
                </c:numCache>
              </c:numRef>
            </c:minus>
            <c:spPr>
              <a:noFill/>
              <a:ln w="12700" cap="flat" cmpd="sng" algn="ctr">
                <a:solidFill>
                  <a:srgbClr val="F014C8"/>
                </a:solidFill>
                <a:round/>
              </a:ln>
              <a:effectLst/>
            </c:spPr>
          </c:errBars>
          <c:cat>
            <c:numRef>
              <c:f>qPCR_Unique!$G$32:$G$45</c:f>
              <c:numCache>
                <c:formatCode>mm/dd/yyyy</c:formatCode>
                <c:ptCount val="14"/>
                <c:pt idx="0">
                  <c:v>44335</c:v>
                </c:pt>
                <c:pt idx="1">
                  <c:v>44342</c:v>
                </c:pt>
                <c:pt idx="2">
                  <c:v>44350</c:v>
                </c:pt>
                <c:pt idx="3">
                  <c:v>44356</c:v>
                </c:pt>
                <c:pt idx="4">
                  <c:v>44370</c:v>
                </c:pt>
                <c:pt idx="5">
                  <c:v>44377</c:v>
                </c:pt>
                <c:pt idx="6">
                  <c:v>44385</c:v>
                </c:pt>
                <c:pt idx="7">
                  <c:v>44391</c:v>
                </c:pt>
                <c:pt idx="8">
                  <c:v>44398</c:v>
                </c:pt>
                <c:pt idx="9">
                  <c:v>44405</c:v>
                </c:pt>
                <c:pt idx="10">
                  <c:v>44412</c:v>
                </c:pt>
                <c:pt idx="11">
                  <c:v>44419</c:v>
                </c:pt>
                <c:pt idx="12">
                  <c:v>44426</c:v>
                </c:pt>
                <c:pt idx="13">
                  <c:v>44433</c:v>
                </c:pt>
              </c:numCache>
            </c:numRef>
          </c:cat>
          <c:val>
            <c:numRef>
              <c:f>qPCR_Unique!$R$32:$R$45</c:f>
              <c:numCache>
                <c:formatCode>0.000</c:formatCode>
                <c:ptCount val="14"/>
                <c:pt idx="0">
                  <c:v>2.6119711757154414</c:v>
                </c:pt>
                <c:pt idx="1">
                  <c:v>3.9947325075118063</c:v>
                </c:pt>
                <c:pt idx="2">
                  <c:v>2.9147049089133246</c:v>
                </c:pt>
                <c:pt idx="3">
                  <c:v>2.968653156689125</c:v>
                </c:pt>
                <c:pt idx="4">
                  <c:v>0</c:v>
                </c:pt>
                <c:pt idx="5">
                  <c:v>0</c:v>
                </c:pt>
                <c:pt idx="6">
                  <c:v>0</c:v>
                </c:pt>
                <c:pt idx="7">
                  <c:v>0</c:v>
                </c:pt>
                <c:pt idx="8">
                  <c:v>0</c:v>
                </c:pt>
                <c:pt idx="9">
                  <c:v>0</c:v>
                </c:pt>
                <c:pt idx="10">
                  <c:v>2.5291065311531939</c:v>
                </c:pt>
                <c:pt idx="11">
                  <c:v>0</c:v>
                </c:pt>
                <c:pt idx="12">
                  <c:v>0</c:v>
                </c:pt>
                <c:pt idx="13">
                  <c:v>3.2273567906886726</c:v>
                </c:pt>
              </c:numCache>
            </c:numRef>
          </c:val>
          <c:smooth val="0"/>
          <c:extLst>
            <c:ext xmlns:c16="http://schemas.microsoft.com/office/drawing/2014/chart" uri="{C3380CC4-5D6E-409C-BE32-E72D297353CC}">
              <c16:uniqueId val="{00000002-FC56-40E5-8119-ADF711C49157}"/>
            </c:ext>
          </c:extLst>
        </c:ser>
        <c:ser>
          <c:idx val="2"/>
          <c:order val="3"/>
          <c:tx>
            <c:strRef>
              <c:f>qPCR_Unique!$T$1</c:f>
              <c:strCache>
                <c:ptCount val="1"/>
                <c:pt idx="0">
                  <c:v>Vermamoeba vermiformis</c:v>
                </c:pt>
              </c:strCache>
            </c:strRef>
          </c:tx>
          <c:spPr>
            <a:ln w="6350" cap="rnd">
              <a:solidFill>
                <a:srgbClr val="3CE63C"/>
              </a:solidFill>
              <a:round/>
            </a:ln>
            <a:effectLst/>
          </c:spPr>
          <c:marker>
            <c:symbol val="square"/>
            <c:size val="6"/>
            <c:spPr>
              <a:noFill/>
              <a:ln w="12700">
                <a:solidFill>
                  <a:srgbClr val="3CE63C"/>
                </a:solidFill>
              </a:ln>
              <a:effectLst/>
            </c:spPr>
          </c:marker>
          <c:errBars>
            <c:errDir val="y"/>
            <c:errBarType val="both"/>
            <c:errValType val="cust"/>
            <c:noEndCap val="0"/>
            <c:plus>
              <c:numRef>
                <c:f>qPCR_Unique!$V$32:$V$45</c:f>
                <c:numCache>
                  <c:formatCode>General</c:formatCode>
                  <c:ptCount val="14"/>
                  <c:pt idx="0">
                    <c:v>0.43429448190325176</c:v>
                  </c:pt>
                  <c:pt idx="1">
                    <c:v>3.4879257329606804E-2</c:v>
                  </c:pt>
                  <c:pt idx="2">
                    <c:v>0</c:v>
                  </c:pt>
                  <c:pt idx="3">
                    <c:v>0</c:v>
                  </c:pt>
                  <c:pt idx="4">
                    <c:v>0</c:v>
                  </c:pt>
                  <c:pt idx="5">
                    <c:v>0</c:v>
                  </c:pt>
                  <c:pt idx="6">
                    <c:v>0</c:v>
                  </c:pt>
                  <c:pt idx="7">
                    <c:v>0</c:v>
                  </c:pt>
                  <c:pt idx="8">
                    <c:v>0</c:v>
                  </c:pt>
                  <c:pt idx="9">
                    <c:v>0</c:v>
                  </c:pt>
                  <c:pt idx="10">
                    <c:v>0</c:v>
                  </c:pt>
                  <c:pt idx="11">
                    <c:v>0</c:v>
                  </c:pt>
                  <c:pt idx="12">
                    <c:v>0</c:v>
                  </c:pt>
                  <c:pt idx="13">
                    <c:v>0</c:v>
                  </c:pt>
                </c:numCache>
              </c:numRef>
            </c:plus>
            <c:minus>
              <c:numRef>
                <c:f>qPCR_Unique!$V$32:$V$45</c:f>
                <c:numCache>
                  <c:formatCode>General</c:formatCode>
                  <c:ptCount val="14"/>
                  <c:pt idx="0">
                    <c:v>0.43429448190325176</c:v>
                  </c:pt>
                  <c:pt idx="1">
                    <c:v>3.4879257329606804E-2</c:v>
                  </c:pt>
                  <c:pt idx="2">
                    <c:v>0</c:v>
                  </c:pt>
                  <c:pt idx="3">
                    <c:v>0</c:v>
                  </c:pt>
                  <c:pt idx="4">
                    <c:v>0</c:v>
                  </c:pt>
                  <c:pt idx="5">
                    <c:v>0</c:v>
                  </c:pt>
                  <c:pt idx="6">
                    <c:v>0</c:v>
                  </c:pt>
                  <c:pt idx="7">
                    <c:v>0</c:v>
                  </c:pt>
                  <c:pt idx="8">
                    <c:v>0</c:v>
                  </c:pt>
                  <c:pt idx="9">
                    <c:v>0</c:v>
                  </c:pt>
                  <c:pt idx="10">
                    <c:v>0</c:v>
                  </c:pt>
                  <c:pt idx="11">
                    <c:v>0</c:v>
                  </c:pt>
                  <c:pt idx="12">
                    <c:v>0</c:v>
                  </c:pt>
                  <c:pt idx="13">
                    <c:v>0</c:v>
                  </c:pt>
                </c:numCache>
              </c:numRef>
            </c:minus>
            <c:spPr>
              <a:noFill/>
              <a:ln w="12700" cap="flat" cmpd="sng" algn="ctr">
                <a:solidFill>
                  <a:srgbClr val="3CE63C"/>
                </a:solidFill>
                <a:round/>
              </a:ln>
              <a:effectLst/>
            </c:spPr>
          </c:errBars>
          <c:cat>
            <c:numRef>
              <c:f>qPCR_Unique!$G$32:$G$45</c:f>
              <c:numCache>
                <c:formatCode>mm/dd/yyyy</c:formatCode>
                <c:ptCount val="14"/>
                <c:pt idx="0">
                  <c:v>44335</c:v>
                </c:pt>
                <c:pt idx="1">
                  <c:v>44342</c:v>
                </c:pt>
                <c:pt idx="2">
                  <c:v>44350</c:v>
                </c:pt>
                <c:pt idx="3">
                  <c:v>44356</c:v>
                </c:pt>
                <c:pt idx="4">
                  <c:v>44370</c:v>
                </c:pt>
                <c:pt idx="5">
                  <c:v>44377</c:v>
                </c:pt>
                <c:pt idx="6">
                  <c:v>44385</c:v>
                </c:pt>
                <c:pt idx="7">
                  <c:v>44391</c:v>
                </c:pt>
                <c:pt idx="8">
                  <c:v>44398</c:v>
                </c:pt>
                <c:pt idx="9">
                  <c:v>44405</c:v>
                </c:pt>
                <c:pt idx="10">
                  <c:v>44412</c:v>
                </c:pt>
                <c:pt idx="11">
                  <c:v>44419</c:v>
                </c:pt>
                <c:pt idx="12">
                  <c:v>44426</c:v>
                </c:pt>
                <c:pt idx="13">
                  <c:v>44433</c:v>
                </c:pt>
              </c:numCache>
            </c:numRef>
          </c:cat>
          <c:val>
            <c:numRef>
              <c:f>qPCR_Unique!$U$32:$U$45</c:f>
              <c:numCache>
                <c:formatCode>0.000</c:formatCode>
                <c:ptCount val="14"/>
                <c:pt idx="0">
                  <c:v>1.9773829866860844</c:v>
                </c:pt>
                <c:pt idx="1">
                  <c:v>2.397277177665643</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3-FC56-40E5-8119-ADF711C49157}"/>
            </c:ext>
          </c:extLst>
        </c:ser>
        <c:ser>
          <c:idx val="4"/>
          <c:order val="4"/>
          <c:tx>
            <c:strRef>
              <c:f>qPCR_Unique!$W$1</c:f>
              <c:strCache>
                <c:ptCount val="1"/>
                <c:pt idx="0">
                  <c:v>Summed OP</c:v>
                </c:pt>
              </c:strCache>
            </c:strRef>
          </c:tx>
          <c:spPr>
            <a:ln w="6350" cap="rnd">
              <a:solidFill>
                <a:srgbClr val="28C8C8"/>
              </a:solidFill>
              <a:round/>
            </a:ln>
            <a:effectLst/>
          </c:spPr>
          <c:marker>
            <c:symbol val="diamond"/>
            <c:size val="12"/>
            <c:spPr>
              <a:noFill/>
              <a:ln w="12700">
                <a:solidFill>
                  <a:srgbClr val="28C8C8"/>
                </a:solidFill>
              </a:ln>
              <a:effectLst/>
            </c:spPr>
          </c:marker>
          <c:cat>
            <c:numRef>
              <c:f>qPCR_Unique!$G$32:$G$45</c:f>
              <c:numCache>
                <c:formatCode>mm/dd/yyyy</c:formatCode>
                <c:ptCount val="14"/>
                <c:pt idx="0">
                  <c:v>44335</c:v>
                </c:pt>
                <c:pt idx="1">
                  <c:v>44342</c:v>
                </c:pt>
                <c:pt idx="2">
                  <c:v>44350</c:v>
                </c:pt>
                <c:pt idx="3">
                  <c:v>44356</c:v>
                </c:pt>
                <c:pt idx="4">
                  <c:v>44370</c:v>
                </c:pt>
                <c:pt idx="5">
                  <c:v>44377</c:v>
                </c:pt>
                <c:pt idx="6">
                  <c:v>44385</c:v>
                </c:pt>
                <c:pt idx="7">
                  <c:v>44391</c:v>
                </c:pt>
                <c:pt idx="8">
                  <c:v>44398</c:v>
                </c:pt>
                <c:pt idx="9">
                  <c:v>44405</c:v>
                </c:pt>
                <c:pt idx="10">
                  <c:v>44412</c:v>
                </c:pt>
                <c:pt idx="11">
                  <c:v>44419</c:v>
                </c:pt>
                <c:pt idx="12">
                  <c:v>44426</c:v>
                </c:pt>
                <c:pt idx="13">
                  <c:v>44433</c:v>
                </c:pt>
              </c:numCache>
            </c:numRef>
          </c:cat>
          <c:val>
            <c:numRef>
              <c:f>qPCR_Unique!$X$32:$X$45</c:f>
              <c:numCache>
                <c:formatCode>0.000</c:formatCode>
                <c:ptCount val="14"/>
                <c:pt idx="0">
                  <c:v>5.1147115589511296</c:v>
                </c:pt>
                <c:pt idx="1">
                  <c:v>4.5217037588088145</c:v>
                </c:pt>
                <c:pt idx="2">
                  <c:v>4.858562373632382</c:v>
                </c:pt>
                <c:pt idx="3">
                  <c:v>4.4548667000939863</c:v>
                </c:pt>
                <c:pt idx="4">
                  <c:v>0</c:v>
                </c:pt>
                <c:pt idx="5">
                  <c:v>0</c:v>
                </c:pt>
                <c:pt idx="6">
                  <c:v>2.8348287037714068</c:v>
                </c:pt>
                <c:pt idx="7">
                  <c:v>2.8803480784195954</c:v>
                </c:pt>
                <c:pt idx="8">
                  <c:v>2.6639377692904969</c:v>
                </c:pt>
                <c:pt idx="9">
                  <c:v>4.0006534911966458</c:v>
                </c:pt>
                <c:pt idx="10">
                  <c:v>3.708197116667141</c:v>
                </c:pt>
                <c:pt idx="11">
                  <c:v>4.0763183393647253</c:v>
                </c:pt>
                <c:pt idx="12">
                  <c:v>4.2469220709916948</c:v>
                </c:pt>
                <c:pt idx="13">
                  <c:v>4.1716289227353132</c:v>
                </c:pt>
              </c:numCache>
            </c:numRef>
          </c:val>
          <c:smooth val="0"/>
          <c:extLst>
            <c:ext xmlns:c16="http://schemas.microsoft.com/office/drawing/2014/chart" uri="{C3380CC4-5D6E-409C-BE32-E72D297353CC}">
              <c16:uniqueId val="{00000004-FC56-40E5-8119-ADF711C49157}"/>
            </c:ext>
          </c:extLst>
        </c:ser>
        <c:dLbls>
          <c:showLegendKey val="0"/>
          <c:showVal val="0"/>
          <c:showCatName val="0"/>
          <c:showSerName val="0"/>
          <c:showPercent val="0"/>
          <c:showBubbleSize val="0"/>
        </c:dLbls>
        <c:marker val="1"/>
        <c:smooth val="0"/>
        <c:axId val="403941288"/>
        <c:axId val="403917672"/>
      </c:lineChart>
      <c:lineChart>
        <c:grouping val="standard"/>
        <c:varyColors val="0"/>
        <c:ser>
          <c:idx val="5"/>
          <c:order val="5"/>
          <c:tx>
            <c:strRef>
              <c:f>qPCR_Unique!$H$1</c:f>
              <c:strCache>
                <c:ptCount val="1"/>
                <c:pt idx="0">
                  <c:v>Total bacteria</c:v>
                </c:pt>
              </c:strCache>
            </c:strRef>
          </c:tx>
          <c:spPr>
            <a:ln w="6350" cap="rnd">
              <a:solidFill>
                <a:schemeClr val="tx1"/>
              </a:solidFill>
              <a:round/>
            </a:ln>
            <a:effectLst/>
          </c:spPr>
          <c:marker>
            <c:symbol val="triangle"/>
            <c:size val="8"/>
            <c:spPr>
              <a:noFill/>
              <a:ln w="12700">
                <a:solidFill>
                  <a:schemeClr val="tx1"/>
                </a:solidFill>
              </a:ln>
              <a:effectLst/>
            </c:spPr>
          </c:marker>
          <c:errBars>
            <c:errDir val="y"/>
            <c:errBarType val="both"/>
            <c:errValType val="cust"/>
            <c:noEndCap val="0"/>
            <c:plus>
              <c:numRef>
                <c:f>qPCR_Unique!$J$32:$J$45</c:f>
                <c:numCache>
                  <c:formatCode>General</c:formatCode>
                  <c:ptCount val="14"/>
                  <c:pt idx="0">
                    <c:v>3.9404873393259557E-3</c:v>
                  </c:pt>
                  <c:pt idx="1">
                    <c:v>0.14360289696123357</c:v>
                  </c:pt>
                  <c:pt idx="2">
                    <c:v>0.16724922684422205</c:v>
                  </c:pt>
                  <c:pt idx="3">
                    <c:v>0.171192816916276</c:v>
                  </c:pt>
                  <c:pt idx="4">
                    <c:v>0.43429448190325176</c:v>
                  </c:pt>
                  <c:pt idx="5">
                    <c:v>0.43429448190325187</c:v>
                  </c:pt>
                  <c:pt idx="6">
                    <c:v>0.33916643344319786</c:v>
                  </c:pt>
                  <c:pt idx="7">
                    <c:v>0.43429448190325176</c:v>
                  </c:pt>
                  <c:pt idx="8">
                    <c:v>0.43429448190325176</c:v>
                  </c:pt>
                  <c:pt idx="9">
                    <c:v>0.43429448190325176</c:v>
                  </c:pt>
                  <c:pt idx="10">
                    <c:v>0.18057023393826838</c:v>
                  </c:pt>
                  <c:pt idx="11">
                    <c:v>8.4362492495708832E-2</c:v>
                  </c:pt>
                  <c:pt idx="12">
                    <c:v>0.42524728961034419</c:v>
                  </c:pt>
                  <c:pt idx="13">
                    <c:v>2.2797372561925482E-2</c:v>
                  </c:pt>
                </c:numCache>
              </c:numRef>
            </c:plus>
            <c:minus>
              <c:numRef>
                <c:f>qPCR_Unique!$J$32:$J$45</c:f>
                <c:numCache>
                  <c:formatCode>General</c:formatCode>
                  <c:ptCount val="14"/>
                  <c:pt idx="0">
                    <c:v>3.9404873393259557E-3</c:v>
                  </c:pt>
                  <c:pt idx="1">
                    <c:v>0.14360289696123357</c:v>
                  </c:pt>
                  <c:pt idx="2">
                    <c:v>0.16724922684422205</c:v>
                  </c:pt>
                  <c:pt idx="3">
                    <c:v>0.171192816916276</c:v>
                  </c:pt>
                  <c:pt idx="4">
                    <c:v>0.43429448190325176</c:v>
                  </c:pt>
                  <c:pt idx="5">
                    <c:v>0.43429448190325187</c:v>
                  </c:pt>
                  <c:pt idx="6">
                    <c:v>0.33916643344319786</c:v>
                  </c:pt>
                  <c:pt idx="7">
                    <c:v>0.43429448190325176</c:v>
                  </c:pt>
                  <c:pt idx="8">
                    <c:v>0.43429448190325176</c:v>
                  </c:pt>
                  <c:pt idx="9">
                    <c:v>0.43429448190325176</c:v>
                  </c:pt>
                  <c:pt idx="10">
                    <c:v>0.18057023393826838</c:v>
                  </c:pt>
                  <c:pt idx="11">
                    <c:v>8.4362492495708832E-2</c:v>
                  </c:pt>
                  <c:pt idx="12">
                    <c:v>0.42524728961034419</c:v>
                  </c:pt>
                  <c:pt idx="13">
                    <c:v>2.2797372561925482E-2</c:v>
                  </c:pt>
                </c:numCache>
              </c:numRef>
            </c:minus>
            <c:spPr>
              <a:noFill/>
              <a:ln w="12700" cap="flat" cmpd="sng" algn="ctr">
                <a:solidFill>
                  <a:schemeClr val="tx1"/>
                </a:solidFill>
                <a:round/>
              </a:ln>
              <a:effectLst/>
            </c:spPr>
          </c:errBars>
          <c:cat>
            <c:numRef>
              <c:f>qPCR_Unique!$G$32:$G$45</c:f>
              <c:numCache>
                <c:formatCode>mm/dd/yyyy</c:formatCode>
                <c:ptCount val="14"/>
                <c:pt idx="0">
                  <c:v>44335</c:v>
                </c:pt>
                <c:pt idx="1">
                  <c:v>44342</c:v>
                </c:pt>
                <c:pt idx="2">
                  <c:v>44350</c:v>
                </c:pt>
                <c:pt idx="3">
                  <c:v>44356</c:v>
                </c:pt>
                <c:pt idx="4">
                  <c:v>44370</c:v>
                </c:pt>
                <c:pt idx="5">
                  <c:v>44377</c:v>
                </c:pt>
                <c:pt idx="6">
                  <c:v>44385</c:v>
                </c:pt>
                <c:pt idx="7">
                  <c:v>44391</c:v>
                </c:pt>
                <c:pt idx="8">
                  <c:v>44398</c:v>
                </c:pt>
                <c:pt idx="9">
                  <c:v>44405</c:v>
                </c:pt>
                <c:pt idx="10">
                  <c:v>44412</c:v>
                </c:pt>
                <c:pt idx="11">
                  <c:v>44419</c:v>
                </c:pt>
                <c:pt idx="12">
                  <c:v>44426</c:v>
                </c:pt>
                <c:pt idx="13">
                  <c:v>44433</c:v>
                </c:pt>
              </c:numCache>
            </c:numRef>
          </c:cat>
          <c:val>
            <c:numRef>
              <c:f>qPCR_Unique!$I$32:$I$45</c:f>
              <c:numCache>
                <c:formatCode>0.000</c:formatCode>
                <c:ptCount val="14"/>
                <c:pt idx="0">
                  <c:v>7.3976328979330424</c:v>
                </c:pt>
                <c:pt idx="1">
                  <c:v>6.9219903352171874</c:v>
                </c:pt>
                <c:pt idx="2">
                  <c:v>7.134582610383597</c:v>
                </c:pt>
                <c:pt idx="3">
                  <c:v>6.8820149051785551</c:v>
                </c:pt>
                <c:pt idx="4">
                  <c:v>5.025982146472221</c:v>
                </c:pt>
                <c:pt idx="5">
                  <c:v>4.682770131298021</c:v>
                </c:pt>
                <c:pt idx="6">
                  <c:v>5.0881109626207861</c:v>
                </c:pt>
                <c:pt idx="7">
                  <c:v>5.4913577477793218</c:v>
                </c:pt>
                <c:pt idx="8">
                  <c:v>5.01187338604002</c:v>
                </c:pt>
                <c:pt idx="9">
                  <c:v>6.6806695873206543</c:v>
                </c:pt>
                <c:pt idx="10">
                  <c:v>6.4679144985785593</c:v>
                </c:pt>
                <c:pt idx="11">
                  <c:v>7.4763848749940305</c:v>
                </c:pt>
                <c:pt idx="12">
                  <c:v>8.4148405289647066</c:v>
                </c:pt>
                <c:pt idx="13">
                  <c:v>7.3034935445072406</c:v>
                </c:pt>
              </c:numCache>
            </c:numRef>
          </c:val>
          <c:smooth val="0"/>
          <c:extLst>
            <c:ext xmlns:c16="http://schemas.microsoft.com/office/drawing/2014/chart" uri="{C3380CC4-5D6E-409C-BE32-E72D297353CC}">
              <c16:uniqueId val="{00000005-FC56-40E5-8119-ADF711C49157}"/>
            </c:ext>
          </c:extLst>
        </c:ser>
        <c:dLbls>
          <c:showLegendKey val="0"/>
          <c:showVal val="0"/>
          <c:showCatName val="0"/>
          <c:showSerName val="0"/>
          <c:showPercent val="0"/>
          <c:showBubbleSize val="0"/>
        </c:dLbls>
        <c:marker val="1"/>
        <c:smooth val="0"/>
        <c:axId val="803049488"/>
        <c:axId val="803055720"/>
      </c:lineChart>
      <c:dateAx>
        <c:axId val="403941288"/>
        <c:scaling>
          <c:orientation val="minMax"/>
          <c:max val="44434"/>
          <c:min val="44334"/>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Sampling times--</a:t>
                </a:r>
                <a:r>
                  <a:rPr lang="en-US" b="1">
                    <a:solidFill>
                      <a:srgbClr val="FF0000"/>
                    </a:solidFill>
                  </a:rPr>
                  <a:t>SPO</a:t>
                </a:r>
              </a:p>
            </c:rich>
          </c:tx>
          <c:layout>
            <c:manualLayout>
              <c:xMode val="edge"/>
              <c:yMode val="edge"/>
              <c:x val="0.39785997109175708"/>
              <c:y val="0.94951730232117781"/>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mm/dd/yyyy" sourceLinked="1"/>
        <c:majorTickMark val="out"/>
        <c:minorTickMark val="in"/>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03917672"/>
        <c:crosses val="autoZero"/>
        <c:auto val="1"/>
        <c:lblOffset val="100"/>
        <c:baseTimeUnit val="days"/>
        <c:majorUnit val="10"/>
        <c:majorTimeUnit val="days"/>
        <c:minorUnit val="5"/>
        <c:minorTimeUnit val="days"/>
      </c:dateAx>
      <c:valAx>
        <c:axId val="403917672"/>
        <c:scaling>
          <c:orientation val="minMax"/>
          <c:max val="5.25"/>
          <c:min val="0"/>
        </c:scaling>
        <c:delete val="0"/>
        <c:axPos val="l"/>
        <c:majorGridlines>
          <c:spPr>
            <a:ln w="1270" cap="flat" cmpd="sng" algn="ctr">
              <a:solidFill>
                <a:schemeClr val="tx1"/>
              </a:solidFill>
              <a:prstDash val="solid"/>
              <a:round/>
            </a:ln>
            <a:effectLst/>
          </c:spPr>
        </c:majorGridlines>
        <c:minorGridlines>
          <c:spPr>
            <a:ln w="1270" cap="flat" cmpd="sng" algn="ctr">
              <a:solidFill>
                <a:schemeClr val="bg2">
                  <a:lumMod val="90000"/>
                </a:schemeClr>
              </a:solidFill>
              <a:prstDash val="dash"/>
              <a:round/>
            </a:ln>
            <a:effectLst/>
          </c:spPr>
        </c:min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sz="1200" b="0" i="0" baseline="0">
                    <a:effectLst/>
                  </a:rPr>
                  <a:t>log</a:t>
                </a:r>
                <a:r>
                  <a:rPr lang="en-US" sz="1200" b="0" i="0" baseline="-25000">
                    <a:effectLst/>
                  </a:rPr>
                  <a:t>10</a:t>
                </a:r>
                <a:r>
                  <a:rPr lang="en-US" sz="1200" b="0" i="0" baseline="0">
                    <a:effectLst/>
                  </a:rPr>
                  <a:t>[OP (GCN·L</a:t>
                </a:r>
                <a:r>
                  <a:rPr lang="en-US" sz="1200" b="0" i="0" baseline="30000">
                    <a:effectLst/>
                  </a:rPr>
                  <a:t>-1</a:t>
                </a:r>
                <a:r>
                  <a:rPr lang="en-US" sz="1200" b="0" i="0" baseline="0">
                    <a:effectLst/>
                  </a:rPr>
                  <a:t>)]</a:t>
                </a:r>
                <a:endParaRPr lang="en-US" sz="1200">
                  <a:effectLst/>
                </a:endParaRPr>
              </a:p>
            </c:rich>
          </c:tx>
          <c:layout>
            <c:manualLayout>
              <c:xMode val="edge"/>
              <c:yMode val="edge"/>
              <c:x val="6.5976053561081385E-5"/>
              <c:y val="0.2827105058966991"/>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0" sourceLinked="0"/>
        <c:majorTickMark val="out"/>
        <c:minorTickMark val="in"/>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03941288"/>
        <c:crosses val="autoZero"/>
        <c:crossBetween val="between"/>
        <c:majorUnit val="1"/>
        <c:minorUnit val="0.25"/>
      </c:valAx>
      <c:valAx>
        <c:axId val="803055720"/>
        <c:scaling>
          <c:orientation val="minMax"/>
          <c:max val="9"/>
          <c:min val="4"/>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sz="1200" b="0" i="0" baseline="0">
                    <a:effectLst/>
                  </a:rPr>
                  <a:t>log</a:t>
                </a:r>
                <a:r>
                  <a:rPr lang="en-US" sz="1200" b="0" i="0" baseline="-25000">
                    <a:effectLst/>
                  </a:rPr>
                  <a:t>10</a:t>
                </a:r>
                <a:r>
                  <a:rPr lang="en-US" sz="1200" b="0" i="0" baseline="0">
                    <a:effectLst/>
                  </a:rPr>
                  <a:t>[Total bacteria (GCN·L</a:t>
                </a:r>
                <a:r>
                  <a:rPr lang="en-US" sz="1200" b="0" i="0" baseline="30000">
                    <a:effectLst/>
                  </a:rPr>
                  <a:t>-1</a:t>
                </a:r>
                <a:r>
                  <a:rPr lang="en-US" sz="1200" b="0" i="0" baseline="0">
                    <a:effectLst/>
                  </a:rPr>
                  <a:t>)]</a:t>
                </a:r>
                <a:endParaRPr lang="en-US" sz="1200">
                  <a:effectLst/>
                </a:endParaRPr>
              </a:p>
            </c:rich>
          </c:tx>
          <c:layout>
            <c:manualLayout>
              <c:xMode val="edge"/>
              <c:yMode val="edge"/>
              <c:x val="0.95664193998920155"/>
              <c:y val="0.20690728939384437"/>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0" sourceLinked="0"/>
        <c:majorTickMark val="out"/>
        <c:minorTickMark val="in"/>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803049488"/>
        <c:crosses val="max"/>
        <c:crossBetween val="between"/>
        <c:majorUnit val="1"/>
        <c:minorUnit val="0.25"/>
      </c:valAx>
      <c:dateAx>
        <c:axId val="803049488"/>
        <c:scaling>
          <c:orientation val="minMax"/>
        </c:scaling>
        <c:delete val="1"/>
        <c:axPos val="b"/>
        <c:numFmt formatCode="mm/dd/yyyy" sourceLinked="1"/>
        <c:majorTickMark val="out"/>
        <c:minorTickMark val="none"/>
        <c:tickLblPos val="nextTo"/>
        <c:crossAx val="803055720"/>
        <c:crosses val="autoZero"/>
        <c:auto val="1"/>
        <c:lblOffset val="100"/>
        <c:baseTimeUnit val="days"/>
        <c:majorUnit val="1"/>
        <c:minorUnit val="1"/>
      </c:dateAx>
      <c:spPr>
        <a:noFill/>
        <a:ln w="19050">
          <a:solidFill>
            <a:schemeClr val="tx1"/>
          </a:solidFill>
        </a:ln>
        <a:effectLst/>
      </c:spPr>
    </c:plotArea>
    <c:legend>
      <c:legendPos val="r"/>
      <c:legendEntry>
        <c:idx val="0"/>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Entry>
      <c:layout>
        <c:manualLayout>
          <c:xMode val="edge"/>
          <c:yMode val="edge"/>
          <c:x val="0.32729732124473548"/>
          <c:y val="4.276043090892185E-2"/>
          <c:w val="0.31765286524120145"/>
          <c:h val="0.23454100776731437"/>
        </c:manualLayout>
      </c:layout>
      <c:overlay val="0"/>
      <c:spPr>
        <a:solidFill>
          <a:schemeClr val="bg1"/>
        </a:solid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04646"/>
      </a:solid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13278008298755"/>
          <c:y val="3.6235046109691547E-2"/>
          <c:w val="0.77921161825726137"/>
          <c:h val="0.75850914427279748"/>
        </c:manualLayout>
      </c:layout>
      <c:lineChart>
        <c:grouping val="standard"/>
        <c:varyColors val="0"/>
        <c:ser>
          <c:idx val="3"/>
          <c:order val="0"/>
          <c:tx>
            <c:strRef>
              <c:f>qPCR_Unique!$K$1</c:f>
              <c:strCache>
                <c:ptCount val="1"/>
                <c:pt idx="0">
                  <c:v>Legionella</c:v>
                </c:pt>
              </c:strCache>
            </c:strRef>
          </c:tx>
          <c:spPr>
            <a:ln w="6350" cap="rnd">
              <a:solidFill>
                <a:srgbClr val="F04646"/>
              </a:solidFill>
              <a:round/>
            </a:ln>
            <a:effectLst/>
          </c:spPr>
          <c:marker>
            <c:symbol val="circle"/>
            <c:size val="6"/>
            <c:spPr>
              <a:solidFill>
                <a:srgbClr val="F04646"/>
              </a:solidFill>
              <a:ln w="12700">
                <a:solidFill>
                  <a:srgbClr val="F04646"/>
                </a:solidFill>
              </a:ln>
              <a:effectLst/>
            </c:spPr>
          </c:marker>
          <c:errBars>
            <c:errDir val="y"/>
            <c:errBarType val="both"/>
            <c:errValType val="cust"/>
            <c:noEndCap val="0"/>
            <c:plus>
              <c:numRef>
                <c:f>qPCR_Unique!$M$46:$M$60</c:f>
                <c:numCache>
                  <c:formatCode>General</c:formatCode>
                  <c:ptCount val="15"/>
                  <c:pt idx="0">
                    <c:v>5.2696140361196665E-2</c:v>
                  </c:pt>
                  <c:pt idx="1">
                    <c:v>0.3714820430458311</c:v>
                  </c:pt>
                  <c:pt idx="2">
                    <c:v>0.40881808029743943</c:v>
                  </c:pt>
                  <c:pt idx="3">
                    <c:v>0</c:v>
                  </c:pt>
                  <c:pt idx="4">
                    <c:v>0.43429448190325176</c:v>
                  </c:pt>
                  <c:pt idx="5">
                    <c:v>0</c:v>
                  </c:pt>
                  <c:pt idx="6">
                    <c:v>0.43429448190325176</c:v>
                  </c:pt>
                  <c:pt idx="7">
                    <c:v>0.17486358508649869</c:v>
                  </c:pt>
                  <c:pt idx="8">
                    <c:v>4.627566057861543E-2</c:v>
                  </c:pt>
                  <c:pt idx="9">
                    <c:v>0.1961609434587307</c:v>
                  </c:pt>
                  <c:pt idx="10">
                    <c:v>6.9900938459799125E-2</c:v>
                  </c:pt>
                  <c:pt idx="11">
                    <c:v>2.9056679382363625E-2</c:v>
                  </c:pt>
                  <c:pt idx="12">
                    <c:v>0.27556368985044022</c:v>
                  </c:pt>
                  <c:pt idx="13">
                    <c:v>4.2223354177416905E-2</c:v>
                  </c:pt>
                  <c:pt idx="14">
                    <c:v>0.19876904189552486</c:v>
                  </c:pt>
                </c:numCache>
              </c:numRef>
            </c:plus>
            <c:minus>
              <c:numRef>
                <c:f>qPCR_Unique!$M$46:$M$60</c:f>
                <c:numCache>
                  <c:formatCode>General</c:formatCode>
                  <c:ptCount val="15"/>
                  <c:pt idx="0">
                    <c:v>5.2696140361196665E-2</c:v>
                  </c:pt>
                  <c:pt idx="1">
                    <c:v>0.3714820430458311</c:v>
                  </c:pt>
                  <c:pt idx="2">
                    <c:v>0.40881808029743943</c:v>
                  </c:pt>
                  <c:pt idx="3">
                    <c:v>0</c:v>
                  </c:pt>
                  <c:pt idx="4">
                    <c:v>0.43429448190325176</c:v>
                  </c:pt>
                  <c:pt idx="5">
                    <c:v>0</c:v>
                  </c:pt>
                  <c:pt idx="6">
                    <c:v>0.43429448190325176</c:v>
                  </c:pt>
                  <c:pt idx="7">
                    <c:v>0.17486358508649869</c:v>
                  </c:pt>
                  <c:pt idx="8">
                    <c:v>4.627566057861543E-2</c:v>
                  </c:pt>
                  <c:pt idx="9">
                    <c:v>0.1961609434587307</c:v>
                  </c:pt>
                  <c:pt idx="10">
                    <c:v>6.9900938459799125E-2</c:v>
                  </c:pt>
                  <c:pt idx="11">
                    <c:v>2.9056679382363625E-2</c:v>
                  </c:pt>
                  <c:pt idx="12">
                    <c:v>0.27556368985044022</c:v>
                  </c:pt>
                  <c:pt idx="13">
                    <c:v>4.2223354177416905E-2</c:v>
                  </c:pt>
                  <c:pt idx="14">
                    <c:v>0.19876904189552486</c:v>
                  </c:pt>
                </c:numCache>
              </c:numRef>
            </c:minus>
            <c:spPr>
              <a:noFill/>
              <a:ln w="12700" cap="flat" cmpd="sng" algn="ctr">
                <a:solidFill>
                  <a:srgbClr val="F04646"/>
                </a:solidFill>
                <a:round/>
              </a:ln>
              <a:effectLst/>
            </c:spPr>
          </c:errBars>
          <c:cat>
            <c:numRef>
              <c:f>qPCR_Unique!$G$46:$G$60</c:f>
              <c:numCache>
                <c:formatCode>mm/dd/yyyy</c:formatCode>
                <c:ptCount val="15"/>
                <c:pt idx="0">
                  <c:v>44335</c:v>
                </c:pt>
                <c:pt idx="1">
                  <c:v>44342</c:v>
                </c:pt>
                <c:pt idx="2">
                  <c:v>44350</c:v>
                </c:pt>
                <c:pt idx="3">
                  <c:v>44356</c:v>
                </c:pt>
                <c:pt idx="4">
                  <c:v>44363</c:v>
                </c:pt>
                <c:pt idx="5">
                  <c:v>44370</c:v>
                </c:pt>
                <c:pt idx="6">
                  <c:v>44377</c:v>
                </c:pt>
                <c:pt idx="7">
                  <c:v>44385</c:v>
                </c:pt>
                <c:pt idx="8">
                  <c:v>44391</c:v>
                </c:pt>
                <c:pt idx="9">
                  <c:v>44398</c:v>
                </c:pt>
                <c:pt idx="10">
                  <c:v>44405</c:v>
                </c:pt>
                <c:pt idx="11">
                  <c:v>44412</c:v>
                </c:pt>
                <c:pt idx="12">
                  <c:v>44419</c:v>
                </c:pt>
                <c:pt idx="13">
                  <c:v>44426</c:v>
                </c:pt>
                <c:pt idx="14">
                  <c:v>44433</c:v>
                </c:pt>
              </c:numCache>
            </c:numRef>
          </c:cat>
          <c:val>
            <c:numRef>
              <c:f>qPCR_Unique!$L$46:$L$60</c:f>
              <c:numCache>
                <c:formatCode>0.000</c:formatCode>
                <c:ptCount val="15"/>
                <c:pt idx="0">
                  <c:v>5.6379441984051732</c:v>
                </c:pt>
                <c:pt idx="1">
                  <c:v>5.2706816175395286</c:v>
                </c:pt>
                <c:pt idx="2">
                  <c:v>5.121059538810405</c:v>
                </c:pt>
                <c:pt idx="3">
                  <c:v>4.8995789026498029</c:v>
                </c:pt>
                <c:pt idx="4">
                  <c:v>4.7795727869078934</c:v>
                </c:pt>
                <c:pt idx="5">
                  <c:v>0</c:v>
                </c:pt>
                <c:pt idx="6">
                  <c:v>2.4286434473187644</c:v>
                </c:pt>
                <c:pt idx="7">
                  <c:v>3.1843703706804534</c:v>
                </c:pt>
                <c:pt idx="8">
                  <c:v>3.1467904477067403</c:v>
                </c:pt>
                <c:pt idx="9">
                  <c:v>2.6667652053756519</c:v>
                </c:pt>
                <c:pt idx="10">
                  <c:v>2.6367344308011669</c:v>
                </c:pt>
                <c:pt idx="11">
                  <c:v>4.8122169893004871</c:v>
                </c:pt>
                <c:pt idx="12">
                  <c:v>3.6833972776381381</c:v>
                </c:pt>
                <c:pt idx="13">
                  <c:v>4.6753080389039123</c:v>
                </c:pt>
                <c:pt idx="14">
                  <c:v>4.354304301352979</c:v>
                </c:pt>
              </c:numCache>
            </c:numRef>
          </c:val>
          <c:smooth val="0"/>
          <c:extLst>
            <c:ext xmlns:c16="http://schemas.microsoft.com/office/drawing/2014/chart" uri="{C3380CC4-5D6E-409C-BE32-E72D297353CC}">
              <c16:uniqueId val="{00000000-7446-4B6D-B1AA-AA595C2338B6}"/>
            </c:ext>
          </c:extLst>
        </c:ser>
        <c:ser>
          <c:idx val="0"/>
          <c:order val="1"/>
          <c:tx>
            <c:strRef>
              <c:f>qPCR_Unique!$N$1</c:f>
              <c:strCache>
                <c:ptCount val="1"/>
                <c:pt idx="0">
                  <c:v>Mycobacterium</c:v>
                </c:pt>
              </c:strCache>
            </c:strRef>
          </c:tx>
          <c:spPr>
            <a:ln w="6350" cap="rnd">
              <a:solidFill>
                <a:srgbClr val="5064E6"/>
              </a:solidFill>
              <a:round/>
            </a:ln>
            <a:effectLst/>
          </c:spPr>
          <c:marker>
            <c:symbol val="circle"/>
            <c:size val="6"/>
            <c:spPr>
              <a:noFill/>
              <a:ln w="12700">
                <a:solidFill>
                  <a:srgbClr val="5064E6">
                    <a:alpha val="94902"/>
                  </a:srgbClr>
                </a:solidFill>
              </a:ln>
              <a:effectLst/>
            </c:spPr>
          </c:marker>
          <c:errBars>
            <c:errDir val="y"/>
            <c:errBarType val="both"/>
            <c:errValType val="cust"/>
            <c:noEndCap val="0"/>
            <c:plus>
              <c:numRef>
                <c:f>qPCR_Unique!$P$46:$P$60</c:f>
                <c:numCache>
                  <c:formatCode>General</c:formatCode>
                  <c:ptCount val="15"/>
                  <c:pt idx="0">
                    <c:v>2.9240214894410105E-2</c:v>
                  </c:pt>
                  <c:pt idx="1">
                    <c:v>0.30540557904067916</c:v>
                  </c:pt>
                  <c:pt idx="2">
                    <c:v>7.6302033047665391E-2</c:v>
                  </c:pt>
                  <c:pt idx="3">
                    <c:v>0.1272608903689656</c:v>
                  </c:pt>
                  <c:pt idx="4">
                    <c:v>0.22438023053221637</c:v>
                  </c:pt>
                  <c:pt idx="5">
                    <c:v>7.9624821026684348E-2</c:v>
                  </c:pt>
                  <c:pt idx="6">
                    <c:v>0</c:v>
                  </c:pt>
                  <c:pt idx="7">
                    <c:v>0</c:v>
                  </c:pt>
                  <c:pt idx="8">
                    <c:v>0.43429448190325176</c:v>
                  </c:pt>
                  <c:pt idx="9">
                    <c:v>0.12130419250929357</c:v>
                  </c:pt>
                  <c:pt idx="10">
                    <c:v>0.11018075958427638</c:v>
                  </c:pt>
                  <c:pt idx="11">
                    <c:v>0.30755796728144069</c:v>
                  </c:pt>
                  <c:pt idx="12">
                    <c:v>0</c:v>
                  </c:pt>
                  <c:pt idx="13">
                    <c:v>0.14686105079050518</c:v>
                  </c:pt>
                  <c:pt idx="14">
                    <c:v>0.43429448190325176</c:v>
                  </c:pt>
                </c:numCache>
              </c:numRef>
            </c:plus>
            <c:minus>
              <c:numRef>
                <c:f>qPCR_Unique!$P$46:$P$60</c:f>
                <c:numCache>
                  <c:formatCode>General</c:formatCode>
                  <c:ptCount val="15"/>
                  <c:pt idx="0">
                    <c:v>2.9240214894410105E-2</c:v>
                  </c:pt>
                  <c:pt idx="1">
                    <c:v>0.30540557904067916</c:v>
                  </c:pt>
                  <c:pt idx="2">
                    <c:v>7.6302033047665391E-2</c:v>
                  </c:pt>
                  <c:pt idx="3">
                    <c:v>0.1272608903689656</c:v>
                  </c:pt>
                  <c:pt idx="4">
                    <c:v>0.22438023053221637</c:v>
                  </c:pt>
                  <c:pt idx="5">
                    <c:v>7.9624821026684348E-2</c:v>
                  </c:pt>
                  <c:pt idx="6">
                    <c:v>0</c:v>
                  </c:pt>
                  <c:pt idx="7">
                    <c:v>0</c:v>
                  </c:pt>
                  <c:pt idx="8">
                    <c:v>0.43429448190325176</c:v>
                  </c:pt>
                  <c:pt idx="9">
                    <c:v>0.12130419250929357</c:v>
                  </c:pt>
                  <c:pt idx="10">
                    <c:v>0.11018075958427638</c:v>
                  </c:pt>
                  <c:pt idx="11">
                    <c:v>0.30755796728144069</c:v>
                  </c:pt>
                  <c:pt idx="12">
                    <c:v>0</c:v>
                  </c:pt>
                  <c:pt idx="13">
                    <c:v>0.14686105079050518</c:v>
                  </c:pt>
                  <c:pt idx="14">
                    <c:v>0.43429448190325176</c:v>
                  </c:pt>
                </c:numCache>
              </c:numRef>
            </c:minus>
            <c:spPr>
              <a:noFill/>
              <a:ln w="12700" cap="flat" cmpd="sng" algn="ctr">
                <a:solidFill>
                  <a:srgbClr val="5064E6"/>
                </a:solidFill>
                <a:round/>
              </a:ln>
              <a:effectLst/>
            </c:spPr>
          </c:errBars>
          <c:cat>
            <c:numRef>
              <c:f>qPCR_Unique!$G$46:$G$60</c:f>
              <c:numCache>
                <c:formatCode>mm/dd/yyyy</c:formatCode>
                <c:ptCount val="15"/>
                <c:pt idx="0">
                  <c:v>44335</c:v>
                </c:pt>
                <c:pt idx="1">
                  <c:v>44342</c:v>
                </c:pt>
                <c:pt idx="2">
                  <c:v>44350</c:v>
                </c:pt>
                <c:pt idx="3">
                  <c:v>44356</c:v>
                </c:pt>
                <c:pt idx="4">
                  <c:v>44363</c:v>
                </c:pt>
                <c:pt idx="5">
                  <c:v>44370</c:v>
                </c:pt>
                <c:pt idx="6">
                  <c:v>44377</c:v>
                </c:pt>
                <c:pt idx="7">
                  <c:v>44385</c:v>
                </c:pt>
                <c:pt idx="8">
                  <c:v>44391</c:v>
                </c:pt>
                <c:pt idx="9">
                  <c:v>44398</c:v>
                </c:pt>
                <c:pt idx="10">
                  <c:v>44405</c:v>
                </c:pt>
                <c:pt idx="11">
                  <c:v>44412</c:v>
                </c:pt>
                <c:pt idx="12">
                  <c:v>44419</c:v>
                </c:pt>
                <c:pt idx="13">
                  <c:v>44426</c:v>
                </c:pt>
                <c:pt idx="14">
                  <c:v>44433</c:v>
                </c:pt>
              </c:numCache>
            </c:numRef>
          </c:cat>
          <c:val>
            <c:numRef>
              <c:f>qPCR_Unique!$O$46:$O$60</c:f>
              <c:numCache>
                <c:formatCode>0.000</c:formatCode>
                <c:ptCount val="15"/>
                <c:pt idx="0">
                  <c:v>3.7445155306024982</c:v>
                </c:pt>
                <c:pt idx="1">
                  <c:v>3.6322593795010154</c:v>
                </c:pt>
                <c:pt idx="2">
                  <c:v>3.4308583947258704</c:v>
                </c:pt>
                <c:pt idx="3">
                  <c:v>4.1163567329406483</c:v>
                </c:pt>
                <c:pt idx="4">
                  <c:v>3.3866254690921229</c:v>
                </c:pt>
                <c:pt idx="5">
                  <c:v>2.2607593586424297</c:v>
                </c:pt>
                <c:pt idx="6">
                  <c:v>0</c:v>
                </c:pt>
                <c:pt idx="7">
                  <c:v>0</c:v>
                </c:pt>
                <c:pt idx="8">
                  <c:v>2.0060820399846007</c:v>
                </c:pt>
                <c:pt idx="9">
                  <c:v>2.2286049992580708</c:v>
                </c:pt>
                <c:pt idx="10">
                  <c:v>2.3320288243410854</c:v>
                </c:pt>
                <c:pt idx="11">
                  <c:v>4.0191397780393325</c:v>
                </c:pt>
                <c:pt idx="12">
                  <c:v>0</c:v>
                </c:pt>
                <c:pt idx="13">
                  <c:v>2.9406128501018993</c:v>
                </c:pt>
                <c:pt idx="14">
                  <c:v>2.048705204442399</c:v>
                </c:pt>
              </c:numCache>
            </c:numRef>
          </c:val>
          <c:smooth val="0"/>
          <c:extLst>
            <c:ext xmlns:c16="http://schemas.microsoft.com/office/drawing/2014/chart" uri="{C3380CC4-5D6E-409C-BE32-E72D297353CC}">
              <c16:uniqueId val="{00000001-7446-4B6D-B1AA-AA595C2338B6}"/>
            </c:ext>
          </c:extLst>
        </c:ser>
        <c:ser>
          <c:idx val="1"/>
          <c:order val="2"/>
          <c:tx>
            <c:strRef>
              <c:f>qPCR_Unique!$Q$1</c:f>
              <c:strCache>
                <c:ptCount val="1"/>
                <c:pt idx="0">
                  <c:v>Pseudomonas</c:v>
                </c:pt>
              </c:strCache>
            </c:strRef>
          </c:tx>
          <c:spPr>
            <a:ln w="6350" cap="rnd">
              <a:solidFill>
                <a:srgbClr val="F014C8"/>
              </a:solidFill>
              <a:round/>
            </a:ln>
            <a:effectLst/>
          </c:spPr>
          <c:marker>
            <c:symbol val="square"/>
            <c:size val="6"/>
            <c:spPr>
              <a:solidFill>
                <a:srgbClr val="F014C8"/>
              </a:solidFill>
              <a:ln w="12700">
                <a:solidFill>
                  <a:srgbClr val="F014C8"/>
                </a:solidFill>
              </a:ln>
              <a:effectLst/>
            </c:spPr>
          </c:marker>
          <c:errBars>
            <c:errDir val="y"/>
            <c:errBarType val="both"/>
            <c:errValType val="cust"/>
            <c:noEndCap val="0"/>
            <c:plus>
              <c:numRef>
                <c:f>qPCR_Unique!$S$46:$S$60</c:f>
                <c:numCache>
                  <c:formatCode>General</c:formatCode>
                  <c:ptCount val="15"/>
                  <c:pt idx="0">
                    <c:v>2.8843092685159187E-2</c:v>
                  </c:pt>
                  <c:pt idx="1">
                    <c:v>0.14952627086264583</c:v>
                  </c:pt>
                  <c:pt idx="2">
                    <c:v>0.40818547017306445</c:v>
                  </c:pt>
                  <c:pt idx="3">
                    <c:v>0</c:v>
                  </c:pt>
                  <c:pt idx="4">
                    <c:v>0.43389410109255555</c:v>
                  </c:pt>
                  <c:pt idx="5">
                    <c:v>0</c:v>
                  </c:pt>
                  <c:pt idx="6">
                    <c:v>0</c:v>
                  </c:pt>
                  <c:pt idx="7">
                    <c:v>0.43429448190325176</c:v>
                  </c:pt>
                  <c:pt idx="8">
                    <c:v>0.27928433822935989</c:v>
                  </c:pt>
                  <c:pt idx="9">
                    <c:v>0</c:v>
                  </c:pt>
                  <c:pt idx="10">
                    <c:v>0</c:v>
                  </c:pt>
                  <c:pt idx="11">
                    <c:v>0.1196855059904765</c:v>
                  </c:pt>
                  <c:pt idx="12">
                    <c:v>0</c:v>
                  </c:pt>
                  <c:pt idx="13">
                    <c:v>1.9171030403175254E-3</c:v>
                  </c:pt>
                  <c:pt idx="14">
                    <c:v>0.30464746811444915</c:v>
                  </c:pt>
                </c:numCache>
              </c:numRef>
            </c:plus>
            <c:minus>
              <c:numRef>
                <c:f>qPCR_Unique!$S$46:$S$60</c:f>
                <c:numCache>
                  <c:formatCode>General</c:formatCode>
                  <c:ptCount val="15"/>
                  <c:pt idx="0">
                    <c:v>2.8843092685159187E-2</c:v>
                  </c:pt>
                  <c:pt idx="1">
                    <c:v>0.14952627086264583</c:v>
                  </c:pt>
                  <c:pt idx="2">
                    <c:v>0.40818547017306445</c:v>
                  </c:pt>
                  <c:pt idx="3">
                    <c:v>0</c:v>
                  </c:pt>
                  <c:pt idx="4">
                    <c:v>0.43389410109255555</c:v>
                  </c:pt>
                  <c:pt idx="5">
                    <c:v>0</c:v>
                  </c:pt>
                  <c:pt idx="6">
                    <c:v>0</c:v>
                  </c:pt>
                  <c:pt idx="7">
                    <c:v>0.43429448190325176</c:v>
                  </c:pt>
                  <c:pt idx="8">
                    <c:v>0.27928433822935989</c:v>
                  </c:pt>
                  <c:pt idx="9">
                    <c:v>0</c:v>
                  </c:pt>
                  <c:pt idx="10">
                    <c:v>0</c:v>
                  </c:pt>
                  <c:pt idx="11">
                    <c:v>0.1196855059904765</c:v>
                  </c:pt>
                  <c:pt idx="12">
                    <c:v>0</c:v>
                  </c:pt>
                  <c:pt idx="13">
                    <c:v>1.9171030403175254E-3</c:v>
                  </c:pt>
                  <c:pt idx="14">
                    <c:v>0.30464746811444915</c:v>
                  </c:pt>
                </c:numCache>
              </c:numRef>
            </c:minus>
            <c:spPr>
              <a:noFill/>
              <a:ln w="12700" cap="flat" cmpd="sng" algn="ctr">
                <a:solidFill>
                  <a:srgbClr val="F014C8"/>
                </a:solidFill>
                <a:round/>
              </a:ln>
              <a:effectLst/>
            </c:spPr>
          </c:errBars>
          <c:cat>
            <c:numRef>
              <c:f>qPCR_Unique!$G$46:$G$60</c:f>
              <c:numCache>
                <c:formatCode>mm/dd/yyyy</c:formatCode>
                <c:ptCount val="15"/>
                <c:pt idx="0">
                  <c:v>44335</c:v>
                </c:pt>
                <c:pt idx="1">
                  <c:v>44342</c:v>
                </c:pt>
                <c:pt idx="2">
                  <c:v>44350</c:v>
                </c:pt>
                <c:pt idx="3">
                  <c:v>44356</c:v>
                </c:pt>
                <c:pt idx="4">
                  <c:v>44363</c:v>
                </c:pt>
                <c:pt idx="5">
                  <c:v>44370</c:v>
                </c:pt>
                <c:pt idx="6">
                  <c:v>44377</c:v>
                </c:pt>
                <c:pt idx="7">
                  <c:v>44385</c:v>
                </c:pt>
                <c:pt idx="8">
                  <c:v>44391</c:v>
                </c:pt>
                <c:pt idx="9">
                  <c:v>44398</c:v>
                </c:pt>
                <c:pt idx="10">
                  <c:v>44405</c:v>
                </c:pt>
                <c:pt idx="11">
                  <c:v>44412</c:v>
                </c:pt>
                <c:pt idx="12">
                  <c:v>44419</c:v>
                </c:pt>
                <c:pt idx="13">
                  <c:v>44426</c:v>
                </c:pt>
                <c:pt idx="14">
                  <c:v>44433</c:v>
                </c:pt>
              </c:numCache>
            </c:numRef>
          </c:cat>
          <c:val>
            <c:numRef>
              <c:f>qPCR_Unique!$R$46:$R$60</c:f>
              <c:numCache>
                <c:formatCode>0.000</c:formatCode>
                <c:ptCount val="15"/>
                <c:pt idx="0">
                  <c:v>3.4011381377074636</c:v>
                </c:pt>
                <c:pt idx="1">
                  <c:v>5.2175838324125881</c:v>
                </c:pt>
                <c:pt idx="2">
                  <c:v>5.0434921342265664</c:v>
                </c:pt>
                <c:pt idx="3">
                  <c:v>5.2153438571610549</c:v>
                </c:pt>
                <c:pt idx="4">
                  <c:v>6.1462388958032994</c:v>
                </c:pt>
                <c:pt idx="5">
                  <c:v>0</c:v>
                </c:pt>
                <c:pt idx="6">
                  <c:v>0</c:v>
                </c:pt>
                <c:pt idx="7">
                  <c:v>2.6351603567164474</c:v>
                </c:pt>
                <c:pt idx="8">
                  <c:v>3.36580187358265</c:v>
                </c:pt>
                <c:pt idx="9">
                  <c:v>0</c:v>
                </c:pt>
                <c:pt idx="10">
                  <c:v>0</c:v>
                </c:pt>
                <c:pt idx="11">
                  <c:v>3.3004200481818198</c:v>
                </c:pt>
                <c:pt idx="12">
                  <c:v>0</c:v>
                </c:pt>
                <c:pt idx="13">
                  <c:v>4.0156176907627623</c:v>
                </c:pt>
                <c:pt idx="14">
                  <c:v>4.2170056724908411</c:v>
                </c:pt>
              </c:numCache>
            </c:numRef>
          </c:val>
          <c:smooth val="0"/>
          <c:extLst>
            <c:ext xmlns:c16="http://schemas.microsoft.com/office/drawing/2014/chart" uri="{C3380CC4-5D6E-409C-BE32-E72D297353CC}">
              <c16:uniqueId val="{00000002-7446-4B6D-B1AA-AA595C2338B6}"/>
            </c:ext>
          </c:extLst>
        </c:ser>
        <c:ser>
          <c:idx val="2"/>
          <c:order val="3"/>
          <c:tx>
            <c:strRef>
              <c:f>qPCR_Unique!$T$1</c:f>
              <c:strCache>
                <c:ptCount val="1"/>
                <c:pt idx="0">
                  <c:v>Vermamoeba vermiformis</c:v>
                </c:pt>
              </c:strCache>
            </c:strRef>
          </c:tx>
          <c:spPr>
            <a:ln w="6350" cap="rnd">
              <a:solidFill>
                <a:srgbClr val="3CE63C"/>
              </a:solidFill>
              <a:round/>
            </a:ln>
            <a:effectLst/>
          </c:spPr>
          <c:marker>
            <c:symbol val="square"/>
            <c:size val="6"/>
            <c:spPr>
              <a:noFill/>
              <a:ln w="12700">
                <a:solidFill>
                  <a:srgbClr val="3CE63C"/>
                </a:solidFill>
              </a:ln>
              <a:effectLst/>
            </c:spPr>
          </c:marker>
          <c:errBars>
            <c:errDir val="y"/>
            <c:errBarType val="both"/>
            <c:errValType val="cust"/>
            <c:noEndCap val="0"/>
            <c:plus>
              <c:numRef>
                <c:f>qPCR_Unique!$V$46:$V$60</c:f>
                <c:numCache>
                  <c:formatCode>General</c:formatCode>
                  <c:ptCount val="15"/>
                  <c:pt idx="0">
                    <c:v>0.10726372151609645</c:v>
                  </c:pt>
                  <c:pt idx="1">
                    <c:v>4.9000279175812296E-2</c:v>
                  </c:pt>
                  <c:pt idx="2">
                    <c:v>0.11065764998328662</c:v>
                  </c:pt>
                  <c:pt idx="3">
                    <c:v>0.19713848137834883</c:v>
                  </c:pt>
                  <c:pt idx="4">
                    <c:v>0.23102537419596508</c:v>
                  </c:pt>
                  <c:pt idx="5">
                    <c:v>0</c:v>
                  </c:pt>
                  <c:pt idx="6">
                    <c:v>0.43429448190325171</c:v>
                  </c:pt>
                  <c:pt idx="7">
                    <c:v>0</c:v>
                  </c:pt>
                  <c:pt idx="8">
                    <c:v>0</c:v>
                  </c:pt>
                  <c:pt idx="9">
                    <c:v>0</c:v>
                  </c:pt>
                  <c:pt idx="10">
                    <c:v>0</c:v>
                  </c:pt>
                  <c:pt idx="11">
                    <c:v>0.39470044109863828</c:v>
                  </c:pt>
                  <c:pt idx="12">
                    <c:v>8.9075877705358117E-2</c:v>
                  </c:pt>
                  <c:pt idx="13">
                    <c:v>3.2776225738422965E-4</c:v>
                  </c:pt>
                  <c:pt idx="14">
                    <c:v>0.43429448190325176</c:v>
                  </c:pt>
                </c:numCache>
              </c:numRef>
            </c:plus>
            <c:minus>
              <c:numRef>
                <c:f>qPCR_Unique!$V$46:$V$60</c:f>
                <c:numCache>
                  <c:formatCode>General</c:formatCode>
                  <c:ptCount val="15"/>
                  <c:pt idx="0">
                    <c:v>0.10726372151609645</c:v>
                  </c:pt>
                  <c:pt idx="1">
                    <c:v>4.9000279175812296E-2</c:v>
                  </c:pt>
                  <c:pt idx="2">
                    <c:v>0.11065764998328662</c:v>
                  </c:pt>
                  <c:pt idx="3">
                    <c:v>0.19713848137834883</c:v>
                  </c:pt>
                  <c:pt idx="4">
                    <c:v>0.23102537419596508</c:v>
                  </c:pt>
                  <c:pt idx="5">
                    <c:v>0</c:v>
                  </c:pt>
                  <c:pt idx="6">
                    <c:v>0.43429448190325171</c:v>
                  </c:pt>
                  <c:pt idx="7">
                    <c:v>0</c:v>
                  </c:pt>
                  <c:pt idx="8">
                    <c:v>0</c:v>
                  </c:pt>
                  <c:pt idx="9">
                    <c:v>0</c:v>
                  </c:pt>
                  <c:pt idx="10">
                    <c:v>0</c:v>
                  </c:pt>
                  <c:pt idx="11">
                    <c:v>0.39470044109863828</c:v>
                  </c:pt>
                  <c:pt idx="12">
                    <c:v>8.9075877705358117E-2</c:v>
                  </c:pt>
                  <c:pt idx="13">
                    <c:v>3.2776225738422965E-4</c:v>
                  </c:pt>
                  <c:pt idx="14">
                    <c:v>0.43429448190325176</c:v>
                  </c:pt>
                </c:numCache>
              </c:numRef>
            </c:minus>
            <c:spPr>
              <a:noFill/>
              <a:ln w="12700" cap="flat" cmpd="sng" algn="ctr">
                <a:solidFill>
                  <a:srgbClr val="3CE63C"/>
                </a:solidFill>
                <a:round/>
              </a:ln>
              <a:effectLst/>
            </c:spPr>
          </c:errBars>
          <c:cat>
            <c:numRef>
              <c:f>qPCR_Unique!$G$46:$G$60</c:f>
              <c:numCache>
                <c:formatCode>mm/dd/yyyy</c:formatCode>
                <c:ptCount val="15"/>
                <c:pt idx="0">
                  <c:v>44335</c:v>
                </c:pt>
                <c:pt idx="1">
                  <c:v>44342</c:v>
                </c:pt>
                <c:pt idx="2">
                  <c:v>44350</c:v>
                </c:pt>
                <c:pt idx="3">
                  <c:v>44356</c:v>
                </c:pt>
                <c:pt idx="4">
                  <c:v>44363</c:v>
                </c:pt>
                <c:pt idx="5">
                  <c:v>44370</c:v>
                </c:pt>
                <c:pt idx="6">
                  <c:v>44377</c:v>
                </c:pt>
                <c:pt idx="7">
                  <c:v>44385</c:v>
                </c:pt>
                <c:pt idx="8">
                  <c:v>44391</c:v>
                </c:pt>
                <c:pt idx="9">
                  <c:v>44398</c:v>
                </c:pt>
                <c:pt idx="10">
                  <c:v>44405</c:v>
                </c:pt>
                <c:pt idx="11">
                  <c:v>44412</c:v>
                </c:pt>
                <c:pt idx="12">
                  <c:v>44419</c:v>
                </c:pt>
                <c:pt idx="13">
                  <c:v>44426</c:v>
                </c:pt>
                <c:pt idx="14">
                  <c:v>44433</c:v>
                </c:pt>
              </c:numCache>
            </c:numRef>
          </c:cat>
          <c:val>
            <c:numRef>
              <c:f>qPCR_Unique!$U$46:$U$60</c:f>
              <c:numCache>
                <c:formatCode>0.000</c:formatCode>
                <c:ptCount val="15"/>
                <c:pt idx="0">
                  <c:v>4.2795797096603305</c:v>
                </c:pt>
                <c:pt idx="1">
                  <c:v>4.8620221165427324</c:v>
                </c:pt>
                <c:pt idx="2">
                  <c:v>3.988365407749451</c:v>
                </c:pt>
                <c:pt idx="3">
                  <c:v>4.1933167364170636</c:v>
                </c:pt>
                <c:pt idx="4">
                  <c:v>3.4723657347419548</c:v>
                </c:pt>
                <c:pt idx="5">
                  <c:v>0</c:v>
                </c:pt>
                <c:pt idx="6">
                  <c:v>2.5084394771307048</c:v>
                </c:pt>
                <c:pt idx="7">
                  <c:v>0</c:v>
                </c:pt>
                <c:pt idx="8">
                  <c:v>0</c:v>
                </c:pt>
                <c:pt idx="9">
                  <c:v>0</c:v>
                </c:pt>
                <c:pt idx="10">
                  <c:v>0</c:v>
                </c:pt>
                <c:pt idx="11">
                  <c:v>3.6007424370072556</c:v>
                </c:pt>
                <c:pt idx="12">
                  <c:v>2.5896089250665399</c:v>
                </c:pt>
                <c:pt idx="13">
                  <c:v>3.8292751375319267</c:v>
                </c:pt>
                <c:pt idx="14">
                  <c:v>2.6977679697637789</c:v>
                </c:pt>
              </c:numCache>
            </c:numRef>
          </c:val>
          <c:smooth val="0"/>
          <c:extLst>
            <c:ext xmlns:c16="http://schemas.microsoft.com/office/drawing/2014/chart" uri="{C3380CC4-5D6E-409C-BE32-E72D297353CC}">
              <c16:uniqueId val="{00000003-7446-4B6D-B1AA-AA595C2338B6}"/>
            </c:ext>
          </c:extLst>
        </c:ser>
        <c:ser>
          <c:idx val="4"/>
          <c:order val="4"/>
          <c:tx>
            <c:strRef>
              <c:f>qPCR_Unique!$W$1</c:f>
              <c:strCache>
                <c:ptCount val="1"/>
                <c:pt idx="0">
                  <c:v>Summed OP</c:v>
                </c:pt>
              </c:strCache>
            </c:strRef>
          </c:tx>
          <c:spPr>
            <a:ln w="6350" cap="rnd">
              <a:solidFill>
                <a:srgbClr val="28C8C8"/>
              </a:solidFill>
              <a:round/>
            </a:ln>
            <a:effectLst/>
          </c:spPr>
          <c:marker>
            <c:symbol val="diamond"/>
            <c:size val="12"/>
            <c:spPr>
              <a:noFill/>
              <a:ln w="12700">
                <a:solidFill>
                  <a:srgbClr val="28C8C8"/>
                </a:solidFill>
              </a:ln>
              <a:effectLst/>
            </c:spPr>
          </c:marker>
          <c:cat>
            <c:numRef>
              <c:f>qPCR_Unique!$G$46:$G$60</c:f>
              <c:numCache>
                <c:formatCode>mm/dd/yyyy</c:formatCode>
                <c:ptCount val="15"/>
                <c:pt idx="0">
                  <c:v>44335</c:v>
                </c:pt>
                <c:pt idx="1">
                  <c:v>44342</c:v>
                </c:pt>
                <c:pt idx="2">
                  <c:v>44350</c:v>
                </c:pt>
                <c:pt idx="3">
                  <c:v>44356</c:v>
                </c:pt>
                <c:pt idx="4">
                  <c:v>44363</c:v>
                </c:pt>
                <c:pt idx="5">
                  <c:v>44370</c:v>
                </c:pt>
                <c:pt idx="6">
                  <c:v>44377</c:v>
                </c:pt>
                <c:pt idx="7">
                  <c:v>44385</c:v>
                </c:pt>
                <c:pt idx="8">
                  <c:v>44391</c:v>
                </c:pt>
                <c:pt idx="9">
                  <c:v>44398</c:v>
                </c:pt>
                <c:pt idx="10">
                  <c:v>44405</c:v>
                </c:pt>
                <c:pt idx="11">
                  <c:v>44412</c:v>
                </c:pt>
                <c:pt idx="12">
                  <c:v>44419</c:v>
                </c:pt>
                <c:pt idx="13">
                  <c:v>44426</c:v>
                </c:pt>
                <c:pt idx="14">
                  <c:v>44433</c:v>
                </c:pt>
              </c:numCache>
            </c:numRef>
          </c:cat>
          <c:val>
            <c:numRef>
              <c:f>qPCR_Unique!$X$46:$X$60</c:f>
              <c:numCache>
                <c:formatCode>0.000</c:formatCode>
                <c:ptCount val="15"/>
                <c:pt idx="0">
                  <c:v>5.6642299495850637</c:v>
                </c:pt>
                <c:pt idx="1">
                  <c:v>5.6320611658056414</c:v>
                </c:pt>
                <c:pt idx="2">
                  <c:v>5.4067330050285776</c:v>
                </c:pt>
                <c:pt idx="3">
                  <c:v>5.4349265887930054</c:v>
                </c:pt>
                <c:pt idx="4">
                  <c:v>6.1661212817726314</c:v>
                </c:pt>
                <c:pt idx="5">
                  <c:v>2.2607593586424297</c:v>
                </c:pt>
                <c:pt idx="6">
                  <c:v>2.7714015726213659</c:v>
                </c:pt>
                <c:pt idx="7">
                  <c:v>3.2923774298888513</c:v>
                </c:pt>
                <c:pt idx="8">
                  <c:v>3.5826569497851435</c:v>
                </c:pt>
                <c:pt idx="9">
                  <c:v>2.8017767523015138</c:v>
                </c:pt>
                <c:pt idx="10">
                  <c:v>2.8116039394663228</c:v>
                </c:pt>
                <c:pt idx="11">
                  <c:v>4.9102587878722295</c:v>
                </c:pt>
                <c:pt idx="12">
                  <c:v>3.7170530382877782</c:v>
                </c:pt>
                <c:pt idx="13">
                  <c:v>4.815156537643583</c:v>
                </c:pt>
                <c:pt idx="14">
                  <c:v>4.5988180698718546</c:v>
                </c:pt>
              </c:numCache>
            </c:numRef>
          </c:val>
          <c:smooth val="0"/>
          <c:extLst>
            <c:ext xmlns:c16="http://schemas.microsoft.com/office/drawing/2014/chart" uri="{C3380CC4-5D6E-409C-BE32-E72D297353CC}">
              <c16:uniqueId val="{00000004-7446-4B6D-B1AA-AA595C2338B6}"/>
            </c:ext>
          </c:extLst>
        </c:ser>
        <c:dLbls>
          <c:showLegendKey val="0"/>
          <c:showVal val="0"/>
          <c:showCatName val="0"/>
          <c:showSerName val="0"/>
          <c:showPercent val="0"/>
          <c:showBubbleSize val="0"/>
        </c:dLbls>
        <c:marker val="1"/>
        <c:smooth val="0"/>
        <c:axId val="403941288"/>
        <c:axId val="403917672"/>
      </c:lineChart>
      <c:lineChart>
        <c:grouping val="standard"/>
        <c:varyColors val="0"/>
        <c:ser>
          <c:idx val="5"/>
          <c:order val="5"/>
          <c:tx>
            <c:strRef>
              <c:f>qPCR_Unique!$H$1</c:f>
              <c:strCache>
                <c:ptCount val="1"/>
                <c:pt idx="0">
                  <c:v>Total bacteria</c:v>
                </c:pt>
              </c:strCache>
            </c:strRef>
          </c:tx>
          <c:spPr>
            <a:ln w="6350" cap="rnd">
              <a:solidFill>
                <a:schemeClr val="tx1"/>
              </a:solidFill>
              <a:round/>
            </a:ln>
            <a:effectLst/>
          </c:spPr>
          <c:marker>
            <c:symbol val="triangle"/>
            <c:size val="8"/>
            <c:spPr>
              <a:noFill/>
              <a:ln w="12700">
                <a:solidFill>
                  <a:schemeClr val="tx1"/>
                </a:solidFill>
              </a:ln>
              <a:effectLst/>
            </c:spPr>
          </c:marker>
          <c:errBars>
            <c:errDir val="y"/>
            <c:errBarType val="both"/>
            <c:errValType val="cust"/>
            <c:noEndCap val="0"/>
            <c:plus>
              <c:numRef>
                <c:f>qPCR_Unique!$J$46:$J$60</c:f>
                <c:numCache>
                  <c:formatCode>General</c:formatCode>
                  <c:ptCount val="15"/>
                  <c:pt idx="0">
                    <c:v>9.4693353160028634E-3</c:v>
                  </c:pt>
                  <c:pt idx="1">
                    <c:v>5.697006617585415E-2</c:v>
                  </c:pt>
                  <c:pt idx="2">
                    <c:v>3.7119818005133344E-2</c:v>
                  </c:pt>
                  <c:pt idx="3">
                    <c:v>0.30460877718942764</c:v>
                  </c:pt>
                  <c:pt idx="4">
                    <c:v>0.20569752131575036</c:v>
                  </c:pt>
                  <c:pt idx="5">
                    <c:v>0.34685296928100606</c:v>
                  </c:pt>
                  <c:pt idx="6">
                    <c:v>3.7754077490664874E-2</c:v>
                  </c:pt>
                  <c:pt idx="7">
                    <c:v>0.27693543959643552</c:v>
                  </c:pt>
                  <c:pt idx="8">
                    <c:v>0.10928610789896223</c:v>
                  </c:pt>
                  <c:pt idx="9">
                    <c:v>9.8835135429531762E-2</c:v>
                  </c:pt>
                  <c:pt idx="10">
                    <c:v>0.24708577393031075</c:v>
                  </c:pt>
                  <c:pt idx="11">
                    <c:v>1.1904459936508623E-2</c:v>
                  </c:pt>
                  <c:pt idx="12">
                    <c:v>7.6929408610107664E-2</c:v>
                  </c:pt>
                  <c:pt idx="13">
                    <c:v>0.13191196306402403</c:v>
                  </c:pt>
                  <c:pt idx="14">
                    <c:v>0.31202986383023479</c:v>
                  </c:pt>
                </c:numCache>
              </c:numRef>
            </c:plus>
            <c:minus>
              <c:numRef>
                <c:f>qPCR_Unique!$J$46:$J$60</c:f>
                <c:numCache>
                  <c:formatCode>General</c:formatCode>
                  <c:ptCount val="15"/>
                  <c:pt idx="0">
                    <c:v>9.4693353160028634E-3</c:v>
                  </c:pt>
                  <c:pt idx="1">
                    <c:v>5.697006617585415E-2</c:v>
                  </c:pt>
                  <c:pt idx="2">
                    <c:v>3.7119818005133344E-2</c:v>
                  </c:pt>
                  <c:pt idx="3">
                    <c:v>0.30460877718942764</c:v>
                  </c:pt>
                  <c:pt idx="4">
                    <c:v>0.20569752131575036</c:v>
                  </c:pt>
                  <c:pt idx="5">
                    <c:v>0.34685296928100606</c:v>
                  </c:pt>
                  <c:pt idx="6">
                    <c:v>3.7754077490664874E-2</c:v>
                  </c:pt>
                  <c:pt idx="7">
                    <c:v>0.27693543959643552</c:v>
                  </c:pt>
                  <c:pt idx="8">
                    <c:v>0.10928610789896223</c:v>
                  </c:pt>
                  <c:pt idx="9">
                    <c:v>9.8835135429531762E-2</c:v>
                  </c:pt>
                  <c:pt idx="10">
                    <c:v>0.24708577393031075</c:v>
                  </c:pt>
                  <c:pt idx="11">
                    <c:v>1.1904459936508623E-2</c:v>
                  </c:pt>
                  <c:pt idx="12">
                    <c:v>7.6929408610107664E-2</c:v>
                  </c:pt>
                  <c:pt idx="13">
                    <c:v>0.13191196306402403</c:v>
                  </c:pt>
                  <c:pt idx="14">
                    <c:v>0.31202986383023479</c:v>
                  </c:pt>
                </c:numCache>
              </c:numRef>
            </c:minus>
            <c:spPr>
              <a:noFill/>
              <a:ln w="12700" cap="flat" cmpd="sng" algn="ctr">
                <a:solidFill>
                  <a:schemeClr val="tx1"/>
                </a:solidFill>
                <a:round/>
              </a:ln>
              <a:effectLst/>
            </c:spPr>
          </c:errBars>
          <c:cat>
            <c:numRef>
              <c:f>qPCR_Unique!$G$46:$G$60</c:f>
              <c:numCache>
                <c:formatCode>mm/dd/yyyy</c:formatCode>
                <c:ptCount val="15"/>
                <c:pt idx="0">
                  <c:v>44335</c:v>
                </c:pt>
                <c:pt idx="1">
                  <c:v>44342</c:v>
                </c:pt>
                <c:pt idx="2">
                  <c:v>44350</c:v>
                </c:pt>
                <c:pt idx="3">
                  <c:v>44356</c:v>
                </c:pt>
                <c:pt idx="4">
                  <c:v>44363</c:v>
                </c:pt>
                <c:pt idx="5">
                  <c:v>44370</c:v>
                </c:pt>
                <c:pt idx="6">
                  <c:v>44377</c:v>
                </c:pt>
                <c:pt idx="7">
                  <c:v>44385</c:v>
                </c:pt>
                <c:pt idx="8">
                  <c:v>44391</c:v>
                </c:pt>
                <c:pt idx="9">
                  <c:v>44398</c:v>
                </c:pt>
                <c:pt idx="10">
                  <c:v>44405</c:v>
                </c:pt>
                <c:pt idx="11">
                  <c:v>44412</c:v>
                </c:pt>
                <c:pt idx="12">
                  <c:v>44419</c:v>
                </c:pt>
                <c:pt idx="13">
                  <c:v>44426</c:v>
                </c:pt>
                <c:pt idx="14">
                  <c:v>44433</c:v>
                </c:pt>
              </c:numCache>
            </c:numRef>
          </c:cat>
          <c:val>
            <c:numRef>
              <c:f>qPCR_Unique!$I$46:$I$60</c:f>
              <c:numCache>
                <c:formatCode>0.000</c:formatCode>
                <c:ptCount val="15"/>
                <c:pt idx="0">
                  <c:v>8.2003369395001009</c:v>
                </c:pt>
                <c:pt idx="1">
                  <c:v>8.3862630230825239</c:v>
                </c:pt>
                <c:pt idx="2">
                  <c:v>8.0704679014845713</c:v>
                </c:pt>
                <c:pt idx="3">
                  <c:v>10.071276621177251</c:v>
                </c:pt>
                <c:pt idx="4">
                  <c:v>7.8383692808696015</c:v>
                </c:pt>
                <c:pt idx="5">
                  <c:v>6.8420854826283053</c:v>
                </c:pt>
                <c:pt idx="6">
                  <c:v>6.7899646648484158</c:v>
                </c:pt>
                <c:pt idx="7">
                  <c:v>6.8892170572706553</c:v>
                </c:pt>
                <c:pt idx="8">
                  <c:v>7.362246912755932</c:v>
                </c:pt>
                <c:pt idx="9">
                  <c:v>6.6054349674181383</c:v>
                </c:pt>
                <c:pt idx="10">
                  <c:v>6.857961824343902</c:v>
                </c:pt>
                <c:pt idx="11">
                  <c:v>7.9014692811254186</c:v>
                </c:pt>
                <c:pt idx="12">
                  <c:v>7.3491595906222695</c:v>
                </c:pt>
                <c:pt idx="13">
                  <c:v>8.2912776118587743</c:v>
                </c:pt>
                <c:pt idx="14">
                  <c:v>7.6954268258771572</c:v>
                </c:pt>
              </c:numCache>
            </c:numRef>
          </c:val>
          <c:smooth val="0"/>
          <c:extLst>
            <c:ext xmlns:c16="http://schemas.microsoft.com/office/drawing/2014/chart" uri="{C3380CC4-5D6E-409C-BE32-E72D297353CC}">
              <c16:uniqueId val="{00000005-7446-4B6D-B1AA-AA595C2338B6}"/>
            </c:ext>
          </c:extLst>
        </c:ser>
        <c:dLbls>
          <c:showLegendKey val="0"/>
          <c:showVal val="0"/>
          <c:showCatName val="0"/>
          <c:showSerName val="0"/>
          <c:showPercent val="0"/>
          <c:showBubbleSize val="0"/>
        </c:dLbls>
        <c:marker val="1"/>
        <c:smooth val="0"/>
        <c:axId val="803049488"/>
        <c:axId val="803055720"/>
      </c:lineChart>
      <c:dateAx>
        <c:axId val="403941288"/>
        <c:scaling>
          <c:orientation val="minMax"/>
          <c:max val="44434"/>
          <c:min val="44334"/>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Sampling times--</a:t>
                </a:r>
                <a:r>
                  <a:rPr lang="en-US" b="1">
                    <a:solidFill>
                      <a:srgbClr val="FF0000"/>
                    </a:solidFill>
                  </a:rPr>
                  <a:t>MRT</a:t>
                </a:r>
              </a:p>
            </c:rich>
          </c:tx>
          <c:layout>
            <c:manualLayout>
              <c:xMode val="edge"/>
              <c:yMode val="edge"/>
              <c:x val="0.39785997109175708"/>
              <c:y val="0.94951730232117781"/>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mm/dd/yyyy" sourceLinked="1"/>
        <c:majorTickMark val="out"/>
        <c:minorTickMark val="in"/>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03917672"/>
        <c:crosses val="autoZero"/>
        <c:auto val="1"/>
        <c:lblOffset val="100"/>
        <c:baseTimeUnit val="days"/>
        <c:majorUnit val="10"/>
        <c:majorTimeUnit val="days"/>
        <c:minorUnit val="5"/>
        <c:minorTimeUnit val="days"/>
      </c:dateAx>
      <c:valAx>
        <c:axId val="403917672"/>
        <c:scaling>
          <c:orientation val="minMax"/>
          <c:max val="7"/>
          <c:min val="0"/>
        </c:scaling>
        <c:delete val="0"/>
        <c:axPos val="l"/>
        <c:majorGridlines>
          <c:spPr>
            <a:ln w="1270" cap="flat" cmpd="sng" algn="ctr">
              <a:solidFill>
                <a:schemeClr val="tx1"/>
              </a:solidFill>
              <a:prstDash val="solid"/>
              <a:round/>
            </a:ln>
            <a:effectLst/>
          </c:spPr>
        </c:majorGridlines>
        <c:minorGridlines>
          <c:spPr>
            <a:ln w="1270" cap="flat" cmpd="sng" algn="ctr">
              <a:solidFill>
                <a:schemeClr val="bg2">
                  <a:lumMod val="90000"/>
                </a:schemeClr>
              </a:solidFill>
              <a:prstDash val="dash"/>
              <a:round/>
            </a:ln>
            <a:effectLst/>
          </c:spPr>
        </c:min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sz="1200" b="0" i="0" baseline="0">
                    <a:effectLst/>
                  </a:rPr>
                  <a:t>log</a:t>
                </a:r>
                <a:r>
                  <a:rPr lang="en-US" sz="1200" b="0" i="0" baseline="-25000">
                    <a:effectLst/>
                  </a:rPr>
                  <a:t>10</a:t>
                </a:r>
                <a:r>
                  <a:rPr lang="en-US" sz="1200" b="0" i="0" baseline="0">
                    <a:effectLst/>
                  </a:rPr>
                  <a:t>[OP (GCN·L</a:t>
                </a:r>
                <a:r>
                  <a:rPr lang="en-US" sz="1200" b="0" i="0" baseline="30000">
                    <a:effectLst/>
                  </a:rPr>
                  <a:t>-1</a:t>
                </a:r>
                <a:r>
                  <a:rPr lang="en-US" sz="1200" b="0" i="0" baseline="0">
                    <a:effectLst/>
                  </a:rPr>
                  <a:t>)]</a:t>
                </a:r>
                <a:endParaRPr lang="en-US" sz="1200">
                  <a:effectLst/>
                </a:endParaRPr>
              </a:p>
            </c:rich>
          </c:tx>
          <c:layout>
            <c:manualLayout>
              <c:xMode val="edge"/>
              <c:yMode val="edge"/>
              <c:x val="6.5976053561081385E-5"/>
              <c:y val="0.2827105058966991"/>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0" sourceLinked="0"/>
        <c:majorTickMark val="out"/>
        <c:minorTickMark val="in"/>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03941288"/>
        <c:crosses val="autoZero"/>
        <c:crossBetween val="between"/>
        <c:majorUnit val="1"/>
        <c:minorUnit val="0.25"/>
      </c:valAx>
      <c:valAx>
        <c:axId val="803055720"/>
        <c:scaling>
          <c:orientation val="minMax"/>
          <c:max val="10.5"/>
          <c:min val="6"/>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sz="1200" b="0" i="0" baseline="0">
                    <a:effectLst/>
                  </a:rPr>
                  <a:t>log</a:t>
                </a:r>
                <a:r>
                  <a:rPr lang="en-US" sz="1200" b="0" i="0" baseline="-25000">
                    <a:effectLst/>
                  </a:rPr>
                  <a:t>10</a:t>
                </a:r>
                <a:r>
                  <a:rPr lang="en-US" sz="1200" b="0" i="0" baseline="0">
                    <a:effectLst/>
                  </a:rPr>
                  <a:t>[Total bacteria (GCN·L</a:t>
                </a:r>
                <a:r>
                  <a:rPr lang="en-US" sz="1200" b="0" i="0" baseline="30000">
                    <a:effectLst/>
                  </a:rPr>
                  <a:t>-1</a:t>
                </a:r>
                <a:r>
                  <a:rPr lang="en-US" sz="1200" b="0" i="0" baseline="0">
                    <a:effectLst/>
                  </a:rPr>
                  <a:t>)]</a:t>
                </a:r>
                <a:endParaRPr lang="en-US" sz="1200">
                  <a:effectLst/>
                </a:endParaRPr>
              </a:p>
            </c:rich>
          </c:tx>
          <c:layout>
            <c:manualLayout>
              <c:xMode val="edge"/>
              <c:yMode val="edge"/>
              <c:x val="0.95664193998920155"/>
              <c:y val="0.20690728939384437"/>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0" sourceLinked="0"/>
        <c:majorTickMark val="out"/>
        <c:minorTickMark val="in"/>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803049488"/>
        <c:crosses val="max"/>
        <c:crossBetween val="between"/>
        <c:majorUnit val="1"/>
        <c:minorUnit val="0.25"/>
      </c:valAx>
      <c:dateAx>
        <c:axId val="803049488"/>
        <c:scaling>
          <c:orientation val="minMax"/>
        </c:scaling>
        <c:delete val="1"/>
        <c:axPos val="b"/>
        <c:numFmt formatCode="mm/dd/yyyy" sourceLinked="1"/>
        <c:majorTickMark val="out"/>
        <c:minorTickMark val="none"/>
        <c:tickLblPos val="nextTo"/>
        <c:crossAx val="803055720"/>
        <c:crosses val="autoZero"/>
        <c:auto val="1"/>
        <c:lblOffset val="100"/>
        <c:baseTimeUnit val="days"/>
        <c:majorUnit val="1"/>
        <c:minorUnit val="1"/>
      </c:dateAx>
      <c:spPr>
        <a:noFill/>
        <a:ln w="19050">
          <a:solidFill>
            <a:schemeClr val="tx1"/>
          </a:solidFill>
        </a:ln>
        <a:effectLst/>
      </c:spPr>
    </c:plotArea>
    <c:legend>
      <c:legendPos val="r"/>
      <c:legendEntry>
        <c:idx val="0"/>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Entry>
      <c:layout>
        <c:manualLayout>
          <c:xMode val="edge"/>
          <c:yMode val="edge"/>
          <c:x val="0.36979922725161174"/>
          <c:y val="4.0263787125535376E-2"/>
          <c:w val="0.31765286524120145"/>
          <c:h val="0.23454100776731437"/>
        </c:manualLayout>
      </c:layout>
      <c:overlay val="0"/>
      <c:spPr>
        <a:solidFill>
          <a:schemeClr val="bg1"/>
        </a:solid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04646"/>
      </a:solid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13278008298755"/>
          <c:y val="3.6235046109691547E-2"/>
          <c:w val="0.77921161825726137"/>
          <c:h val="0.75850914427279748"/>
        </c:manualLayout>
      </c:layout>
      <c:lineChart>
        <c:grouping val="standard"/>
        <c:varyColors val="0"/>
        <c:ser>
          <c:idx val="3"/>
          <c:order val="0"/>
          <c:tx>
            <c:strRef>
              <c:f>qPCR_Unique!$K$1</c:f>
              <c:strCache>
                <c:ptCount val="1"/>
                <c:pt idx="0">
                  <c:v>Legionella</c:v>
                </c:pt>
              </c:strCache>
            </c:strRef>
          </c:tx>
          <c:spPr>
            <a:ln w="6350" cap="rnd">
              <a:solidFill>
                <a:srgbClr val="F04646"/>
              </a:solidFill>
              <a:round/>
            </a:ln>
            <a:effectLst/>
          </c:spPr>
          <c:marker>
            <c:symbol val="circle"/>
            <c:size val="6"/>
            <c:spPr>
              <a:solidFill>
                <a:srgbClr val="F04646"/>
              </a:solidFill>
              <a:ln w="12700">
                <a:solidFill>
                  <a:srgbClr val="F04646"/>
                </a:solidFill>
              </a:ln>
              <a:effectLst/>
            </c:spPr>
          </c:marker>
          <c:errBars>
            <c:errDir val="y"/>
            <c:errBarType val="both"/>
            <c:errValType val="cust"/>
            <c:noEndCap val="0"/>
            <c:plus>
              <c:numRef>
                <c:f>qPCR_Unique!$M$91:$M$104</c:f>
                <c:numCache>
                  <c:formatCode>General</c:formatCode>
                  <c:ptCount val="14"/>
                  <c:pt idx="0">
                    <c:v>0.12709458869450224</c:v>
                  </c:pt>
                  <c:pt idx="1">
                    <c:v>3.5812018699240653E-2</c:v>
                  </c:pt>
                  <c:pt idx="2">
                    <c:v>0.3644308263511829</c:v>
                  </c:pt>
                  <c:pt idx="3">
                    <c:v>0.15678079984202778</c:v>
                  </c:pt>
                  <c:pt idx="4">
                    <c:v>0</c:v>
                  </c:pt>
                  <c:pt idx="5">
                    <c:v>0</c:v>
                  </c:pt>
                  <c:pt idx="6">
                    <c:v>2.210494229572459E-2</c:v>
                  </c:pt>
                  <c:pt idx="7">
                    <c:v>0.43429448190325176</c:v>
                  </c:pt>
                  <c:pt idx="8">
                    <c:v>0.43429448190325176</c:v>
                  </c:pt>
                  <c:pt idx="9">
                    <c:v>8.5016048257424287E-2</c:v>
                  </c:pt>
                  <c:pt idx="10">
                    <c:v>0.11528184311666682</c:v>
                  </c:pt>
                  <c:pt idx="11">
                    <c:v>5.7076718338304251E-2</c:v>
                  </c:pt>
                  <c:pt idx="12">
                    <c:v>9.821845073165765E-2</c:v>
                  </c:pt>
                  <c:pt idx="13">
                    <c:v>1.7841915804778638E-3</c:v>
                  </c:pt>
                </c:numCache>
              </c:numRef>
            </c:plus>
            <c:minus>
              <c:numRef>
                <c:f>qPCR_Unique!$M$91:$M$104</c:f>
                <c:numCache>
                  <c:formatCode>General</c:formatCode>
                  <c:ptCount val="14"/>
                  <c:pt idx="0">
                    <c:v>0.12709458869450224</c:v>
                  </c:pt>
                  <c:pt idx="1">
                    <c:v>3.5812018699240653E-2</c:v>
                  </c:pt>
                  <c:pt idx="2">
                    <c:v>0.3644308263511829</c:v>
                  </c:pt>
                  <c:pt idx="3">
                    <c:v>0.15678079984202778</c:v>
                  </c:pt>
                  <c:pt idx="4">
                    <c:v>0</c:v>
                  </c:pt>
                  <c:pt idx="5">
                    <c:v>0</c:v>
                  </c:pt>
                  <c:pt idx="6">
                    <c:v>2.210494229572459E-2</c:v>
                  </c:pt>
                  <c:pt idx="7">
                    <c:v>0.43429448190325176</c:v>
                  </c:pt>
                  <c:pt idx="8">
                    <c:v>0.43429448190325176</c:v>
                  </c:pt>
                  <c:pt idx="9">
                    <c:v>8.5016048257424287E-2</c:v>
                  </c:pt>
                  <c:pt idx="10">
                    <c:v>0.11528184311666682</c:v>
                  </c:pt>
                  <c:pt idx="11">
                    <c:v>5.7076718338304251E-2</c:v>
                  </c:pt>
                  <c:pt idx="12">
                    <c:v>9.821845073165765E-2</c:v>
                  </c:pt>
                  <c:pt idx="13">
                    <c:v>1.7841915804778638E-3</c:v>
                  </c:pt>
                </c:numCache>
              </c:numRef>
            </c:minus>
            <c:spPr>
              <a:noFill/>
              <a:ln w="12700" cap="flat" cmpd="sng" algn="ctr">
                <a:solidFill>
                  <a:srgbClr val="F04646"/>
                </a:solidFill>
                <a:round/>
              </a:ln>
              <a:effectLst/>
            </c:spPr>
          </c:errBars>
          <c:cat>
            <c:numRef>
              <c:f>qPCR_Unique!$G$91:$G$104</c:f>
              <c:numCache>
                <c:formatCode>mm/dd/yyyy</c:formatCode>
                <c:ptCount val="14"/>
                <c:pt idx="0">
                  <c:v>44335</c:v>
                </c:pt>
                <c:pt idx="1">
                  <c:v>44342</c:v>
                </c:pt>
                <c:pt idx="2">
                  <c:v>44350</c:v>
                </c:pt>
                <c:pt idx="3">
                  <c:v>44356</c:v>
                </c:pt>
                <c:pt idx="4">
                  <c:v>44363</c:v>
                </c:pt>
                <c:pt idx="5">
                  <c:v>44370</c:v>
                </c:pt>
                <c:pt idx="6">
                  <c:v>44385</c:v>
                </c:pt>
                <c:pt idx="7">
                  <c:v>44391</c:v>
                </c:pt>
                <c:pt idx="8">
                  <c:v>44398</c:v>
                </c:pt>
                <c:pt idx="9">
                  <c:v>44405</c:v>
                </c:pt>
                <c:pt idx="10">
                  <c:v>44412</c:v>
                </c:pt>
                <c:pt idx="11">
                  <c:v>44419</c:v>
                </c:pt>
                <c:pt idx="12">
                  <c:v>44426</c:v>
                </c:pt>
                <c:pt idx="13">
                  <c:v>44433</c:v>
                </c:pt>
              </c:numCache>
            </c:numRef>
          </c:cat>
          <c:val>
            <c:numRef>
              <c:f>qPCR_Unique!$L$91:$L$104</c:f>
              <c:numCache>
                <c:formatCode>0.000</c:formatCode>
                <c:ptCount val="14"/>
                <c:pt idx="0">
                  <c:v>5.2988036670212644</c:v>
                </c:pt>
                <c:pt idx="1">
                  <c:v>5.0132062005410614</c:v>
                </c:pt>
                <c:pt idx="2">
                  <c:v>5.4341633506233746</c:v>
                </c:pt>
                <c:pt idx="3">
                  <c:v>4.6631920852005928</c:v>
                </c:pt>
                <c:pt idx="4">
                  <c:v>0</c:v>
                </c:pt>
                <c:pt idx="5">
                  <c:v>0</c:v>
                </c:pt>
                <c:pt idx="6">
                  <c:v>3.305476178149656</c:v>
                </c:pt>
                <c:pt idx="7">
                  <c:v>2.371208054202266</c:v>
                </c:pt>
                <c:pt idx="8">
                  <c:v>2.4030170419172112</c:v>
                </c:pt>
                <c:pt idx="9">
                  <c:v>4.3643485262595734</c:v>
                </c:pt>
                <c:pt idx="10">
                  <c:v>4.3702022723114844</c:v>
                </c:pt>
                <c:pt idx="11">
                  <c:v>4.0281339200625865</c:v>
                </c:pt>
                <c:pt idx="12">
                  <c:v>4.8574166910971099</c:v>
                </c:pt>
                <c:pt idx="13">
                  <c:v>4.1463350032418775</c:v>
                </c:pt>
              </c:numCache>
            </c:numRef>
          </c:val>
          <c:smooth val="0"/>
          <c:extLst>
            <c:ext xmlns:c16="http://schemas.microsoft.com/office/drawing/2014/chart" uri="{C3380CC4-5D6E-409C-BE32-E72D297353CC}">
              <c16:uniqueId val="{00000000-86BA-445D-9A8D-208361230183}"/>
            </c:ext>
          </c:extLst>
        </c:ser>
        <c:ser>
          <c:idx val="0"/>
          <c:order val="1"/>
          <c:tx>
            <c:strRef>
              <c:f>qPCR_Unique!$N$1</c:f>
              <c:strCache>
                <c:ptCount val="1"/>
                <c:pt idx="0">
                  <c:v>Mycobacterium</c:v>
                </c:pt>
              </c:strCache>
            </c:strRef>
          </c:tx>
          <c:spPr>
            <a:ln w="6350" cap="rnd">
              <a:solidFill>
                <a:srgbClr val="5064E6"/>
              </a:solidFill>
              <a:round/>
            </a:ln>
            <a:effectLst/>
          </c:spPr>
          <c:marker>
            <c:symbol val="circle"/>
            <c:size val="6"/>
            <c:spPr>
              <a:noFill/>
              <a:ln w="12700">
                <a:solidFill>
                  <a:srgbClr val="5064E6">
                    <a:alpha val="94902"/>
                  </a:srgbClr>
                </a:solidFill>
              </a:ln>
              <a:effectLst/>
            </c:spPr>
          </c:marker>
          <c:errBars>
            <c:errDir val="y"/>
            <c:errBarType val="both"/>
            <c:errValType val="cust"/>
            <c:noEndCap val="0"/>
            <c:plus>
              <c:numRef>
                <c:f>qPCR_Unique!$P$91:$P$104</c:f>
                <c:numCache>
                  <c:formatCode>General</c:formatCode>
                  <c:ptCount val="14"/>
                  <c:pt idx="0">
                    <c:v>7.8271142215945305E-2</c:v>
                  </c:pt>
                  <c:pt idx="1">
                    <c:v>0.12944281257362644</c:v>
                  </c:pt>
                  <c:pt idx="2">
                    <c:v>0.43429448190325176</c:v>
                  </c:pt>
                  <c:pt idx="3">
                    <c:v>6.4515934514715245E-3</c:v>
                  </c:pt>
                  <c:pt idx="4">
                    <c:v>0</c:v>
                  </c:pt>
                  <c:pt idx="5">
                    <c:v>0.43406397951280501</c:v>
                  </c:pt>
                  <c:pt idx="6">
                    <c:v>0</c:v>
                  </c:pt>
                  <c:pt idx="7">
                    <c:v>0.43429448190325176</c:v>
                  </c:pt>
                  <c:pt idx="8">
                    <c:v>0</c:v>
                  </c:pt>
                  <c:pt idx="9">
                    <c:v>4.1551496010425709E-2</c:v>
                  </c:pt>
                  <c:pt idx="10">
                    <c:v>0.16854605888198093</c:v>
                  </c:pt>
                  <c:pt idx="11">
                    <c:v>0.1741573434932005</c:v>
                  </c:pt>
                  <c:pt idx="12">
                    <c:v>0.235754157429895</c:v>
                  </c:pt>
                  <c:pt idx="13">
                    <c:v>0.43429448190325171</c:v>
                  </c:pt>
                </c:numCache>
              </c:numRef>
            </c:plus>
            <c:minus>
              <c:numRef>
                <c:f>qPCR_Unique!$P$91:$P$104</c:f>
                <c:numCache>
                  <c:formatCode>General</c:formatCode>
                  <c:ptCount val="14"/>
                  <c:pt idx="0">
                    <c:v>7.8271142215945305E-2</c:v>
                  </c:pt>
                  <c:pt idx="1">
                    <c:v>0.12944281257362644</c:v>
                  </c:pt>
                  <c:pt idx="2">
                    <c:v>0.43429448190325176</c:v>
                  </c:pt>
                  <c:pt idx="3">
                    <c:v>6.4515934514715245E-3</c:v>
                  </c:pt>
                  <c:pt idx="4">
                    <c:v>0</c:v>
                  </c:pt>
                  <c:pt idx="5">
                    <c:v>0.43406397951280501</c:v>
                  </c:pt>
                  <c:pt idx="6">
                    <c:v>0</c:v>
                  </c:pt>
                  <c:pt idx="7">
                    <c:v>0.43429448190325176</c:v>
                  </c:pt>
                  <c:pt idx="8">
                    <c:v>0</c:v>
                  </c:pt>
                  <c:pt idx="9">
                    <c:v>4.1551496010425709E-2</c:v>
                  </c:pt>
                  <c:pt idx="10">
                    <c:v>0.16854605888198093</c:v>
                  </c:pt>
                  <c:pt idx="11">
                    <c:v>0.1741573434932005</c:v>
                  </c:pt>
                  <c:pt idx="12">
                    <c:v>0.235754157429895</c:v>
                  </c:pt>
                  <c:pt idx="13">
                    <c:v>0.43429448190325171</c:v>
                  </c:pt>
                </c:numCache>
              </c:numRef>
            </c:minus>
            <c:spPr>
              <a:noFill/>
              <a:ln w="12700" cap="flat" cmpd="sng" algn="ctr">
                <a:solidFill>
                  <a:srgbClr val="5064E6"/>
                </a:solidFill>
                <a:round/>
              </a:ln>
              <a:effectLst/>
            </c:spPr>
          </c:errBars>
          <c:cat>
            <c:numRef>
              <c:f>qPCR_Unique!$G$91:$G$104</c:f>
              <c:numCache>
                <c:formatCode>mm/dd/yyyy</c:formatCode>
                <c:ptCount val="14"/>
                <c:pt idx="0">
                  <c:v>44335</c:v>
                </c:pt>
                <c:pt idx="1">
                  <c:v>44342</c:v>
                </c:pt>
                <c:pt idx="2">
                  <c:v>44350</c:v>
                </c:pt>
                <c:pt idx="3">
                  <c:v>44356</c:v>
                </c:pt>
                <c:pt idx="4">
                  <c:v>44363</c:v>
                </c:pt>
                <c:pt idx="5">
                  <c:v>44370</c:v>
                </c:pt>
                <c:pt idx="6">
                  <c:v>44385</c:v>
                </c:pt>
                <c:pt idx="7">
                  <c:v>44391</c:v>
                </c:pt>
                <c:pt idx="8">
                  <c:v>44398</c:v>
                </c:pt>
                <c:pt idx="9">
                  <c:v>44405</c:v>
                </c:pt>
                <c:pt idx="10">
                  <c:v>44412</c:v>
                </c:pt>
                <c:pt idx="11">
                  <c:v>44419</c:v>
                </c:pt>
                <c:pt idx="12">
                  <c:v>44426</c:v>
                </c:pt>
                <c:pt idx="13">
                  <c:v>44433</c:v>
                </c:pt>
              </c:numCache>
            </c:numRef>
          </c:cat>
          <c:val>
            <c:numRef>
              <c:f>qPCR_Unique!$O$91:$O$104</c:f>
              <c:numCache>
                <c:formatCode>0.000</c:formatCode>
                <c:ptCount val="14"/>
                <c:pt idx="0">
                  <c:v>3.2101183280359256</c:v>
                </c:pt>
                <c:pt idx="1">
                  <c:v>3.0326118640148327</c:v>
                </c:pt>
                <c:pt idx="2">
                  <c:v>2.4377615778005475</c:v>
                </c:pt>
                <c:pt idx="3">
                  <c:v>3.1596655425971378</c:v>
                </c:pt>
                <c:pt idx="4">
                  <c:v>0</c:v>
                </c:pt>
                <c:pt idx="5">
                  <c:v>5.3907912736005485</c:v>
                </c:pt>
                <c:pt idx="6">
                  <c:v>0</c:v>
                </c:pt>
                <c:pt idx="7">
                  <c:v>2.3856744524787841</c:v>
                </c:pt>
                <c:pt idx="8">
                  <c:v>0</c:v>
                </c:pt>
                <c:pt idx="9">
                  <c:v>2.7288188780106166</c:v>
                </c:pt>
                <c:pt idx="10">
                  <c:v>3.6123135758582299</c:v>
                </c:pt>
                <c:pt idx="11">
                  <c:v>3.0445447549330433</c:v>
                </c:pt>
                <c:pt idx="12">
                  <c:v>3.4536536059345058</c:v>
                </c:pt>
                <c:pt idx="13">
                  <c:v>1.8098479644559737</c:v>
                </c:pt>
              </c:numCache>
            </c:numRef>
          </c:val>
          <c:smooth val="0"/>
          <c:extLst>
            <c:ext xmlns:c16="http://schemas.microsoft.com/office/drawing/2014/chart" uri="{C3380CC4-5D6E-409C-BE32-E72D297353CC}">
              <c16:uniqueId val="{00000001-86BA-445D-9A8D-208361230183}"/>
            </c:ext>
          </c:extLst>
        </c:ser>
        <c:ser>
          <c:idx val="1"/>
          <c:order val="2"/>
          <c:tx>
            <c:strRef>
              <c:f>qPCR_Unique!$Q$1</c:f>
              <c:strCache>
                <c:ptCount val="1"/>
                <c:pt idx="0">
                  <c:v>Pseudomonas</c:v>
                </c:pt>
              </c:strCache>
            </c:strRef>
          </c:tx>
          <c:spPr>
            <a:ln w="6350" cap="rnd">
              <a:solidFill>
                <a:srgbClr val="F014C8"/>
              </a:solidFill>
              <a:round/>
            </a:ln>
            <a:effectLst/>
          </c:spPr>
          <c:marker>
            <c:symbol val="square"/>
            <c:size val="6"/>
            <c:spPr>
              <a:solidFill>
                <a:srgbClr val="F014C8"/>
              </a:solidFill>
              <a:ln w="12700">
                <a:solidFill>
                  <a:srgbClr val="F014C8"/>
                </a:solidFill>
              </a:ln>
              <a:effectLst/>
            </c:spPr>
          </c:marker>
          <c:errBars>
            <c:errDir val="y"/>
            <c:errBarType val="both"/>
            <c:errValType val="cust"/>
            <c:noEndCap val="0"/>
            <c:plus>
              <c:numRef>
                <c:f>qPCR_Unique!$S$91:$S$104</c:f>
                <c:numCache>
                  <c:formatCode>General</c:formatCode>
                  <c:ptCount val="14"/>
                  <c:pt idx="0">
                    <c:v>7.0897055749523721E-2</c:v>
                  </c:pt>
                  <c:pt idx="1">
                    <c:v>0.43429448190325176</c:v>
                  </c:pt>
                  <c:pt idx="2">
                    <c:v>0</c:v>
                  </c:pt>
                  <c:pt idx="3">
                    <c:v>0.12749209934592101</c:v>
                  </c:pt>
                  <c:pt idx="4">
                    <c:v>0</c:v>
                  </c:pt>
                  <c:pt idx="5">
                    <c:v>0</c:v>
                  </c:pt>
                  <c:pt idx="6">
                    <c:v>0</c:v>
                  </c:pt>
                  <c:pt idx="7">
                    <c:v>0.43429448190325176</c:v>
                  </c:pt>
                  <c:pt idx="8">
                    <c:v>0</c:v>
                  </c:pt>
                  <c:pt idx="9">
                    <c:v>0.43429448190325176</c:v>
                  </c:pt>
                  <c:pt idx="10">
                    <c:v>6.4412239492510293E-2</c:v>
                  </c:pt>
                  <c:pt idx="11">
                    <c:v>0.30942779199513504</c:v>
                  </c:pt>
                  <c:pt idx="12">
                    <c:v>0.43429448190325176</c:v>
                  </c:pt>
                  <c:pt idx="13">
                    <c:v>0</c:v>
                  </c:pt>
                </c:numCache>
              </c:numRef>
            </c:plus>
            <c:minus>
              <c:numRef>
                <c:f>qPCR_Unique!$S$91:$S$104</c:f>
                <c:numCache>
                  <c:formatCode>General</c:formatCode>
                  <c:ptCount val="14"/>
                  <c:pt idx="0">
                    <c:v>7.0897055749523721E-2</c:v>
                  </c:pt>
                  <c:pt idx="1">
                    <c:v>0.43429448190325176</c:v>
                  </c:pt>
                  <c:pt idx="2">
                    <c:v>0</c:v>
                  </c:pt>
                  <c:pt idx="3">
                    <c:v>0.12749209934592101</c:v>
                  </c:pt>
                  <c:pt idx="4">
                    <c:v>0</c:v>
                  </c:pt>
                  <c:pt idx="5">
                    <c:v>0</c:v>
                  </c:pt>
                  <c:pt idx="6">
                    <c:v>0</c:v>
                  </c:pt>
                  <c:pt idx="7">
                    <c:v>0.43429448190325176</c:v>
                  </c:pt>
                  <c:pt idx="8">
                    <c:v>0</c:v>
                  </c:pt>
                  <c:pt idx="9">
                    <c:v>0.43429448190325176</c:v>
                  </c:pt>
                  <c:pt idx="10">
                    <c:v>6.4412239492510293E-2</c:v>
                  </c:pt>
                  <c:pt idx="11">
                    <c:v>0.30942779199513504</c:v>
                  </c:pt>
                  <c:pt idx="12">
                    <c:v>0.43429448190325176</c:v>
                  </c:pt>
                  <c:pt idx="13">
                    <c:v>0</c:v>
                  </c:pt>
                </c:numCache>
              </c:numRef>
            </c:minus>
            <c:spPr>
              <a:noFill/>
              <a:ln w="12700" cap="flat" cmpd="sng" algn="ctr">
                <a:solidFill>
                  <a:srgbClr val="F014C8"/>
                </a:solidFill>
                <a:round/>
              </a:ln>
              <a:effectLst/>
            </c:spPr>
          </c:errBars>
          <c:cat>
            <c:numRef>
              <c:f>qPCR_Unique!$G$91:$G$104</c:f>
              <c:numCache>
                <c:formatCode>mm/dd/yyyy</c:formatCode>
                <c:ptCount val="14"/>
                <c:pt idx="0">
                  <c:v>44335</c:v>
                </c:pt>
                <c:pt idx="1">
                  <c:v>44342</c:v>
                </c:pt>
                <c:pt idx="2">
                  <c:v>44350</c:v>
                </c:pt>
                <c:pt idx="3">
                  <c:v>44356</c:v>
                </c:pt>
                <c:pt idx="4">
                  <c:v>44363</c:v>
                </c:pt>
                <c:pt idx="5">
                  <c:v>44370</c:v>
                </c:pt>
                <c:pt idx="6">
                  <c:v>44385</c:v>
                </c:pt>
                <c:pt idx="7">
                  <c:v>44391</c:v>
                </c:pt>
                <c:pt idx="8">
                  <c:v>44398</c:v>
                </c:pt>
                <c:pt idx="9">
                  <c:v>44405</c:v>
                </c:pt>
                <c:pt idx="10">
                  <c:v>44412</c:v>
                </c:pt>
                <c:pt idx="11">
                  <c:v>44419</c:v>
                </c:pt>
                <c:pt idx="12">
                  <c:v>44426</c:v>
                </c:pt>
                <c:pt idx="13">
                  <c:v>44433</c:v>
                </c:pt>
              </c:numCache>
            </c:numRef>
          </c:cat>
          <c:val>
            <c:numRef>
              <c:f>qPCR_Unique!$R$91:$R$104</c:f>
              <c:numCache>
                <c:formatCode>0.000</c:formatCode>
                <c:ptCount val="14"/>
                <c:pt idx="0">
                  <c:v>2.8878923350740906</c:v>
                </c:pt>
                <c:pt idx="1">
                  <c:v>2.6233181796996914</c:v>
                </c:pt>
                <c:pt idx="2">
                  <c:v>0</c:v>
                </c:pt>
                <c:pt idx="3">
                  <c:v>4.1212810154635378</c:v>
                </c:pt>
                <c:pt idx="4">
                  <c:v>0</c:v>
                </c:pt>
                <c:pt idx="5">
                  <c:v>0</c:v>
                </c:pt>
                <c:pt idx="6">
                  <c:v>0</c:v>
                </c:pt>
                <c:pt idx="7">
                  <c:v>5.9605393604835006</c:v>
                </c:pt>
                <c:pt idx="8">
                  <c:v>0</c:v>
                </c:pt>
                <c:pt idx="9">
                  <c:v>2.5291129364241001</c:v>
                </c:pt>
                <c:pt idx="10">
                  <c:v>2.9269010526001331</c:v>
                </c:pt>
                <c:pt idx="11">
                  <c:v>3.4090402536897542</c:v>
                </c:pt>
                <c:pt idx="12">
                  <c:v>2.5632992050352823</c:v>
                </c:pt>
                <c:pt idx="13">
                  <c:v>0</c:v>
                </c:pt>
              </c:numCache>
            </c:numRef>
          </c:val>
          <c:smooth val="0"/>
          <c:extLst>
            <c:ext xmlns:c16="http://schemas.microsoft.com/office/drawing/2014/chart" uri="{C3380CC4-5D6E-409C-BE32-E72D297353CC}">
              <c16:uniqueId val="{00000002-86BA-445D-9A8D-208361230183}"/>
            </c:ext>
          </c:extLst>
        </c:ser>
        <c:ser>
          <c:idx val="2"/>
          <c:order val="3"/>
          <c:tx>
            <c:strRef>
              <c:f>qPCR_Unique!$T$1</c:f>
              <c:strCache>
                <c:ptCount val="1"/>
                <c:pt idx="0">
                  <c:v>Vermamoeba vermiformis</c:v>
                </c:pt>
              </c:strCache>
            </c:strRef>
          </c:tx>
          <c:spPr>
            <a:ln w="6350" cap="rnd">
              <a:solidFill>
                <a:srgbClr val="3CE63C"/>
              </a:solidFill>
              <a:round/>
            </a:ln>
            <a:effectLst/>
          </c:spPr>
          <c:marker>
            <c:symbol val="square"/>
            <c:size val="6"/>
            <c:spPr>
              <a:noFill/>
              <a:ln w="12700">
                <a:solidFill>
                  <a:srgbClr val="3CE63C"/>
                </a:solidFill>
              </a:ln>
              <a:effectLst/>
            </c:spPr>
          </c:marker>
          <c:errBars>
            <c:errDir val="y"/>
            <c:errBarType val="both"/>
            <c:errValType val="cust"/>
            <c:noEndCap val="0"/>
            <c:plus>
              <c:numRef>
                <c:f>qPCR_Unique!$V$91:$V$104</c:f>
                <c:numCache>
                  <c:formatCode>General</c:formatCode>
                  <c:ptCount val="14"/>
                  <c:pt idx="0">
                    <c:v>0.43429448190325176</c:v>
                  </c:pt>
                  <c:pt idx="1">
                    <c:v>0.43429448190325176</c:v>
                  </c:pt>
                  <c:pt idx="2">
                    <c:v>0</c:v>
                  </c:pt>
                  <c:pt idx="3">
                    <c:v>0.29007232868549881</c:v>
                  </c:pt>
                  <c:pt idx="4">
                    <c:v>0.43429448190325176</c:v>
                  </c:pt>
                  <c:pt idx="5">
                    <c:v>0.43429448190325176</c:v>
                  </c:pt>
                  <c:pt idx="6">
                    <c:v>0</c:v>
                  </c:pt>
                  <c:pt idx="7">
                    <c:v>0.43429448190325176</c:v>
                  </c:pt>
                  <c:pt idx="8">
                    <c:v>0</c:v>
                  </c:pt>
                  <c:pt idx="9">
                    <c:v>0.43429448190325176</c:v>
                  </c:pt>
                  <c:pt idx="10">
                    <c:v>4.8460354599132296E-2</c:v>
                  </c:pt>
                  <c:pt idx="11">
                    <c:v>0</c:v>
                  </c:pt>
                  <c:pt idx="12">
                    <c:v>0</c:v>
                  </c:pt>
                  <c:pt idx="13">
                    <c:v>0</c:v>
                  </c:pt>
                </c:numCache>
              </c:numRef>
            </c:plus>
            <c:minus>
              <c:numRef>
                <c:f>qPCR_Unique!$V$91:$V$104</c:f>
                <c:numCache>
                  <c:formatCode>General</c:formatCode>
                  <c:ptCount val="14"/>
                  <c:pt idx="0">
                    <c:v>0.43429448190325176</c:v>
                  </c:pt>
                  <c:pt idx="1">
                    <c:v>0.43429448190325176</c:v>
                  </c:pt>
                  <c:pt idx="2">
                    <c:v>0</c:v>
                  </c:pt>
                  <c:pt idx="3">
                    <c:v>0.29007232868549881</c:v>
                  </c:pt>
                  <c:pt idx="4">
                    <c:v>0.43429448190325176</c:v>
                  </c:pt>
                  <c:pt idx="5">
                    <c:v>0.43429448190325176</c:v>
                  </c:pt>
                  <c:pt idx="6">
                    <c:v>0</c:v>
                  </c:pt>
                  <c:pt idx="7">
                    <c:v>0.43429448190325176</c:v>
                  </c:pt>
                  <c:pt idx="8">
                    <c:v>0</c:v>
                  </c:pt>
                  <c:pt idx="9">
                    <c:v>0.43429448190325176</c:v>
                  </c:pt>
                  <c:pt idx="10">
                    <c:v>4.8460354599132296E-2</c:v>
                  </c:pt>
                  <c:pt idx="11">
                    <c:v>0</c:v>
                  </c:pt>
                  <c:pt idx="12">
                    <c:v>0</c:v>
                  </c:pt>
                  <c:pt idx="13">
                    <c:v>0</c:v>
                  </c:pt>
                </c:numCache>
              </c:numRef>
            </c:minus>
            <c:spPr>
              <a:noFill/>
              <a:ln w="12700" cap="flat" cmpd="sng" algn="ctr">
                <a:solidFill>
                  <a:srgbClr val="3CE63C"/>
                </a:solidFill>
                <a:round/>
              </a:ln>
              <a:effectLst/>
            </c:spPr>
          </c:errBars>
          <c:cat>
            <c:numRef>
              <c:f>qPCR_Unique!$G$91:$G$104</c:f>
              <c:numCache>
                <c:formatCode>mm/dd/yyyy</c:formatCode>
                <c:ptCount val="14"/>
                <c:pt idx="0">
                  <c:v>44335</c:v>
                </c:pt>
                <c:pt idx="1">
                  <c:v>44342</c:v>
                </c:pt>
                <c:pt idx="2">
                  <c:v>44350</c:v>
                </c:pt>
                <c:pt idx="3">
                  <c:v>44356</c:v>
                </c:pt>
                <c:pt idx="4">
                  <c:v>44363</c:v>
                </c:pt>
                <c:pt idx="5">
                  <c:v>44370</c:v>
                </c:pt>
                <c:pt idx="6">
                  <c:v>44385</c:v>
                </c:pt>
                <c:pt idx="7">
                  <c:v>44391</c:v>
                </c:pt>
                <c:pt idx="8">
                  <c:v>44398</c:v>
                </c:pt>
                <c:pt idx="9">
                  <c:v>44405</c:v>
                </c:pt>
                <c:pt idx="10">
                  <c:v>44412</c:v>
                </c:pt>
                <c:pt idx="11">
                  <c:v>44419</c:v>
                </c:pt>
                <c:pt idx="12">
                  <c:v>44426</c:v>
                </c:pt>
                <c:pt idx="13">
                  <c:v>44433</c:v>
                </c:pt>
              </c:numCache>
            </c:numRef>
          </c:cat>
          <c:val>
            <c:numRef>
              <c:f>qPCR_Unique!$U$91:$U$104</c:f>
              <c:numCache>
                <c:formatCode>0.000</c:formatCode>
                <c:ptCount val="14"/>
                <c:pt idx="0">
                  <c:v>1.9211965312062447</c:v>
                </c:pt>
                <c:pt idx="1">
                  <c:v>2.095619415650412</c:v>
                </c:pt>
                <c:pt idx="2">
                  <c:v>0</c:v>
                </c:pt>
                <c:pt idx="3">
                  <c:v>2.8743369449425566</c:v>
                </c:pt>
                <c:pt idx="4">
                  <c:v>1.7678973697037557</c:v>
                </c:pt>
                <c:pt idx="5">
                  <c:v>2.9677801196380611</c:v>
                </c:pt>
                <c:pt idx="6">
                  <c:v>0</c:v>
                </c:pt>
                <c:pt idx="7">
                  <c:v>3.4463475421516776</c:v>
                </c:pt>
                <c:pt idx="8">
                  <c:v>0</c:v>
                </c:pt>
                <c:pt idx="9">
                  <c:v>2.0774493804714829</c:v>
                </c:pt>
                <c:pt idx="10">
                  <c:v>2.550474365181763</c:v>
                </c:pt>
                <c:pt idx="11">
                  <c:v>0</c:v>
                </c:pt>
                <c:pt idx="12">
                  <c:v>0</c:v>
                </c:pt>
                <c:pt idx="13">
                  <c:v>0</c:v>
                </c:pt>
              </c:numCache>
            </c:numRef>
          </c:val>
          <c:smooth val="0"/>
          <c:extLst>
            <c:ext xmlns:c16="http://schemas.microsoft.com/office/drawing/2014/chart" uri="{C3380CC4-5D6E-409C-BE32-E72D297353CC}">
              <c16:uniqueId val="{00000003-86BA-445D-9A8D-208361230183}"/>
            </c:ext>
          </c:extLst>
        </c:ser>
        <c:ser>
          <c:idx val="4"/>
          <c:order val="4"/>
          <c:tx>
            <c:strRef>
              <c:f>qPCR_Unique!$W$1</c:f>
              <c:strCache>
                <c:ptCount val="1"/>
                <c:pt idx="0">
                  <c:v>Summed OP</c:v>
                </c:pt>
              </c:strCache>
            </c:strRef>
          </c:tx>
          <c:spPr>
            <a:ln w="6350" cap="rnd">
              <a:solidFill>
                <a:srgbClr val="28C8C8"/>
              </a:solidFill>
              <a:round/>
            </a:ln>
            <a:effectLst/>
          </c:spPr>
          <c:marker>
            <c:symbol val="diamond"/>
            <c:size val="12"/>
            <c:spPr>
              <a:noFill/>
              <a:ln w="12700">
                <a:solidFill>
                  <a:srgbClr val="28C8C8"/>
                </a:solidFill>
              </a:ln>
              <a:effectLst/>
            </c:spPr>
          </c:marker>
          <c:cat>
            <c:numRef>
              <c:f>qPCR_Unique!$G$91:$G$104</c:f>
              <c:numCache>
                <c:formatCode>mm/dd/yyyy</c:formatCode>
                <c:ptCount val="14"/>
                <c:pt idx="0">
                  <c:v>44335</c:v>
                </c:pt>
                <c:pt idx="1">
                  <c:v>44342</c:v>
                </c:pt>
                <c:pt idx="2">
                  <c:v>44350</c:v>
                </c:pt>
                <c:pt idx="3">
                  <c:v>44356</c:v>
                </c:pt>
                <c:pt idx="4">
                  <c:v>44363</c:v>
                </c:pt>
                <c:pt idx="5">
                  <c:v>44370</c:v>
                </c:pt>
                <c:pt idx="6">
                  <c:v>44385</c:v>
                </c:pt>
                <c:pt idx="7">
                  <c:v>44391</c:v>
                </c:pt>
                <c:pt idx="8">
                  <c:v>44398</c:v>
                </c:pt>
                <c:pt idx="9">
                  <c:v>44405</c:v>
                </c:pt>
                <c:pt idx="10">
                  <c:v>44412</c:v>
                </c:pt>
                <c:pt idx="11">
                  <c:v>44419</c:v>
                </c:pt>
                <c:pt idx="12">
                  <c:v>44426</c:v>
                </c:pt>
                <c:pt idx="13">
                  <c:v>44433</c:v>
                </c:pt>
              </c:numCache>
            </c:numRef>
          </c:cat>
          <c:val>
            <c:numRef>
              <c:f>qPCR_Unique!$X$91:$X$104</c:f>
              <c:numCache>
                <c:formatCode>0.000</c:formatCode>
                <c:ptCount val="14"/>
                <c:pt idx="0">
                  <c:v>5.3041791462411982</c:v>
                </c:pt>
                <c:pt idx="1">
                  <c:v>5.0199890903122526</c:v>
                </c:pt>
                <c:pt idx="2">
                  <c:v>5.4346010376526168</c:v>
                </c:pt>
                <c:pt idx="3">
                  <c:v>4.7885968282251365</c:v>
                </c:pt>
                <c:pt idx="4">
                  <c:v>1.7678973697037557</c:v>
                </c:pt>
                <c:pt idx="5">
                  <c:v>5.392427918938326</c:v>
                </c:pt>
                <c:pt idx="6">
                  <c:v>3.305476178149656</c:v>
                </c:pt>
                <c:pt idx="7">
                  <c:v>5.962093176814566</c:v>
                </c:pt>
                <c:pt idx="8">
                  <c:v>2.4030170419172112</c:v>
                </c:pt>
                <c:pt idx="9">
                  <c:v>4.382601565554058</c:v>
                </c:pt>
                <c:pt idx="10">
                  <c:v>4.4586236345702259</c:v>
                </c:pt>
                <c:pt idx="11">
                  <c:v>4.1566092695764247</c:v>
                </c:pt>
                <c:pt idx="12">
                  <c:v>4.8763448743902673</c:v>
                </c:pt>
                <c:pt idx="13">
                  <c:v>4.1483316377498651</c:v>
                </c:pt>
              </c:numCache>
            </c:numRef>
          </c:val>
          <c:smooth val="0"/>
          <c:extLst>
            <c:ext xmlns:c16="http://schemas.microsoft.com/office/drawing/2014/chart" uri="{C3380CC4-5D6E-409C-BE32-E72D297353CC}">
              <c16:uniqueId val="{00000004-86BA-445D-9A8D-208361230183}"/>
            </c:ext>
          </c:extLst>
        </c:ser>
        <c:dLbls>
          <c:showLegendKey val="0"/>
          <c:showVal val="0"/>
          <c:showCatName val="0"/>
          <c:showSerName val="0"/>
          <c:showPercent val="0"/>
          <c:showBubbleSize val="0"/>
        </c:dLbls>
        <c:marker val="1"/>
        <c:smooth val="0"/>
        <c:axId val="403941288"/>
        <c:axId val="403917672"/>
      </c:lineChart>
      <c:lineChart>
        <c:grouping val="standard"/>
        <c:varyColors val="0"/>
        <c:ser>
          <c:idx val="5"/>
          <c:order val="5"/>
          <c:tx>
            <c:strRef>
              <c:f>qPCR_Unique!$H$1</c:f>
              <c:strCache>
                <c:ptCount val="1"/>
                <c:pt idx="0">
                  <c:v>Total bacteria</c:v>
                </c:pt>
              </c:strCache>
            </c:strRef>
          </c:tx>
          <c:spPr>
            <a:ln w="6350" cap="rnd">
              <a:solidFill>
                <a:schemeClr val="tx1"/>
              </a:solidFill>
              <a:round/>
            </a:ln>
            <a:effectLst/>
          </c:spPr>
          <c:marker>
            <c:symbol val="triangle"/>
            <c:size val="8"/>
            <c:spPr>
              <a:noFill/>
              <a:ln w="12700">
                <a:solidFill>
                  <a:schemeClr val="tx1"/>
                </a:solidFill>
              </a:ln>
              <a:effectLst/>
            </c:spPr>
          </c:marker>
          <c:errBars>
            <c:errDir val="y"/>
            <c:errBarType val="both"/>
            <c:errValType val="cust"/>
            <c:noEndCap val="0"/>
            <c:plus>
              <c:numRef>
                <c:f>qPCR_Unique!$J$91:$J$104</c:f>
                <c:numCache>
                  <c:formatCode>General</c:formatCode>
                  <c:ptCount val="14"/>
                  <c:pt idx="0">
                    <c:v>0.23645620777629225</c:v>
                  </c:pt>
                  <c:pt idx="1">
                    <c:v>5.8419891419784258E-2</c:v>
                  </c:pt>
                  <c:pt idx="2">
                    <c:v>1.3642992671606957E-2</c:v>
                  </c:pt>
                  <c:pt idx="3">
                    <c:v>0.33708525480077117</c:v>
                  </c:pt>
                  <c:pt idx="4">
                    <c:v>3.0183812791709355E-2</c:v>
                  </c:pt>
                  <c:pt idx="5">
                    <c:v>8.8533097152047758E-3</c:v>
                  </c:pt>
                  <c:pt idx="6">
                    <c:v>0.11418969457862084</c:v>
                  </c:pt>
                  <c:pt idx="7">
                    <c:v>0.39921275511407123</c:v>
                  </c:pt>
                  <c:pt idx="8">
                    <c:v>0.43429448190325176</c:v>
                  </c:pt>
                  <c:pt idx="9">
                    <c:v>0.36888352064033281</c:v>
                  </c:pt>
                  <c:pt idx="10">
                    <c:v>0.32484887222373693</c:v>
                  </c:pt>
                  <c:pt idx="11">
                    <c:v>1.1107309704144985E-2</c:v>
                  </c:pt>
                  <c:pt idx="12">
                    <c:v>0.21801059482880017</c:v>
                  </c:pt>
                  <c:pt idx="13">
                    <c:v>0.10662577850056448</c:v>
                  </c:pt>
                </c:numCache>
              </c:numRef>
            </c:plus>
            <c:minus>
              <c:numRef>
                <c:f>qPCR_Unique!$J$91:$J$104</c:f>
                <c:numCache>
                  <c:formatCode>General</c:formatCode>
                  <c:ptCount val="14"/>
                  <c:pt idx="0">
                    <c:v>0.23645620777629225</c:v>
                  </c:pt>
                  <c:pt idx="1">
                    <c:v>5.8419891419784258E-2</c:v>
                  </c:pt>
                  <c:pt idx="2">
                    <c:v>1.3642992671606957E-2</c:v>
                  </c:pt>
                  <c:pt idx="3">
                    <c:v>0.33708525480077117</c:v>
                  </c:pt>
                  <c:pt idx="4">
                    <c:v>3.0183812791709355E-2</c:v>
                  </c:pt>
                  <c:pt idx="5">
                    <c:v>8.8533097152047758E-3</c:v>
                  </c:pt>
                  <c:pt idx="6">
                    <c:v>0.11418969457862084</c:v>
                  </c:pt>
                  <c:pt idx="7">
                    <c:v>0.39921275511407123</c:v>
                  </c:pt>
                  <c:pt idx="8">
                    <c:v>0.43429448190325176</c:v>
                  </c:pt>
                  <c:pt idx="9">
                    <c:v>0.36888352064033281</c:v>
                  </c:pt>
                  <c:pt idx="10">
                    <c:v>0.32484887222373693</c:v>
                  </c:pt>
                  <c:pt idx="11">
                    <c:v>1.1107309704144985E-2</c:v>
                  </c:pt>
                  <c:pt idx="12">
                    <c:v>0.21801059482880017</c:v>
                  </c:pt>
                  <c:pt idx="13">
                    <c:v>0.10662577850056448</c:v>
                  </c:pt>
                </c:numCache>
              </c:numRef>
            </c:minus>
            <c:spPr>
              <a:noFill/>
              <a:ln w="12700" cap="flat" cmpd="sng" algn="ctr">
                <a:solidFill>
                  <a:schemeClr val="tx1"/>
                </a:solidFill>
                <a:round/>
              </a:ln>
              <a:effectLst/>
            </c:spPr>
          </c:errBars>
          <c:cat>
            <c:numRef>
              <c:f>qPCR_Unique!$G$91:$G$104</c:f>
              <c:numCache>
                <c:formatCode>mm/dd/yyyy</c:formatCode>
                <c:ptCount val="14"/>
                <c:pt idx="0">
                  <c:v>44335</c:v>
                </c:pt>
                <c:pt idx="1">
                  <c:v>44342</c:v>
                </c:pt>
                <c:pt idx="2">
                  <c:v>44350</c:v>
                </c:pt>
                <c:pt idx="3">
                  <c:v>44356</c:v>
                </c:pt>
                <c:pt idx="4">
                  <c:v>44363</c:v>
                </c:pt>
                <c:pt idx="5">
                  <c:v>44370</c:v>
                </c:pt>
                <c:pt idx="6">
                  <c:v>44385</c:v>
                </c:pt>
                <c:pt idx="7">
                  <c:v>44391</c:v>
                </c:pt>
                <c:pt idx="8">
                  <c:v>44398</c:v>
                </c:pt>
                <c:pt idx="9">
                  <c:v>44405</c:v>
                </c:pt>
                <c:pt idx="10">
                  <c:v>44412</c:v>
                </c:pt>
                <c:pt idx="11">
                  <c:v>44419</c:v>
                </c:pt>
                <c:pt idx="12">
                  <c:v>44426</c:v>
                </c:pt>
                <c:pt idx="13">
                  <c:v>44433</c:v>
                </c:pt>
              </c:numCache>
            </c:numRef>
          </c:cat>
          <c:val>
            <c:numRef>
              <c:f>qPCR_Unique!$I$91:$I$104</c:f>
              <c:numCache>
                <c:formatCode>0.000</c:formatCode>
                <c:ptCount val="14"/>
                <c:pt idx="0">
                  <c:v>8.056562054046335</c:v>
                </c:pt>
                <c:pt idx="1">
                  <c:v>7.8495615332656898</c:v>
                </c:pt>
                <c:pt idx="2">
                  <c:v>7.7578372747518367</c:v>
                </c:pt>
                <c:pt idx="3">
                  <c:v>9.5403441257741548</c:v>
                </c:pt>
                <c:pt idx="4">
                  <c:v>9.0929269019959538</c:v>
                </c:pt>
                <c:pt idx="5">
                  <c:v>8.4755082224747227</c:v>
                </c:pt>
                <c:pt idx="6">
                  <c:v>7.4380077940147062</c:v>
                </c:pt>
                <c:pt idx="7">
                  <c:v>8.618436072965924</c:v>
                </c:pt>
                <c:pt idx="8">
                  <c:v>7.8819275026119655</c:v>
                </c:pt>
                <c:pt idx="9">
                  <c:v>9.5015392476340228</c:v>
                </c:pt>
                <c:pt idx="10">
                  <c:v>8.889053693948302</c:v>
                </c:pt>
                <c:pt idx="11">
                  <c:v>7.6377944669964597</c:v>
                </c:pt>
                <c:pt idx="12">
                  <c:v>9.1350255918222683</c:v>
                </c:pt>
                <c:pt idx="13">
                  <c:v>8.7754863458710872</c:v>
                </c:pt>
              </c:numCache>
            </c:numRef>
          </c:val>
          <c:smooth val="0"/>
          <c:extLst>
            <c:ext xmlns:c16="http://schemas.microsoft.com/office/drawing/2014/chart" uri="{C3380CC4-5D6E-409C-BE32-E72D297353CC}">
              <c16:uniqueId val="{00000005-86BA-445D-9A8D-208361230183}"/>
            </c:ext>
          </c:extLst>
        </c:ser>
        <c:dLbls>
          <c:showLegendKey val="0"/>
          <c:showVal val="0"/>
          <c:showCatName val="0"/>
          <c:showSerName val="0"/>
          <c:showPercent val="0"/>
          <c:showBubbleSize val="0"/>
        </c:dLbls>
        <c:marker val="1"/>
        <c:smooth val="0"/>
        <c:axId val="803049488"/>
        <c:axId val="803055720"/>
      </c:lineChart>
      <c:dateAx>
        <c:axId val="403941288"/>
        <c:scaling>
          <c:orientation val="minMax"/>
          <c:max val="44434"/>
          <c:min val="44334"/>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Sampling times--</a:t>
                </a:r>
                <a:r>
                  <a:rPr lang="en-US" b="1">
                    <a:solidFill>
                      <a:srgbClr val="FF0000"/>
                    </a:solidFill>
                  </a:rPr>
                  <a:t>RL</a:t>
                </a:r>
              </a:p>
            </c:rich>
          </c:tx>
          <c:layout>
            <c:manualLayout>
              <c:xMode val="edge"/>
              <c:yMode val="edge"/>
              <c:x val="0.39785997109175708"/>
              <c:y val="0.94951730232117781"/>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mm/dd/yyyy" sourceLinked="1"/>
        <c:majorTickMark val="out"/>
        <c:minorTickMark val="in"/>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03917672"/>
        <c:crosses val="autoZero"/>
        <c:auto val="1"/>
        <c:lblOffset val="100"/>
        <c:baseTimeUnit val="days"/>
        <c:majorUnit val="10"/>
        <c:majorTimeUnit val="days"/>
        <c:minorUnit val="5"/>
        <c:minorTimeUnit val="days"/>
      </c:dateAx>
      <c:valAx>
        <c:axId val="403917672"/>
        <c:scaling>
          <c:orientation val="minMax"/>
          <c:max val="6.5"/>
          <c:min val="0"/>
        </c:scaling>
        <c:delete val="0"/>
        <c:axPos val="l"/>
        <c:majorGridlines>
          <c:spPr>
            <a:ln w="1270" cap="flat" cmpd="sng" algn="ctr">
              <a:solidFill>
                <a:schemeClr val="tx1"/>
              </a:solidFill>
              <a:prstDash val="solid"/>
              <a:round/>
            </a:ln>
            <a:effectLst/>
          </c:spPr>
        </c:majorGridlines>
        <c:minorGridlines>
          <c:spPr>
            <a:ln w="1270" cap="flat" cmpd="sng" algn="ctr">
              <a:solidFill>
                <a:schemeClr val="bg2">
                  <a:lumMod val="90000"/>
                </a:schemeClr>
              </a:solidFill>
              <a:prstDash val="dash"/>
              <a:round/>
            </a:ln>
            <a:effectLst/>
          </c:spPr>
        </c:min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sz="1200" b="0" i="0" baseline="0">
                    <a:effectLst/>
                  </a:rPr>
                  <a:t>log</a:t>
                </a:r>
                <a:r>
                  <a:rPr lang="en-US" sz="1200" b="0" i="0" baseline="-25000">
                    <a:effectLst/>
                  </a:rPr>
                  <a:t>10</a:t>
                </a:r>
                <a:r>
                  <a:rPr lang="en-US" sz="1200" b="0" i="0" baseline="0">
                    <a:effectLst/>
                  </a:rPr>
                  <a:t>[OP (GCN·L</a:t>
                </a:r>
                <a:r>
                  <a:rPr lang="en-US" sz="1200" b="0" i="0" baseline="30000">
                    <a:effectLst/>
                  </a:rPr>
                  <a:t>-1</a:t>
                </a:r>
                <a:r>
                  <a:rPr lang="en-US" sz="1200" b="0" i="0" baseline="0">
                    <a:effectLst/>
                  </a:rPr>
                  <a:t>)]</a:t>
                </a:r>
                <a:endParaRPr lang="en-US" sz="1200">
                  <a:effectLst/>
                </a:endParaRPr>
              </a:p>
            </c:rich>
          </c:tx>
          <c:layout>
            <c:manualLayout>
              <c:xMode val="edge"/>
              <c:yMode val="edge"/>
              <c:x val="6.5976053561081385E-5"/>
              <c:y val="0.2827105058966991"/>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0" sourceLinked="0"/>
        <c:majorTickMark val="out"/>
        <c:minorTickMark val="in"/>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03941288"/>
        <c:crosses val="autoZero"/>
        <c:crossBetween val="between"/>
        <c:majorUnit val="1"/>
        <c:minorUnit val="0.25"/>
      </c:valAx>
      <c:valAx>
        <c:axId val="803055720"/>
        <c:scaling>
          <c:orientation val="minMax"/>
          <c:max val="10"/>
          <c:min val="7"/>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sz="1200" b="0" i="0" baseline="0">
                    <a:effectLst/>
                  </a:rPr>
                  <a:t>log</a:t>
                </a:r>
                <a:r>
                  <a:rPr lang="en-US" sz="1200" b="0" i="0" baseline="-25000">
                    <a:effectLst/>
                  </a:rPr>
                  <a:t>10</a:t>
                </a:r>
                <a:r>
                  <a:rPr lang="en-US" sz="1200" b="0" i="0" baseline="0">
                    <a:effectLst/>
                  </a:rPr>
                  <a:t>[Total bacteria (GCN·L</a:t>
                </a:r>
                <a:r>
                  <a:rPr lang="en-US" sz="1200" b="0" i="0" baseline="30000">
                    <a:effectLst/>
                  </a:rPr>
                  <a:t>-1</a:t>
                </a:r>
                <a:r>
                  <a:rPr lang="en-US" sz="1200" b="0" i="0" baseline="0">
                    <a:effectLst/>
                  </a:rPr>
                  <a:t>)]</a:t>
                </a:r>
                <a:endParaRPr lang="en-US" sz="1200">
                  <a:effectLst/>
                </a:endParaRPr>
              </a:p>
            </c:rich>
          </c:tx>
          <c:layout>
            <c:manualLayout>
              <c:xMode val="edge"/>
              <c:yMode val="edge"/>
              <c:x val="0.95664193998920155"/>
              <c:y val="0.20690728939384437"/>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0" sourceLinked="0"/>
        <c:majorTickMark val="out"/>
        <c:minorTickMark val="in"/>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803049488"/>
        <c:crosses val="max"/>
        <c:crossBetween val="between"/>
        <c:majorUnit val="1"/>
        <c:minorUnit val="0.25"/>
      </c:valAx>
      <c:dateAx>
        <c:axId val="803049488"/>
        <c:scaling>
          <c:orientation val="minMax"/>
        </c:scaling>
        <c:delete val="1"/>
        <c:axPos val="b"/>
        <c:numFmt formatCode="mm/dd/yyyy" sourceLinked="1"/>
        <c:majorTickMark val="out"/>
        <c:minorTickMark val="none"/>
        <c:tickLblPos val="nextTo"/>
        <c:crossAx val="803055720"/>
        <c:crosses val="autoZero"/>
        <c:auto val="1"/>
        <c:lblOffset val="100"/>
        <c:baseTimeUnit val="days"/>
        <c:majorUnit val="1"/>
        <c:minorUnit val="1"/>
      </c:dateAx>
      <c:spPr>
        <a:noFill/>
        <a:ln w="19050">
          <a:solidFill>
            <a:schemeClr val="tx1"/>
          </a:solidFill>
        </a:ln>
        <a:effectLst/>
      </c:spPr>
    </c:plotArea>
    <c:legend>
      <c:legendPos val="r"/>
      <c:legendEntry>
        <c:idx val="0"/>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Entry>
      <c:layout>
        <c:manualLayout>
          <c:xMode val="edge"/>
          <c:yMode val="edge"/>
          <c:x val="0.51147242113751301"/>
          <c:y val="0.40976706706673255"/>
          <c:w val="0.31765286524120145"/>
          <c:h val="0.23454100776731437"/>
        </c:manualLayout>
      </c:layout>
      <c:overlay val="0"/>
      <c:spPr>
        <a:solidFill>
          <a:schemeClr val="bg1"/>
        </a:solid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04646"/>
      </a:solid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13278008298755"/>
          <c:y val="3.6235046109691547E-2"/>
          <c:w val="0.77921161825726137"/>
          <c:h val="0.75850914427279748"/>
        </c:manualLayout>
      </c:layout>
      <c:lineChart>
        <c:grouping val="standard"/>
        <c:varyColors val="0"/>
        <c:ser>
          <c:idx val="3"/>
          <c:order val="0"/>
          <c:tx>
            <c:strRef>
              <c:f>qPCR_Unique!$K$1</c:f>
              <c:strCache>
                <c:ptCount val="1"/>
                <c:pt idx="0">
                  <c:v>Legionella</c:v>
                </c:pt>
              </c:strCache>
            </c:strRef>
          </c:tx>
          <c:spPr>
            <a:ln w="6350" cap="rnd">
              <a:solidFill>
                <a:srgbClr val="F04646"/>
              </a:solidFill>
              <a:round/>
            </a:ln>
            <a:effectLst/>
          </c:spPr>
          <c:marker>
            <c:symbol val="circle"/>
            <c:size val="6"/>
            <c:spPr>
              <a:solidFill>
                <a:srgbClr val="F04646"/>
              </a:solidFill>
              <a:ln w="12700">
                <a:solidFill>
                  <a:srgbClr val="F04646"/>
                </a:solidFill>
              </a:ln>
              <a:effectLst/>
            </c:spPr>
          </c:marker>
          <c:errBars>
            <c:errDir val="y"/>
            <c:errBarType val="both"/>
            <c:errValType val="cust"/>
            <c:noEndCap val="0"/>
            <c:plus>
              <c:numRef>
                <c:f>qPCR_Unique!$M$76:$M$90</c:f>
                <c:numCache>
                  <c:formatCode>General</c:formatCode>
                  <c:ptCount val="15"/>
                  <c:pt idx="0">
                    <c:v>3.3166153128110672E-2</c:v>
                  </c:pt>
                  <c:pt idx="1">
                    <c:v>5.803650230499046E-2</c:v>
                  </c:pt>
                  <c:pt idx="2">
                    <c:v>0.22713906398723699</c:v>
                  </c:pt>
                  <c:pt idx="3">
                    <c:v>0.33699410421590764</c:v>
                  </c:pt>
                  <c:pt idx="4">
                    <c:v>0</c:v>
                  </c:pt>
                  <c:pt idx="5">
                    <c:v>0</c:v>
                  </c:pt>
                  <c:pt idx="6">
                    <c:v>0</c:v>
                  </c:pt>
                  <c:pt idx="7">
                    <c:v>2.3263726237242866E-2</c:v>
                  </c:pt>
                  <c:pt idx="8">
                    <c:v>0</c:v>
                  </c:pt>
                  <c:pt idx="9">
                    <c:v>0.43429448190325171</c:v>
                  </c:pt>
                  <c:pt idx="10">
                    <c:v>0.25907367582752444</c:v>
                  </c:pt>
                  <c:pt idx="11">
                    <c:v>0.10849446791578979</c:v>
                  </c:pt>
                  <c:pt idx="12">
                    <c:v>6.6568538980958838E-2</c:v>
                  </c:pt>
                  <c:pt idx="13">
                    <c:v>2.5829493603281916E-2</c:v>
                  </c:pt>
                  <c:pt idx="14">
                    <c:v>0.43429448190325176</c:v>
                  </c:pt>
                </c:numCache>
              </c:numRef>
            </c:plus>
            <c:minus>
              <c:numRef>
                <c:f>qPCR_Unique!$M$76:$M$90</c:f>
                <c:numCache>
                  <c:formatCode>General</c:formatCode>
                  <c:ptCount val="15"/>
                  <c:pt idx="0">
                    <c:v>3.3166153128110672E-2</c:v>
                  </c:pt>
                  <c:pt idx="1">
                    <c:v>5.803650230499046E-2</c:v>
                  </c:pt>
                  <c:pt idx="2">
                    <c:v>0.22713906398723699</c:v>
                  </c:pt>
                  <c:pt idx="3">
                    <c:v>0.33699410421590764</c:v>
                  </c:pt>
                  <c:pt idx="4">
                    <c:v>0</c:v>
                  </c:pt>
                  <c:pt idx="5">
                    <c:v>0</c:v>
                  </c:pt>
                  <c:pt idx="6">
                    <c:v>0</c:v>
                  </c:pt>
                  <c:pt idx="7">
                    <c:v>2.3263726237242866E-2</c:v>
                  </c:pt>
                  <c:pt idx="8">
                    <c:v>0</c:v>
                  </c:pt>
                  <c:pt idx="9">
                    <c:v>0.43429448190325171</c:v>
                  </c:pt>
                  <c:pt idx="10">
                    <c:v>0.25907367582752444</c:v>
                  </c:pt>
                  <c:pt idx="11">
                    <c:v>0.10849446791578979</c:v>
                  </c:pt>
                  <c:pt idx="12">
                    <c:v>6.6568538980958838E-2</c:v>
                  </c:pt>
                  <c:pt idx="13">
                    <c:v>2.5829493603281916E-2</c:v>
                  </c:pt>
                  <c:pt idx="14">
                    <c:v>0.43429448190325176</c:v>
                  </c:pt>
                </c:numCache>
              </c:numRef>
            </c:minus>
            <c:spPr>
              <a:noFill/>
              <a:ln w="12700" cap="flat" cmpd="sng" algn="ctr">
                <a:solidFill>
                  <a:srgbClr val="F04646"/>
                </a:solidFill>
                <a:round/>
              </a:ln>
              <a:effectLst/>
            </c:spPr>
          </c:errBars>
          <c:cat>
            <c:numRef>
              <c:f>qPCR_Unique!$G$76:$G$90</c:f>
              <c:numCache>
                <c:formatCode>mm/dd/yyyy</c:formatCode>
                <c:ptCount val="15"/>
                <c:pt idx="0">
                  <c:v>44335</c:v>
                </c:pt>
                <c:pt idx="1">
                  <c:v>44342</c:v>
                </c:pt>
                <c:pt idx="2">
                  <c:v>44350</c:v>
                </c:pt>
                <c:pt idx="3">
                  <c:v>44356</c:v>
                </c:pt>
                <c:pt idx="4">
                  <c:v>44363</c:v>
                </c:pt>
                <c:pt idx="5">
                  <c:v>44370</c:v>
                </c:pt>
                <c:pt idx="6">
                  <c:v>44377</c:v>
                </c:pt>
                <c:pt idx="7">
                  <c:v>44385</c:v>
                </c:pt>
                <c:pt idx="8">
                  <c:v>44391</c:v>
                </c:pt>
                <c:pt idx="9">
                  <c:v>44398</c:v>
                </c:pt>
                <c:pt idx="10">
                  <c:v>44405</c:v>
                </c:pt>
                <c:pt idx="11">
                  <c:v>44412</c:v>
                </c:pt>
                <c:pt idx="12">
                  <c:v>44419</c:v>
                </c:pt>
                <c:pt idx="13">
                  <c:v>44426</c:v>
                </c:pt>
                <c:pt idx="14">
                  <c:v>44433</c:v>
                </c:pt>
              </c:numCache>
            </c:numRef>
          </c:cat>
          <c:val>
            <c:numRef>
              <c:f>qPCR_Unique!$L$76:$L$90</c:f>
              <c:numCache>
                <c:formatCode>0.000</c:formatCode>
                <c:ptCount val="15"/>
                <c:pt idx="0">
                  <c:v>4.7400289986131288</c:v>
                </c:pt>
                <c:pt idx="1">
                  <c:v>4.7211953366507178</c:v>
                </c:pt>
                <c:pt idx="2">
                  <c:v>4.3537581058361781</c:v>
                </c:pt>
                <c:pt idx="3">
                  <c:v>4.3340059600019885</c:v>
                </c:pt>
                <c:pt idx="4">
                  <c:v>0</c:v>
                </c:pt>
                <c:pt idx="5">
                  <c:v>0</c:v>
                </c:pt>
                <c:pt idx="6">
                  <c:v>0</c:v>
                </c:pt>
                <c:pt idx="7">
                  <c:v>2.9564632934270887</c:v>
                </c:pt>
                <c:pt idx="8">
                  <c:v>0</c:v>
                </c:pt>
                <c:pt idx="9">
                  <c:v>2.7459944553306879</c:v>
                </c:pt>
                <c:pt idx="10">
                  <c:v>4.5326444063254305</c:v>
                </c:pt>
                <c:pt idx="11">
                  <c:v>3.7303707033332447</c:v>
                </c:pt>
                <c:pt idx="12">
                  <c:v>4.0851231859017831</c:v>
                </c:pt>
                <c:pt idx="13">
                  <c:v>4.9425680230912103</c:v>
                </c:pt>
                <c:pt idx="14">
                  <c:v>4.0598281668485159</c:v>
                </c:pt>
              </c:numCache>
            </c:numRef>
          </c:val>
          <c:smooth val="0"/>
          <c:extLst>
            <c:ext xmlns:c16="http://schemas.microsoft.com/office/drawing/2014/chart" uri="{C3380CC4-5D6E-409C-BE32-E72D297353CC}">
              <c16:uniqueId val="{00000000-C7FD-4CE4-9A50-F5008D27AC12}"/>
            </c:ext>
          </c:extLst>
        </c:ser>
        <c:ser>
          <c:idx val="0"/>
          <c:order val="1"/>
          <c:tx>
            <c:strRef>
              <c:f>qPCR_Unique!$N$1</c:f>
              <c:strCache>
                <c:ptCount val="1"/>
                <c:pt idx="0">
                  <c:v>Mycobacterium</c:v>
                </c:pt>
              </c:strCache>
            </c:strRef>
          </c:tx>
          <c:spPr>
            <a:ln w="6350" cap="rnd">
              <a:solidFill>
                <a:srgbClr val="5064E6"/>
              </a:solidFill>
              <a:round/>
            </a:ln>
            <a:effectLst/>
          </c:spPr>
          <c:marker>
            <c:symbol val="circle"/>
            <c:size val="6"/>
            <c:spPr>
              <a:noFill/>
              <a:ln w="12700">
                <a:solidFill>
                  <a:srgbClr val="5064E6">
                    <a:alpha val="94902"/>
                  </a:srgbClr>
                </a:solidFill>
              </a:ln>
              <a:effectLst/>
            </c:spPr>
          </c:marker>
          <c:errBars>
            <c:errDir val="y"/>
            <c:errBarType val="both"/>
            <c:errValType val="cust"/>
            <c:noEndCap val="0"/>
            <c:plus>
              <c:numRef>
                <c:f>qPCR_Unique!$P$76:$P$90</c:f>
                <c:numCache>
                  <c:formatCode>General</c:formatCode>
                  <c:ptCount val="15"/>
                  <c:pt idx="0">
                    <c:v>0.29375891951444005</c:v>
                  </c:pt>
                  <c:pt idx="1">
                    <c:v>0.25044446240480783</c:v>
                  </c:pt>
                  <c:pt idx="2">
                    <c:v>0.31521576684054692</c:v>
                  </c:pt>
                  <c:pt idx="3">
                    <c:v>0.40776284613959818</c:v>
                  </c:pt>
                  <c:pt idx="4">
                    <c:v>0.11775531649097815</c:v>
                  </c:pt>
                  <c:pt idx="5">
                    <c:v>0.28684215493915644</c:v>
                  </c:pt>
                  <c:pt idx="6">
                    <c:v>0.27718944531226547</c:v>
                  </c:pt>
                  <c:pt idx="7">
                    <c:v>9.3538457563862532E-2</c:v>
                  </c:pt>
                  <c:pt idx="8">
                    <c:v>0.308155076192202</c:v>
                  </c:pt>
                  <c:pt idx="9">
                    <c:v>0.22613900725118</c:v>
                  </c:pt>
                  <c:pt idx="10">
                    <c:v>0.22144412868821989</c:v>
                  </c:pt>
                  <c:pt idx="11">
                    <c:v>0.23047766089807925</c:v>
                  </c:pt>
                  <c:pt idx="12">
                    <c:v>0.25700797188800723</c:v>
                  </c:pt>
                  <c:pt idx="13">
                    <c:v>8.0551391000424993E-2</c:v>
                  </c:pt>
                  <c:pt idx="14">
                    <c:v>0.43429448190325176</c:v>
                  </c:pt>
                </c:numCache>
              </c:numRef>
            </c:plus>
            <c:minus>
              <c:numRef>
                <c:f>qPCR_Unique!$P$76:$P$90</c:f>
                <c:numCache>
                  <c:formatCode>General</c:formatCode>
                  <c:ptCount val="15"/>
                  <c:pt idx="0">
                    <c:v>0.29375891951444005</c:v>
                  </c:pt>
                  <c:pt idx="1">
                    <c:v>0.25044446240480783</c:v>
                  </c:pt>
                  <c:pt idx="2">
                    <c:v>0.31521576684054692</c:v>
                  </c:pt>
                  <c:pt idx="3">
                    <c:v>0.40776284613959818</c:v>
                  </c:pt>
                  <c:pt idx="4">
                    <c:v>0.11775531649097815</c:v>
                  </c:pt>
                  <c:pt idx="5">
                    <c:v>0.28684215493915644</c:v>
                  </c:pt>
                  <c:pt idx="6">
                    <c:v>0.27718944531226547</c:v>
                  </c:pt>
                  <c:pt idx="7">
                    <c:v>9.3538457563862532E-2</c:v>
                  </c:pt>
                  <c:pt idx="8">
                    <c:v>0.308155076192202</c:v>
                  </c:pt>
                  <c:pt idx="9">
                    <c:v>0.22613900725118</c:v>
                  </c:pt>
                  <c:pt idx="10">
                    <c:v>0.22144412868821989</c:v>
                  </c:pt>
                  <c:pt idx="11">
                    <c:v>0.23047766089807925</c:v>
                  </c:pt>
                  <c:pt idx="12">
                    <c:v>0.25700797188800723</c:v>
                  </c:pt>
                  <c:pt idx="13">
                    <c:v>8.0551391000424993E-2</c:v>
                  </c:pt>
                  <c:pt idx="14">
                    <c:v>0.43429448190325176</c:v>
                  </c:pt>
                </c:numCache>
              </c:numRef>
            </c:minus>
            <c:spPr>
              <a:noFill/>
              <a:ln w="12700" cap="flat" cmpd="sng" algn="ctr">
                <a:solidFill>
                  <a:srgbClr val="5064E6"/>
                </a:solidFill>
                <a:round/>
              </a:ln>
              <a:effectLst/>
            </c:spPr>
          </c:errBars>
          <c:cat>
            <c:numRef>
              <c:f>qPCR_Unique!$G$76:$G$90</c:f>
              <c:numCache>
                <c:formatCode>mm/dd/yyyy</c:formatCode>
                <c:ptCount val="15"/>
                <c:pt idx="0">
                  <c:v>44335</c:v>
                </c:pt>
                <c:pt idx="1">
                  <c:v>44342</c:v>
                </c:pt>
                <c:pt idx="2">
                  <c:v>44350</c:v>
                </c:pt>
                <c:pt idx="3">
                  <c:v>44356</c:v>
                </c:pt>
                <c:pt idx="4">
                  <c:v>44363</c:v>
                </c:pt>
                <c:pt idx="5">
                  <c:v>44370</c:v>
                </c:pt>
                <c:pt idx="6">
                  <c:v>44377</c:v>
                </c:pt>
                <c:pt idx="7">
                  <c:v>44385</c:v>
                </c:pt>
                <c:pt idx="8">
                  <c:v>44391</c:v>
                </c:pt>
                <c:pt idx="9">
                  <c:v>44398</c:v>
                </c:pt>
                <c:pt idx="10">
                  <c:v>44405</c:v>
                </c:pt>
                <c:pt idx="11">
                  <c:v>44412</c:v>
                </c:pt>
                <c:pt idx="12">
                  <c:v>44419</c:v>
                </c:pt>
                <c:pt idx="13">
                  <c:v>44426</c:v>
                </c:pt>
                <c:pt idx="14">
                  <c:v>44433</c:v>
                </c:pt>
              </c:numCache>
            </c:numRef>
          </c:cat>
          <c:val>
            <c:numRef>
              <c:f>qPCR_Unique!$O$76:$O$90</c:f>
              <c:numCache>
                <c:formatCode>0.000</c:formatCode>
                <c:ptCount val="15"/>
                <c:pt idx="0">
                  <c:v>4.4051917282697053</c:v>
                </c:pt>
                <c:pt idx="1">
                  <c:v>4.2034233374593502</c:v>
                </c:pt>
                <c:pt idx="2">
                  <c:v>3.7638717262823116</c:v>
                </c:pt>
                <c:pt idx="3">
                  <c:v>3.7516032075768719</c:v>
                </c:pt>
                <c:pt idx="4">
                  <c:v>4.3559487492646749</c:v>
                </c:pt>
                <c:pt idx="5">
                  <c:v>4.528648619786007</c:v>
                </c:pt>
                <c:pt idx="6">
                  <c:v>4.2412600059771011</c:v>
                </c:pt>
                <c:pt idx="7">
                  <c:v>3.9406198467719626</c:v>
                </c:pt>
                <c:pt idx="8">
                  <c:v>3.7432204152120327</c:v>
                </c:pt>
                <c:pt idx="9">
                  <c:v>4.3267284855080144</c:v>
                </c:pt>
                <c:pt idx="10">
                  <c:v>3.6371857019862635</c:v>
                </c:pt>
                <c:pt idx="11">
                  <c:v>4.0131980264403566</c:v>
                </c:pt>
                <c:pt idx="12">
                  <c:v>4.1279498708001707</c:v>
                </c:pt>
                <c:pt idx="13">
                  <c:v>3.396386455090723</c:v>
                </c:pt>
                <c:pt idx="14">
                  <c:v>3.9908586057780417</c:v>
                </c:pt>
              </c:numCache>
            </c:numRef>
          </c:val>
          <c:smooth val="0"/>
          <c:extLst>
            <c:ext xmlns:c16="http://schemas.microsoft.com/office/drawing/2014/chart" uri="{C3380CC4-5D6E-409C-BE32-E72D297353CC}">
              <c16:uniqueId val="{00000001-C7FD-4CE4-9A50-F5008D27AC12}"/>
            </c:ext>
          </c:extLst>
        </c:ser>
        <c:ser>
          <c:idx val="1"/>
          <c:order val="2"/>
          <c:tx>
            <c:strRef>
              <c:f>qPCR_Unique!$Q$1</c:f>
              <c:strCache>
                <c:ptCount val="1"/>
                <c:pt idx="0">
                  <c:v>Pseudomonas</c:v>
                </c:pt>
              </c:strCache>
            </c:strRef>
          </c:tx>
          <c:spPr>
            <a:ln w="6350" cap="rnd">
              <a:solidFill>
                <a:srgbClr val="F014C8"/>
              </a:solidFill>
              <a:round/>
            </a:ln>
            <a:effectLst/>
          </c:spPr>
          <c:marker>
            <c:symbol val="square"/>
            <c:size val="6"/>
            <c:spPr>
              <a:solidFill>
                <a:srgbClr val="F014C8"/>
              </a:solidFill>
              <a:ln w="12700">
                <a:solidFill>
                  <a:srgbClr val="F014C8"/>
                </a:solidFill>
              </a:ln>
              <a:effectLst/>
            </c:spPr>
          </c:marker>
          <c:errBars>
            <c:errDir val="y"/>
            <c:errBarType val="both"/>
            <c:errValType val="cust"/>
            <c:noEndCap val="0"/>
            <c:plus>
              <c:numRef>
                <c:f>qPCR_Unique!$S$76:$S$90</c:f>
                <c:numCache>
                  <c:formatCode>General</c:formatCode>
                  <c:ptCount val="15"/>
                  <c:pt idx="0">
                    <c:v>0</c:v>
                  </c:pt>
                  <c:pt idx="1">
                    <c:v>0</c:v>
                  </c:pt>
                  <c:pt idx="2">
                    <c:v>0</c:v>
                  </c:pt>
                  <c:pt idx="3">
                    <c:v>0</c:v>
                  </c:pt>
                  <c:pt idx="4">
                    <c:v>0</c:v>
                  </c:pt>
                  <c:pt idx="5">
                    <c:v>0</c:v>
                  </c:pt>
                  <c:pt idx="6">
                    <c:v>0</c:v>
                  </c:pt>
                  <c:pt idx="7">
                    <c:v>0</c:v>
                  </c:pt>
                  <c:pt idx="8">
                    <c:v>0.33387910272495597</c:v>
                  </c:pt>
                  <c:pt idx="9">
                    <c:v>0.43429448190325176</c:v>
                  </c:pt>
                  <c:pt idx="10">
                    <c:v>0</c:v>
                  </c:pt>
                  <c:pt idx="11">
                    <c:v>0</c:v>
                  </c:pt>
                  <c:pt idx="12">
                    <c:v>0.42114324213497706</c:v>
                  </c:pt>
                  <c:pt idx="13">
                    <c:v>0</c:v>
                  </c:pt>
                  <c:pt idx="14">
                    <c:v>0</c:v>
                  </c:pt>
                </c:numCache>
              </c:numRef>
            </c:plus>
            <c:minus>
              <c:numRef>
                <c:f>qPCR_Unique!$S$76:$S$90</c:f>
                <c:numCache>
                  <c:formatCode>General</c:formatCode>
                  <c:ptCount val="15"/>
                  <c:pt idx="0">
                    <c:v>0</c:v>
                  </c:pt>
                  <c:pt idx="1">
                    <c:v>0</c:v>
                  </c:pt>
                  <c:pt idx="2">
                    <c:v>0</c:v>
                  </c:pt>
                  <c:pt idx="3">
                    <c:v>0</c:v>
                  </c:pt>
                  <c:pt idx="4">
                    <c:v>0</c:v>
                  </c:pt>
                  <c:pt idx="5">
                    <c:v>0</c:v>
                  </c:pt>
                  <c:pt idx="6">
                    <c:v>0</c:v>
                  </c:pt>
                  <c:pt idx="7">
                    <c:v>0</c:v>
                  </c:pt>
                  <c:pt idx="8">
                    <c:v>0.33387910272495597</c:v>
                  </c:pt>
                  <c:pt idx="9">
                    <c:v>0.43429448190325176</c:v>
                  </c:pt>
                  <c:pt idx="10">
                    <c:v>0</c:v>
                  </c:pt>
                  <c:pt idx="11">
                    <c:v>0</c:v>
                  </c:pt>
                  <c:pt idx="12">
                    <c:v>0.42114324213497706</c:v>
                  </c:pt>
                  <c:pt idx="13">
                    <c:v>0</c:v>
                  </c:pt>
                  <c:pt idx="14">
                    <c:v>0</c:v>
                  </c:pt>
                </c:numCache>
              </c:numRef>
            </c:minus>
            <c:spPr>
              <a:noFill/>
              <a:ln w="12700" cap="flat" cmpd="sng" algn="ctr">
                <a:solidFill>
                  <a:srgbClr val="F014C8"/>
                </a:solidFill>
                <a:round/>
              </a:ln>
              <a:effectLst/>
            </c:spPr>
          </c:errBars>
          <c:cat>
            <c:numRef>
              <c:f>qPCR_Unique!$G$76:$G$90</c:f>
              <c:numCache>
                <c:formatCode>mm/dd/yyyy</c:formatCode>
                <c:ptCount val="15"/>
                <c:pt idx="0">
                  <c:v>44335</c:v>
                </c:pt>
                <c:pt idx="1">
                  <c:v>44342</c:v>
                </c:pt>
                <c:pt idx="2">
                  <c:v>44350</c:v>
                </c:pt>
                <c:pt idx="3">
                  <c:v>44356</c:v>
                </c:pt>
                <c:pt idx="4">
                  <c:v>44363</c:v>
                </c:pt>
                <c:pt idx="5">
                  <c:v>44370</c:v>
                </c:pt>
                <c:pt idx="6">
                  <c:v>44377</c:v>
                </c:pt>
                <c:pt idx="7">
                  <c:v>44385</c:v>
                </c:pt>
                <c:pt idx="8">
                  <c:v>44391</c:v>
                </c:pt>
                <c:pt idx="9">
                  <c:v>44398</c:v>
                </c:pt>
                <c:pt idx="10">
                  <c:v>44405</c:v>
                </c:pt>
                <c:pt idx="11">
                  <c:v>44412</c:v>
                </c:pt>
                <c:pt idx="12">
                  <c:v>44419</c:v>
                </c:pt>
                <c:pt idx="13">
                  <c:v>44426</c:v>
                </c:pt>
                <c:pt idx="14">
                  <c:v>44433</c:v>
                </c:pt>
              </c:numCache>
            </c:numRef>
          </c:cat>
          <c:val>
            <c:numRef>
              <c:f>qPCR_Unique!$R$76:$R$90</c:f>
              <c:numCache>
                <c:formatCode>0.000</c:formatCode>
                <c:ptCount val="15"/>
                <c:pt idx="0">
                  <c:v>0</c:v>
                </c:pt>
                <c:pt idx="1">
                  <c:v>0</c:v>
                </c:pt>
                <c:pt idx="2">
                  <c:v>0</c:v>
                </c:pt>
                <c:pt idx="3">
                  <c:v>0</c:v>
                </c:pt>
                <c:pt idx="4">
                  <c:v>0</c:v>
                </c:pt>
                <c:pt idx="5">
                  <c:v>0</c:v>
                </c:pt>
                <c:pt idx="6">
                  <c:v>0</c:v>
                </c:pt>
                <c:pt idx="7">
                  <c:v>0</c:v>
                </c:pt>
                <c:pt idx="8">
                  <c:v>4.9408450708457536</c:v>
                </c:pt>
                <c:pt idx="9">
                  <c:v>6.4455344069009808</c:v>
                </c:pt>
                <c:pt idx="10">
                  <c:v>0</c:v>
                </c:pt>
                <c:pt idx="11">
                  <c:v>0</c:v>
                </c:pt>
                <c:pt idx="12">
                  <c:v>4.5219452069362802</c:v>
                </c:pt>
                <c:pt idx="13">
                  <c:v>0</c:v>
                </c:pt>
                <c:pt idx="14">
                  <c:v>0</c:v>
                </c:pt>
              </c:numCache>
            </c:numRef>
          </c:val>
          <c:smooth val="0"/>
          <c:extLst>
            <c:ext xmlns:c16="http://schemas.microsoft.com/office/drawing/2014/chart" uri="{C3380CC4-5D6E-409C-BE32-E72D297353CC}">
              <c16:uniqueId val="{00000002-C7FD-4CE4-9A50-F5008D27AC12}"/>
            </c:ext>
          </c:extLst>
        </c:ser>
        <c:ser>
          <c:idx val="2"/>
          <c:order val="3"/>
          <c:tx>
            <c:strRef>
              <c:f>qPCR_Unique!$T$1</c:f>
              <c:strCache>
                <c:ptCount val="1"/>
                <c:pt idx="0">
                  <c:v>Vermamoeba vermiformis</c:v>
                </c:pt>
              </c:strCache>
            </c:strRef>
          </c:tx>
          <c:spPr>
            <a:ln w="6350" cap="rnd">
              <a:solidFill>
                <a:srgbClr val="3CE63C"/>
              </a:solidFill>
              <a:round/>
            </a:ln>
            <a:effectLst/>
          </c:spPr>
          <c:marker>
            <c:symbol val="square"/>
            <c:size val="6"/>
            <c:spPr>
              <a:noFill/>
              <a:ln w="12700">
                <a:solidFill>
                  <a:srgbClr val="3CE63C"/>
                </a:solidFill>
              </a:ln>
              <a:effectLst/>
            </c:spPr>
          </c:marker>
          <c:errBars>
            <c:errDir val="y"/>
            <c:errBarType val="both"/>
            <c:errValType val="cust"/>
            <c:noEndCap val="0"/>
            <c:plus>
              <c:numRef>
                <c:f>qPCR_Unique!$V$76:$V$90</c:f>
                <c:numCache>
                  <c:formatCode>General</c:formatCode>
                  <c:ptCount val="15"/>
                  <c:pt idx="0">
                    <c:v>0.43429448190325176</c:v>
                  </c:pt>
                  <c:pt idx="1">
                    <c:v>0.43429448190325176</c:v>
                  </c:pt>
                  <c:pt idx="2">
                    <c:v>0.18699382377605328</c:v>
                  </c:pt>
                  <c:pt idx="3">
                    <c:v>0</c:v>
                  </c:pt>
                  <c:pt idx="4">
                    <c:v>0.43429448190325176</c:v>
                  </c:pt>
                  <c:pt idx="5">
                    <c:v>8.5772296276015597E-3</c:v>
                  </c:pt>
                  <c:pt idx="6">
                    <c:v>0.43429448190325171</c:v>
                  </c:pt>
                  <c:pt idx="7">
                    <c:v>0</c:v>
                  </c:pt>
                  <c:pt idx="8">
                    <c:v>0</c:v>
                  </c:pt>
                  <c:pt idx="9">
                    <c:v>0</c:v>
                  </c:pt>
                  <c:pt idx="10">
                    <c:v>0.43429448190325176</c:v>
                  </c:pt>
                  <c:pt idx="11">
                    <c:v>0.43429448190325176</c:v>
                  </c:pt>
                  <c:pt idx="12">
                    <c:v>0</c:v>
                  </c:pt>
                  <c:pt idx="13">
                    <c:v>0.43429448190325176</c:v>
                  </c:pt>
                  <c:pt idx="14">
                    <c:v>0</c:v>
                  </c:pt>
                </c:numCache>
              </c:numRef>
            </c:plus>
            <c:minus>
              <c:numRef>
                <c:f>qPCR_Unique!$V$76:$V$90</c:f>
                <c:numCache>
                  <c:formatCode>General</c:formatCode>
                  <c:ptCount val="15"/>
                  <c:pt idx="0">
                    <c:v>0.43429448190325176</c:v>
                  </c:pt>
                  <c:pt idx="1">
                    <c:v>0.43429448190325176</c:v>
                  </c:pt>
                  <c:pt idx="2">
                    <c:v>0.18699382377605328</c:v>
                  </c:pt>
                  <c:pt idx="3">
                    <c:v>0</c:v>
                  </c:pt>
                  <c:pt idx="4">
                    <c:v>0.43429448190325176</c:v>
                  </c:pt>
                  <c:pt idx="5">
                    <c:v>8.5772296276015597E-3</c:v>
                  </c:pt>
                  <c:pt idx="6">
                    <c:v>0.43429448190325171</c:v>
                  </c:pt>
                  <c:pt idx="7">
                    <c:v>0</c:v>
                  </c:pt>
                  <c:pt idx="8">
                    <c:v>0</c:v>
                  </c:pt>
                  <c:pt idx="9">
                    <c:v>0</c:v>
                  </c:pt>
                  <c:pt idx="10">
                    <c:v>0.43429448190325176</c:v>
                  </c:pt>
                  <c:pt idx="11">
                    <c:v>0.43429448190325176</c:v>
                  </c:pt>
                  <c:pt idx="12">
                    <c:v>0</c:v>
                  </c:pt>
                  <c:pt idx="13">
                    <c:v>0.43429448190325176</c:v>
                  </c:pt>
                  <c:pt idx="14">
                    <c:v>0</c:v>
                  </c:pt>
                </c:numCache>
              </c:numRef>
            </c:minus>
            <c:spPr>
              <a:noFill/>
              <a:ln w="12700" cap="flat" cmpd="sng" algn="ctr">
                <a:solidFill>
                  <a:srgbClr val="3CE63C"/>
                </a:solidFill>
                <a:round/>
              </a:ln>
              <a:effectLst/>
            </c:spPr>
          </c:errBars>
          <c:cat>
            <c:numRef>
              <c:f>qPCR_Unique!$G$76:$G$90</c:f>
              <c:numCache>
                <c:formatCode>mm/dd/yyyy</c:formatCode>
                <c:ptCount val="15"/>
                <c:pt idx="0">
                  <c:v>44335</c:v>
                </c:pt>
                <c:pt idx="1">
                  <c:v>44342</c:v>
                </c:pt>
                <c:pt idx="2">
                  <c:v>44350</c:v>
                </c:pt>
                <c:pt idx="3">
                  <c:v>44356</c:v>
                </c:pt>
                <c:pt idx="4">
                  <c:v>44363</c:v>
                </c:pt>
                <c:pt idx="5">
                  <c:v>44370</c:v>
                </c:pt>
                <c:pt idx="6">
                  <c:v>44377</c:v>
                </c:pt>
                <c:pt idx="7">
                  <c:v>44385</c:v>
                </c:pt>
                <c:pt idx="8">
                  <c:v>44391</c:v>
                </c:pt>
                <c:pt idx="9">
                  <c:v>44398</c:v>
                </c:pt>
                <c:pt idx="10">
                  <c:v>44405</c:v>
                </c:pt>
                <c:pt idx="11">
                  <c:v>44412</c:v>
                </c:pt>
                <c:pt idx="12">
                  <c:v>44419</c:v>
                </c:pt>
                <c:pt idx="13">
                  <c:v>44426</c:v>
                </c:pt>
                <c:pt idx="14">
                  <c:v>44433</c:v>
                </c:pt>
              </c:numCache>
            </c:numRef>
          </c:cat>
          <c:val>
            <c:numRef>
              <c:f>qPCR_Unique!$U$76:$U$90</c:f>
              <c:numCache>
                <c:formatCode>0.000</c:formatCode>
                <c:ptCount val="15"/>
                <c:pt idx="0">
                  <c:v>2.5204130406954133</c:v>
                </c:pt>
                <c:pt idx="1">
                  <c:v>2.8024360933784962</c:v>
                </c:pt>
                <c:pt idx="2">
                  <c:v>2.7605127333945005</c:v>
                </c:pt>
                <c:pt idx="3">
                  <c:v>0</c:v>
                </c:pt>
                <c:pt idx="4">
                  <c:v>1.8620594843788647</c:v>
                </c:pt>
                <c:pt idx="5">
                  <c:v>3.6892668926510406</c:v>
                </c:pt>
                <c:pt idx="6">
                  <c:v>3.0618000178157891</c:v>
                </c:pt>
                <c:pt idx="7">
                  <c:v>0</c:v>
                </c:pt>
                <c:pt idx="8">
                  <c:v>0</c:v>
                </c:pt>
                <c:pt idx="9">
                  <c:v>0</c:v>
                </c:pt>
                <c:pt idx="10">
                  <c:v>3.0363742024637514</c:v>
                </c:pt>
                <c:pt idx="11">
                  <c:v>3.0807511674943671</c:v>
                </c:pt>
                <c:pt idx="12">
                  <c:v>0</c:v>
                </c:pt>
                <c:pt idx="13">
                  <c:v>2.572604608472389</c:v>
                </c:pt>
                <c:pt idx="14">
                  <c:v>0</c:v>
                </c:pt>
              </c:numCache>
            </c:numRef>
          </c:val>
          <c:smooth val="0"/>
          <c:extLst>
            <c:ext xmlns:c16="http://schemas.microsoft.com/office/drawing/2014/chart" uri="{C3380CC4-5D6E-409C-BE32-E72D297353CC}">
              <c16:uniqueId val="{00000003-C7FD-4CE4-9A50-F5008D27AC12}"/>
            </c:ext>
          </c:extLst>
        </c:ser>
        <c:ser>
          <c:idx val="4"/>
          <c:order val="4"/>
          <c:tx>
            <c:strRef>
              <c:f>qPCR_Unique!$W$1</c:f>
              <c:strCache>
                <c:ptCount val="1"/>
                <c:pt idx="0">
                  <c:v>Summed OP</c:v>
                </c:pt>
              </c:strCache>
            </c:strRef>
          </c:tx>
          <c:spPr>
            <a:ln w="6350" cap="rnd">
              <a:solidFill>
                <a:srgbClr val="28C8C8"/>
              </a:solidFill>
              <a:round/>
            </a:ln>
            <a:effectLst/>
          </c:spPr>
          <c:marker>
            <c:symbol val="diamond"/>
            <c:size val="12"/>
            <c:spPr>
              <a:noFill/>
              <a:ln w="12700">
                <a:solidFill>
                  <a:srgbClr val="28C8C8"/>
                </a:solidFill>
              </a:ln>
              <a:effectLst/>
            </c:spPr>
          </c:marker>
          <c:cat>
            <c:numRef>
              <c:f>qPCR_Unique!$G$76:$G$90</c:f>
              <c:numCache>
                <c:formatCode>mm/dd/yyyy</c:formatCode>
                <c:ptCount val="15"/>
                <c:pt idx="0">
                  <c:v>44335</c:v>
                </c:pt>
                <c:pt idx="1">
                  <c:v>44342</c:v>
                </c:pt>
                <c:pt idx="2">
                  <c:v>44350</c:v>
                </c:pt>
                <c:pt idx="3">
                  <c:v>44356</c:v>
                </c:pt>
                <c:pt idx="4">
                  <c:v>44363</c:v>
                </c:pt>
                <c:pt idx="5">
                  <c:v>44370</c:v>
                </c:pt>
                <c:pt idx="6">
                  <c:v>44377</c:v>
                </c:pt>
                <c:pt idx="7">
                  <c:v>44385</c:v>
                </c:pt>
                <c:pt idx="8">
                  <c:v>44391</c:v>
                </c:pt>
                <c:pt idx="9">
                  <c:v>44398</c:v>
                </c:pt>
                <c:pt idx="10">
                  <c:v>44405</c:v>
                </c:pt>
                <c:pt idx="11">
                  <c:v>44412</c:v>
                </c:pt>
                <c:pt idx="12">
                  <c:v>44419</c:v>
                </c:pt>
                <c:pt idx="13">
                  <c:v>44426</c:v>
                </c:pt>
                <c:pt idx="14">
                  <c:v>44433</c:v>
                </c:pt>
              </c:numCache>
            </c:numRef>
          </c:cat>
          <c:val>
            <c:numRef>
              <c:f>qPCR_Unique!$X$76:$X$90</c:f>
              <c:numCache>
                <c:formatCode>0.000</c:formatCode>
                <c:ptCount val="15"/>
                <c:pt idx="0">
                  <c:v>4.9069281558909319</c:v>
                </c:pt>
                <c:pt idx="1">
                  <c:v>4.8403210099395428</c:v>
                </c:pt>
                <c:pt idx="2">
                  <c:v>4.4618559199604793</c:v>
                </c:pt>
                <c:pt idx="3">
                  <c:v>4.4349192443684737</c:v>
                </c:pt>
                <c:pt idx="4">
                  <c:v>4.3573393407477621</c:v>
                </c:pt>
                <c:pt idx="5">
                  <c:v>4.5873592341105756</c:v>
                </c:pt>
                <c:pt idx="6">
                  <c:v>4.2690789478210212</c:v>
                </c:pt>
                <c:pt idx="7">
                  <c:v>3.9834769678162663</c:v>
                </c:pt>
                <c:pt idx="8">
                  <c:v>4.9675587886088426</c:v>
                </c:pt>
                <c:pt idx="9">
                  <c:v>6.448911518451645</c:v>
                </c:pt>
                <c:pt idx="10">
                  <c:v>4.5967695831395945</c:v>
                </c:pt>
                <c:pt idx="11">
                  <c:v>4.2275733381513261</c:v>
                </c:pt>
                <c:pt idx="12">
                  <c:v>4.7697698492433531</c:v>
                </c:pt>
                <c:pt idx="13">
                  <c:v>4.9565417274702419</c:v>
                </c:pt>
                <c:pt idx="14">
                  <c:v>4.3277410628718389</c:v>
                </c:pt>
              </c:numCache>
            </c:numRef>
          </c:val>
          <c:smooth val="0"/>
          <c:extLst>
            <c:ext xmlns:c16="http://schemas.microsoft.com/office/drawing/2014/chart" uri="{C3380CC4-5D6E-409C-BE32-E72D297353CC}">
              <c16:uniqueId val="{00000004-C7FD-4CE4-9A50-F5008D27AC12}"/>
            </c:ext>
          </c:extLst>
        </c:ser>
        <c:dLbls>
          <c:showLegendKey val="0"/>
          <c:showVal val="0"/>
          <c:showCatName val="0"/>
          <c:showSerName val="0"/>
          <c:showPercent val="0"/>
          <c:showBubbleSize val="0"/>
        </c:dLbls>
        <c:marker val="1"/>
        <c:smooth val="0"/>
        <c:axId val="403941288"/>
        <c:axId val="403917672"/>
      </c:lineChart>
      <c:lineChart>
        <c:grouping val="standard"/>
        <c:varyColors val="0"/>
        <c:ser>
          <c:idx val="5"/>
          <c:order val="5"/>
          <c:tx>
            <c:strRef>
              <c:f>qPCR_Unique!$H$1</c:f>
              <c:strCache>
                <c:ptCount val="1"/>
                <c:pt idx="0">
                  <c:v>Total bacteria</c:v>
                </c:pt>
              </c:strCache>
            </c:strRef>
          </c:tx>
          <c:spPr>
            <a:ln w="6350" cap="rnd">
              <a:solidFill>
                <a:schemeClr val="tx1"/>
              </a:solidFill>
              <a:round/>
            </a:ln>
            <a:effectLst/>
          </c:spPr>
          <c:marker>
            <c:symbol val="triangle"/>
            <c:size val="8"/>
            <c:spPr>
              <a:noFill/>
              <a:ln w="12700">
                <a:solidFill>
                  <a:schemeClr val="tx1"/>
                </a:solidFill>
              </a:ln>
              <a:effectLst/>
            </c:spPr>
          </c:marker>
          <c:errBars>
            <c:errDir val="y"/>
            <c:errBarType val="both"/>
            <c:errValType val="cust"/>
            <c:noEndCap val="0"/>
            <c:plus>
              <c:numRef>
                <c:f>qPCR_Unique!$J$76:$J$90</c:f>
                <c:numCache>
                  <c:formatCode>General</c:formatCode>
                  <c:ptCount val="15"/>
                  <c:pt idx="0">
                    <c:v>5.9595121487214596E-2</c:v>
                  </c:pt>
                  <c:pt idx="1">
                    <c:v>4.492672580587196E-2</c:v>
                  </c:pt>
                  <c:pt idx="2">
                    <c:v>0.43429448190325176</c:v>
                  </c:pt>
                  <c:pt idx="3">
                    <c:v>5.6709914379270275E-2</c:v>
                  </c:pt>
                  <c:pt idx="4">
                    <c:v>0.17068614845696886</c:v>
                  </c:pt>
                  <c:pt idx="5">
                    <c:v>0.20919424554186997</c:v>
                  </c:pt>
                  <c:pt idx="6">
                    <c:v>0.14369314183355147</c:v>
                  </c:pt>
                  <c:pt idx="7">
                    <c:v>5.7918144401133832E-2</c:v>
                  </c:pt>
                  <c:pt idx="8">
                    <c:v>0.43403617568292674</c:v>
                  </c:pt>
                  <c:pt idx="9">
                    <c:v>0.38148136421067003</c:v>
                  </c:pt>
                  <c:pt idx="10">
                    <c:v>0.19125254806198155</c:v>
                  </c:pt>
                  <c:pt idx="11">
                    <c:v>0.26589295607205832</c:v>
                  </c:pt>
                  <c:pt idx="12">
                    <c:v>0.27308644159112216</c:v>
                  </c:pt>
                  <c:pt idx="13">
                    <c:v>2.9090796026394465E-2</c:v>
                  </c:pt>
                  <c:pt idx="14">
                    <c:v>0.43429448190325171</c:v>
                  </c:pt>
                </c:numCache>
              </c:numRef>
            </c:plus>
            <c:minus>
              <c:numRef>
                <c:f>qPCR_Unique!$J$76:$J$90</c:f>
                <c:numCache>
                  <c:formatCode>General</c:formatCode>
                  <c:ptCount val="15"/>
                  <c:pt idx="0">
                    <c:v>5.9595121487214596E-2</c:v>
                  </c:pt>
                  <c:pt idx="1">
                    <c:v>4.492672580587196E-2</c:v>
                  </c:pt>
                  <c:pt idx="2">
                    <c:v>0.43429448190325176</c:v>
                  </c:pt>
                  <c:pt idx="3">
                    <c:v>5.6709914379270275E-2</c:v>
                  </c:pt>
                  <c:pt idx="4">
                    <c:v>0.17068614845696886</c:v>
                  </c:pt>
                  <c:pt idx="5">
                    <c:v>0.20919424554186997</c:v>
                  </c:pt>
                  <c:pt idx="6">
                    <c:v>0.14369314183355147</c:v>
                  </c:pt>
                  <c:pt idx="7">
                    <c:v>5.7918144401133832E-2</c:v>
                  </c:pt>
                  <c:pt idx="8">
                    <c:v>0.43403617568292674</c:v>
                  </c:pt>
                  <c:pt idx="9">
                    <c:v>0.38148136421067003</c:v>
                  </c:pt>
                  <c:pt idx="10">
                    <c:v>0.19125254806198155</c:v>
                  </c:pt>
                  <c:pt idx="11">
                    <c:v>0.26589295607205832</c:v>
                  </c:pt>
                  <c:pt idx="12">
                    <c:v>0.27308644159112216</c:v>
                  </c:pt>
                  <c:pt idx="13">
                    <c:v>2.9090796026394465E-2</c:v>
                  </c:pt>
                  <c:pt idx="14">
                    <c:v>0.43429448190325171</c:v>
                  </c:pt>
                </c:numCache>
              </c:numRef>
            </c:minus>
            <c:spPr>
              <a:noFill/>
              <a:ln w="12700" cap="flat" cmpd="sng" algn="ctr">
                <a:solidFill>
                  <a:schemeClr val="tx1"/>
                </a:solidFill>
                <a:round/>
              </a:ln>
              <a:effectLst/>
            </c:spPr>
          </c:errBars>
          <c:cat>
            <c:numRef>
              <c:f>qPCR_Unique!$G$76:$G$90</c:f>
              <c:numCache>
                <c:formatCode>mm/dd/yyyy</c:formatCode>
                <c:ptCount val="15"/>
                <c:pt idx="0">
                  <c:v>44335</c:v>
                </c:pt>
                <c:pt idx="1">
                  <c:v>44342</c:v>
                </c:pt>
                <c:pt idx="2">
                  <c:v>44350</c:v>
                </c:pt>
                <c:pt idx="3">
                  <c:v>44356</c:v>
                </c:pt>
                <c:pt idx="4">
                  <c:v>44363</c:v>
                </c:pt>
                <c:pt idx="5">
                  <c:v>44370</c:v>
                </c:pt>
                <c:pt idx="6">
                  <c:v>44377</c:v>
                </c:pt>
                <c:pt idx="7">
                  <c:v>44385</c:v>
                </c:pt>
                <c:pt idx="8">
                  <c:v>44391</c:v>
                </c:pt>
                <c:pt idx="9">
                  <c:v>44398</c:v>
                </c:pt>
                <c:pt idx="10">
                  <c:v>44405</c:v>
                </c:pt>
                <c:pt idx="11">
                  <c:v>44412</c:v>
                </c:pt>
                <c:pt idx="12">
                  <c:v>44419</c:v>
                </c:pt>
                <c:pt idx="13">
                  <c:v>44426</c:v>
                </c:pt>
                <c:pt idx="14">
                  <c:v>44433</c:v>
                </c:pt>
              </c:numCache>
            </c:numRef>
          </c:cat>
          <c:val>
            <c:numRef>
              <c:f>qPCR_Unique!$I$76:$I$90</c:f>
              <c:numCache>
                <c:formatCode>0.000</c:formatCode>
                <c:ptCount val="15"/>
                <c:pt idx="0">
                  <c:v>7.4691683721050639</c:v>
                </c:pt>
                <c:pt idx="1">
                  <c:v>7.6870587008862445</c:v>
                </c:pt>
                <c:pt idx="2">
                  <c:v>7.0970742653226893</c:v>
                </c:pt>
                <c:pt idx="3">
                  <c:v>7.7336987531004038</c:v>
                </c:pt>
                <c:pt idx="4">
                  <c:v>6.6956501668543815</c:v>
                </c:pt>
                <c:pt idx="5">
                  <c:v>6.7113774578673802</c:v>
                </c:pt>
                <c:pt idx="6">
                  <c:v>6.5199267632234479</c:v>
                </c:pt>
                <c:pt idx="7">
                  <c:v>6.7372543138337742</c:v>
                </c:pt>
                <c:pt idx="8">
                  <c:v>9.8628594775492058</c:v>
                </c:pt>
                <c:pt idx="9">
                  <c:v>8.7338320516272994</c:v>
                </c:pt>
                <c:pt idx="10">
                  <c:v>8.1333710139331075</c:v>
                </c:pt>
                <c:pt idx="11">
                  <c:v>7.7970179338660834</c:v>
                </c:pt>
                <c:pt idx="12">
                  <c:v>8.4672516463565746</c:v>
                </c:pt>
                <c:pt idx="13">
                  <c:v>7.5735569828090972</c:v>
                </c:pt>
                <c:pt idx="14">
                  <c:v>8.5478362688149758</c:v>
                </c:pt>
              </c:numCache>
            </c:numRef>
          </c:val>
          <c:smooth val="0"/>
          <c:extLst>
            <c:ext xmlns:c16="http://schemas.microsoft.com/office/drawing/2014/chart" uri="{C3380CC4-5D6E-409C-BE32-E72D297353CC}">
              <c16:uniqueId val="{00000005-C7FD-4CE4-9A50-F5008D27AC12}"/>
            </c:ext>
          </c:extLst>
        </c:ser>
        <c:dLbls>
          <c:showLegendKey val="0"/>
          <c:showVal val="0"/>
          <c:showCatName val="0"/>
          <c:showSerName val="0"/>
          <c:showPercent val="0"/>
          <c:showBubbleSize val="0"/>
        </c:dLbls>
        <c:marker val="1"/>
        <c:smooth val="0"/>
        <c:axId val="803049488"/>
        <c:axId val="803055720"/>
      </c:lineChart>
      <c:dateAx>
        <c:axId val="403941288"/>
        <c:scaling>
          <c:orientation val="minMax"/>
          <c:max val="44434"/>
          <c:min val="44334"/>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Sampling times--</a:t>
                </a:r>
                <a:r>
                  <a:rPr lang="en-US" b="1">
                    <a:solidFill>
                      <a:srgbClr val="FF0000"/>
                    </a:solidFill>
                  </a:rPr>
                  <a:t>RU</a:t>
                </a:r>
              </a:p>
            </c:rich>
          </c:tx>
          <c:layout>
            <c:manualLayout>
              <c:xMode val="edge"/>
              <c:yMode val="edge"/>
              <c:x val="0.39785997109175708"/>
              <c:y val="0.94951730232117781"/>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mm/dd/yyyy" sourceLinked="1"/>
        <c:majorTickMark val="out"/>
        <c:minorTickMark val="in"/>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03917672"/>
        <c:crosses val="autoZero"/>
        <c:auto val="1"/>
        <c:lblOffset val="100"/>
        <c:baseTimeUnit val="days"/>
        <c:majorUnit val="10"/>
        <c:majorTimeUnit val="days"/>
        <c:minorUnit val="5"/>
        <c:minorTimeUnit val="days"/>
      </c:dateAx>
      <c:valAx>
        <c:axId val="403917672"/>
        <c:scaling>
          <c:orientation val="minMax"/>
          <c:max val="7"/>
          <c:min val="0"/>
        </c:scaling>
        <c:delete val="0"/>
        <c:axPos val="l"/>
        <c:majorGridlines>
          <c:spPr>
            <a:ln w="1270" cap="flat" cmpd="sng" algn="ctr">
              <a:solidFill>
                <a:schemeClr val="tx1"/>
              </a:solidFill>
              <a:prstDash val="solid"/>
              <a:round/>
            </a:ln>
            <a:effectLst/>
          </c:spPr>
        </c:majorGridlines>
        <c:minorGridlines>
          <c:spPr>
            <a:ln w="1270" cap="flat" cmpd="sng" algn="ctr">
              <a:solidFill>
                <a:schemeClr val="bg2">
                  <a:lumMod val="90000"/>
                </a:schemeClr>
              </a:solidFill>
              <a:prstDash val="dash"/>
              <a:round/>
            </a:ln>
            <a:effectLst/>
          </c:spPr>
        </c:min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sz="1200" b="0" i="0" baseline="0">
                    <a:effectLst/>
                  </a:rPr>
                  <a:t>log</a:t>
                </a:r>
                <a:r>
                  <a:rPr lang="en-US" sz="1200" b="0" i="0" baseline="-25000">
                    <a:effectLst/>
                  </a:rPr>
                  <a:t>10</a:t>
                </a:r>
                <a:r>
                  <a:rPr lang="en-US" sz="1200" b="0" i="0" baseline="0">
                    <a:effectLst/>
                  </a:rPr>
                  <a:t>[OP (GCN·L</a:t>
                </a:r>
                <a:r>
                  <a:rPr lang="en-US" sz="1200" b="0" i="0" baseline="30000">
                    <a:effectLst/>
                  </a:rPr>
                  <a:t>-1</a:t>
                </a:r>
                <a:r>
                  <a:rPr lang="en-US" sz="1200" b="0" i="0" baseline="0">
                    <a:effectLst/>
                  </a:rPr>
                  <a:t>)]</a:t>
                </a:r>
                <a:endParaRPr lang="en-US" sz="1200">
                  <a:effectLst/>
                </a:endParaRPr>
              </a:p>
            </c:rich>
          </c:tx>
          <c:layout>
            <c:manualLayout>
              <c:xMode val="edge"/>
              <c:yMode val="edge"/>
              <c:x val="6.5976053561081385E-5"/>
              <c:y val="0.2827105058966991"/>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0" sourceLinked="0"/>
        <c:majorTickMark val="out"/>
        <c:minorTickMark val="in"/>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03941288"/>
        <c:crosses val="autoZero"/>
        <c:crossBetween val="between"/>
        <c:majorUnit val="1"/>
        <c:minorUnit val="0.25"/>
      </c:valAx>
      <c:valAx>
        <c:axId val="803055720"/>
        <c:scaling>
          <c:orientation val="minMax"/>
          <c:max val="10.5"/>
          <c:min val="6"/>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sz="1200" b="0" i="0" baseline="0">
                    <a:effectLst/>
                  </a:rPr>
                  <a:t>log</a:t>
                </a:r>
                <a:r>
                  <a:rPr lang="en-US" sz="1200" b="0" i="0" baseline="-25000">
                    <a:effectLst/>
                  </a:rPr>
                  <a:t>10</a:t>
                </a:r>
                <a:r>
                  <a:rPr lang="en-US" sz="1200" b="0" i="0" baseline="0">
                    <a:effectLst/>
                  </a:rPr>
                  <a:t>[Total bacteria (GCN·L</a:t>
                </a:r>
                <a:r>
                  <a:rPr lang="en-US" sz="1200" b="0" i="0" baseline="30000">
                    <a:effectLst/>
                  </a:rPr>
                  <a:t>-1</a:t>
                </a:r>
                <a:r>
                  <a:rPr lang="en-US" sz="1200" b="0" i="0" baseline="0">
                    <a:effectLst/>
                  </a:rPr>
                  <a:t>)]</a:t>
                </a:r>
                <a:endParaRPr lang="en-US" sz="1200">
                  <a:effectLst/>
                </a:endParaRPr>
              </a:p>
            </c:rich>
          </c:tx>
          <c:layout>
            <c:manualLayout>
              <c:xMode val="edge"/>
              <c:yMode val="edge"/>
              <c:x val="0.95664193998920155"/>
              <c:y val="0.20690728939384437"/>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0" sourceLinked="0"/>
        <c:majorTickMark val="out"/>
        <c:minorTickMark val="in"/>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803049488"/>
        <c:crosses val="max"/>
        <c:crossBetween val="between"/>
        <c:majorUnit val="1"/>
        <c:minorUnit val="0.25"/>
      </c:valAx>
      <c:dateAx>
        <c:axId val="803049488"/>
        <c:scaling>
          <c:orientation val="minMax"/>
        </c:scaling>
        <c:delete val="1"/>
        <c:axPos val="b"/>
        <c:numFmt formatCode="mm/dd/yyyy" sourceLinked="1"/>
        <c:majorTickMark val="out"/>
        <c:minorTickMark val="none"/>
        <c:tickLblPos val="nextTo"/>
        <c:crossAx val="803055720"/>
        <c:crosses val="autoZero"/>
        <c:auto val="1"/>
        <c:lblOffset val="100"/>
        <c:baseTimeUnit val="days"/>
        <c:majorUnit val="1"/>
        <c:minorUnit val="1"/>
      </c:dateAx>
      <c:spPr>
        <a:noFill/>
        <a:ln w="19050">
          <a:solidFill>
            <a:schemeClr val="tx1"/>
          </a:solidFill>
        </a:ln>
        <a:effectLst/>
      </c:spPr>
    </c:plotArea>
    <c:legend>
      <c:legendPos val="r"/>
      <c:legendEntry>
        <c:idx val="0"/>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Entry>
      <c:layout>
        <c:manualLayout>
          <c:xMode val="edge"/>
          <c:yMode val="edge"/>
          <c:x val="0.1451460198039683"/>
          <c:y val="0.13014296332744824"/>
          <c:w val="0.31765286524120145"/>
          <c:h val="0.23454100776731437"/>
        </c:manualLayout>
      </c:layout>
      <c:overlay val="0"/>
      <c:spPr>
        <a:solidFill>
          <a:schemeClr val="bg1"/>
        </a:solid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04646"/>
      </a:solid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13278008298755"/>
          <c:y val="3.6235046109691547E-2"/>
          <c:w val="0.77921161825726137"/>
          <c:h val="0.75850914427279748"/>
        </c:manualLayout>
      </c:layout>
      <c:lineChart>
        <c:grouping val="standard"/>
        <c:varyColors val="0"/>
        <c:ser>
          <c:idx val="3"/>
          <c:order val="0"/>
          <c:tx>
            <c:strRef>
              <c:f>qPCR_Unique!$K$1</c:f>
              <c:strCache>
                <c:ptCount val="1"/>
                <c:pt idx="0">
                  <c:v>Legionella</c:v>
                </c:pt>
              </c:strCache>
            </c:strRef>
          </c:tx>
          <c:spPr>
            <a:ln w="6350" cap="rnd">
              <a:solidFill>
                <a:srgbClr val="F04646"/>
              </a:solidFill>
              <a:round/>
            </a:ln>
            <a:effectLst/>
          </c:spPr>
          <c:marker>
            <c:symbol val="circle"/>
            <c:size val="6"/>
            <c:spPr>
              <a:solidFill>
                <a:srgbClr val="F04646"/>
              </a:solidFill>
              <a:ln w="12700">
                <a:solidFill>
                  <a:srgbClr val="F04646"/>
                </a:solidFill>
              </a:ln>
              <a:effectLst/>
            </c:spPr>
          </c:marker>
          <c:errBars>
            <c:errDir val="y"/>
            <c:errBarType val="both"/>
            <c:errValType val="cust"/>
            <c:noEndCap val="0"/>
            <c:plus>
              <c:numRef>
                <c:f>qPCR_Unique!$M$61:$M$75</c:f>
                <c:numCache>
                  <c:formatCode>General</c:formatCode>
                  <c:ptCount val="15"/>
                  <c:pt idx="0">
                    <c:v>0.17931496713489234</c:v>
                  </c:pt>
                  <c:pt idx="1">
                    <c:v>0.24277313718349219</c:v>
                  </c:pt>
                  <c:pt idx="2">
                    <c:v>6.6061828291278666E-3</c:v>
                  </c:pt>
                  <c:pt idx="3">
                    <c:v>0.27966489644099557</c:v>
                  </c:pt>
                  <c:pt idx="4">
                    <c:v>0</c:v>
                  </c:pt>
                  <c:pt idx="5">
                    <c:v>0</c:v>
                  </c:pt>
                  <c:pt idx="6">
                    <c:v>0</c:v>
                  </c:pt>
                  <c:pt idx="7">
                    <c:v>0.13287691959985501</c:v>
                  </c:pt>
                  <c:pt idx="8">
                    <c:v>0</c:v>
                  </c:pt>
                  <c:pt idx="9">
                    <c:v>7.6906433188412915E-3</c:v>
                  </c:pt>
                  <c:pt idx="10">
                    <c:v>0.41998678047885374</c:v>
                  </c:pt>
                  <c:pt idx="11">
                    <c:v>0.16280776690267629</c:v>
                  </c:pt>
                  <c:pt idx="12">
                    <c:v>0.16587071630755923</c:v>
                  </c:pt>
                  <c:pt idx="13">
                    <c:v>0.16389499019572343</c:v>
                  </c:pt>
                  <c:pt idx="14">
                    <c:v>0.43429448190325176</c:v>
                  </c:pt>
                </c:numCache>
              </c:numRef>
            </c:plus>
            <c:minus>
              <c:numRef>
                <c:f>qPCR_Unique!$M$61:$M$75</c:f>
                <c:numCache>
                  <c:formatCode>General</c:formatCode>
                  <c:ptCount val="15"/>
                  <c:pt idx="0">
                    <c:v>0.17931496713489234</c:v>
                  </c:pt>
                  <c:pt idx="1">
                    <c:v>0.24277313718349219</c:v>
                  </c:pt>
                  <c:pt idx="2">
                    <c:v>6.6061828291278666E-3</c:v>
                  </c:pt>
                  <c:pt idx="3">
                    <c:v>0.27966489644099557</c:v>
                  </c:pt>
                  <c:pt idx="4">
                    <c:v>0</c:v>
                  </c:pt>
                  <c:pt idx="5">
                    <c:v>0</c:v>
                  </c:pt>
                  <c:pt idx="6">
                    <c:v>0</c:v>
                  </c:pt>
                  <c:pt idx="7">
                    <c:v>0.13287691959985501</c:v>
                  </c:pt>
                  <c:pt idx="8">
                    <c:v>0</c:v>
                  </c:pt>
                  <c:pt idx="9">
                    <c:v>7.6906433188412915E-3</c:v>
                  </c:pt>
                  <c:pt idx="10">
                    <c:v>0.41998678047885374</c:v>
                  </c:pt>
                  <c:pt idx="11">
                    <c:v>0.16280776690267629</c:v>
                  </c:pt>
                  <c:pt idx="12">
                    <c:v>0.16587071630755923</c:v>
                  </c:pt>
                  <c:pt idx="13">
                    <c:v>0.16389499019572343</c:v>
                  </c:pt>
                  <c:pt idx="14">
                    <c:v>0.43429448190325176</c:v>
                  </c:pt>
                </c:numCache>
              </c:numRef>
            </c:minus>
            <c:spPr>
              <a:noFill/>
              <a:ln w="12700" cap="flat" cmpd="sng" algn="ctr">
                <a:solidFill>
                  <a:srgbClr val="F04646"/>
                </a:solidFill>
                <a:round/>
              </a:ln>
              <a:effectLst/>
            </c:spPr>
          </c:errBars>
          <c:cat>
            <c:numRef>
              <c:f>qPCR_Unique!$G$61:$G$75</c:f>
              <c:numCache>
                <c:formatCode>mm/dd/yyyy</c:formatCode>
                <c:ptCount val="15"/>
                <c:pt idx="0">
                  <c:v>44335</c:v>
                </c:pt>
                <c:pt idx="1">
                  <c:v>44342</c:v>
                </c:pt>
                <c:pt idx="2">
                  <c:v>44350</c:v>
                </c:pt>
                <c:pt idx="3">
                  <c:v>44356</c:v>
                </c:pt>
                <c:pt idx="4">
                  <c:v>44363</c:v>
                </c:pt>
                <c:pt idx="5">
                  <c:v>44370</c:v>
                </c:pt>
                <c:pt idx="6">
                  <c:v>44377</c:v>
                </c:pt>
                <c:pt idx="7">
                  <c:v>44385</c:v>
                </c:pt>
                <c:pt idx="8">
                  <c:v>44391</c:v>
                </c:pt>
                <c:pt idx="9">
                  <c:v>44398</c:v>
                </c:pt>
                <c:pt idx="10">
                  <c:v>44405</c:v>
                </c:pt>
                <c:pt idx="11">
                  <c:v>44412</c:v>
                </c:pt>
                <c:pt idx="12">
                  <c:v>44419</c:v>
                </c:pt>
                <c:pt idx="13">
                  <c:v>44426</c:v>
                </c:pt>
                <c:pt idx="14">
                  <c:v>44433</c:v>
                </c:pt>
              </c:numCache>
            </c:numRef>
          </c:cat>
          <c:val>
            <c:numRef>
              <c:f>qPCR_Unique!$L$61:$L$75</c:f>
              <c:numCache>
                <c:formatCode>0.000</c:formatCode>
                <c:ptCount val="15"/>
                <c:pt idx="0">
                  <c:v>4.8874086588122267</c:v>
                </c:pt>
                <c:pt idx="1">
                  <c:v>4.582345351084574</c:v>
                </c:pt>
                <c:pt idx="2">
                  <c:v>5.2120222604884647</c:v>
                </c:pt>
                <c:pt idx="3">
                  <c:v>4.5905055775213919</c:v>
                </c:pt>
                <c:pt idx="4">
                  <c:v>0</c:v>
                </c:pt>
                <c:pt idx="5">
                  <c:v>0</c:v>
                </c:pt>
                <c:pt idx="6">
                  <c:v>0</c:v>
                </c:pt>
                <c:pt idx="7">
                  <c:v>2.8426731922953588</c:v>
                </c:pt>
                <c:pt idx="8">
                  <c:v>0</c:v>
                </c:pt>
                <c:pt idx="9">
                  <c:v>2.5293707608093068</c:v>
                </c:pt>
                <c:pt idx="10">
                  <c:v>4.0789618308486393</c:v>
                </c:pt>
                <c:pt idx="11">
                  <c:v>3.7724110136143607</c:v>
                </c:pt>
                <c:pt idx="12">
                  <c:v>4.063005892980124</c:v>
                </c:pt>
                <c:pt idx="13">
                  <c:v>3.9558924586156925</c:v>
                </c:pt>
                <c:pt idx="14">
                  <c:v>3.3825519858263853</c:v>
                </c:pt>
              </c:numCache>
            </c:numRef>
          </c:val>
          <c:smooth val="0"/>
          <c:extLst>
            <c:ext xmlns:c16="http://schemas.microsoft.com/office/drawing/2014/chart" uri="{C3380CC4-5D6E-409C-BE32-E72D297353CC}">
              <c16:uniqueId val="{00000000-18F8-4D9C-B20F-10BAC230A797}"/>
            </c:ext>
          </c:extLst>
        </c:ser>
        <c:ser>
          <c:idx val="0"/>
          <c:order val="1"/>
          <c:tx>
            <c:strRef>
              <c:f>qPCR_Unique!$N$1</c:f>
              <c:strCache>
                <c:ptCount val="1"/>
                <c:pt idx="0">
                  <c:v>Mycobacterium</c:v>
                </c:pt>
              </c:strCache>
            </c:strRef>
          </c:tx>
          <c:spPr>
            <a:ln w="6350" cap="rnd">
              <a:solidFill>
                <a:srgbClr val="5064E6"/>
              </a:solidFill>
              <a:round/>
            </a:ln>
            <a:effectLst/>
          </c:spPr>
          <c:marker>
            <c:symbol val="circle"/>
            <c:size val="6"/>
            <c:spPr>
              <a:noFill/>
              <a:ln w="12700">
                <a:solidFill>
                  <a:srgbClr val="5064E6">
                    <a:alpha val="94902"/>
                  </a:srgbClr>
                </a:solidFill>
              </a:ln>
              <a:effectLst/>
            </c:spPr>
          </c:marker>
          <c:errBars>
            <c:errDir val="y"/>
            <c:errBarType val="both"/>
            <c:errValType val="cust"/>
            <c:noEndCap val="0"/>
            <c:plus>
              <c:numRef>
                <c:f>qPCR_Unique!$P$61:$P$75</c:f>
                <c:numCache>
                  <c:formatCode>General</c:formatCode>
                  <c:ptCount val="15"/>
                  <c:pt idx="0">
                    <c:v>7.5703032411179191E-2</c:v>
                  </c:pt>
                  <c:pt idx="1">
                    <c:v>0.29258277072984373</c:v>
                  </c:pt>
                  <c:pt idx="2">
                    <c:v>0.19814571080198626</c:v>
                  </c:pt>
                  <c:pt idx="3">
                    <c:v>2.4258710438023579E-2</c:v>
                  </c:pt>
                  <c:pt idx="4">
                    <c:v>0.29304142138778433</c:v>
                  </c:pt>
                  <c:pt idx="5">
                    <c:v>4.4211627601549687E-3</c:v>
                  </c:pt>
                  <c:pt idx="6">
                    <c:v>0.10610091204631435</c:v>
                  </c:pt>
                  <c:pt idx="7">
                    <c:v>0.13661046695476067</c:v>
                  </c:pt>
                  <c:pt idx="8">
                    <c:v>0.18905086498344267</c:v>
                  </c:pt>
                  <c:pt idx="9">
                    <c:v>0.13757373905465575</c:v>
                  </c:pt>
                  <c:pt idx="10">
                    <c:v>0.19108286554877929</c:v>
                  </c:pt>
                  <c:pt idx="11">
                    <c:v>0.17750806970006125</c:v>
                  </c:pt>
                  <c:pt idx="12">
                    <c:v>5.0052558911184694E-2</c:v>
                  </c:pt>
                  <c:pt idx="13">
                    <c:v>0.37234819415139586</c:v>
                  </c:pt>
                  <c:pt idx="14">
                    <c:v>3.8620280514219139E-2</c:v>
                  </c:pt>
                </c:numCache>
              </c:numRef>
            </c:plus>
            <c:minus>
              <c:numRef>
                <c:f>qPCR_Unique!$P$61:$P$75</c:f>
                <c:numCache>
                  <c:formatCode>General</c:formatCode>
                  <c:ptCount val="15"/>
                  <c:pt idx="0">
                    <c:v>7.5703032411179191E-2</c:v>
                  </c:pt>
                  <c:pt idx="1">
                    <c:v>0.29258277072984373</c:v>
                  </c:pt>
                  <c:pt idx="2">
                    <c:v>0.19814571080198626</c:v>
                  </c:pt>
                  <c:pt idx="3">
                    <c:v>2.4258710438023579E-2</c:v>
                  </c:pt>
                  <c:pt idx="4">
                    <c:v>0.29304142138778433</c:v>
                  </c:pt>
                  <c:pt idx="5">
                    <c:v>4.4211627601549687E-3</c:v>
                  </c:pt>
                  <c:pt idx="6">
                    <c:v>0.10610091204631435</c:v>
                  </c:pt>
                  <c:pt idx="7">
                    <c:v>0.13661046695476067</c:v>
                  </c:pt>
                  <c:pt idx="8">
                    <c:v>0.18905086498344267</c:v>
                  </c:pt>
                  <c:pt idx="9">
                    <c:v>0.13757373905465575</c:v>
                  </c:pt>
                  <c:pt idx="10">
                    <c:v>0.19108286554877929</c:v>
                  </c:pt>
                  <c:pt idx="11">
                    <c:v>0.17750806970006125</c:v>
                  </c:pt>
                  <c:pt idx="12">
                    <c:v>5.0052558911184694E-2</c:v>
                  </c:pt>
                  <c:pt idx="13">
                    <c:v>0.37234819415139586</c:v>
                  </c:pt>
                  <c:pt idx="14">
                    <c:v>3.8620280514219139E-2</c:v>
                  </c:pt>
                </c:numCache>
              </c:numRef>
            </c:minus>
            <c:spPr>
              <a:noFill/>
              <a:ln w="12700" cap="flat" cmpd="sng" algn="ctr">
                <a:solidFill>
                  <a:srgbClr val="5064E6"/>
                </a:solidFill>
                <a:round/>
              </a:ln>
              <a:effectLst/>
            </c:spPr>
          </c:errBars>
          <c:cat>
            <c:numRef>
              <c:f>qPCR_Unique!$G$61:$G$75</c:f>
              <c:numCache>
                <c:formatCode>mm/dd/yyyy</c:formatCode>
                <c:ptCount val="15"/>
                <c:pt idx="0">
                  <c:v>44335</c:v>
                </c:pt>
                <c:pt idx="1">
                  <c:v>44342</c:v>
                </c:pt>
                <c:pt idx="2">
                  <c:v>44350</c:v>
                </c:pt>
                <c:pt idx="3">
                  <c:v>44356</c:v>
                </c:pt>
                <c:pt idx="4">
                  <c:v>44363</c:v>
                </c:pt>
                <c:pt idx="5">
                  <c:v>44370</c:v>
                </c:pt>
                <c:pt idx="6">
                  <c:v>44377</c:v>
                </c:pt>
                <c:pt idx="7">
                  <c:v>44385</c:v>
                </c:pt>
                <c:pt idx="8">
                  <c:v>44391</c:v>
                </c:pt>
                <c:pt idx="9">
                  <c:v>44398</c:v>
                </c:pt>
                <c:pt idx="10">
                  <c:v>44405</c:v>
                </c:pt>
                <c:pt idx="11">
                  <c:v>44412</c:v>
                </c:pt>
                <c:pt idx="12">
                  <c:v>44419</c:v>
                </c:pt>
                <c:pt idx="13">
                  <c:v>44426</c:v>
                </c:pt>
                <c:pt idx="14">
                  <c:v>44433</c:v>
                </c:pt>
              </c:numCache>
            </c:numRef>
          </c:cat>
          <c:val>
            <c:numRef>
              <c:f>qPCR_Unique!$O$61:$O$75</c:f>
              <c:numCache>
                <c:formatCode>0.000</c:formatCode>
                <c:ptCount val="15"/>
                <c:pt idx="0">
                  <c:v>5.7209447811309939</c:v>
                </c:pt>
                <c:pt idx="1">
                  <c:v>4.5789234554193214</c:v>
                </c:pt>
                <c:pt idx="2">
                  <c:v>5.3808577257032759</c:v>
                </c:pt>
                <c:pt idx="3">
                  <c:v>4.3104329272152517</c:v>
                </c:pt>
                <c:pt idx="4">
                  <c:v>4.2106156072800465</c:v>
                </c:pt>
                <c:pt idx="5">
                  <c:v>4.972675217011691</c:v>
                </c:pt>
                <c:pt idx="6">
                  <c:v>5.2319408525106175</c:v>
                </c:pt>
                <c:pt idx="7">
                  <c:v>4.7025848149247986</c:v>
                </c:pt>
                <c:pt idx="8">
                  <c:v>6.2559757760072374</c:v>
                </c:pt>
                <c:pt idx="9">
                  <c:v>4.5696227545333876</c:v>
                </c:pt>
                <c:pt idx="10">
                  <c:v>4.966883790581651</c:v>
                </c:pt>
                <c:pt idx="11">
                  <c:v>4.6391474905137544</c:v>
                </c:pt>
                <c:pt idx="12">
                  <c:v>4.7652346487326867</c:v>
                </c:pt>
                <c:pt idx="13">
                  <c:v>3.9884828813409765</c:v>
                </c:pt>
                <c:pt idx="14">
                  <c:v>4.0205992861258624</c:v>
                </c:pt>
              </c:numCache>
            </c:numRef>
          </c:val>
          <c:smooth val="0"/>
          <c:extLst>
            <c:ext xmlns:c16="http://schemas.microsoft.com/office/drawing/2014/chart" uri="{C3380CC4-5D6E-409C-BE32-E72D297353CC}">
              <c16:uniqueId val="{00000001-18F8-4D9C-B20F-10BAC230A797}"/>
            </c:ext>
          </c:extLst>
        </c:ser>
        <c:ser>
          <c:idx val="1"/>
          <c:order val="2"/>
          <c:tx>
            <c:strRef>
              <c:f>qPCR_Unique!$Q$1</c:f>
              <c:strCache>
                <c:ptCount val="1"/>
                <c:pt idx="0">
                  <c:v>Pseudomonas</c:v>
                </c:pt>
              </c:strCache>
            </c:strRef>
          </c:tx>
          <c:spPr>
            <a:ln w="6350" cap="rnd">
              <a:solidFill>
                <a:srgbClr val="F014C8"/>
              </a:solidFill>
              <a:round/>
            </a:ln>
            <a:effectLst/>
          </c:spPr>
          <c:marker>
            <c:symbol val="square"/>
            <c:size val="6"/>
            <c:spPr>
              <a:solidFill>
                <a:srgbClr val="F014C8"/>
              </a:solidFill>
              <a:ln w="12700">
                <a:solidFill>
                  <a:srgbClr val="F014C8"/>
                </a:solidFill>
              </a:ln>
              <a:effectLst/>
            </c:spPr>
          </c:marker>
          <c:errBars>
            <c:errDir val="y"/>
            <c:errBarType val="both"/>
            <c:errValType val="cust"/>
            <c:noEndCap val="0"/>
            <c:plus>
              <c:numRef>
                <c:f>qPCR_Unique!$S$61:$S$75</c:f>
                <c:numCache>
                  <c:formatCode>General</c:formatCode>
                  <c:ptCount val="15"/>
                  <c:pt idx="0">
                    <c:v>0</c:v>
                  </c:pt>
                  <c:pt idx="1">
                    <c:v>0</c:v>
                  </c:pt>
                  <c:pt idx="2">
                    <c:v>0.43429448190325176</c:v>
                  </c:pt>
                  <c:pt idx="3">
                    <c:v>0.43429448190325176</c:v>
                  </c:pt>
                  <c:pt idx="4">
                    <c:v>0</c:v>
                  </c:pt>
                  <c:pt idx="5">
                    <c:v>0</c:v>
                  </c:pt>
                  <c:pt idx="6">
                    <c:v>0</c:v>
                  </c:pt>
                  <c:pt idx="7">
                    <c:v>0</c:v>
                  </c:pt>
                  <c:pt idx="8">
                    <c:v>0.21439450635618068</c:v>
                  </c:pt>
                  <c:pt idx="9">
                    <c:v>0.43429448190325176</c:v>
                  </c:pt>
                  <c:pt idx="10">
                    <c:v>0</c:v>
                  </c:pt>
                  <c:pt idx="11">
                    <c:v>0.19387221622223902</c:v>
                  </c:pt>
                  <c:pt idx="12">
                    <c:v>0</c:v>
                  </c:pt>
                  <c:pt idx="13">
                    <c:v>0</c:v>
                  </c:pt>
                  <c:pt idx="14">
                    <c:v>0.43429448190325176</c:v>
                  </c:pt>
                </c:numCache>
              </c:numRef>
            </c:plus>
            <c:minus>
              <c:numRef>
                <c:f>qPCR_Unique!$S$61:$S$75</c:f>
                <c:numCache>
                  <c:formatCode>General</c:formatCode>
                  <c:ptCount val="15"/>
                  <c:pt idx="0">
                    <c:v>0</c:v>
                  </c:pt>
                  <c:pt idx="1">
                    <c:v>0</c:v>
                  </c:pt>
                  <c:pt idx="2">
                    <c:v>0.43429448190325176</c:v>
                  </c:pt>
                  <c:pt idx="3">
                    <c:v>0.43429448190325176</c:v>
                  </c:pt>
                  <c:pt idx="4">
                    <c:v>0</c:v>
                  </c:pt>
                  <c:pt idx="5">
                    <c:v>0</c:v>
                  </c:pt>
                  <c:pt idx="6">
                    <c:v>0</c:v>
                  </c:pt>
                  <c:pt idx="7">
                    <c:v>0</c:v>
                  </c:pt>
                  <c:pt idx="8">
                    <c:v>0.21439450635618068</c:v>
                  </c:pt>
                  <c:pt idx="9">
                    <c:v>0.43429448190325176</c:v>
                  </c:pt>
                  <c:pt idx="10">
                    <c:v>0</c:v>
                  </c:pt>
                  <c:pt idx="11">
                    <c:v>0.19387221622223902</c:v>
                  </c:pt>
                  <c:pt idx="12">
                    <c:v>0</c:v>
                  </c:pt>
                  <c:pt idx="13">
                    <c:v>0</c:v>
                  </c:pt>
                  <c:pt idx="14">
                    <c:v>0.43429448190325176</c:v>
                  </c:pt>
                </c:numCache>
              </c:numRef>
            </c:minus>
            <c:spPr>
              <a:noFill/>
              <a:ln w="12700" cap="flat" cmpd="sng" algn="ctr">
                <a:solidFill>
                  <a:srgbClr val="F014C8"/>
                </a:solidFill>
                <a:round/>
              </a:ln>
              <a:effectLst/>
            </c:spPr>
          </c:errBars>
          <c:cat>
            <c:numRef>
              <c:f>qPCR_Unique!$G$61:$G$75</c:f>
              <c:numCache>
                <c:formatCode>mm/dd/yyyy</c:formatCode>
                <c:ptCount val="15"/>
                <c:pt idx="0">
                  <c:v>44335</c:v>
                </c:pt>
                <c:pt idx="1">
                  <c:v>44342</c:v>
                </c:pt>
                <c:pt idx="2">
                  <c:v>44350</c:v>
                </c:pt>
                <c:pt idx="3">
                  <c:v>44356</c:v>
                </c:pt>
                <c:pt idx="4">
                  <c:v>44363</c:v>
                </c:pt>
                <c:pt idx="5">
                  <c:v>44370</c:v>
                </c:pt>
                <c:pt idx="6">
                  <c:v>44377</c:v>
                </c:pt>
                <c:pt idx="7">
                  <c:v>44385</c:v>
                </c:pt>
                <c:pt idx="8">
                  <c:v>44391</c:v>
                </c:pt>
                <c:pt idx="9">
                  <c:v>44398</c:v>
                </c:pt>
                <c:pt idx="10">
                  <c:v>44405</c:v>
                </c:pt>
                <c:pt idx="11">
                  <c:v>44412</c:v>
                </c:pt>
                <c:pt idx="12">
                  <c:v>44419</c:v>
                </c:pt>
                <c:pt idx="13">
                  <c:v>44426</c:v>
                </c:pt>
                <c:pt idx="14">
                  <c:v>44433</c:v>
                </c:pt>
              </c:numCache>
            </c:numRef>
          </c:cat>
          <c:val>
            <c:numRef>
              <c:f>qPCR_Unique!$R$61:$R$75</c:f>
              <c:numCache>
                <c:formatCode>0.000</c:formatCode>
                <c:ptCount val="15"/>
                <c:pt idx="0">
                  <c:v>0</c:v>
                </c:pt>
                <c:pt idx="1">
                  <c:v>0</c:v>
                </c:pt>
                <c:pt idx="2">
                  <c:v>2.8671217803632532</c:v>
                </c:pt>
                <c:pt idx="3">
                  <c:v>4.2064803213784936</c:v>
                </c:pt>
                <c:pt idx="4">
                  <c:v>0</c:v>
                </c:pt>
                <c:pt idx="5">
                  <c:v>0</c:v>
                </c:pt>
                <c:pt idx="6">
                  <c:v>0</c:v>
                </c:pt>
                <c:pt idx="7">
                  <c:v>0</c:v>
                </c:pt>
                <c:pt idx="8">
                  <c:v>4.475989658364921</c:v>
                </c:pt>
                <c:pt idx="9">
                  <c:v>2.9799106746966424</c:v>
                </c:pt>
                <c:pt idx="10">
                  <c:v>0</c:v>
                </c:pt>
                <c:pt idx="11">
                  <c:v>3.505192400473788</c:v>
                </c:pt>
                <c:pt idx="12">
                  <c:v>0</c:v>
                </c:pt>
                <c:pt idx="13">
                  <c:v>0</c:v>
                </c:pt>
                <c:pt idx="14">
                  <c:v>5.9567414178163585</c:v>
                </c:pt>
              </c:numCache>
            </c:numRef>
          </c:val>
          <c:smooth val="0"/>
          <c:extLst>
            <c:ext xmlns:c16="http://schemas.microsoft.com/office/drawing/2014/chart" uri="{C3380CC4-5D6E-409C-BE32-E72D297353CC}">
              <c16:uniqueId val="{00000002-18F8-4D9C-B20F-10BAC230A797}"/>
            </c:ext>
          </c:extLst>
        </c:ser>
        <c:ser>
          <c:idx val="2"/>
          <c:order val="3"/>
          <c:tx>
            <c:strRef>
              <c:f>qPCR_Unique!$T$1</c:f>
              <c:strCache>
                <c:ptCount val="1"/>
                <c:pt idx="0">
                  <c:v>Vermamoeba vermiformis</c:v>
                </c:pt>
              </c:strCache>
            </c:strRef>
          </c:tx>
          <c:spPr>
            <a:ln w="6350" cap="rnd">
              <a:solidFill>
                <a:srgbClr val="3CE63C"/>
              </a:solidFill>
              <a:round/>
            </a:ln>
            <a:effectLst/>
          </c:spPr>
          <c:marker>
            <c:symbol val="square"/>
            <c:size val="6"/>
            <c:spPr>
              <a:noFill/>
              <a:ln w="12700">
                <a:solidFill>
                  <a:srgbClr val="3CE63C"/>
                </a:solidFill>
              </a:ln>
              <a:effectLst/>
            </c:spPr>
          </c:marker>
          <c:errBars>
            <c:errDir val="y"/>
            <c:errBarType val="both"/>
            <c:errValType val="cust"/>
            <c:noEndCap val="0"/>
            <c:plus>
              <c:numRef>
                <c:f>qPCR_Unique!$V$61:$V$75</c:f>
                <c:numCache>
                  <c:formatCode>General</c:formatCode>
                  <c:ptCount val="15"/>
                  <c:pt idx="0">
                    <c:v>0.28375896552427626</c:v>
                  </c:pt>
                  <c:pt idx="1">
                    <c:v>0.3873128842357873</c:v>
                  </c:pt>
                  <c:pt idx="2">
                    <c:v>0.15270351303425561</c:v>
                  </c:pt>
                  <c:pt idx="3">
                    <c:v>6.4347549026786577E-2</c:v>
                  </c:pt>
                  <c:pt idx="4">
                    <c:v>0.4104956491100426</c:v>
                  </c:pt>
                  <c:pt idx="5">
                    <c:v>4.6821904322901118E-3</c:v>
                  </c:pt>
                  <c:pt idx="6">
                    <c:v>0.13257204661890881</c:v>
                  </c:pt>
                  <c:pt idx="7">
                    <c:v>0.20752412383942145</c:v>
                  </c:pt>
                  <c:pt idx="8">
                    <c:v>0.2795796309863231</c:v>
                  </c:pt>
                  <c:pt idx="9">
                    <c:v>0</c:v>
                  </c:pt>
                  <c:pt idx="10">
                    <c:v>0.35353991511553895</c:v>
                  </c:pt>
                  <c:pt idx="11">
                    <c:v>3.769628607887849E-2</c:v>
                  </c:pt>
                  <c:pt idx="12">
                    <c:v>0.25351445426048907</c:v>
                  </c:pt>
                  <c:pt idx="13">
                    <c:v>0.41697369311659516</c:v>
                  </c:pt>
                  <c:pt idx="14">
                    <c:v>0.10502280321519181</c:v>
                  </c:pt>
                </c:numCache>
              </c:numRef>
            </c:plus>
            <c:minus>
              <c:numRef>
                <c:f>qPCR_Unique!$V$61:$V$75</c:f>
                <c:numCache>
                  <c:formatCode>General</c:formatCode>
                  <c:ptCount val="15"/>
                  <c:pt idx="0">
                    <c:v>0.28375896552427626</c:v>
                  </c:pt>
                  <c:pt idx="1">
                    <c:v>0.3873128842357873</c:v>
                  </c:pt>
                  <c:pt idx="2">
                    <c:v>0.15270351303425561</c:v>
                  </c:pt>
                  <c:pt idx="3">
                    <c:v>6.4347549026786577E-2</c:v>
                  </c:pt>
                  <c:pt idx="4">
                    <c:v>0.4104956491100426</c:v>
                  </c:pt>
                  <c:pt idx="5">
                    <c:v>4.6821904322901118E-3</c:v>
                  </c:pt>
                  <c:pt idx="6">
                    <c:v>0.13257204661890881</c:v>
                  </c:pt>
                  <c:pt idx="7">
                    <c:v>0.20752412383942145</c:v>
                  </c:pt>
                  <c:pt idx="8">
                    <c:v>0.2795796309863231</c:v>
                  </c:pt>
                  <c:pt idx="9">
                    <c:v>0</c:v>
                  </c:pt>
                  <c:pt idx="10">
                    <c:v>0.35353991511553895</c:v>
                  </c:pt>
                  <c:pt idx="11">
                    <c:v>3.769628607887849E-2</c:v>
                  </c:pt>
                  <c:pt idx="12">
                    <c:v>0.25351445426048907</c:v>
                  </c:pt>
                  <c:pt idx="13">
                    <c:v>0.41697369311659516</c:v>
                  </c:pt>
                  <c:pt idx="14">
                    <c:v>0.10502280321519181</c:v>
                  </c:pt>
                </c:numCache>
              </c:numRef>
            </c:minus>
            <c:spPr>
              <a:noFill/>
              <a:ln w="12700" cap="flat" cmpd="sng" algn="ctr">
                <a:solidFill>
                  <a:srgbClr val="3CE63C"/>
                </a:solidFill>
                <a:round/>
              </a:ln>
              <a:effectLst/>
            </c:spPr>
          </c:errBars>
          <c:cat>
            <c:numRef>
              <c:f>qPCR_Unique!$G$61:$G$75</c:f>
              <c:numCache>
                <c:formatCode>mm/dd/yyyy</c:formatCode>
                <c:ptCount val="15"/>
                <c:pt idx="0">
                  <c:v>44335</c:v>
                </c:pt>
                <c:pt idx="1">
                  <c:v>44342</c:v>
                </c:pt>
                <c:pt idx="2">
                  <c:v>44350</c:v>
                </c:pt>
                <c:pt idx="3">
                  <c:v>44356</c:v>
                </c:pt>
                <c:pt idx="4">
                  <c:v>44363</c:v>
                </c:pt>
                <c:pt idx="5">
                  <c:v>44370</c:v>
                </c:pt>
                <c:pt idx="6">
                  <c:v>44377</c:v>
                </c:pt>
                <c:pt idx="7">
                  <c:v>44385</c:v>
                </c:pt>
                <c:pt idx="8">
                  <c:v>44391</c:v>
                </c:pt>
                <c:pt idx="9">
                  <c:v>44398</c:v>
                </c:pt>
                <c:pt idx="10">
                  <c:v>44405</c:v>
                </c:pt>
                <c:pt idx="11">
                  <c:v>44412</c:v>
                </c:pt>
                <c:pt idx="12">
                  <c:v>44419</c:v>
                </c:pt>
                <c:pt idx="13">
                  <c:v>44426</c:v>
                </c:pt>
                <c:pt idx="14">
                  <c:v>44433</c:v>
                </c:pt>
              </c:numCache>
            </c:numRef>
          </c:cat>
          <c:val>
            <c:numRef>
              <c:f>qPCR_Unique!$U$61:$U$75</c:f>
              <c:numCache>
                <c:formatCode>0.000</c:formatCode>
                <c:ptCount val="15"/>
                <c:pt idx="0">
                  <c:v>7.0792634452056076</c:v>
                </c:pt>
                <c:pt idx="1">
                  <c:v>5.9408651947164479</c:v>
                </c:pt>
                <c:pt idx="2">
                  <c:v>6.8914232824001544</c:v>
                </c:pt>
                <c:pt idx="3">
                  <c:v>6.5764821103594846</c:v>
                </c:pt>
                <c:pt idx="4">
                  <c:v>6.0329542550771391</c:v>
                </c:pt>
                <c:pt idx="5">
                  <c:v>6.4238796591750136</c:v>
                </c:pt>
                <c:pt idx="6">
                  <c:v>6.7465834779246157</c:v>
                </c:pt>
                <c:pt idx="7">
                  <c:v>6.583365509828246</c:v>
                </c:pt>
                <c:pt idx="8">
                  <c:v>7.7502065365441126</c:v>
                </c:pt>
                <c:pt idx="9">
                  <c:v>0</c:v>
                </c:pt>
                <c:pt idx="10">
                  <c:v>6.4926071483978385</c:v>
                </c:pt>
                <c:pt idx="11">
                  <c:v>5.3612590735701922</c:v>
                </c:pt>
                <c:pt idx="12">
                  <c:v>5.9541054675219511</c:v>
                </c:pt>
                <c:pt idx="13">
                  <c:v>5.8462238907393802</c:v>
                </c:pt>
                <c:pt idx="14">
                  <c:v>4.6614390992234407</c:v>
                </c:pt>
              </c:numCache>
            </c:numRef>
          </c:val>
          <c:smooth val="0"/>
          <c:extLst>
            <c:ext xmlns:c16="http://schemas.microsoft.com/office/drawing/2014/chart" uri="{C3380CC4-5D6E-409C-BE32-E72D297353CC}">
              <c16:uniqueId val="{00000003-18F8-4D9C-B20F-10BAC230A797}"/>
            </c:ext>
          </c:extLst>
        </c:ser>
        <c:ser>
          <c:idx val="4"/>
          <c:order val="4"/>
          <c:tx>
            <c:strRef>
              <c:f>qPCR_Unique!$W$1</c:f>
              <c:strCache>
                <c:ptCount val="1"/>
                <c:pt idx="0">
                  <c:v>Summed OP</c:v>
                </c:pt>
              </c:strCache>
            </c:strRef>
          </c:tx>
          <c:spPr>
            <a:ln w="6350" cap="rnd">
              <a:solidFill>
                <a:srgbClr val="28C8C8"/>
              </a:solidFill>
              <a:round/>
            </a:ln>
            <a:effectLst/>
          </c:spPr>
          <c:marker>
            <c:symbol val="diamond"/>
            <c:size val="12"/>
            <c:spPr>
              <a:noFill/>
              <a:ln w="12700">
                <a:solidFill>
                  <a:srgbClr val="28C8C8"/>
                </a:solidFill>
              </a:ln>
              <a:effectLst/>
            </c:spPr>
          </c:marker>
          <c:cat>
            <c:numRef>
              <c:f>qPCR_Unique!$G$61:$G$75</c:f>
              <c:numCache>
                <c:formatCode>mm/dd/yyyy</c:formatCode>
                <c:ptCount val="15"/>
                <c:pt idx="0">
                  <c:v>44335</c:v>
                </c:pt>
                <c:pt idx="1">
                  <c:v>44342</c:v>
                </c:pt>
                <c:pt idx="2">
                  <c:v>44350</c:v>
                </c:pt>
                <c:pt idx="3">
                  <c:v>44356</c:v>
                </c:pt>
                <c:pt idx="4">
                  <c:v>44363</c:v>
                </c:pt>
                <c:pt idx="5">
                  <c:v>44370</c:v>
                </c:pt>
                <c:pt idx="6">
                  <c:v>44377</c:v>
                </c:pt>
                <c:pt idx="7">
                  <c:v>44385</c:v>
                </c:pt>
                <c:pt idx="8">
                  <c:v>44391</c:v>
                </c:pt>
                <c:pt idx="9">
                  <c:v>44398</c:v>
                </c:pt>
                <c:pt idx="10">
                  <c:v>44405</c:v>
                </c:pt>
                <c:pt idx="11">
                  <c:v>44412</c:v>
                </c:pt>
                <c:pt idx="12">
                  <c:v>44419</c:v>
                </c:pt>
                <c:pt idx="13">
                  <c:v>44426</c:v>
                </c:pt>
                <c:pt idx="14">
                  <c:v>44433</c:v>
                </c:pt>
              </c:numCache>
            </c:numRef>
          </c:cat>
          <c:val>
            <c:numRef>
              <c:f>qPCR_Unique!$X$61:$X$75</c:f>
              <c:numCache>
                <c:formatCode>0.000</c:formatCode>
                <c:ptCount val="15"/>
                <c:pt idx="0">
                  <c:v>7.1005561068026344</c:v>
                </c:pt>
                <c:pt idx="1">
                  <c:v>5.9771975914967843</c:v>
                </c:pt>
                <c:pt idx="2">
                  <c:v>6.9133891052679397</c:v>
                </c:pt>
                <c:pt idx="3">
                  <c:v>6.5850879640502056</c:v>
                </c:pt>
                <c:pt idx="4">
                  <c:v>6.0394435420451087</c:v>
                </c:pt>
                <c:pt idx="5">
                  <c:v>6.4389807201198508</c:v>
                </c:pt>
                <c:pt idx="6">
                  <c:v>6.7596628112187753</c:v>
                </c:pt>
                <c:pt idx="7">
                  <c:v>6.589120940928983</c:v>
                </c:pt>
                <c:pt idx="8">
                  <c:v>7.764129195704605</c:v>
                </c:pt>
                <c:pt idx="9">
                  <c:v>4.5844942085514333</c:v>
                </c:pt>
                <c:pt idx="10">
                  <c:v>6.506985731257366</c:v>
                </c:pt>
                <c:pt idx="11">
                  <c:v>5.4509252652322751</c:v>
                </c:pt>
                <c:pt idx="12">
                  <c:v>5.9865563736692264</c:v>
                </c:pt>
                <c:pt idx="13">
                  <c:v>5.8576879672140345</c:v>
                </c:pt>
                <c:pt idx="14">
                  <c:v>5.9840557375423442</c:v>
                </c:pt>
              </c:numCache>
            </c:numRef>
          </c:val>
          <c:smooth val="0"/>
          <c:extLst>
            <c:ext xmlns:c16="http://schemas.microsoft.com/office/drawing/2014/chart" uri="{C3380CC4-5D6E-409C-BE32-E72D297353CC}">
              <c16:uniqueId val="{00000004-18F8-4D9C-B20F-10BAC230A797}"/>
            </c:ext>
          </c:extLst>
        </c:ser>
        <c:dLbls>
          <c:showLegendKey val="0"/>
          <c:showVal val="0"/>
          <c:showCatName val="0"/>
          <c:showSerName val="0"/>
          <c:showPercent val="0"/>
          <c:showBubbleSize val="0"/>
        </c:dLbls>
        <c:marker val="1"/>
        <c:smooth val="0"/>
        <c:axId val="403941288"/>
        <c:axId val="403917672"/>
      </c:lineChart>
      <c:lineChart>
        <c:grouping val="standard"/>
        <c:varyColors val="0"/>
        <c:ser>
          <c:idx val="5"/>
          <c:order val="5"/>
          <c:tx>
            <c:strRef>
              <c:f>qPCR_Unique!$H$1</c:f>
              <c:strCache>
                <c:ptCount val="1"/>
                <c:pt idx="0">
                  <c:v>Total bacteria</c:v>
                </c:pt>
              </c:strCache>
            </c:strRef>
          </c:tx>
          <c:spPr>
            <a:ln w="6350" cap="rnd">
              <a:solidFill>
                <a:schemeClr val="tx1"/>
              </a:solidFill>
              <a:round/>
            </a:ln>
            <a:effectLst/>
          </c:spPr>
          <c:marker>
            <c:symbol val="triangle"/>
            <c:size val="8"/>
            <c:spPr>
              <a:noFill/>
              <a:ln w="12700">
                <a:solidFill>
                  <a:schemeClr val="tx1"/>
                </a:solidFill>
              </a:ln>
              <a:effectLst/>
            </c:spPr>
          </c:marker>
          <c:errBars>
            <c:errDir val="y"/>
            <c:errBarType val="both"/>
            <c:errValType val="cust"/>
            <c:noEndCap val="0"/>
            <c:plus>
              <c:numRef>
                <c:f>qPCR_Unique!$J$61:$J$75</c:f>
                <c:numCache>
                  <c:formatCode>General</c:formatCode>
                  <c:ptCount val="15"/>
                  <c:pt idx="0">
                    <c:v>0.18418400269386506</c:v>
                  </c:pt>
                  <c:pt idx="1">
                    <c:v>0.41366679993840327</c:v>
                  </c:pt>
                  <c:pt idx="2">
                    <c:v>4.9154712250792855E-2</c:v>
                  </c:pt>
                  <c:pt idx="3">
                    <c:v>0.28148545758303911</c:v>
                  </c:pt>
                  <c:pt idx="4">
                    <c:v>0.40917588613039546</c:v>
                  </c:pt>
                  <c:pt idx="5">
                    <c:v>0.10671498924691655</c:v>
                  </c:pt>
                  <c:pt idx="6">
                    <c:v>0.16119566510383246</c:v>
                  </c:pt>
                  <c:pt idx="7">
                    <c:v>0.1181372481709939</c:v>
                  </c:pt>
                  <c:pt idx="8">
                    <c:v>0.39161385364179596</c:v>
                  </c:pt>
                  <c:pt idx="9">
                    <c:v>0.10167634189606937</c:v>
                  </c:pt>
                  <c:pt idx="10">
                    <c:v>0.11706261123965082</c:v>
                  </c:pt>
                  <c:pt idx="11">
                    <c:v>0.13126450441325488</c:v>
                  </c:pt>
                  <c:pt idx="12">
                    <c:v>6.4040211732130731E-2</c:v>
                  </c:pt>
                  <c:pt idx="13">
                    <c:v>0.19888908890984319</c:v>
                  </c:pt>
                  <c:pt idx="14">
                    <c:v>0.207142091156887</c:v>
                  </c:pt>
                </c:numCache>
              </c:numRef>
            </c:plus>
            <c:minus>
              <c:numRef>
                <c:f>qPCR_Unique!$J$61:$J$75</c:f>
                <c:numCache>
                  <c:formatCode>General</c:formatCode>
                  <c:ptCount val="15"/>
                  <c:pt idx="0">
                    <c:v>0.18418400269386506</c:v>
                  </c:pt>
                  <c:pt idx="1">
                    <c:v>0.41366679993840327</c:v>
                  </c:pt>
                  <c:pt idx="2">
                    <c:v>4.9154712250792855E-2</c:v>
                  </c:pt>
                  <c:pt idx="3">
                    <c:v>0.28148545758303911</c:v>
                  </c:pt>
                  <c:pt idx="4">
                    <c:v>0.40917588613039546</c:v>
                  </c:pt>
                  <c:pt idx="5">
                    <c:v>0.10671498924691655</c:v>
                  </c:pt>
                  <c:pt idx="6">
                    <c:v>0.16119566510383246</c:v>
                  </c:pt>
                  <c:pt idx="7">
                    <c:v>0.1181372481709939</c:v>
                  </c:pt>
                  <c:pt idx="8">
                    <c:v>0.39161385364179596</c:v>
                  </c:pt>
                  <c:pt idx="9">
                    <c:v>0.10167634189606937</c:v>
                  </c:pt>
                  <c:pt idx="10">
                    <c:v>0.11706261123965082</c:v>
                  </c:pt>
                  <c:pt idx="11">
                    <c:v>0.13126450441325488</c:v>
                  </c:pt>
                  <c:pt idx="12">
                    <c:v>6.4040211732130731E-2</c:v>
                  </c:pt>
                  <c:pt idx="13">
                    <c:v>0.19888908890984319</c:v>
                  </c:pt>
                  <c:pt idx="14">
                    <c:v>0.207142091156887</c:v>
                  </c:pt>
                </c:numCache>
              </c:numRef>
            </c:minus>
            <c:spPr>
              <a:noFill/>
              <a:ln w="12700" cap="flat" cmpd="sng" algn="ctr">
                <a:solidFill>
                  <a:schemeClr val="tx1"/>
                </a:solidFill>
                <a:round/>
              </a:ln>
              <a:effectLst/>
            </c:spPr>
          </c:errBars>
          <c:cat>
            <c:numRef>
              <c:f>qPCR_Unique!$G$61:$G$75</c:f>
              <c:numCache>
                <c:formatCode>mm/dd/yyyy</c:formatCode>
                <c:ptCount val="15"/>
                <c:pt idx="0">
                  <c:v>44335</c:v>
                </c:pt>
                <c:pt idx="1">
                  <c:v>44342</c:v>
                </c:pt>
                <c:pt idx="2">
                  <c:v>44350</c:v>
                </c:pt>
                <c:pt idx="3">
                  <c:v>44356</c:v>
                </c:pt>
                <c:pt idx="4">
                  <c:v>44363</c:v>
                </c:pt>
                <c:pt idx="5">
                  <c:v>44370</c:v>
                </c:pt>
                <c:pt idx="6">
                  <c:v>44377</c:v>
                </c:pt>
                <c:pt idx="7">
                  <c:v>44385</c:v>
                </c:pt>
                <c:pt idx="8">
                  <c:v>44391</c:v>
                </c:pt>
                <c:pt idx="9">
                  <c:v>44398</c:v>
                </c:pt>
                <c:pt idx="10">
                  <c:v>44405</c:v>
                </c:pt>
                <c:pt idx="11">
                  <c:v>44412</c:v>
                </c:pt>
                <c:pt idx="12">
                  <c:v>44419</c:v>
                </c:pt>
                <c:pt idx="13">
                  <c:v>44426</c:v>
                </c:pt>
                <c:pt idx="14">
                  <c:v>44433</c:v>
                </c:pt>
              </c:numCache>
            </c:numRef>
          </c:cat>
          <c:val>
            <c:numRef>
              <c:f>qPCR_Unique!$I$61:$I$75</c:f>
              <c:numCache>
                <c:formatCode>0.000</c:formatCode>
                <c:ptCount val="15"/>
                <c:pt idx="0">
                  <c:v>9.0497576396880604</c:v>
                </c:pt>
                <c:pt idx="1">
                  <c:v>8.0739575068438771</c:v>
                </c:pt>
                <c:pt idx="2">
                  <c:v>9.9736003923149656</c:v>
                </c:pt>
                <c:pt idx="3">
                  <c:v>9.0805407894700885</c:v>
                </c:pt>
                <c:pt idx="4">
                  <c:v>7.5755870095503726</c:v>
                </c:pt>
                <c:pt idx="5">
                  <c:v>8.9481229124964674</c:v>
                </c:pt>
                <c:pt idx="6">
                  <c:v>8.7893770962330091</c:v>
                </c:pt>
                <c:pt idx="7">
                  <c:v>8.7422239622644788</c:v>
                </c:pt>
                <c:pt idx="8">
                  <c:v>9.4968335120305873</c:v>
                </c:pt>
                <c:pt idx="9">
                  <c:v>8.4510484637141765</c:v>
                </c:pt>
                <c:pt idx="10">
                  <c:v>9.8465963824465117</c:v>
                </c:pt>
                <c:pt idx="11">
                  <c:v>8.7619108730210442</c:v>
                </c:pt>
                <c:pt idx="12">
                  <c:v>8.7956529211205527</c:v>
                </c:pt>
                <c:pt idx="13">
                  <c:v>8.6511149385728281</c:v>
                </c:pt>
                <c:pt idx="14">
                  <c:v>9.1672151154857069</c:v>
                </c:pt>
              </c:numCache>
            </c:numRef>
          </c:val>
          <c:smooth val="0"/>
          <c:extLst>
            <c:ext xmlns:c16="http://schemas.microsoft.com/office/drawing/2014/chart" uri="{C3380CC4-5D6E-409C-BE32-E72D297353CC}">
              <c16:uniqueId val="{00000005-18F8-4D9C-B20F-10BAC230A797}"/>
            </c:ext>
          </c:extLst>
        </c:ser>
        <c:dLbls>
          <c:showLegendKey val="0"/>
          <c:showVal val="0"/>
          <c:showCatName val="0"/>
          <c:showSerName val="0"/>
          <c:showPercent val="0"/>
          <c:showBubbleSize val="0"/>
        </c:dLbls>
        <c:marker val="1"/>
        <c:smooth val="0"/>
        <c:axId val="803049488"/>
        <c:axId val="803055720"/>
      </c:lineChart>
      <c:dateAx>
        <c:axId val="403941288"/>
        <c:scaling>
          <c:orientation val="minMax"/>
          <c:max val="44434"/>
          <c:min val="44334"/>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Sampling times--</a:t>
                </a:r>
                <a:r>
                  <a:rPr lang="en-US" b="1">
                    <a:solidFill>
                      <a:srgbClr val="FF0000"/>
                    </a:solidFill>
                  </a:rPr>
                  <a:t>RN</a:t>
                </a:r>
              </a:p>
            </c:rich>
          </c:tx>
          <c:layout>
            <c:manualLayout>
              <c:xMode val="edge"/>
              <c:yMode val="edge"/>
              <c:x val="0.39785997109175708"/>
              <c:y val="0.94951730232117781"/>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mm/dd/yyyy" sourceLinked="1"/>
        <c:majorTickMark val="out"/>
        <c:minorTickMark val="in"/>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03917672"/>
        <c:crosses val="autoZero"/>
        <c:auto val="1"/>
        <c:lblOffset val="100"/>
        <c:baseTimeUnit val="days"/>
        <c:majorUnit val="10"/>
        <c:majorTimeUnit val="days"/>
        <c:minorUnit val="5"/>
        <c:minorTimeUnit val="days"/>
      </c:dateAx>
      <c:valAx>
        <c:axId val="403917672"/>
        <c:scaling>
          <c:orientation val="minMax"/>
          <c:max val="8.5"/>
          <c:min val="0"/>
        </c:scaling>
        <c:delete val="0"/>
        <c:axPos val="l"/>
        <c:majorGridlines>
          <c:spPr>
            <a:ln w="1270" cap="flat" cmpd="sng" algn="ctr">
              <a:solidFill>
                <a:schemeClr val="tx1"/>
              </a:solidFill>
              <a:prstDash val="solid"/>
              <a:round/>
            </a:ln>
            <a:effectLst/>
          </c:spPr>
        </c:majorGridlines>
        <c:minorGridlines>
          <c:spPr>
            <a:ln w="1270" cap="flat" cmpd="sng" algn="ctr">
              <a:solidFill>
                <a:schemeClr val="bg2">
                  <a:lumMod val="90000"/>
                </a:schemeClr>
              </a:solidFill>
              <a:prstDash val="dash"/>
              <a:round/>
            </a:ln>
            <a:effectLst/>
          </c:spPr>
        </c:min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sz="1200" b="0" i="0" baseline="0">
                    <a:effectLst/>
                  </a:rPr>
                  <a:t>log</a:t>
                </a:r>
                <a:r>
                  <a:rPr lang="en-US" sz="1200" b="0" i="0" baseline="-25000">
                    <a:effectLst/>
                  </a:rPr>
                  <a:t>10</a:t>
                </a:r>
                <a:r>
                  <a:rPr lang="en-US" sz="1200" b="0" i="0" baseline="0">
                    <a:effectLst/>
                  </a:rPr>
                  <a:t>[OP (GCN·L</a:t>
                </a:r>
                <a:r>
                  <a:rPr lang="en-US" sz="1200" b="0" i="0" baseline="30000">
                    <a:effectLst/>
                  </a:rPr>
                  <a:t>-1</a:t>
                </a:r>
                <a:r>
                  <a:rPr lang="en-US" sz="1200" b="0" i="0" baseline="0">
                    <a:effectLst/>
                  </a:rPr>
                  <a:t>)]</a:t>
                </a:r>
                <a:endParaRPr lang="en-US" sz="1200">
                  <a:effectLst/>
                </a:endParaRPr>
              </a:p>
            </c:rich>
          </c:tx>
          <c:layout>
            <c:manualLayout>
              <c:xMode val="edge"/>
              <c:yMode val="edge"/>
              <c:x val="6.5976053561081385E-5"/>
              <c:y val="0.2827105058966991"/>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0" sourceLinked="0"/>
        <c:majorTickMark val="out"/>
        <c:minorTickMark val="in"/>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03941288"/>
        <c:crosses val="autoZero"/>
        <c:crossBetween val="between"/>
        <c:majorUnit val="2"/>
        <c:minorUnit val="0.5"/>
      </c:valAx>
      <c:valAx>
        <c:axId val="803055720"/>
        <c:scaling>
          <c:orientation val="minMax"/>
          <c:max val="10.25"/>
          <c:min val="7"/>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sz="1200" b="0" i="0" baseline="0">
                    <a:effectLst/>
                  </a:rPr>
                  <a:t>log</a:t>
                </a:r>
                <a:r>
                  <a:rPr lang="en-US" sz="1200" b="0" i="0" baseline="-25000">
                    <a:effectLst/>
                  </a:rPr>
                  <a:t>10</a:t>
                </a:r>
                <a:r>
                  <a:rPr lang="en-US" sz="1200" b="0" i="0" baseline="0">
                    <a:effectLst/>
                  </a:rPr>
                  <a:t>[Total bacteria (GCN·L</a:t>
                </a:r>
                <a:r>
                  <a:rPr lang="en-US" sz="1200" b="0" i="0" baseline="30000">
                    <a:effectLst/>
                  </a:rPr>
                  <a:t>-1</a:t>
                </a:r>
                <a:r>
                  <a:rPr lang="en-US" sz="1200" b="0" i="0" baseline="0">
                    <a:effectLst/>
                  </a:rPr>
                  <a:t>)]</a:t>
                </a:r>
                <a:endParaRPr lang="en-US" sz="1200">
                  <a:effectLst/>
                </a:endParaRPr>
              </a:p>
            </c:rich>
          </c:tx>
          <c:layout>
            <c:manualLayout>
              <c:xMode val="edge"/>
              <c:yMode val="edge"/>
              <c:x val="0.95664193998920155"/>
              <c:y val="0.20690728939384437"/>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0" sourceLinked="0"/>
        <c:majorTickMark val="out"/>
        <c:minorTickMark val="in"/>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803049488"/>
        <c:crosses val="max"/>
        <c:crossBetween val="between"/>
        <c:majorUnit val="1"/>
        <c:minorUnit val="0.25"/>
      </c:valAx>
      <c:dateAx>
        <c:axId val="803049488"/>
        <c:scaling>
          <c:orientation val="minMax"/>
        </c:scaling>
        <c:delete val="1"/>
        <c:axPos val="b"/>
        <c:numFmt formatCode="mm/dd/yyyy" sourceLinked="1"/>
        <c:majorTickMark val="out"/>
        <c:minorTickMark val="none"/>
        <c:tickLblPos val="nextTo"/>
        <c:crossAx val="803055720"/>
        <c:crosses val="autoZero"/>
        <c:auto val="1"/>
        <c:lblOffset val="100"/>
        <c:baseTimeUnit val="days"/>
        <c:majorUnit val="1"/>
        <c:minorUnit val="1"/>
      </c:dateAx>
      <c:spPr>
        <a:noFill/>
        <a:ln w="19050">
          <a:solidFill>
            <a:schemeClr val="tx1"/>
          </a:solidFill>
        </a:ln>
        <a:effectLst/>
      </c:spPr>
    </c:plotArea>
    <c:legend>
      <c:legendPos val="r"/>
      <c:legendEntry>
        <c:idx val="0"/>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Entry>
      <c:layout>
        <c:manualLayout>
          <c:xMode val="edge"/>
          <c:yMode val="edge"/>
          <c:x val="0.5236158377563046"/>
          <c:y val="0.3498476162654573"/>
          <c:w val="0.31765286524120145"/>
          <c:h val="0.23454100776731437"/>
        </c:manualLayout>
      </c:layout>
      <c:overlay val="0"/>
      <c:spPr>
        <a:solidFill>
          <a:schemeClr val="bg1"/>
        </a:solid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04646"/>
      </a:solid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13278008298755"/>
          <c:y val="3.6235046109691547E-2"/>
          <c:w val="0.77921161825726137"/>
          <c:h val="0.75850914427279748"/>
        </c:manualLayout>
      </c:layout>
      <c:lineChart>
        <c:grouping val="standard"/>
        <c:varyColors val="0"/>
        <c:ser>
          <c:idx val="3"/>
          <c:order val="0"/>
          <c:tx>
            <c:strRef>
              <c:f>qPCR_Unique!$K$1</c:f>
              <c:strCache>
                <c:ptCount val="1"/>
                <c:pt idx="0">
                  <c:v>Legionella</c:v>
                </c:pt>
              </c:strCache>
            </c:strRef>
          </c:tx>
          <c:spPr>
            <a:ln w="6350" cap="rnd">
              <a:solidFill>
                <a:srgbClr val="F04646"/>
              </a:solidFill>
              <a:round/>
            </a:ln>
            <a:effectLst/>
          </c:spPr>
          <c:marker>
            <c:symbol val="circle"/>
            <c:size val="6"/>
            <c:spPr>
              <a:solidFill>
                <a:srgbClr val="F04646"/>
              </a:solidFill>
              <a:ln w="12700">
                <a:solidFill>
                  <a:srgbClr val="F04646"/>
                </a:solidFill>
              </a:ln>
              <a:effectLst/>
            </c:spPr>
          </c:marker>
          <c:errBars>
            <c:errDir val="y"/>
            <c:errBarType val="both"/>
            <c:errValType val="cust"/>
            <c:noEndCap val="0"/>
            <c:plus>
              <c:numRef>
                <c:f>qPCR_Unique!$M$105:$M$118</c:f>
                <c:numCache>
                  <c:formatCode>General</c:formatCode>
                  <c:ptCount val="14"/>
                  <c:pt idx="0">
                    <c:v>7.9435424434708884E-2</c:v>
                  </c:pt>
                  <c:pt idx="1">
                    <c:v>0.17851058242573092</c:v>
                  </c:pt>
                  <c:pt idx="2">
                    <c:v>0.14909562874665278</c:v>
                  </c:pt>
                  <c:pt idx="3">
                    <c:v>0.13301218352525318</c:v>
                  </c:pt>
                  <c:pt idx="4">
                    <c:v>0.1972520078545745</c:v>
                  </c:pt>
                  <c:pt idx="5">
                    <c:v>0.17442451075881682</c:v>
                  </c:pt>
                  <c:pt idx="6">
                    <c:v>0.19758851416278725</c:v>
                  </c:pt>
                  <c:pt idx="7">
                    <c:v>0.19354740394730724</c:v>
                  </c:pt>
                  <c:pt idx="8">
                    <c:v>0.33152751490615967</c:v>
                  </c:pt>
                  <c:pt idx="9">
                    <c:v>7.8415849505495794E-2</c:v>
                  </c:pt>
                  <c:pt idx="10">
                    <c:v>3.490438643317173E-2</c:v>
                  </c:pt>
                  <c:pt idx="11">
                    <c:v>0.19857698348318406</c:v>
                  </c:pt>
                  <c:pt idx="12">
                    <c:v>9.0894503752808151E-2</c:v>
                  </c:pt>
                  <c:pt idx="13">
                    <c:v>2.0400225410747711E-2</c:v>
                  </c:pt>
                </c:numCache>
              </c:numRef>
            </c:plus>
            <c:minus>
              <c:numRef>
                <c:f>qPCR_Unique!$M$105:$M$118</c:f>
                <c:numCache>
                  <c:formatCode>General</c:formatCode>
                  <c:ptCount val="14"/>
                  <c:pt idx="0">
                    <c:v>7.9435424434708884E-2</c:v>
                  </c:pt>
                  <c:pt idx="1">
                    <c:v>0.17851058242573092</c:v>
                  </c:pt>
                  <c:pt idx="2">
                    <c:v>0.14909562874665278</c:v>
                  </c:pt>
                  <c:pt idx="3">
                    <c:v>0.13301218352525318</c:v>
                  </c:pt>
                  <c:pt idx="4">
                    <c:v>0.1972520078545745</c:v>
                  </c:pt>
                  <c:pt idx="5">
                    <c:v>0.17442451075881682</c:v>
                  </c:pt>
                  <c:pt idx="6">
                    <c:v>0.19758851416278725</c:v>
                  </c:pt>
                  <c:pt idx="7">
                    <c:v>0.19354740394730724</c:v>
                  </c:pt>
                  <c:pt idx="8">
                    <c:v>0.33152751490615967</c:v>
                  </c:pt>
                  <c:pt idx="9">
                    <c:v>7.8415849505495794E-2</c:v>
                  </c:pt>
                  <c:pt idx="10">
                    <c:v>3.490438643317173E-2</c:v>
                  </c:pt>
                  <c:pt idx="11">
                    <c:v>0.19857698348318406</c:v>
                  </c:pt>
                  <c:pt idx="12">
                    <c:v>9.0894503752808151E-2</c:v>
                  </c:pt>
                  <c:pt idx="13">
                    <c:v>2.0400225410747711E-2</c:v>
                  </c:pt>
                </c:numCache>
              </c:numRef>
            </c:minus>
            <c:spPr>
              <a:noFill/>
              <a:ln w="12700" cap="flat" cmpd="sng" algn="ctr">
                <a:solidFill>
                  <a:srgbClr val="F04646"/>
                </a:solidFill>
                <a:round/>
              </a:ln>
              <a:effectLst/>
            </c:spPr>
          </c:errBars>
          <c:cat>
            <c:numRef>
              <c:f>qPCR_Unique!$G$105:$G$118</c:f>
              <c:numCache>
                <c:formatCode>mm/dd/yyyy</c:formatCode>
                <c:ptCount val="14"/>
                <c:pt idx="0">
                  <c:v>44335</c:v>
                </c:pt>
                <c:pt idx="1">
                  <c:v>44342</c:v>
                </c:pt>
                <c:pt idx="2">
                  <c:v>44350</c:v>
                </c:pt>
                <c:pt idx="3">
                  <c:v>44363</c:v>
                </c:pt>
                <c:pt idx="4">
                  <c:v>44370</c:v>
                </c:pt>
                <c:pt idx="5">
                  <c:v>44377</c:v>
                </c:pt>
                <c:pt idx="6">
                  <c:v>44385</c:v>
                </c:pt>
                <c:pt idx="7">
                  <c:v>44391</c:v>
                </c:pt>
                <c:pt idx="8">
                  <c:v>44398</c:v>
                </c:pt>
                <c:pt idx="9">
                  <c:v>44405</c:v>
                </c:pt>
                <c:pt idx="10">
                  <c:v>44412</c:v>
                </c:pt>
                <c:pt idx="11">
                  <c:v>44419</c:v>
                </c:pt>
                <c:pt idx="12">
                  <c:v>44426</c:v>
                </c:pt>
                <c:pt idx="13">
                  <c:v>44433</c:v>
                </c:pt>
              </c:numCache>
            </c:numRef>
          </c:cat>
          <c:val>
            <c:numRef>
              <c:f>qPCR_Unique!$L$105:$L$118</c:f>
              <c:numCache>
                <c:formatCode>0.000</c:formatCode>
                <c:ptCount val="14"/>
                <c:pt idx="0">
                  <c:v>4.8431920405644897</c:v>
                </c:pt>
                <c:pt idx="1">
                  <c:v>4.9619664954406089</c:v>
                </c:pt>
                <c:pt idx="2">
                  <c:v>5.6172938485331683</c:v>
                </c:pt>
                <c:pt idx="3">
                  <c:v>5.0376734799601923</c:v>
                </c:pt>
                <c:pt idx="4">
                  <c:v>4.7339626541513349</c:v>
                </c:pt>
                <c:pt idx="5">
                  <c:v>4.7591690948104999</c:v>
                </c:pt>
                <c:pt idx="6">
                  <c:v>4.8885207964420898</c:v>
                </c:pt>
                <c:pt idx="7">
                  <c:v>5.0770923094184184</c:v>
                </c:pt>
                <c:pt idx="8">
                  <c:v>4.7520237550550277</c:v>
                </c:pt>
                <c:pt idx="9">
                  <c:v>4.8456448134078149</c:v>
                </c:pt>
                <c:pt idx="10">
                  <c:v>4.5593562477917047</c:v>
                </c:pt>
                <c:pt idx="11">
                  <c:v>3.9850449253209592</c:v>
                </c:pt>
                <c:pt idx="12">
                  <c:v>5.0004072703018387</c:v>
                </c:pt>
                <c:pt idx="13">
                  <c:v>4.5850533943517382</c:v>
                </c:pt>
              </c:numCache>
            </c:numRef>
          </c:val>
          <c:smooth val="0"/>
          <c:extLst>
            <c:ext xmlns:c16="http://schemas.microsoft.com/office/drawing/2014/chart" uri="{C3380CC4-5D6E-409C-BE32-E72D297353CC}">
              <c16:uniqueId val="{00000000-1DA0-43F2-B2A4-5E6AE63DD736}"/>
            </c:ext>
          </c:extLst>
        </c:ser>
        <c:ser>
          <c:idx val="0"/>
          <c:order val="1"/>
          <c:tx>
            <c:strRef>
              <c:f>qPCR_Unique!$N$1</c:f>
              <c:strCache>
                <c:ptCount val="1"/>
                <c:pt idx="0">
                  <c:v>Mycobacterium</c:v>
                </c:pt>
              </c:strCache>
            </c:strRef>
          </c:tx>
          <c:spPr>
            <a:ln w="6350" cap="rnd">
              <a:solidFill>
                <a:srgbClr val="5064E6"/>
              </a:solidFill>
              <a:round/>
            </a:ln>
            <a:effectLst/>
          </c:spPr>
          <c:marker>
            <c:symbol val="circle"/>
            <c:size val="6"/>
            <c:spPr>
              <a:noFill/>
              <a:ln w="12700">
                <a:solidFill>
                  <a:srgbClr val="5064E6">
                    <a:alpha val="94902"/>
                  </a:srgbClr>
                </a:solidFill>
              </a:ln>
              <a:effectLst/>
            </c:spPr>
          </c:marker>
          <c:errBars>
            <c:errDir val="y"/>
            <c:errBarType val="both"/>
            <c:errValType val="cust"/>
            <c:noEndCap val="0"/>
            <c:plus>
              <c:numRef>
                <c:f>qPCR_Unique!$P$105:$P$118</c:f>
                <c:numCache>
                  <c:formatCode>General</c:formatCode>
                  <c:ptCount val="14"/>
                  <c:pt idx="0">
                    <c:v>0.2798430592982355</c:v>
                  </c:pt>
                  <c:pt idx="1">
                    <c:v>0.35170639334188109</c:v>
                  </c:pt>
                  <c:pt idx="2">
                    <c:v>8.6889828405983333E-2</c:v>
                  </c:pt>
                  <c:pt idx="3">
                    <c:v>7.3706288932608E-2</c:v>
                  </c:pt>
                  <c:pt idx="4">
                    <c:v>0.23741102834628694</c:v>
                  </c:pt>
                  <c:pt idx="5">
                    <c:v>0.30267354609648317</c:v>
                  </c:pt>
                  <c:pt idx="6">
                    <c:v>0.33884183302498949</c:v>
                  </c:pt>
                  <c:pt idx="7">
                    <c:v>0.37183088302961859</c:v>
                  </c:pt>
                  <c:pt idx="8">
                    <c:v>0.17176940892169396</c:v>
                  </c:pt>
                  <c:pt idx="9">
                    <c:v>0.29251868854289048</c:v>
                  </c:pt>
                  <c:pt idx="10">
                    <c:v>0.11855281625767398</c:v>
                  </c:pt>
                  <c:pt idx="11">
                    <c:v>0.15273893844396583</c:v>
                  </c:pt>
                  <c:pt idx="12">
                    <c:v>0.23939320451605847</c:v>
                  </c:pt>
                  <c:pt idx="13">
                    <c:v>0.29536552535321209</c:v>
                  </c:pt>
                </c:numCache>
              </c:numRef>
            </c:plus>
            <c:minus>
              <c:numRef>
                <c:f>qPCR_Unique!$P$105:$P$118</c:f>
                <c:numCache>
                  <c:formatCode>General</c:formatCode>
                  <c:ptCount val="14"/>
                  <c:pt idx="0">
                    <c:v>0.2798430592982355</c:v>
                  </c:pt>
                  <c:pt idx="1">
                    <c:v>0.35170639334188109</c:v>
                  </c:pt>
                  <c:pt idx="2">
                    <c:v>8.6889828405983333E-2</c:v>
                  </c:pt>
                  <c:pt idx="3">
                    <c:v>7.3706288932608E-2</c:v>
                  </c:pt>
                  <c:pt idx="4">
                    <c:v>0.23741102834628694</c:v>
                  </c:pt>
                  <c:pt idx="5">
                    <c:v>0.30267354609648317</c:v>
                  </c:pt>
                  <c:pt idx="6">
                    <c:v>0.33884183302498949</c:v>
                  </c:pt>
                  <c:pt idx="7">
                    <c:v>0.37183088302961859</c:v>
                  </c:pt>
                  <c:pt idx="8">
                    <c:v>0.17176940892169396</c:v>
                  </c:pt>
                  <c:pt idx="9">
                    <c:v>0.29251868854289048</c:v>
                  </c:pt>
                  <c:pt idx="10">
                    <c:v>0.11855281625767398</c:v>
                  </c:pt>
                  <c:pt idx="11">
                    <c:v>0.15273893844396583</c:v>
                  </c:pt>
                  <c:pt idx="12">
                    <c:v>0.23939320451605847</c:v>
                  </c:pt>
                  <c:pt idx="13">
                    <c:v>0.29536552535321209</c:v>
                  </c:pt>
                </c:numCache>
              </c:numRef>
            </c:minus>
            <c:spPr>
              <a:noFill/>
              <a:ln w="12700" cap="flat" cmpd="sng" algn="ctr">
                <a:solidFill>
                  <a:srgbClr val="5064E6"/>
                </a:solidFill>
                <a:round/>
              </a:ln>
              <a:effectLst/>
            </c:spPr>
          </c:errBars>
          <c:cat>
            <c:numRef>
              <c:f>qPCR_Unique!$G$105:$G$118</c:f>
              <c:numCache>
                <c:formatCode>mm/dd/yyyy</c:formatCode>
                <c:ptCount val="14"/>
                <c:pt idx="0">
                  <c:v>44335</c:v>
                </c:pt>
                <c:pt idx="1">
                  <c:v>44342</c:v>
                </c:pt>
                <c:pt idx="2">
                  <c:v>44350</c:v>
                </c:pt>
                <c:pt idx="3">
                  <c:v>44363</c:v>
                </c:pt>
                <c:pt idx="4">
                  <c:v>44370</c:v>
                </c:pt>
                <c:pt idx="5">
                  <c:v>44377</c:v>
                </c:pt>
                <c:pt idx="6">
                  <c:v>44385</c:v>
                </c:pt>
                <c:pt idx="7">
                  <c:v>44391</c:v>
                </c:pt>
                <c:pt idx="8">
                  <c:v>44398</c:v>
                </c:pt>
                <c:pt idx="9">
                  <c:v>44405</c:v>
                </c:pt>
                <c:pt idx="10">
                  <c:v>44412</c:v>
                </c:pt>
                <c:pt idx="11">
                  <c:v>44419</c:v>
                </c:pt>
                <c:pt idx="12">
                  <c:v>44426</c:v>
                </c:pt>
                <c:pt idx="13">
                  <c:v>44433</c:v>
                </c:pt>
              </c:numCache>
            </c:numRef>
          </c:cat>
          <c:val>
            <c:numRef>
              <c:f>qPCR_Unique!$O$105:$O$118</c:f>
              <c:numCache>
                <c:formatCode>0.000</c:formatCode>
                <c:ptCount val="14"/>
                <c:pt idx="0">
                  <c:v>4.3733485927609284</c:v>
                </c:pt>
                <c:pt idx="1">
                  <c:v>4.6459903147220061</c:v>
                </c:pt>
                <c:pt idx="2">
                  <c:v>4.9461794550287745</c:v>
                </c:pt>
                <c:pt idx="3">
                  <c:v>4.8377336835911153</c:v>
                </c:pt>
                <c:pt idx="4">
                  <c:v>4.9042282800518882</c:v>
                </c:pt>
                <c:pt idx="5">
                  <c:v>5.0297924421681817</c:v>
                </c:pt>
                <c:pt idx="6">
                  <c:v>4.8245901417589065</c:v>
                </c:pt>
                <c:pt idx="7">
                  <c:v>5.1705470772594166</c:v>
                </c:pt>
                <c:pt idx="8">
                  <c:v>4.9038888122636424</c:v>
                </c:pt>
                <c:pt idx="9">
                  <c:v>5.0318819392819867</c:v>
                </c:pt>
                <c:pt idx="10">
                  <c:v>4.8655469897457584</c:v>
                </c:pt>
                <c:pt idx="11">
                  <c:v>4.0872672288258176</c:v>
                </c:pt>
                <c:pt idx="12">
                  <c:v>4.9980740869072635</c:v>
                </c:pt>
                <c:pt idx="13">
                  <c:v>4.4858575200063786</c:v>
                </c:pt>
              </c:numCache>
            </c:numRef>
          </c:val>
          <c:smooth val="0"/>
          <c:extLst>
            <c:ext xmlns:c16="http://schemas.microsoft.com/office/drawing/2014/chart" uri="{C3380CC4-5D6E-409C-BE32-E72D297353CC}">
              <c16:uniqueId val="{00000001-1DA0-43F2-B2A4-5E6AE63DD736}"/>
            </c:ext>
          </c:extLst>
        </c:ser>
        <c:ser>
          <c:idx val="1"/>
          <c:order val="2"/>
          <c:tx>
            <c:strRef>
              <c:f>qPCR_Unique!$Q$1</c:f>
              <c:strCache>
                <c:ptCount val="1"/>
                <c:pt idx="0">
                  <c:v>Pseudomonas</c:v>
                </c:pt>
              </c:strCache>
            </c:strRef>
          </c:tx>
          <c:spPr>
            <a:ln w="6350" cap="rnd">
              <a:solidFill>
                <a:srgbClr val="F014C8"/>
              </a:solidFill>
              <a:round/>
            </a:ln>
            <a:effectLst/>
          </c:spPr>
          <c:marker>
            <c:symbol val="square"/>
            <c:size val="6"/>
            <c:spPr>
              <a:solidFill>
                <a:srgbClr val="F014C8"/>
              </a:solidFill>
              <a:ln w="12700">
                <a:solidFill>
                  <a:srgbClr val="F014C8"/>
                </a:solidFill>
              </a:ln>
              <a:effectLst/>
            </c:spPr>
          </c:marker>
          <c:errBars>
            <c:errDir val="y"/>
            <c:errBarType val="both"/>
            <c:errValType val="cust"/>
            <c:noEndCap val="0"/>
            <c:plus>
              <c:numRef>
                <c:f>qPCR_Unique!$S$105:$S$118</c:f>
                <c:numCache>
                  <c:formatCode>General</c:formatCode>
                  <c:ptCount val="14"/>
                  <c:pt idx="0">
                    <c:v>0.43429448190325176</c:v>
                  </c:pt>
                  <c:pt idx="1">
                    <c:v>0</c:v>
                  </c:pt>
                  <c:pt idx="2">
                    <c:v>0</c:v>
                  </c:pt>
                  <c:pt idx="3">
                    <c:v>0</c:v>
                  </c:pt>
                  <c:pt idx="4">
                    <c:v>0.43429448190325176</c:v>
                  </c:pt>
                  <c:pt idx="5">
                    <c:v>0</c:v>
                  </c:pt>
                  <c:pt idx="6">
                    <c:v>0</c:v>
                  </c:pt>
                  <c:pt idx="7">
                    <c:v>0.43429448190325176</c:v>
                  </c:pt>
                  <c:pt idx="8">
                    <c:v>0</c:v>
                  </c:pt>
                  <c:pt idx="9">
                    <c:v>0.43429448190325176</c:v>
                  </c:pt>
                  <c:pt idx="10">
                    <c:v>0.43429448190325176</c:v>
                  </c:pt>
                  <c:pt idx="11">
                    <c:v>0</c:v>
                  </c:pt>
                  <c:pt idx="12">
                    <c:v>0</c:v>
                  </c:pt>
                  <c:pt idx="13">
                    <c:v>0.43429448190325176</c:v>
                  </c:pt>
                </c:numCache>
              </c:numRef>
            </c:plus>
            <c:minus>
              <c:numRef>
                <c:f>qPCR_Unique!$S$105:$S$118</c:f>
                <c:numCache>
                  <c:formatCode>General</c:formatCode>
                  <c:ptCount val="14"/>
                  <c:pt idx="0">
                    <c:v>0.43429448190325176</c:v>
                  </c:pt>
                  <c:pt idx="1">
                    <c:v>0</c:v>
                  </c:pt>
                  <c:pt idx="2">
                    <c:v>0</c:v>
                  </c:pt>
                  <c:pt idx="3">
                    <c:v>0</c:v>
                  </c:pt>
                  <c:pt idx="4">
                    <c:v>0.43429448190325176</c:v>
                  </c:pt>
                  <c:pt idx="5">
                    <c:v>0</c:v>
                  </c:pt>
                  <c:pt idx="6">
                    <c:v>0</c:v>
                  </c:pt>
                  <c:pt idx="7">
                    <c:v>0.43429448190325176</c:v>
                  </c:pt>
                  <c:pt idx="8">
                    <c:v>0</c:v>
                  </c:pt>
                  <c:pt idx="9">
                    <c:v>0.43429448190325176</c:v>
                  </c:pt>
                  <c:pt idx="10">
                    <c:v>0.43429448190325176</c:v>
                  </c:pt>
                  <c:pt idx="11">
                    <c:v>0</c:v>
                  </c:pt>
                  <c:pt idx="12">
                    <c:v>0</c:v>
                  </c:pt>
                  <c:pt idx="13">
                    <c:v>0.43429448190325176</c:v>
                  </c:pt>
                </c:numCache>
              </c:numRef>
            </c:minus>
            <c:spPr>
              <a:noFill/>
              <a:ln w="12700" cap="flat" cmpd="sng" algn="ctr">
                <a:solidFill>
                  <a:srgbClr val="F014C8"/>
                </a:solidFill>
                <a:round/>
              </a:ln>
              <a:effectLst/>
            </c:spPr>
          </c:errBars>
          <c:cat>
            <c:numRef>
              <c:f>qPCR_Unique!$G$105:$G$118</c:f>
              <c:numCache>
                <c:formatCode>mm/dd/yyyy</c:formatCode>
                <c:ptCount val="14"/>
                <c:pt idx="0">
                  <c:v>44335</c:v>
                </c:pt>
                <c:pt idx="1">
                  <c:v>44342</c:v>
                </c:pt>
                <c:pt idx="2">
                  <c:v>44350</c:v>
                </c:pt>
                <c:pt idx="3">
                  <c:v>44363</c:v>
                </c:pt>
                <c:pt idx="4">
                  <c:v>44370</c:v>
                </c:pt>
                <c:pt idx="5">
                  <c:v>44377</c:v>
                </c:pt>
                <c:pt idx="6">
                  <c:v>44385</c:v>
                </c:pt>
                <c:pt idx="7">
                  <c:v>44391</c:v>
                </c:pt>
                <c:pt idx="8">
                  <c:v>44398</c:v>
                </c:pt>
                <c:pt idx="9">
                  <c:v>44405</c:v>
                </c:pt>
                <c:pt idx="10">
                  <c:v>44412</c:v>
                </c:pt>
                <c:pt idx="11">
                  <c:v>44419</c:v>
                </c:pt>
                <c:pt idx="12">
                  <c:v>44426</c:v>
                </c:pt>
                <c:pt idx="13">
                  <c:v>44433</c:v>
                </c:pt>
              </c:numCache>
            </c:numRef>
          </c:cat>
          <c:val>
            <c:numRef>
              <c:f>qPCR_Unique!$R$105:$R$118</c:f>
              <c:numCache>
                <c:formatCode>0.000</c:formatCode>
                <c:ptCount val="14"/>
                <c:pt idx="0">
                  <c:v>2.5324246445355993</c:v>
                </c:pt>
                <c:pt idx="1">
                  <c:v>0</c:v>
                </c:pt>
                <c:pt idx="2">
                  <c:v>0</c:v>
                </c:pt>
                <c:pt idx="3">
                  <c:v>0</c:v>
                </c:pt>
                <c:pt idx="4">
                  <c:v>2.5799274933094076</c:v>
                </c:pt>
                <c:pt idx="5">
                  <c:v>0</c:v>
                </c:pt>
                <c:pt idx="6">
                  <c:v>0</c:v>
                </c:pt>
                <c:pt idx="7">
                  <c:v>2.5876552633204204</c:v>
                </c:pt>
                <c:pt idx="8">
                  <c:v>0</c:v>
                </c:pt>
                <c:pt idx="9">
                  <c:v>2.5889955349263674</c:v>
                </c:pt>
                <c:pt idx="10">
                  <c:v>2.6375263627827059</c:v>
                </c:pt>
                <c:pt idx="11">
                  <c:v>0</c:v>
                </c:pt>
                <c:pt idx="12">
                  <c:v>0</c:v>
                </c:pt>
                <c:pt idx="13">
                  <c:v>2.8588070322388779</c:v>
                </c:pt>
              </c:numCache>
            </c:numRef>
          </c:val>
          <c:smooth val="0"/>
          <c:extLst>
            <c:ext xmlns:c16="http://schemas.microsoft.com/office/drawing/2014/chart" uri="{C3380CC4-5D6E-409C-BE32-E72D297353CC}">
              <c16:uniqueId val="{00000002-1DA0-43F2-B2A4-5E6AE63DD736}"/>
            </c:ext>
          </c:extLst>
        </c:ser>
        <c:ser>
          <c:idx val="2"/>
          <c:order val="3"/>
          <c:tx>
            <c:strRef>
              <c:f>qPCR_Unique!$T$1</c:f>
              <c:strCache>
                <c:ptCount val="1"/>
                <c:pt idx="0">
                  <c:v>Vermamoeba vermiformis</c:v>
                </c:pt>
              </c:strCache>
            </c:strRef>
          </c:tx>
          <c:spPr>
            <a:ln w="6350" cap="rnd">
              <a:solidFill>
                <a:srgbClr val="3CE63C"/>
              </a:solidFill>
              <a:round/>
            </a:ln>
            <a:effectLst/>
          </c:spPr>
          <c:marker>
            <c:symbol val="square"/>
            <c:size val="6"/>
            <c:spPr>
              <a:noFill/>
              <a:ln w="12700">
                <a:solidFill>
                  <a:srgbClr val="3CE63C"/>
                </a:solidFill>
              </a:ln>
              <a:effectLst/>
            </c:spPr>
          </c:marker>
          <c:errBars>
            <c:errDir val="y"/>
            <c:errBarType val="both"/>
            <c:errValType val="cust"/>
            <c:noEndCap val="0"/>
            <c:plus>
              <c:numRef>
                <c:f>qPCR_Unique!$V$105:$V$118</c:f>
                <c:numCache>
                  <c:formatCode>General</c:formatCode>
                  <c:ptCount val="14"/>
                  <c:pt idx="0">
                    <c:v>0.19434089077206526</c:v>
                  </c:pt>
                  <c:pt idx="1">
                    <c:v>0.28196198821016277</c:v>
                  </c:pt>
                  <c:pt idx="2">
                    <c:v>7.1770157255336905E-2</c:v>
                  </c:pt>
                  <c:pt idx="3">
                    <c:v>0.33595264156340127</c:v>
                  </c:pt>
                  <c:pt idx="4">
                    <c:v>2.2049485473714589E-2</c:v>
                  </c:pt>
                  <c:pt idx="5">
                    <c:v>0.19725880017594594</c:v>
                  </c:pt>
                  <c:pt idx="6">
                    <c:v>0.16189368997157527</c:v>
                  </c:pt>
                  <c:pt idx="7">
                    <c:v>0.28004694595576629</c:v>
                  </c:pt>
                  <c:pt idx="8">
                    <c:v>0.28819327842287246</c:v>
                  </c:pt>
                  <c:pt idx="9">
                    <c:v>0.37761814243884673</c:v>
                  </c:pt>
                  <c:pt idx="10">
                    <c:v>1.3309638831127731E-2</c:v>
                  </c:pt>
                  <c:pt idx="11">
                    <c:v>0.35384439391721256</c:v>
                  </c:pt>
                  <c:pt idx="12">
                    <c:v>0.31745382611832568</c:v>
                  </c:pt>
                  <c:pt idx="13">
                    <c:v>4.1674593875753979E-2</c:v>
                  </c:pt>
                </c:numCache>
              </c:numRef>
            </c:plus>
            <c:minus>
              <c:numRef>
                <c:f>qPCR_Unique!$V$105:$V$118</c:f>
                <c:numCache>
                  <c:formatCode>General</c:formatCode>
                  <c:ptCount val="14"/>
                  <c:pt idx="0">
                    <c:v>0.19434089077206526</c:v>
                  </c:pt>
                  <c:pt idx="1">
                    <c:v>0.28196198821016277</c:v>
                  </c:pt>
                  <c:pt idx="2">
                    <c:v>7.1770157255336905E-2</c:v>
                  </c:pt>
                  <c:pt idx="3">
                    <c:v>0.33595264156340127</c:v>
                  </c:pt>
                  <c:pt idx="4">
                    <c:v>2.2049485473714589E-2</c:v>
                  </c:pt>
                  <c:pt idx="5">
                    <c:v>0.19725880017594594</c:v>
                  </c:pt>
                  <c:pt idx="6">
                    <c:v>0.16189368997157527</c:v>
                  </c:pt>
                  <c:pt idx="7">
                    <c:v>0.28004694595576629</c:v>
                  </c:pt>
                  <c:pt idx="8">
                    <c:v>0.28819327842287246</c:v>
                  </c:pt>
                  <c:pt idx="9">
                    <c:v>0.37761814243884673</c:v>
                  </c:pt>
                  <c:pt idx="10">
                    <c:v>1.3309638831127731E-2</c:v>
                  </c:pt>
                  <c:pt idx="11">
                    <c:v>0.35384439391721256</c:v>
                  </c:pt>
                  <c:pt idx="12">
                    <c:v>0.31745382611832568</c:v>
                  </c:pt>
                  <c:pt idx="13">
                    <c:v>4.1674593875753979E-2</c:v>
                  </c:pt>
                </c:numCache>
              </c:numRef>
            </c:minus>
            <c:spPr>
              <a:noFill/>
              <a:ln w="12700" cap="flat" cmpd="sng" algn="ctr">
                <a:solidFill>
                  <a:srgbClr val="3CE63C"/>
                </a:solidFill>
                <a:round/>
              </a:ln>
              <a:effectLst/>
            </c:spPr>
          </c:errBars>
          <c:cat>
            <c:numRef>
              <c:f>qPCR_Unique!$G$105:$G$118</c:f>
              <c:numCache>
                <c:formatCode>mm/dd/yyyy</c:formatCode>
                <c:ptCount val="14"/>
                <c:pt idx="0">
                  <c:v>44335</c:v>
                </c:pt>
                <c:pt idx="1">
                  <c:v>44342</c:v>
                </c:pt>
                <c:pt idx="2">
                  <c:v>44350</c:v>
                </c:pt>
                <c:pt idx="3">
                  <c:v>44363</c:v>
                </c:pt>
                <c:pt idx="4">
                  <c:v>44370</c:v>
                </c:pt>
                <c:pt idx="5">
                  <c:v>44377</c:v>
                </c:pt>
                <c:pt idx="6">
                  <c:v>44385</c:v>
                </c:pt>
                <c:pt idx="7">
                  <c:v>44391</c:v>
                </c:pt>
                <c:pt idx="8">
                  <c:v>44398</c:v>
                </c:pt>
                <c:pt idx="9">
                  <c:v>44405</c:v>
                </c:pt>
                <c:pt idx="10">
                  <c:v>44412</c:v>
                </c:pt>
                <c:pt idx="11">
                  <c:v>44419</c:v>
                </c:pt>
                <c:pt idx="12">
                  <c:v>44426</c:v>
                </c:pt>
                <c:pt idx="13">
                  <c:v>44433</c:v>
                </c:pt>
              </c:numCache>
            </c:numRef>
          </c:cat>
          <c:val>
            <c:numRef>
              <c:f>qPCR_Unique!$U$105:$U$118</c:f>
              <c:numCache>
                <c:formatCode>0.000</c:formatCode>
                <c:ptCount val="14"/>
                <c:pt idx="0">
                  <c:v>5.0641736514136264</c:v>
                </c:pt>
                <c:pt idx="1">
                  <c:v>5.3641335810490691</c:v>
                </c:pt>
                <c:pt idx="2">
                  <c:v>5.2847122091420431</c:v>
                </c:pt>
                <c:pt idx="3">
                  <c:v>5.5078349905749517</c:v>
                </c:pt>
                <c:pt idx="4">
                  <c:v>5.7885679715571321</c:v>
                </c:pt>
                <c:pt idx="5">
                  <c:v>5.9788084898644929</c:v>
                </c:pt>
                <c:pt idx="6">
                  <c:v>6.1084330352946665</c:v>
                </c:pt>
                <c:pt idx="7">
                  <c:v>6.0036159549417007</c:v>
                </c:pt>
                <c:pt idx="8">
                  <c:v>5.4762495826387045</c:v>
                </c:pt>
                <c:pt idx="9">
                  <c:v>5.6759040492416206</c:v>
                </c:pt>
                <c:pt idx="10">
                  <c:v>5.2544173108237153</c:v>
                </c:pt>
                <c:pt idx="11">
                  <c:v>4.8558720298853313</c:v>
                </c:pt>
                <c:pt idx="12">
                  <c:v>5.2943554319656219</c:v>
                </c:pt>
                <c:pt idx="13">
                  <c:v>4.7219456201527663</c:v>
                </c:pt>
              </c:numCache>
            </c:numRef>
          </c:val>
          <c:smooth val="0"/>
          <c:extLst>
            <c:ext xmlns:c16="http://schemas.microsoft.com/office/drawing/2014/chart" uri="{C3380CC4-5D6E-409C-BE32-E72D297353CC}">
              <c16:uniqueId val="{00000003-1DA0-43F2-B2A4-5E6AE63DD736}"/>
            </c:ext>
          </c:extLst>
        </c:ser>
        <c:ser>
          <c:idx val="4"/>
          <c:order val="4"/>
          <c:tx>
            <c:strRef>
              <c:f>qPCR_Unique!$W$1</c:f>
              <c:strCache>
                <c:ptCount val="1"/>
                <c:pt idx="0">
                  <c:v>Summed OP</c:v>
                </c:pt>
              </c:strCache>
            </c:strRef>
          </c:tx>
          <c:spPr>
            <a:ln w="6350" cap="rnd">
              <a:solidFill>
                <a:srgbClr val="28C8C8"/>
              </a:solidFill>
              <a:round/>
            </a:ln>
            <a:effectLst/>
          </c:spPr>
          <c:marker>
            <c:symbol val="diamond"/>
            <c:size val="12"/>
            <c:spPr>
              <a:noFill/>
              <a:ln w="12700">
                <a:solidFill>
                  <a:srgbClr val="28C8C8"/>
                </a:solidFill>
              </a:ln>
              <a:effectLst/>
            </c:spPr>
          </c:marker>
          <c:cat>
            <c:numRef>
              <c:f>qPCR_Unique!$G$105:$G$118</c:f>
              <c:numCache>
                <c:formatCode>mm/dd/yyyy</c:formatCode>
                <c:ptCount val="14"/>
                <c:pt idx="0">
                  <c:v>44335</c:v>
                </c:pt>
                <c:pt idx="1">
                  <c:v>44342</c:v>
                </c:pt>
                <c:pt idx="2">
                  <c:v>44350</c:v>
                </c:pt>
                <c:pt idx="3">
                  <c:v>44363</c:v>
                </c:pt>
                <c:pt idx="4">
                  <c:v>44370</c:v>
                </c:pt>
                <c:pt idx="5">
                  <c:v>44377</c:v>
                </c:pt>
                <c:pt idx="6">
                  <c:v>44385</c:v>
                </c:pt>
                <c:pt idx="7">
                  <c:v>44391</c:v>
                </c:pt>
                <c:pt idx="8">
                  <c:v>44398</c:v>
                </c:pt>
                <c:pt idx="9">
                  <c:v>44405</c:v>
                </c:pt>
                <c:pt idx="10">
                  <c:v>44412</c:v>
                </c:pt>
                <c:pt idx="11">
                  <c:v>44419</c:v>
                </c:pt>
                <c:pt idx="12">
                  <c:v>44426</c:v>
                </c:pt>
                <c:pt idx="13">
                  <c:v>44433</c:v>
                </c:pt>
              </c:numCache>
            </c:numRef>
          </c:cat>
          <c:val>
            <c:numRef>
              <c:f>qPCR_Unique!$X$105:$X$118</c:f>
              <c:numCache>
                <c:formatCode>0.000</c:formatCode>
                <c:ptCount val="14"/>
                <c:pt idx="0">
                  <c:v>5.3213540186618644</c:v>
                </c:pt>
                <c:pt idx="1">
                  <c:v>5.5648440482527137</c:v>
                </c:pt>
                <c:pt idx="2">
                  <c:v>5.842140483760411</c:v>
                </c:pt>
                <c:pt idx="3">
                  <c:v>5.6988566711347008</c:v>
                </c:pt>
                <c:pt idx="4">
                  <c:v>5.8746851293435514</c:v>
                </c:pt>
                <c:pt idx="5">
                  <c:v>6.0480185061338281</c:v>
                </c:pt>
                <c:pt idx="6">
                  <c:v>6.1546497210374449</c:v>
                </c:pt>
                <c:pt idx="7">
                  <c:v>6.1059422960643923</c:v>
                </c:pt>
                <c:pt idx="8">
                  <c:v>5.6395288670185373</c:v>
                </c:pt>
                <c:pt idx="9">
                  <c:v>5.8144013126378464</c:v>
                </c:pt>
                <c:pt idx="10">
                  <c:v>5.4619616475183594</c:v>
                </c:pt>
                <c:pt idx="11">
                  <c:v>4.9714860158545946</c:v>
                </c:pt>
                <c:pt idx="12">
                  <c:v>5.5983539084138325</c:v>
                </c:pt>
                <c:pt idx="13">
                  <c:v>5.0881798031463417</c:v>
                </c:pt>
              </c:numCache>
            </c:numRef>
          </c:val>
          <c:smooth val="0"/>
          <c:extLst>
            <c:ext xmlns:c16="http://schemas.microsoft.com/office/drawing/2014/chart" uri="{C3380CC4-5D6E-409C-BE32-E72D297353CC}">
              <c16:uniqueId val="{00000004-1DA0-43F2-B2A4-5E6AE63DD736}"/>
            </c:ext>
          </c:extLst>
        </c:ser>
        <c:dLbls>
          <c:showLegendKey val="0"/>
          <c:showVal val="0"/>
          <c:showCatName val="0"/>
          <c:showSerName val="0"/>
          <c:showPercent val="0"/>
          <c:showBubbleSize val="0"/>
        </c:dLbls>
        <c:marker val="1"/>
        <c:smooth val="0"/>
        <c:axId val="403941288"/>
        <c:axId val="403917672"/>
      </c:lineChart>
      <c:lineChart>
        <c:grouping val="standard"/>
        <c:varyColors val="0"/>
        <c:ser>
          <c:idx val="5"/>
          <c:order val="5"/>
          <c:tx>
            <c:strRef>
              <c:f>qPCR_Unique!$H$1</c:f>
              <c:strCache>
                <c:ptCount val="1"/>
                <c:pt idx="0">
                  <c:v>Total bacteria</c:v>
                </c:pt>
              </c:strCache>
            </c:strRef>
          </c:tx>
          <c:spPr>
            <a:ln w="6350" cap="rnd">
              <a:solidFill>
                <a:schemeClr val="tx1"/>
              </a:solidFill>
              <a:round/>
            </a:ln>
            <a:effectLst/>
          </c:spPr>
          <c:marker>
            <c:symbol val="triangle"/>
            <c:size val="8"/>
            <c:spPr>
              <a:noFill/>
              <a:ln w="12700">
                <a:solidFill>
                  <a:schemeClr val="tx1"/>
                </a:solidFill>
              </a:ln>
              <a:effectLst/>
            </c:spPr>
          </c:marker>
          <c:errBars>
            <c:errDir val="y"/>
            <c:errBarType val="both"/>
            <c:errValType val="cust"/>
            <c:noEndCap val="0"/>
            <c:plus>
              <c:numRef>
                <c:f>qPCR_Unique!$J$105:$J$118</c:f>
                <c:numCache>
                  <c:formatCode>General</c:formatCode>
                  <c:ptCount val="14"/>
                  <c:pt idx="0">
                    <c:v>0.33616632690769432</c:v>
                  </c:pt>
                  <c:pt idx="1">
                    <c:v>0.42669076622818014</c:v>
                  </c:pt>
                  <c:pt idx="2">
                    <c:v>0.17060056927049855</c:v>
                  </c:pt>
                  <c:pt idx="3">
                    <c:v>0.38230086570483307</c:v>
                  </c:pt>
                  <c:pt idx="4">
                    <c:v>0.36968203155974744</c:v>
                  </c:pt>
                  <c:pt idx="5">
                    <c:v>0.18518215863237994</c:v>
                  </c:pt>
                  <c:pt idx="6">
                    <c:v>0.4194819167290702</c:v>
                  </c:pt>
                  <c:pt idx="7">
                    <c:v>0.43088481053527622</c:v>
                  </c:pt>
                  <c:pt idx="8">
                    <c:v>0.18213595659498813</c:v>
                  </c:pt>
                  <c:pt idx="9">
                    <c:v>2.3482742912674541E-2</c:v>
                  </c:pt>
                  <c:pt idx="10">
                    <c:v>0.42568295894565583</c:v>
                  </c:pt>
                  <c:pt idx="11">
                    <c:v>0.26724709382511219</c:v>
                  </c:pt>
                  <c:pt idx="12">
                    <c:v>0.2282612894969332</c:v>
                  </c:pt>
                  <c:pt idx="13">
                    <c:v>0.30509060942187038</c:v>
                  </c:pt>
                </c:numCache>
              </c:numRef>
            </c:plus>
            <c:minus>
              <c:numRef>
                <c:f>qPCR_Unique!$J$105:$J$118</c:f>
                <c:numCache>
                  <c:formatCode>General</c:formatCode>
                  <c:ptCount val="14"/>
                  <c:pt idx="0">
                    <c:v>0.33616632690769432</c:v>
                  </c:pt>
                  <c:pt idx="1">
                    <c:v>0.42669076622818014</c:v>
                  </c:pt>
                  <c:pt idx="2">
                    <c:v>0.17060056927049855</c:v>
                  </c:pt>
                  <c:pt idx="3">
                    <c:v>0.38230086570483307</c:v>
                  </c:pt>
                  <c:pt idx="4">
                    <c:v>0.36968203155974744</c:v>
                  </c:pt>
                  <c:pt idx="5">
                    <c:v>0.18518215863237994</c:v>
                  </c:pt>
                  <c:pt idx="6">
                    <c:v>0.4194819167290702</c:v>
                  </c:pt>
                  <c:pt idx="7">
                    <c:v>0.43088481053527622</c:v>
                  </c:pt>
                  <c:pt idx="8">
                    <c:v>0.18213595659498813</c:v>
                  </c:pt>
                  <c:pt idx="9">
                    <c:v>2.3482742912674541E-2</c:v>
                  </c:pt>
                  <c:pt idx="10">
                    <c:v>0.42568295894565583</c:v>
                  </c:pt>
                  <c:pt idx="11">
                    <c:v>0.26724709382511219</c:v>
                  </c:pt>
                  <c:pt idx="12">
                    <c:v>0.2282612894969332</c:v>
                  </c:pt>
                  <c:pt idx="13">
                    <c:v>0.30509060942187038</c:v>
                  </c:pt>
                </c:numCache>
              </c:numRef>
            </c:minus>
            <c:spPr>
              <a:noFill/>
              <a:ln w="12700" cap="flat" cmpd="sng" algn="ctr">
                <a:solidFill>
                  <a:schemeClr val="tx1"/>
                </a:solidFill>
                <a:round/>
              </a:ln>
              <a:effectLst/>
            </c:spPr>
          </c:errBars>
          <c:cat>
            <c:numRef>
              <c:f>qPCR_Unique!$G$105:$G$118</c:f>
              <c:numCache>
                <c:formatCode>mm/dd/yyyy</c:formatCode>
                <c:ptCount val="14"/>
                <c:pt idx="0">
                  <c:v>44335</c:v>
                </c:pt>
                <c:pt idx="1">
                  <c:v>44342</c:v>
                </c:pt>
                <c:pt idx="2">
                  <c:v>44350</c:v>
                </c:pt>
                <c:pt idx="3">
                  <c:v>44363</c:v>
                </c:pt>
                <c:pt idx="4">
                  <c:v>44370</c:v>
                </c:pt>
                <c:pt idx="5">
                  <c:v>44377</c:v>
                </c:pt>
                <c:pt idx="6">
                  <c:v>44385</c:v>
                </c:pt>
                <c:pt idx="7">
                  <c:v>44391</c:v>
                </c:pt>
                <c:pt idx="8">
                  <c:v>44398</c:v>
                </c:pt>
                <c:pt idx="9">
                  <c:v>44405</c:v>
                </c:pt>
                <c:pt idx="10">
                  <c:v>44412</c:v>
                </c:pt>
                <c:pt idx="11">
                  <c:v>44419</c:v>
                </c:pt>
                <c:pt idx="12">
                  <c:v>44426</c:v>
                </c:pt>
                <c:pt idx="13">
                  <c:v>44433</c:v>
                </c:pt>
              </c:numCache>
            </c:numRef>
          </c:cat>
          <c:val>
            <c:numRef>
              <c:f>qPCR_Unique!$I$105:$I$118</c:f>
              <c:numCache>
                <c:formatCode>0.000</c:formatCode>
                <c:ptCount val="14"/>
                <c:pt idx="0">
                  <c:v>8.1903267843660164</c:v>
                </c:pt>
                <c:pt idx="1">
                  <c:v>8.8262241930475405</c:v>
                </c:pt>
                <c:pt idx="2">
                  <c:v>10.227293627798474</c:v>
                </c:pt>
                <c:pt idx="3">
                  <c:v>10.195875834339857</c:v>
                </c:pt>
                <c:pt idx="4">
                  <c:v>9.1068445777294933</c:v>
                </c:pt>
                <c:pt idx="5">
                  <c:v>8.15647664681115</c:v>
                </c:pt>
                <c:pt idx="6">
                  <c:v>10.215083438035487</c:v>
                </c:pt>
                <c:pt idx="7">
                  <c:v>10.156507312316004</c:v>
                </c:pt>
                <c:pt idx="8">
                  <c:v>7.584325471246947</c:v>
                </c:pt>
                <c:pt idx="9">
                  <c:v>9.8186939106265623</c:v>
                </c:pt>
                <c:pt idx="10">
                  <c:v>10.205870606178054</c:v>
                </c:pt>
                <c:pt idx="11">
                  <c:v>7.8670507007497612</c:v>
                </c:pt>
                <c:pt idx="12">
                  <c:v>10.563056055280478</c:v>
                </c:pt>
                <c:pt idx="13">
                  <c:v>9.7219864471469641</c:v>
                </c:pt>
              </c:numCache>
            </c:numRef>
          </c:val>
          <c:smooth val="0"/>
          <c:extLst>
            <c:ext xmlns:c16="http://schemas.microsoft.com/office/drawing/2014/chart" uri="{C3380CC4-5D6E-409C-BE32-E72D297353CC}">
              <c16:uniqueId val="{00000005-1DA0-43F2-B2A4-5E6AE63DD736}"/>
            </c:ext>
          </c:extLst>
        </c:ser>
        <c:dLbls>
          <c:showLegendKey val="0"/>
          <c:showVal val="0"/>
          <c:showCatName val="0"/>
          <c:showSerName val="0"/>
          <c:showPercent val="0"/>
          <c:showBubbleSize val="0"/>
        </c:dLbls>
        <c:marker val="1"/>
        <c:smooth val="0"/>
        <c:axId val="803049488"/>
        <c:axId val="803055720"/>
      </c:lineChart>
      <c:dateAx>
        <c:axId val="403941288"/>
        <c:scaling>
          <c:orientation val="minMax"/>
          <c:max val="44434"/>
          <c:min val="44334"/>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Sampling times--</a:t>
                </a:r>
                <a:r>
                  <a:rPr lang="en-US" b="1">
                    <a:solidFill>
                      <a:srgbClr val="FF0000"/>
                    </a:solidFill>
                  </a:rPr>
                  <a:t>RS</a:t>
                </a:r>
              </a:p>
            </c:rich>
          </c:tx>
          <c:layout>
            <c:manualLayout>
              <c:xMode val="edge"/>
              <c:yMode val="edge"/>
              <c:x val="0.39785997109175708"/>
              <c:y val="0.94951730232117781"/>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mm/dd/yyyy" sourceLinked="1"/>
        <c:majorTickMark val="out"/>
        <c:minorTickMark val="in"/>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03917672"/>
        <c:crosses val="autoZero"/>
        <c:auto val="1"/>
        <c:lblOffset val="100"/>
        <c:baseTimeUnit val="days"/>
        <c:majorUnit val="10"/>
        <c:majorTimeUnit val="days"/>
        <c:minorUnit val="5"/>
        <c:minorTimeUnit val="days"/>
      </c:dateAx>
      <c:valAx>
        <c:axId val="403917672"/>
        <c:scaling>
          <c:orientation val="minMax"/>
          <c:max val="6.5"/>
          <c:min val="0"/>
        </c:scaling>
        <c:delete val="0"/>
        <c:axPos val="l"/>
        <c:majorGridlines>
          <c:spPr>
            <a:ln w="1270" cap="flat" cmpd="sng" algn="ctr">
              <a:solidFill>
                <a:schemeClr val="tx1"/>
              </a:solidFill>
              <a:prstDash val="solid"/>
              <a:round/>
            </a:ln>
            <a:effectLst/>
          </c:spPr>
        </c:majorGridlines>
        <c:minorGridlines>
          <c:spPr>
            <a:ln w="1270" cap="flat" cmpd="sng" algn="ctr">
              <a:solidFill>
                <a:schemeClr val="bg2">
                  <a:lumMod val="90000"/>
                </a:schemeClr>
              </a:solidFill>
              <a:prstDash val="dash"/>
              <a:round/>
            </a:ln>
            <a:effectLst/>
          </c:spPr>
        </c:min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sz="1200" b="0" i="0" baseline="0">
                    <a:effectLst/>
                  </a:rPr>
                  <a:t>log</a:t>
                </a:r>
                <a:r>
                  <a:rPr lang="en-US" sz="1200" b="0" i="0" baseline="-25000">
                    <a:effectLst/>
                  </a:rPr>
                  <a:t>10</a:t>
                </a:r>
                <a:r>
                  <a:rPr lang="en-US" sz="1200" b="0" i="0" baseline="0">
                    <a:effectLst/>
                  </a:rPr>
                  <a:t>[OP (GCN·L</a:t>
                </a:r>
                <a:r>
                  <a:rPr lang="en-US" sz="1200" b="0" i="0" baseline="30000">
                    <a:effectLst/>
                  </a:rPr>
                  <a:t>-1</a:t>
                </a:r>
                <a:r>
                  <a:rPr lang="en-US" sz="1200" b="0" i="0" baseline="0">
                    <a:effectLst/>
                  </a:rPr>
                  <a:t>)]</a:t>
                </a:r>
                <a:endParaRPr lang="en-US" sz="1200">
                  <a:effectLst/>
                </a:endParaRPr>
              </a:p>
            </c:rich>
          </c:tx>
          <c:layout>
            <c:manualLayout>
              <c:xMode val="edge"/>
              <c:yMode val="edge"/>
              <c:x val="6.5976053561081385E-5"/>
              <c:y val="0.2827105058966991"/>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0" sourceLinked="0"/>
        <c:majorTickMark val="out"/>
        <c:minorTickMark val="in"/>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03941288"/>
        <c:crosses val="autoZero"/>
        <c:crossBetween val="between"/>
        <c:majorUnit val="1"/>
        <c:minorUnit val="0.25"/>
      </c:valAx>
      <c:valAx>
        <c:axId val="803055720"/>
        <c:scaling>
          <c:orientation val="minMax"/>
          <c:max val="11"/>
          <c:min val="7"/>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sz="1200" b="0" i="0" baseline="0">
                    <a:effectLst/>
                  </a:rPr>
                  <a:t>log</a:t>
                </a:r>
                <a:r>
                  <a:rPr lang="en-US" sz="1200" b="0" i="0" baseline="-25000">
                    <a:effectLst/>
                  </a:rPr>
                  <a:t>10</a:t>
                </a:r>
                <a:r>
                  <a:rPr lang="en-US" sz="1200" b="0" i="0" baseline="0">
                    <a:effectLst/>
                  </a:rPr>
                  <a:t>[Total bacteria (GCN·L</a:t>
                </a:r>
                <a:r>
                  <a:rPr lang="en-US" sz="1200" b="0" i="0" baseline="30000">
                    <a:effectLst/>
                  </a:rPr>
                  <a:t>-1</a:t>
                </a:r>
                <a:r>
                  <a:rPr lang="en-US" sz="1200" b="0" i="0" baseline="0">
                    <a:effectLst/>
                  </a:rPr>
                  <a:t>)]</a:t>
                </a:r>
                <a:endParaRPr lang="en-US" sz="1200">
                  <a:effectLst/>
                </a:endParaRPr>
              </a:p>
            </c:rich>
          </c:tx>
          <c:layout>
            <c:manualLayout>
              <c:xMode val="edge"/>
              <c:yMode val="edge"/>
              <c:x val="0.95664193998920155"/>
              <c:y val="0.20690728939384437"/>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0" sourceLinked="0"/>
        <c:majorTickMark val="out"/>
        <c:minorTickMark val="in"/>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803049488"/>
        <c:crosses val="max"/>
        <c:crossBetween val="between"/>
        <c:majorUnit val="1"/>
        <c:minorUnit val="0.25"/>
      </c:valAx>
      <c:dateAx>
        <c:axId val="803049488"/>
        <c:scaling>
          <c:orientation val="minMax"/>
        </c:scaling>
        <c:delete val="1"/>
        <c:axPos val="b"/>
        <c:numFmt formatCode="mm/dd/yyyy" sourceLinked="1"/>
        <c:majorTickMark val="out"/>
        <c:minorTickMark val="none"/>
        <c:tickLblPos val="nextTo"/>
        <c:crossAx val="803055720"/>
        <c:crosses val="autoZero"/>
        <c:auto val="1"/>
        <c:lblOffset val="100"/>
        <c:baseTimeUnit val="days"/>
        <c:majorUnit val="1"/>
        <c:minorUnit val="1"/>
      </c:dateAx>
      <c:spPr>
        <a:noFill/>
        <a:ln w="19050">
          <a:solidFill>
            <a:schemeClr val="tx1"/>
          </a:solidFill>
        </a:ln>
        <a:effectLst/>
      </c:spPr>
    </c:plotArea>
    <c:legend>
      <c:legendPos val="r"/>
      <c:legendEntry>
        <c:idx val="0"/>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Entry>
      <c:layout>
        <c:manualLayout>
          <c:xMode val="edge"/>
          <c:yMode val="edge"/>
          <c:x val="0.51147242113751301"/>
          <c:y val="0.40976706706673255"/>
          <c:w val="0.31765286524120145"/>
          <c:h val="0.23454100776731437"/>
        </c:manualLayout>
      </c:layout>
      <c:overlay val="0"/>
      <c:spPr>
        <a:solidFill>
          <a:schemeClr val="bg1"/>
        </a:solid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04646"/>
      </a:solid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val">
        <cx:f>_xlchart.v1.2</cx:f>
      </cx:numDim>
    </cx:data>
    <cx:data id="1">
      <cx:strDim type="cat">
        <cx:f>_xlchart.v1.0</cx:f>
      </cx:strDim>
      <cx:numDim type="val">
        <cx:f>_xlchart.v1.4</cx:f>
      </cx:numDim>
    </cx:data>
    <cx:data id="2">
      <cx:strDim type="cat">
        <cx:f>_xlchart.v1.0</cx:f>
      </cx:strDim>
      <cx:numDim type="val">
        <cx:f>_xlchart.v1.6</cx:f>
      </cx:numDim>
    </cx:data>
    <cx:data id="3">
      <cx:strDim type="cat">
        <cx:f>_xlchart.v1.0</cx:f>
      </cx:strDim>
      <cx:numDim type="val">
        <cx:f>_xlchart.v1.8</cx:f>
      </cx:numDim>
    </cx:data>
    <cx:data id="4">
      <cx:strDim type="cat">
        <cx:f>_xlchart.v1.0</cx:f>
      </cx:strDim>
      <cx:numDim type="val">
        <cx:f>_xlchart.v1.10</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_xlchart.v1.1</cx:f>
              <cx:v>Legionella</cx:v>
            </cx:txData>
          </cx:tx>
          <cx:spPr>
            <a:noFill/>
            <a:ln w="12700">
              <a:solidFill>
                <a:srgbClr val="F04646">
                  <a:alpha val="96863"/>
                </a:srgbClr>
              </a:solidFill>
            </a:ln>
          </cx:spPr>
          <cx:dataId val="0"/>
          <cx:layoutPr>
            <cx:visibility meanLine="0" meanMarker="1" nonoutliers="1" outliers="1"/>
            <cx:statistics quartileMethod="inclusive"/>
          </cx:layoutPr>
        </cx:series>
        <cx:series layoutId="boxWhisker" uniqueId="{00000000-13A6-46AF-97B2-7219B81DFFC0}">
          <cx:tx>
            <cx:txData>
              <cx:f>_xlchart.v1.3</cx:f>
              <cx:v>Mycobacterium</cx:v>
            </cx:txData>
          </cx:tx>
          <cx:spPr>
            <a:noFill/>
            <a:ln w="12700">
              <a:solidFill>
                <a:srgbClr val="5064E6"/>
              </a:solidFill>
            </a:ln>
          </cx:spPr>
          <cx:dataId val="1"/>
          <cx:layoutPr>
            <cx:statistics quartileMethod="inclusive"/>
          </cx:layoutPr>
        </cx:series>
        <cx:series layoutId="boxWhisker" uniqueId="{00000001-13A6-46AF-97B2-7219B81DFFC0}">
          <cx:tx>
            <cx:txData>
              <cx:f>_xlchart.v1.5</cx:f>
              <cx:v>Pseudomonas</cx:v>
            </cx:txData>
          </cx:tx>
          <cx:spPr>
            <a:noFill/>
            <a:ln w="12700">
              <a:solidFill>
                <a:srgbClr val="F014C8"/>
              </a:solidFill>
            </a:ln>
          </cx:spPr>
          <cx:dataId val="2"/>
          <cx:layoutPr>
            <cx:statistics quartileMethod="inclusive"/>
          </cx:layoutPr>
        </cx:series>
        <cx:series layoutId="boxWhisker" uniqueId="{00000000-3E06-4E27-8A66-1A8D2F8920EC}">
          <cx:tx>
            <cx:txData>
              <cx:f>_xlchart.v1.7</cx:f>
              <cx:v>Vermamoeba vermiformis</cx:v>
            </cx:txData>
          </cx:tx>
          <cx:spPr>
            <a:noFill/>
            <a:ln w="12700">
              <a:solidFill>
                <a:srgbClr val="3CE63C"/>
              </a:solidFill>
            </a:ln>
          </cx:spPr>
          <cx:dataId val="3"/>
          <cx:layoutPr>
            <cx:statistics quartileMethod="inclusive"/>
          </cx:layoutPr>
        </cx:series>
        <cx:series layoutId="boxWhisker" uniqueId="{00000001-3E06-4E27-8A66-1A8D2F8920EC}">
          <cx:tx>
            <cx:txData>
              <cx:f>_xlchart.v1.9</cx:f>
              <cx:v>Summed OP</cx:v>
            </cx:txData>
          </cx:tx>
          <cx:spPr>
            <a:noFill/>
            <a:ln w="12700">
              <a:solidFill>
                <a:srgbClr val="28C8C8"/>
              </a:solidFill>
            </a:ln>
          </cx:spPr>
          <cx:dataId val="4"/>
          <cx:layoutPr>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a:t>
                </a:r>
                <a:r>
                  <a:rPr lang="en-US" sz="1200" b="1" i="0" u="none" strike="noStrike" kern="1200" baseline="0">
                    <a:solidFill>
                      <a:srgbClr val="FF0000"/>
                    </a:solidFill>
                    <a:latin typeface="Times New Roman" panose="02020603050405020304" pitchFamily="18" charset="0"/>
                    <a:cs typeface="Times New Roman" panose="02020603050405020304" pitchFamily="18" charset="0"/>
                  </a:rPr>
                  <a:t>DWDS-Overall</a:t>
                </a: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8" min="0"/>
        <cx:title>
          <cx:tx>
            <cx:rich>
              <a:bodyPr spcFirstLastPara="1" vertOverflow="ellipsis" horzOverflow="overflow" wrap="square" lIns="0" tIns="0" rIns="0" bIns="0" anchor="ctr" anchorCtr="1"/>
              <a:lstStyle/>
              <a:p>
                <a:pPr rtl="0"/>
                <a:r>
                  <a:rPr lang="en-US" sz="1200" b="0" i="0" baseline="0">
                    <a:effectLst/>
                    <a:latin typeface="Times New Roman" panose="02020603050405020304" pitchFamily="18" charset="0"/>
                    <a:cs typeface="Times New Roman" panose="02020603050405020304" pitchFamily="18" charset="0"/>
                  </a:rPr>
                  <a:t>log</a:t>
                </a:r>
                <a:r>
                  <a:rPr lang="en-US" sz="1200" b="0" i="0" baseline="-25000">
                    <a:effectLst/>
                    <a:latin typeface="Times New Roman" panose="02020603050405020304" pitchFamily="18" charset="0"/>
                    <a:cs typeface="Times New Roman" panose="02020603050405020304" pitchFamily="18" charset="0"/>
                  </a:rPr>
                  <a:t>10</a:t>
                </a:r>
                <a:r>
                  <a:rPr lang="en-US" sz="1200" b="0" i="0" baseline="0">
                    <a:effectLst/>
                    <a:latin typeface="Times New Roman" panose="02020603050405020304" pitchFamily="18" charset="0"/>
                    <a:cs typeface="Times New Roman" panose="02020603050405020304" pitchFamily="18" charset="0"/>
                  </a:rPr>
                  <a:t>[OP (GCN·L</a:t>
                </a:r>
                <a:r>
                  <a:rPr lang="en-US" sz="1200" b="0" i="0" baseline="30000">
                    <a:effectLst/>
                    <a:latin typeface="Times New Roman" panose="02020603050405020304" pitchFamily="18" charset="0"/>
                    <a:cs typeface="Times New Roman" panose="02020603050405020304" pitchFamily="18" charset="0"/>
                  </a:rPr>
                  <a:t>-1</a:t>
                </a:r>
                <a:r>
                  <a:rPr lang="en-US" sz="1200" b="0" i="0" baseline="0">
                    <a:effectLst/>
                    <a:latin typeface="Times New Roman" panose="02020603050405020304" pitchFamily="18" charset="0"/>
                    <a:cs typeface="Times New Roman" panose="02020603050405020304" pitchFamily="18" charset="0"/>
                  </a:rPr>
                  <a:t>)]</a:t>
                </a:r>
                <a:endParaRPr lang="en-US" sz="1200">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t" align="ctr"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10.xml><?xml version="1.0" encoding="utf-8"?>
<cx:chartSpace xmlns:a="http://schemas.openxmlformats.org/drawingml/2006/main" xmlns:r="http://schemas.openxmlformats.org/officeDocument/2006/relationships" xmlns:cx="http://schemas.microsoft.com/office/drawing/2014/chartex">
  <cx:chartData>
    <cx:data id="0">
      <cx:strDim type="cat">
        <cx:f>_xlchart.v1.22</cx:f>
      </cx:strDim>
      <cx:numDim type="val">
        <cx:f>_xlchart.v1.24</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_xlchart.v1.23</cx:f>
              <cx:v>Total bacteria</cx:v>
            </cx:txData>
          </cx:tx>
          <cx:spPr>
            <a:noFill/>
            <a:ln w="12700">
              <a:solidFill>
                <a:srgbClr val="5064E6">
                  <a:alpha val="97000"/>
                </a:srgbClr>
              </a:solidFill>
            </a:ln>
          </cx:spPr>
          <cx:dataId val="0"/>
          <cx:layoutPr>
            <cx:visibility meanLine="0" meanMarker="1" nonoutliers="1" outliers="1"/>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a:t>
                </a:r>
                <a:r>
                  <a:rPr lang="en-US" sz="1200" b="1" i="0" u="none" strike="noStrike" kern="1200" baseline="0">
                    <a:solidFill>
                      <a:srgbClr val="FF0000"/>
                    </a:solidFill>
                    <a:latin typeface="Times New Roman" panose="02020603050405020304" pitchFamily="18" charset="0"/>
                    <a:cs typeface="Times New Roman" panose="02020603050405020304" pitchFamily="18" charset="0"/>
                  </a:rPr>
                  <a:t>Residential-Overall</a:t>
                </a: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11" min="6"/>
        <cx:title>
          <cx:tx>
            <cx:rich>
              <a:bodyPr spcFirstLastPara="1" vertOverflow="ellipsis" horzOverflow="overflow" wrap="square" lIns="0" tIns="0" rIns="0" bIns="0" anchor="ctr" anchorCtr="1"/>
              <a:lstStyle/>
              <a:p>
                <a:pPr rtl="0"/>
                <a:r>
                  <a:rPr lang="en-US" sz="1200" b="0" i="0" baseline="0">
                    <a:effectLst/>
                    <a:latin typeface="Times New Roman" panose="02020603050405020304" pitchFamily="18" charset="0"/>
                    <a:cs typeface="Times New Roman" panose="02020603050405020304" pitchFamily="18" charset="0"/>
                  </a:rPr>
                  <a:t>log</a:t>
                </a:r>
                <a:r>
                  <a:rPr lang="en-US" sz="1200" b="0" i="0" baseline="-25000">
                    <a:effectLst/>
                    <a:latin typeface="Times New Roman" panose="02020603050405020304" pitchFamily="18" charset="0"/>
                    <a:cs typeface="Times New Roman" panose="02020603050405020304" pitchFamily="18" charset="0"/>
                  </a:rPr>
                  <a:t>10</a:t>
                </a:r>
                <a:r>
                  <a:rPr lang="en-US" sz="1200" b="0" i="0" baseline="0">
                    <a:effectLst/>
                    <a:latin typeface="Times New Roman" panose="02020603050405020304" pitchFamily="18" charset="0"/>
                    <a:cs typeface="Times New Roman" panose="02020603050405020304" pitchFamily="18" charset="0"/>
                  </a:rPr>
                  <a:t>[Total bacteria (GCN·L</a:t>
                </a:r>
                <a:r>
                  <a:rPr lang="en-US" sz="1200" b="0" i="0" baseline="30000">
                    <a:effectLst/>
                    <a:latin typeface="Times New Roman" panose="02020603050405020304" pitchFamily="18" charset="0"/>
                    <a:cs typeface="Times New Roman" panose="02020603050405020304" pitchFamily="18" charset="0"/>
                  </a:rPr>
                  <a:t>-1</a:t>
                </a:r>
                <a:r>
                  <a:rPr lang="en-US" sz="1200" b="0" i="0" baseline="0">
                    <a:effectLst/>
                    <a:latin typeface="Times New Roman" panose="02020603050405020304" pitchFamily="18" charset="0"/>
                    <a:cs typeface="Times New Roman" panose="02020603050405020304" pitchFamily="18" charset="0"/>
                  </a:rPr>
                  <a:t>)]</a:t>
                </a:r>
                <a:endParaRPr lang="en-US" sz="1200">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t" align="ctr"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100.xml><?xml version="1.0" encoding="utf-8"?>
<cx:chartSpace xmlns:a="http://schemas.openxmlformats.org/drawingml/2006/main" xmlns:r="http://schemas.openxmlformats.org/officeDocument/2006/relationships" xmlns:cx="http://schemas.microsoft.com/office/drawing/2014/chartex">
  <cx:chartData>
    <cx:data id="0">
      <cx:strDim type="cat">
        <cx:f>_xlchart.v1.445</cx:f>
      </cx:strDim>
      <cx:numDim type="val">
        <cx:f>_xlchart.v1.443</cx:f>
      </cx:numDim>
    </cx:data>
    <cx:data id="1">
      <cx:strDim type="cat">
        <cx:f>_xlchart.v1.445</cx:f>
      </cx:strDim>
      <cx:numDim type="val">
        <cx:f>_xlchart.v1.444</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
              <cx:v>Free ammonia</cx:v>
            </cx:txData>
          </cx:tx>
          <cx:spPr>
            <a:noFill/>
            <a:ln w="12700">
              <a:solidFill>
                <a:srgbClr val="5064E6">
                  <a:alpha val="97000"/>
                </a:srgbClr>
              </a:solidFill>
            </a:ln>
          </cx:spPr>
          <cx:dataId val="0"/>
          <cx:layoutPr>
            <cx:visibility meanLine="0" meanMarker="1" nonoutliers="1" outliers="1"/>
            <cx:statistics quartileMethod="inclusive"/>
          </cx:layoutPr>
        </cx:series>
        <cx:series layoutId="boxWhisker" uniqueId="{00000000-FF3B-4A46-88EF-CACDF8511BC9}">
          <cx:tx>
            <cx:txData>
              <cx:f/>
              <cx:v>Nitrite</cx:v>
            </cx:txData>
          </cx:tx>
          <cx:spPr>
            <a:noFill/>
            <a:ln w="12700">
              <a:solidFill>
                <a:srgbClr val="F04646"/>
              </a:solidFill>
            </a:ln>
          </cx:spPr>
          <cx:dataId val="1"/>
          <cx:layoutPr>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a:t>
                </a:r>
                <a:r>
                  <a:rPr lang="en-US" sz="1200" b="1" i="0" u="none" strike="noStrike" kern="1200" baseline="0">
                    <a:solidFill>
                      <a:srgbClr val="FF0000"/>
                    </a:solidFill>
                    <a:latin typeface="Times New Roman" panose="02020603050405020304" pitchFamily="18" charset="0"/>
                    <a:cs typeface="Times New Roman" panose="02020603050405020304" pitchFamily="18" charset="0"/>
                  </a:rPr>
                  <a:t>All sites</a:t>
                </a: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0.71000000000000008" min="0"/>
        <cx:title>
          <cx:tx>
            <cx:rich>
              <a:bodyPr spcFirstLastPara="1" vertOverflow="ellipsis" horzOverflow="overflow" wrap="square" lIns="0" tIns="0" rIns="0" bIns="0" anchor="ctr" anchorCtr="1"/>
              <a:lstStyle/>
              <a:p>
                <a:pP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Nitrogen (mg N·L</a:t>
                </a:r>
                <a:r>
                  <a:rPr lang="en-US" sz="1200" b="0" i="0" u="none" strike="noStrike" kern="1200" baseline="3000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-1</a:t>
                </a: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a:t>
                </a:r>
                <a:endParaRPr lang="en-US" sz="1200">
                  <a:solidFill>
                    <a:sysClr val="windowText" lastClr="000000"/>
                  </a:solidFill>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0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t" align="ctr"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101.xml><?xml version="1.0" encoding="utf-8"?>
<cx:chartSpace xmlns:a="http://schemas.openxmlformats.org/drawingml/2006/main" xmlns:r="http://schemas.openxmlformats.org/officeDocument/2006/relationships" xmlns:cx="http://schemas.microsoft.com/office/drawing/2014/chartex">
  <cx:chartData>
    <cx:data id="0">
      <cx:strDim type="cat">
        <cx:f>_xlchart.v1.462</cx:f>
      </cx:strDim>
      <cx:numDim type="val">
        <cx:f>_xlchart.v1.461</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
              <cx:v>Orthophosphate</cx:v>
            </cx:txData>
          </cx:tx>
          <cx:spPr>
            <a:noFill/>
            <a:ln w="12700">
              <a:solidFill>
                <a:srgbClr val="5064E6">
                  <a:alpha val="97000"/>
                </a:srgbClr>
              </a:solidFill>
            </a:ln>
          </cx:spPr>
          <cx:dataId val="0"/>
          <cx:layoutPr>
            <cx:visibility meanLine="0" meanMarker="1" nonoutliers="1" outliers="1"/>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a:t>
                </a:r>
                <a:r>
                  <a:rPr lang="en-US" sz="1200" b="1" i="0" u="none" strike="noStrike" kern="1200" baseline="0">
                    <a:solidFill>
                      <a:srgbClr val="FF0000"/>
                    </a:solidFill>
                    <a:latin typeface="Times New Roman" panose="02020603050405020304" pitchFamily="18" charset="0"/>
                    <a:cs typeface="Times New Roman" panose="02020603050405020304" pitchFamily="18" charset="0"/>
                  </a:rPr>
                  <a:t>All sites</a:t>
                </a: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0.80000000000000004" min="0.10000000000000001"/>
        <cx:title>
          <cx:tx>
            <cx:rich>
              <a:bodyPr spcFirstLastPara="1" vertOverflow="ellipsis" horzOverflow="overflow" wrap="square" lIns="0" tIns="0" rIns="0" bIns="0" anchor="ctr" anchorCtr="1"/>
              <a:lstStyle/>
              <a:p>
                <a:pP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Orthophosphate (PO</a:t>
                </a:r>
                <a:r>
                  <a:rPr lang="en-US" sz="1200" b="0" i="0" u="none" strike="noStrike" kern="1200" baseline="-2500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4</a:t>
                </a:r>
                <a:r>
                  <a:rPr lang="en-US" sz="1200" b="0" i="0" u="none" strike="noStrike" kern="1200" baseline="3000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3-</a:t>
                </a: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·L</a:t>
                </a:r>
                <a:r>
                  <a:rPr lang="en-US" sz="1200" b="0" i="0" u="none" strike="noStrike" kern="1200" baseline="3000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-1</a:t>
                </a: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a:t>
                </a:r>
                <a:endParaRPr lang="en-US" sz="1200">
                  <a:solidFill>
                    <a:sysClr val="windowText" lastClr="000000"/>
                  </a:solidFill>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0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t" align="ctr"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102.xml><?xml version="1.0" encoding="utf-8"?>
<cx:chartSpace xmlns:a="http://schemas.openxmlformats.org/drawingml/2006/main" xmlns:r="http://schemas.openxmlformats.org/officeDocument/2006/relationships" xmlns:cx="http://schemas.microsoft.com/office/drawing/2014/chartex">
  <cx:chartData>
    <cx:data id="0">
      <cx:strDim type="cat">
        <cx:f>_xlchart.v1.471</cx:f>
      </cx:strDim>
      <cx:numDim type="val">
        <cx:f>_xlchart.v1.472</cx:f>
      </cx:numDim>
    </cx:data>
  </cx:chartData>
  <cx:chart>
    <cx:plotArea>
      <cx:plotAreaRegion>
        <cx:plotSurface>
          <cx:spPr>
            <a:noFill/>
            <a:ln w="12700">
              <a:solidFill>
                <a:schemeClr val="tx1">
                  <a:alpha val="98000"/>
                </a:schemeClr>
              </a:solidFill>
            </a:ln>
          </cx:spPr>
        </cx:plotSurface>
        <cx:series layoutId="boxWhisker" uniqueId="{00000000-13A6-46AF-97B2-7219B81DFFC0}" formatIdx="1">
          <cx:tx>
            <cx:txData>
              <cx:f/>
              <cx:v>Monochloramine</cx:v>
            </cx:txData>
          </cx:tx>
          <cx:spPr>
            <a:noFill/>
            <a:ln w="12700">
              <a:solidFill>
                <a:srgbClr val="5064E6"/>
              </a:solidFill>
            </a:ln>
          </cx:spPr>
          <cx:dataId val="0"/>
          <cx:layoutPr>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sites--</a:t>
                </a:r>
                <a:r>
                  <a:rPr lang="en-US" sz="1200" b="1" i="0" u="none" strike="noStrike" kern="1200" baseline="0">
                    <a:solidFill>
                      <a:srgbClr val="FF0000"/>
                    </a:solidFill>
                    <a:latin typeface="Times New Roman" panose="02020603050405020304" pitchFamily="18" charset="0"/>
                    <a:cs typeface="Times New Roman" panose="02020603050405020304" pitchFamily="18" charset="0"/>
                  </a:rPr>
                  <a:t>Before the burn</a:t>
                </a: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4" min="0"/>
        <cx:title>
          <cx:tx>
            <cx:rich>
              <a:bodyPr spcFirstLastPara="1" vertOverflow="ellipsis" horzOverflow="overflow" wrap="square" lIns="0" tIns="0" rIns="0" bIns="0" anchor="ctr" anchorCtr="1"/>
              <a:lstStyle/>
              <a:p>
                <a:pP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Monochloramine (mg Cl</a:t>
                </a:r>
                <a:r>
                  <a:rPr lang="en-US" sz="1200" b="0" i="0" u="none" strike="noStrike" kern="1200" baseline="-2500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2</a:t>
                </a: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·L</a:t>
                </a:r>
                <a:r>
                  <a:rPr lang="en-US" sz="1200" b="0" i="0" u="none" strike="noStrike" kern="1200" baseline="3000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-1</a:t>
                </a: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a:t>
                </a:r>
                <a:endParaRPr lang="en-US" sz="1200">
                  <a:solidFill>
                    <a:sysClr val="windowText" lastClr="000000"/>
                  </a:solidFill>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t" align="ctr"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103.xml><?xml version="1.0" encoding="utf-8"?>
<cx:chartSpace xmlns:a="http://schemas.openxmlformats.org/drawingml/2006/main" xmlns:r="http://schemas.openxmlformats.org/officeDocument/2006/relationships" xmlns:cx="http://schemas.microsoft.com/office/drawing/2014/chartex">
  <cx:chartData>
    <cx:data id="0">
      <cx:strDim type="cat">
        <cx:f>_xlchart.v1.465</cx:f>
      </cx:strDim>
      <cx:numDim type="val">
        <cx:f>_xlchart.v1.466</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
              <cx:v>Free chlorine</cx:v>
            </cx:txData>
          </cx:tx>
          <cx:spPr>
            <a:noFill/>
            <a:ln w="12700">
              <a:solidFill>
                <a:srgbClr val="5064E6">
                  <a:alpha val="97000"/>
                </a:srgbClr>
              </a:solidFill>
            </a:ln>
          </cx:spPr>
          <cx:dataId val="0"/>
          <cx:layoutPr>
            <cx:visibility meanLine="0" meanMarker="1" nonoutliers="1" outliers="1"/>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sites--</a:t>
                </a:r>
                <a:r>
                  <a:rPr lang="en-US" sz="1200" b="1" i="0" u="none" strike="noStrike" kern="1200" baseline="0">
                    <a:solidFill>
                      <a:srgbClr val="FF0000"/>
                    </a:solidFill>
                    <a:latin typeface="Times New Roman" panose="02020603050405020304" pitchFamily="18" charset="0"/>
                    <a:cs typeface="Times New Roman" panose="02020603050405020304" pitchFamily="18" charset="0"/>
                  </a:rPr>
                  <a:t>During the burn</a:t>
                </a: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4.0999999999999996" min="0"/>
        <cx:title>
          <cx:tx>
            <cx:rich>
              <a:bodyPr spcFirstLastPara="1" vertOverflow="ellipsis" horzOverflow="overflow" wrap="square" lIns="0" tIns="0" rIns="0" bIns="0" anchor="ctr" anchorCtr="1"/>
              <a:lstStyle/>
              <a:p>
                <a:pP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Free chlorine (mg Cl</a:t>
                </a:r>
                <a:r>
                  <a:rPr lang="en-US" sz="1200" b="0" i="0" u="none" strike="noStrike" kern="1200" baseline="-2500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2</a:t>
                </a: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·L</a:t>
                </a:r>
                <a:r>
                  <a:rPr lang="en-US" sz="1200" b="0" i="0" u="none" strike="noStrike" kern="1200" baseline="3000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-1</a:t>
                </a: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a:t>
                </a:r>
                <a:endParaRPr lang="en-US" sz="1200">
                  <a:solidFill>
                    <a:sysClr val="windowText" lastClr="000000"/>
                  </a:solidFill>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t" align="ctr"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104.xml><?xml version="1.0" encoding="utf-8"?>
<cx:chartSpace xmlns:a="http://schemas.openxmlformats.org/drawingml/2006/main" xmlns:r="http://schemas.openxmlformats.org/officeDocument/2006/relationships" xmlns:cx="http://schemas.microsoft.com/office/drawing/2014/chartex">
  <cx:chartData>
    <cx:data id="0">
      <cx:strDim type="cat">
        <cx:f>_xlchart.v1.467</cx:f>
      </cx:strDim>
      <cx:numDim type="val">
        <cx:f>_xlchart.v1.468</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
              <cx:v>Monochloramine</cx:v>
            </cx:txData>
          </cx:tx>
          <cx:spPr>
            <a:noFill/>
            <a:ln w="12700">
              <a:solidFill>
                <a:srgbClr val="5064E6">
                  <a:alpha val="97000"/>
                </a:srgbClr>
              </a:solidFill>
            </a:ln>
          </cx:spPr>
          <cx:dataId val="0"/>
          <cx:layoutPr>
            <cx:visibility meanLine="0" meanMarker="1" nonoutliers="1" outliers="1"/>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sites--</a:t>
                </a:r>
                <a:r>
                  <a:rPr lang="en-US" sz="1200" b="1" i="0" u="none" strike="noStrike" kern="1200" baseline="0">
                    <a:solidFill>
                      <a:srgbClr val="FF0000"/>
                    </a:solidFill>
                    <a:latin typeface="Times New Roman" panose="02020603050405020304" pitchFamily="18" charset="0"/>
                    <a:cs typeface="Times New Roman" panose="02020603050405020304" pitchFamily="18" charset="0"/>
                  </a:rPr>
                  <a:t>After the burn</a:t>
                </a: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4" min="0"/>
        <cx:title>
          <cx:tx>
            <cx:rich>
              <a:bodyPr spcFirstLastPara="1" vertOverflow="ellipsis" horzOverflow="overflow" wrap="square" lIns="0" tIns="0" rIns="0" bIns="0" anchor="ctr" anchorCtr="1"/>
              <a:lstStyle/>
              <a:p>
                <a:pP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lumMod val="65000"/>
                        <a:lumOff val="35000"/>
                      </a:sysClr>
                    </a:solidFill>
                    <a:effectLst/>
                    <a:latin typeface="Times New Roman" panose="02020603050405020304" pitchFamily="18" charset="0"/>
                    <a:ea typeface="Calibri" panose="020F0502020204030204" pitchFamily="34" charset="0"/>
                    <a:cs typeface="Times New Roman" panose="02020603050405020304" pitchFamily="18" charset="0"/>
                  </a:rPr>
                  <a:t>Monochloramine </a:t>
                </a: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(mg Cl</a:t>
                </a:r>
                <a:r>
                  <a:rPr lang="en-US" sz="1200" b="0" i="0" u="none" strike="noStrike" kern="1200" baseline="-2500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2</a:t>
                </a: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·L</a:t>
                </a:r>
                <a:r>
                  <a:rPr lang="en-US" sz="1200" b="0" i="0" u="none" strike="noStrike" kern="1200" baseline="3000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-1</a:t>
                </a: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a:t>
                </a:r>
                <a:endParaRPr lang="en-US" sz="1200">
                  <a:solidFill>
                    <a:sysClr val="windowText" lastClr="000000"/>
                  </a:solidFill>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t" align="ctr"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105.xml><?xml version="1.0" encoding="utf-8"?>
<cx:chartSpace xmlns:a="http://schemas.openxmlformats.org/drawingml/2006/main" xmlns:r="http://schemas.openxmlformats.org/officeDocument/2006/relationships" xmlns:cx="http://schemas.microsoft.com/office/drawing/2014/chartex">
  <cx:chartData>
    <cx:data id="0">
      <cx:strDim type="cat">
        <cx:f>_xlchart.v1.469</cx:f>
      </cx:strDim>
      <cx:numDim type="val">
        <cx:f>_xlchart.v1.470</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
              <cx:v>Total chlorine</cx:v>
            </cx:txData>
          </cx:tx>
          <cx:spPr>
            <a:noFill/>
            <a:ln w="12700">
              <a:solidFill>
                <a:srgbClr val="5064E6">
                  <a:alpha val="97000"/>
                </a:srgbClr>
              </a:solidFill>
            </a:ln>
          </cx:spPr>
          <cx:dataId val="0"/>
          <cx:layoutPr>
            <cx:visibility meanLine="0" meanMarker="1" nonoutliers="1" outliers="1"/>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sites--</a:t>
                </a:r>
                <a:r>
                  <a:rPr lang="en-US" sz="1200" b="1" i="0" u="none" strike="noStrike" kern="1200" baseline="0">
                    <a:solidFill>
                      <a:srgbClr val="FF0000"/>
                    </a:solidFill>
                    <a:latin typeface="Times New Roman" panose="02020603050405020304" pitchFamily="18" charset="0"/>
                    <a:cs typeface="Times New Roman" panose="02020603050405020304" pitchFamily="18" charset="0"/>
                  </a:rPr>
                  <a:t>Overall</a:t>
                </a: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4.0999999999999996" min="0"/>
        <cx:title>
          <cx:tx>
            <cx:rich>
              <a:bodyPr spcFirstLastPara="1" vertOverflow="ellipsis" horzOverflow="overflow" wrap="square" lIns="0" tIns="0" rIns="0" bIns="0" anchor="ctr" anchorCtr="1"/>
              <a:lstStyle/>
              <a:p>
                <a:pP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Total chlorine (mg Cl</a:t>
                </a:r>
                <a:r>
                  <a:rPr lang="en-US" sz="1200" b="0" i="0" u="none" strike="noStrike" kern="1200" baseline="-2500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2</a:t>
                </a: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·L</a:t>
                </a:r>
                <a:r>
                  <a:rPr lang="en-US" sz="1200" b="0" i="0" u="none" strike="noStrike" kern="1200" baseline="3000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-1</a:t>
                </a: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a:t>
                </a:r>
                <a:endParaRPr lang="en-US" sz="1200">
                  <a:solidFill>
                    <a:sysClr val="windowText" lastClr="000000"/>
                  </a:solidFill>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t" align="ctr"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11.xml><?xml version="1.0" encoding="utf-8"?>
<cx:chartSpace xmlns:a="http://schemas.openxmlformats.org/drawingml/2006/main" xmlns:r="http://schemas.openxmlformats.org/officeDocument/2006/relationships" xmlns:cx="http://schemas.microsoft.com/office/drawing/2014/chartex">
  <cx:chartData>
    <cx:data id="0">
      <cx:strDim type="cat">
        <cx:f>_xlchart.v1.42</cx:f>
      </cx:strDim>
      <cx:numDim type="val">
        <cx:f>_xlchart.v1.44</cx:f>
      </cx:numDim>
    </cx:data>
    <cx:data id="1">
      <cx:strDim type="cat">
        <cx:f>_xlchart.v1.42</cx:f>
      </cx:strDim>
      <cx:numDim type="val">
        <cx:f>_xlchart.v1.46</cx:f>
      </cx:numDim>
    </cx:data>
    <cx:data id="2">
      <cx:strDim type="cat">
        <cx:f>_xlchart.v1.42</cx:f>
      </cx:strDim>
      <cx:numDim type="val">
        <cx:f>_xlchart.v1.48</cx:f>
      </cx:numDim>
    </cx:data>
    <cx:data id="3">
      <cx:strDim type="cat">
        <cx:f>_xlchart.v1.42</cx:f>
      </cx:strDim>
      <cx:numDim type="val">
        <cx:f>_xlchart.v1.50</cx:f>
      </cx:numDim>
    </cx:data>
    <cx:data id="4">
      <cx:strDim type="cat">
        <cx:f>_xlchart.v1.42</cx:f>
      </cx:strDim>
      <cx:numDim type="val">
        <cx:f>_xlchart.v1.52</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_xlchart.v1.43</cx:f>
              <cx:v>Legionella</cx:v>
            </cx:txData>
          </cx:tx>
          <cx:spPr>
            <a:noFill/>
            <a:ln w="12700">
              <a:solidFill>
                <a:srgbClr val="F04646">
                  <a:alpha val="96863"/>
                </a:srgbClr>
              </a:solidFill>
            </a:ln>
          </cx:spPr>
          <cx:dataId val="0"/>
          <cx:layoutPr>
            <cx:visibility meanLine="0" meanMarker="1" nonoutliers="1" outliers="1"/>
            <cx:statistics quartileMethod="inclusive"/>
          </cx:layoutPr>
        </cx:series>
        <cx:series layoutId="boxWhisker" uniqueId="{00000000-13A6-46AF-97B2-7219B81DFFC0}">
          <cx:tx>
            <cx:txData>
              <cx:f>_xlchart.v1.45</cx:f>
              <cx:v>Mycobacterium</cx:v>
            </cx:txData>
          </cx:tx>
          <cx:spPr>
            <a:noFill/>
            <a:ln w="12700">
              <a:solidFill>
                <a:srgbClr val="5064E6"/>
              </a:solidFill>
            </a:ln>
          </cx:spPr>
          <cx:dataId val="1"/>
          <cx:layoutPr>
            <cx:statistics quartileMethod="inclusive"/>
          </cx:layoutPr>
        </cx:series>
        <cx:series layoutId="boxWhisker" uniqueId="{00000001-13A6-46AF-97B2-7219B81DFFC0}">
          <cx:tx>
            <cx:txData>
              <cx:f>_xlchart.v1.47</cx:f>
              <cx:v>Pseudomonas</cx:v>
            </cx:txData>
          </cx:tx>
          <cx:spPr>
            <a:noFill/>
            <a:ln w="12700">
              <a:solidFill>
                <a:srgbClr val="F014C8"/>
              </a:solidFill>
            </a:ln>
          </cx:spPr>
          <cx:dataId val="2"/>
          <cx:layoutPr>
            <cx:statistics quartileMethod="inclusive"/>
          </cx:layoutPr>
        </cx:series>
        <cx:series layoutId="boxWhisker" uniqueId="{00000000-3E06-4E27-8A66-1A8D2F8920EC}">
          <cx:tx>
            <cx:txData>
              <cx:f>_xlchart.v1.49</cx:f>
              <cx:v>Vermamoeba vermiformis</cx:v>
            </cx:txData>
          </cx:tx>
          <cx:spPr>
            <a:noFill/>
            <a:ln w="12700">
              <a:solidFill>
                <a:srgbClr val="3CE63C"/>
              </a:solidFill>
            </a:ln>
          </cx:spPr>
          <cx:dataId val="3"/>
          <cx:layoutPr>
            <cx:statistics quartileMethod="inclusive"/>
          </cx:layoutPr>
        </cx:series>
        <cx:series layoutId="boxWhisker" uniqueId="{00000001-3E06-4E27-8A66-1A8D2F8920EC}">
          <cx:tx>
            <cx:txData>
              <cx:f>_xlchart.v1.51</cx:f>
              <cx:v>Summed OP</cx:v>
            </cx:txData>
          </cx:tx>
          <cx:spPr>
            <a:noFill/>
            <a:ln w="12700">
              <a:solidFill>
                <a:srgbClr val="28C8C8"/>
              </a:solidFill>
            </a:ln>
          </cx:spPr>
          <cx:dataId val="4"/>
          <cx:layoutPr>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a:t>
                </a:r>
                <a:r>
                  <a:rPr lang="en-US" sz="1200" b="1" i="0" u="none" strike="noStrike" kern="1200" baseline="0">
                    <a:solidFill>
                      <a:srgbClr val="FF0000"/>
                    </a:solidFill>
                    <a:latin typeface="Times New Roman" panose="02020603050405020304" pitchFamily="18" charset="0"/>
                    <a:cs typeface="Times New Roman" panose="02020603050405020304" pitchFamily="18" charset="0"/>
                  </a:rPr>
                  <a:t>Residential-Before the burn</a:t>
                </a: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8" min="0"/>
        <cx:title>
          <cx:tx>
            <cx:rich>
              <a:bodyPr spcFirstLastPara="1" vertOverflow="ellipsis" horzOverflow="overflow" wrap="square" lIns="0" tIns="0" rIns="0" bIns="0" anchor="ctr" anchorCtr="1"/>
              <a:lstStyle/>
              <a:p>
                <a:pPr rtl="0"/>
                <a:r>
                  <a:rPr lang="en-US" sz="1200" b="0" i="0" baseline="0">
                    <a:effectLst/>
                    <a:latin typeface="Times New Roman" panose="02020603050405020304" pitchFamily="18" charset="0"/>
                    <a:cs typeface="Times New Roman" panose="02020603050405020304" pitchFamily="18" charset="0"/>
                  </a:rPr>
                  <a:t>log</a:t>
                </a:r>
                <a:r>
                  <a:rPr lang="en-US" sz="1200" b="0" i="0" baseline="-25000">
                    <a:effectLst/>
                    <a:latin typeface="Times New Roman" panose="02020603050405020304" pitchFamily="18" charset="0"/>
                    <a:cs typeface="Times New Roman" panose="02020603050405020304" pitchFamily="18" charset="0"/>
                  </a:rPr>
                  <a:t>10</a:t>
                </a:r>
                <a:r>
                  <a:rPr lang="en-US" sz="1200" b="0" i="0" baseline="0">
                    <a:effectLst/>
                    <a:latin typeface="Times New Roman" panose="02020603050405020304" pitchFamily="18" charset="0"/>
                    <a:cs typeface="Times New Roman" panose="02020603050405020304" pitchFamily="18" charset="0"/>
                  </a:rPr>
                  <a:t>[OP (GCN·L</a:t>
                </a:r>
                <a:r>
                  <a:rPr lang="en-US" sz="1200" b="0" i="0" baseline="30000">
                    <a:effectLst/>
                    <a:latin typeface="Times New Roman" panose="02020603050405020304" pitchFamily="18" charset="0"/>
                    <a:cs typeface="Times New Roman" panose="02020603050405020304" pitchFamily="18" charset="0"/>
                  </a:rPr>
                  <a:t>-1</a:t>
                </a:r>
                <a:r>
                  <a:rPr lang="en-US" sz="1200" b="0" i="0" baseline="0">
                    <a:effectLst/>
                    <a:latin typeface="Times New Roman" panose="02020603050405020304" pitchFamily="18" charset="0"/>
                    <a:cs typeface="Times New Roman" panose="02020603050405020304" pitchFamily="18" charset="0"/>
                  </a:rPr>
                  <a:t>)]</a:t>
                </a:r>
                <a:endParaRPr lang="en-US" sz="1200">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t" align="ctr"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12.xml><?xml version="1.0" encoding="utf-8"?>
<cx:chartSpace xmlns:a="http://schemas.openxmlformats.org/drawingml/2006/main" xmlns:r="http://schemas.openxmlformats.org/officeDocument/2006/relationships" xmlns:cx="http://schemas.microsoft.com/office/drawing/2014/chartex">
  <cx:chartData>
    <cx:data id="0">
      <cx:strDim type="cat">
        <cx:f>_xlchart.v1.59</cx:f>
      </cx:strDim>
      <cx:numDim type="val">
        <cx:f>_xlchart.v1.61</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_xlchart.v1.60</cx:f>
              <cx:v>Total bacteria</cx:v>
            </cx:txData>
          </cx:tx>
          <cx:spPr>
            <a:noFill/>
            <a:ln w="12700">
              <a:solidFill>
                <a:srgbClr val="5064E6">
                  <a:alpha val="97000"/>
                </a:srgbClr>
              </a:solidFill>
            </a:ln>
          </cx:spPr>
          <cx:dataId val="0"/>
          <cx:layoutPr>
            <cx:visibility meanLine="0" meanMarker="1" nonoutliers="1" outliers="1"/>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a:t>
                </a:r>
                <a:r>
                  <a:rPr lang="en-US" sz="1200" b="1" i="0" u="none" strike="noStrike" kern="1200" baseline="0">
                    <a:solidFill>
                      <a:srgbClr val="FF0000"/>
                    </a:solidFill>
                    <a:latin typeface="Times New Roman" panose="02020603050405020304" pitchFamily="18" charset="0"/>
                    <a:cs typeface="Times New Roman" panose="02020603050405020304" pitchFamily="18" charset="0"/>
                  </a:rPr>
                  <a:t>Residential-Before the burn</a:t>
                </a: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10.5" min="6.5"/>
        <cx:title>
          <cx:tx>
            <cx:rich>
              <a:bodyPr spcFirstLastPara="1" vertOverflow="ellipsis" horzOverflow="overflow" wrap="square" lIns="0" tIns="0" rIns="0" bIns="0" anchor="ctr" anchorCtr="1"/>
              <a:lstStyle/>
              <a:p>
                <a:pPr rtl="0"/>
                <a:r>
                  <a:rPr lang="en-US" sz="1200" b="0" i="0" baseline="0">
                    <a:effectLst/>
                    <a:latin typeface="Times New Roman" panose="02020603050405020304" pitchFamily="18" charset="0"/>
                    <a:cs typeface="Times New Roman" panose="02020603050405020304" pitchFamily="18" charset="0"/>
                  </a:rPr>
                  <a:t>log</a:t>
                </a:r>
                <a:r>
                  <a:rPr lang="en-US" sz="1200" b="0" i="0" baseline="-25000">
                    <a:effectLst/>
                    <a:latin typeface="Times New Roman" panose="02020603050405020304" pitchFamily="18" charset="0"/>
                    <a:cs typeface="Times New Roman" panose="02020603050405020304" pitchFamily="18" charset="0"/>
                  </a:rPr>
                  <a:t>10</a:t>
                </a:r>
                <a:r>
                  <a:rPr lang="en-US" sz="1200" b="0" i="0" baseline="0">
                    <a:effectLst/>
                    <a:latin typeface="Times New Roman" panose="02020603050405020304" pitchFamily="18" charset="0"/>
                    <a:cs typeface="Times New Roman" panose="02020603050405020304" pitchFamily="18" charset="0"/>
                  </a:rPr>
                  <a:t>[Total bacteria (GCN·L</a:t>
                </a:r>
                <a:r>
                  <a:rPr lang="en-US" sz="1200" b="0" i="0" baseline="30000">
                    <a:effectLst/>
                    <a:latin typeface="Times New Roman" panose="02020603050405020304" pitchFamily="18" charset="0"/>
                    <a:cs typeface="Times New Roman" panose="02020603050405020304" pitchFamily="18" charset="0"/>
                  </a:rPr>
                  <a:t>-1</a:t>
                </a:r>
                <a:r>
                  <a:rPr lang="en-US" sz="1200" b="0" i="0" baseline="0">
                    <a:effectLst/>
                    <a:latin typeface="Times New Roman" panose="02020603050405020304" pitchFamily="18" charset="0"/>
                    <a:cs typeface="Times New Roman" panose="02020603050405020304" pitchFamily="18" charset="0"/>
                  </a:rPr>
                  <a:t>)]</a:t>
                </a:r>
                <a:endParaRPr lang="en-US" sz="1200">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t" align="ctr"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13.xml><?xml version="1.0" encoding="utf-8"?>
<cx:chartSpace xmlns:a="http://schemas.openxmlformats.org/drawingml/2006/main" xmlns:r="http://schemas.openxmlformats.org/officeDocument/2006/relationships" xmlns:cx="http://schemas.microsoft.com/office/drawing/2014/chartex">
  <cx:chartData>
    <cx:data id="0">
      <cx:strDim type="cat">
        <cx:f>_xlchart.v1.73</cx:f>
      </cx:strDim>
      <cx:numDim type="val">
        <cx:f>_xlchart.v1.75</cx:f>
      </cx:numDim>
    </cx:data>
    <cx:data id="1">
      <cx:strDim type="cat">
        <cx:f>_xlchart.v1.73</cx:f>
      </cx:strDim>
      <cx:numDim type="val">
        <cx:f>_xlchart.v1.77</cx:f>
      </cx:numDim>
    </cx:data>
    <cx:data id="2">
      <cx:strDim type="cat">
        <cx:f>_xlchart.v1.73</cx:f>
      </cx:strDim>
      <cx:numDim type="val">
        <cx:f>_xlchart.v1.79</cx:f>
      </cx:numDim>
    </cx:data>
    <cx:data id="3">
      <cx:strDim type="cat">
        <cx:f>_xlchart.v1.73</cx:f>
      </cx:strDim>
      <cx:numDim type="val">
        <cx:f>_xlchart.v1.81</cx:f>
      </cx:numDim>
    </cx:data>
    <cx:data id="4">
      <cx:strDim type="cat">
        <cx:f>_xlchart.v1.73</cx:f>
      </cx:strDim>
      <cx:numDim type="val">
        <cx:f>_xlchart.v1.83</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_xlchart.v1.74</cx:f>
              <cx:v>Legionella</cx:v>
            </cx:txData>
          </cx:tx>
          <cx:spPr>
            <a:noFill/>
            <a:ln w="12700">
              <a:solidFill>
                <a:srgbClr val="F04646">
                  <a:alpha val="96863"/>
                </a:srgbClr>
              </a:solidFill>
            </a:ln>
          </cx:spPr>
          <cx:dataId val="0"/>
          <cx:layoutPr>
            <cx:visibility meanLine="0" meanMarker="1" nonoutliers="1" outliers="1"/>
            <cx:statistics quartileMethod="inclusive"/>
          </cx:layoutPr>
        </cx:series>
        <cx:series layoutId="boxWhisker" uniqueId="{00000000-13A6-46AF-97B2-7219B81DFFC0}">
          <cx:tx>
            <cx:txData>
              <cx:f>_xlchart.v1.76</cx:f>
              <cx:v>Mycobacterium</cx:v>
            </cx:txData>
          </cx:tx>
          <cx:spPr>
            <a:noFill/>
            <a:ln w="12700">
              <a:solidFill>
                <a:srgbClr val="5064E6"/>
              </a:solidFill>
            </a:ln>
          </cx:spPr>
          <cx:dataId val="1"/>
          <cx:layoutPr>
            <cx:statistics quartileMethod="inclusive"/>
          </cx:layoutPr>
        </cx:series>
        <cx:series layoutId="boxWhisker" uniqueId="{00000001-13A6-46AF-97B2-7219B81DFFC0}">
          <cx:tx>
            <cx:txData>
              <cx:f>_xlchart.v1.78</cx:f>
              <cx:v>Pseudomonas</cx:v>
            </cx:txData>
          </cx:tx>
          <cx:spPr>
            <a:noFill/>
            <a:ln w="12700">
              <a:solidFill>
                <a:srgbClr val="F014C8"/>
              </a:solidFill>
            </a:ln>
          </cx:spPr>
          <cx:dataId val="2"/>
          <cx:layoutPr>
            <cx:statistics quartileMethod="inclusive"/>
          </cx:layoutPr>
        </cx:series>
        <cx:series layoutId="boxWhisker" uniqueId="{00000000-3E06-4E27-8A66-1A8D2F8920EC}">
          <cx:tx>
            <cx:txData>
              <cx:f>_xlchart.v1.80</cx:f>
              <cx:v>Vermamoeba vermiformis</cx:v>
            </cx:txData>
          </cx:tx>
          <cx:spPr>
            <a:noFill/>
            <a:ln w="12700">
              <a:solidFill>
                <a:srgbClr val="3CE63C"/>
              </a:solidFill>
            </a:ln>
          </cx:spPr>
          <cx:dataId val="3"/>
          <cx:layoutPr>
            <cx:statistics quartileMethod="inclusive"/>
          </cx:layoutPr>
        </cx:series>
        <cx:series layoutId="boxWhisker" uniqueId="{00000001-3E06-4E27-8A66-1A8D2F8920EC}">
          <cx:tx>
            <cx:txData>
              <cx:f>_xlchart.v1.82</cx:f>
              <cx:v>Summed OP</cx:v>
            </cx:txData>
          </cx:tx>
          <cx:spPr>
            <a:noFill/>
            <a:ln w="12700">
              <a:solidFill>
                <a:srgbClr val="28C8C8"/>
              </a:solidFill>
            </a:ln>
          </cx:spPr>
          <cx:dataId val="4"/>
          <cx:layoutPr>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a:t>
                </a:r>
                <a:r>
                  <a:rPr lang="en-US" sz="1200" b="1" i="0" u="none" strike="noStrike" kern="1200" baseline="0">
                    <a:solidFill>
                      <a:srgbClr val="FF0000"/>
                    </a:solidFill>
                    <a:latin typeface="Times New Roman" panose="02020603050405020304" pitchFamily="18" charset="0"/>
                    <a:cs typeface="Times New Roman" panose="02020603050405020304" pitchFamily="18" charset="0"/>
                  </a:rPr>
                  <a:t>Residential-During the burn</a:t>
                </a: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8" min="0"/>
        <cx:title>
          <cx:tx>
            <cx:rich>
              <a:bodyPr spcFirstLastPara="1" vertOverflow="ellipsis" horzOverflow="overflow" wrap="square" lIns="0" tIns="0" rIns="0" bIns="0" anchor="ctr" anchorCtr="1"/>
              <a:lstStyle/>
              <a:p>
                <a:pPr rtl="0"/>
                <a:r>
                  <a:rPr lang="en-US" sz="1200" b="0" i="0" baseline="0">
                    <a:effectLst/>
                    <a:latin typeface="Times New Roman" panose="02020603050405020304" pitchFamily="18" charset="0"/>
                    <a:cs typeface="Times New Roman" panose="02020603050405020304" pitchFamily="18" charset="0"/>
                  </a:rPr>
                  <a:t>log</a:t>
                </a:r>
                <a:r>
                  <a:rPr lang="en-US" sz="1200" b="0" i="0" baseline="-25000">
                    <a:effectLst/>
                    <a:latin typeface="Times New Roman" panose="02020603050405020304" pitchFamily="18" charset="0"/>
                    <a:cs typeface="Times New Roman" panose="02020603050405020304" pitchFamily="18" charset="0"/>
                  </a:rPr>
                  <a:t>10</a:t>
                </a:r>
                <a:r>
                  <a:rPr lang="en-US" sz="1200" b="0" i="0" baseline="0">
                    <a:effectLst/>
                    <a:latin typeface="Times New Roman" panose="02020603050405020304" pitchFamily="18" charset="0"/>
                    <a:cs typeface="Times New Roman" panose="02020603050405020304" pitchFamily="18" charset="0"/>
                  </a:rPr>
                  <a:t>[OP (GCN·L</a:t>
                </a:r>
                <a:r>
                  <a:rPr lang="en-US" sz="1200" b="0" i="0" baseline="30000">
                    <a:effectLst/>
                    <a:latin typeface="Times New Roman" panose="02020603050405020304" pitchFamily="18" charset="0"/>
                    <a:cs typeface="Times New Roman" panose="02020603050405020304" pitchFamily="18" charset="0"/>
                  </a:rPr>
                  <a:t>-1</a:t>
                </a:r>
                <a:r>
                  <a:rPr lang="en-US" sz="1200" b="0" i="0" baseline="0">
                    <a:effectLst/>
                    <a:latin typeface="Times New Roman" panose="02020603050405020304" pitchFamily="18" charset="0"/>
                    <a:cs typeface="Times New Roman" panose="02020603050405020304" pitchFamily="18" charset="0"/>
                  </a:rPr>
                  <a:t>)]</a:t>
                </a:r>
                <a:endParaRPr lang="en-US" sz="1200">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t" align="ctr"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14.xml><?xml version="1.0" encoding="utf-8"?>
<cx:chartSpace xmlns:a="http://schemas.openxmlformats.org/drawingml/2006/main" xmlns:r="http://schemas.openxmlformats.org/officeDocument/2006/relationships" xmlns:cx="http://schemas.microsoft.com/office/drawing/2014/chartex">
  <cx:chartData>
    <cx:data id="0">
      <cx:strDim type="cat">
        <cx:f>_xlchart.v1.98</cx:f>
      </cx:strDim>
      <cx:numDim type="val">
        <cx:f>_xlchart.v1.100</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_xlchart.v1.99</cx:f>
              <cx:v>Total bacteria</cx:v>
            </cx:txData>
          </cx:tx>
          <cx:spPr>
            <a:noFill/>
            <a:ln w="12700">
              <a:solidFill>
                <a:srgbClr val="5064E6">
                  <a:alpha val="97000"/>
                </a:srgbClr>
              </a:solidFill>
            </a:ln>
          </cx:spPr>
          <cx:dataId val="0"/>
          <cx:layoutPr>
            <cx:visibility meanLine="0" meanMarker="1" nonoutliers="1" outliers="1"/>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a:t>
                </a:r>
                <a:r>
                  <a:rPr lang="en-US" sz="1200" b="1" i="0" u="none" strike="noStrike" kern="1200" baseline="0">
                    <a:solidFill>
                      <a:srgbClr val="FF0000"/>
                    </a:solidFill>
                    <a:latin typeface="Times New Roman" panose="02020603050405020304" pitchFamily="18" charset="0"/>
                    <a:cs typeface="Times New Roman" panose="02020603050405020304" pitchFamily="18" charset="0"/>
                  </a:rPr>
                  <a:t>Residential-During the burn</a:t>
                </a: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10.5" min="6.5"/>
        <cx:title>
          <cx:tx>
            <cx:rich>
              <a:bodyPr spcFirstLastPara="1" vertOverflow="ellipsis" horzOverflow="overflow" wrap="square" lIns="0" tIns="0" rIns="0" bIns="0" anchor="ctr" anchorCtr="1"/>
              <a:lstStyle/>
              <a:p>
                <a:pPr rtl="0"/>
                <a:r>
                  <a:rPr lang="en-US" sz="1200" b="0" i="0" baseline="0">
                    <a:effectLst/>
                    <a:latin typeface="Times New Roman" panose="02020603050405020304" pitchFamily="18" charset="0"/>
                    <a:cs typeface="Times New Roman" panose="02020603050405020304" pitchFamily="18" charset="0"/>
                  </a:rPr>
                  <a:t>log</a:t>
                </a:r>
                <a:r>
                  <a:rPr lang="en-US" sz="1200" b="0" i="0" baseline="-25000">
                    <a:effectLst/>
                    <a:latin typeface="Times New Roman" panose="02020603050405020304" pitchFamily="18" charset="0"/>
                    <a:cs typeface="Times New Roman" panose="02020603050405020304" pitchFamily="18" charset="0"/>
                  </a:rPr>
                  <a:t>10</a:t>
                </a:r>
                <a:r>
                  <a:rPr lang="en-US" sz="1200" b="0" i="0" baseline="0">
                    <a:effectLst/>
                    <a:latin typeface="Times New Roman" panose="02020603050405020304" pitchFamily="18" charset="0"/>
                    <a:cs typeface="Times New Roman" panose="02020603050405020304" pitchFamily="18" charset="0"/>
                  </a:rPr>
                  <a:t>[Total bacteria (GCN·L</a:t>
                </a:r>
                <a:r>
                  <a:rPr lang="en-US" sz="1200" b="0" i="0" baseline="30000">
                    <a:effectLst/>
                    <a:latin typeface="Times New Roman" panose="02020603050405020304" pitchFamily="18" charset="0"/>
                    <a:cs typeface="Times New Roman" panose="02020603050405020304" pitchFamily="18" charset="0"/>
                  </a:rPr>
                  <a:t>-1</a:t>
                </a:r>
                <a:r>
                  <a:rPr lang="en-US" sz="1200" b="0" i="0" baseline="0">
                    <a:effectLst/>
                    <a:latin typeface="Times New Roman" panose="02020603050405020304" pitchFamily="18" charset="0"/>
                    <a:cs typeface="Times New Roman" panose="02020603050405020304" pitchFamily="18" charset="0"/>
                  </a:rPr>
                  <a:t>)]</a:t>
                </a:r>
                <a:endParaRPr lang="en-US" sz="1200">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t" align="ctr"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15.xml><?xml version="1.0" encoding="utf-8"?>
<cx:chartSpace xmlns:a="http://schemas.openxmlformats.org/drawingml/2006/main" xmlns:r="http://schemas.openxmlformats.org/officeDocument/2006/relationships" xmlns:cx="http://schemas.microsoft.com/office/drawing/2014/chartex">
  <cx:chartData>
    <cx:data id="0">
      <cx:strDim type="cat">
        <cx:f>_xlchart.v1.84</cx:f>
      </cx:strDim>
      <cx:numDim type="val">
        <cx:f>_xlchart.v1.86</cx:f>
      </cx:numDim>
    </cx:data>
    <cx:data id="1">
      <cx:strDim type="cat">
        <cx:f>_xlchart.v1.84</cx:f>
      </cx:strDim>
      <cx:numDim type="val">
        <cx:f>_xlchart.v1.88</cx:f>
      </cx:numDim>
    </cx:data>
    <cx:data id="2">
      <cx:strDim type="cat">
        <cx:f>_xlchart.v1.84</cx:f>
      </cx:strDim>
      <cx:numDim type="val">
        <cx:f>_xlchart.v1.90</cx:f>
      </cx:numDim>
    </cx:data>
    <cx:data id="3">
      <cx:strDim type="cat">
        <cx:f>_xlchart.v1.84</cx:f>
      </cx:strDim>
      <cx:numDim type="val">
        <cx:f>_xlchart.v1.92</cx:f>
      </cx:numDim>
    </cx:data>
    <cx:data id="4">
      <cx:strDim type="cat">
        <cx:f>_xlchart.v1.84</cx:f>
      </cx:strDim>
      <cx:numDim type="val">
        <cx:f>_xlchart.v1.94</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_xlchart.v1.85</cx:f>
              <cx:v>Legionella</cx:v>
            </cx:txData>
          </cx:tx>
          <cx:spPr>
            <a:noFill/>
            <a:ln w="12700">
              <a:solidFill>
                <a:srgbClr val="F04646">
                  <a:alpha val="96863"/>
                </a:srgbClr>
              </a:solidFill>
            </a:ln>
          </cx:spPr>
          <cx:dataId val="0"/>
          <cx:layoutPr>
            <cx:visibility meanLine="0" meanMarker="1" nonoutliers="1" outliers="1"/>
            <cx:statistics quartileMethod="inclusive"/>
          </cx:layoutPr>
        </cx:series>
        <cx:series layoutId="boxWhisker" uniqueId="{00000000-13A6-46AF-97B2-7219B81DFFC0}">
          <cx:tx>
            <cx:txData>
              <cx:f>_xlchart.v1.87</cx:f>
              <cx:v>Mycobacterium</cx:v>
            </cx:txData>
          </cx:tx>
          <cx:spPr>
            <a:noFill/>
            <a:ln w="12700">
              <a:solidFill>
                <a:srgbClr val="5064E6"/>
              </a:solidFill>
            </a:ln>
          </cx:spPr>
          <cx:dataId val="1"/>
          <cx:layoutPr>
            <cx:statistics quartileMethod="inclusive"/>
          </cx:layoutPr>
        </cx:series>
        <cx:series layoutId="boxWhisker" uniqueId="{00000001-13A6-46AF-97B2-7219B81DFFC0}">
          <cx:tx>
            <cx:txData>
              <cx:f>_xlchart.v1.89</cx:f>
              <cx:v>Pseudomonas</cx:v>
            </cx:txData>
          </cx:tx>
          <cx:spPr>
            <a:noFill/>
            <a:ln w="12700">
              <a:solidFill>
                <a:srgbClr val="F014C8"/>
              </a:solidFill>
            </a:ln>
          </cx:spPr>
          <cx:dataId val="2"/>
          <cx:layoutPr>
            <cx:statistics quartileMethod="inclusive"/>
          </cx:layoutPr>
        </cx:series>
        <cx:series layoutId="boxWhisker" uniqueId="{00000000-3E06-4E27-8A66-1A8D2F8920EC}">
          <cx:tx>
            <cx:txData>
              <cx:f>_xlchart.v1.91</cx:f>
              <cx:v>Vermamoeba vermiformis</cx:v>
            </cx:txData>
          </cx:tx>
          <cx:spPr>
            <a:noFill/>
            <a:ln w="12700">
              <a:solidFill>
                <a:srgbClr val="3CE63C"/>
              </a:solidFill>
            </a:ln>
          </cx:spPr>
          <cx:dataId val="3"/>
          <cx:layoutPr>
            <cx:statistics quartileMethod="inclusive"/>
          </cx:layoutPr>
        </cx:series>
        <cx:series layoutId="boxWhisker" uniqueId="{00000001-3E06-4E27-8A66-1A8D2F8920EC}">
          <cx:tx>
            <cx:txData>
              <cx:f>_xlchart.v1.93</cx:f>
              <cx:v>Summed OP</cx:v>
            </cx:txData>
          </cx:tx>
          <cx:spPr>
            <a:noFill/>
            <a:ln w="12700">
              <a:solidFill>
                <a:srgbClr val="28C8C8"/>
              </a:solidFill>
            </a:ln>
          </cx:spPr>
          <cx:dataId val="4"/>
          <cx:layoutPr>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a:t>
                </a:r>
                <a:r>
                  <a:rPr lang="en-US" sz="1200" b="1" i="0" u="none" strike="noStrike" kern="1200" baseline="0">
                    <a:solidFill>
                      <a:srgbClr val="FF0000"/>
                    </a:solidFill>
                    <a:latin typeface="Times New Roman" panose="02020603050405020304" pitchFamily="18" charset="0"/>
                    <a:cs typeface="Times New Roman" panose="02020603050405020304" pitchFamily="18" charset="0"/>
                  </a:rPr>
                  <a:t>-Residential-After the burn</a:t>
                </a: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7" min="0"/>
        <cx:title>
          <cx:tx>
            <cx:rich>
              <a:bodyPr spcFirstLastPara="1" vertOverflow="ellipsis" horzOverflow="overflow" wrap="square" lIns="0" tIns="0" rIns="0" bIns="0" anchor="ctr" anchorCtr="1"/>
              <a:lstStyle/>
              <a:p>
                <a:pPr rtl="0"/>
                <a:r>
                  <a:rPr lang="en-US" sz="1200" b="0" i="0" baseline="0">
                    <a:effectLst/>
                    <a:latin typeface="Times New Roman" panose="02020603050405020304" pitchFamily="18" charset="0"/>
                    <a:cs typeface="Times New Roman" panose="02020603050405020304" pitchFamily="18" charset="0"/>
                  </a:rPr>
                  <a:t>log</a:t>
                </a:r>
                <a:r>
                  <a:rPr lang="en-US" sz="1200" b="0" i="0" baseline="-25000">
                    <a:effectLst/>
                    <a:latin typeface="Times New Roman" panose="02020603050405020304" pitchFamily="18" charset="0"/>
                    <a:cs typeface="Times New Roman" panose="02020603050405020304" pitchFamily="18" charset="0"/>
                  </a:rPr>
                  <a:t>10</a:t>
                </a:r>
                <a:r>
                  <a:rPr lang="en-US" sz="1200" b="0" i="0" baseline="0">
                    <a:effectLst/>
                    <a:latin typeface="Times New Roman" panose="02020603050405020304" pitchFamily="18" charset="0"/>
                    <a:cs typeface="Times New Roman" panose="02020603050405020304" pitchFamily="18" charset="0"/>
                  </a:rPr>
                  <a:t>[OP (GCN·L</a:t>
                </a:r>
                <a:r>
                  <a:rPr lang="en-US" sz="1200" b="0" i="0" baseline="30000">
                    <a:effectLst/>
                    <a:latin typeface="Times New Roman" panose="02020603050405020304" pitchFamily="18" charset="0"/>
                    <a:cs typeface="Times New Roman" panose="02020603050405020304" pitchFamily="18" charset="0"/>
                  </a:rPr>
                  <a:t>-1</a:t>
                </a:r>
                <a:r>
                  <a:rPr lang="en-US" sz="1200" b="0" i="0" baseline="0">
                    <a:effectLst/>
                    <a:latin typeface="Times New Roman" panose="02020603050405020304" pitchFamily="18" charset="0"/>
                    <a:cs typeface="Times New Roman" panose="02020603050405020304" pitchFamily="18" charset="0"/>
                  </a:rPr>
                  <a:t>)]</a:t>
                </a:r>
                <a:endParaRPr lang="en-US" sz="1200">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t" align="ctr"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16.xml><?xml version="1.0" encoding="utf-8"?>
<cx:chartSpace xmlns:a="http://schemas.openxmlformats.org/drawingml/2006/main" xmlns:r="http://schemas.openxmlformats.org/officeDocument/2006/relationships" xmlns:cx="http://schemas.microsoft.com/office/drawing/2014/chartex">
  <cx:chartData>
    <cx:data id="0">
      <cx:strDim type="cat">
        <cx:f>_xlchart.v1.56</cx:f>
      </cx:strDim>
      <cx:numDim type="val">
        <cx:f>_xlchart.v1.58</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_xlchart.v1.57</cx:f>
              <cx:v>Total bacteria</cx:v>
            </cx:txData>
          </cx:tx>
          <cx:spPr>
            <a:noFill/>
            <a:ln w="12700">
              <a:solidFill>
                <a:srgbClr val="5064E6">
                  <a:alpha val="97000"/>
                </a:srgbClr>
              </a:solidFill>
            </a:ln>
          </cx:spPr>
          <cx:dataId val="0"/>
          <cx:layoutPr>
            <cx:visibility meanLine="0" meanMarker="1" nonoutliers="1" outliers="1"/>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a:t>
                </a:r>
                <a:r>
                  <a:rPr lang="en-US" sz="1200" b="1" i="0" u="none" strike="noStrike" kern="1200" baseline="0">
                    <a:solidFill>
                      <a:srgbClr val="FF0000"/>
                    </a:solidFill>
                    <a:latin typeface="Times New Roman" panose="02020603050405020304" pitchFamily="18" charset="0"/>
                    <a:cs typeface="Times New Roman" panose="02020603050405020304" pitchFamily="18" charset="0"/>
                  </a:rPr>
                  <a:t>Residential-After the burn</a:t>
                </a: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11" min="7"/>
        <cx:title>
          <cx:tx>
            <cx:rich>
              <a:bodyPr spcFirstLastPara="1" vertOverflow="ellipsis" horzOverflow="overflow" wrap="square" lIns="0" tIns="0" rIns="0" bIns="0" anchor="ctr" anchorCtr="1"/>
              <a:lstStyle/>
              <a:p>
                <a:pPr rtl="0"/>
                <a:r>
                  <a:rPr lang="en-US" sz="1200" b="0" i="0" baseline="0">
                    <a:effectLst/>
                    <a:latin typeface="Times New Roman" panose="02020603050405020304" pitchFamily="18" charset="0"/>
                    <a:cs typeface="Times New Roman" panose="02020603050405020304" pitchFamily="18" charset="0"/>
                  </a:rPr>
                  <a:t>log</a:t>
                </a:r>
                <a:r>
                  <a:rPr lang="en-US" sz="1200" b="0" i="0" baseline="-25000">
                    <a:effectLst/>
                    <a:latin typeface="Times New Roman" panose="02020603050405020304" pitchFamily="18" charset="0"/>
                    <a:cs typeface="Times New Roman" panose="02020603050405020304" pitchFamily="18" charset="0"/>
                  </a:rPr>
                  <a:t>10</a:t>
                </a:r>
                <a:r>
                  <a:rPr lang="en-US" sz="1200" b="0" i="0" baseline="0">
                    <a:effectLst/>
                    <a:latin typeface="Times New Roman" panose="02020603050405020304" pitchFamily="18" charset="0"/>
                    <a:cs typeface="Times New Roman" panose="02020603050405020304" pitchFamily="18" charset="0"/>
                  </a:rPr>
                  <a:t>[Total bacteria (GCN·L</a:t>
                </a:r>
                <a:r>
                  <a:rPr lang="en-US" sz="1200" b="0" i="0" baseline="30000">
                    <a:effectLst/>
                    <a:latin typeface="Times New Roman" panose="02020603050405020304" pitchFamily="18" charset="0"/>
                    <a:cs typeface="Times New Roman" panose="02020603050405020304" pitchFamily="18" charset="0"/>
                  </a:rPr>
                  <a:t>-1</a:t>
                </a:r>
                <a:r>
                  <a:rPr lang="en-US" sz="1200" b="0" i="0" baseline="0">
                    <a:effectLst/>
                    <a:latin typeface="Times New Roman" panose="02020603050405020304" pitchFamily="18" charset="0"/>
                    <a:cs typeface="Times New Roman" panose="02020603050405020304" pitchFamily="18" charset="0"/>
                  </a:rPr>
                  <a:t>)]</a:t>
                </a:r>
                <a:endParaRPr lang="en-US" sz="1200">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t" align="ctr"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17.xml><?xml version="1.0" encoding="utf-8"?>
<cx:chartSpace xmlns:a="http://schemas.openxmlformats.org/drawingml/2006/main" xmlns:r="http://schemas.openxmlformats.org/officeDocument/2006/relationships" xmlns:cx="http://schemas.microsoft.com/office/drawing/2014/chartex">
  <cx:chartData>
    <cx:data id="0">
      <cx:strDim type="cat">
        <cx:f>_xlchart.v1.133</cx:f>
      </cx:strDim>
      <cx:numDim type="val">
        <cx:f>_xlchart.v1.124</cx:f>
      </cx:numDim>
    </cx:data>
    <cx:data id="1">
      <cx:strDim type="cat">
        <cx:f>_xlchart.v1.133</cx:f>
      </cx:strDim>
      <cx:numDim type="val">
        <cx:f>_xlchart.v1.126</cx:f>
      </cx:numDim>
    </cx:data>
    <cx:data id="2">
      <cx:strDim type="cat">
        <cx:f>_xlchart.v1.133</cx:f>
      </cx:strDim>
      <cx:numDim type="val">
        <cx:f>_xlchart.v1.128</cx:f>
      </cx:numDim>
    </cx:data>
    <cx:data id="3">
      <cx:strDim type="cat">
        <cx:f>_xlchart.v1.133</cx:f>
      </cx:strDim>
      <cx:numDim type="val">
        <cx:f>_xlchart.v1.130</cx:f>
      </cx:numDim>
    </cx:data>
    <cx:data id="4">
      <cx:strDim type="cat">
        <cx:f>_xlchart.v1.133</cx:f>
      </cx:strDim>
      <cx:numDim type="val">
        <cx:f>_xlchart.v1.132</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_xlchart.v1.123</cx:f>
              <cx:v>Legionella</cx:v>
            </cx:txData>
          </cx:tx>
          <cx:spPr>
            <a:noFill/>
            <a:ln w="12700">
              <a:solidFill>
                <a:srgbClr val="F04646">
                  <a:alpha val="96863"/>
                </a:srgbClr>
              </a:solidFill>
            </a:ln>
          </cx:spPr>
          <cx:dataId val="0"/>
          <cx:layoutPr>
            <cx:visibility meanLine="0" meanMarker="1" nonoutliers="1" outliers="1"/>
            <cx:statistics quartileMethod="inclusive"/>
          </cx:layoutPr>
        </cx:series>
        <cx:series layoutId="boxWhisker" uniqueId="{00000000-13A6-46AF-97B2-7219B81DFFC0}">
          <cx:tx>
            <cx:txData>
              <cx:f>_xlchart.v1.125</cx:f>
              <cx:v>Mycobacterium</cx:v>
            </cx:txData>
          </cx:tx>
          <cx:spPr>
            <a:noFill/>
            <a:ln w="12700">
              <a:solidFill>
                <a:srgbClr val="5064E6"/>
              </a:solidFill>
            </a:ln>
          </cx:spPr>
          <cx:dataId val="1"/>
          <cx:layoutPr>
            <cx:statistics quartileMethod="inclusive"/>
          </cx:layoutPr>
        </cx:series>
        <cx:series layoutId="boxWhisker" uniqueId="{00000001-13A6-46AF-97B2-7219B81DFFC0}">
          <cx:tx>
            <cx:txData>
              <cx:f>_xlchart.v1.127</cx:f>
              <cx:v>Pseudomonas</cx:v>
            </cx:txData>
          </cx:tx>
          <cx:spPr>
            <a:noFill/>
            <a:ln w="12700">
              <a:solidFill>
                <a:srgbClr val="F014C8"/>
              </a:solidFill>
            </a:ln>
          </cx:spPr>
          <cx:dataId val="2"/>
          <cx:layoutPr>
            <cx:statistics quartileMethod="inclusive"/>
          </cx:layoutPr>
        </cx:series>
        <cx:series layoutId="boxWhisker" uniqueId="{00000000-3E06-4E27-8A66-1A8D2F8920EC}">
          <cx:tx>
            <cx:txData>
              <cx:f>_xlchart.v1.129</cx:f>
              <cx:v>Vermamoeba vermiformis</cx:v>
            </cx:txData>
          </cx:tx>
          <cx:spPr>
            <a:noFill/>
            <a:ln w="12700">
              <a:solidFill>
                <a:srgbClr val="3CE63C"/>
              </a:solidFill>
            </a:ln>
          </cx:spPr>
          <cx:dataId val="3"/>
          <cx:layoutPr>
            <cx:statistics quartileMethod="inclusive"/>
          </cx:layoutPr>
        </cx:series>
        <cx:series layoutId="boxWhisker" uniqueId="{00000001-3E06-4E27-8A66-1A8D2F8920EC}">
          <cx:tx>
            <cx:txData>
              <cx:f>_xlchart.v1.131</cx:f>
              <cx:v>Summed OP</cx:v>
            </cx:txData>
          </cx:tx>
          <cx:spPr>
            <a:noFill/>
            <a:ln w="12700">
              <a:solidFill>
                <a:srgbClr val="28C8C8"/>
              </a:solidFill>
            </a:ln>
          </cx:spPr>
          <cx:dataId val="4"/>
          <cx:layoutPr>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a:t>
                </a:r>
                <a:r>
                  <a:rPr lang="en-US" sz="1200" b="1" i="0" u="none" strike="noStrike" kern="1200" baseline="0">
                    <a:solidFill>
                      <a:srgbClr val="FF0000"/>
                    </a:solidFill>
                    <a:latin typeface="Times New Roman" panose="02020603050405020304" pitchFamily="18" charset="0"/>
                    <a:cs typeface="Times New Roman" panose="02020603050405020304" pitchFamily="18" charset="0"/>
                  </a:rPr>
                  <a:t>Overall</a:t>
                </a: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8" min="0"/>
        <cx:title>
          <cx:tx>
            <cx:rich>
              <a:bodyPr spcFirstLastPara="1" vertOverflow="ellipsis" horzOverflow="overflow" wrap="square" lIns="0" tIns="0" rIns="0" bIns="0" anchor="ctr" anchorCtr="1"/>
              <a:lstStyle/>
              <a:p>
                <a:pPr rtl="0"/>
                <a:r>
                  <a:rPr lang="en-US" sz="1200" b="0" i="0" baseline="0">
                    <a:effectLst/>
                    <a:latin typeface="Times New Roman" panose="02020603050405020304" pitchFamily="18" charset="0"/>
                    <a:cs typeface="Times New Roman" panose="02020603050405020304" pitchFamily="18" charset="0"/>
                  </a:rPr>
                  <a:t>log</a:t>
                </a:r>
                <a:r>
                  <a:rPr lang="en-US" sz="1200" b="0" i="0" baseline="-25000">
                    <a:effectLst/>
                    <a:latin typeface="Times New Roman" panose="02020603050405020304" pitchFamily="18" charset="0"/>
                    <a:cs typeface="Times New Roman" panose="02020603050405020304" pitchFamily="18" charset="0"/>
                  </a:rPr>
                  <a:t>10</a:t>
                </a:r>
                <a:r>
                  <a:rPr lang="en-US" sz="1200" b="0" i="0" baseline="0">
                    <a:effectLst/>
                    <a:latin typeface="Times New Roman" panose="02020603050405020304" pitchFamily="18" charset="0"/>
                    <a:cs typeface="Times New Roman" panose="02020603050405020304" pitchFamily="18" charset="0"/>
                  </a:rPr>
                  <a:t>[OP (GCN·L</a:t>
                </a:r>
                <a:r>
                  <a:rPr lang="en-US" sz="1200" b="0" i="0" baseline="30000">
                    <a:effectLst/>
                    <a:latin typeface="Times New Roman" panose="02020603050405020304" pitchFamily="18" charset="0"/>
                    <a:cs typeface="Times New Roman" panose="02020603050405020304" pitchFamily="18" charset="0"/>
                  </a:rPr>
                  <a:t>-1</a:t>
                </a:r>
                <a:r>
                  <a:rPr lang="en-US" sz="1200" b="0" i="0" baseline="0">
                    <a:effectLst/>
                    <a:latin typeface="Times New Roman" panose="02020603050405020304" pitchFamily="18" charset="0"/>
                    <a:cs typeface="Times New Roman" panose="02020603050405020304" pitchFamily="18" charset="0"/>
                  </a:rPr>
                  <a:t>)]</a:t>
                </a:r>
                <a:endParaRPr lang="en-US" sz="1200">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t" align="ctr"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18.xml><?xml version="1.0" encoding="utf-8"?>
<cx:chartSpace xmlns:a="http://schemas.openxmlformats.org/drawingml/2006/main" xmlns:r="http://schemas.openxmlformats.org/officeDocument/2006/relationships" xmlns:cx="http://schemas.microsoft.com/office/drawing/2014/chartex">
  <cx:chartData>
    <cx:data id="0">
      <cx:strDim type="cat">
        <cx:f>_xlchart.v1.150</cx:f>
      </cx:strDim>
      <cx:numDim type="val">
        <cx:f>_xlchart.v1.148</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_xlchart.v1.149</cx:f>
              <cx:v>Total bacteria</cx:v>
            </cx:txData>
          </cx:tx>
          <cx:spPr>
            <a:noFill/>
            <a:ln w="12700">
              <a:solidFill>
                <a:srgbClr val="5064E6">
                  <a:alpha val="97000"/>
                </a:srgbClr>
              </a:solidFill>
            </a:ln>
          </cx:spPr>
          <cx:dataId val="0"/>
          <cx:layoutPr>
            <cx:visibility meanLine="0" meanMarker="1" nonoutliers="1" outliers="1"/>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a:t>
                </a:r>
                <a:r>
                  <a:rPr lang="en-US" sz="1200" b="0" i="0" u="none" strike="noStrike" kern="1200" baseline="0">
                    <a:solidFill>
                      <a:srgbClr val="FF0000"/>
                    </a:solidFill>
                    <a:latin typeface="Times New Roman" panose="02020603050405020304" pitchFamily="18" charset="0"/>
                    <a:cs typeface="Times New Roman" panose="02020603050405020304" pitchFamily="18" charset="0"/>
                  </a:rPr>
                  <a:t>Overall</a:t>
                </a:r>
                <a:endParaRPr lang="en-US" sz="1200" b="1" i="0" u="none" strike="noStrike" kern="1200" baseline="0">
                  <a:solidFill>
                    <a:srgbClr val="FF0000"/>
                  </a:solidFill>
                  <a:latin typeface="Times New Roman" panose="02020603050405020304" pitchFamily="18" charset="0"/>
                  <a:cs typeface="Times New Roman" panose="02020603050405020304" pitchFamily="18" charset="0"/>
                </a:endParaRP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11.5" min="4.5"/>
        <cx:title>
          <cx:tx>
            <cx:rich>
              <a:bodyPr spcFirstLastPara="1" vertOverflow="ellipsis" horzOverflow="overflow" wrap="square" lIns="0" tIns="0" rIns="0" bIns="0" anchor="ctr" anchorCtr="1"/>
              <a:lstStyle/>
              <a:p>
                <a:pPr rtl="0"/>
                <a:r>
                  <a:rPr lang="en-US" sz="1200" b="0" i="0" baseline="0">
                    <a:effectLst/>
                    <a:latin typeface="Times New Roman" panose="02020603050405020304" pitchFamily="18" charset="0"/>
                    <a:cs typeface="Times New Roman" panose="02020603050405020304" pitchFamily="18" charset="0"/>
                  </a:rPr>
                  <a:t>log</a:t>
                </a:r>
                <a:r>
                  <a:rPr lang="en-US" sz="1200" b="0" i="0" baseline="-25000">
                    <a:effectLst/>
                    <a:latin typeface="Times New Roman" panose="02020603050405020304" pitchFamily="18" charset="0"/>
                    <a:cs typeface="Times New Roman" panose="02020603050405020304" pitchFamily="18" charset="0"/>
                  </a:rPr>
                  <a:t>10</a:t>
                </a:r>
                <a:r>
                  <a:rPr lang="en-US" sz="1200" b="0" i="0" baseline="0">
                    <a:effectLst/>
                    <a:latin typeface="Times New Roman" panose="02020603050405020304" pitchFamily="18" charset="0"/>
                    <a:cs typeface="Times New Roman" panose="02020603050405020304" pitchFamily="18" charset="0"/>
                  </a:rPr>
                  <a:t>[Total bacteria (GCN·L</a:t>
                </a:r>
                <a:r>
                  <a:rPr lang="en-US" sz="1200" b="0" i="0" baseline="30000">
                    <a:effectLst/>
                    <a:latin typeface="Times New Roman" panose="02020603050405020304" pitchFamily="18" charset="0"/>
                    <a:cs typeface="Times New Roman" panose="02020603050405020304" pitchFamily="18" charset="0"/>
                  </a:rPr>
                  <a:t>-1</a:t>
                </a:r>
                <a:r>
                  <a:rPr lang="en-US" sz="1200" b="0" i="0" baseline="0">
                    <a:effectLst/>
                    <a:latin typeface="Times New Roman" panose="02020603050405020304" pitchFamily="18" charset="0"/>
                    <a:cs typeface="Times New Roman" panose="02020603050405020304" pitchFamily="18" charset="0"/>
                  </a:rPr>
                  <a:t>)]</a:t>
                </a:r>
                <a:endParaRPr lang="en-US" sz="1200">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t" align="ctr"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19.xml><?xml version="1.0" encoding="utf-8"?>
<cx:chartSpace xmlns:a="http://schemas.openxmlformats.org/drawingml/2006/main" xmlns:r="http://schemas.openxmlformats.org/officeDocument/2006/relationships" xmlns:cx="http://schemas.microsoft.com/office/drawing/2014/chartex">
  <cx:chartData>
    <cx:data id="0">
      <cx:strDim type="cat">
        <cx:f>_xlchart.v1.147</cx:f>
      </cx:strDim>
      <cx:numDim type="val">
        <cx:f>_xlchart.v1.138</cx:f>
      </cx:numDim>
    </cx:data>
    <cx:data id="1">
      <cx:strDim type="cat">
        <cx:f>_xlchart.v1.147</cx:f>
      </cx:strDim>
      <cx:numDim type="val">
        <cx:f>_xlchart.v1.140</cx:f>
      </cx:numDim>
    </cx:data>
    <cx:data id="2">
      <cx:strDim type="cat">
        <cx:f>_xlchart.v1.147</cx:f>
      </cx:strDim>
      <cx:numDim type="val">
        <cx:f>_xlchart.v1.142</cx:f>
      </cx:numDim>
    </cx:data>
    <cx:data id="3">
      <cx:strDim type="cat">
        <cx:f>_xlchart.v1.147</cx:f>
      </cx:strDim>
      <cx:numDim type="val">
        <cx:f>_xlchart.v1.144</cx:f>
      </cx:numDim>
    </cx:data>
    <cx:data id="4">
      <cx:strDim type="cat">
        <cx:f>_xlchart.v1.147</cx:f>
      </cx:strDim>
      <cx:numDim type="val">
        <cx:f>_xlchart.v1.146</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_xlchart.v1.137</cx:f>
              <cx:v>Legionella</cx:v>
            </cx:txData>
          </cx:tx>
          <cx:spPr>
            <a:noFill/>
            <a:ln w="12700">
              <a:solidFill>
                <a:srgbClr val="F04646">
                  <a:alpha val="96863"/>
                </a:srgbClr>
              </a:solidFill>
            </a:ln>
          </cx:spPr>
          <cx:dataId val="0"/>
          <cx:layoutPr>
            <cx:visibility meanLine="0" meanMarker="1" nonoutliers="1" outliers="1"/>
            <cx:statistics quartileMethod="inclusive"/>
          </cx:layoutPr>
        </cx:series>
        <cx:series layoutId="boxWhisker" uniqueId="{00000000-13A6-46AF-97B2-7219B81DFFC0}">
          <cx:tx>
            <cx:txData>
              <cx:f>_xlchart.v1.139</cx:f>
              <cx:v>Mycobacterium</cx:v>
            </cx:txData>
          </cx:tx>
          <cx:spPr>
            <a:noFill/>
            <a:ln w="12700">
              <a:solidFill>
                <a:srgbClr val="5064E6"/>
              </a:solidFill>
            </a:ln>
          </cx:spPr>
          <cx:dataId val="1"/>
          <cx:layoutPr>
            <cx:statistics quartileMethod="inclusive"/>
          </cx:layoutPr>
        </cx:series>
        <cx:series layoutId="boxWhisker" uniqueId="{00000001-13A6-46AF-97B2-7219B81DFFC0}">
          <cx:tx>
            <cx:txData>
              <cx:f>_xlchart.v1.141</cx:f>
              <cx:v>Pseudomonas</cx:v>
            </cx:txData>
          </cx:tx>
          <cx:spPr>
            <a:noFill/>
            <a:ln w="12700">
              <a:solidFill>
                <a:srgbClr val="F014C8"/>
              </a:solidFill>
            </a:ln>
          </cx:spPr>
          <cx:dataId val="2"/>
          <cx:layoutPr>
            <cx:statistics quartileMethod="inclusive"/>
          </cx:layoutPr>
        </cx:series>
        <cx:series layoutId="boxWhisker" uniqueId="{00000000-3E06-4E27-8A66-1A8D2F8920EC}">
          <cx:tx>
            <cx:txData>
              <cx:f>_xlchart.v1.143</cx:f>
              <cx:v>Vermamoeba vermiformis</cx:v>
            </cx:txData>
          </cx:tx>
          <cx:spPr>
            <a:noFill/>
            <a:ln w="12700">
              <a:solidFill>
                <a:srgbClr val="3CE63C"/>
              </a:solidFill>
            </a:ln>
          </cx:spPr>
          <cx:dataId val="3"/>
          <cx:layoutPr>
            <cx:statistics quartileMethod="inclusive"/>
          </cx:layoutPr>
        </cx:series>
        <cx:series layoutId="boxWhisker" uniqueId="{00000001-3E06-4E27-8A66-1A8D2F8920EC}">
          <cx:tx>
            <cx:txData>
              <cx:f>_xlchart.v1.145</cx:f>
              <cx:v>Summed OP</cx:v>
            </cx:txData>
          </cx:tx>
          <cx:spPr>
            <a:noFill/>
            <a:ln w="12700">
              <a:solidFill>
                <a:srgbClr val="28C8C8"/>
              </a:solidFill>
            </a:ln>
          </cx:spPr>
          <cx:dataId val="4"/>
          <cx:layoutPr>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a:t>
                </a:r>
                <a:r>
                  <a:rPr lang="en-US" sz="1200" b="1" i="0" u="none" strike="noStrike" kern="1200" baseline="0">
                    <a:solidFill>
                      <a:srgbClr val="FF0000"/>
                    </a:solidFill>
                    <a:latin typeface="Times New Roman" panose="02020603050405020304" pitchFamily="18" charset="0"/>
                    <a:cs typeface="Times New Roman" panose="02020603050405020304" pitchFamily="18" charset="0"/>
                  </a:rPr>
                  <a:t>Before the burn</a:t>
                </a: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8" min="0"/>
        <cx:title>
          <cx:tx>
            <cx:rich>
              <a:bodyPr spcFirstLastPara="1" vertOverflow="ellipsis" horzOverflow="overflow" wrap="square" lIns="0" tIns="0" rIns="0" bIns="0" anchor="ctr" anchorCtr="1"/>
              <a:lstStyle/>
              <a:p>
                <a:pPr rtl="0"/>
                <a:r>
                  <a:rPr lang="en-US" sz="1200" b="0" i="0" baseline="0">
                    <a:effectLst/>
                    <a:latin typeface="Times New Roman" panose="02020603050405020304" pitchFamily="18" charset="0"/>
                    <a:cs typeface="Times New Roman" panose="02020603050405020304" pitchFamily="18" charset="0"/>
                  </a:rPr>
                  <a:t>log</a:t>
                </a:r>
                <a:r>
                  <a:rPr lang="en-US" sz="1200" b="0" i="0" baseline="-25000">
                    <a:effectLst/>
                    <a:latin typeface="Times New Roman" panose="02020603050405020304" pitchFamily="18" charset="0"/>
                    <a:cs typeface="Times New Roman" panose="02020603050405020304" pitchFamily="18" charset="0"/>
                  </a:rPr>
                  <a:t>10</a:t>
                </a:r>
                <a:r>
                  <a:rPr lang="en-US" sz="1200" b="0" i="0" baseline="0">
                    <a:effectLst/>
                    <a:latin typeface="Times New Roman" panose="02020603050405020304" pitchFamily="18" charset="0"/>
                    <a:cs typeface="Times New Roman" panose="02020603050405020304" pitchFamily="18" charset="0"/>
                  </a:rPr>
                  <a:t>[OP (GCN·L</a:t>
                </a:r>
                <a:r>
                  <a:rPr lang="en-US" sz="1200" b="0" i="0" baseline="30000">
                    <a:effectLst/>
                    <a:latin typeface="Times New Roman" panose="02020603050405020304" pitchFamily="18" charset="0"/>
                    <a:cs typeface="Times New Roman" panose="02020603050405020304" pitchFamily="18" charset="0"/>
                  </a:rPr>
                  <a:t>-1</a:t>
                </a:r>
                <a:r>
                  <a:rPr lang="en-US" sz="1200" b="0" i="0" baseline="0">
                    <a:effectLst/>
                    <a:latin typeface="Times New Roman" panose="02020603050405020304" pitchFamily="18" charset="0"/>
                    <a:cs typeface="Times New Roman" panose="02020603050405020304" pitchFamily="18" charset="0"/>
                  </a:rPr>
                  <a:t>)]</a:t>
                </a:r>
                <a:endParaRPr lang="en-US" sz="1200">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t" align="ctr"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_xlchart.v1.37</cx:f>
      </cx:strDim>
      <cx:numDim type="val">
        <cx:f>_xlchart.v1.36</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_xlchart.v1.38</cx:f>
              <cx:v>Total bacteria</cx:v>
            </cx:txData>
          </cx:tx>
          <cx:spPr>
            <a:noFill/>
            <a:ln w="12700">
              <a:solidFill>
                <a:srgbClr val="5064E6">
                  <a:alpha val="97000"/>
                </a:srgbClr>
              </a:solidFill>
            </a:ln>
          </cx:spPr>
          <cx:dataId val="0"/>
          <cx:layoutPr>
            <cx:visibility meanLine="0" meanMarker="1" nonoutliers="1" outliers="1"/>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a:t>
                </a:r>
                <a:r>
                  <a:rPr lang="en-US" sz="1200" b="1" i="0" u="none" strike="noStrike" kern="1200" baseline="0">
                    <a:solidFill>
                      <a:srgbClr val="FF0000"/>
                    </a:solidFill>
                    <a:latin typeface="Times New Roman" panose="02020603050405020304" pitchFamily="18" charset="0"/>
                    <a:cs typeface="Times New Roman" panose="02020603050405020304" pitchFamily="18" charset="0"/>
                  </a:rPr>
                  <a:t>DWDS-Overall</a:t>
                </a: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10.5" min="4.5"/>
        <cx:title>
          <cx:tx>
            <cx:rich>
              <a:bodyPr spcFirstLastPara="1" vertOverflow="ellipsis" horzOverflow="overflow" wrap="square" lIns="0" tIns="0" rIns="0" bIns="0" anchor="ctr" anchorCtr="1"/>
              <a:lstStyle/>
              <a:p>
                <a:pPr rtl="0"/>
                <a:r>
                  <a:rPr lang="en-US" sz="1200" b="0" i="0" baseline="0">
                    <a:effectLst/>
                    <a:latin typeface="Times New Roman" panose="02020603050405020304" pitchFamily="18" charset="0"/>
                    <a:cs typeface="Times New Roman" panose="02020603050405020304" pitchFamily="18" charset="0"/>
                  </a:rPr>
                  <a:t>log</a:t>
                </a:r>
                <a:r>
                  <a:rPr lang="en-US" sz="1200" b="0" i="0" baseline="-25000">
                    <a:effectLst/>
                    <a:latin typeface="Times New Roman" panose="02020603050405020304" pitchFamily="18" charset="0"/>
                    <a:cs typeface="Times New Roman" panose="02020603050405020304" pitchFamily="18" charset="0"/>
                  </a:rPr>
                  <a:t>10</a:t>
                </a:r>
                <a:r>
                  <a:rPr lang="en-US" sz="1200" b="0" i="0" baseline="0">
                    <a:effectLst/>
                    <a:latin typeface="Times New Roman" panose="02020603050405020304" pitchFamily="18" charset="0"/>
                    <a:cs typeface="Times New Roman" panose="02020603050405020304" pitchFamily="18" charset="0"/>
                  </a:rPr>
                  <a:t>[Total bacteria (GCN·L</a:t>
                </a:r>
                <a:r>
                  <a:rPr lang="en-US" sz="1200" b="0" i="0" baseline="30000">
                    <a:effectLst/>
                    <a:latin typeface="Times New Roman" panose="02020603050405020304" pitchFamily="18" charset="0"/>
                    <a:cs typeface="Times New Roman" panose="02020603050405020304" pitchFamily="18" charset="0"/>
                  </a:rPr>
                  <a:t>-1</a:t>
                </a:r>
                <a:r>
                  <a:rPr lang="en-US" sz="1200" b="0" i="0" baseline="0">
                    <a:effectLst/>
                    <a:latin typeface="Times New Roman" panose="02020603050405020304" pitchFamily="18" charset="0"/>
                    <a:cs typeface="Times New Roman" panose="02020603050405020304" pitchFamily="18" charset="0"/>
                  </a:rPr>
                  <a:t>)]</a:t>
                </a:r>
                <a:endParaRPr lang="en-US" sz="1200">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t" align="ctr"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20.xml><?xml version="1.0" encoding="utf-8"?>
<cx:chartSpace xmlns:a="http://schemas.openxmlformats.org/drawingml/2006/main" xmlns:r="http://schemas.openxmlformats.org/officeDocument/2006/relationships" xmlns:cx="http://schemas.microsoft.com/office/drawing/2014/chartex">
  <cx:chartData>
    <cx:data id="0">
      <cx:strDim type="cat">
        <cx:f>_xlchart.v1.153</cx:f>
      </cx:strDim>
      <cx:numDim type="val">
        <cx:f>_xlchart.v1.151</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_xlchart.v1.152</cx:f>
              <cx:v>Total bacteria</cx:v>
            </cx:txData>
          </cx:tx>
          <cx:spPr>
            <a:noFill/>
            <a:ln w="12700">
              <a:solidFill>
                <a:srgbClr val="5064E6">
                  <a:alpha val="97000"/>
                </a:srgbClr>
              </a:solidFill>
            </a:ln>
          </cx:spPr>
          <cx:dataId val="0"/>
          <cx:layoutPr>
            <cx:visibility meanLine="0" meanMarker="1" nonoutliers="1" outliers="1"/>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a:t>
                </a:r>
                <a:r>
                  <a:rPr lang="en-US" sz="1200" b="0" i="0" u="none" strike="noStrike" kern="1200" baseline="0">
                    <a:solidFill>
                      <a:srgbClr val="FF0000"/>
                    </a:solidFill>
                    <a:latin typeface="Times New Roman" panose="02020603050405020304" pitchFamily="18" charset="0"/>
                    <a:cs typeface="Times New Roman" panose="02020603050405020304" pitchFamily="18" charset="0"/>
                  </a:rPr>
                  <a:t>Before the burn</a:t>
                </a:r>
                <a:endParaRPr lang="en-US" sz="1200" b="1" i="0" u="none" strike="noStrike" kern="1200" baseline="0">
                  <a:solidFill>
                    <a:srgbClr val="FF0000"/>
                  </a:solidFill>
                  <a:latin typeface="Times New Roman" panose="02020603050405020304" pitchFamily="18" charset="0"/>
                  <a:cs typeface="Times New Roman" panose="02020603050405020304" pitchFamily="18" charset="0"/>
                </a:endParaRP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10.5" min="6.5"/>
        <cx:title>
          <cx:tx>
            <cx:rich>
              <a:bodyPr spcFirstLastPara="1" vertOverflow="ellipsis" horzOverflow="overflow" wrap="square" lIns="0" tIns="0" rIns="0" bIns="0" anchor="ctr" anchorCtr="1"/>
              <a:lstStyle/>
              <a:p>
                <a:pPr rtl="0"/>
                <a:r>
                  <a:rPr lang="en-US" sz="1200" b="0" i="0" baseline="0">
                    <a:effectLst/>
                    <a:latin typeface="Times New Roman" panose="02020603050405020304" pitchFamily="18" charset="0"/>
                    <a:cs typeface="Times New Roman" panose="02020603050405020304" pitchFamily="18" charset="0"/>
                  </a:rPr>
                  <a:t>log</a:t>
                </a:r>
                <a:r>
                  <a:rPr lang="en-US" sz="1200" b="0" i="0" baseline="-25000">
                    <a:effectLst/>
                    <a:latin typeface="Times New Roman" panose="02020603050405020304" pitchFamily="18" charset="0"/>
                    <a:cs typeface="Times New Roman" panose="02020603050405020304" pitchFamily="18" charset="0"/>
                  </a:rPr>
                  <a:t>10</a:t>
                </a:r>
                <a:r>
                  <a:rPr lang="en-US" sz="1200" b="0" i="0" baseline="0">
                    <a:effectLst/>
                    <a:latin typeface="Times New Roman" panose="02020603050405020304" pitchFamily="18" charset="0"/>
                    <a:cs typeface="Times New Roman" panose="02020603050405020304" pitchFamily="18" charset="0"/>
                  </a:rPr>
                  <a:t>[Total bacteria (GCN·L</a:t>
                </a:r>
                <a:r>
                  <a:rPr lang="en-US" sz="1200" b="0" i="0" baseline="30000">
                    <a:effectLst/>
                    <a:latin typeface="Times New Roman" panose="02020603050405020304" pitchFamily="18" charset="0"/>
                    <a:cs typeface="Times New Roman" panose="02020603050405020304" pitchFamily="18" charset="0"/>
                  </a:rPr>
                  <a:t>-1</a:t>
                </a:r>
                <a:r>
                  <a:rPr lang="en-US" sz="1200" b="0" i="0" baseline="0">
                    <a:effectLst/>
                    <a:latin typeface="Times New Roman" panose="02020603050405020304" pitchFamily="18" charset="0"/>
                    <a:cs typeface="Times New Roman" panose="02020603050405020304" pitchFamily="18" charset="0"/>
                  </a:rPr>
                  <a:t>)]</a:t>
                </a:r>
                <a:endParaRPr lang="en-US" sz="1200">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t" align="ctr"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21.xml><?xml version="1.0" encoding="utf-8"?>
<cx:chartSpace xmlns:a="http://schemas.openxmlformats.org/drawingml/2006/main" xmlns:r="http://schemas.openxmlformats.org/officeDocument/2006/relationships" xmlns:cx="http://schemas.microsoft.com/office/drawing/2014/chartex">
  <cx:chartData>
    <cx:data id="0">
      <cx:strDim type="cat">
        <cx:f>_xlchart.v1.122</cx:f>
      </cx:strDim>
      <cx:numDim type="val">
        <cx:f>_xlchart.v1.113</cx:f>
      </cx:numDim>
    </cx:data>
    <cx:data id="1">
      <cx:strDim type="cat">
        <cx:f>_xlchart.v1.122</cx:f>
      </cx:strDim>
      <cx:numDim type="val">
        <cx:f>_xlchart.v1.115</cx:f>
      </cx:numDim>
    </cx:data>
    <cx:data id="2">
      <cx:strDim type="cat">
        <cx:f>_xlchart.v1.122</cx:f>
      </cx:strDim>
      <cx:numDim type="val">
        <cx:f>_xlchart.v1.117</cx:f>
      </cx:numDim>
    </cx:data>
    <cx:data id="3">
      <cx:strDim type="cat">
        <cx:f>_xlchart.v1.122</cx:f>
      </cx:strDim>
      <cx:numDim type="val">
        <cx:f>_xlchart.v1.119</cx:f>
      </cx:numDim>
    </cx:data>
    <cx:data id="4">
      <cx:strDim type="cat">
        <cx:f>_xlchart.v1.122</cx:f>
      </cx:strDim>
      <cx:numDim type="val">
        <cx:f>_xlchart.v1.121</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_xlchart.v1.112</cx:f>
              <cx:v>Legionella</cx:v>
            </cx:txData>
          </cx:tx>
          <cx:spPr>
            <a:noFill/>
            <a:ln w="12700">
              <a:solidFill>
                <a:srgbClr val="F04646">
                  <a:alpha val="96863"/>
                </a:srgbClr>
              </a:solidFill>
            </a:ln>
          </cx:spPr>
          <cx:dataId val="0"/>
          <cx:layoutPr>
            <cx:visibility meanLine="0" meanMarker="1" nonoutliers="1" outliers="1"/>
            <cx:statistics quartileMethod="inclusive"/>
          </cx:layoutPr>
        </cx:series>
        <cx:series layoutId="boxWhisker" uniqueId="{00000000-13A6-46AF-97B2-7219B81DFFC0}">
          <cx:tx>
            <cx:txData>
              <cx:f>_xlchart.v1.114</cx:f>
              <cx:v>Mycobacterium</cx:v>
            </cx:txData>
          </cx:tx>
          <cx:spPr>
            <a:noFill/>
            <a:ln w="12700">
              <a:solidFill>
                <a:srgbClr val="5064E6"/>
              </a:solidFill>
            </a:ln>
          </cx:spPr>
          <cx:dataId val="1"/>
          <cx:layoutPr>
            <cx:statistics quartileMethod="inclusive"/>
          </cx:layoutPr>
        </cx:series>
        <cx:series layoutId="boxWhisker" uniqueId="{00000001-13A6-46AF-97B2-7219B81DFFC0}">
          <cx:tx>
            <cx:txData>
              <cx:f>_xlchart.v1.116</cx:f>
              <cx:v>Pseudomonas</cx:v>
            </cx:txData>
          </cx:tx>
          <cx:spPr>
            <a:noFill/>
            <a:ln w="12700">
              <a:solidFill>
                <a:srgbClr val="F014C8"/>
              </a:solidFill>
            </a:ln>
          </cx:spPr>
          <cx:dataId val="2"/>
          <cx:layoutPr>
            <cx:statistics quartileMethod="inclusive"/>
          </cx:layoutPr>
        </cx:series>
        <cx:series layoutId="boxWhisker" uniqueId="{00000000-3E06-4E27-8A66-1A8D2F8920EC}">
          <cx:tx>
            <cx:txData>
              <cx:f>_xlchart.v1.118</cx:f>
              <cx:v>Vermamoeba vermiformis</cx:v>
            </cx:txData>
          </cx:tx>
          <cx:spPr>
            <a:noFill/>
            <a:ln w="12700">
              <a:solidFill>
                <a:srgbClr val="3CE63C"/>
              </a:solidFill>
            </a:ln>
          </cx:spPr>
          <cx:dataId val="3"/>
          <cx:layoutPr>
            <cx:statistics quartileMethod="inclusive"/>
          </cx:layoutPr>
        </cx:series>
        <cx:series layoutId="boxWhisker" uniqueId="{00000001-3E06-4E27-8A66-1A8D2F8920EC}">
          <cx:tx>
            <cx:txData>
              <cx:f>_xlchart.v1.120</cx:f>
              <cx:v>Summed OP</cx:v>
            </cx:txData>
          </cx:tx>
          <cx:spPr>
            <a:noFill/>
            <a:ln w="12700">
              <a:solidFill>
                <a:srgbClr val="28C8C8"/>
              </a:solidFill>
            </a:ln>
          </cx:spPr>
          <cx:dataId val="4"/>
          <cx:layoutPr>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a:t>
                </a:r>
                <a:r>
                  <a:rPr lang="en-US" sz="1200" b="1" i="0" u="none" strike="noStrike" kern="1200" baseline="0">
                    <a:solidFill>
                      <a:srgbClr val="FF0000"/>
                    </a:solidFill>
                    <a:latin typeface="Times New Roman" panose="02020603050405020304" pitchFamily="18" charset="0"/>
                    <a:cs typeface="Times New Roman" panose="02020603050405020304" pitchFamily="18" charset="0"/>
                  </a:rPr>
                  <a:t>During the burn</a:t>
                </a: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8" min="0"/>
        <cx:title>
          <cx:tx>
            <cx:rich>
              <a:bodyPr spcFirstLastPara="1" vertOverflow="ellipsis" horzOverflow="overflow" wrap="square" lIns="0" tIns="0" rIns="0" bIns="0" anchor="ctr" anchorCtr="1"/>
              <a:lstStyle/>
              <a:p>
                <a:pPr rtl="0"/>
                <a:r>
                  <a:rPr lang="en-US" sz="1200" b="0" i="0" baseline="0">
                    <a:effectLst/>
                    <a:latin typeface="Times New Roman" panose="02020603050405020304" pitchFamily="18" charset="0"/>
                    <a:cs typeface="Times New Roman" panose="02020603050405020304" pitchFamily="18" charset="0"/>
                  </a:rPr>
                  <a:t>log</a:t>
                </a:r>
                <a:r>
                  <a:rPr lang="en-US" sz="1200" b="0" i="0" baseline="-25000">
                    <a:effectLst/>
                    <a:latin typeface="Times New Roman" panose="02020603050405020304" pitchFamily="18" charset="0"/>
                    <a:cs typeface="Times New Roman" panose="02020603050405020304" pitchFamily="18" charset="0"/>
                  </a:rPr>
                  <a:t>10</a:t>
                </a:r>
                <a:r>
                  <a:rPr lang="en-US" sz="1200" b="0" i="0" baseline="0">
                    <a:effectLst/>
                    <a:latin typeface="Times New Roman" panose="02020603050405020304" pitchFamily="18" charset="0"/>
                    <a:cs typeface="Times New Roman" panose="02020603050405020304" pitchFamily="18" charset="0"/>
                  </a:rPr>
                  <a:t>[OP (GCN·L</a:t>
                </a:r>
                <a:r>
                  <a:rPr lang="en-US" sz="1200" b="0" i="0" baseline="30000">
                    <a:effectLst/>
                    <a:latin typeface="Times New Roman" panose="02020603050405020304" pitchFamily="18" charset="0"/>
                    <a:cs typeface="Times New Roman" panose="02020603050405020304" pitchFamily="18" charset="0"/>
                  </a:rPr>
                  <a:t>-1</a:t>
                </a:r>
                <a:r>
                  <a:rPr lang="en-US" sz="1200" b="0" i="0" baseline="0">
                    <a:effectLst/>
                    <a:latin typeface="Times New Roman" panose="02020603050405020304" pitchFamily="18" charset="0"/>
                    <a:cs typeface="Times New Roman" panose="02020603050405020304" pitchFamily="18" charset="0"/>
                  </a:rPr>
                  <a:t>)]</a:t>
                </a:r>
                <a:endParaRPr lang="en-US" sz="1200">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t" align="ctr"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22.xml><?xml version="1.0" encoding="utf-8"?>
<cx:chartSpace xmlns:a="http://schemas.openxmlformats.org/drawingml/2006/main" xmlns:r="http://schemas.openxmlformats.org/officeDocument/2006/relationships" xmlns:cx="http://schemas.microsoft.com/office/drawing/2014/chartex">
  <cx:chartData>
    <cx:data id="0">
      <cx:strDim type="cat">
        <cx:f>_xlchart.v1.136</cx:f>
      </cx:strDim>
      <cx:numDim type="val">
        <cx:f>_xlchart.v1.135</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_xlchart.v1.134</cx:f>
              <cx:v>Total bacteria</cx:v>
            </cx:txData>
          </cx:tx>
          <cx:spPr>
            <a:noFill/>
            <a:ln w="12700">
              <a:solidFill>
                <a:srgbClr val="5064E6">
                  <a:alpha val="97000"/>
                </a:srgbClr>
              </a:solidFill>
            </a:ln>
          </cx:spPr>
          <cx:dataId val="0"/>
          <cx:layoutPr>
            <cx:visibility meanLine="0" meanMarker="1" nonoutliers="1" outliers="1"/>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a:t>
                </a:r>
                <a:r>
                  <a:rPr lang="en-US" sz="1200" b="0" i="0" u="none" strike="noStrike" kern="1200" baseline="0">
                    <a:solidFill>
                      <a:srgbClr val="FF0000"/>
                    </a:solidFill>
                    <a:latin typeface="Times New Roman" panose="02020603050405020304" pitchFamily="18" charset="0"/>
                    <a:cs typeface="Times New Roman" panose="02020603050405020304" pitchFamily="18" charset="0"/>
                  </a:rPr>
                  <a:t>During the burn</a:t>
                </a:r>
                <a:endParaRPr lang="en-US" sz="1200" b="1" i="0" u="none" strike="noStrike" kern="1200" baseline="0">
                  <a:solidFill>
                    <a:srgbClr val="FF0000"/>
                  </a:solidFill>
                  <a:latin typeface="Times New Roman" panose="02020603050405020304" pitchFamily="18" charset="0"/>
                  <a:cs typeface="Times New Roman" panose="02020603050405020304" pitchFamily="18" charset="0"/>
                </a:endParaRP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10.5" min="4.5"/>
        <cx:title>
          <cx:tx>
            <cx:rich>
              <a:bodyPr spcFirstLastPara="1" vertOverflow="ellipsis" horzOverflow="overflow" wrap="square" lIns="0" tIns="0" rIns="0" bIns="0" anchor="ctr" anchorCtr="1"/>
              <a:lstStyle/>
              <a:p>
                <a:pPr rtl="0"/>
                <a:r>
                  <a:rPr lang="en-US" sz="1200" b="0" i="0" baseline="0">
                    <a:effectLst/>
                    <a:latin typeface="Times New Roman" panose="02020603050405020304" pitchFamily="18" charset="0"/>
                    <a:cs typeface="Times New Roman" panose="02020603050405020304" pitchFamily="18" charset="0"/>
                  </a:rPr>
                  <a:t>log</a:t>
                </a:r>
                <a:r>
                  <a:rPr lang="en-US" sz="1200" b="0" i="0" baseline="-25000">
                    <a:effectLst/>
                    <a:latin typeface="Times New Roman" panose="02020603050405020304" pitchFamily="18" charset="0"/>
                    <a:cs typeface="Times New Roman" panose="02020603050405020304" pitchFamily="18" charset="0"/>
                  </a:rPr>
                  <a:t>10</a:t>
                </a:r>
                <a:r>
                  <a:rPr lang="en-US" sz="1200" b="0" i="0" baseline="0">
                    <a:effectLst/>
                    <a:latin typeface="Times New Roman" panose="02020603050405020304" pitchFamily="18" charset="0"/>
                    <a:cs typeface="Times New Roman" panose="02020603050405020304" pitchFamily="18" charset="0"/>
                  </a:rPr>
                  <a:t>[Total bacteria (GCN·L</a:t>
                </a:r>
                <a:r>
                  <a:rPr lang="en-US" sz="1200" b="0" i="0" baseline="30000">
                    <a:effectLst/>
                    <a:latin typeface="Times New Roman" panose="02020603050405020304" pitchFamily="18" charset="0"/>
                    <a:cs typeface="Times New Roman" panose="02020603050405020304" pitchFamily="18" charset="0"/>
                  </a:rPr>
                  <a:t>-1</a:t>
                </a:r>
                <a:r>
                  <a:rPr lang="en-US" sz="1200" b="0" i="0" baseline="0">
                    <a:effectLst/>
                    <a:latin typeface="Times New Roman" panose="02020603050405020304" pitchFamily="18" charset="0"/>
                    <a:cs typeface="Times New Roman" panose="02020603050405020304" pitchFamily="18" charset="0"/>
                  </a:rPr>
                  <a:t>)]</a:t>
                </a:r>
                <a:endParaRPr lang="en-US" sz="1200">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t" align="ctr"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23.xml><?xml version="1.0" encoding="utf-8"?>
<cx:chartSpace xmlns:a="http://schemas.openxmlformats.org/drawingml/2006/main" xmlns:r="http://schemas.openxmlformats.org/officeDocument/2006/relationships" xmlns:cx="http://schemas.microsoft.com/office/drawing/2014/chartex">
  <cx:chartData>
    <cx:data id="0">
      <cx:strDim type="cat">
        <cx:f>_xlchart.v1.164</cx:f>
      </cx:strDim>
      <cx:numDim type="val">
        <cx:f>_xlchart.v1.155</cx:f>
      </cx:numDim>
    </cx:data>
    <cx:data id="1">
      <cx:strDim type="cat">
        <cx:f>_xlchart.v1.164</cx:f>
      </cx:strDim>
      <cx:numDim type="val">
        <cx:f>_xlchart.v1.157</cx:f>
      </cx:numDim>
    </cx:data>
    <cx:data id="2">
      <cx:strDim type="cat">
        <cx:f>_xlchart.v1.164</cx:f>
      </cx:strDim>
      <cx:numDim type="val">
        <cx:f>_xlchart.v1.159</cx:f>
      </cx:numDim>
    </cx:data>
    <cx:data id="3">
      <cx:strDim type="cat">
        <cx:f>_xlchart.v1.164</cx:f>
      </cx:strDim>
      <cx:numDim type="val">
        <cx:f>_xlchart.v1.161</cx:f>
      </cx:numDim>
    </cx:data>
    <cx:data id="4">
      <cx:strDim type="cat">
        <cx:f>_xlchart.v1.164</cx:f>
      </cx:strDim>
      <cx:numDim type="val">
        <cx:f>_xlchart.v1.163</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_xlchart.v1.154</cx:f>
              <cx:v>Legionella</cx:v>
            </cx:txData>
          </cx:tx>
          <cx:spPr>
            <a:noFill/>
            <a:ln w="12700">
              <a:solidFill>
                <a:srgbClr val="F04646">
                  <a:alpha val="96863"/>
                </a:srgbClr>
              </a:solidFill>
            </a:ln>
          </cx:spPr>
          <cx:dataId val="0"/>
          <cx:layoutPr>
            <cx:visibility meanLine="0" meanMarker="1" nonoutliers="1" outliers="1"/>
            <cx:statistics quartileMethod="inclusive"/>
          </cx:layoutPr>
        </cx:series>
        <cx:series layoutId="boxWhisker" uniqueId="{00000000-13A6-46AF-97B2-7219B81DFFC0}">
          <cx:tx>
            <cx:txData>
              <cx:f>_xlchart.v1.156</cx:f>
              <cx:v>Mycobacterium</cx:v>
            </cx:txData>
          </cx:tx>
          <cx:spPr>
            <a:noFill/>
            <a:ln w="12700">
              <a:solidFill>
                <a:srgbClr val="5064E6"/>
              </a:solidFill>
            </a:ln>
          </cx:spPr>
          <cx:dataId val="1"/>
          <cx:layoutPr>
            <cx:statistics quartileMethod="inclusive"/>
          </cx:layoutPr>
        </cx:series>
        <cx:series layoutId="boxWhisker" uniqueId="{00000001-13A6-46AF-97B2-7219B81DFFC0}">
          <cx:tx>
            <cx:txData>
              <cx:f>_xlchart.v1.158</cx:f>
              <cx:v>Pseudomonas</cx:v>
            </cx:txData>
          </cx:tx>
          <cx:spPr>
            <a:noFill/>
            <a:ln w="12700">
              <a:solidFill>
                <a:srgbClr val="F014C8"/>
              </a:solidFill>
            </a:ln>
          </cx:spPr>
          <cx:dataId val="2"/>
          <cx:layoutPr>
            <cx:statistics quartileMethod="inclusive"/>
          </cx:layoutPr>
        </cx:series>
        <cx:series layoutId="boxWhisker" uniqueId="{00000000-3E06-4E27-8A66-1A8D2F8920EC}">
          <cx:tx>
            <cx:txData>
              <cx:f>_xlchart.v1.160</cx:f>
              <cx:v>Vermamoeba vermiformis</cx:v>
            </cx:txData>
          </cx:tx>
          <cx:spPr>
            <a:noFill/>
            <a:ln w="12700">
              <a:solidFill>
                <a:srgbClr val="3CE63C"/>
              </a:solidFill>
            </a:ln>
          </cx:spPr>
          <cx:dataId val="3"/>
          <cx:layoutPr>
            <cx:statistics quartileMethod="inclusive"/>
          </cx:layoutPr>
        </cx:series>
        <cx:series layoutId="boxWhisker" uniqueId="{00000001-3E06-4E27-8A66-1A8D2F8920EC}">
          <cx:tx>
            <cx:txData>
              <cx:f>_xlchart.v1.162</cx:f>
              <cx:v>Summed OP</cx:v>
            </cx:txData>
          </cx:tx>
          <cx:spPr>
            <a:noFill/>
            <a:ln w="12700">
              <a:solidFill>
                <a:srgbClr val="28C8C8"/>
              </a:solidFill>
            </a:ln>
          </cx:spPr>
          <cx:dataId val="4"/>
          <cx:layoutPr>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a:t>
                </a:r>
                <a:r>
                  <a:rPr lang="en-US" sz="1200" b="1" i="0" u="none" strike="noStrike" kern="1200" baseline="0">
                    <a:solidFill>
                      <a:srgbClr val="FF0000"/>
                    </a:solidFill>
                    <a:latin typeface="Times New Roman" panose="02020603050405020304" pitchFamily="18" charset="0"/>
                    <a:cs typeface="Times New Roman" panose="02020603050405020304" pitchFamily="18" charset="0"/>
                  </a:rPr>
                  <a:t>After the burn</a:t>
                </a: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7" min="0"/>
        <cx:title>
          <cx:tx>
            <cx:rich>
              <a:bodyPr spcFirstLastPara="1" vertOverflow="ellipsis" horzOverflow="overflow" wrap="square" lIns="0" tIns="0" rIns="0" bIns="0" anchor="ctr" anchorCtr="1"/>
              <a:lstStyle/>
              <a:p>
                <a:pPr rtl="0"/>
                <a:r>
                  <a:rPr lang="en-US" sz="1200" b="0" i="0" baseline="0">
                    <a:effectLst/>
                    <a:latin typeface="Times New Roman" panose="02020603050405020304" pitchFamily="18" charset="0"/>
                    <a:cs typeface="Times New Roman" panose="02020603050405020304" pitchFamily="18" charset="0"/>
                  </a:rPr>
                  <a:t>log</a:t>
                </a:r>
                <a:r>
                  <a:rPr lang="en-US" sz="1200" b="0" i="0" baseline="-25000">
                    <a:effectLst/>
                    <a:latin typeface="Times New Roman" panose="02020603050405020304" pitchFamily="18" charset="0"/>
                    <a:cs typeface="Times New Roman" panose="02020603050405020304" pitchFamily="18" charset="0"/>
                  </a:rPr>
                  <a:t>10</a:t>
                </a:r>
                <a:r>
                  <a:rPr lang="en-US" sz="1200" b="0" i="0" baseline="0">
                    <a:effectLst/>
                    <a:latin typeface="Times New Roman" panose="02020603050405020304" pitchFamily="18" charset="0"/>
                    <a:cs typeface="Times New Roman" panose="02020603050405020304" pitchFamily="18" charset="0"/>
                  </a:rPr>
                  <a:t>[OP (GCN·L</a:t>
                </a:r>
                <a:r>
                  <a:rPr lang="en-US" sz="1200" b="0" i="0" baseline="30000">
                    <a:effectLst/>
                    <a:latin typeface="Times New Roman" panose="02020603050405020304" pitchFamily="18" charset="0"/>
                    <a:cs typeface="Times New Roman" panose="02020603050405020304" pitchFamily="18" charset="0"/>
                  </a:rPr>
                  <a:t>-1</a:t>
                </a:r>
                <a:r>
                  <a:rPr lang="en-US" sz="1200" b="0" i="0" baseline="0">
                    <a:effectLst/>
                    <a:latin typeface="Times New Roman" panose="02020603050405020304" pitchFamily="18" charset="0"/>
                    <a:cs typeface="Times New Roman" panose="02020603050405020304" pitchFamily="18" charset="0"/>
                  </a:rPr>
                  <a:t>)]</a:t>
                </a:r>
                <a:endParaRPr lang="en-US" sz="1200">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t" align="ctr"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24.xml><?xml version="1.0" encoding="utf-8"?>
<cx:chartSpace xmlns:a="http://schemas.openxmlformats.org/drawingml/2006/main" xmlns:r="http://schemas.openxmlformats.org/officeDocument/2006/relationships" xmlns:cx="http://schemas.microsoft.com/office/drawing/2014/chartex">
  <cx:chartData>
    <cx:data id="0">
      <cx:strDim type="cat">
        <cx:f>_xlchart.v1.167</cx:f>
      </cx:strDim>
      <cx:numDim type="val">
        <cx:f>_xlchart.v1.166</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_xlchart.v1.165</cx:f>
              <cx:v>Total bacteria</cx:v>
            </cx:txData>
          </cx:tx>
          <cx:spPr>
            <a:noFill/>
            <a:ln w="12700">
              <a:solidFill>
                <a:srgbClr val="5064E6">
                  <a:alpha val="97000"/>
                </a:srgbClr>
              </a:solidFill>
            </a:ln>
          </cx:spPr>
          <cx:dataId val="0"/>
          <cx:layoutPr>
            <cx:visibility meanLine="0" meanMarker="1" nonoutliers="1" outliers="1"/>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a:t>
                </a:r>
                <a:r>
                  <a:rPr lang="en-US" sz="1200" b="0" i="0" u="none" strike="noStrike" kern="1200" baseline="0">
                    <a:solidFill>
                      <a:srgbClr val="FF0000"/>
                    </a:solidFill>
                    <a:latin typeface="Times New Roman" panose="02020603050405020304" pitchFamily="18" charset="0"/>
                    <a:cs typeface="Times New Roman" panose="02020603050405020304" pitchFamily="18" charset="0"/>
                  </a:rPr>
                  <a:t>After the burn</a:t>
                </a:r>
                <a:endParaRPr lang="en-US" sz="1200" b="1" i="0" u="none" strike="noStrike" kern="1200" baseline="0">
                  <a:solidFill>
                    <a:srgbClr val="FF0000"/>
                  </a:solidFill>
                  <a:latin typeface="Times New Roman" panose="02020603050405020304" pitchFamily="18" charset="0"/>
                  <a:cs typeface="Times New Roman" panose="02020603050405020304" pitchFamily="18" charset="0"/>
                </a:endParaRP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11" min="6"/>
        <cx:title>
          <cx:tx>
            <cx:rich>
              <a:bodyPr spcFirstLastPara="1" vertOverflow="ellipsis" horzOverflow="overflow" wrap="square" lIns="0" tIns="0" rIns="0" bIns="0" anchor="ctr" anchorCtr="1"/>
              <a:lstStyle/>
              <a:p>
                <a:pPr rtl="0"/>
                <a:r>
                  <a:rPr lang="en-US" sz="1200" b="0" i="0" baseline="0">
                    <a:effectLst/>
                    <a:latin typeface="Times New Roman" panose="02020603050405020304" pitchFamily="18" charset="0"/>
                    <a:cs typeface="Times New Roman" panose="02020603050405020304" pitchFamily="18" charset="0"/>
                  </a:rPr>
                  <a:t>log</a:t>
                </a:r>
                <a:r>
                  <a:rPr lang="en-US" sz="1200" b="0" i="0" baseline="-25000">
                    <a:effectLst/>
                    <a:latin typeface="Times New Roman" panose="02020603050405020304" pitchFamily="18" charset="0"/>
                    <a:cs typeface="Times New Roman" panose="02020603050405020304" pitchFamily="18" charset="0"/>
                  </a:rPr>
                  <a:t>10</a:t>
                </a:r>
                <a:r>
                  <a:rPr lang="en-US" sz="1200" b="0" i="0" baseline="0">
                    <a:effectLst/>
                    <a:latin typeface="Times New Roman" panose="02020603050405020304" pitchFamily="18" charset="0"/>
                    <a:cs typeface="Times New Roman" panose="02020603050405020304" pitchFamily="18" charset="0"/>
                  </a:rPr>
                  <a:t>[Total bacteria (GCN·L</a:t>
                </a:r>
                <a:r>
                  <a:rPr lang="en-US" sz="1200" b="0" i="0" baseline="30000">
                    <a:effectLst/>
                    <a:latin typeface="Times New Roman" panose="02020603050405020304" pitchFamily="18" charset="0"/>
                    <a:cs typeface="Times New Roman" panose="02020603050405020304" pitchFamily="18" charset="0"/>
                  </a:rPr>
                  <a:t>-1</a:t>
                </a:r>
                <a:r>
                  <a:rPr lang="en-US" sz="1200" b="0" i="0" baseline="0">
                    <a:effectLst/>
                    <a:latin typeface="Times New Roman" panose="02020603050405020304" pitchFamily="18" charset="0"/>
                    <a:cs typeface="Times New Roman" panose="02020603050405020304" pitchFamily="18" charset="0"/>
                  </a:rPr>
                  <a:t>)]</a:t>
                </a:r>
                <a:endParaRPr lang="en-US" sz="1200">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t" align="ctr"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25.xml><?xml version="1.0" encoding="utf-8"?>
<cx:chartSpace xmlns:a="http://schemas.openxmlformats.org/drawingml/2006/main" xmlns:r="http://schemas.openxmlformats.org/officeDocument/2006/relationships" xmlns:cx="http://schemas.microsoft.com/office/drawing/2014/chartex">
  <cx:chartData>
    <cx:data id="0">
      <cx:strDim type="cat">
        <cx:f>_xlchart.v1.187</cx:f>
      </cx:strDim>
      <cx:numDim type="val">
        <cx:f>_xlchart.v1.178</cx:f>
      </cx:numDim>
    </cx:data>
    <cx:data id="1">
      <cx:strDim type="cat">
        <cx:f>_xlchart.v1.187</cx:f>
      </cx:strDim>
      <cx:numDim type="val">
        <cx:f>_xlchart.v1.180</cx:f>
      </cx:numDim>
    </cx:data>
    <cx:data id="2">
      <cx:strDim type="cat">
        <cx:f>_xlchart.v1.187</cx:f>
      </cx:strDim>
      <cx:numDim type="val">
        <cx:f>_xlchart.v1.182</cx:f>
      </cx:numDim>
    </cx:data>
    <cx:data id="3">
      <cx:strDim type="cat">
        <cx:f>_xlchart.v1.187</cx:f>
      </cx:strDim>
      <cx:numDim type="val">
        <cx:f>_xlchart.v1.184</cx:f>
      </cx:numDim>
    </cx:data>
    <cx:data id="4">
      <cx:strDim type="cat">
        <cx:f>_xlchart.v1.187</cx:f>
      </cx:strDim>
      <cx:numDim type="val">
        <cx:f>_xlchart.v1.186</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_xlchart.v1.177</cx:f>
              <cx:v>Legionella</cx:v>
            </cx:txData>
          </cx:tx>
          <cx:spPr>
            <a:noFill/>
            <a:ln w="12700">
              <a:solidFill>
                <a:srgbClr val="F04646">
                  <a:alpha val="96863"/>
                </a:srgbClr>
              </a:solidFill>
            </a:ln>
          </cx:spPr>
          <cx:dataId val="0"/>
          <cx:layoutPr>
            <cx:visibility meanLine="0" meanMarker="1" nonoutliers="1" outliers="1"/>
            <cx:statistics quartileMethod="inclusive"/>
          </cx:layoutPr>
        </cx:series>
        <cx:series layoutId="boxWhisker" uniqueId="{00000000-13A6-46AF-97B2-7219B81DFFC0}">
          <cx:tx>
            <cx:txData>
              <cx:f>_xlchart.v1.179</cx:f>
              <cx:v>Mycobacterium</cx:v>
            </cx:txData>
          </cx:tx>
          <cx:spPr>
            <a:noFill/>
            <a:ln w="12700">
              <a:solidFill>
                <a:srgbClr val="5064E6"/>
              </a:solidFill>
            </a:ln>
          </cx:spPr>
          <cx:dataId val="1"/>
          <cx:layoutPr>
            <cx:statistics quartileMethod="inclusive"/>
          </cx:layoutPr>
        </cx:series>
        <cx:series layoutId="boxWhisker" uniqueId="{00000001-13A6-46AF-97B2-7219B81DFFC0}">
          <cx:tx>
            <cx:txData>
              <cx:f>_xlchart.v1.181</cx:f>
              <cx:v>Pseudomonas</cx:v>
            </cx:txData>
          </cx:tx>
          <cx:spPr>
            <a:noFill/>
            <a:ln w="12700">
              <a:solidFill>
                <a:srgbClr val="F014C8"/>
              </a:solidFill>
            </a:ln>
          </cx:spPr>
          <cx:dataId val="2"/>
          <cx:layoutPr>
            <cx:statistics quartileMethod="inclusive"/>
          </cx:layoutPr>
        </cx:series>
        <cx:series layoutId="boxWhisker" uniqueId="{00000000-3E06-4E27-8A66-1A8D2F8920EC}">
          <cx:tx>
            <cx:txData>
              <cx:f>_xlchart.v1.183</cx:f>
              <cx:v>Vermamoeba vermiformis</cx:v>
            </cx:txData>
          </cx:tx>
          <cx:spPr>
            <a:noFill/>
            <a:ln w="12700">
              <a:solidFill>
                <a:srgbClr val="3CE63C"/>
              </a:solidFill>
            </a:ln>
          </cx:spPr>
          <cx:dataId val="3"/>
          <cx:layoutPr>
            <cx:statistics quartileMethod="inclusive"/>
          </cx:layoutPr>
        </cx:series>
        <cx:series layoutId="boxWhisker" uniqueId="{00000001-3E06-4E27-8A66-1A8D2F8920EC}">
          <cx:tx>
            <cx:txData>
              <cx:f>_xlchart.v1.185</cx:f>
              <cx:v>Summed OP</cx:v>
            </cx:txData>
          </cx:tx>
          <cx:spPr>
            <a:noFill/>
            <a:ln w="12700">
              <a:solidFill>
                <a:srgbClr val="28C8C8"/>
              </a:solidFill>
            </a:ln>
          </cx:spPr>
          <cx:dataId val="4"/>
          <cx:layoutPr>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a:t>
                </a:r>
                <a:r>
                  <a:rPr lang="en-US" sz="1200" b="1" i="0" u="none" strike="noStrike" kern="1200" baseline="0">
                    <a:solidFill>
                      <a:srgbClr val="FF0000"/>
                    </a:solidFill>
                    <a:latin typeface="Times New Roman" panose="02020603050405020304" pitchFamily="18" charset="0"/>
                    <a:cs typeface="Times New Roman" panose="02020603050405020304" pitchFamily="18" charset="0"/>
                  </a:rPr>
                  <a:t>EP</a:t>
                </a: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8" min="0"/>
        <cx:title>
          <cx:tx>
            <cx:rich>
              <a:bodyPr spcFirstLastPara="1" vertOverflow="ellipsis" horzOverflow="overflow" wrap="square" lIns="0" tIns="0" rIns="0" bIns="0" anchor="ctr" anchorCtr="1"/>
              <a:lstStyle/>
              <a:p>
                <a:pPr rtl="0"/>
                <a:r>
                  <a:rPr lang="en-US" sz="1200" b="0" i="0" baseline="0">
                    <a:effectLst/>
                    <a:latin typeface="Times New Roman" panose="02020603050405020304" pitchFamily="18" charset="0"/>
                    <a:cs typeface="Times New Roman" panose="02020603050405020304" pitchFamily="18" charset="0"/>
                  </a:rPr>
                  <a:t>log</a:t>
                </a:r>
                <a:r>
                  <a:rPr lang="en-US" sz="1200" b="0" i="0" baseline="-25000">
                    <a:effectLst/>
                    <a:latin typeface="Times New Roman" panose="02020603050405020304" pitchFamily="18" charset="0"/>
                    <a:cs typeface="Times New Roman" panose="02020603050405020304" pitchFamily="18" charset="0"/>
                  </a:rPr>
                  <a:t>10</a:t>
                </a:r>
                <a:r>
                  <a:rPr lang="en-US" sz="1200" b="0" i="0" baseline="0">
                    <a:effectLst/>
                    <a:latin typeface="Times New Roman" panose="02020603050405020304" pitchFamily="18" charset="0"/>
                    <a:cs typeface="Times New Roman" panose="02020603050405020304" pitchFamily="18" charset="0"/>
                  </a:rPr>
                  <a:t>[OP (GCN·L</a:t>
                </a:r>
                <a:r>
                  <a:rPr lang="en-US" sz="1200" b="0" i="0" baseline="30000">
                    <a:effectLst/>
                    <a:latin typeface="Times New Roman" panose="02020603050405020304" pitchFamily="18" charset="0"/>
                    <a:cs typeface="Times New Roman" panose="02020603050405020304" pitchFamily="18" charset="0"/>
                  </a:rPr>
                  <a:t>-1</a:t>
                </a:r>
                <a:r>
                  <a:rPr lang="en-US" sz="1200" b="0" i="0" baseline="0">
                    <a:effectLst/>
                    <a:latin typeface="Times New Roman" panose="02020603050405020304" pitchFamily="18" charset="0"/>
                    <a:cs typeface="Times New Roman" panose="02020603050405020304" pitchFamily="18" charset="0"/>
                  </a:rPr>
                  <a:t>)]</a:t>
                </a:r>
                <a:endParaRPr lang="en-US" sz="1200">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t" align="ctr"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26.xml><?xml version="1.0" encoding="utf-8"?>
<cx:chartSpace xmlns:a="http://schemas.openxmlformats.org/drawingml/2006/main" xmlns:r="http://schemas.openxmlformats.org/officeDocument/2006/relationships" xmlns:cx="http://schemas.microsoft.com/office/drawing/2014/chartex">
  <cx:chartData>
    <cx:data id="0">
      <cx:strDim type="cat">
        <cx:f>_xlchart.v1.173</cx:f>
      </cx:strDim>
      <cx:numDim type="val">
        <cx:f>_xlchart.v1.172</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_xlchart.v1.171</cx:f>
              <cx:v>Total bacteria</cx:v>
            </cx:txData>
          </cx:tx>
          <cx:spPr>
            <a:noFill/>
            <a:ln w="12700">
              <a:solidFill>
                <a:srgbClr val="5064E6">
                  <a:alpha val="97000"/>
                </a:srgbClr>
              </a:solidFill>
            </a:ln>
          </cx:spPr>
          <cx:dataId val="0"/>
          <cx:layoutPr>
            <cx:visibility meanLine="0" meanMarker="1" nonoutliers="1" outliers="1"/>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a:t>
                </a:r>
                <a:r>
                  <a:rPr lang="en-US" sz="1200" b="1" i="0" u="none" strike="noStrike" kern="1200" baseline="0">
                    <a:solidFill>
                      <a:srgbClr val="FF0000"/>
                    </a:solidFill>
                    <a:latin typeface="Times New Roman" panose="02020603050405020304" pitchFamily="18" charset="0"/>
                    <a:cs typeface="Times New Roman" panose="02020603050405020304" pitchFamily="18" charset="0"/>
                  </a:rPr>
                  <a:t>EP</a:t>
                </a: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9" min="6.5"/>
        <cx:title>
          <cx:tx>
            <cx:rich>
              <a:bodyPr spcFirstLastPara="1" vertOverflow="ellipsis" horzOverflow="overflow" wrap="square" lIns="0" tIns="0" rIns="0" bIns="0" anchor="ctr" anchorCtr="1"/>
              <a:lstStyle/>
              <a:p>
                <a:pPr rtl="0"/>
                <a:r>
                  <a:rPr lang="en-US" sz="1200" b="0" i="0" baseline="0">
                    <a:effectLst/>
                    <a:latin typeface="Times New Roman" panose="02020603050405020304" pitchFamily="18" charset="0"/>
                    <a:cs typeface="Times New Roman" panose="02020603050405020304" pitchFamily="18" charset="0"/>
                  </a:rPr>
                  <a:t>log</a:t>
                </a:r>
                <a:r>
                  <a:rPr lang="en-US" sz="1200" b="0" i="0" baseline="-25000">
                    <a:effectLst/>
                    <a:latin typeface="Times New Roman" panose="02020603050405020304" pitchFamily="18" charset="0"/>
                    <a:cs typeface="Times New Roman" panose="02020603050405020304" pitchFamily="18" charset="0"/>
                  </a:rPr>
                  <a:t>10</a:t>
                </a:r>
                <a:r>
                  <a:rPr lang="en-US" sz="1200" b="0" i="0" baseline="0">
                    <a:effectLst/>
                    <a:latin typeface="Times New Roman" panose="02020603050405020304" pitchFamily="18" charset="0"/>
                    <a:cs typeface="Times New Roman" panose="02020603050405020304" pitchFamily="18" charset="0"/>
                  </a:rPr>
                  <a:t>[Total bacteria (GCN·L</a:t>
                </a:r>
                <a:r>
                  <a:rPr lang="en-US" sz="1200" b="0" i="0" baseline="30000">
                    <a:effectLst/>
                    <a:latin typeface="Times New Roman" panose="02020603050405020304" pitchFamily="18" charset="0"/>
                    <a:cs typeface="Times New Roman" panose="02020603050405020304" pitchFamily="18" charset="0"/>
                  </a:rPr>
                  <a:t>-1</a:t>
                </a:r>
                <a:r>
                  <a:rPr lang="en-US" sz="1200" b="0" i="0" baseline="0">
                    <a:effectLst/>
                    <a:latin typeface="Times New Roman" panose="02020603050405020304" pitchFamily="18" charset="0"/>
                    <a:cs typeface="Times New Roman" panose="02020603050405020304" pitchFamily="18" charset="0"/>
                  </a:rPr>
                  <a:t>)]</a:t>
                </a:r>
                <a:endParaRPr lang="en-US" sz="1200">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r" align="min"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27.xml><?xml version="1.0" encoding="utf-8"?>
<cx:chartSpace xmlns:a="http://schemas.openxmlformats.org/drawingml/2006/main" xmlns:r="http://schemas.openxmlformats.org/officeDocument/2006/relationships" xmlns:cx="http://schemas.microsoft.com/office/drawing/2014/chartex">
  <cx:chartData>
    <cx:data id="0">
      <cx:strDim type="cat">
        <cx:f>_xlchart.v1.262</cx:f>
      </cx:strDim>
      <cx:numDim type="val">
        <cx:f>_xlchart.v1.253</cx:f>
      </cx:numDim>
    </cx:data>
    <cx:data id="1">
      <cx:strDim type="cat">
        <cx:f>_xlchart.v1.262</cx:f>
      </cx:strDim>
      <cx:numDim type="val">
        <cx:f>_xlchart.v1.255</cx:f>
      </cx:numDim>
    </cx:data>
    <cx:data id="2">
      <cx:strDim type="cat">
        <cx:f>_xlchart.v1.262</cx:f>
      </cx:strDim>
      <cx:numDim type="val">
        <cx:f>_xlchart.v1.257</cx:f>
      </cx:numDim>
    </cx:data>
    <cx:data id="3">
      <cx:strDim type="cat">
        <cx:f>_xlchart.v1.262</cx:f>
      </cx:strDim>
      <cx:numDim type="val">
        <cx:f>_xlchart.v1.259</cx:f>
      </cx:numDim>
    </cx:data>
    <cx:data id="4">
      <cx:strDim type="cat">
        <cx:f>_xlchart.v1.262</cx:f>
      </cx:strDim>
      <cx:numDim type="val">
        <cx:f>_xlchart.v1.261</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_xlchart.v1.252</cx:f>
              <cx:v>Legionella</cx:v>
            </cx:txData>
          </cx:tx>
          <cx:spPr>
            <a:noFill/>
            <a:ln w="12700">
              <a:solidFill>
                <a:srgbClr val="F04646">
                  <a:alpha val="96863"/>
                </a:srgbClr>
              </a:solidFill>
            </a:ln>
          </cx:spPr>
          <cx:dataId val="0"/>
          <cx:layoutPr>
            <cx:visibility meanLine="0" meanMarker="1" nonoutliers="1" outliers="1"/>
            <cx:statistics quartileMethod="inclusive"/>
          </cx:layoutPr>
        </cx:series>
        <cx:series layoutId="boxWhisker" uniqueId="{00000000-13A6-46AF-97B2-7219B81DFFC0}">
          <cx:tx>
            <cx:txData>
              <cx:f>_xlchart.v1.254</cx:f>
              <cx:v>Mycobacterium</cx:v>
            </cx:txData>
          </cx:tx>
          <cx:spPr>
            <a:noFill/>
            <a:ln w="12700">
              <a:solidFill>
                <a:srgbClr val="5064E6"/>
              </a:solidFill>
            </a:ln>
          </cx:spPr>
          <cx:dataId val="1"/>
          <cx:layoutPr>
            <cx:statistics quartileMethod="inclusive"/>
          </cx:layoutPr>
        </cx:series>
        <cx:series layoutId="boxWhisker" uniqueId="{00000001-13A6-46AF-97B2-7219B81DFFC0}">
          <cx:tx>
            <cx:txData>
              <cx:f>_xlchart.v1.256</cx:f>
              <cx:v>Pseudomonas</cx:v>
            </cx:txData>
          </cx:tx>
          <cx:spPr>
            <a:noFill/>
            <a:ln w="12700">
              <a:solidFill>
                <a:srgbClr val="F014C8"/>
              </a:solidFill>
            </a:ln>
          </cx:spPr>
          <cx:dataId val="2"/>
          <cx:layoutPr>
            <cx:statistics quartileMethod="inclusive"/>
          </cx:layoutPr>
        </cx:series>
        <cx:series layoutId="boxWhisker" uniqueId="{00000000-3E06-4E27-8A66-1A8D2F8920EC}">
          <cx:tx>
            <cx:txData>
              <cx:f>_xlchart.v1.258</cx:f>
              <cx:v>Vermamoeba vermiformis</cx:v>
            </cx:txData>
          </cx:tx>
          <cx:spPr>
            <a:noFill/>
            <a:ln w="12700">
              <a:solidFill>
                <a:srgbClr val="3CE63C"/>
              </a:solidFill>
            </a:ln>
          </cx:spPr>
          <cx:dataId val="3"/>
          <cx:layoutPr>
            <cx:statistics quartileMethod="inclusive"/>
          </cx:layoutPr>
        </cx:series>
        <cx:series layoutId="boxWhisker" uniqueId="{00000001-3E06-4E27-8A66-1A8D2F8920EC}">
          <cx:tx>
            <cx:txData>
              <cx:f>_xlchart.v1.260</cx:f>
              <cx:v>Summed OP</cx:v>
            </cx:txData>
          </cx:tx>
          <cx:spPr>
            <a:noFill/>
            <a:ln w="12700">
              <a:solidFill>
                <a:srgbClr val="28C8C8"/>
              </a:solidFill>
            </a:ln>
          </cx:spPr>
          <cx:dataId val="4"/>
          <cx:layoutPr>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a:t>
                </a:r>
                <a:r>
                  <a:rPr lang="en-US" sz="1200" b="1" i="0" u="none" strike="noStrike" kern="1200" baseline="0">
                    <a:solidFill>
                      <a:srgbClr val="FF0000"/>
                    </a:solidFill>
                    <a:latin typeface="Times New Roman" panose="02020603050405020304" pitchFamily="18" charset="0"/>
                    <a:cs typeface="Times New Roman" panose="02020603050405020304" pitchFamily="18" charset="0"/>
                  </a:rPr>
                  <a:t>SPI</a:t>
                </a: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6" min="0"/>
        <cx:title>
          <cx:tx>
            <cx:rich>
              <a:bodyPr spcFirstLastPara="1" vertOverflow="ellipsis" horzOverflow="overflow" wrap="square" lIns="0" tIns="0" rIns="0" bIns="0" anchor="ctr" anchorCtr="1"/>
              <a:lstStyle/>
              <a:p>
                <a:pPr rtl="0"/>
                <a:r>
                  <a:rPr lang="en-US" sz="1200" b="0" i="0" baseline="0">
                    <a:effectLst/>
                    <a:latin typeface="Times New Roman" panose="02020603050405020304" pitchFamily="18" charset="0"/>
                    <a:cs typeface="Times New Roman" panose="02020603050405020304" pitchFamily="18" charset="0"/>
                  </a:rPr>
                  <a:t>log</a:t>
                </a:r>
                <a:r>
                  <a:rPr lang="en-US" sz="1200" b="0" i="0" baseline="-25000">
                    <a:effectLst/>
                    <a:latin typeface="Times New Roman" panose="02020603050405020304" pitchFamily="18" charset="0"/>
                    <a:cs typeface="Times New Roman" panose="02020603050405020304" pitchFamily="18" charset="0"/>
                  </a:rPr>
                  <a:t>10</a:t>
                </a:r>
                <a:r>
                  <a:rPr lang="en-US" sz="1200" b="0" i="0" baseline="0">
                    <a:effectLst/>
                    <a:latin typeface="Times New Roman" panose="02020603050405020304" pitchFamily="18" charset="0"/>
                    <a:cs typeface="Times New Roman" panose="02020603050405020304" pitchFamily="18" charset="0"/>
                  </a:rPr>
                  <a:t>[OP (GCN·L</a:t>
                </a:r>
                <a:r>
                  <a:rPr lang="en-US" sz="1200" b="0" i="0" baseline="30000">
                    <a:effectLst/>
                    <a:latin typeface="Times New Roman" panose="02020603050405020304" pitchFamily="18" charset="0"/>
                    <a:cs typeface="Times New Roman" panose="02020603050405020304" pitchFamily="18" charset="0"/>
                  </a:rPr>
                  <a:t>-1</a:t>
                </a:r>
                <a:r>
                  <a:rPr lang="en-US" sz="1200" b="0" i="0" baseline="0">
                    <a:effectLst/>
                    <a:latin typeface="Times New Roman" panose="02020603050405020304" pitchFamily="18" charset="0"/>
                    <a:cs typeface="Times New Roman" panose="02020603050405020304" pitchFamily="18" charset="0"/>
                  </a:rPr>
                  <a:t>)]</a:t>
                </a:r>
                <a:endParaRPr lang="en-US" sz="1200">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t" align="ctr"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28.xml><?xml version="1.0" encoding="utf-8"?>
<cx:chartSpace xmlns:a="http://schemas.openxmlformats.org/drawingml/2006/main" xmlns:r="http://schemas.openxmlformats.org/officeDocument/2006/relationships" xmlns:cx="http://schemas.microsoft.com/office/drawing/2014/chartex">
  <cx:chartData>
    <cx:data id="0">
      <cx:strDim type="cat">
        <cx:f>_xlchart.v1.251</cx:f>
      </cx:strDim>
      <cx:numDim type="val">
        <cx:f>_xlchart.v1.249</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_xlchart.v1.250</cx:f>
              <cx:v>Total bacteria</cx:v>
            </cx:txData>
          </cx:tx>
          <cx:spPr>
            <a:noFill/>
            <a:ln w="12700">
              <a:solidFill>
                <a:srgbClr val="5064E6">
                  <a:alpha val="97000"/>
                </a:srgbClr>
              </a:solidFill>
            </a:ln>
          </cx:spPr>
          <cx:dataId val="0"/>
          <cx:layoutPr>
            <cx:visibility meanLine="0" meanMarker="1" nonoutliers="1" outliers="1"/>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a:t>
                </a:r>
                <a:r>
                  <a:rPr lang="en-US" sz="1200" b="1" i="0" u="none" strike="noStrike" kern="1200" baseline="0">
                    <a:solidFill>
                      <a:srgbClr val="FF0000"/>
                    </a:solidFill>
                    <a:latin typeface="Times New Roman" panose="02020603050405020304" pitchFamily="18" charset="0"/>
                    <a:cs typeface="Times New Roman" panose="02020603050405020304" pitchFamily="18" charset="0"/>
                  </a:rPr>
                  <a:t>SPI</a:t>
                </a: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10" min="5"/>
        <cx:title>
          <cx:tx>
            <cx:rich>
              <a:bodyPr spcFirstLastPara="1" vertOverflow="ellipsis" horzOverflow="overflow" wrap="square" lIns="0" tIns="0" rIns="0" bIns="0" anchor="ctr" anchorCtr="1"/>
              <a:lstStyle/>
              <a:p>
                <a:pPr rtl="0"/>
                <a:r>
                  <a:rPr lang="en-US" sz="1200" b="0" i="0" baseline="0">
                    <a:effectLst/>
                    <a:latin typeface="Times New Roman" panose="02020603050405020304" pitchFamily="18" charset="0"/>
                    <a:cs typeface="Times New Roman" panose="02020603050405020304" pitchFamily="18" charset="0"/>
                  </a:rPr>
                  <a:t>log</a:t>
                </a:r>
                <a:r>
                  <a:rPr lang="en-US" sz="1200" b="0" i="0" baseline="-25000">
                    <a:effectLst/>
                    <a:latin typeface="Times New Roman" panose="02020603050405020304" pitchFamily="18" charset="0"/>
                    <a:cs typeface="Times New Roman" panose="02020603050405020304" pitchFamily="18" charset="0"/>
                  </a:rPr>
                  <a:t>10</a:t>
                </a:r>
                <a:r>
                  <a:rPr lang="en-US" sz="1200" b="0" i="0" baseline="0">
                    <a:effectLst/>
                    <a:latin typeface="Times New Roman" panose="02020603050405020304" pitchFamily="18" charset="0"/>
                    <a:cs typeface="Times New Roman" panose="02020603050405020304" pitchFamily="18" charset="0"/>
                  </a:rPr>
                  <a:t>[Total bacteria (GCN·L</a:t>
                </a:r>
                <a:r>
                  <a:rPr lang="en-US" sz="1200" b="0" i="0" baseline="30000">
                    <a:effectLst/>
                    <a:latin typeface="Times New Roman" panose="02020603050405020304" pitchFamily="18" charset="0"/>
                    <a:cs typeface="Times New Roman" panose="02020603050405020304" pitchFamily="18" charset="0"/>
                  </a:rPr>
                  <a:t>-1</a:t>
                </a:r>
                <a:r>
                  <a:rPr lang="en-US" sz="1200" b="0" i="0" baseline="0">
                    <a:effectLst/>
                    <a:latin typeface="Times New Roman" panose="02020603050405020304" pitchFamily="18" charset="0"/>
                    <a:cs typeface="Times New Roman" panose="02020603050405020304" pitchFamily="18" charset="0"/>
                  </a:rPr>
                  <a:t>)]</a:t>
                </a:r>
                <a:endParaRPr lang="en-US" sz="1200">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t" align="ctr"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29.xml><?xml version="1.0" encoding="utf-8"?>
<cx:chartSpace xmlns:a="http://schemas.openxmlformats.org/drawingml/2006/main" xmlns:r="http://schemas.openxmlformats.org/officeDocument/2006/relationships" xmlns:cx="http://schemas.microsoft.com/office/drawing/2014/chartex">
  <cx:chartData>
    <cx:data id="0">
      <cx:strDim type="cat">
        <cx:f>_xlchart.v1.201</cx:f>
      </cx:strDim>
      <cx:numDim type="val">
        <cx:f>_xlchart.v1.192</cx:f>
      </cx:numDim>
    </cx:data>
    <cx:data id="1">
      <cx:strDim type="cat">
        <cx:f>_xlchart.v1.201</cx:f>
      </cx:strDim>
      <cx:numDim type="val">
        <cx:f>_xlchart.v1.194</cx:f>
      </cx:numDim>
    </cx:data>
    <cx:data id="2">
      <cx:strDim type="cat">
        <cx:f>_xlchart.v1.201</cx:f>
      </cx:strDim>
      <cx:numDim type="val">
        <cx:f>_xlchart.v1.196</cx:f>
      </cx:numDim>
    </cx:data>
    <cx:data id="3">
      <cx:strDim type="cat">
        <cx:f>_xlchart.v1.201</cx:f>
      </cx:strDim>
      <cx:numDim type="val">
        <cx:f>_xlchart.v1.198</cx:f>
      </cx:numDim>
    </cx:data>
    <cx:data id="4">
      <cx:strDim type="cat">
        <cx:f>_xlchart.v1.201</cx:f>
      </cx:strDim>
      <cx:numDim type="val">
        <cx:f>_xlchart.v1.200</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_xlchart.v1.191</cx:f>
              <cx:v>Legionella</cx:v>
            </cx:txData>
          </cx:tx>
          <cx:spPr>
            <a:noFill/>
            <a:ln w="12700">
              <a:solidFill>
                <a:srgbClr val="F04646">
                  <a:alpha val="96863"/>
                </a:srgbClr>
              </a:solidFill>
            </a:ln>
          </cx:spPr>
          <cx:dataId val="0"/>
          <cx:layoutPr>
            <cx:visibility meanLine="0" meanMarker="1" nonoutliers="1" outliers="1"/>
            <cx:statistics quartileMethod="inclusive"/>
          </cx:layoutPr>
        </cx:series>
        <cx:series layoutId="boxWhisker" uniqueId="{00000000-13A6-46AF-97B2-7219B81DFFC0}">
          <cx:tx>
            <cx:txData>
              <cx:f>_xlchart.v1.193</cx:f>
              <cx:v>Mycobacterium</cx:v>
            </cx:txData>
          </cx:tx>
          <cx:spPr>
            <a:noFill/>
            <a:ln w="12700">
              <a:solidFill>
                <a:srgbClr val="5064E6"/>
              </a:solidFill>
            </a:ln>
          </cx:spPr>
          <cx:dataId val="1"/>
          <cx:layoutPr>
            <cx:statistics quartileMethod="inclusive"/>
          </cx:layoutPr>
        </cx:series>
        <cx:series layoutId="boxWhisker" uniqueId="{00000001-13A6-46AF-97B2-7219B81DFFC0}">
          <cx:tx>
            <cx:txData>
              <cx:f>_xlchart.v1.195</cx:f>
              <cx:v>Pseudomonas</cx:v>
            </cx:txData>
          </cx:tx>
          <cx:spPr>
            <a:noFill/>
            <a:ln w="12700">
              <a:solidFill>
                <a:srgbClr val="F014C8"/>
              </a:solidFill>
            </a:ln>
          </cx:spPr>
          <cx:dataId val="2"/>
          <cx:layoutPr>
            <cx:statistics quartileMethod="inclusive"/>
          </cx:layoutPr>
        </cx:series>
        <cx:series layoutId="boxWhisker" uniqueId="{00000000-3E06-4E27-8A66-1A8D2F8920EC}">
          <cx:tx>
            <cx:txData>
              <cx:f>_xlchart.v1.197</cx:f>
              <cx:v>Vermamoeba vermiformis</cx:v>
            </cx:txData>
          </cx:tx>
          <cx:spPr>
            <a:noFill/>
            <a:ln w="12700">
              <a:solidFill>
                <a:srgbClr val="3CE63C"/>
              </a:solidFill>
            </a:ln>
          </cx:spPr>
          <cx:dataId val="3"/>
          <cx:layoutPr>
            <cx:statistics quartileMethod="inclusive"/>
          </cx:layoutPr>
        </cx:series>
        <cx:series layoutId="boxWhisker" uniqueId="{00000001-3E06-4E27-8A66-1A8D2F8920EC}">
          <cx:tx>
            <cx:txData>
              <cx:f>_xlchart.v1.199</cx:f>
              <cx:v>Summed OP</cx:v>
            </cx:txData>
          </cx:tx>
          <cx:spPr>
            <a:noFill/>
            <a:ln w="12700">
              <a:solidFill>
                <a:srgbClr val="28C8C8"/>
              </a:solidFill>
            </a:ln>
          </cx:spPr>
          <cx:dataId val="4"/>
          <cx:layoutPr>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a:t>
                </a:r>
                <a:r>
                  <a:rPr lang="en-US" sz="1200" b="1" i="0" u="none" strike="noStrike" kern="1200" baseline="0">
                    <a:solidFill>
                      <a:srgbClr val="FF0000"/>
                    </a:solidFill>
                    <a:latin typeface="Times New Roman" panose="02020603050405020304" pitchFamily="18" charset="0"/>
                    <a:cs typeface="Times New Roman" panose="02020603050405020304" pitchFamily="18" charset="0"/>
                  </a:rPr>
                  <a:t>SPO</a:t>
                </a: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5.2000000000000002" min="0"/>
        <cx:title>
          <cx:tx>
            <cx:rich>
              <a:bodyPr spcFirstLastPara="1" vertOverflow="ellipsis" horzOverflow="overflow" wrap="square" lIns="0" tIns="0" rIns="0" bIns="0" anchor="ctr" anchorCtr="1"/>
              <a:lstStyle/>
              <a:p>
                <a:pPr rtl="0"/>
                <a:r>
                  <a:rPr lang="en-US" sz="1200" b="0" i="0" baseline="0">
                    <a:effectLst/>
                    <a:latin typeface="Times New Roman" panose="02020603050405020304" pitchFamily="18" charset="0"/>
                    <a:cs typeface="Times New Roman" panose="02020603050405020304" pitchFamily="18" charset="0"/>
                  </a:rPr>
                  <a:t>log</a:t>
                </a:r>
                <a:r>
                  <a:rPr lang="en-US" sz="1200" b="0" i="0" baseline="-25000">
                    <a:effectLst/>
                    <a:latin typeface="Times New Roman" panose="02020603050405020304" pitchFamily="18" charset="0"/>
                    <a:cs typeface="Times New Roman" panose="02020603050405020304" pitchFamily="18" charset="0"/>
                  </a:rPr>
                  <a:t>10</a:t>
                </a:r>
                <a:r>
                  <a:rPr lang="en-US" sz="1200" b="0" i="0" baseline="0">
                    <a:effectLst/>
                    <a:latin typeface="Times New Roman" panose="02020603050405020304" pitchFamily="18" charset="0"/>
                    <a:cs typeface="Times New Roman" panose="02020603050405020304" pitchFamily="18" charset="0"/>
                  </a:rPr>
                  <a:t>[OP (GCN·L</a:t>
                </a:r>
                <a:r>
                  <a:rPr lang="en-US" sz="1200" b="0" i="0" baseline="30000">
                    <a:effectLst/>
                    <a:latin typeface="Times New Roman" panose="02020603050405020304" pitchFamily="18" charset="0"/>
                    <a:cs typeface="Times New Roman" panose="02020603050405020304" pitchFamily="18" charset="0"/>
                  </a:rPr>
                  <a:t>-1</a:t>
                </a:r>
                <a:r>
                  <a:rPr lang="en-US" sz="1200" b="0" i="0" baseline="0">
                    <a:effectLst/>
                    <a:latin typeface="Times New Roman" panose="02020603050405020304" pitchFamily="18" charset="0"/>
                    <a:cs typeface="Times New Roman" panose="02020603050405020304" pitchFamily="18" charset="0"/>
                  </a:rPr>
                  <a:t>)]</a:t>
                </a:r>
                <a:endParaRPr lang="en-US" sz="1200">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t" align="ctr"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_xlchart.v1.101</cx:f>
      </cx:strDim>
      <cx:numDim type="val">
        <cx:f>_xlchart.v1.103</cx:f>
      </cx:numDim>
    </cx:data>
    <cx:data id="1">
      <cx:strDim type="cat">
        <cx:f>_xlchart.v1.101</cx:f>
      </cx:strDim>
      <cx:numDim type="val">
        <cx:f>_xlchart.v1.105</cx:f>
      </cx:numDim>
    </cx:data>
    <cx:data id="2">
      <cx:strDim type="cat">
        <cx:f>_xlchart.v1.101</cx:f>
      </cx:strDim>
      <cx:numDim type="val">
        <cx:f>_xlchart.v1.107</cx:f>
      </cx:numDim>
    </cx:data>
    <cx:data id="3">
      <cx:strDim type="cat">
        <cx:f>_xlchart.v1.101</cx:f>
      </cx:strDim>
      <cx:numDim type="val">
        <cx:f>_xlchart.v1.109</cx:f>
      </cx:numDim>
    </cx:data>
    <cx:data id="4">
      <cx:strDim type="cat">
        <cx:f>_xlchart.v1.101</cx:f>
      </cx:strDim>
      <cx:numDim type="val">
        <cx:f>_xlchart.v1.111</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_xlchart.v1.102</cx:f>
              <cx:v>Legionella</cx:v>
            </cx:txData>
          </cx:tx>
          <cx:spPr>
            <a:noFill/>
            <a:ln w="12700">
              <a:solidFill>
                <a:srgbClr val="F04646">
                  <a:alpha val="96863"/>
                </a:srgbClr>
              </a:solidFill>
            </a:ln>
          </cx:spPr>
          <cx:dataId val="0"/>
          <cx:layoutPr>
            <cx:visibility meanLine="0" meanMarker="1" nonoutliers="1" outliers="1"/>
            <cx:statistics quartileMethod="inclusive"/>
          </cx:layoutPr>
        </cx:series>
        <cx:series layoutId="boxWhisker" uniqueId="{00000000-13A6-46AF-97B2-7219B81DFFC0}">
          <cx:tx>
            <cx:txData>
              <cx:f>_xlchart.v1.104</cx:f>
              <cx:v>Mycobacterium</cx:v>
            </cx:txData>
          </cx:tx>
          <cx:spPr>
            <a:noFill/>
            <a:ln w="12700">
              <a:solidFill>
                <a:srgbClr val="5064E6"/>
              </a:solidFill>
            </a:ln>
          </cx:spPr>
          <cx:dataId val="1"/>
          <cx:layoutPr>
            <cx:statistics quartileMethod="inclusive"/>
          </cx:layoutPr>
        </cx:series>
        <cx:series layoutId="boxWhisker" uniqueId="{00000001-13A6-46AF-97B2-7219B81DFFC0}">
          <cx:tx>
            <cx:txData>
              <cx:f>_xlchart.v1.106</cx:f>
              <cx:v>Pseudomonas</cx:v>
            </cx:txData>
          </cx:tx>
          <cx:spPr>
            <a:noFill/>
            <a:ln w="12700">
              <a:solidFill>
                <a:srgbClr val="F014C8"/>
              </a:solidFill>
            </a:ln>
          </cx:spPr>
          <cx:dataId val="2"/>
          <cx:layoutPr>
            <cx:statistics quartileMethod="inclusive"/>
          </cx:layoutPr>
        </cx:series>
        <cx:series layoutId="boxWhisker" uniqueId="{00000000-3E06-4E27-8A66-1A8D2F8920EC}">
          <cx:tx>
            <cx:txData>
              <cx:f>_xlchart.v1.108</cx:f>
              <cx:v>Vermamoeba vermiformis</cx:v>
            </cx:txData>
          </cx:tx>
          <cx:spPr>
            <a:noFill/>
            <a:ln w="12700">
              <a:solidFill>
                <a:srgbClr val="3CE63C"/>
              </a:solidFill>
            </a:ln>
          </cx:spPr>
          <cx:dataId val="3"/>
          <cx:layoutPr>
            <cx:statistics quartileMethod="inclusive"/>
          </cx:layoutPr>
        </cx:series>
        <cx:series layoutId="boxWhisker" uniqueId="{00000001-3E06-4E27-8A66-1A8D2F8920EC}">
          <cx:tx>
            <cx:txData>
              <cx:f>_xlchart.v1.110</cx:f>
              <cx:v>Summed OP</cx:v>
            </cx:txData>
          </cx:tx>
          <cx:spPr>
            <a:noFill/>
            <a:ln w="12700">
              <a:solidFill>
                <a:srgbClr val="28C8C8"/>
              </a:solidFill>
            </a:ln>
          </cx:spPr>
          <cx:dataId val="4"/>
          <cx:layoutPr>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a:t>
                </a:r>
                <a:r>
                  <a:rPr lang="en-US" sz="1200" b="1" i="0" u="none" strike="noStrike" kern="1200" baseline="0">
                    <a:solidFill>
                      <a:srgbClr val="FF0000"/>
                    </a:solidFill>
                    <a:latin typeface="Times New Roman" panose="02020603050405020304" pitchFamily="18" charset="0"/>
                    <a:cs typeface="Times New Roman" panose="02020603050405020304" pitchFamily="18" charset="0"/>
                  </a:rPr>
                  <a:t>DWDS-Before the burn</a:t>
                </a: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6" min="0"/>
        <cx:title>
          <cx:tx>
            <cx:rich>
              <a:bodyPr spcFirstLastPara="1" vertOverflow="ellipsis" horzOverflow="overflow" wrap="square" lIns="0" tIns="0" rIns="0" bIns="0" anchor="ctr" anchorCtr="1"/>
              <a:lstStyle/>
              <a:p>
                <a:pPr rtl="0"/>
                <a:r>
                  <a:rPr lang="en-US" sz="1200" b="0" i="0" baseline="0">
                    <a:effectLst/>
                    <a:latin typeface="Times New Roman" panose="02020603050405020304" pitchFamily="18" charset="0"/>
                    <a:cs typeface="Times New Roman" panose="02020603050405020304" pitchFamily="18" charset="0"/>
                  </a:rPr>
                  <a:t>log</a:t>
                </a:r>
                <a:r>
                  <a:rPr lang="en-US" sz="1200" b="0" i="0" baseline="-25000">
                    <a:effectLst/>
                    <a:latin typeface="Times New Roman" panose="02020603050405020304" pitchFamily="18" charset="0"/>
                    <a:cs typeface="Times New Roman" panose="02020603050405020304" pitchFamily="18" charset="0"/>
                  </a:rPr>
                  <a:t>10</a:t>
                </a:r>
                <a:r>
                  <a:rPr lang="en-US" sz="1200" b="0" i="0" baseline="0">
                    <a:effectLst/>
                    <a:latin typeface="Times New Roman" panose="02020603050405020304" pitchFamily="18" charset="0"/>
                    <a:cs typeface="Times New Roman" panose="02020603050405020304" pitchFamily="18" charset="0"/>
                  </a:rPr>
                  <a:t>[OP (GCN·L</a:t>
                </a:r>
                <a:r>
                  <a:rPr lang="en-US" sz="1200" b="0" i="0" baseline="30000">
                    <a:effectLst/>
                    <a:latin typeface="Times New Roman" panose="02020603050405020304" pitchFamily="18" charset="0"/>
                    <a:cs typeface="Times New Roman" panose="02020603050405020304" pitchFamily="18" charset="0"/>
                  </a:rPr>
                  <a:t>-1</a:t>
                </a:r>
                <a:r>
                  <a:rPr lang="en-US" sz="1200" b="0" i="0" baseline="0">
                    <a:effectLst/>
                    <a:latin typeface="Times New Roman" panose="02020603050405020304" pitchFamily="18" charset="0"/>
                    <a:cs typeface="Times New Roman" panose="02020603050405020304" pitchFamily="18" charset="0"/>
                  </a:rPr>
                  <a:t>)]</a:t>
                </a:r>
                <a:endParaRPr lang="en-US" sz="1200">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t" align="ctr"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30.xml><?xml version="1.0" encoding="utf-8"?>
<cx:chartSpace xmlns:a="http://schemas.openxmlformats.org/drawingml/2006/main" xmlns:r="http://schemas.openxmlformats.org/officeDocument/2006/relationships" xmlns:cx="http://schemas.microsoft.com/office/drawing/2014/chartex">
  <cx:chartData>
    <cx:data id="0">
      <cx:strDim type="cat">
        <cx:f>_xlchart.v1.176</cx:f>
      </cx:strDim>
      <cx:numDim type="val">
        <cx:f>_xlchart.v1.175</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_xlchart.v1.174</cx:f>
              <cx:v>Total bacteria</cx:v>
            </cx:txData>
          </cx:tx>
          <cx:spPr>
            <a:noFill/>
            <a:ln w="12700">
              <a:solidFill>
                <a:srgbClr val="5064E6">
                  <a:alpha val="97000"/>
                </a:srgbClr>
              </a:solidFill>
            </a:ln>
          </cx:spPr>
          <cx:dataId val="0"/>
          <cx:layoutPr>
            <cx:visibility meanLine="0" meanMarker="1" nonoutliers="1" outliers="1"/>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a:t>
                </a:r>
                <a:r>
                  <a:rPr lang="en-US" sz="1200" b="1" i="0" u="none" strike="noStrike" kern="1200" baseline="0">
                    <a:solidFill>
                      <a:srgbClr val="FF0000"/>
                    </a:solidFill>
                    <a:latin typeface="Times New Roman" panose="02020603050405020304" pitchFamily="18" charset="0"/>
                    <a:cs typeface="Times New Roman" panose="02020603050405020304" pitchFamily="18" charset="0"/>
                  </a:rPr>
                  <a:t>SPO</a:t>
                </a: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8.5" min="4.5"/>
        <cx:title>
          <cx:tx>
            <cx:rich>
              <a:bodyPr spcFirstLastPara="1" vertOverflow="ellipsis" horzOverflow="overflow" wrap="square" lIns="0" tIns="0" rIns="0" bIns="0" anchor="ctr" anchorCtr="1"/>
              <a:lstStyle/>
              <a:p>
                <a:pPr rtl="0">
                  <a:defRPr>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baseline="0">
                    <a:effectLst/>
                    <a:latin typeface="Times New Roman" panose="02020603050405020304" pitchFamily="18" charset="0"/>
                    <a:cs typeface="Times New Roman" panose="02020603050405020304" pitchFamily="18" charset="0"/>
                  </a:rPr>
                  <a:t>log</a:t>
                </a:r>
                <a:r>
                  <a:rPr lang="en-US" sz="1200" b="0" i="0" baseline="-25000">
                    <a:effectLst/>
                    <a:latin typeface="Times New Roman" panose="02020603050405020304" pitchFamily="18" charset="0"/>
                    <a:cs typeface="Times New Roman" panose="02020603050405020304" pitchFamily="18" charset="0"/>
                  </a:rPr>
                  <a:t>10</a:t>
                </a:r>
                <a:r>
                  <a:rPr lang="en-US" sz="1200" b="0" i="0" baseline="0">
                    <a:effectLst/>
                    <a:latin typeface="Times New Roman" panose="02020603050405020304" pitchFamily="18" charset="0"/>
                    <a:cs typeface="Times New Roman" panose="02020603050405020304" pitchFamily="18" charset="0"/>
                  </a:rPr>
                  <a:t>[Total bacteria (GCN·L</a:t>
                </a:r>
                <a:r>
                  <a:rPr lang="en-US" sz="1200" b="0" i="0" baseline="30000">
                    <a:effectLst/>
                    <a:latin typeface="Times New Roman" panose="02020603050405020304" pitchFamily="18" charset="0"/>
                    <a:cs typeface="Times New Roman" panose="02020603050405020304" pitchFamily="18" charset="0"/>
                  </a:rPr>
                  <a:t>-1</a:t>
                </a:r>
                <a:r>
                  <a:rPr lang="en-US" sz="1200" b="0" i="0" baseline="0">
                    <a:effectLst/>
                    <a:latin typeface="Times New Roman" panose="02020603050405020304" pitchFamily="18" charset="0"/>
                    <a:cs typeface="Times New Roman" panose="02020603050405020304" pitchFamily="18" charset="0"/>
                  </a:rPr>
                  <a:t>)]</a:t>
                </a:r>
                <a:endParaRPr lang="en-US" sz="1200">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t" align="ctr"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31.xml><?xml version="1.0" encoding="utf-8"?>
<cx:chartSpace xmlns:a="http://schemas.openxmlformats.org/drawingml/2006/main" xmlns:r="http://schemas.openxmlformats.org/officeDocument/2006/relationships" xmlns:cx="http://schemas.microsoft.com/office/drawing/2014/chartex">
  <cx:chartData>
    <cx:data id="0">
      <cx:strDim type="cat">
        <cx:f>_xlchart.v1.237</cx:f>
      </cx:strDim>
      <cx:numDim type="val">
        <cx:f>_xlchart.v1.228</cx:f>
      </cx:numDim>
    </cx:data>
    <cx:data id="1">
      <cx:strDim type="cat">
        <cx:f>_xlchart.v1.237</cx:f>
      </cx:strDim>
      <cx:numDim type="val">
        <cx:f>_xlchart.v1.230</cx:f>
      </cx:numDim>
    </cx:data>
    <cx:data id="2">
      <cx:strDim type="cat">
        <cx:f>_xlchart.v1.237</cx:f>
      </cx:strDim>
      <cx:numDim type="val">
        <cx:f>_xlchart.v1.232</cx:f>
      </cx:numDim>
    </cx:data>
    <cx:data id="3">
      <cx:strDim type="cat">
        <cx:f>_xlchart.v1.237</cx:f>
      </cx:strDim>
      <cx:numDim type="val">
        <cx:f>_xlchart.v1.234</cx:f>
      </cx:numDim>
    </cx:data>
    <cx:data id="4">
      <cx:strDim type="cat">
        <cx:f>_xlchart.v1.237</cx:f>
      </cx:strDim>
      <cx:numDim type="val">
        <cx:f>_xlchart.v1.236</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_xlchart.v1.227</cx:f>
              <cx:v>Legionella</cx:v>
            </cx:txData>
          </cx:tx>
          <cx:spPr>
            <a:noFill/>
            <a:ln w="12700">
              <a:solidFill>
                <a:srgbClr val="F04646">
                  <a:alpha val="96863"/>
                </a:srgbClr>
              </a:solidFill>
            </a:ln>
          </cx:spPr>
          <cx:dataId val="0"/>
          <cx:layoutPr>
            <cx:visibility meanLine="0" meanMarker="1" nonoutliers="1" outliers="1"/>
            <cx:statistics quartileMethod="inclusive"/>
          </cx:layoutPr>
        </cx:series>
        <cx:series layoutId="boxWhisker" uniqueId="{00000000-13A6-46AF-97B2-7219B81DFFC0}">
          <cx:tx>
            <cx:txData>
              <cx:f>_xlchart.v1.229</cx:f>
              <cx:v>Mycobacterium</cx:v>
            </cx:txData>
          </cx:tx>
          <cx:spPr>
            <a:noFill/>
            <a:ln w="12700">
              <a:solidFill>
                <a:srgbClr val="5064E6"/>
              </a:solidFill>
            </a:ln>
          </cx:spPr>
          <cx:dataId val="1"/>
          <cx:layoutPr>
            <cx:statistics quartileMethod="inclusive"/>
          </cx:layoutPr>
        </cx:series>
        <cx:series layoutId="boxWhisker" uniqueId="{00000001-13A6-46AF-97B2-7219B81DFFC0}">
          <cx:tx>
            <cx:txData>
              <cx:f>_xlchart.v1.231</cx:f>
              <cx:v>Pseudomonas</cx:v>
            </cx:txData>
          </cx:tx>
          <cx:spPr>
            <a:noFill/>
            <a:ln w="12700">
              <a:solidFill>
                <a:srgbClr val="F014C8"/>
              </a:solidFill>
            </a:ln>
          </cx:spPr>
          <cx:dataId val="2"/>
          <cx:layoutPr>
            <cx:statistics quartileMethod="inclusive"/>
          </cx:layoutPr>
        </cx:series>
        <cx:series layoutId="boxWhisker" uniqueId="{00000000-3E06-4E27-8A66-1A8D2F8920EC}">
          <cx:tx>
            <cx:txData>
              <cx:f>_xlchart.v1.233</cx:f>
              <cx:v>Vermamoeba vermiformis</cx:v>
            </cx:txData>
          </cx:tx>
          <cx:spPr>
            <a:noFill/>
            <a:ln w="12700">
              <a:solidFill>
                <a:srgbClr val="3CE63C"/>
              </a:solidFill>
            </a:ln>
          </cx:spPr>
          <cx:dataId val="3"/>
          <cx:layoutPr>
            <cx:statistics quartileMethod="inclusive"/>
          </cx:layoutPr>
        </cx:series>
        <cx:series layoutId="boxWhisker" uniqueId="{00000001-3E06-4E27-8A66-1A8D2F8920EC}">
          <cx:tx>
            <cx:txData>
              <cx:f>_xlchart.v1.235</cx:f>
              <cx:v>Summed OP</cx:v>
            </cx:txData>
          </cx:tx>
          <cx:spPr>
            <a:noFill/>
            <a:ln w="12700">
              <a:solidFill>
                <a:srgbClr val="28C8C8"/>
              </a:solidFill>
            </a:ln>
          </cx:spPr>
          <cx:dataId val="4"/>
          <cx:layoutPr>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a:t>
                </a:r>
                <a:r>
                  <a:rPr lang="en-US" sz="1200" b="1" i="0" u="none" strike="noStrike" kern="1200" baseline="0">
                    <a:solidFill>
                      <a:srgbClr val="FF0000"/>
                    </a:solidFill>
                    <a:latin typeface="Times New Roman" panose="02020603050405020304" pitchFamily="18" charset="0"/>
                    <a:cs typeface="Times New Roman" panose="02020603050405020304" pitchFamily="18" charset="0"/>
                  </a:rPr>
                  <a:t>MRT</a:t>
                </a: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6.4000000000000004" min="0"/>
        <cx:title>
          <cx:tx>
            <cx:rich>
              <a:bodyPr spcFirstLastPara="1" vertOverflow="ellipsis" horzOverflow="overflow" wrap="square" lIns="0" tIns="0" rIns="0" bIns="0" anchor="ctr" anchorCtr="1"/>
              <a:lstStyle/>
              <a:p>
                <a:pPr rtl="0"/>
                <a:r>
                  <a:rPr lang="en-US" sz="1200" b="0" i="0" baseline="0">
                    <a:effectLst/>
                    <a:latin typeface="Times New Roman" panose="02020603050405020304" pitchFamily="18" charset="0"/>
                    <a:cs typeface="Times New Roman" panose="02020603050405020304" pitchFamily="18" charset="0"/>
                  </a:rPr>
                  <a:t>log</a:t>
                </a:r>
                <a:r>
                  <a:rPr lang="en-US" sz="1200" b="0" i="0" baseline="-25000">
                    <a:effectLst/>
                    <a:latin typeface="Times New Roman" panose="02020603050405020304" pitchFamily="18" charset="0"/>
                    <a:cs typeface="Times New Roman" panose="02020603050405020304" pitchFamily="18" charset="0"/>
                  </a:rPr>
                  <a:t>10</a:t>
                </a:r>
                <a:r>
                  <a:rPr lang="en-US" sz="1200" b="0" i="0" baseline="0">
                    <a:effectLst/>
                    <a:latin typeface="Times New Roman" panose="02020603050405020304" pitchFamily="18" charset="0"/>
                    <a:cs typeface="Times New Roman" panose="02020603050405020304" pitchFamily="18" charset="0"/>
                  </a:rPr>
                  <a:t>[OP (GCN·L</a:t>
                </a:r>
                <a:r>
                  <a:rPr lang="en-US" sz="1200" b="0" i="0" baseline="30000">
                    <a:effectLst/>
                    <a:latin typeface="Times New Roman" panose="02020603050405020304" pitchFamily="18" charset="0"/>
                    <a:cs typeface="Times New Roman" panose="02020603050405020304" pitchFamily="18" charset="0"/>
                  </a:rPr>
                  <a:t>-1</a:t>
                </a:r>
                <a:r>
                  <a:rPr lang="en-US" sz="1200" b="0" i="0" baseline="0">
                    <a:effectLst/>
                    <a:latin typeface="Times New Roman" panose="02020603050405020304" pitchFamily="18" charset="0"/>
                    <a:cs typeface="Times New Roman" panose="02020603050405020304" pitchFamily="18" charset="0"/>
                  </a:rPr>
                  <a:t>)]</a:t>
                </a:r>
                <a:endParaRPr lang="en-US" sz="1200">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t" align="ctr"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32.xml><?xml version="1.0" encoding="utf-8"?>
<cx:chartSpace xmlns:a="http://schemas.openxmlformats.org/drawingml/2006/main" xmlns:r="http://schemas.openxmlformats.org/officeDocument/2006/relationships" xmlns:cx="http://schemas.microsoft.com/office/drawing/2014/chartex">
  <cx:chartData>
    <cx:data id="0">
      <cx:strDim type="cat">
        <cx:f>_xlchart.v1.265</cx:f>
      </cx:strDim>
      <cx:numDim type="val">
        <cx:f>_xlchart.v1.264</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_xlchart.v1.263</cx:f>
              <cx:v>Total bacteria</cx:v>
            </cx:txData>
          </cx:tx>
          <cx:spPr>
            <a:noFill/>
            <a:ln w="12700">
              <a:solidFill>
                <a:srgbClr val="5064E6">
                  <a:alpha val="97000"/>
                </a:srgbClr>
              </a:solidFill>
            </a:ln>
          </cx:spPr>
          <cx:dataId val="0"/>
          <cx:layoutPr>
            <cx:visibility meanLine="0" meanMarker="1" nonoutliers="1" outliers="1"/>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a:t>
                </a:r>
                <a:r>
                  <a:rPr lang="en-US" sz="1200" b="1" i="0" u="none" strike="noStrike" kern="1200" baseline="0">
                    <a:solidFill>
                      <a:srgbClr val="FF0000"/>
                    </a:solidFill>
                    <a:latin typeface="Times New Roman" panose="02020603050405020304" pitchFamily="18" charset="0"/>
                    <a:cs typeface="Times New Roman" panose="02020603050405020304" pitchFamily="18" charset="0"/>
                  </a:rPr>
                  <a:t>MRT</a:t>
                </a: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10.5" min="6.5"/>
        <cx:title>
          <cx:tx>
            <cx:rich>
              <a:bodyPr spcFirstLastPara="1" vertOverflow="ellipsis" horzOverflow="overflow" wrap="square" lIns="0" tIns="0" rIns="0" bIns="0" anchor="ctr" anchorCtr="1"/>
              <a:lstStyle/>
              <a:p>
                <a:pPr rtl="0"/>
                <a:r>
                  <a:rPr lang="en-US" sz="1200" b="0" i="0" baseline="0">
                    <a:effectLst/>
                    <a:latin typeface="Times New Roman" panose="02020603050405020304" pitchFamily="18" charset="0"/>
                    <a:cs typeface="Times New Roman" panose="02020603050405020304" pitchFamily="18" charset="0"/>
                  </a:rPr>
                  <a:t>log</a:t>
                </a:r>
                <a:r>
                  <a:rPr lang="en-US" sz="1200" b="0" i="0" baseline="-25000">
                    <a:effectLst/>
                    <a:latin typeface="Times New Roman" panose="02020603050405020304" pitchFamily="18" charset="0"/>
                    <a:cs typeface="Times New Roman" panose="02020603050405020304" pitchFamily="18" charset="0"/>
                  </a:rPr>
                  <a:t>10</a:t>
                </a:r>
                <a:r>
                  <a:rPr lang="en-US" sz="1200" b="0" i="0" baseline="0">
                    <a:effectLst/>
                    <a:latin typeface="Times New Roman" panose="02020603050405020304" pitchFamily="18" charset="0"/>
                    <a:cs typeface="Times New Roman" panose="02020603050405020304" pitchFamily="18" charset="0"/>
                  </a:rPr>
                  <a:t>[Total bacteria (GCN·L</a:t>
                </a:r>
                <a:r>
                  <a:rPr lang="en-US" sz="1200" b="0" i="0" baseline="30000">
                    <a:effectLst/>
                    <a:latin typeface="Times New Roman" panose="02020603050405020304" pitchFamily="18" charset="0"/>
                    <a:cs typeface="Times New Roman" panose="02020603050405020304" pitchFamily="18" charset="0"/>
                  </a:rPr>
                  <a:t>-1</a:t>
                </a:r>
                <a:r>
                  <a:rPr lang="en-US" sz="1200" b="0" i="0" baseline="0">
                    <a:effectLst/>
                    <a:latin typeface="Times New Roman" panose="02020603050405020304" pitchFamily="18" charset="0"/>
                    <a:cs typeface="Times New Roman" panose="02020603050405020304" pitchFamily="18" charset="0"/>
                  </a:rPr>
                  <a:t>)]</a:t>
                </a:r>
                <a:endParaRPr lang="en-US" sz="1200">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t" align="ctr"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33.xml><?xml version="1.0" encoding="utf-8"?>
<cx:chartSpace xmlns:a="http://schemas.openxmlformats.org/drawingml/2006/main" xmlns:r="http://schemas.openxmlformats.org/officeDocument/2006/relationships" xmlns:cx="http://schemas.microsoft.com/office/drawing/2014/chartex">
  <cx:chartData>
    <cx:data id="0">
      <cx:strDim type="cat">
        <cx:f>_xlchart.v1.212</cx:f>
      </cx:strDim>
      <cx:numDim type="val">
        <cx:f>_xlchart.v1.203</cx:f>
      </cx:numDim>
    </cx:data>
    <cx:data id="1">
      <cx:strDim type="cat">
        <cx:f>_xlchart.v1.212</cx:f>
      </cx:strDim>
      <cx:numDim type="val">
        <cx:f>_xlchart.v1.205</cx:f>
      </cx:numDim>
    </cx:data>
    <cx:data id="2">
      <cx:strDim type="cat">
        <cx:f>_xlchart.v1.212</cx:f>
      </cx:strDim>
      <cx:numDim type="val">
        <cx:f>_xlchart.v1.207</cx:f>
      </cx:numDim>
    </cx:data>
    <cx:data id="3">
      <cx:strDim type="cat">
        <cx:f>_xlchart.v1.212</cx:f>
      </cx:strDim>
      <cx:numDim type="val">
        <cx:f>_xlchart.v1.209</cx:f>
      </cx:numDim>
    </cx:data>
    <cx:data id="4">
      <cx:strDim type="cat">
        <cx:f>_xlchart.v1.212</cx:f>
      </cx:strDim>
      <cx:numDim type="val">
        <cx:f>_xlchart.v1.211</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_xlchart.v1.202</cx:f>
              <cx:v>Legionella</cx:v>
            </cx:txData>
          </cx:tx>
          <cx:spPr>
            <a:noFill/>
            <a:ln w="12700">
              <a:solidFill>
                <a:srgbClr val="F04646">
                  <a:alpha val="96863"/>
                </a:srgbClr>
              </a:solidFill>
            </a:ln>
          </cx:spPr>
          <cx:dataId val="0"/>
          <cx:layoutPr>
            <cx:visibility meanLine="0" meanMarker="1" nonoutliers="1" outliers="1"/>
            <cx:statistics quartileMethod="inclusive"/>
          </cx:layoutPr>
        </cx:series>
        <cx:series layoutId="boxWhisker" uniqueId="{00000000-13A6-46AF-97B2-7219B81DFFC0}">
          <cx:tx>
            <cx:txData>
              <cx:f>_xlchart.v1.204</cx:f>
              <cx:v>Mycobacterium</cx:v>
            </cx:txData>
          </cx:tx>
          <cx:spPr>
            <a:noFill/>
            <a:ln w="12700">
              <a:solidFill>
                <a:srgbClr val="5064E6"/>
              </a:solidFill>
            </a:ln>
          </cx:spPr>
          <cx:dataId val="1"/>
          <cx:layoutPr>
            <cx:statistics quartileMethod="inclusive"/>
          </cx:layoutPr>
        </cx:series>
        <cx:series layoutId="boxWhisker" uniqueId="{00000001-13A6-46AF-97B2-7219B81DFFC0}">
          <cx:tx>
            <cx:txData>
              <cx:f>_xlchart.v1.206</cx:f>
              <cx:v>Pseudomonas</cx:v>
            </cx:txData>
          </cx:tx>
          <cx:spPr>
            <a:noFill/>
            <a:ln w="12700">
              <a:solidFill>
                <a:srgbClr val="F014C8"/>
              </a:solidFill>
            </a:ln>
          </cx:spPr>
          <cx:dataId val="2"/>
          <cx:layoutPr>
            <cx:statistics quartileMethod="inclusive"/>
          </cx:layoutPr>
        </cx:series>
        <cx:series layoutId="boxWhisker" uniqueId="{00000000-3E06-4E27-8A66-1A8D2F8920EC}">
          <cx:tx>
            <cx:txData>
              <cx:f>_xlchart.v1.208</cx:f>
              <cx:v>Vermamoeba vermiformis</cx:v>
            </cx:txData>
          </cx:tx>
          <cx:spPr>
            <a:noFill/>
            <a:ln w="12700">
              <a:solidFill>
                <a:srgbClr val="3CE63C"/>
              </a:solidFill>
            </a:ln>
          </cx:spPr>
          <cx:dataId val="3"/>
          <cx:layoutPr>
            <cx:statistics quartileMethod="inclusive"/>
          </cx:layoutPr>
        </cx:series>
        <cx:series layoutId="boxWhisker" uniqueId="{00000001-3E06-4E27-8A66-1A8D2F8920EC}">
          <cx:tx>
            <cx:txData>
              <cx:f>_xlchart.v1.210</cx:f>
              <cx:v>Summed OP</cx:v>
            </cx:txData>
          </cx:tx>
          <cx:spPr>
            <a:noFill/>
            <a:ln w="12700">
              <a:solidFill>
                <a:srgbClr val="28C8C8"/>
              </a:solidFill>
            </a:ln>
          </cx:spPr>
          <cx:dataId val="4"/>
          <cx:layoutPr>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a:t>
                </a:r>
                <a:r>
                  <a:rPr lang="en-US" sz="1200" b="1" i="0" u="none" strike="noStrike" kern="1200" baseline="0">
                    <a:solidFill>
                      <a:srgbClr val="FF0000"/>
                    </a:solidFill>
                    <a:latin typeface="Times New Roman" panose="02020603050405020304" pitchFamily="18" charset="0"/>
                    <a:cs typeface="Times New Roman" panose="02020603050405020304" pitchFamily="18" charset="0"/>
                  </a:rPr>
                  <a:t>RN</a:t>
                </a: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8" min="0"/>
        <cx:title>
          <cx:tx>
            <cx:rich>
              <a:bodyPr spcFirstLastPara="1" vertOverflow="ellipsis" horzOverflow="overflow" wrap="square" lIns="0" tIns="0" rIns="0" bIns="0" anchor="ctr" anchorCtr="1"/>
              <a:lstStyle/>
              <a:p>
                <a:pPr rtl="0"/>
                <a:r>
                  <a:rPr lang="en-US" sz="1200" b="0" i="0" baseline="0">
                    <a:effectLst/>
                    <a:latin typeface="Times New Roman" panose="02020603050405020304" pitchFamily="18" charset="0"/>
                    <a:cs typeface="Times New Roman" panose="02020603050405020304" pitchFamily="18" charset="0"/>
                  </a:rPr>
                  <a:t>log</a:t>
                </a:r>
                <a:r>
                  <a:rPr lang="en-US" sz="1200" b="0" i="0" baseline="-25000">
                    <a:effectLst/>
                    <a:latin typeface="Times New Roman" panose="02020603050405020304" pitchFamily="18" charset="0"/>
                    <a:cs typeface="Times New Roman" panose="02020603050405020304" pitchFamily="18" charset="0"/>
                  </a:rPr>
                  <a:t>10</a:t>
                </a:r>
                <a:r>
                  <a:rPr lang="en-US" sz="1200" b="0" i="0" baseline="0">
                    <a:effectLst/>
                    <a:latin typeface="Times New Roman" panose="02020603050405020304" pitchFamily="18" charset="0"/>
                    <a:cs typeface="Times New Roman" panose="02020603050405020304" pitchFamily="18" charset="0"/>
                  </a:rPr>
                  <a:t>[OP (GCN·L</a:t>
                </a:r>
                <a:r>
                  <a:rPr lang="en-US" sz="1200" b="0" i="0" baseline="30000">
                    <a:effectLst/>
                    <a:latin typeface="Times New Roman" panose="02020603050405020304" pitchFamily="18" charset="0"/>
                    <a:cs typeface="Times New Roman" panose="02020603050405020304" pitchFamily="18" charset="0"/>
                  </a:rPr>
                  <a:t>-1</a:t>
                </a:r>
                <a:r>
                  <a:rPr lang="en-US" sz="1200" b="0" i="0" baseline="0">
                    <a:effectLst/>
                    <a:latin typeface="Times New Roman" panose="02020603050405020304" pitchFamily="18" charset="0"/>
                    <a:cs typeface="Times New Roman" panose="02020603050405020304" pitchFamily="18" charset="0"/>
                  </a:rPr>
                  <a:t>)]</a:t>
                </a:r>
                <a:endParaRPr lang="en-US" sz="1200">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t" align="ctr"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34.xml><?xml version="1.0" encoding="utf-8"?>
<cx:chartSpace xmlns:a="http://schemas.openxmlformats.org/drawingml/2006/main" xmlns:r="http://schemas.openxmlformats.org/officeDocument/2006/relationships" xmlns:cx="http://schemas.microsoft.com/office/drawing/2014/chartex">
  <cx:chartData>
    <cx:data id="0">
      <cx:strDim type="cat">
        <cx:f>_xlchart.v1.215</cx:f>
      </cx:strDim>
      <cx:numDim type="val">
        <cx:f>_xlchart.v1.214</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_xlchart.v1.213</cx:f>
              <cx:v>Total bacteria</cx:v>
            </cx:txData>
          </cx:tx>
          <cx:spPr>
            <a:noFill/>
            <a:ln w="12700">
              <a:solidFill>
                <a:srgbClr val="5064E6">
                  <a:alpha val="97000"/>
                </a:srgbClr>
              </a:solidFill>
            </a:ln>
          </cx:spPr>
          <cx:dataId val="0"/>
          <cx:layoutPr>
            <cx:visibility meanLine="0" meanMarker="1" nonoutliers="1" outliers="1"/>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a:t>
                </a:r>
                <a:r>
                  <a:rPr lang="en-US" sz="1200" b="1" i="0" u="none" strike="noStrike" kern="1200" baseline="0">
                    <a:solidFill>
                      <a:srgbClr val="FF0000"/>
                    </a:solidFill>
                    <a:latin typeface="Times New Roman" panose="02020603050405020304" pitchFamily="18" charset="0"/>
                    <a:cs typeface="Times New Roman" panose="02020603050405020304" pitchFamily="18" charset="0"/>
                  </a:rPr>
                  <a:t>RN</a:t>
                </a: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10" min="7.5"/>
        <cx:title>
          <cx:tx>
            <cx:rich>
              <a:bodyPr spcFirstLastPara="1" vertOverflow="ellipsis" horzOverflow="overflow" wrap="square" lIns="0" tIns="0" rIns="0" bIns="0" anchor="ctr" anchorCtr="1"/>
              <a:lstStyle/>
              <a:p>
                <a:pPr rtl="0"/>
                <a:r>
                  <a:rPr lang="en-US" sz="1200" b="0" i="0" baseline="0">
                    <a:effectLst/>
                    <a:latin typeface="Times New Roman" panose="02020603050405020304" pitchFamily="18" charset="0"/>
                    <a:cs typeface="Times New Roman" panose="02020603050405020304" pitchFamily="18" charset="0"/>
                  </a:rPr>
                  <a:t>log</a:t>
                </a:r>
                <a:r>
                  <a:rPr lang="en-US" sz="1200" b="0" i="0" baseline="-25000">
                    <a:effectLst/>
                    <a:latin typeface="Times New Roman" panose="02020603050405020304" pitchFamily="18" charset="0"/>
                    <a:cs typeface="Times New Roman" panose="02020603050405020304" pitchFamily="18" charset="0"/>
                  </a:rPr>
                  <a:t>10</a:t>
                </a:r>
                <a:r>
                  <a:rPr lang="en-US" sz="1200" b="0" i="0" baseline="0">
                    <a:effectLst/>
                    <a:latin typeface="Times New Roman" panose="02020603050405020304" pitchFamily="18" charset="0"/>
                    <a:cs typeface="Times New Roman" panose="02020603050405020304" pitchFamily="18" charset="0"/>
                  </a:rPr>
                  <a:t>[Total bacteria (GCN·L</a:t>
                </a:r>
                <a:r>
                  <a:rPr lang="en-US" sz="1200" b="0" i="0" baseline="30000">
                    <a:effectLst/>
                    <a:latin typeface="Times New Roman" panose="02020603050405020304" pitchFamily="18" charset="0"/>
                    <a:cs typeface="Times New Roman" panose="02020603050405020304" pitchFamily="18" charset="0"/>
                  </a:rPr>
                  <a:t>-1</a:t>
                </a:r>
                <a:r>
                  <a:rPr lang="en-US" sz="1200" b="0" i="0" baseline="0">
                    <a:effectLst/>
                    <a:latin typeface="Times New Roman" panose="02020603050405020304" pitchFamily="18" charset="0"/>
                    <a:cs typeface="Times New Roman" panose="02020603050405020304" pitchFamily="18" charset="0"/>
                  </a:rPr>
                  <a:t>)]</a:t>
                </a:r>
                <a:endParaRPr lang="en-US" sz="1200">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t" align="ctr"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35.xml><?xml version="1.0" encoding="utf-8"?>
<cx:chartSpace xmlns:a="http://schemas.openxmlformats.org/drawingml/2006/main" xmlns:r="http://schemas.openxmlformats.org/officeDocument/2006/relationships" xmlns:cx="http://schemas.microsoft.com/office/drawing/2014/chartex">
  <cx:chartData>
    <cx:data id="0">
      <cx:strDim type="cat">
        <cx:f>_xlchart.v1.226</cx:f>
      </cx:strDim>
      <cx:numDim type="val">
        <cx:f>_xlchart.v1.217</cx:f>
      </cx:numDim>
    </cx:data>
    <cx:data id="1">
      <cx:strDim type="cat">
        <cx:f>_xlchart.v1.226</cx:f>
      </cx:strDim>
      <cx:numDim type="val">
        <cx:f>_xlchart.v1.219</cx:f>
      </cx:numDim>
    </cx:data>
    <cx:data id="2">
      <cx:strDim type="cat">
        <cx:f>_xlchart.v1.226</cx:f>
      </cx:strDim>
      <cx:numDim type="val">
        <cx:f>_xlchart.v1.221</cx:f>
      </cx:numDim>
    </cx:data>
    <cx:data id="3">
      <cx:strDim type="cat">
        <cx:f>_xlchart.v1.226</cx:f>
      </cx:strDim>
      <cx:numDim type="val">
        <cx:f>_xlchart.v1.223</cx:f>
      </cx:numDim>
    </cx:data>
    <cx:data id="4">
      <cx:strDim type="cat">
        <cx:f>_xlchart.v1.226</cx:f>
      </cx:strDim>
      <cx:numDim type="val">
        <cx:f>_xlchart.v1.225</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_xlchart.v1.216</cx:f>
              <cx:v>Legionella</cx:v>
            </cx:txData>
          </cx:tx>
          <cx:spPr>
            <a:noFill/>
            <a:ln w="12700">
              <a:solidFill>
                <a:srgbClr val="F04646">
                  <a:alpha val="96863"/>
                </a:srgbClr>
              </a:solidFill>
            </a:ln>
          </cx:spPr>
          <cx:dataId val="0"/>
          <cx:layoutPr>
            <cx:visibility meanLine="0" meanMarker="1" nonoutliers="1" outliers="1"/>
            <cx:statistics quartileMethod="inclusive"/>
          </cx:layoutPr>
        </cx:series>
        <cx:series layoutId="boxWhisker" uniqueId="{00000000-13A6-46AF-97B2-7219B81DFFC0}">
          <cx:tx>
            <cx:txData>
              <cx:f>_xlchart.v1.218</cx:f>
              <cx:v>Mycobacterium</cx:v>
            </cx:txData>
          </cx:tx>
          <cx:spPr>
            <a:noFill/>
            <a:ln w="12700">
              <a:solidFill>
                <a:srgbClr val="5064E6"/>
              </a:solidFill>
            </a:ln>
          </cx:spPr>
          <cx:dataId val="1"/>
          <cx:layoutPr>
            <cx:statistics quartileMethod="inclusive"/>
          </cx:layoutPr>
        </cx:series>
        <cx:series layoutId="boxWhisker" uniqueId="{00000001-13A6-46AF-97B2-7219B81DFFC0}">
          <cx:tx>
            <cx:txData>
              <cx:f>_xlchart.v1.220</cx:f>
              <cx:v>Pseudomonas</cx:v>
            </cx:txData>
          </cx:tx>
          <cx:spPr>
            <a:noFill/>
            <a:ln w="12700">
              <a:solidFill>
                <a:srgbClr val="F014C8"/>
              </a:solidFill>
            </a:ln>
          </cx:spPr>
          <cx:dataId val="2"/>
          <cx:layoutPr>
            <cx:statistics quartileMethod="inclusive"/>
          </cx:layoutPr>
        </cx:series>
        <cx:series layoutId="boxWhisker" uniqueId="{00000000-3E06-4E27-8A66-1A8D2F8920EC}">
          <cx:tx>
            <cx:txData>
              <cx:f>_xlchart.v1.222</cx:f>
              <cx:v>Vermamoeba vermiformis</cx:v>
            </cx:txData>
          </cx:tx>
          <cx:spPr>
            <a:noFill/>
            <a:ln w="12700">
              <a:solidFill>
                <a:srgbClr val="3CE63C"/>
              </a:solidFill>
            </a:ln>
          </cx:spPr>
          <cx:dataId val="3"/>
          <cx:layoutPr>
            <cx:statistics quartileMethod="inclusive"/>
          </cx:layoutPr>
        </cx:series>
        <cx:series layoutId="boxWhisker" uniqueId="{00000001-3E06-4E27-8A66-1A8D2F8920EC}">
          <cx:tx>
            <cx:txData>
              <cx:f>_xlchart.v1.224</cx:f>
              <cx:v>Summed OP</cx:v>
            </cx:txData>
          </cx:tx>
          <cx:spPr>
            <a:noFill/>
            <a:ln w="12700">
              <a:solidFill>
                <a:srgbClr val="28C8C8"/>
              </a:solidFill>
            </a:ln>
          </cx:spPr>
          <cx:dataId val="4"/>
          <cx:layoutPr>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a:t>
                </a:r>
                <a:r>
                  <a:rPr lang="en-US" sz="1200" b="1" i="0" u="none" strike="noStrike" kern="1200" baseline="0">
                    <a:solidFill>
                      <a:srgbClr val="FF0000"/>
                    </a:solidFill>
                    <a:latin typeface="Times New Roman" panose="02020603050405020304" pitchFamily="18" charset="0"/>
                    <a:cs typeface="Times New Roman" panose="02020603050405020304" pitchFamily="18" charset="0"/>
                  </a:rPr>
                  <a:t>RU</a:t>
                </a: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7" min="0"/>
        <cx:title>
          <cx:tx>
            <cx:rich>
              <a:bodyPr spcFirstLastPara="1" vertOverflow="ellipsis" horzOverflow="overflow" wrap="square" lIns="0" tIns="0" rIns="0" bIns="0" anchor="ctr" anchorCtr="1"/>
              <a:lstStyle/>
              <a:p>
                <a:pPr rtl="0"/>
                <a:r>
                  <a:rPr lang="en-US" sz="1200" b="0" i="0" baseline="0">
                    <a:effectLst/>
                    <a:latin typeface="Times New Roman" panose="02020603050405020304" pitchFamily="18" charset="0"/>
                    <a:cs typeface="Times New Roman" panose="02020603050405020304" pitchFamily="18" charset="0"/>
                  </a:rPr>
                  <a:t>log</a:t>
                </a:r>
                <a:r>
                  <a:rPr lang="en-US" sz="1200" b="0" i="0" baseline="-25000">
                    <a:effectLst/>
                    <a:latin typeface="Times New Roman" panose="02020603050405020304" pitchFamily="18" charset="0"/>
                    <a:cs typeface="Times New Roman" panose="02020603050405020304" pitchFamily="18" charset="0"/>
                  </a:rPr>
                  <a:t>10</a:t>
                </a:r>
                <a:r>
                  <a:rPr lang="en-US" sz="1200" b="0" i="0" baseline="0">
                    <a:effectLst/>
                    <a:latin typeface="Times New Roman" panose="02020603050405020304" pitchFamily="18" charset="0"/>
                    <a:cs typeface="Times New Roman" panose="02020603050405020304" pitchFamily="18" charset="0"/>
                  </a:rPr>
                  <a:t>[OP (GCN·L</a:t>
                </a:r>
                <a:r>
                  <a:rPr lang="en-US" sz="1200" b="0" i="0" baseline="30000">
                    <a:effectLst/>
                    <a:latin typeface="Times New Roman" panose="02020603050405020304" pitchFamily="18" charset="0"/>
                    <a:cs typeface="Times New Roman" panose="02020603050405020304" pitchFamily="18" charset="0"/>
                  </a:rPr>
                  <a:t>-1</a:t>
                </a:r>
                <a:r>
                  <a:rPr lang="en-US" sz="1200" b="0" i="0" baseline="0">
                    <a:effectLst/>
                    <a:latin typeface="Times New Roman" panose="02020603050405020304" pitchFamily="18" charset="0"/>
                    <a:cs typeface="Times New Roman" panose="02020603050405020304" pitchFamily="18" charset="0"/>
                  </a:rPr>
                  <a:t>)]</a:t>
                </a:r>
                <a:endParaRPr lang="en-US" sz="1200">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t" align="ctr"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36.xml><?xml version="1.0" encoding="utf-8"?>
<cx:chartSpace xmlns:a="http://schemas.openxmlformats.org/drawingml/2006/main" xmlns:r="http://schemas.openxmlformats.org/officeDocument/2006/relationships" xmlns:cx="http://schemas.microsoft.com/office/drawing/2014/chartex">
  <cx:chartData>
    <cx:data id="0">
      <cx:strDim type="cat">
        <cx:f>_xlchart.v1.190</cx:f>
      </cx:strDim>
      <cx:numDim type="val">
        <cx:f>_xlchart.v1.189</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_xlchart.v1.188</cx:f>
              <cx:v>Total bacteria</cx:v>
            </cx:txData>
          </cx:tx>
          <cx:spPr>
            <a:noFill/>
            <a:ln w="12700">
              <a:solidFill>
                <a:srgbClr val="5064E6">
                  <a:alpha val="97000"/>
                </a:srgbClr>
              </a:solidFill>
            </a:ln>
          </cx:spPr>
          <cx:dataId val="0"/>
          <cx:layoutPr>
            <cx:visibility meanLine="0" meanMarker="1" nonoutliers="1" outliers="1"/>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a:t>
                </a:r>
                <a:r>
                  <a:rPr lang="en-US" sz="1200" b="1" i="0" u="none" strike="noStrike" kern="1200" baseline="0">
                    <a:solidFill>
                      <a:srgbClr val="FF0000"/>
                    </a:solidFill>
                    <a:latin typeface="Times New Roman" panose="02020603050405020304" pitchFamily="18" charset="0"/>
                    <a:cs typeface="Times New Roman" panose="02020603050405020304" pitchFamily="18" charset="0"/>
                  </a:rPr>
                  <a:t>RU</a:t>
                </a: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10" min="6"/>
        <cx:title>
          <cx:tx>
            <cx:rich>
              <a:bodyPr spcFirstLastPara="1" vertOverflow="ellipsis" horzOverflow="overflow" wrap="square" lIns="0" tIns="0" rIns="0" bIns="0" anchor="ctr" anchorCtr="1"/>
              <a:lstStyle/>
              <a:p>
                <a:pPr rtl="0"/>
                <a:r>
                  <a:rPr lang="en-US" sz="1200" b="0" i="0" baseline="0">
                    <a:effectLst/>
                    <a:latin typeface="Times New Roman" panose="02020603050405020304" pitchFamily="18" charset="0"/>
                    <a:cs typeface="Times New Roman" panose="02020603050405020304" pitchFamily="18" charset="0"/>
                  </a:rPr>
                  <a:t>log</a:t>
                </a:r>
                <a:r>
                  <a:rPr lang="en-US" sz="1200" b="0" i="0" baseline="-25000">
                    <a:effectLst/>
                    <a:latin typeface="Times New Roman" panose="02020603050405020304" pitchFamily="18" charset="0"/>
                    <a:cs typeface="Times New Roman" panose="02020603050405020304" pitchFamily="18" charset="0"/>
                  </a:rPr>
                  <a:t>10</a:t>
                </a:r>
                <a:r>
                  <a:rPr lang="en-US" sz="1200" b="0" i="0" baseline="0">
                    <a:effectLst/>
                    <a:latin typeface="Times New Roman" panose="02020603050405020304" pitchFamily="18" charset="0"/>
                    <a:cs typeface="Times New Roman" panose="02020603050405020304" pitchFamily="18" charset="0"/>
                  </a:rPr>
                  <a:t>[Total bacteria (GCN·L</a:t>
                </a:r>
                <a:r>
                  <a:rPr lang="en-US" sz="1200" b="0" i="0" baseline="30000">
                    <a:effectLst/>
                    <a:latin typeface="Times New Roman" panose="02020603050405020304" pitchFamily="18" charset="0"/>
                    <a:cs typeface="Times New Roman" panose="02020603050405020304" pitchFamily="18" charset="0"/>
                  </a:rPr>
                  <a:t>-1</a:t>
                </a:r>
                <a:r>
                  <a:rPr lang="en-US" sz="1200" b="0" i="0" baseline="0">
                    <a:effectLst/>
                    <a:latin typeface="Times New Roman" panose="02020603050405020304" pitchFamily="18" charset="0"/>
                    <a:cs typeface="Times New Roman" panose="02020603050405020304" pitchFamily="18" charset="0"/>
                  </a:rPr>
                  <a:t>)]</a:t>
                </a:r>
                <a:endParaRPr lang="en-US" sz="1200">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r" align="min"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37.xml><?xml version="1.0" encoding="utf-8"?>
<cx:chartSpace xmlns:a="http://schemas.openxmlformats.org/drawingml/2006/main" xmlns:r="http://schemas.openxmlformats.org/officeDocument/2006/relationships" xmlns:cx="http://schemas.microsoft.com/office/drawing/2014/chartex">
  <cx:chartData>
    <cx:data id="0">
      <cx:strDim type="cat">
        <cx:f>_xlchart.v1.248</cx:f>
      </cx:strDim>
      <cx:numDim type="val">
        <cx:f>_xlchart.v1.239</cx:f>
      </cx:numDim>
    </cx:data>
    <cx:data id="1">
      <cx:strDim type="cat">
        <cx:f>_xlchart.v1.248</cx:f>
      </cx:strDim>
      <cx:numDim type="val">
        <cx:f>_xlchart.v1.241</cx:f>
      </cx:numDim>
    </cx:data>
    <cx:data id="2">
      <cx:strDim type="cat">
        <cx:f>_xlchart.v1.248</cx:f>
      </cx:strDim>
      <cx:numDim type="val">
        <cx:f>_xlchart.v1.243</cx:f>
      </cx:numDim>
    </cx:data>
    <cx:data id="3">
      <cx:strDim type="cat">
        <cx:f>_xlchart.v1.248</cx:f>
      </cx:strDim>
      <cx:numDim type="val">
        <cx:f>_xlchart.v1.245</cx:f>
      </cx:numDim>
    </cx:data>
    <cx:data id="4">
      <cx:strDim type="cat">
        <cx:f>_xlchart.v1.248</cx:f>
      </cx:strDim>
      <cx:numDim type="val">
        <cx:f>_xlchart.v1.247</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_xlchart.v1.238</cx:f>
              <cx:v>Legionella</cx:v>
            </cx:txData>
          </cx:tx>
          <cx:spPr>
            <a:noFill/>
            <a:ln w="12700">
              <a:solidFill>
                <a:srgbClr val="F04646">
                  <a:alpha val="96863"/>
                </a:srgbClr>
              </a:solidFill>
            </a:ln>
          </cx:spPr>
          <cx:dataId val="0"/>
          <cx:layoutPr>
            <cx:visibility meanLine="0" meanMarker="1" nonoutliers="1" outliers="1"/>
            <cx:statistics quartileMethod="inclusive"/>
          </cx:layoutPr>
        </cx:series>
        <cx:series layoutId="boxWhisker" uniqueId="{00000000-13A6-46AF-97B2-7219B81DFFC0}">
          <cx:tx>
            <cx:txData>
              <cx:f>_xlchart.v1.240</cx:f>
              <cx:v>Mycobacterium</cx:v>
            </cx:txData>
          </cx:tx>
          <cx:spPr>
            <a:noFill/>
            <a:ln w="12700">
              <a:solidFill>
                <a:srgbClr val="5064E6"/>
              </a:solidFill>
            </a:ln>
          </cx:spPr>
          <cx:dataId val="1"/>
          <cx:layoutPr>
            <cx:statistics quartileMethod="inclusive"/>
          </cx:layoutPr>
        </cx:series>
        <cx:series layoutId="boxWhisker" uniqueId="{00000001-13A6-46AF-97B2-7219B81DFFC0}">
          <cx:tx>
            <cx:txData>
              <cx:f>_xlchart.v1.242</cx:f>
              <cx:v>Pseudomonas</cx:v>
            </cx:txData>
          </cx:tx>
          <cx:spPr>
            <a:noFill/>
            <a:ln w="12700">
              <a:solidFill>
                <a:srgbClr val="F014C8"/>
              </a:solidFill>
            </a:ln>
          </cx:spPr>
          <cx:dataId val="2"/>
          <cx:layoutPr>
            <cx:statistics quartileMethod="inclusive"/>
          </cx:layoutPr>
        </cx:series>
        <cx:series layoutId="boxWhisker" uniqueId="{00000000-3E06-4E27-8A66-1A8D2F8920EC}">
          <cx:tx>
            <cx:txData>
              <cx:f>_xlchart.v1.244</cx:f>
              <cx:v>Vermamoeba vermiformis</cx:v>
            </cx:txData>
          </cx:tx>
          <cx:spPr>
            <a:noFill/>
            <a:ln w="12700">
              <a:solidFill>
                <a:srgbClr val="3CE63C"/>
              </a:solidFill>
            </a:ln>
          </cx:spPr>
          <cx:dataId val="3"/>
          <cx:layoutPr>
            <cx:statistics quartileMethod="inclusive"/>
          </cx:layoutPr>
        </cx:series>
        <cx:series layoutId="boxWhisker" uniqueId="{00000001-3E06-4E27-8A66-1A8D2F8920EC}">
          <cx:tx>
            <cx:txData>
              <cx:f>_xlchart.v1.246</cx:f>
              <cx:v>Summed OP</cx:v>
            </cx:txData>
          </cx:tx>
          <cx:spPr>
            <a:noFill/>
            <a:ln w="12700">
              <a:solidFill>
                <a:srgbClr val="28C8C8"/>
              </a:solidFill>
            </a:ln>
          </cx:spPr>
          <cx:dataId val="4"/>
          <cx:layoutPr>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a:t>
                </a:r>
                <a:r>
                  <a:rPr lang="en-US" sz="1200" b="1" i="0" u="none" strike="noStrike" kern="1200" baseline="0">
                    <a:solidFill>
                      <a:srgbClr val="FF0000"/>
                    </a:solidFill>
                    <a:latin typeface="Times New Roman" panose="02020603050405020304" pitchFamily="18" charset="0"/>
                    <a:cs typeface="Times New Roman" panose="02020603050405020304" pitchFamily="18" charset="0"/>
                  </a:rPr>
                  <a:t>RL</a:t>
                </a: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6" min="0"/>
        <cx:title>
          <cx:tx>
            <cx:rich>
              <a:bodyPr spcFirstLastPara="1" vertOverflow="ellipsis" horzOverflow="overflow" wrap="square" lIns="0" tIns="0" rIns="0" bIns="0" anchor="ctr" anchorCtr="1"/>
              <a:lstStyle/>
              <a:p>
                <a:pPr rtl="0"/>
                <a:r>
                  <a:rPr lang="en-US" sz="1200" b="0" i="0" baseline="0">
                    <a:effectLst/>
                    <a:latin typeface="Times New Roman" panose="02020603050405020304" pitchFamily="18" charset="0"/>
                    <a:cs typeface="Times New Roman" panose="02020603050405020304" pitchFamily="18" charset="0"/>
                  </a:rPr>
                  <a:t>log</a:t>
                </a:r>
                <a:r>
                  <a:rPr lang="en-US" sz="1200" b="0" i="0" baseline="-25000">
                    <a:effectLst/>
                    <a:latin typeface="Times New Roman" panose="02020603050405020304" pitchFamily="18" charset="0"/>
                    <a:cs typeface="Times New Roman" panose="02020603050405020304" pitchFamily="18" charset="0"/>
                  </a:rPr>
                  <a:t>10</a:t>
                </a:r>
                <a:r>
                  <a:rPr lang="en-US" sz="1200" b="0" i="0" baseline="0">
                    <a:effectLst/>
                    <a:latin typeface="Times New Roman" panose="02020603050405020304" pitchFamily="18" charset="0"/>
                    <a:cs typeface="Times New Roman" panose="02020603050405020304" pitchFamily="18" charset="0"/>
                  </a:rPr>
                  <a:t>[OP (GCN·L</a:t>
                </a:r>
                <a:r>
                  <a:rPr lang="en-US" sz="1200" b="0" i="0" baseline="30000">
                    <a:effectLst/>
                    <a:latin typeface="Times New Roman" panose="02020603050405020304" pitchFamily="18" charset="0"/>
                    <a:cs typeface="Times New Roman" panose="02020603050405020304" pitchFamily="18" charset="0"/>
                  </a:rPr>
                  <a:t>-1</a:t>
                </a:r>
                <a:r>
                  <a:rPr lang="en-US" sz="1200" b="0" i="0" baseline="0">
                    <a:effectLst/>
                    <a:latin typeface="Times New Roman" panose="02020603050405020304" pitchFamily="18" charset="0"/>
                    <a:cs typeface="Times New Roman" panose="02020603050405020304" pitchFamily="18" charset="0"/>
                  </a:rPr>
                  <a:t>)]</a:t>
                </a:r>
                <a:endParaRPr lang="en-US" sz="1200">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t" align="ctr"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38.xml><?xml version="1.0" encoding="utf-8"?>
<cx:chartSpace xmlns:a="http://schemas.openxmlformats.org/drawingml/2006/main" xmlns:r="http://schemas.openxmlformats.org/officeDocument/2006/relationships" xmlns:cx="http://schemas.microsoft.com/office/drawing/2014/chartex">
  <cx:chartData>
    <cx:data id="0">
      <cx:strDim type="cat">
        <cx:f>_xlchart.v1.268</cx:f>
      </cx:strDim>
      <cx:numDim type="val">
        <cx:f>_xlchart.v1.267</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_xlchart.v1.266</cx:f>
              <cx:v>Total bacteria</cx:v>
            </cx:txData>
          </cx:tx>
          <cx:spPr>
            <a:noFill/>
            <a:ln w="12700">
              <a:solidFill>
                <a:srgbClr val="5064E6">
                  <a:alpha val="97000"/>
                </a:srgbClr>
              </a:solidFill>
            </a:ln>
          </cx:spPr>
          <cx:dataId val="0"/>
          <cx:layoutPr>
            <cx:visibility meanLine="0" meanMarker="1" nonoutliers="1" outliers="1"/>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a:t>
                </a:r>
                <a:r>
                  <a:rPr lang="en-US" sz="1200" b="1" i="0" u="none" strike="noStrike" kern="1200" baseline="0">
                    <a:solidFill>
                      <a:srgbClr val="FF0000"/>
                    </a:solidFill>
                    <a:latin typeface="Times New Roman" panose="02020603050405020304" pitchFamily="18" charset="0"/>
                    <a:cs typeface="Times New Roman" panose="02020603050405020304" pitchFamily="18" charset="0"/>
                  </a:rPr>
                  <a:t>RL</a:t>
                </a: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10" min="7"/>
        <cx:title>
          <cx:tx>
            <cx:rich>
              <a:bodyPr spcFirstLastPara="1" vertOverflow="ellipsis" horzOverflow="overflow" wrap="square" lIns="0" tIns="0" rIns="0" bIns="0" anchor="ctr" anchorCtr="1"/>
              <a:lstStyle/>
              <a:p>
                <a:pPr rtl="0"/>
                <a:r>
                  <a:rPr lang="en-US" sz="1200" b="0" i="0" baseline="0">
                    <a:effectLst/>
                    <a:latin typeface="Times New Roman" panose="02020603050405020304" pitchFamily="18" charset="0"/>
                    <a:cs typeface="Times New Roman" panose="02020603050405020304" pitchFamily="18" charset="0"/>
                  </a:rPr>
                  <a:t>log</a:t>
                </a:r>
                <a:r>
                  <a:rPr lang="en-US" sz="1200" b="0" i="0" baseline="-25000">
                    <a:effectLst/>
                    <a:latin typeface="Times New Roman" panose="02020603050405020304" pitchFamily="18" charset="0"/>
                    <a:cs typeface="Times New Roman" panose="02020603050405020304" pitchFamily="18" charset="0"/>
                  </a:rPr>
                  <a:t>10</a:t>
                </a:r>
                <a:r>
                  <a:rPr lang="en-US" sz="1200" b="0" i="0" baseline="0">
                    <a:effectLst/>
                    <a:latin typeface="Times New Roman" panose="02020603050405020304" pitchFamily="18" charset="0"/>
                    <a:cs typeface="Times New Roman" panose="02020603050405020304" pitchFamily="18" charset="0"/>
                  </a:rPr>
                  <a:t>[Total bacteria (GCN·L</a:t>
                </a:r>
                <a:r>
                  <a:rPr lang="en-US" sz="1200" b="0" i="0" baseline="30000">
                    <a:effectLst/>
                    <a:latin typeface="Times New Roman" panose="02020603050405020304" pitchFamily="18" charset="0"/>
                    <a:cs typeface="Times New Roman" panose="02020603050405020304" pitchFamily="18" charset="0"/>
                  </a:rPr>
                  <a:t>-1</a:t>
                </a:r>
                <a:r>
                  <a:rPr lang="en-US" sz="1200" b="0" i="0" baseline="0">
                    <a:effectLst/>
                    <a:latin typeface="Times New Roman" panose="02020603050405020304" pitchFamily="18" charset="0"/>
                    <a:cs typeface="Times New Roman" panose="02020603050405020304" pitchFamily="18" charset="0"/>
                  </a:rPr>
                  <a:t>)]</a:t>
                </a:r>
                <a:endParaRPr lang="en-US" sz="1200">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t" align="ctr"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39.xml><?xml version="1.0" encoding="utf-8"?>
<cx:chartSpace xmlns:a="http://schemas.openxmlformats.org/drawingml/2006/main" xmlns:r="http://schemas.openxmlformats.org/officeDocument/2006/relationships" xmlns:cx="http://schemas.microsoft.com/office/drawing/2014/chartex">
  <cx:chartData>
    <cx:data id="0">
      <cx:strDim type="cat">
        <cx:f>_xlchart.v1.318</cx:f>
      </cx:strDim>
      <cx:numDim type="val">
        <cx:f>_xlchart.v1.309</cx:f>
      </cx:numDim>
    </cx:data>
    <cx:data id="1">
      <cx:strDim type="cat">
        <cx:f>_xlchart.v1.318</cx:f>
      </cx:strDim>
      <cx:numDim type="val">
        <cx:f>_xlchart.v1.311</cx:f>
      </cx:numDim>
    </cx:data>
    <cx:data id="2">
      <cx:strDim type="cat">
        <cx:f>_xlchart.v1.318</cx:f>
      </cx:strDim>
      <cx:numDim type="val">
        <cx:f>_xlchart.v1.313</cx:f>
      </cx:numDim>
    </cx:data>
    <cx:data id="3">
      <cx:strDim type="cat">
        <cx:f>_xlchart.v1.318</cx:f>
      </cx:strDim>
      <cx:numDim type="val">
        <cx:f>_xlchart.v1.315</cx:f>
      </cx:numDim>
    </cx:data>
    <cx:data id="4">
      <cx:strDim type="cat">
        <cx:f>_xlchart.v1.318</cx:f>
      </cx:strDim>
      <cx:numDim type="val">
        <cx:f>_xlchart.v1.317</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_xlchart.v1.308</cx:f>
              <cx:v>Legionella</cx:v>
            </cx:txData>
          </cx:tx>
          <cx:spPr>
            <a:noFill/>
            <a:ln w="12700">
              <a:solidFill>
                <a:srgbClr val="F04646">
                  <a:alpha val="96863"/>
                </a:srgbClr>
              </a:solidFill>
            </a:ln>
          </cx:spPr>
          <cx:dataId val="0"/>
          <cx:layoutPr>
            <cx:visibility meanLine="0" meanMarker="1" nonoutliers="1" outliers="1"/>
            <cx:statistics quartileMethod="inclusive"/>
          </cx:layoutPr>
        </cx:series>
        <cx:series layoutId="boxWhisker" uniqueId="{00000000-13A6-46AF-97B2-7219B81DFFC0}">
          <cx:tx>
            <cx:txData>
              <cx:f>_xlchart.v1.310</cx:f>
              <cx:v>Mycobacterium</cx:v>
            </cx:txData>
          </cx:tx>
          <cx:spPr>
            <a:noFill/>
            <a:ln w="12700">
              <a:solidFill>
                <a:srgbClr val="5064E6"/>
              </a:solidFill>
            </a:ln>
          </cx:spPr>
          <cx:dataId val="1"/>
          <cx:layoutPr>
            <cx:statistics quartileMethod="inclusive"/>
          </cx:layoutPr>
        </cx:series>
        <cx:series layoutId="boxWhisker" uniqueId="{00000001-13A6-46AF-97B2-7219B81DFFC0}">
          <cx:tx>
            <cx:txData>
              <cx:f>_xlchart.v1.312</cx:f>
              <cx:v>Pseudomonas</cx:v>
            </cx:txData>
          </cx:tx>
          <cx:spPr>
            <a:noFill/>
            <a:ln w="12700">
              <a:solidFill>
                <a:srgbClr val="F014C8"/>
              </a:solidFill>
            </a:ln>
          </cx:spPr>
          <cx:dataId val="2"/>
          <cx:layoutPr>
            <cx:statistics quartileMethod="inclusive"/>
          </cx:layoutPr>
        </cx:series>
        <cx:series layoutId="boxWhisker" uniqueId="{00000000-3E06-4E27-8A66-1A8D2F8920EC}">
          <cx:tx>
            <cx:txData>
              <cx:f>_xlchart.v1.314</cx:f>
              <cx:v>Vermamoeba vermiformis</cx:v>
            </cx:txData>
          </cx:tx>
          <cx:spPr>
            <a:noFill/>
            <a:ln w="12700">
              <a:solidFill>
                <a:srgbClr val="3CE63C"/>
              </a:solidFill>
            </a:ln>
          </cx:spPr>
          <cx:dataId val="3"/>
          <cx:layoutPr>
            <cx:statistics quartileMethod="inclusive"/>
          </cx:layoutPr>
        </cx:series>
        <cx:series layoutId="boxWhisker" uniqueId="{00000001-3E06-4E27-8A66-1A8D2F8920EC}">
          <cx:tx>
            <cx:txData>
              <cx:f>_xlchart.v1.316</cx:f>
              <cx:v>Summed OP</cx:v>
            </cx:txData>
          </cx:tx>
          <cx:spPr>
            <a:noFill/>
            <a:ln w="12700">
              <a:solidFill>
                <a:srgbClr val="28C8C8"/>
              </a:solidFill>
            </a:ln>
          </cx:spPr>
          <cx:dataId val="4"/>
          <cx:layoutPr>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a:t>
                </a:r>
                <a:r>
                  <a:rPr lang="en-US" sz="1200" b="1" i="0" u="none" strike="noStrike" kern="1200" baseline="0">
                    <a:solidFill>
                      <a:srgbClr val="FF0000"/>
                    </a:solidFill>
                    <a:latin typeface="Times New Roman" panose="02020603050405020304" pitchFamily="18" charset="0"/>
                    <a:cs typeface="Times New Roman" panose="02020603050405020304" pitchFamily="18" charset="0"/>
                  </a:rPr>
                  <a:t>DWDS</a:t>
                </a: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8" min="0"/>
        <cx:title>
          <cx:tx>
            <cx:rich>
              <a:bodyPr spcFirstLastPara="1" vertOverflow="ellipsis" horzOverflow="overflow" wrap="square" lIns="0" tIns="0" rIns="0" bIns="0" anchor="ctr" anchorCtr="1"/>
              <a:lstStyle/>
              <a:p>
                <a:pPr rtl="0"/>
                <a:r>
                  <a:rPr lang="en-US" sz="1200" b="0" i="0" baseline="0">
                    <a:effectLst/>
                    <a:latin typeface="Times New Roman" panose="02020603050405020304" pitchFamily="18" charset="0"/>
                    <a:cs typeface="Times New Roman" panose="02020603050405020304" pitchFamily="18" charset="0"/>
                  </a:rPr>
                  <a:t>log</a:t>
                </a:r>
                <a:r>
                  <a:rPr lang="en-US" sz="1200" b="0" i="0" baseline="-25000">
                    <a:effectLst/>
                    <a:latin typeface="Times New Roman" panose="02020603050405020304" pitchFamily="18" charset="0"/>
                    <a:cs typeface="Times New Roman" panose="02020603050405020304" pitchFamily="18" charset="0"/>
                  </a:rPr>
                  <a:t>10</a:t>
                </a:r>
                <a:r>
                  <a:rPr lang="en-US" sz="1200" b="0" i="0" baseline="0">
                    <a:effectLst/>
                    <a:latin typeface="Times New Roman" panose="02020603050405020304" pitchFamily="18" charset="0"/>
                    <a:cs typeface="Times New Roman" panose="02020603050405020304" pitchFamily="18" charset="0"/>
                  </a:rPr>
                  <a:t>[OP (GCN·L</a:t>
                </a:r>
                <a:r>
                  <a:rPr lang="en-US" sz="1200" b="0" i="0" baseline="30000">
                    <a:effectLst/>
                    <a:latin typeface="Times New Roman" panose="02020603050405020304" pitchFamily="18" charset="0"/>
                    <a:cs typeface="Times New Roman" panose="02020603050405020304" pitchFamily="18" charset="0"/>
                  </a:rPr>
                  <a:t>-1</a:t>
                </a:r>
                <a:r>
                  <a:rPr lang="en-US" sz="1200" b="0" i="0" baseline="0">
                    <a:effectLst/>
                    <a:latin typeface="Times New Roman" panose="02020603050405020304" pitchFamily="18" charset="0"/>
                    <a:cs typeface="Times New Roman" panose="02020603050405020304" pitchFamily="18" charset="0"/>
                  </a:rPr>
                  <a:t>)]</a:t>
                </a:r>
                <a:endParaRPr lang="en-US" sz="1200">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t" align="ctr"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4.xml><?xml version="1.0" encoding="utf-8"?>
<cx:chartSpace xmlns:a="http://schemas.openxmlformats.org/drawingml/2006/main" xmlns:r="http://schemas.openxmlformats.org/officeDocument/2006/relationships" xmlns:cx="http://schemas.microsoft.com/office/drawing/2014/chartex">
  <cx:chartData>
    <cx:data id="0">
      <cx:strDim type="cat">
        <cx:f>_xlchart.v1.40</cx:f>
      </cx:strDim>
      <cx:numDim type="val">
        <cx:f>_xlchart.v1.39</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_xlchart.v1.41</cx:f>
              <cx:v>Total bacteria</cx:v>
            </cx:txData>
          </cx:tx>
          <cx:spPr>
            <a:noFill/>
            <a:ln w="12700">
              <a:solidFill>
                <a:srgbClr val="5064E6">
                  <a:alpha val="97000"/>
                </a:srgbClr>
              </a:solidFill>
            </a:ln>
          </cx:spPr>
          <cx:dataId val="0"/>
          <cx:layoutPr>
            <cx:visibility meanLine="0" meanMarker="1" nonoutliers="1" outliers="1"/>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a:t>
                </a:r>
                <a:r>
                  <a:rPr lang="en-US" sz="1200" b="1" i="0" u="none" strike="noStrike" kern="1200" baseline="0">
                    <a:solidFill>
                      <a:srgbClr val="FF0000"/>
                    </a:solidFill>
                    <a:latin typeface="Times New Roman" panose="02020603050405020304" pitchFamily="18" charset="0"/>
                    <a:cs typeface="Times New Roman" panose="02020603050405020304" pitchFamily="18" charset="0"/>
                  </a:rPr>
                  <a:t>DWDS-Before the burn</a:t>
                </a: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10.5" min="6.5"/>
        <cx:title>
          <cx:tx>
            <cx:rich>
              <a:bodyPr spcFirstLastPara="1" vertOverflow="ellipsis" horzOverflow="overflow" wrap="square" lIns="0" tIns="0" rIns="0" bIns="0" anchor="ctr" anchorCtr="1"/>
              <a:lstStyle/>
              <a:p>
                <a:pPr rtl="0"/>
                <a:r>
                  <a:rPr lang="en-US" sz="1200" b="0" i="0" baseline="0">
                    <a:effectLst/>
                    <a:latin typeface="Times New Roman" panose="02020603050405020304" pitchFamily="18" charset="0"/>
                    <a:cs typeface="Times New Roman" panose="02020603050405020304" pitchFamily="18" charset="0"/>
                  </a:rPr>
                  <a:t>log</a:t>
                </a:r>
                <a:r>
                  <a:rPr lang="en-US" sz="1200" b="0" i="0" baseline="-25000">
                    <a:effectLst/>
                    <a:latin typeface="Times New Roman" panose="02020603050405020304" pitchFamily="18" charset="0"/>
                    <a:cs typeface="Times New Roman" panose="02020603050405020304" pitchFamily="18" charset="0"/>
                  </a:rPr>
                  <a:t>10</a:t>
                </a:r>
                <a:r>
                  <a:rPr lang="en-US" sz="1200" b="0" i="0" baseline="0">
                    <a:effectLst/>
                    <a:latin typeface="Times New Roman" panose="02020603050405020304" pitchFamily="18" charset="0"/>
                    <a:cs typeface="Times New Roman" panose="02020603050405020304" pitchFamily="18" charset="0"/>
                  </a:rPr>
                  <a:t>[Total bacteria (GCN·L</a:t>
                </a:r>
                <a:r>
                  <a:rPr lang="en-US" sz="1200" b="0" i="0" baseline="30000">
                    <a:effectLst/>
                    <a:latin typeface="Times New Roman" panose="02020603050405020304" pitchFamily="18" charset="0"/>
                    <a:cs typeface="Times New Roman" panose="02020603050405020304" pitchFamily="18" charset="0"/>
                  </a:rPr>
                  <a:t>-1</a:t>
                </a:r>
                <a:r>
                  <a:rPr lang="en-US" sz="1200" b="0" i="0" baseline="0">
                    <a:effectLst/>
                    <a:latin typeface="Times New Roman" panose="02020603050405020304" pitchFamily="18" charset="0"/>
                    <a:cs typeface="Times New Roman" panose="02020603050405020304" pitchFamily="18" charset="0"/>
                  </a:rPr>
                  <a:t>)]</a:t>
                </a:r>
                <a:endParaRPr lang="en-US" sz="1200">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t" align="ctr"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40.xml><?xml version="1.0" encoding="utf-8"?>
<cx:chartSpace xmlns:a="http://schemas.openxmlformats.org/drawingml/2006/main" xmlns:r="http://schemas.openxmlformats.org/officeDocument/2006/relationships" xmlns:cx="http://schemas.microsoft.com/office/drawing/2014/chartex">
  <cx:chartData>
    <cx:data id="0">
      <cx:strDim type="cat">
        <cx:f>_xlchart.v1.282</cx:f>
      </cx:strDim>
      <cx:numDim type="val">
        <cx:f>_xlchart.v1.280</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_xlchart.v1.281</cx:f>
              <cx:v>Total bacteria</cx:v>
            </cx:txData>
          </cx:tx>
          <cx:spPr>
            <a:noFill/>
            <a:ln w="12700">
              <a:solidFill>
                <a:srgbClr val="5064E6">
                  <a:alpha val="97000"/>
                </a:srgbClr>
              </a:solidFill>
            </a:ln>
          </cx:spPr>
          <cx:dataId val="0"/>
          <cx:layoutPr>
            <cx:visibility meanLine="0" meanMarker="1" nonoutliers="1" outliers="1"/>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a:t>
                </a:r>
                <a:r>
                  <a:rPr lang="en-US" sz="1200" b="1" i="0" u="none" strike="noStrike" kern="1200" baseline="0">
                    <a:solidFill>
                      <a:srgbClr val="FF0000"/>
                    </a:solidFill>
                    <a:latin typeface="Times New Roman" panose="02020603050405020304" pitchFamily="18" charset="0"/>
                    <a:cs typeface="Times New Roman" panose="02020603050405020304" pitchFamily="18" charset="0"/>
                  </a:rPr>
                  <a:t>DWDS</a:t>
                </a: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10.5" min="4.5"/>
        <cx:title>
          <cx:tx>
            <cx:rich>
              <a:bodyPr spcFirstLastPara="1" vertOverflow="ellipsis" horzOverflow="overflow" wrap="square" lIns="0" tIns="0" rIns="0" bIns="0" anchor="ctr" anchorCtr="1"/>
              <a:lstStyle/>
              <a:p>
                <a:pPr rtl="0"/>
                <a:r>
                  <a:rPr lang="en-US" sz="1200" b="0" i="0" baseline="0">
                    <a:effectLst/>
                    <a:latin typeface="Times New Roman" panose="02020603050405020304" pitchFamily="18" charset="0"/>
                    <a:cs typeface="Times New Roman" panose="02020603050405020304" pitchFamily="18" charset="0"/>
                  </a:rPr>
                  <a:t>log</a:t>
                </a:r>
                <a:r>
                  <a:rPr lang="en-US" sz="1200" b="0" i="0" baseline="-25000">
                    <a:effectLst/>
                    <a:latin typeface="Times New Roman" panose="02020603050405020304" pitchFamily="18" charset="0"/>
                    <a:cs typeface="Times New Roman" panose="02020603050405020304" pitchFamily="18" charset="0"/>
                  </a:rPr>
                  <a:t>10</a:t>
                </a:r>
                <a:r>
                  <a:rPr lang="en-US" sz="1200" b="0" i="0" baseline="0">
                    <a:effectLst/>
                    <a:latin typeface="Times New Roman" panose="02020603050405020304" pitchFamily="18" charset="0"/>
                    <a:cs typeface="Times New Roman" panose="02020603050405020304" pitchFamily="18" charset="0"/>
                  </a:rPr>
                  <a:t>[Total bacteria (GCN·L</a:t>
                </a:r>
                <a:r>
                  <a:rPr lang="en-US" sz="1200" b="0" i="0" baseline="30000">
                    <a:effectLst/>
                    <a:latin typeface="Times New Roman" panose="02020603050405020304" pitchFamily="18" charset="0"/>
                    <a:cs typeface="Times New Roman" panose="02020603050405020304" pitchFamily="18" charset="0"/>
                  </a:rPr>
                  <a:t>-1</a:t>
                </a:r>
                <a:r>
                  <a:rPr lang="en-US" sz="1200" b="0" i="0" baseline="0">
                    <a:effectLst/>
                    <a:latin typeface="Times New Roman" panose="02020603050405020304" pitchFamily="18" charset="0"/>
                    <a:cs typeface="Times New Roman" panose="02020603050405020304" pitchFamily="18" charset="0"/>
                  </a:rPr>
                  <a:t>)]</a:t>
                </a:r>
                <a:endParaRPr lang="en-US" sz="1200">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t" align="ctr"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41.xml><?xml version="1.0" encoding="utf-8"?>
<cx:chartSpace xmlns:a="http://schemas.openxmlformats.org/drawingml/2006/main" xmlns:r="http://schemas.openxmlformats.org/officeDocument/2006/relationships" xmlns:cx="http://schemas.microsoft.com/office/drawing/2014/chartex">
  <cx:chartData>
    <cx:data id="0">
      <cx:strDim type="cat">
        <cx:f>_xlchart.v1.307</cx:f>
      </cx:strDim>
      <cx:numDim type="val">
        <cx:f>_xlchart.v1.298</cx:f>
      </cx:numDim>
    </cx:data>
    <cx:data id="1">
      <cx:strDim type="cat">
        <cx:f>_xlchart.v1.307</cx:f>
      </cx:strDim>
      <cx:numDim type="val">
        <cx:f>_xlchart.v1.300</cx:f>
      </cx:numDim>
    </cx:data>
    <cx:data id="2">
      <cx:strDim type="cat">
        <cx:f>_xlchart.v1.307</cx:f>
      </cx:strDim>
      <cx:numDim type="val">
        <cx:f>_xlchart.v1.302</cx:f>
      </cx:numDim>
    </cx:data>
    <cx:data id="3">
      <cx:strDim type="cat">
        <cx:f>_xlchart.v1.307</cx:f>
      </cx:strDim>
      <cx:numDim type="val">
        <cx:f>_xlchart.v1.304</cx:f>
      </cx:numDim>
    </cx:data>
    <cx:data id="4">
      <cx:strDim type="cat">
        <cx:f>_xlchart.v1.307</cx:f>
      </cx:strDim>
      <cx:numDim type="val">
        <cx:f>_xlchart.v1.306</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_xlchart.v1.297</cx:f>
              <cx:v>Legionella</cx:v>
            </cx:txData>
          </cx:tx>
          <cx:spPr>
            <a:noFill/>
            <a:ln w="12700">
              <a:solidFill>
                <a:srgbClr val="F04646">
                  <a:alpha val="96863"/>
                </a:srgbClr>
              </a:solidFill>
            </a:ln>
          </cx:spPr>
          <cx:dataId val="0"/>
          <cx:layoutPr>
            <cx:visibility meanLine="0" meanMarker="1" nonoutliers="1" outliers="1"/>
            <cx:statistics quartileMethod="inclusive"/>
          </cx:layoutPr>
        </cx:series>
        <cx:series layoutId="boxWhisker" uniqueId="{00000000-13A6-46AF-97B2-7219B81DFFC0}">
          <cx:tx>
            <cx:txData>
              <cx:f>_xlchart.v1.299</cx:f>
              <cx:v>Mycobacterium</cx:v>
            </cx:txData>
          </cx:tx>
          <cx:spPr>
            <a:noFill/>
            <a:ln w="12700">
              <a:solidFill>
                <a:srgbClr val="5064E6"/>
              </a:solidFill>
            </a:ln>
          </cx:spPr>
          <cx:dataId val="1"/>
          <cx:layoutPr>
            <cx:statistics quartileMethod="inclusive"/>
          </cx:layoutPr>
        </cx:series>
        <cx:series layoutId="boxWhisker" uniqueId="{00000001-13A6-46AF-97B2-7219B81DFFC0}">
          <cx:tx>
            <cx:txData>
              <cx:f>_xlchart.v1.301</cx:f>
              <cx:v>Pseudomonas</cx:v>
            </cx:txData>
          </cx:tx>
          <cx:spPr>
            <a:noFill/>
            <a:ln w="12700">
              <a:solidFill>
                <a:srgbClr val="F014C8"/>
              </a:solidFill>
            </a:ln>
          </cx:spPr>
          <cx:dataId val="2"/>
          <cx:layoutPr>
            <cx:statistics quartileMethod="inclusive"/>
          </cx:layoutPr>
        </cx:series>
        <cx:series layoutId="boxWhisker" uniqueId="{00000000-3E06-4E27-8A66-1A8D2F8920EC}">
          <cx:tx>
            <cx:txData>
              <cx:f>_xlchart.v1.303</cx:f>
              <cx:v>Vermamoeba vermiformis</cx:v>
            </cx:txData>
          </cx:tx>
          <cx:spPr>
            <a:noFill/>
            <a:ln w="12700">
              <a:solidFill>
                <a:srgbClr val="3CE63C"/>
              </a:solidFill>
            </a:ln>
          </cx:spPr>
          <cx:dataId val="3"/>
          <cx:layoutPr>
            <cx:statistics quartileMethod="inclusive"/>
          </cx:layoutPr>
        </cx:series>
        <cx:series layoutId="boxWhisker" uniqueId="{00000001-3E06-4E27-8A66-1A8D2F8920EC}">
          <cx:tx>
            <cx:txData>
              <cx:f>_xlchart.v1.305</cx:f>
              <cx:v>Summed OP</cx:v>
            </cx:txData>
          </cx:tx>
          <cx:spPr>
            <a:noFill/>
            <a:ln w="12700">
              <a:solidFill>
                <a:srgbClr val="28C8C8"/>
              </a:solidFill>
            </a:ln>
          </cx:spPr>
          <cx:dataId val="4"/>
          <cx:layoutPr>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a:t>
                </a:r>
                <a:r>
                  <a:rPr lang="en-US" sz="1200" b="1" i="0" u="none" strike="noStrike" kern="1200" baseline="0">
                    <a:solidFill>
                      <a:srgbClr val="FF0000"/>
                    </a:solidFill>
                    <a:latin typeface="Times New Roman" panose="02020603050405020304" pitchFamily="18" charset="0"/>
                    <a:cs typeface="Times New Roman" panose="02020603050405020304" pitchFamily="18" charset="0"/>
                  </a:rPr>
                  <a:t>RS</a:t>
                </a: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6.4000000000000004" min="0"/>
        <cx:title>
          <cx:tx>
            <cx:rich>
              <a:bodyPr spcFirstLastPara="1" vertOverflow="ellipsis" horzOverflow="overflow" wrap="square" lIns="0" tIns="0" rIns="0" bIns="0" anchor="ctr" anchorCtr="1"/>
              <a:lstStyle/>
              <a:p>
                <a:pPr rtl="0"/>
                <a:r>
                  <a:rPr lang="en-US" sz="1200" b="0" i="0" baseline="0">
                    <a:effectLst/>
                    <a:latin typeface="Times New Roman" panose="02020603050405020304" pitchFamily="18" charset="0"/>
                    <a:cs typeface="Times New Roman" panose="02020603050405020304" pitchFamily="18" charset="0"/>
                  </a:rPr>
                  <a:t>log</a:t>
                </a:r>
                <a:r>
                  <a:rPr lang="en-US" sz="1200" b="0" i="0" baseline="-25000">
                    <a:effectLst/>
                    <a:latin typeface="Times New Roman" panose="02020603050405020304" pitchFamily="18" charset="0"/>
                    <a:cs typeface="Times New Roman" panose="02020603050405020304" pitchFamily="18" charset="0"/>
                  </a:rPr>
                  <a:t>10</a:t>
                </a:r>
                <a:r>
                  <a:rPr lang="en-US" sz="1200" b="0" i="0" baseline="0">
                    <a:effectLst/>
                    <a:latin typeface="Times New Roman" panose="02020603050405020304" pitchFamily="18" charset="0"/>
                    <a:cs typeface="Times New Roman" panose="02020603050405020304" pitchFamily="18" charset="0"/>
                  </a:rPr>
                  <a:t>[OP (GCN·L</a:t>
                </a:r>
                <a:r>
                  <a:rPr lang="en-US" sz="1200" b="0" i="0" baseline="30000">
                    <a:effectLst/>
                    <a:latin typeface="Times New Roman" panose="02020603050405020304" pitchFamily="18" charset="0"/>
                    <a:cs typeface="Times New Roman" panose="02020603050405020304" pitchFamily="18" charset="0"/>
                  </a:rPr>
                  <a:t>-1</a:t>
                </a:r>
                <a:r>
                  <a:rPr lang="en-US" sz="1200" b="0" i="0" baseline="0">
                    <a:effectLst/>
                    <a:latin typeface="Times New Roman" panose="02020603050405020304" pitchFamily="18" charset="0"/>
                    <a:cs typeface="Times New Roman" panose="02020603050405020304" pitchFamily="18" charset="0"/>
                  </a:rPr>
                  <a:t>)]</a:t>
                </a:r>
                <a:endParaRPr lang="en-US" sz="1200">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t" align="ctr"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42.xml><?xml version="1.0" encoding="utf-8"?>
<cx:chartSpace xmlns:a="http://schemas.openxmlformats.org/drawingml/2006/main" xmlns:r="http://schemas.openxmlformats.org/officeDocument/2006/relationships" xmlns:cx="http://schemas.microsoft.com/office/drawing/2014/chartex">
  <cx:chartData>
    <cx:data id="0">
      <cx:strDim type="cat">
        <cx:f>_xlchart.v1.296</cx:f>
      </cx:strDim>
      <cx:numDim type="val">
        <cx:f>_xlchart.v1.295</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_xlchart.v1.294</cx:f>
              <cx:v>Total bacteria</cx:v>
            </cx:txData>
          </cx:tx>
          <cx:spPr>
            <a:noFill/>
            <a:ln w="12700">
              <a:solidFill>
                <a:srgbClr val="5064E6">
                  <a:alpha val="97000"/>
                </a:srgbClr>
              </a:solidFill>
            </a:ln>
          </cx:spPr>
          <cx:dataId val="0"/>
          <cx:layoutPr>
            <cx:visibility meanLine="0" meanMarker="1" nonoutliers="1" outliers="1"/>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a:t>
                </a:r>
                <a:r>
                  <a:rPr lang="en-US" sz="1200" b="1" i="0" u="none" strike="noStrike" kern="1200" baseline="0">
                    <a:solidFill>
                      <a:srgbClr val="FF0000"/>
                    </a:solidFill>
                    <a:latin typeface="Times New Roman" panose="02020603050405020304" pitchFamily="18" charset="0"/>
                    <a:cs typeface="Times New Roman" panose="02020603050405020304" pitchFamily="18" charset="0"/>
                  </a:rPr>
                  <a:t>RS</a:t>
                </a: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11" min="7.5"/>
        <cx:title>
          <cx:tx>
            <cx:rich>
              <a:bodyPr spcFirstLastPara="1" vertOverflow="ellipsis" horzOverflow="overflow" wrap="square" lIns="0" tIns="0" rIns="0" bIns="0" anchor="ctr" anchorCtr="1"/>
              <a:lstStyle/>
              <a:p>
                <a:pPr rtl="0"/>
                <a:r>
                  <a:rPr lang="en-US" sz="1200" b="0" i="0" baseline="0">
                    <a:effectLst/>
                    <a:latin typeface="Times New Roman" panose="02020603050405020304" pitchFamily="18" charset="0"/>
                    <a:cs typeface="Times New Roman" panose="02020603050405020304" pitchFamily="18" charset="0"/>
                  </a:rPr>
                  <a:t>log</a:t>
                </a:r>
                <a:r>
                  <a:rPr lang="en-US" sz="1200" b="0" i="0" baseline="-25000">
                    <a:effectLst/>
                    <a:latin typeface="Times New Roman" panose="02020603050405020304" pitchFamily="18" charset="0"/>
                    <a:cs typeface="Times New Roman" panose="02020603050405020304" pitchFamily="18" charset="0"/>
                  </a:rPr>
                  <a:t>10</a:t>
                </a:r>
                <a:r>
                  <a:rPr lang="en-US" sz="1200" b="0" i="0" baseline="0">
                    <a:effectLst/>
                    <a:latin typeface="Times New Roman" panose="02020603050405020304" pitchFamily="18" charset="0"/>
                    <a:cs typeface="Times New Roman" panose="02020603050405020304" pitchFamily="18" charset="0"/>
                  </a:rPr>
                  <a:t>[Total bacteria (GCN·L</a:t>
                </a:r>
                <a:r>
                  <a:rPr lang="en-US" sz="1200" b="0" i="0" baseline="30000">
                    <a:effectLst/>
                    <a:latin typeface="Times New Roman" panose="02020603050405020304" pitchFamily="18" charset="0"/>
                    <a:cs typeface="Times New Roman" panose="02020603050405020304" pitchFamily="18" charset="0"/>
                  </a:rPr>
                  <a:t>-1</a:t>
                </a:r>
                <a:r>
                  <a:rPr lang="en-US" sz="1200" b="0" i="0" baseline="0">
                    <a:effectLst/>
                    <a:latin typeface="Times New Roman" panose="02020603050405020304" pitchFamily="18" charset="0"/>
                    <a:cs typeface="Times New Roman" panose="02020603050405020304" pitchFamily="18" charset="0"/>
                  </a:rPr>
                  <a:t>)]</a:t>
                </a:r>
                <a:endParaRPr lang="en-US" sz="1200">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t" align="ctr"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43.xml><?xml version="1.0" encoding="utf-8"?>
<cx:chartSpace xmlns:a="http://schemas.openxmlformats.org/drawingml/2006/main" xmlns:r="http://schemas.openxmlformats.org/officeDocument/2006/relationships" xmlns:cx="http://schemas.microsoft.com/office/drawing/2014/chartex">
  <cx:chartData>
    <cx:data id="0">
      <cx:strDim type="cat">
        <cx:f>_xlchart.v1.279</cx:f>
      </cx:strDim>
      <cx:numDim type="val">
        <cx:f>_xlchart.v1.270</cx:f>
      </cx:numDim>
    </cx:data>
    <cx:data id="1">
      <cx:strDim type="cat">
        <cx:f>_xlchart.v1.279</cx:f>
      </cx:strDim>
      <cx:numDim type="val">
        <cx:f>_xlchart.v1.272</cx:f>
      </cx:numDim>
    </cx:data>
    <cx:data id="2">
      <cx:strDim type="cat">
        <cx:f>_xlchart.v1.279</cx:f>
      </cx:strDim>
      <cx:numDim type="val">
        <cx:f>_xlchart.v1.274</cx:f>
      </cx:numDim>
    </cx:data>
    <cx:data id="3">
      <cx:strDim type="cat">
        <cx:f>_xlchart.v1.279</cx:f>
      </cx:strDim>
      <cx:numDim type="val">
        <cx:f>_xlchart.v1.276</cx:f>
      </cx:numDim>
    </cx:data>
    <cx:data id="4">
      <cx:strDim type="cat">
        <cx:f>_xlchart.v1.279</cx:f>
      </cx:strDim>
      <cx:numDim type="val">
        <cx:f>_xlchart.v1.278</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_xlchart.v1.269</cx:f>
              <cx:v>Legionella</cx:v>
            </cx:txData>
          </cx:tx>
          <cx:spPr>
            <a:noFill/>
            <a:ln w="12700">
              <a:solidFill>
                <a:srgbClr val="F04646">
                  <a:alpha val="96863"/>
                </a:srgbClr>
              </a:solidFill>
            </a:ln>
          </cx:spPr>
          <cx:dataId val="0"/>
          <cx:layoutPr>
            <cx:visibility meanLine="0" meanMarker="1" nonoutliers="1" outliers="1"/>
            <cx:statistics quartileMethod="inclusive"/>
          </cx:layoutPr>
        </cx:series>
        <cx:series layoutId="boxWhisker" uniqueId="{00000000-13A6-46AF-97B2-7219B81DFFC0}">
          <cx:tx>
            <cx:txData>
              <cx:f>_xlchart.v1.271</cx:f>
              <cx:v>Mycobacterium</cx:v>
            </cx:txData>
          </cx:tx>
          <cx:spPr>
            <a:noFill/>
            <a:ln w="12700">
              <a:solidFill>
                <a:srgbClr val="5064E6"/>
              </a:solidFill>
            </a:ln>
          </cx:spPr>
          <cx:dataId val="1"/>
          <cx:layoutPr>
            <cx:statistics quartileMethod="inclusive"/>
          </cx:layoutPr>
        </cx:series>
        <cx:series layoutId="boxWhisker" uniqueId="{00000001-13A6-46AF-97B2-7219B81DFFC0}">
          <cx:tx>
            <cx:txData>
              <cx:f>_xlchart.v1.273</cx:f>
              <cx:v>Pseudomonas</cx:v>
            </cx:txData>
          </cx:tx>
          <cx:spPr>
            <a:noFill/>
            <a:ln w="12700">
              <a:solidFill>
                <a:srgbClr val="F014C8"/>
              </a:solidFill>
            </a:ln>
          </cx:spPr>
          <cx:dataId val="2"/>
          <cx:layoutPr>
            <cx:statistics quartileMethod="inclusive"/>
          </cx:layoutPr>
        </cx:series>
        <cx:series layoutId="boxWhisker" uniqueId="{00000000-3E06-4E27-8A66-1A8D2F8920EC}">
          <cx:tx>
            <cx:txData>
              <cx:f>_xlchart.v1.275</cx:f>
              <cx:v>Vermamoeba vermiformis</cx:v>
            </cx:txData>
          </cx:tx>
          <cx:spPr>
            <a:noFill/>
            <a:ln w="12700">
              <a:solidFill>
                <a:srgbClr val="3CE63C"/>
              </a:solidFill>
            </a:ln>
          </cx:spPr>
          <cx:dataId val="3"/>
          <cx:layoutPr>
            <cx:statistics quartileMethod="inclusive"/>
          </cx:layoutPr>
        </cx:series>
        <cx:series layoutId="boxWhisker" uniqueId="{00000001-3E06-4E27-8A66-1A8D2F8920EC}">
          <cx:tx>
            <cx:txData>
              <cx:f>_xlchart.v1.277</cx:f>
              <cx:v>Summed OP</cx:v>
            </cx:txData>
          </cx:tx>
          <cx:spPr>
            <a:noFill/>
            <a:ln w="12700">
              <a:solidFill>
                <a:srgbClr val="28C8C8"/>
              </a:solidFill>
            </a:ln>
          </cx:spPr>
          <cx:dataId val="4"/>
          <cx:layoutPr>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a:t>
                </a:r>
                <a:r>
                  <a:rPr lang="en-US" sz="1200" b="1" i="0" u="none" strike="noStrike" kern="1200" baseline="0">
                    <a:solidFill>
                      <a:srgbClr val="FF0000"/>
                    </a:solidFill>
                    <a:latin typeface="Times New Roman" panose="02020603050405020304" pitchFamily="18" charset="0"/>
                    <a:cs typeface="Times New Roman" panose="02020603050405020304" pitchFamily="18" charset="0"/>
                  </a:rPr>
                  <a:t>Residential</a:t>
                </a: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8" min="0"/>
        <cx:title>
          <cx:tx>
            <cx:rich>
              <a:bodyPr spcFirstLastPara="1" vertOverflow="ellipsis" horzOverflow="overflow" wrap="square" lIns="0" tIns="0" rIns="0" bIns="0" anchor="ctr" anchorCtr="1"/>
              <a:lstStyle/>
              <a:p>
                <a:pPr rtl="0"/>
                <a:r>
                  <a:rPr lang="en-US" sz="1200" b="0" i="0" baseline="0">
                    <a:effectLst/>
                    <a:latin typeface="Times New Roman" panose="02020603050405020304" pitchFamily="18" charset="0"/>
                    <a:cs typeface="Times New Roman" panose="02020603050405020304" pitchFamily="18" charset="0"/>
                  </a:rPr>
                  <a:t>log</a:t>
                </a:r>
                <a:r>
                  <a:rPr lang="en-US" sz="1200" b="0" i="0" baseline="-25000">
                    <a:effectLst/>
                    <a:latin typeface="Times New Roman" panose="02020603050405020304" pitchFamily="18" charset="0"/>
                    <a:cs typeface="Times New Roman" panose="02020603050405020304" pitchFamily="18" charset="0"/>
                  </a:rPr>
                  <a:t>10</a:t>
                </a:r>
                <a:r>
                  <a:rPr lang="en-US" sz="1200" b="0" i="0" baseline="0">
                    <a:effectLst/>
                    <a:latin typeface="Times New Roman" panose="02020603050405020304" pitchFamily="18" charset="0"/>
                    <a:cs typeface="Times New Roman" panose="02020603050405020304" pitchFamily="18" charset="0"/>
                  </a:rPr>
                  <a:t>[OP (GCN·L</a:t>
                </a:r>
                <a:r>
                  <a:rPr lang="en-US" sz="1200" b="0" i="0" baseline="30000">
                    <a:effectLst/>
                    <a:latin typeface="Times New Roman" panose="02020603050405020304" pitchFamily="18" charset="0"/>
                    <a:cs typeface="Times New Roman" panose="02020603050405020304" pitchFamily="18" charset="0"/>
                  </a:rPr>
                  <a:t>-1</a:t>
                </a:r>
                <a:r>
                  <a:rPr lang="en-US" sz="1200" b="0" i="0" baseline="0">
                    <a:effectLst/>
                    <a:latin typeface="Times New Roman" panose="02020603050405020304" pitchFamily="18" charset="0"/>
                    <a:cs typeface="Times New Roman" panose="02020603050405020304" pitchFamily="18" charset="0"/>
                  </a:rPr>
                  <a:t>)]</a:t>
                </a:r>
                <a:endParaRPr lang="en-US" sz="1200">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t" align="ctr"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44.xml><?xml version="1.0" encoding="utf-8"?>
<cx:chartSpace xmlns:a="http://schemas.openxmlformats.org/drawingml/2006/main" xmlns:r="http://schemas.openxmlformats.org/officeDocument/2006/relationships" xmlns:cx="http://schemas.microsoft.com/office/drawing/2014/chartex">
  <cx:chartData>
    <cx:data id="0">
      <cx:strDim type="cat">
        <cx:f>_xlchart.v1.321</cx:f>
      </cx:strDim>
      <cx:numDim type="val">
        <cx:f>_xlchart.v1.320</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_xlchart.v1.319</cx:f>
              <cx:v>Total bacteria</cx:v>
            </cx:txData>
          </cx:tx>
          <cx:spPr>
            <a:noFill/>
            <a:ln w="12700">
              <a:solidFill>
                <a:srgbClr val="5064E6">
                  <a:alpha val="97000"/>
                </a:srgbClr>
              </a:solidFill>
            </a:ln>
          </cx:spPr>
          <cx:dataId val="0"/>
          <cx:layoutPr>
            <cx:visibility meanLine="0" meanMarker="1" nonoutliers="1" outliers="1"/>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a:t>
                </a:r>
                <a:r>
                  <a:rPr lang="en-US" sz="1200" b="1" i="0" u="none" strike="noStrike" kern="1200" baseline="0">
                    <a:solidFill>
                      <a:srgbClr val="FF0000"/>
                    </a:solidFill>
                    <a:latin typeface="Times New Roman" panose="02020603050405020304" pitchFamily="18" charset="0"/>
                    <a:cs typeface="Times New Roman" panose="02020603050405020304" pitchFamily="18" charset="0"/>
                  </a:rPr>
                  <a:t>Residential</a:t>
                </a: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11" min="6"/>
        <cx:title>
          <cx:tx>
            <cx:rich>
              <a:bodyPr spcFirstLastPara="1" vertOverflow="ellipsis" horzOverflow="overflow" wrap="square" lIns="0" tIns="0" rIns="0" bIns="0" anchor="ctr" anchorCtr="1"/>
              <a:lstStyle/>
              <a:p>
                <a:pPr rtl="0"/>
                <a:r>
                  <a:rPr lang="en-US" sz="1200" b="0" i="0" baseline="0">
                    <a:effectLst/>
                    <a:latin typeface="Times New Roman" panose="02020603050405020304" pitchFamily="18" charset="0"/>
                    <a:cs typeface="Times New Roman" panose="02020603050405020304" pitchFamily="18" charset="0"/>
                  </a:rPr>
                  <a:t>log</a:t>
                </a:r>
                <a:r>
                  <a:rPr lang="en-US" sz="1200" b="0" i="0" baseline="-25000">
                    <a:effectLst/>
                    <a:latin typeface="Times New Roman" panose="02020603050405020304" pitchFamily="18" charset="0"/>
                    <a:cs typeface="Times New Roman" panose="02020603050405020304" pitchFamily="18" charset="0"/>
                  </a:rPr>
                  <a:t>10</a:t>
                </a:r>
                <a:r>
                  <a:rPr lang="en-US" sz="1200" b="0" i="0" baseline="0">
                    <a:effectLst/>
                    <a:latin typeface="Times New Roman" panose="02020603050405020304" pitchFamily="18" charset="0"/>
                    <a:cs typeface="Times New Roman" panose="02020603050405020304" pitchFamily="18" charset="0"/>
                  </a:rPr>
                  <a:t>[Total bacteria (GCN·L</a:t>
                </a:r>
                <a:r>
                  <a:rPr lang="en-US" sz="1200" b="0" i="0" baseline="30000">
                    <a:effectLst/>
                    <a:latin typeface="Times New Roman" panose="02020603050405020304" pitchFamily="18" charset="0"/>
                    <a:cs typeface="Times New Roman" panose="02020603050405020304" pitchFamily="18" charset="0"/>
                  </a:rPr>
                  <a:t>-1</a:t>
                </a:r>
                <a:r>
                  <a:rPr lang="en-US" sz="1200" b="0" i="0" baseline="0">
                    <a:effectLst/>
                    <a:latin typeface="Times New Roman" panose="02020603050405020304" pitchFamily="18" charset="0"/>
                    <a:cs typeface="Times New Roman" panose="02020603050405020304" pitchFamily="18" charset="0"/>
                  </a:rPr>
                  <a:t>)]</a:t>
                </a:r>
                <a:endParaRPr lang="en-US" sz="1200">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t" align="ctr"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45.xml><?xml version="1.0" encoding="utf-8"?>
<cx:chartSpace xmlns:a="http://schemas.openxmlformats.org/drawingml/2006/main" xmlns:r="http://schemas.openxmlformats.org/officeDocument/2006/relationships" xmlns:cx="http://schemas.microsoft.com/office/drawing/2014/chartex">
  <cx:chartData>
    <cx:data id="0">
      <cx:strDim type="cat">
        <cx:f>_xlchart.v1.293</cx:f>
      </cx:strDim>
      <cx:numDim type="val">
        <cx:f>_xlchart.v1.284</cx:f>
      </cx:numDim>
    </cx:data>
    <cx:data id="1">
      <cx:strDim type="cat">
        <cx:f>_xlchart.v1.293</cx:f>
      </cx:strDim>
      <cx:numDim type="val">
        <cx:f>_xlchart.v1.286</cx:f>
      </cx:numDim>
    </cx:data>
    <cx:data id="2">
      <cx:strDim type="cat">
        <cx:f>_xlchart.v1.293</cx:f>
      </cx:strDim>
      <cx:numDim type="val">
        <cx:f>_xlchart.v1.288</cx:f>
      </cx:numDim>
    </cx:data>
    <cx:data id="3">
      <cx:strDim type="cat">
        <cx:f>_xlchart.v1.293</cx:f>
      </cx:strDim>
      <cx:numDim type="val">
        <cx:f>_xlchart.v1.290</cx:f>
      </cx:numDim>
    </cx:data>
    <cx:data id="4">
      <cx:strDim type="cat">
        <cx:f>_xlchart.v1.293</cx:f>
      </cx:strDim>
      <cx:numDim type="val">
        <cx:f>_xlchart.v1.292</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_xlchart.v1.283</cx:f>
              <cx:v>Legionella</cx:v>
            </cx:txData>
          </cx:tx>
          <cx:spPr>
            <a:noFill/>
            <a:ln w="12700">
              <a:solidFill>
                <a:srgbClr val="F04646">
                  <a:alpha val="96863"/>
                </a:srgbClr>
              </a:solidFill>
            </a:ln>
          </cx:spPr>
          <cx:dataId val="0"/>
          <cx:layoutPr>
            <cx:visibility meanLine="0" meanMarker="1" nonoutliers="1" outliers="1"/>
            <cx:statistics quartileMethod="inclusive"/>
          </cx:layoutPr>
        </cx:series>
        <cx:series layoutId="boxWhisker" uniqueId="{00000000-13A6-46AF-97B2-7219B81DFFC0}">
          <cx:tx>
            <cx:txData>
              <cx:f>_xlchart.v1.285</cx:f>
              <cx:v>Mycobacterium</cx:v>
            </cx:txData>
          </cx:tx>
          <cx:spPr>
            <a:noFill/>
            <a:ln w="12700">
              <a:solidFill>
                <a:srgbClr val="5064E6"/>
              </a:solidFill>
            </a:ln>
          </cx:spPr>
          <cx:dataId val="1"/>
          <cx:layoutPr>
            <cx:statistics quartileMethod="inclusive"/>
          </cx:layoutPr>
        </cx:series>
        <cx:series layoutId="boxWhisker" uniqueId="{00000001-13A6-46AF-97B2-7219B81DFFC0}">
          <cx:tx>
            <cx:txData>
              <cx:f>_xlchart.v1.287</cx:f>
              <cx:v>Pseudomonas</cx:v>
            </cx:txData>
          </cx:tx>
          <cx:spPr>
            <a:noFill/>
            <a:ln w="12700">
              <a:solidFill>
                <a:srgbClr val="F014C8"/>
              </a:solidFill>
            </a:ln>
          </cx:spPr>
          <cx:dataId val="2"/>
          <cx:layoutPr>
            <cx:statistics quartileMethod="inclusive"/>
          </cx:layoutPr>
        </cx:series>
        <cx:series layoutId="boxWhisker" uniqueId="{00000000-3E06-4E27-8A66-1A8D2F8920EC}">
          <cx:tx>
            <cx:txData>
              <cx:f>_xlchart.v1.289</cx:f>
              <cx:v>Vermamoeba vermiformis</cx:v>
            </cx:txData>
          </cx:tx>
          <cx:spPr>
            <a:noFill/>
            <a:ln w="12700">
              <a:solidFill>
                <a:srgbClr val="3CE63C"/>
              </a:solidFill>
            </a:ln>
          </cx:spPr>
          <cx:dataId val="3"/>
          <cx:layoutPr>
            <cx:statistics quartileMethod="inclusive"/>
          </cx:layoutPr>
        </cx:series>
        <cx:series layoutId="boxWhisker" uniqueId="{00000001-3E06-4E27-8A66-1A8D2F8920EC}">
          <cx:tx>
            <cx:txData>
              <cx:f>_xlchart.v1.291</cx:f>
              <cx:v>Summed OP</cx:v>
            </cx:txData>
          </cx:tx>
          <cx:spPr>
            <a:noFill/>
            <a:ln w="12700">
              <a:solidFill>
                <a:srgbClr val="28C8C8"/>
              </a:solidFill>
            </a:ln>
          </cx:spPr>
          <cx:dataId val="4"/>
          <cx:layoutPr>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a:t>
                </a:r>
                <a:r>
                  <a:rPr lang="en-US" sz="1200" b="1" i="0" u="none" strike="noStrike" kern="1200" baseline="0">
                    <a:solidFill>
                      <a:srgbClr val="FF0000"/>
                    </a:solidFill>
                    <a:latin typeface="Times New Roman" panose="02020603050405020304" pitchFamily="18" charset="0"/>
                    <a:cs typeface="Times New Roman" panose="02020603050405020304" pitchFamily="18" charset="0"/>
                  </a:rPr>
                  <a:t>All sites</a:t>
                </a: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8" min="0"/>
        <cx:title>
          <cx:tx>
            <cx:rich>
              <a:bodyPr spcFirstLastPara="1" vertOverflow="ellipsis" horzOverflow="overflow" wrap="square" lIns="0" tIns="0" rIns="0" bIns="0" anchor="ctr" anchorCtr="1"/>
              <a:lstStyle/>
              <a:p>
                <a:pPr rtl="0"/>
                <a:r>
                  <a:rPr lang="en-US" sz="1200" b="0" i="0" baseline="0">
                    <a:effectLst/>
                    <a:latin typeface="Times New Roman" panose="02020603050405020304" pitchFamily="18" charset="0"/>
                    <a:cs typeface="Times New Roman" panose="02020603050405020304" pitchFamily="18" charset="0"/>
                  </a:rPr>
                  <a:t>log</a:t>
                </a:r>
                <a:r>
                  <a:rPr lang="en-US" sz="1200" b="0" i="0" baseline="-25000">
                    <a:effectLst/>
                    <a:latin typeface="Times New Roman" panose="02020603050405020304" pitchFamily="18" charset="0"/>
                    <a:cs typeface="Times New Roman" panose="02020603050405020304" pitchFamily="18" charset="0"/>
                  </a:rPr>
                  <a:t>10</a:t>
                </a:r>
                <a:r>
                  <a:rPr lang="en-US" sz="1200" b="0" i="0" baseline="0">
                    <a:effectLst/>
                    <a:latin typeface="Times New Roman" panose="02020603050405020304" pitchFamily="18" charset="0"/>
                    <a:cs typeface="Times New Roman" panose="02020603050405020304" pitchFamily="18" charset="0"/>
                  </a:rPr>
                  <a:t>[OP (GCN·L</a:t>
                </a:r>
                <a:r>
                  <a:rPr lang="en-US" sz="1200" b="0" i="0" baseline="30000">
                    <a:effectLst/>
                    <a:latin typeface="Times New Roman" panose="02020603050405020304" pitchFamily="18" charset="0"/>
                    <a:cs typeface="Times New Roman" panose="02020603050405020304" pitchFamily="18" charset="0"/>
                  </a:rPr>
                  <a:t>-1</a:t>
                </a:r>
                <a:r>
                  <a:rPr lang="en-US" sz="1200" b="0" i="0" baseline="0">
                    <a:effectLst/>
                    <a:latin typeface="Times New Roman" panose="02020603050405020304" pitchFamily="18" charset="0"/>
                    <a:cs typeface="Times New Roman" panose="02020603050405020304" pitchFamily="18" charset="0"/>
                  </a:rPr>
                  <a:t>)]</a:t>
                </a:r>
                <a:endParaRPr lang="en-US" sz="1200">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t" align="ctr"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46.xml><?xml version="1.0" encoding="utf-8"?>
<cx:chartSpace xmlns:a="http://schemas.openxmlformats.org/drawingml/2006/main" xmlns:r="http://schemas.openxmlformats.org/officeDocument/2006/relationships" xmlns:cx="http://schemas.microsoft.com/office/drawing/2014/chartex">
  <cx:chartData>
    <cx:data id="0">
      <cx:strDim type="cat">
        <cx:f>_xlchart.v1.170</cx:f>
      </cx:strDim>
      <cx:numDim type="val">
        <cx:f>_xlchart.v1.168</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_xlchart.v1.169</cx:f>
              <cx:v>Total bacteria</cx:v>
            </cx:txData>
          </cx:tx>
          <cx:spPr>
            <a:noFill/>
            <a:ln w="12700">
              <a:solidFill>
                <a:srgbClr val="5064E6">
                  <a:alpha val="97000"/>
                </a:srgbClr>
              </a:solidFill>
            </a:ln>
          </cx:spPr>
          <cx:dataId val="0"/>
          <cx:layoutPr>
            <cx:visibility meanLine="0" meanMarker="1" nonoutliers="1" outliers="1"/>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a:t>
                </a:r>
                <a:r>
                  <a:rPr lang="en-US" sz="1200" b="1" i="0" u="none" strike="noStrike" kern="1200" baseline="0">
                    <a:solidFill>
                      <a:srgbClr val="FF0000"/>
                    </a:solidFill>
                    <a:latin typeface="Times New Roman" panose="02020603050405020304" pitchFamily="18" charset="0"/>
                    <a:cs typeface="Times New Roman" panose="02020603050405020304" pitchFamily="18" charset="0"/>
                  </a:rPr>
                  <a:t>All sites</a:t>
                </a: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11.5" min="4.5"/>
        <cx:title>
          <cx:tx>
            <cx:rich>
              <a:bodyPr spcFirstLastPara="1" vertOverflow="ellipsis" horzOverflow="overflow" wrap="square" lIns="0" tIns="0" rIns="0" bIns="0" anchor="ctr" anchorCtr="1"/>
              <a:lstStyle/>
              <a:p>
                <a:pPr rtl="0"/>
                <a:r>
                  <a:rPr lang="en-US" sz="1200" b="0" i="0" baseline="0">
                    <a:effectLst/>
                    <a:latin typeface="Times New Roman" panose="02020603050405020304" pitchFamily="18" charset="0"/>
                    <a:cs typeface="Times New Roman" panose="02020603050405020304" pitchFamily="18" charset="0"/>
                  </a:rPr>
                  <a:t>log</a:t>
                </a:r>
                <a:r>
                  <a:rPr lang="en-US" sz="1200" b="0" i="0" baseline="-25000">
                    <a:effectLst/>
                    <a:latin typeface="Times New Roman" panose="02020603050405020304" pitchFamily="18" charset="0"/>
                    <a:cs typeface="Times New Roman" panose="02020603050405020304" pitchFamily="18" charset="0"/>
                  </a:rPr>
                  <a:t>10</a:t>
                </a:r>
                <a:r>
                  <a:rPr lang="en-US" sz="1200" b="0" i="0" baseline="0">
                    <a:effectLst/>
                    <a:latin typeface="Times New Roman" panose="02020603050405020304" pitchFamily="18" charset="0"/>
                    <a:cs typeface="Times New Roman" panose="02020603050405020304" pitchFamily="18" charset="0"/>
                  </a:rPr>
                  <a:t>[Total bacteria (GCN·L</a:t>
                </a:r>
                <a:r>
                  <a:rPr lang="en-US" sz="1200" b="0" i="0" baseline="30000">
                    <a:effectLst/>
                    <a:latin typeface="Times New Roman" panose="02020603050405020304" pitchFamily="18" charset="0"/>
                    <a:cs typeface="Times New Roman" panose="02020603050405020304" pitchFamily="18" charset="0"/>
                  </a:rPr>
                  <a:t>-1</a:t>
                </a:r>
                <a:r>
                  <a:rPr lang="en-US" sz="1200" b="0" i="0" baseline="0">
                    <a:effectLst/>
                    <a:latin typeface="Times New Roman" panose="02020603050405020304" pitchFamily="18" charset="0"/>
                    <a:cs typeface="Times New Roman" panose="02020603050405020304" pitchFamily="18" charset="0"/>
                  </a:rPr>
                  <a:t>)]</a:t>
                </a:r>
                <a:endParaRPr lang="en-US" sz="1200">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t" align="ctr"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47.xml><?xml version="1.0" encoding="utf-8"?>
<cx:chartSpace xmlns:a="http://schemas.openxmlformats.org/drawingml/2006/main" xmlns:r="http://schemas.openxmlformats.org/officeDocument/2006/relationships" xmlns:cx="http://schemas.microsoft.com/office/drawing/2014/chartex">
  <cx:chartData>
    <cx:data id="0">
      <cx:strDim type="cat">
        <cx:f>_xlchart.v1.332</cx:f>
      </cx:strDim>
      <cx:numDim type="val">
        <cx:f>_xlchart.v1.331</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
              <cx:v>pH</cx:v>
            </cx:txData>
          </cx:tx>
          <cx:spPr>
            <a:noFill/>
            <a:ln w="12700">
              <a:solidFill>
                <a:srgbClr val="5064E6">
                  <a:alpha val="97000"/>
                </a:srgbClr>
              </a:solidFill>
            </a:ln>
          </cx:spPr>
          <cx:dataId val="0"/>
          <cx:layoutPr>
            <cx:visibility meanLine="0" meanMarker="1" nonoutliers="1" outliers="1"/>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a:t>
                </a:r>
                <a:r>
                  <a:rPr lang="en-US" sz="1200" b="1" i="0" u="none" strike="noStrike" kern="1200" baseline="0">
                    <a:solidFill>
                      <a:srgbClr val="FF0000"/>
                    </a:solidFill>
                    <a:latin typeface="Times New Roman" panose="02020603050405020304" pitchFamily="18" charset="0"/>
                    <a:cs typeface="Times New Roman" panose="02020603050405020304" pitchFamily="18" charset="0"/>
                  </a:rPr>
                  <a:t>EP</a:t>
                </a: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7" min="6"/>
        <cx:title>
          <cx:tx>
            <cx:rich>
              <a:bodyPr spcFirstLastPara="1" vertOverflow="ellipsis" horzOverflow="overflow" wrap="square" lIns="0" tIns="0" rIns="0" bIns="0" anchor="ctr" anchorCtr="1"/>
              <a:lstStyle/>
              <a:p>
                <a:pP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pH</a:t>
                </a:r>
                <a:endParaRPr lang="en-US" sz="1200">
                  <a:solidFill>
                    <a:sysClr val="windowText" lastClr="000000"/>
                  </a:solidFill>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0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r" align="min"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48.xml><?xml version="1.0" encoding="utf-8"?>
<cx:chartSpace xmlns:a="http://schemas.openxmlformats.org/drawingml/2006/main" xmlns:r="http://schemas.openxmlformats.org/officeDocument/2006/relationships" xmlns:cx="http://schemas.microsoft.com/office/drawing/2014/chartex">
  <cx:chartData>
    <cx:data id="0">
      <cx:strDim type="cat">
        <cx:f>_xlchart.v1.342</cx:f>
      </cx:strDim>
      <cx:numDim type="val">
        <cx:f>_xlchart.v1.341</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
              <cx:v>Water Temperature</cx:v>
            </cx:txData>
          </cx:tx>
          <cx:spPr>
            <a:noFill/>
            <a:ln w="12700">
              <a:solidFill>
                <a:srgbClr val="5064E6">
                  <a:alpha val="97000"/>
                </a:srgbClr>
              </a:solidFill>
            </a:ln>
          </cx:spPr>
          <cx:dataId val="0"/>
          <cx:layoutPr>
            <cx:visibility meanLine="0" meanMarker="1" nonoutliers="1" outliers="1"/>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a:t>
                </a:r>
                <a:r>
                  <a:rPr lang="en-US" sz="1200" b="1" i="0" u="none" strike="noStrike" kern="1200" baseline="0">
                    <a:solidFill>
                      <a:srgbClr val="FF0000"/>
                    </a:solidFill>
                    <a:latin typeface="Times New Roman" panose="02020603050405020304" pitchFamily="18" charset="0"/>
                    <a:cs typeface="Times New Roman" panose="02020603050405020304" pitchFamily="18" charset="0"/>
                  </a:rPr>
                  <a:t>EP</a:t>
                </a: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34" min="22"/>
        <cx:title>
          <cx:tx>
            <cx:rich>
              <a:bodyPr spcFirstLastPara="1" vertOverflow="ellipsis" horzOverflow="overflow" wrap="square" lIns="0" tIns="0" rIns="0" bIns="0" anchor="ctr" anchorCtr="1"/>
              <a:lstStyle/>
              <a:p>
                <a:pP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Water temperature (°C)</a:t>
                </a:r>
                <a:endParaRPr lang="en-US" sz="1200">
                  <a:solidFill>
                    <a:sysClr val="windowText" lastClr="000000"/>
                  </a:solidFill>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r" align="min"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49.xml><?xml version="1.0" encoding="utf-8"?>
<cx:chartSpace xmlns:a="http://schemas.openxmlformats.org/drawingml/2006/main" xmlns:r="http://schemas.openxmlformats.org/officeDocument/2006/relationships" xmlns:cx="http://schemas.microsoft.com/office/drawing/2014/chartex">
  <cx:chartData>
    <cx:data id="0">
      <cx:strDim type="cat">
        <cx:f>_xlchart.v1.348</cx:f>
      </cx:strDim>
      <cx:numDim type="val">
        <cx:f>_xlchart.v1.345</cx:f>
      </cx:numDim>
    </cx:data>
    <cx:data id="1">
      <cx:strDim type="cat">
        <cx:f>_xlchart.v1.348</cx:f>
      </cx:strDim>
      <cx:numDim type="val">
        <cx:f>_xlchart.v1.346</cx:f>
      </cx:numDim>
    </cx:data>
    <cx:data id="2">
      <cx:strDim type="cat">
        <cx:f>_xlchart.v1.348</cx:f>
      </cx:strDim>
      <cx:numDim type="val">
        <cx:f>_xlchart.v1.347</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
              <cx:v>Free chlorine</cx:v>
            </cx:txData>
          </cx:tx>
          <cx:spPr>
            <a:noFill/>
            <a:ln w="12700">
              <a:solidFill>
                <a:srgbClr val="5064E6">
                  <a:alpha val="97000"/>
                </a:srgbClr>
              </a:solidFill>
            </a:ln>
          </cx:spPr>
          <cx:dataId val="0"/>
          <cx:layoutPr>
            <cx:visibility meanLine="0" meanMarker="1" nonoutliers="1" outliers="1"/>
            <cx:statistics quartileMethod="inclusive"/>
          </cx:layoutPr>
        </cx:series>
        <cx:series layoutId="boxWhisker" uniqueId="{00000000-13A6-46AF-97B2-7219B81DFFC0}">
          <cx:tx>
            <cx:txData>
              <cx:f/>
              <cx:v>Monochloramine</cx:v>
            </cx:txData>
          </cx:tx>
          <cx:spPr>
            <a:noFill/>
            <a:ln w="12700">
              <a:solidFill>
                <a:srgbClr val="F04646"/>
              </a:solidFill>
            </a:ln>
          </cx:spPr>
          <cx:dataId val="1"/>
          <cx:layoutPr>
            <cx:statistics quartileMethod="inclusive"/>
          </cx:layoutPr>
        </cx:series>
        <cx:series layoutId="boxWhisker" uniqueId="{00000001-13A6-46AF-97B2-7219B81DFFC0}">
          <cx:tx>
            <cx:txData>
              <cx:f/>
              <cx:v>Total chlorine</cx:v>
            </cx:txData>
          </cx:tx>
          <cx:spPr>
            <a:noFill/>
            <a:ln w="12700">
              <a:solidFill>
                <a:schemeClr val="tx1"/>
              </a:solidFill>
            </a:ln>
          </cx:spPr>
          <cx:dataId val="2"/>
          <cx:layoutPr>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a:t>
                </a:r>
                <a:r>
                  <a:rPr lang="en-US" sz="1200" b="1" i="0" u="none" strike="noStrike" kern="1200" baseline="0">
                    <a:solidFill>
                      <a:srgbClr val="FF0000"/>
                    </a:solidFill>
                    <a:latin typeface="Times New Roman" panose="02020603050405020304" pitchFamily="18" charset="0"/>
                    <a:cs typeface="Times New Roman" panose="02020603050405020304" pitchFamily="18" charset="0"/>
                  </a:rPr>
                  <a:t>EP</a:t>
                </a: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4.0999999999999996" min="0"/>
        <cx:title>
          <cx:tx>
            <cx:rich>
              <a:bodyPr spcFirstLastPara="1" vertOverflow="ellipsis" horzOverflow="overflow" wrap="square" lIns="0" tIns="0" rIns="0" bIns="0" anchor="ctr" anchorCtr="1"/>
              <a:lstStyle/>
              <a:p>
                <a:pP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Chlorine (mg Cl</a:t>
                </a:r>
                <a:r>
                  <a:rPr lang="en-US" sz="1200" b="0" i="0" u="none" strike="noStrike" kern="1200" baseline="-2500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2</a:t>
                </a: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·L</a:t>
                </a:r>
                <a:r>
                  <a:rPr lang="en-US" sz="1200" b="0" i="0" u="none" strike="noStrike" kern="1200" baseline="3000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-1</a:t>
                </a: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a:t>
                </a:r>
                <a:endParaRPr lang="en-US" sz="1200">
                  <a:solidFill>
                    <a:sysClr val="windowText" lastClr="000000"/>
                  </a:solidFill>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r" align="ctr"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5.xml><?xml version="1.0" encoding="utf-8"?>
<cx:chartSpace xmlns:a="http://schemas.openxmlformats.org/drawingml/2006/main" xmlns:r="http://schemas.openxmlformats.org/officeDocument/2006/relationships" xmlns:cx="http://schemas.microsoft.com/office/drawing/2014/chartex">
  <cx:chartData>
    <cx:data id="0">
      <cx:strDim type="cat">
        <cx:f>_xlchart.v1.11</cx:f>
      </cx:strDim>
      <cx:numDim type="val">
        <cx:f>_xlchart.v1.13</cx:f>
      </cx:numDim>
    </cx:data>
    <cx:data id="1">
      <cx:strDim type="cat">
        <cx:f>_xlchart.v1.11</cx:f>
      </cx:strDim>
      <cx:numDim type="val">
        <cx:f>_xlchart.v1.15</cx:f>
      </cx:numDim>
    </cx:data>
    <cx:data id="2">
      <cx:strDim type="cat">
        <cx:f>_xlchart.v1.11</cx:f>
      </cx:strDim>
      <cx:numDim type="val">
        <cx:f>_xlchart.v1.17</cx:f>
      </cx:numDim>
    </cx:data>
    <cx:data id="3">
      <cx:strDim type="cat">
        <cx:f>_xlchart.v1.11</cx:f>
      </cx:strDim>
      <cx:numDim type="val">
        <cx:f>_xlchart.v1.19</cx:f>
      </cx:numDim>
    </cx:data>
    <cx:data id="4">
      <cx:strDim type="cat">
        <cx:f>_xlchart.v1.11</cx:f>
      </cx:strDim>
      <cx:numDim type="val">
        <cx:f>_xlchart.v1.21</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_xlchart.v1.12</cx:f>
              <cx:v>Legionella</cx:v>
            </cx:txData>
          </cx:tx>
          <cx:spPr>
            <a:noFill/>
            <a:ln w="12700">
              <a:solidFill>
                <a:srgbClr val="F04646">
                  <a:alpha val="96863"/>
                </a:srgbClr>
              </a:solidFill>
            </a:ln>
          </cx:spPr>
          <cx:dataId val="0"/>
          <cx:layoutPr>
            <cx:visibility meanLine="0" meanMarker="1" nonoutliers="1" outliers="1"/>
            <cx:statistics quartileMethod="inclusive"/>
          </cx:layoutPr>
        </cx:series>
        <cx:series layoutId="boxWhisker" uniqueId="{00000000-13A6-46AF-97B2-7219B81DFFC0}">
          <cx:tx>
            <cx:txData>
              <cx:f>_xlchart.v1.14</cx:f>
              <cx:v>Mycobacterium</cx:v>
            </cx:txData>
          </cx:tx>
          <cx:spPr>
            <a:noFill/>
            <a:ln w="12700">
              <a:solidFill>
                <a:srgbClr val="5064E6"/>
              </a:solidFill>
            </a:ln>
          </cx:spPr>
          <cx:dataId val="1"/>
          <cx:layoutPr>
            <cx:statistics quartileMethod="inclusive"/>
          </cx:layoutPr>
        </cx:series>
        <cx:series layoutId="boxWhisker" uniqueId="{00000001-13A6-46AF-97B2-7219B81DFFC0}">
          <cx:tx>
            <cx:txData>
              <cx:f>_xlchart.v1.16</cx:f>
              <cx:v>Pseudomonas</cx:v>
            </cx:txData>
          </cx:tx>
          <cx:spPr>
            <a:noFill/>
            <a:ln w="12700">
              <a:solidFill>
                <a:srgbClr val="F014C8"/>
              </a:solidFill>
            </a:ln>
          </cx:spPr>
          <cx:dataId val="2"/>
          <cx:layoutPr>
            <cx:statistics quartileMethod="inclusive"/>
          </cx:layoutPr>
        </cx:series>
        <cx:series layoutId="boxWhisker" uniqueId="{00000000-3E06-4E27-8A66-1A8D2F8920EC}">
          <cx:tx>
            <cx:txData>
              <cx:f>_xlchart.v1.18</cx:f>
              <cx:v>Vermamoeba vermiformis</cx:v>
            </cx:txData>
          </cx:tx>
          <cx:spPr>
            <a:noFill/>
            <a:ln w="12700">
              <a:solidFill>
                <a:srgbClr val="3CE63C"/>
              </a:solidFill>
            </a:ln>
          </cx:spPr>
          <cx:dataId val="3"/>
          <cx:layoutPr>
            <cx:statistics quartileMethod="inclusive"/>
          </cx:layoutPr>
        </cx:series>
        <cx:series layoutId="boxWhisker" uniqueId="{00000001-3E06-4E27-8A66-1A8D2F8920EC}">
          <cx:tx>
            <cx:txData>
              <cx:f>_xlchart.v1.20</cx:f>
              <cx:v>Summed OP</cx:v>
            </cx:txData>
          </cx:tx>
          <cx:spPr>
            <a:noFill/>
            <a:ln w="12700">
              <a:solidFill>
                <a:srgbClr val="28C8C8"/>
              </a:solidFill>
            </a:ln>
          </cx:spPr>
          <cx:dataId val="4"/>
          <cx:layoutPr>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a:t>
                </a:r>
                <a:r>
                  <a:rPr lang="en-US" sz="1200" b="1" i="0" u="none" strike="noStrike" kern="1200" baseline="0">
                    <a:solidFill>
                      <a:srgbClr val="FF0000"/>
                    </a:solidFill>
                    <a:latin typeface="Times New Roman" panose="02020603050405020304" pitchFamily="18" charset="0"/>
                    <a:cs typeface="Times New Roman" panose="02020603050405020304" pitchFamily="18" charset="0"/>
                  </a:rPr>
                  <a:t>DWDS-During the burn</a:t>
                </a: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8" min="0"/>
        <cx:title>
          <cx:tx>
            <cx:rich>
              <a:bodyPr spcFirstLastPara="1" vertOverflow="ellipsis" horzOverflow="overflow" wrap="square" lIns="0" tIns="0" rIns="0" bIns="0" anchor="ctr" anchorCtr="1"/>
              <a:lstStyle/>
              <a:p>
                <a:pPr rtl="0"/>
                <a:r>
                  <a:rPr lang="en-US" sz="1200" b="0" i="0" baseline="0">
                    <a:effectLst/>
                    <a:latin typeface="Times New Roman" panose="02020603050405020304" pitchFamily="18" charset="0"/>
                    <a:cs typeface="Times New Roman" panose="02020603050405020304" pitchFamily="18" charset="0"/>
                  </a:rPr>
                  <a:t>log</a:t>
                </a:r>
                <a:r>
                  <a:rPr lang="en-US" sz="1200" b="0" i="0" baseline="-25000">
                    <a:effectLst/>
                    <a:latin typeface="Times New Roman" panose="02020603050405020304" pitchFamily="18" charset="0"/>
                    <a:cs typeface="Times New Roman" panose="02020603050405020304" pitchFamily="18" charset="0"/>
                  </a:rPr>
                  <a:t>10</a:t>
                </a:r>
                <a:r>
                  <a:rPr lang="en-US" sz="1200" b="0" i="0" baseline="0">
                    <a:effectLst/>
                    <a:latin typeface="Times New Roman" panose="02020603050405020304" pitchFamily="18" charset="0"/>
                    <a:cs typeface="Times New Roman" panose="02020603050405020304" pitchFamily="18" charset="0"/>
                  </a:rPr>
                  <a:t>[OP (GCN·L</a:t>
                </a:r>
                <a:r>
                  <a:rPr lang="en-US" sz="1200" b="0" i="0" baseline="30000">
                    <a:effectLst/>
                    <a:latin typeface="Times New Roman" panose="02020603050405020304" pitchFamily="18" charset="0"/>
                    <a:cs typeface="Times New Roman" panose="02020603050405020304" pitchFamily="18" charset="0"/>
                  </a:rPr>
                  <a:t>-1</a:t>
                </a:r>
                <a:r>
                  <a:rPr lang="en-US" sz="1200" b="0" i="0" baseline="0">
                    <a:effectLst/>
                    <a:latin typeface="Times New Roman" panose="02020603050405020304" pitchFamily="18" charset="0"/>
                    <a:cs typeface="Times New Roman" panose="02020603050405020304" pitchFamily="18" charset="0"/>
                  </a:rPr>
                  <a:t>)]</a:t>
                </a:r>
                <a:endParaRPr lang="en-US" sz="1200">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t" align="ctr"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50.xml><?xml version="1.0" encoding="utf-8"?>
<cx:chartSpace xmlns:a="http://schemas.openxmlformats.org/drawingml/2006/main" xmlns:r="http://schemas.openxmlformats.org/officeDocument/2006/relationships" xmlns:cx="http://schemas.microsoft.com/office/drawing/2014/chartex">
  <cx:chartData>
    <cx:data id="0">
      <cx:strDim type="cat">
        <cx:f>_xlchart.v1.351</cx:f>
      </cx:strDim>
      <cx:numDim type="val">
        <cx:f>_xlchart.v1.349</cx:f>
      </cx:numDim>
    </cx:data>
    <cx:data id="1">
      <cx:strDim type="cat">
        <cx:f>_xlchart.v1.351</cx:f>
      </cx:strDim>
      <cx:numDim type="val">
        <cx:f>_xlchart.v1.350</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
              <cx:v>Free ammonia</cx:v>
            </cx:txData>
          </cx:tx>
          <cx:spPr>
            <a:noFill/>
            <a:ln w="12700">
              <a:solidFill>
                <a:srgbClr val="5064E6">
                  <a:alpha val="97000"/>
                </a:srgbClr>
              </a:solidFill>
            </a:ln>
          </cx:spPr>
          <cx:dataId val="0"/>
          <cx:layoutPr>
            <cx:visibility meanLine="0" meanMarker="1" nonoutliers="1" outliers="1"/>
            <cx:statistics quartileMethod="inclusive"/>
          </cx:layoutPr>
        </cx:series>
        <cx:series layoutId="boxWhisker" uniqueId="{00000000-FF3B-4A46-88EF-CACDF8511BC9}">
          <cx:tx>
            <cx:txData>
              <cx:f/>
              <cx:v>Nitrite</cx:v>
            </cx:txData>
          </cx:tx>
          <cx:spPr>
            <a:noFill/>
            <a:ln w="12700">
              <a:solidFill>
                <a:srgbClr val="F04646"/>
              </a:solidFill>
            </a:ln>
          </cx:spPr>
          <cx:dataId val="1"/>
          <cx:layoutPr>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a:t>
                </a:r>
                <a:r>
                  <a:rPr lang="en-US" sz="1200" b="1" i="0" u="none" strike="noStrike" kern="1200" baseline="0">
                    <a:solidFill>
                      <a:srgbClr val="FF0000"/>
                    </a:solidFill>
                    <a:latin typeface="Times New Roman" panose="02020603050405020304" pitchFamily="18" charset="0"/>
                    <a:cs typeface="Times New Roman" panose="02020603050405020304" pitchFamily="18" charset="0"/>
                  </a:rPr>
                  <a:t>EP</a:t>
                </a: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0.60000000000000009" min="0"/>
        <cx:title>
          <cx:tx>
            <cx:rich>
              <a:bodyPr spcFirstLastPara="1" vertOverflow="ellipsis" horzOverflow="overflow" wrap="square" lIns="0" tIns="0" rIns="0" bIns="0" anchor="ctr" anchorCtr="1"/>
              <a:lstStyle/>
              <a:p>
                <a:pP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Nitrogen (mg N·L</a:t>
                </a:r>
                <a:r>
                  <a:rPr lang="en-US" sz="1200" b="0" i="0" u="none" strike="noStrike" kern="1200" baseline="3000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-1</a:t>
                </a: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a:t>
                </a:r>
                <a:endParaRPr lang="en-US" sz="1200">
                  <a:solidFill>
                    <a:sysClr val="windowText" lastClr="000000"/>
                  </a:solidFill>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r" align="min"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51.xml><?xml version="1.0" encoding="utf-8"?>
<cx:chartSpace xmlns:a="http://schemas.openxmlformats.org/drawingml/2006/main" xmlns:r="http://schemas.openxmlformats.org/officeDocument/2006/relationships" xmlns:cx="http://schemas.microsoft.com/office/drawing/2014/chartex">
  <cx:chartData>
    <cx:data id="0">
      <cx:strDim type="cat">
        <cx:f>_xlchart.v1.334</cx:f>
      </cx:strDim>
      <cx:numDim type="val">
        <cx:f>_xlchart.v1.333</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
              <cx:v>Orthophosphate</cx:v>
            </cx:txData>
          </cx:tx>
          <cx:spPr>
            <a:noFill/>
            <a:ln w="12700">
              <a:solidFill>
                <a:srgbClr val="5064E6">
                  <a:alpha val="97000"/>
                </a:srgbClr>
              </a:solidFill>
            </a:ln>
          </cx:spPr>
          <cx:dataId val="0"/>
          <cx:layoutPr>
            <cx:visibility meanLine="0" meanMarker="1" nonoutliers="1" outliers="1"/>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a:t>
                </a:r>
                <a:r>
                  <a:rPr lang="en-US" sz="1200" b="1" i="0" u="none" strike="noStrike" kern="1200" baseline="0">
                    <a:solidFill>
                      <a:srgbClr val="FF0000"/>
                    </a:solidFill>
                    <a:latin typeface="Times New Roman" panose="02020603050405020304" pitchFamily="18" charset="0"/>
                    <a:cs typeface="Times New Roman" panose="02020603050405020304" pitchFamily="18" charset="0"/>
                  </a:rPr>
                  <a:t>EP</a:t>
                </a: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0.35000000000000003" min="0.10000000000000001"/>
        <cx:title>
          <cx:tx>
            <cx:rich>
              <a:bodyPr spcFirstLastPara="1" vertOverflow="ellipsis" horzOverflow="overflow" wrap="square" lIns="0" tIns="0" rIns="0" bIns="0" anchor="ctr" anchorCtr="1"/>
              <a:lstStyle/>
              <a:p>
                <a:pP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Orthophosphate (PO</a:t>
                </a:r>
                <a:r>
                  <a:rPr lang="en-US" sz="1200" b="0" i="0" u="none" strike="noStrike" kern="1200" baseline="-2500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4</a:t>
                </a:r>
                <a:r>
                  <a:rPr lang="en-US" sz="1200" b="0" i="0" u="none" strike="noStrike" kern="1200" baseline="3000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3-</a:t>
                </a: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·L</a:t>
                </a:r>
                <a:r>
                  <a:rPr lang="en-US" sz="1200" b="0" i="0" u="none" strike="noStrike" kern="1200" baseline="3000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-1</a:t>
                </a: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a:t>
                </a:r>
                <a:endParaRPr lang="en-US" sz="1200">
                  <a:solidFill>
                    <a:sysClr val="windowText" lastClr="000000"/>
                  </a:solidFill>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0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t" align="ctr"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52.xml><?xml version="1.0" encoding="utf-8"?>
<cx:chartSpace xmlns:a="http://schemas.openxmlformats.org/drawingml/2006/main" xmlns:r="http://schemas.openxmlformats.org/officeDocument/2006/relationships" xmlns:cx="http://schemas.microsoft.com/office/drawing/2014/chartex">
  <cx:chartData>
    <cx:data id="0">
      <cx:strDim type="cat">
        <cx:f>_xlchart.v1.355</cx:f>
      </cx:strDim>
      <cx:numDim type="val">
        <cx:f>_xlchart.v1.354</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
              <cx:v>pH</cx:v>
            </cx:txData>
          </cx:tx>
          <cx:spPr>
            <a:noFill/>
            <a:ln w="12700">
              <a:solidFill>
                <a:srgbClr val="5064E6">
                  <a:alpha val="97000"/>
                </a:srgbClr>
              </a:solidFill>
            </a:ln>
          </cx:spPr>
          <cx:dataId val="0"/>
          <cx:layoutPr>
            <cx:visibility meanLine="0" meanMarker="1" nonoutliers="1" outliers="1"/>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a:t>
                </a:r>
                <a:r>
                  <a:rPr lang="en-US" sz="1200" b="1" i="0" u="none" strike="noStrike" kern="1200" baseline="0">
                    <a:solidFill>
                      <a:srgbClr val="FF0000"/>
                    </a:solidFill>
                    <a:latin typeface="Times New Roman" panose="02020603050405020304" pitchFamily="18" charset="0"/>
                    <a:cs typeface="Times New Roman" panose="02020603050405020304" pitchFamily="18" charset="0"/>
                  </a:rPr>
                  <a:t>SPI</a:t>
                </a: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7.0499999999999998" min="6.2000000000000002"/>
        <cx:title>
          <cx:tx>
            <cx:rich>
              <a:bodyPr spcFirstLastPara="1" vertOverflow="ellipsis" horzOverflow="overflow" wrap="square" lIns="0" tIns="0" rIns="0" bIns="0" anchor="ctr" anchorCtr="1"/>
              <a:lstStyle/>
              <a:p>
                <a:pP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pH</a:t>
                </a:r>
                <a:endParaRPr lang="en-US" sz="1200">
                  <a:solidFill>
                    <a:sysClr val="windowText" lastClr="000000"/>
                  </a:solidFill>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0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r" align="min"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53.xml><?xml version="1.0" encoding="utf-8"?>
<cx:chartSpace xmlns:a="http://schemas.openxmlformats.org/drawingml/2006/main" xmlns:r="http://schemas.openxmlformats.org/officeDocument/2006/relationships" xmlns:cx="http://schemas.microsoft.com/office/drawing/2014/chartex">
  <cx:chartData>
    <cx:data id="0">
      <cx:strDim type="cat">
        <cx:f>_xlchart.v1.353</cx:f>
      </cx:strDim>
      <cx:numDim type="val">
        <cx:f>_xlchart.v1.352</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
              <cx:v>Water Temperature</cx:v>
            </cx:txData>
          </cx:tx>
          <cx:spPr>
            <a:noFill/>
            <a:ln w="12700">
              <a:solidFill>
                <a:srgbClr val="5064E6">
                  <a:alpha val="97000"/>
                </a:srgbClr>
              </a:solidFill>
            </a:ln>
          </cx:spPr>
          <cx:dataId val="0"/>
          <cx:layoutPr>
            <cx:visibility meanLine="0" meanMarker="1" nonoutliers="1" outliers="1"/>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a:t>
                </a:r>
                <a:r>
                  <a:rPr lang="en-US" sz="1200" b="1" i="0" u="none" strike="noStrike" kern="1200" baseline="0">
                    <a:solidFill>
                      <a:srgbClr val="FF0000"/>
                    </a:solidFill>
                    <a:latin typeface="Times New Roman" panose="02020603050405020304" pitchFamily="18" charset="0"/>
                    <a:cs typeface="Times New Roman" panose="02020603050405020304" pitchFamily="18" charset="0"/>
                  </a:rPr>
                  <a:t>SPI</a:t>
                </a: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30" min="21"/>
        <cx:title>
          <cx:tx>
            <cx:rich>
              <a:bodyPr spcFirstLastPara="1" vertOverflow="ellipsis" horzOverflow="overflow" wrap="square" lIns="0" tIns="0" rIns="0" bIns="0" anchor="ctr" anchorCtr="1"/>
              <a:lstStyle/>
              <a:p>
                <a:pP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Water temperature (°C)</a:t>
                </a:r>
                <a:endParaRPr lang="en-US" sz="1200">
                  <a:solidFill>
                    <a:sysClr val="windowText" lastClr="000000"/>
                  </a:solidFill>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t" align="ctr"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54.xml><?xml version="1.0" encoding="utf-8"?>
<cx:chartSpace xmlns:a="http://schemas.openxmlformats.org/drawingml/2006/main" xmlns:r="http://schemas.openxmlformats.org/officeDocument/2006/relationships" xmlns:cx="http://schemas.microsoft.com/office/drawing/2014/chartex">
  <cx:chartData>
    <cx:data id="0">
      <cx:strDim type="cat">
        <cx:f>_xlchart.v1.325</cx:f>
      </cx:strDim>
      <cx:numDim type="val">
        <cx:f>_xlchart.v1.322</cx:f>
      </cx:numDim>
    </cx:data>
    <cx:data id="1">
      <cx:strDim type="cat">
        <cx:f>_xlchart.v1.325</cx:f>
      </cx:strDim>
      <cx:numDim type="val">
        <cx:f>_xlchart.v1.323</cx:f>
      </cx:numDim>
    </cx:data>
    <cx:data id="2">
      <cx:strDim type="cat">
        <cx:f>_xlchart.v1.325</cx:f>
      </cx:strDim>
      <cx:numDim type="val">
        <cx:f>_xlchart.v1.324</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
              <cx:v>Free chlorine</cx:v>
            </cx:txData>
          </cx:tx>
          <cx:spPr>
            <a:noFill/>
            <a:ln w="12700">
              <a:solidFill>
                <a:srgbClr val="5064E6">
                  <a:alpha val="97000"/>
                </a:srgbClr>
              </a:solidFill>
            </a:ln>
          </cx:spPr>
          <cx:dataId val="0"/>
          <cx:layoutPr>
            <cx:visibility meanLine="0" meanMarker="1" nonoutliers="1" outliers="1"/>
            <cx:statistics quartileMethod="inclusive"/>
          </cx:layoutPr>
        </cx:series>
        <cx:series layoutId="boxWhisker" uniqueId="{00000000-13A6-46AF-97B2-7219B81DFFC0}">
          <cx:tx>
            <cx:txData>
              <cx:f/>
              <cx:v>Monochloramine</cx:v>
            </cx:txData>
          </cx:tx>
          <cx:spPr>
            <a:noFill/>
            <a:ln w="12700">
              <a:solidFill>
                <a:srgbClr val="F04646"/>
              </a:solidFill>
            </a:ln>
          </cx:spPr>
          <cx:dataId val="1"/>
          <cx:layoutPr>
            <cx:statistics quartileMethod="inclusive"/>
          </cx:layoutPr>
        </cx:series>
        <cx:series layoutId="boxWhisker" uniqueId="{00000001-13A6-46AF-97B2-7219B81DFFC0}">
          <cx:tx>
            <cx:txData>
              <cx:f/>
              <cx:v>Total chlorine</cx:v>
            </cx:txData>
          </cx:tx>
          <cx:spPr>
            <a:noFill/>
            <a:ln w="12700">
              <a:solidFill>
                <a:schemeClr val="tx1"/>
              </a:solidFill>
            </a:ln>
          </cx:spPr>
          <cx:dataId val="2"/>
          <cx:layoutPr>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a:t>
                </a:r>
                <a:r>
                  <a:rPr lang="en-US" sz="1200" b="1" i="0" u="none" strike="noStrike" kern="1200" baseline="0">
                    <a:solidFill>
                      <a:srgbClr val="FF0000"/>
                    </a:solidFill>
                    <a:latin typeface="Times New Roman" panose="02020603050405020304" pitchFamily="18" charset="0"/>
                    <a:cs typeface="Times New Roman" panose="02020603050405020304" pitchFamily="18" charset="0"/>
                  </a:rPr>
                  <a:t>SPI</a:t>
                </a: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3.1000000000000001" min="0"/>
        <cx:title>
          <cx:tx>
            <cx:rich>
              <a:bodyPr spcFirstLastPara="1" vertOverflow="ellipsis" horzOverflow="overflow" wrap="square" lIns="0" tIns="0" rIns="0" bIns="0" anchor="ctr" anchorCtr="1"/>
              <a:lstStyle/>
              <a:p>
                <a:pP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Chlorine (mg Cl</a:t>
                </a:r>
                <a:r>
                  <a:rPr lang="en-US" sz="1200" b="0" i="0" u="none" strike="noStrike" kern="1200" baseline="-2500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2</a:t>
                </a: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·L</a:t>
                </a:r>
                <a:r>
                  <a:rPr lang="en-US" sz="1200" b="0" i="0" u="none" strike="noStrike" kern="1200" baseline="3000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-1</a:t>
                </a: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a:t>
                </a:r>
                <a:endParaRPr lang="en-US" sz="1200">
                  <a:solidFill>
                    <a:sysClr val="windowText" lastClr="000000"/>
                  </a:solidFill>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r" align="min"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55.xml><?xml version="1.0" encoding="utf-8"?>
<cx:chartSpace xmlns:a="http://schemas.openxmlformats.org/drawingml/2006/main" xmlns:r="http://schemas.openxmlformats.org/officeDocument/2006/relationships" xmlns:cx="http://schemas.microsoft.com/office/drawing/2014/chartex">
  <cx:chartData>
    <cx:data id="0">
      <cx:strDim type="cat">
        <cx:f>_xlchart.v1.358</cx:f>
      </cx:strDim>
      <cx:numDim type="val">
        <cx:f>_xlchart.v1.356</cx:f>
      </cx:numDim>
    </cx:data>
    <cx:data id="1">
      <cx:strDim type="cat">
        <cx:f>_xlchart.v1.358</cx:f>
      </cx:strDim>
      <cx:numDim type="val">
        <cx:f>_xlchart.v1.357</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
              <cx:v>Free ammonia</cx:v>
            </cx:txData>
          </cx:tx>
          <cx:spPr>
            <a:noFill/>
            <a:ln w="12700">
              <a:solidFill>
                <a:srgbClr val="5064E6">
                  <a:alpha val="97000"/>
                </a:srgbClr>
              </a:solidFill>
            </a:ln>
          </cx:spPr>
          <cx:dataId val="0"/>
          <cx:layoutPr>
            <cx:visibility meanLine="0" meanMarker="1" nonoutliers="1" outliers="1"/>
            <cx:statistics quartileMethod="inclusive"/>
          </cx:layoutPr>
        </cx:series>
        <cx:series layoutId="boxWhisker" uniqueId="{00000000-FF3B-4A46-88EF-CACDF8511BC9}">
          <cx:tx>
            <cx:txData>
              <cx:f/>
              <cx:v>Nitrite</cx:v>
            </cx:txData>
          </cx:tx>
          <cx:spPr>
            <a:noFill/>
            <a:ln w="12700">
              <a:solidFill>
                <a:srgbClr val="F04646"/>
              </a:solidFill>
            </a:ln>
          </cx:spPr>
          <cx:dataId val="1"/>
          <cx:layoutPr>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a:t>
                </a:r>
                <a:r>
                  <a:rPr lang="en-US" sz="1200" b="1" i="0" u="none" strike="noStrike" kern="1200" baseline="0">
                    <a:solidFill>
                      <a:srgbClr val="FF0000"/>
                    </a:solidFill>
                    <a:latin typeface="Times New Roman" panose="02020603050405020304" pitchFamily="18" charset="0"/>
                    <a:cs typeface="Times New Roman" panose="02020603050405020304" pitchFamily="18" charset="0"/>
                  </a:rPr>
                  <a:t>SPI</a:t>
                </a: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0.35000000000000003" min="0"/>
        <cx:title>
          <cx:tx>
            <cx:rich>
              <a:bodyPr spcFirstLastPara="1" vertOverflow="ellipsis" horzOverflow="overflow" wrap="square" lIns="0" tIns="0" rIns="0" bIns="0" anchor="ctr" anchorCtr="1"/>
              <a:lstStyle/>
              <a:p>
                <a:pP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Nitrogen (mg N·L</a:t>
                </a:r>
                <a:r>
                  <a:rPr lang="en-US" sz="1200" b="0" i="0" u="none" strike="noStrike" kern="1200" baseline="3000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-1</a:t>
                </a: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a:t>
                </a:r>
                <a:endParaRPr lang="en-US" sz="1200">
                  <a:solidFill>
                    <a:sysClr val="windowText" lastClr="000000"/>
                  </a:solidFill>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0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r" align="min"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56.xml><?xml version="1.0" encoding="utf-8"?>
<cx:chartSpace xmlns:a="http://schemas.openxmlformats.org/drawingml/2006/main" xmlns:r="http://schemas.openxmlformats.org/officeDocument/2006/relationships" xmlns:cx="http://schemas.microsoft.com/office/drawing/2014/chartex">
  <cx:chartData>
    <cx:data id="0">
      <cx:strDim type="cat">
        <cx:f>_xlchart.v1.336</cx:f>
      </cx:strDim>
      <cx:numDim type="val">
        <cx:f>_xlchart.v1.335</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
              <cx:v>Orthophosphate</cx:v>
            </cx:txData>
          </cx:tx>
          <cx:spPr>
            <a:noFill/>
            <a:ln w="12700">
              <a:solidFill>
                <a:srgbClr val="5064E6">
                  <a:alpha val="97000"/>
                </a:srgbClr>
              </a:solidFill>
            </a:ln>
          </cx:spPr>
          <cx:dataId val="0"/>
          <cx:layoutPr>
            <cx:visibility meanLine="0" meanMarker="1" nonoutliers="1" outliers="1"/>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a:t>
                </a:r>
                <a:r>
                  <a:rPr lang="en-US" sz="1200" b="1" i="0" u="none" strike="noStrike" kern="1200" baseline="0">
                    <a:solidFill>
                      <a:srgbClr val="FF0000"/>
                    </a:solidFill>
                    <a:latin typeface="Times New Roman" panose="02020603050405020304" pitchFamily="18" charset="0"/>
                    <a:cs typeface="Times New Roman" panose="02020603050405020304" pitchFamily="18" charset="0"/>
                  </a:rPr>
                  <a:t>SPI</a:t>
                </a: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0.5" min="0.15000000000000002"/>
        <cx:title>
          <cx:tx>
            <cx:rich>
              <a:bodyPr spcFirstLastPara="1" vertOverflow="ellipsis" horzOverflow="overflow" wrap="square" lIns="0" tIns="0" rIns="0" bIns="0" anchor="ctr" anchorCtr="1"/>
              <a:lstStyle/>
              <a:p>
                <a:pP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Orthophosphate (PO</a:t>
                </a:r>
                <a:r>
                  <a:rPr lang="en-US" sz="1200" b="0" i="0" u="none" strike="noStrike" kern="1200" baseline="-2500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4</a:t>
                </a:r>
                <a:r>
                  <a:rPr lang="en-US" sz="1200" b="0" i="0" u="none" strike="noStrike" kern="1200" baseline="3000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3-</a:t>
                </a: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·L</a:t>
                </a:r>
                <a:r>
                  <a:rPr lang="en-US" sz="1200" b="0" i="0" u="none" strike="noStrike" kern="1200" baseline="3000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-1</a:t>
                </a: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a:t>
                </a:r>
                <a:endParaRPr lang="en-US" sz="1200">
                  <a:solidFill>
                    <a:sysClr val="windowText" lastClr="000000"/>
                  </a:solidFill>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0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t" align="ctr"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57.xml><?xml version="1.0" encoding="utf-8"?>
<cx:chartSpace xmlns:a="http://schemas.openxmlformats.org/drawingml/2006/main" xmlns:r="http://schemas.openxmlformats.org/officeDocument/2006/relationships" xmlns:cx="http://schemas.microsoft.com/office/drawing/2014/chartex">
  <cx:chartData>
    <cx:data id="0">
      <cx:strDim type="cat">
        <cx:f>_xlchart.v1.344</cx:f>
      </cx:strDim>
      <cx:numDim type="val">
        <cx:f>_xlchart.v1.343</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
              <cx:v>pH</cx:v>
            </cx:txData>
          </cx:tx>
          <cx:spPr>
            <a:noFill/>
            <a:ln w="12700">
              <a:solidFill>
                <a:srgbClr val="5064E6">
                  <a:alpha val="97000"/>
                </a:srgbClr>
              </a:solidFill>
            </a:ln>
          </cx:spPr>
          <cx:dataId val="0"/>
          <cx:layoutPr>
            <cx:visibility meanLine="0" meanMarker="1" nonoutliers="1" outliers="1"/>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a:t>
                </a:r>
                <a:r>
                  <a:rPr lang="en-US" sz="1200" b="1" i="0" u="none" strike="noStrike" kern="1200" baseline="0">
                    <a:solidFill>
                      <a:srgbClr val="FF0000"/>
                    </a:solidFill>
                    <a:latin typeface="Times New Roman" panose="02020603050405020304" pitchFamily="18" charset="0"/>
                    <a:cs typeface="Times New Roman" panose="02020603050405020304" pitchFamily="18" charset="0"/>
                  </a:rPr>
                  <a:t>SPO</a:t>
                </a: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7.25" min="6.2999999999999998"/>
        <cx:title>
          <cx:tx>
            <cx:rich>
              <a:bodyPr spcFirstLastPara="1" vertOverflow="ellipsis" horzOverflow="overflow" wrap="square" lIns="0" tIns="0" rIns="0" bIns="0" anchor="ctr" anchorCtr="1"/>
              <a:lstStyle/>
              <a:p>
                <a:pP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pH</a:t>
                </a:r>
                <a:endParaRPr lang="en-US" sz="1200">
                  <a:solidFill>
                    <a:sysClr val="windowText" lastClr="000000"/>
                  </a:solidFill>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0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r" align="ctr"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58.xml><?xml version="1.0" encoding="utf-8"?>
<cx:chartSpace xmlns:a="http://schemas.openxmlformats.org/drawingml/2006/main" xmlns:r="http://schemas.openxmlformats.org/officeDocument/2006/relationships" xmlns:cx="http://schemas.microsoft.com/office/drawing/2014/chartex">
  <cx:chartData>
    <cx:data id="0">
      <cx:strDim type="cat">
        <cx:f>_xlchart.v1.360</cx:f>
      </cx:strDim>
      <cx:numDim type="val">
        <cx:f>_xlchart.v1.359</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
              <cx:v>Water Temperature</cx:v>
            </cx:txData>
          </cx:tx>
          <cx:spPr>
            <a:noFill/>
            <a:ln w="12700">
              <a:solidFill>
                <a:srgbClr val="5064E6">
                  <a:alpha val="97000"/>
                </a:srgbClr>
              </a:solidFill>
            </a:ln>
          </cx:spPr>
          <cx:dataId val="0"/>
          <cx:layoutPr>
            <cx:visibility meanLine="0" meanMarker="1" nonoutliers="1" outliers="1"/>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a:t>
                </a:r>
                <a:r>
                  <a:rPr lang="en-US" sz="1200" b="1" i="0" u="none" strike="noStrike" kern="1200" baseline="0">
                    <a:solidFill>
                      <a:srgbClr val="FF0000"/>
                    </a:solidFill>
                    <a:latin typeface="Times New Roman" panose="02020603050405020304" pitchFamily="18" charset="0"/>
                    <a:cs typeface="Times New Roman" panose="02020603050405020304" pitchFamily="18" charset="0"/>
                  </a:rPr>
                  <a:t>SPO</a:t>
                </a: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31" min="20"/>
        <cx:title>
          <cx:tx>
            <cx:rich>
              <a:bodyPr spcFirstLastPara="1" vertOverflow="ellipsis" horzOverflow="overflow" wrap="square" lIns="0" tIns="0" rIns="0" bIns="0" anchor="ctr" anchorCtr="1"/>
              <a:lstStyle/>
              <a:p>
                <a:pP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Water temperature (°C)</a:t>
                </a:r>
                <a:endParaRPr lang="en-US" sz="1200">
                  <a:solidFill>
                    <a:sysClr val="windowText" lastClr="000000"/>
                  </a:solidFill>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t" align="ctr"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59.xml><?xml version="1.0" encoding="utf-8"?>
<cx:chartSpace xmlns:a="http://schemas.openxmlformats.org/drawingml/2006/main" xmlns:r="http://schemas.openxmlformats.org/officeDocument/2006/relationships" xmlns:cx="http://schemas.microsoft.com/office/drawing/2014/chartex">
  <cx:chartData>
    <cx:data id="0">
      <cx:strDim type="cat">
        <cx:f>_xlchart.v1.340</cx:f>
      </cx:strDim>
      <cx:numDim type="val">
        <cx:f>_xlchart.v1.337</cx:f>
      </cx:numDim>
    </cx:data>
    <cx:data id="1">
      <cx:strDim type="cat">
        <cx:f>_xlchart.v1.340</cx:f>
      </cx:strDim>
      <cx:numDim type="val">
        <cx:f>_xlchart.v1.338</cx:f>
      </cx:numDim>
    </cx:data>
    <cx:data id="2">
      <cx:strDim type="cat">
        <cx:f>_xlchart.v1.340</cx:f>
      </cx:strDim>
      <cx:numDim type="val">
        <cx:f>_xlchart.v1.339</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
              <cx:v>Free chlorine</cx:v>
            </cx:txData>
          </cx:tx>
          <cx:spPr>
            <a:noFill/>
            <a:ln w="12700">
              <a:solidFill>
                <a:srgbClr val="5064E6">
                  <a:alpha val="97000"/>
                </a:srgbClr>
              </a:solidFill>
            </a:ln>
          </cx:spPr>
          <cx:dataId val="0"/>
          <cx:layoutPr>
            <cx:visibility meanLine="0" meanMarker="1" nonoutliers="1" outliers="1"/>
            <cx:statistics quartileMethod="inclusive"/>
          </cx:layoutPr>
        </cx:series>
        <cx:series layoutId="boxWhisker" uniqueId="{00000000-13A6-46AF-97B2-7219B81DFFC0}">
          <cx:tx>
            <cx:txData>
              <cx:f/>
              <cx:v>Monochloramine</cx:v>
            </cx:txData>
          </cx:tx>
          <cx:spPr>
            <a:noFill/>
            <a:ln w="12700">
              <a:solidFill>
                <a:srgbClr val="F04646"/>
              </a:solidFill>
            </a:ln>
          </cx:spPr>
          <cx:dataId val="1"/>
          <cx:layoutPr>
            <cx:statistics quartileMethod="inclusive"/>
          </cx:layoutPr>
        </cx:series>
        <cx:series layoutId="boxWhisker" uniqueId="{00000001-13A6-46AF-97B2-7219B81DFFC0}">
          <cx:tx>
            <cx:txData>
              <cx:f/>
              <cx:v>Total chlorine</cx:v>
            </cx:txData>
          </cx:tx>
          <cx:spPr>
            <a:noFill/>
            <a:ln w="12700">
              <a:solidFill>
                <a:schemeClr val="tx1"/>
              </a:solidFill>
            </a:ln>
          </cx:spPr>
          <cx:dataId val="2"/>
          <cx:layoutPr>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a:t>
                </a:r>
                <a:r>
                  <a:rPr lang="en-US" sz="1200" b="1" i="0" u="none" strike="noStrike" kern="1200" baseline="0">
                    <a:solidFill>
                      <a:srgbClr val="FF0000"/>
                    </a:solidFill>
                    <a:latin typeface="Times New Roman" panose="02020603050405020304" pitchFamily="18" charset="0"/>
                    <a:cs typeface="Times New Roman" panose="02020603050405020304" pitchFamily="18" charset="0"/>
                  </a:rPr>
                  <a:t>SPO</a:t>
                </a: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3" min="0"/>
        <cx:title>
          <cx:tx>
            <cx:rich>
              <a:bodyPr spcFirstLastPara="1" vertOverflow="ellipsis" horzOverflow="overflow" wrap="square" lIns="0" tIns="0" rIns="0" bIns="0" anchor="ctr" anchorCtr="1"/>
              <a:lstStyle/>
              <a:p>
                <a:pP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Chlorine (mg Cl</a:t>
                </a:r>
                <a:r>
                  <a:rPr lang="en-US" sz="1200" b="0" i="0" u="none" strike="noStrike" kern="1200" baseline="-2500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2</a:t>
                </a: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·L</a:t>
                </a:r>
                <a:r>
                  <a:rPr lang="en-US" sz="1200" b="0" i="0" u="none" strike="noStrike" kern="1200" baseline="3000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-1</a:t>
                </a: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a:t>
                </a:r>
                <a:endParaRPr lang="en-US" sz="1200">
                  <a:solidFill>
                    <a:sysClr val="windowText" lastClr="000000"/>
                  </a:solidFill>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r" align="min"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6.xml><?xml version="1.0" encoding="utf-8"?>
<cx:chartSpace xmlns:a="http://schemas.openxmlformats.org/drawingml/2006/main" xmlns:r="http://schemas.openxmlformats.org/officeDocument/2006/relationships" xmlns:cx="http://schemas.microsoft.com/office/drawing/2014/chartex">
  <cx:chartData>
    <cx:data id="0">
      <cx:strDim type="cat">
        <cx:f>_xlchart.v1.95</cx:f>
      </cx:strDim>
      <cx:numDim type="val">
        <cx:f>_xlchart.v1.97</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_xlchart.v1.96</cx:f>
              <cx:v>Total bacteria</cx:v>
            </cx:txData>
          </cx:tx>
          <cx:spPr>
            <a:noFill/>
            <a:ln w="12700">
              <a:solidFill>
                <a:srgbClr val="5064E6">
                  <a:alpha val="97000"/>
                </a:srgbClr>
              </a:solidFill>
            </a:ln>
          </cx:spPr>
          <cx:dataId val="0"/>
          <cx:layoutPr>
            <cx:visibility meanLine="0" meanMarker="1" nonoutliers="1" outliers="1"/>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a:t>
                </a:r>
                <a:r>
                  <a:rPr lang="en-US" sz="1200" b="1" i="0" u="none" strike="noStrike" kern="1200" baseline="0">
                    <a:solidFill>
                      <a:srgbClr val="FF0000"/>
                    </a:solidFill>
                    <a:latin typeface="Times New Roman" panose="02020603050405020304" pitchFamily="18" charset="0"/>
                    <a:cs typeface="Times New Roman" panose="02020603050405020304" pitchFamily="18" charset="0"/>
                  </a:rPr>
                  <a:t>-DWDS-During the burn</a:t>
                </a: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9.5" min="4.5"/>
        <cx:title>
          <cx:tx>
            <cx:rich>
              <a:bodyPr spcFirstLastPara="1" vertOverflow="ellipsis" horzOverflow="overflow" wrap="square" lIns="0" tIns="0" rIns="0" bIns="0" anchor="ctr" anchorCtr="1"/>
              <a:lstStyle/>
              <a:p>
                <a:pPr rtl="0"/>
                <a:r>
                  <a:rPr lang="en-US" sz="1200" b="0" i="0" baseline="0">
                    <a:effectLst/>
                    <a:latin typeface="Times New Roman" panose="02020603050405020304" pitchFamily="18" charset="0"/>
                    <a:cs typeface="Times New Roman" panose="02020603050405020304" pitchFamily="18" charset="0"/>
                  </a:rPr>
                  <a:t>log</a:t>
                </a:r>
                <a:r>
                  <a:rPr lang="en-US" sz="1200" b="0" i="0" baseline="-25000">
                    <a:effectLst/>
                    <a:latin typeface="Times New Roman" panose="02020603050405020304" pitchFamily="18" charset="0"/>
                    <a:cs typeface="Times New Roman" panose="02020603050405020304" pitchFamily="18" charset="0"/>
                  </a:rPr>
                  <a:t>10</a:t>
                </a:r>
                <a:r>
                  <a:rPr lang="en-US" sz="1200" b="0" i="0" baseline="0">
                    <a:effectLst/>
                    <a:latin typeface="Times New Roman" panose="02020603050405020304" pitchFamily="18" charset="0"/>
                    <a:cs typeface="Times New Roman" panose="02020603050405020304" pitchFamily="18" charset="0"/>
                  </a:rPr>
                  <a:t>[Total bacteria (GCN·L</a:t>
                </a:r>
                <a:r>
                  <a:rPr lang="en-US" sz="1200" b="0" i="0" baseline="30000">
                    <a:effectLst/>
                    <a:latin typeface="Times New Roman" panose="02020603050405020304" pitchFamily="18" charset="0"/>
                    <a:cs typeface="Times New Roman" panose="02020603050405020304" pitchFamily="18" charset="0"/>
                  </a:rPr>
                  <a:t>-1</a:t>
                </a:r>
                <a:r>
                  <a:rPr lang="en-US" sz="1200" b="0" i="0" baseline="0">
                    <a:effectLst/>
                    <a:latin typeface="Times New Roman" panose="02020603050405020304" pitchFamily="18" charset="0"/>
                    <a:cs typeface="Times New Roman" panose="02020603050405020304" pitchFamily="18" charset="0"/>
                  </a:rPr>
                  <a:t>)]</a:t>
                </a:r>
                <a:endParaRPr lang="en-US" sz="1200">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t" align="ctr"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60.xml><?xml version="1.0" encoding="utf-8"?>
<cx:chartSpace xmlns:a="http://schemas.openxmlformats.org/drawingml/2006/main" xmlns:r="http://schemas.openxmlformats.org/officeDocument/2006/relationships" xmlns:cx="http://schemas.microsoft.com/office/drawing/2014/chartex">
  <cx:chartData>
    <cx:data id="0">
      <cx:strDim type="cat">
        <cx:f>_xlchart.v1.328</cx:f>
      </cx:strDim>
      <cx:numDim type="val">
        <cx:f>_xlchart.v1.326</cx:f>
      </cx:numDim>
    </cx:data>
    <cx:data id="1">
      <cx:strDim type="cat">
        <cx:f>_xlchart.v1.328</cx:f>
      </cx:strDim>
      <cx:numDim type="val">
        <cx:f>_xlchart.v1.327</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
              <cx:v>Free ammonia</cx:v>
            </cx:txData>
          </cx:tx>
          <cx:spPr>
            <a:noFill/>
            <a:ln w="12700">
              <a:solidFill>
                <a:srgbClr val="5064E6">
                  <a:alpha val="97000"/>
                </a:srgbClr>
              </a:solidFill>
            </a:ln>
          </cx:spPr>
          <cx:dataId val="0"/>
          <cx:layoutPr>
            <cx:visibility meanLine="0" meanMarker="1" nonoutliers="1" outliers="1"/>
            <cx:statistics quartileMethod="inclusive"/>
          </cx:layoutPr>
        </cx:series>
        <cx:series layoutId="boxWhisker" uniqueId="{00000000-FF3B-4A46-88EF-CACDF8511BC9}">
          <cx:tx>
            <cx:txData>
              <cx:f/>
              <cx:v>Nitrite</cx:v>
            </cx:txData>
          </cx:tx>
          <cx:spPr>
            <a:noFill/>
            <a:ln w="12700">
              <a:solidFill>
                <a:srgbClr val="F04646"/>
              </a:solidFill>
            </a:ln>
          </cx:spPr>
          <cx:dataId val="1"/>
          <cx:layoutPr>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a:t>
                </a:r>
                <a:r>
                  <a:rPr lang="en-US" sz="1200" b="1" i="0" u="none" strike="noStrike" kern="1200" baseline="0">
                    <a:solidFill>
                      <a:srgbClr val="FF0000"/>
                    </a:solidFill>
                    <a:latin typeface="Times New Roman" panose="02020603050405020304" pitchFamily="18" charset="0"/>
                    <a:cs typeface="Times New Roman" panose="02020603050405020304" pitchFamily="18" charset="0"/>
                  </a:rPr>
                  <a:t>SPO</a:t>
                </a: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0.35000000000000003" min="0"/>
        <cx:title>
          <cx:tx>
            <cx:rich>
              <a:bodyPr spcFirstLastPara="1" vertOverflow="ellipsis" horzOverflow="overflow" wrap="square" lIns="0" tIns="0" rIns="0" bIns="0" anchor="ctr" anchorCtr="1"/>
              <a:lstStyle/>
              <a:p>
                <a:pP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Nitrogen (mg N·L</a:t>
                </a:r>
                <a:r>
                  <a:rPr lang="en-US" sz="1200" b="0" i="0" u="none" strike="noStrike" kern="1200" baseline="3000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-1</a:t>
                </a: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a:t>
                </a:r>
                <a:endParaRPr lang="en-US" sz="1200">
                  <a:solidFill>
                    <a:sysClr val="windowText" lastClr="000000"/>
                  </a:solidFill>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0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r" align="min"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61.xml><?xml version="1.0" encoding="utf-8"?>
<cx:chartSpace xmlns:a="http://schemas.openxmlformats.org/drawingml/2006/main" xmlns:r="http://schemas.openxmlformats.org/officeDocument/2006/relationships" xmlns:cx="http://schemas.microsoft.com/office/drawing/2014/chartex">
  <cx:chartData>
    <cx:data id="0">
      <cx:strDim type="cat">
        <cx:f>_xlchart.v1.330</cx:f>
      </cx:strDim>
      <cx:numDim type="val">
        <cx:f>_xlchart.v1.329</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
              <cx:v>Orthophosphate</cx:v>
            </cx:txData>
          </cx:tx>
          <cx:spPr>
            <a:noFill/>
            <a:ln w="12700">
              <a:solidFill>
                <a:srgbClr val="5064E6">
                  <a:alpha val="97000"/>
                </a:srgbClr>
              </a:solidFill>
            </a:ln>
          </cx:spPr>
          <cx:dataId val="0"/>
          <cx:layoutPr>
            <cx:visibility meanLine="0" meanMarker="1" nonoutliers="1" outliers="1"/>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a:t>
                </a:r>
                <a:r>
                  <a:rPr lang="en-US" sz="1200" b="1" i="0" u="none" strike="noStrike" kern="1200" baseline="0">
                    <a:solidFill>
                      <a:srgbClr val="FF0000"/>
                    </a:solidFill>
                    <a:latin typeface="Times New Roman" panose="02020603050405020304" pitchFamily="18" charset="0"/>
                    <a:cs typeface="Times New Roman" panose="02020603050405020304" pitchFamily="18" charset="0"/>
                  </a:rPr>
                  <a:t>SPO</a:t>
                </a: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0.5" min="0.25"/>
        <cx:title>
          <cx:tx>
            <cx:rich>
              <a:bodyPr spcFirstLastPara="1" vertOverflow="ellipsis" horzOverflow="overflow" wrap="square" lIns="0" tIns="0" rIns="0" bIns="0" anchor="ctr" anchorCtr="1"/>
              <a:lstStyle/>
              <a:p>
                <a:pP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Orthophosphate (PO</a:t>
                </a:r>
                <a:r>
                  <a:rPr lang="en-US" sz="1200" b="0" i="0" u="none" strike="noStrike" kern="1200" baseline="-2500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4</a:t>
                </a:r>
                <a:r>
                  <a:rPr lang="en-US" sz="1200" b="0" i="0" u="none" strike="noStrike" kern="1200" baseline="3000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3-</a:t>
                </a: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·L</a:t>
                </a:r>
                <a:r>
                  <a:rPr lang="en-US" sz="1200" b="0" i="0" u="none" strike="noStrike" kern="1200" baseline="3000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-1</a:t>
                </a: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a:t>
                </a:r>
                <a:endParaRPr lang="en-US" sz="1200">
                  <a:solidFill>
                    <a:sysClr val="windowText" lastClr="000000"/>
                  </a:solidFill>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0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t" align="ctr"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62.xml><?xml version="1.0" encoding="utf-8"?>
<cx:chartSpace xmlns:a="http://schemas.openxmlformats.org/drawingml/2006/main" xmlns:r="http://schemas.openxmlformats.org/officeDocument/2006/relationships" xmlns:cx="http://schemas.microsoft.com/office/drawing/2014/chartex">
  <cx:chartData>
    <cx:data id="0">
      <cx:strDim type="cat">
        <cx:f>_xlchart.v1.368</cx:f>
      </cx:strDim>
      <cx:numDim type="val">
        <cx:f>_xlchart.v1.367</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
              <cx:v>pH</cx:v>
            </cx:txData>
          </cx:tx>
          <cx:spPr>
            <a:noFill/>
            <a:ln w="12700">
              <a:solidFill>
                <a:srgbClr val="5064E6">
                  <a:alpha val="97000"/>
                </a:srgbClr>
              </a:solidFill>
            </a:ln>
          </cx:spPr>
          <cx:dataId val="0"/>
          <cx:layoutPr>
            <cx:visibility meanLine="0" meanMarker="1" nonoutliers="1" outliers="1"/>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a:t>
                </a:r>
                <a:r>
                  <a:rPr lang="en-US" sz="1200" b="1" i="0" u="none" strike="noStrike" kern="1200" baseline="0">
                    <a:solidFill>
                      <a:srgbClr val="FF0000"/>
                    </a:solidFill>
                    <a:latin typeface="Times New Roman" panose="02020603050405020304" pitchFamily="18" charset="0"/>
                    <a:cs typeface="Times New Roman" panose="02020603050405020304" pitchFamily="18" charset="0"/>
                  </a:rPr>
                  <a:t>MRT</a:t>
                </a: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7" min="6.2999999999999998"/>
        <cx:title>
          <cx:tx>
            <cx:rich>
              <a:bodyPr spcFirstLastPara="1" vertOverflow="ellipsis" horzOverflow="overflow" wrap="square" lIns="0" tIns="0" rIns="0" bIns="0" anchor="ctr" anchorCtr="1"/>
              <a:lstStyle/>
              <a:p>
                <a:pP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pH</a:t>
                </a:r>
                <a:endParaRPr lang="en-US" sz="1200">
                  <a:solidFill>
                    <a:sysClr val="windowText" lastClr="000000"/>
                  </a:solidFill>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0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r" align="ctr"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63.xml><?xml version="1.0" encoding="utf-8"?>
<cx:chartSpace xmlns:a="http://schemas.openxmlformats.org/drawingml/2006/main" xmlns:r="http://schemas.openxmlformats.org/officeDocument/2006/relationships" xmlns:cx="http://schemas.microsoft.com/office/drawing/2014/chartex">
  <cx:chartData>
    <cx:data id="0">
      <cx:strDim type="cat">
        <cx:f>_xlchart.v1.398</cx:f>
      </cx:strDim>
      <cx:numDim type="val">
        <cx:f>_xlchart.v1.397</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
              <cx:v>Water Temperature</cx:v>
            </cx:txData>
          </cx:tx>
          <cx:spPr>
            <a:noFill/>
            <a:ln w="12700">
              <a:solidFill>
                <a:srgbClr val="5064E6">
                  <a:alpha val="97000"/>
                </a:srgbClr>
              </a:solidFill>
            </a:ln>
          </cx:spPr>
          <cx:dataId val="0"/>
          <cx:layoutPr>
            <cx:visibility meanLine="0" meanMarker="1" nonoutliers="1" outliers="1"/>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a:t>
                </a:r>
                <a:r>
                  <a:rPr lang="en-US" sz="1200" b="1" i="0" u="none" strike="noStrike" kern="1200" baseline="0">
                    <a:solidFill>
                      <a:srgbClr val="FF0000"/>
                    </a:solidFill>
                    <a:latin typeface="Times New Roman" panose="02020603050405020304" pitchFamily="18" charset="0"/>
                    <a:cs typeface="Times New Roman" panose="02020603050405020304" pitchFamily="18" charset="0"/>
                  </a:rPr>
                  <a:t>MRT</a:t>
                </a: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29" min="22"/>
        <cx:title>
          <cx:tx>
            <cx:rich>
              <a:bodyPr spcFirstLastPara="1" vertOverflow="ellipsis" horzOverflow="overflow" wrap="square" lIns="0" tIns="0" rIns="0" bIns="0" anchor="ctr" anchorCtr="1"/>
              <a:lstStyle/>
              <a:p>
                <a:pP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Water temperature (°C)</a:t>
                </a:r>
                <a:endParaRPr lang="en-US" sz="1200">
                  <a:solidFill>
                    <a:sysClr val="windowText" lastClr="000000"/>
                  </a:solidFill>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t" align="ctr"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64.xml><?xml version="1.0" encoding="utf-8"?>
<cx:chartSpace xmlns:a="http://schemas.openxmlformats.org/drawingml/2006/main" xmlns:r="http://schemas.openxmlformats.org/officeDocument/2006/relationships" xmlns:cx="http://schemas.microsoft.com/office/drawing/2014/chartex">
  <cx:chartData>
    <cx:data id="0">
      <cx:strDim type="cat">
        <cx:f>_xlchart.v1.374</cx:f>
      </cx:strDim>
      <cx:numDim type="val">
        <cx:f>_xlchart.v1.371</cx:f>
      </cx:numDim>
    </cx:data>
    <cx:data id="1">
      <cx:strDim type="cat">
        <cx:f>_xlchart.v1.374</cx:f>
      </cx:strDim>
      <cx:numDim type="val">
        <cx:f>_xlchart.v1.372</cx:f>
      </cx:numDim>
    </cx:data>
    <cx:data id="2">
      <cx:strDim type="cat">
        <cx:f>_xlchart.v1.374</cx:f>
      </cx:strDim>
      <cx:numDim type="val">
        <cx:f>_xlchart.v1.373</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
              <cx:v>Free chlorine</cx:v>
            </cx:txData>
          </cx:tx>
          <cx:spPr>
            <a:noFill/>
            <a:ln w="12700">
              <a:solidFill>
                <a:srgbClr val="5064E6">
                  <a:alpha val="97000"/>
                </a:srgbClr>
              </a:solidFill>
            </a:ln>
          </cx:spPr>
          <cx:dataId val="0"/>
          <cx:layoutPr>
            <cx:visibility meanLine="0" meanMarker="1" nonoutliers="1" outliers="1"/>
            <cx:statistics quartileMethod="inclusive"/>
          </cx:layoutPr>
        </cx:series>
        <cx:series layoutId="boxWhisker" uniqueId="{00000000-13A6-46AF-97B2-7219B81DFFC0}">
          <cx:tx>
            <cx:txData>
              <cx:f/>
              <cx:v>Monochloramine</cx:v>
            </cx:txData>
          </cx:tx>
          <cx:spPr>
            <a:noFill/>
            <a:ln w="12700">
              <a:solidFill>
                <a:srgbClr val="F04646"/>
              </a:solidFill>
            </a:ln>
          </cx:spPr>
          <cx:dataId val="1"/>
          <cx:layoutPr>
            <cx:statistics quartileMethod="inclusive"/>
          </cx:layoutPr>
        </cx:series>
        <cx:series layoutId="boxWhisker" uniqueId="{00000001-13A6-46AF-97B2-7219B81DFFC0}">
          <cx:tx>
            <cx:txData>
              <cx:f/>
              <cx:v>Total chlorine</cx:v>
            </cx:txData>
          </cx:tx>
          <cx:spPr>
            <a:noFill/>
            <a:ln w="12700">
              <a:solidFill>
                <a:schemeClr val="tx1"/>
              </a:solidFill>
            </a:ln>
          </cx:spPr>
          <cx:dataId val="2"/>
          <cx:layoutPr>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a:t>
                </a:r>
                <a:r>
                  <a:rPr lang="en-US" sz="1200" b="1" i="0" u="none" strike="noStrike" kern="1200" baseline="0">
                    <a:solidFill>
                      <a:srgbClr val="FF0000"/>
                    </a:solidFill>
                    <a:latin typeface="Times New Roman" panose="02020603050405020304" pitchFamily="18" charset="0"/>
                    <a:cs typeface="Times New Roman" panose="02020603050405020304" pitchFamily="18" charset="0"/>
                  </a:rPr>
                  <a:t>MRT</a:t>
                </a: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3" min="0"/>
        <cx:title>
          <cx:tx>
            <cx:rich>
              <a:bodyPr spcFirstLastPara="1" vertOverflow="ellipsis" horzOverflow="overflow" wrap="square" lIns="0" tIns="0" rIns="0" bIns="0" anchor="ctr" anchorCtr="1"/>
              <a:lstStyle/>
              <a:p>
                <a:pP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Chlorine (mg Cl</a:t>
                </a:r>
                <a:r>
                  <a:rPr lang="en-US" sz="1200" b="0" i="0" u="none" strike="noStrike" kern="1200" baseline="-2500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2</a:t>
                </a: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·L</a:t>
                </a:r>
                <a:r>
                  <a:rPr lang="en-US" sz="1200" b="0" i="0" u="none" strike="noStrike" kern="1200" baseline="3000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-1</a:t>
                </a: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a:t>
                </a:r>
                <a:endParaRPr lang="en-US" sz="1200">
                  <a:solidFill>
                    <a:sysClr val="windowText" lastClr="000000"/>
                  </a:solidFill>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r" align="min"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65.xml><?xml version="1.0" encoding="utf-8"?>
<cx:chartSpace xmlns:a="http://schemas.openxmlformats.org/drawingml/2006/main" xmlns:r="http://schemas.openxmlformats.org/officeDocument/2006/relationships" xmlns:cx="http://schemas.microsoft.com/office/drawing/2014/chartex">
  <cx:chartData>
    <cx:data id="0">
      <cx:strDim type="cat">
        <cx:f>_xlchart.v1.387</cx:f>
      </cx:strDim>
      <cx:numDim type="val">
        <cx:f>_xlchart.v1.385</cx:f>
      </cx:numDim>
    </cx:data>
    <cx:data id="1">
      <cx:strDim type="cat">
        <cx:f>_xlchart.v1.387</cx:f>
      </cx:strDim>
      <cx:numDim type="val">
        <cx:f>_xlchart.v1.386</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
              <cx:v>Free ammonia</cx:v>
            </cx:txData>
          </cx:tx>
          <cx:spPr>
            <a:noFill/>
            <a:ln w="12700">
              <a:solidFill>
                <a:srgbClr val="5064E6">
                  <a:alpha val="97000"/>
                </a:srgbClr>
              </a:solidFill>
            </a:ln>
          </cx:spPr>
          <cx:dataId val="0"/>
          <cx:layoutPr>
            <cx:visibility meanLine="0" meanMarker="1" nonoutliers="1" outliers="1"/>
            <cx:statistics quartileMethod="inclusive"/>
          </cx:layoutPr>
        </cx:series>
        <cx:series layoutId="boxWhisker" uniqueId="{00000000-FF3B-4A46-88EF-CACDF8511BC9}">
          <cx:tx>
            <cx:txData>
              <cx:f/>
              <cx:v>Nitrite</cx:v>
            </cx:txData>
          </cx:tx>
          <cx:spPr>
            <a:noFill/>
            <a:ln w="12700">
              <a:solidFill>
                <a:srgbClr val="F04646"/>
              </a:solidFill>
            </a:ln>
          </cx:spPr>
          <cx:dataId val="1"/>
          <cx:layoutPr>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a:t>
                </a:r>
                <a:r>
                  <a:rPr lang="en-US" sz="1200" b="1" i="0" u="none" strike="noStrike" kern="1200" baseline="0">
                    <a:solidFill>
                      <a:srgbClr val="FF0000"/>
                    </a:solidFill>
                    <a:latin typeface="Times New Roman" panose="02020603050405020304" pitchFamily="18" charset="0"/>
                    <a:cs typeface="Times New Roman" panose="02020603050405020304" pitchFamily="18" charset="0"/>
                  </a:rPr>
                  <a:t>MRT</a:t>
                </a: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0.71000000000000008" min="0"/>
        <cx:title>
          <cx:tx>
            <cx:rich>
              <a:bodyPr spcFirstLastPara="1" vertOverflow="ellipsis" horzOverflow="overflow" wrap="square" lIns="0" tIns="0" rIns="0" bIns="0" anchor="ctr" anchorCtr="1"/>
              <a:lstStyle/>
              <a:p>
                <a:pP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Nitrogen (mg N·L</a:t>
                </a:r>
                <a:r>
                  <a:rPr lang="en-US" sz="1200" b="0" i="0" u="none" strike="noStrike" kern="1200" baseline="3000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-1</a:t>
                </a: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a:t>
                </a:r>
                <a:endParaRPr lang="en-US" sz="1200">
                  <a:solidFill>
                    <a:sysClr val="windowText" lastClr="000000"/>
                  </a:solidFill>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0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t" align="ctr"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66.xml><?xml version="1.0" encoding="utf-8"?>
<cx:chartSpace xmlns:a="http://schemas.openxmlformats.org/drawingml/2006/main" xmlns:r="http://schemas.openxmlformats.org/officeDocument/2006/relationships" xmlns:cx="http://schemas.microsoft.com/office/drawing/2014/chartex">
  <cx:chartData>
    <cx:data id="0">
      <cx:strDim type="cat">
        <cx:f>_xlchart.v1.366</cx:f>
      </cx:strDim>
      <cx:numDim type="val">
        <cx:f>_xlchart.v1.365</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
              <cx:v>Orthophosphate</cx:v>
            </cx:txData>
          </cx:tx>
          <cx:spPr>
            <a:noFill/>
            <a:ln w="12700">
              <a:solidFill>
                <a:srgbClr val="5064E6">
                  <a:alpha val="97000"/>
                </a:srgbClr>
              </a:solidFill>
            </a:ln>
          </cx:spPr>
          <cx:dataId val="0"/>
          <cx:layoutPr>
            <cx:visibility meanLine="0" meanMarker="1" nonoutliers="1" outliers="1"/>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a:t>
                </a:r>
                <a:r>
                  <a:rPr lang="en-US" sz="1200" b="1" i="0" u="none" strike="noStrike" kern="1200" baseline="0">
                    <a:solidFill>
                      <a:srgbClr val="FF0000"/>
                    </a:solidFill>
                    <a:latin typeface="Times New Roman" panose="02020603050405020304" pitchFamily="18" charset="0"/>
                    <a:cs typeface="Times New Roman" panose="02020603050405020304" pitchFamily="18" charset="0"/>
                  </a:rPr>
                  <a:t>MRT</a:t>
                </a: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0.71000000000000008" min="0.45000000000000001"/>
        <cx:title>
          <cx:tx>
            <cx:rich>
              <a:bodyPr spcFirstLastPara="1" vertOverflow="ellipsis" horzOverflow="overflow" wrap="square" lIns="0" tIns="0" rIns="0" bIns="0" anchor="ctr" anchorCtr="1"/>
              <a:lstStyle/>
              <a:p>
                <a:pP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Orthophosphate (PO</a:t>
                </a:r>
                <a:r>
                  <a:rPr lang="en-US" sz="1200" b="0" i="0" u="none" strike="noStrike" kern="1200" baseline="-2500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4</a:t>
                </a:r>
                <a:r>
                  <a:rPr lang="en-US" sz="1200" b="0" i="0" u="none" strike="noStrike" kern="1200" baseline="3000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3-</a:t>
                </a: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·L</a:t>
                </a:r>
                <a:r>
                  <a:rPr lang="en-US" sz="1200" b="0" i="0" u="none" strike="noStrike" kern="1200" baseline="3000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-1</a:t>
                </a: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a:t>
                </a:r>
                <a:endParaRPr lang="en-US" sz="1200">
                  <a:solidFill>
                    <a:sysClr val="windowText" lastClr="000000"/>
                  </a:solidFill>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0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t" align="ctr"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67.xml><?xml version="1.0" encoding="utf-8"?>
<cx:chartSpace xmlns:a="http://schemas.openxmlformats.org/drawingml/2006/main" xmlns:r="http://schemas.openxmlformats.org/officeDocument/2006/relationships" xmlns:cx="http://schemas.microsoft.com/office/drawing/2014/chartex">
  <cx:chartData>
    <cx:data id="0">
      <cx:strDim type="cat">
        <cx:f>_xlchart.v1.382</cx:f>
      </cx:strDim>
      <cx:numDim type="val">
        <cx:f>_xlchart.v1.381</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
              <cx:v>pH</cx:v>
            </cx:txData>
          </cx:tx>
          <cx:spPr>
            <a:noFill/>
            <a:ln w="12700">
              <a:solidFill>
                <a:srgbClr val="5064E6">
                  <a:alpha val="97000"/>
                </a:srgbClr>
              </a:solidFill>
            </a:ln>
          </cx:spPr>
          <cx:dataId val="0"/>
          <cx:layoutPr>
            <cx:visibility meanLine="0" meanMarker="1" nonoutliers="1" outliers="1"/>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a:t>
                </a:r>
                <a:r>
                  <a:rPr lang="en-US" sz="1200" b="1" i="0" u="none" strike="noStrike" kern="1200" baseline="0">
                    <a:solidFill>
                      <a:srgbClr val="FF0000"/>
                    </a:solidFill>
                    <a:latin typeface="Times New Roman" panose="02020603050405020304" pitchFamily="18" charset="0"/>
                    <a:cs typeface="Times New Roman" panose="02020603050405020304" pitchFamily="18" charset="0"/>
                  </a:rPr>
                  <a:t>DWDS</a:t>
                </a: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7.2999999999999998" min="6"/>
        <cx:title>
          <cx:tx>
            <cx:rich>
              <a:bodyPr spcFirstLastPara="1" vertOverflow="ellipsis" horzOverflow="overflow" wrap="square" lIns="0" tIns="0" rIns="0" bIns="0" anchor="ctr" anchorCtr="1"/>
              <a:lstStyle/>
              <a:p>
                <a:pP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pH</a:t>
                </a:r>
                <a:endParaRPr lang="en-US" sz="1200">
                  <a:solidFill>
                    <a:sysClr val="windowText" lastClr="000000"/>
                  </a:solidFill>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0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t" align="ctr"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68.xml><?xml version="1.0" encoding="utf-8"?>
<cx:chartSpace xmlns:a="http://schemas.openxmlformats.org/drawingml/2006/main" xmlns:r="http://schemas.openxmlformats.org/officeDocument/2006/relationships" xmlns:cx="http://schemas.microsoft.com/office/drawing/2014/chartex">
  <cx:chartData>
    <cx:data id="0">
      <cx:strDim type="cat">
        <cx:f>_xlchart.v1.376</cx:f>
      </cx:strDim>
      <cx:numDim type="val">
        <cx:f>_xlchart.v1.375</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
              <cx:v>Water Temperature</cx:v>
            </cx:txData>
          </cx:tx>
          <cx:spPr>
            <a:noFill/>
            <a:ln w="12700">
              <a:solidFill>
                <a:srgbClr val="5064E6">
                  <a:alpha val="97000"/>
                </a:srgbClr>
              </a:solidFill>
            </a:ln>
          </cx:spPr>
          <cx:dataId val="0"/>
          <cx:layoutPr>
            <cx:visibility meanLine="0" meanMarker="1" nonoutliers="1" outliers="1"/>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a:t>
                </a:r>
                <a:r>
                  <a:rPr lang="en-US" sz="1200" b="1" i="0" u="none" strike="noStrike" kern="1200" baseline="0">
                    <a:solidFill>
                      <a:srgbClr val="FF0000"/>
                    </a:solidFill>
                    <a:latin typeface="Times New Roman" panose="02020603050405020304" pitchFamily="18" charset="0"/>
                    <a:cs typeface="Times New Roman" panose="02020603050405020304" pitchFamily="18" charset="0"/>
                  </a:rPr>
                  <a:t>DWDS</a:t>
                </a: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34" min="20"/>
        <cx:title>
          <cx:tx>
            <cx:rich>
              <a:bodyPr spcFirstLastPara="1" vertOverflow="ellipsis" horzOverflow="overflow" wrap="square" lIns="0" tIns="0" rIns="0" bIns="0" anchor="ctr" anchorCtr="1"/>
              <a:lstStyle/>
              <a:p>
                <a:pP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Water temperature (°C)</a:t>
                </a:r>
                <a:endParaRPr lang="en-US" sz="1200">
                  <a:solidFill>
                    <a:sysClr val="windowText" lastClr="000000"/>
                  </a:solidFill>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t" align="ctr"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69.xml><?xml version="1.0" encoding="utf-8"?>
<cx:chartSpace xmlns:a="http://schemas.openxmlformats.org/drawingml/2006/main" xmlns:r="http://schemas.openxmlformats.org/officeDocument/2006/relationships" xmlns:cx="http://schemas.microsoft.com/office/drawing/2014/chartex">
  <cx:chartData>
    <cx:data id="0">
      <cx:strDim type="cat">
        <cx:f>_xlchart.v1.393</cx:f>
      </cx:strDim>
      <cx:numDim type="val">
        <cx:f>_xlchart.v1.390</cx:f>
      </cx:numDim>
    </cx:data>
    <cx:data id="1">
      <cx:strDim type="cat">
        <cx:f>_xlchart.v1.393</cx:f>
      </cx:strDim>
      <cx:numDim type="val">
        <cx:f>_xlchart.v1.391</cx:f>
      </cx:numDim>
    </cx:data>
    <cx:data id="2">
      <cx:strDim type="cat">
        <cx:f>_xlchart.v1.393</cx:f>
      </cx:strDim>
      <cx:numDim type="val">
        <cx:f>_xlchart.v1.392</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
              <cx:v>Free chlorine</cx:v>
            </cx:txData>
          </cx:tx>
          <cx:spPr>
            <a:noFill/>
            <a:ln w="12700">
              <a:solidFill>
                <a:srgbClr val="5064E6">
                  <a:alpha val="97000"/>
                </a:srgbClr>
              </a:solidFill>
            </a:ln>
          </cx:spPr>
          <cx:dataId val="0"/>
          <cx:layoutPr>
            <cx:visibility meanLine="0" meanMarker="1" nonoutliers="1" outliers="1"/>
            <cx:statistics quartileMethod="inclusive"/>
          </cx:layoutPr>
        </cx:series>
        <cx:series layoutId="boxWhisker" uniqueId="{00000000-13A6-46AF-97B2-7219B81DFFC0}">
          <cx:tx>
            <cx:txData>
              <cx:f/>
              <cx:v>Monochloramine</cx:v>
            </cx:txData>
          </cx:tx>
          <cx:spPr>
            <a:noFill/>
            <a:ln w="12700">
              <a:solidFill>
                <a:srgbClr val="F04646"/>
              </a:solidFill>
            </a:ln>
          </cx:spPr>
          <cx:dataId val="1"/>
          <cx:layoutPr>
            <cx:statistics quartileMethod="inclusive"/>
          </cx:layoutPr>
        </cx:series>
        <cx:series layoutId="boxWhisker" uniqueId="{00000001-13A6-46AF-97B2-7219B81DFFC0}">
          <cx:tx>
            <cx:txData>
              <cx:f/>
              <cx:v>Total chlorine</cx:v>
            </cx:txData>
          </cx:tx>
          <cx:spPr>
            <a:noFill/>
            <a:ln w="12700">
              <a:solidFill>
                <a:schemeClr val="tx1"/>
              </a:solidFill>
            </a:ln>
          </cx:spPr>
          <cx:dataId val="2"/>
          <cx:layoutPr>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a:t>
                </a:r>
                <a:r>
                  <a:rPr lang="en-US" sz="1200" b="1" i="0" u="none" strike="noStrike" kern="1200" baseline="0">
                    <a:solidFill>
                      <a:srgbClr val="FF0000"/>
                    </a:solidFill>
                    <a:latin typeface="Times New Roman" panose="02020603050405020304" pitchFamily="18" charset="0"/>
                    <a:cs typeface="Times New Roman" panose="02020603050405020304" pitchFamily="18" charset="0"/>
                  </a:rPr>
                  <a:t>DWDS</a:t>
                </a: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4.0999999999999996" min="0"/>
        <cx:title>
          <cx:tx>
            <cx:rich>
              <a:bodyPr spcFirstLastPara="1" vertOverflow="ellipsis" horzOverflow="overflow" wrap="square" lIns="0" tIns="0" rIns="0" bIns="0" anchor="ctr" anchorCtr="1"/>
              <a:lstStyle/>
              <a:p>
                <a:pP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Chlorine (mg Cl</a:t>
                </a:r>
                <a:r>
                  <a:rPr lang="en-US" sz="1200" b="0" i="0" u="none" strike="noStrike" kern="1200" baseline="-2500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2</a:t>
                </a: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·L</a:t>
                </a:r>
                <a:r>
                  <a:rPr lang="en-US" sz="1200" b="0" i="0" u="none" strike="noStrike" kern="1200" baseline="3000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-1</a:t>
                </a: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a:t>
                </a:r>
                <a:endParaRPr lang="en-US" sz="1200">
                  <a:solidFill>
                    <a:sysClr val="windowText" lastClr="000000"/>
                  </a:solidFill>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r" align="min"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7.xml><?xml version="1.0" encoding="utf-8"?>
<cx:chartSpace xmlns:a="http://schemas.openxmlformats.org/drawingml/2006/main" xmlns:r="http://schemas.openxmlformats.org/officeDocument/2006/relationships" xmlns:cx="http://schemas.microsoft.com/office/drawing/2014/chartex">
  <cx:chartData>
    <cx:data id="0">
      <cx:strDim type="cat">
        <cx:f>_xlchart.v1.62</cx:f>
      </cx:strDim>
      <cx:numDim type="val">
        <cx:f>_xlchart.v1.64</cx:f>
      </cx:numDim>
    </cx:data>
    <cx:data id="1">
      <cx:strDim type="cat">
        <cx:f>_xlchart.v1.62</cx:f>
      </cx:strDim>
      <cx:numDim type="val">
        <cx:f>_xlchart.v1.66</cx:f>
      </cx:numDim>
    </cx:data>
    <cx:data id="2">
      <cx:strDim type="cat">
        <cx:f>_xlchart.v1.62</cx:f>
      </cx:strDim>
      <cx:numDim type="val">
        <cx:f>_xlchart.v1.68</cx:f>
      </cx:numDim>
    </cx:data>
    <cx:data id="3">
      <cx:strDim type="cat">
        <cx:f>_xlchart.v1.62</cx:f>
      </cx:strDim>
      <cx:numDim type="val">
        <cx:f>_xlchart.v1.70</cx:f>
      </cx:numDim>
    </cx:data>
    <cx:data id="4">
      <cx:strDim type="cat">
        <cx:f>_xlchart.v1.62</cx:f>
      </cx:strDim>
      <cx:numDim type="val">
        <cx:f>_xlchart.v1.72</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_xlchart.v1.63</cx:f>
              <cx:v>Legionella</cx:v>
            </cx:txData>
          </cx:tx>
          <cx:spPr>
            <a:noFill/>
            <a:ln w="12700">
              <a:solidFill>
                <a:srgbClr val="F04646">
                  <a:alpha val="96863"/>
                </a:srgbClr>
              </a:solidFill>
            </a:ln>
          </cx:spPr>
          <cx:dataId val="0"/>
          <cx:layoutPr>
            <cx:visibility meanLine="0" meanMarker="1" nonoutliers="1" outliers="1"/>
            <cx:statistics quartileMethod="inclusive"/>
          </cx:layoutPr>
        </cx:series>
        <cx:series layoutId="boxWhisker" uniqueId="{00000000-13A6-46AF-97B2-7219B81DFFC0}">
          <cx:tx>
            <cx:txData>
              <cx:f>_xlchart.v1.65</cx:f>
              <cx:v>Mycobacterium</cx:v>
            </cx:txData>
          </cx:tx>
          <cx:spPr>
            <a:noFill/>
            <a:ln w="12700">
              <a:solidFill>
                <a:srgbClr val="5064E6"/>
              </a:solidFill>
            </a:ln>
          </cx:spPr>
          <cx:dataId val="1"/>
          <cx:layoutPr>
            <cx:statistics quartileMethod="inclusive"/>
          </cx:layoutPr>
        </cx:series>
        <cx:series layoutId="boxWhisker" uniqueId="{00000001-13A6-46AF-97B2-7219B81DFFC0}">
          <cx:tx>
            <cx:txData>
              <cx:f>_xlchart.v1.67</cx:f>
              <cx:v>Pseudomonas</cx:v>
            </cx:txData>
          </cx:tx>
          <cx:spPr>
            <a:noFill/>
            <a:ln w="12700">
              <a:solidFill>
                <a:srgbClr val="F014C8"/>
              </a:solidFill>
            </a:ln>
          </cx:spPr>
          <cx:dataId val="2"/>
          <cx:layoutPr>
            <cx:statistics quartileMethod="inclusive"/>
          </cx:layoutPr>
        </cx:series>
        <cx:series layoutId="boxWhisker" uniqueId="{00000000-3E06-4E27-8A66-1A8D2F8920EC}">
          <cx:tx>
            <cx:txData>
              <cx:f>_xlchart.v1.69</cx:f>
              <cx:v>Vermamoeba vermiformis</cx:v>
            </cx:txData>
          </cx:tx>
          <cx:spPr>
            <a:noFill/>
            <a:ln w="12700">
              <a:solidFill>
                <a:srgbClr val="3CE63C"/>
              </a:solidFill>
            </a:ln>
          </cx:spPr>
          <cx:dataId val="3"/>
          <cx:layoutPr>
            <cx:statistics quartileMethod="inclusive"/>
          </cx:layoutPr>
        </cx:series>
        <cx:series layoutId="boxWhisker" uniqueId="{00000001-3E06-4E27-8A66-1A8D2F8920EC}">
          <cx:tx>
            <cx:txData>
              <cx:f>_xlchart.v1.71</cx:f>
              <cx:v>Summed OP</cx:v>
            </cx:txData>
          </cx:tx>
          <cx:spPr>
            <a:noFill/>
            <a:ln w="12700">
              <a:solidFill>
                <a:srgbClr val="28C8C8"/>
              </a:solidFill>
            </a:ln>
          </cx:spPr>
          <cx:dataId val="4"/>
          <cx:layoutPr>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a:t>
                </a:r>
                <a:r>
                  <a:rPr lang="en-US" sz="1200" b="1" i="0" u="none" strike="noStrike" kern="1200" baseline="0">
                    <a:solidFill>
                      <a:srgbClr val="FF0000"/>
                    </a:solidFill>
                    <a:latin typeface="Times New Roman" panose="02020603050405020304" pitchFamily="18" charset="0"/>
                    <a:cs typeface="Times New Roman" panose="02020603050405020304" pitchFamily="18" charset="0"/>
                  </a:rPr>
                  <a:t>DWDS-After the burn</a:t>
                </a: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6" min="0"/>
        <cx:title>
          <cx:tx>
            <cx:rich>
              <a:bodyPr spcFirstLastPara="1" vertOverflow="ellipsis" horzOverflow="overflow" wrap="square" lIns="0" tIns="0" rIns="0" bIns="0" anchor="ctr" anchorCtr="1"/>
              <a:lstStyle/>
              <a:p>
                <a:pPr rtl="0"/>
                <a:r>
                  <a:rPr lang="en-US" sz="1200" b="0" i="0" baseline="0">
                    <a:effectLst/>
                    <a:latin typeface="Times New Roman" panose="02020603050405020304" pitchFamily="18" charset="0"/>
                    <a:cs typeface="Times New Roman" panose="02020603050405020304" pitchFamily="18" charset="0"/>
                  </a:rPr>
                  <a:t>log</a:t>
                </a:r>
                <a:r>
                  <a:rPr lang="en-US" sz="1200" b="0" i="0" baseline="-25000">
                    <a:effectLst/>
                    <a:latin typeface="Times New Roman" panose="02020603050405020304" pitchFamily="18" charset="0"/>
                    <a:cs typeface="Times New Roman" panose="02020603050405020304" pitchFamily="18" charset="0"/>
                  </a:rPr>
                  <a:t>10</a:t>
                </a:r>
                <a:r>
                  <a:rPr lang="en-US" sz="1200" b="0" i="0" baseline="0">
                    <a:effectLst/>
                    <a:latin typeface="Times New Roman" panose="02020603050405020304" pitchFamily="18" charset="0"/>
                    <a:cs typeface="Times New Roman" panose="02020603050405020304" pitchFamily="18" charset="0"/>
                  </a:rPr>
                  <a:t>[OP (GCN·L</a:t>
                </a:r>
                <a:r>
                  <a:rPr lang="en-US" sz="1200" b="0" i="0" baseline="30000">
                    <a:effectLst/>
                    <a:latin typeface="Times New Roman" panose="02020603050405020304" pitchFamily="18" charset="0"/>
                    <a:cs typeface="Times New Roman" panose="02020603050405020304" pitchFamily="18" charset="0"/>
                  </a:rPr>
                  <a:t>-1</a:t>
                </a:r>
                <a:r>
                  <a:rPr lang="en-US" sz="1200" b="0" i="0" baseline="0">
                    <a:effectLst/>
                    <a:latin typeface="Times New Roman" panose="02020603050405020304" pitchFamily="18" charset="0"/>
                    <a:cs typeface="Times New Roman" panose="02020603050405020304" pitchFamily="18" charset="0"/>
                  </a:rPr>
                  <a:t>)]</a:t>
                </a:r>
                <a:endParaRPr lang="en-US" sz="1200">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t" align="ctr"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70.xml><?xml version="1.0" encoding="utf-8"?>
<cx:chartSpace xmlns:a="http://schemas.openxmlformats.org/drawingml/2006/main" xmlns:r="http://schemas.openxmlformats.org/officeDocument/2006/relationships" xmlns:cx="http://schemas.microsoft.com/office/drawing/2014/chartex">
  <cx:chartData>
    <cx:data id="0">
      <cx:strDim type="cat">
        <cx:f>_xlchart.v1.396</cx:f>
      </cx:strDim>
      <cx:numDim type="val">
        <cx:f>_xlchart.v1.394</cx:f>
      </cx:numDim>
    </cx:data>
    <cx:data id="1">
      <cx:strDim type="cat">
        <cx:f>_xlchart.v1.396</cx:f>
      </cx:strDim>
      <cx:numDim type="val">
        <cx:f>_xlchart.v1.395</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
              <cx:v>Free ammonia</cx:v>
            </cx:txData>
          </cx:tx>
          <cx:spPr>
            <a:noFill/>
            <a:ln w="12700">
              <a:solidFill>
                <a:srgbClr val="5064E6">
                  <a:alpha val="97000"/>
                </a:srgbClr>
              </a:solidFill>
            </a:ln>
          </cx:spPr>
          <cx:dataId val="0"/>
          <cx:layoutPr>
            <cx:visibility meanLine="0" meanMarker="1" nonoutliers="1" outliers="1"/>
            <cx:statistics quartileMethod="inclusive"/>
          </cx:layoutPr>
        </cx:series>
        <cx:series layoutId="boxWhisker" uniqueId="{00000000-FF3B-4A46-88EF-CACDF8511BC9}">
          <cx:tx>
            <cx:txData>
              <cx:f/>
              <cx:v>Nitrite</cx:v>
            </cx:txData>
          </cx:tx>
          <cx:spPr>
            <a:noFill/>
            <a:ln w="12700">
              <a:solidFill>
                <a:srgbClr val="F04646"/>
              </a:solidFill>
            </a:ln>
          </cx:spPr>
          <cx:dataId val="1"/>
          <cx:layoutPr>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a:t>
                </a:r>
                <a:r>
                  <a:rPr lang="en-US" sz="1200" b="1" i="0" u="none" strike="noStrike" kern="1200" baseline="0">
                    <a:solidFill>
                      <a:srgbClr val="FF0000"/>
                    </a:solidFill>
                    <a:latin typeface="Times New Roman" panose="02020603050405020304" pitchFamily="18" charset="0"/>
                    <a:cs typeface="Times New Roman" panose="02020603050405020304" pitchFamily="18" charset="0"/>
                  </a:rPr>
                  <a:t>DWDS</a:t>
                </a: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0.71000000000000008" min="0"/>
        <cx:title>
          <cx:tx>
            <cx:rich>
              <a:bodyPr spcFirstLastPara="1" vertOverflow="ellipsis" horzOverflow="overflow" wrap="square" lIns="0" tIns="0" rIns="0" bIns="0" anchor="ctr" anchorCtr="1"/>
              <a:lstStyle/>
              <a:p>
                <a:pP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Nitrogen (mg N·L</a:t>
                </a:r>
                <a:r>
                  <a:rPr lang="en-US" sz="1200" b="0" i="0" u="none" strike="noStrike" kern="1200" baseline="3000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-1</a:t>
                </a: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a:t>
                </a:r>
                <a:endParaRPr lang="en-US" sz="1200">
                  <a:solidFill>
                    <a:sysClr val="windowText" lastClr="000000"/>
                  </a:solidFill>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0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t" align="ctr"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71.xml><?xml version="1.0" encoding="utf-8"?>
<cx:chartSpace xmlns:a="http://schemas.openxmlformats.org/drawingml/2006/main" xmlns:r="http://schemas.openxmlformats.org/officeDocument/2006/relationships" xmlns:cx="http://schemas.microsoft.com/office/drawing/2014/chartex">
  <cx:chartData>
    <cx:data id="0">
      <cx:strDim type="cat">
        <cx:f>_xlchart.v1.389</cx:f>
      </cx:strDim>
      <cx:numDim type="val">
        <cx:f>_xlchart.v1.388</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
              <cx:v>Orthophosphate</cx:v>
            </cx:txData>
          </cx:tx>
          <cx:spPr>
            <a:noFill/>
            <a:ln w="12700">
              <a:solidFill>
                <a:srgbClr val="5064E6">
                  <a:alpha val="97000"/>
                </a:srgbClr>
              </a:solidFill>
            </a:ln>
          </cx:spPr>
          <cx:dataId val="0"/>
          <cx:layoutPr>
            <cx:visibility meanLine="0" meanMarker="1" nonoutliers="1" outliers="1"/>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a:t>
                </a:r>
                <a:r>
                  <a:rPr lang="en-US" sz="1200" b="1" i="0" u="none" strike="noStrike" kern="1200" baseline="0">
                    <a:solidFill>
                      <a:srgbClr val="FF0000"/>
                    </a:solidFill>
                    <a:latin typeface="Times New Roman" panose="02020603050405020304" pitchFamily="18" charset="0"/>
                    <a:cs typeface="Times New Roman" panose="02020603050405020304" pitchFamily="18" charset="0"/>
                  </a:rPr>
                  <a:t>DWDS</a:t>
                </a: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0.71000000000000008" min="0.10000000000000001"/>
        <cx:title>
          <cx:tx>
            <cx:rich>
              <a:bodyPr spcFirstLastPara="1" vertOverflow="ellipsis" horzOverflow="overflow" wrap="square" lIns="0" tIns="0" rIns="0" bIns="0" anchor="ctr" anchorCtr="1"/>
              <a:lstStyle/>
              <a:p>
                <a:pP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Orthophosphate (PO</a:t>
                </a:r>
                <a:r>
                  <a:rPr lang="en-US" sz="1200" b="0" i="0" u="none" strike="noStrike" kern="1200" baseline="-2500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4</a:t>
                </a:r>
                <a:r>
                  <a:rPr lang="en-US" sz="1200" b="0" i="0" u="none" strike="noStrike" kern="1200" baseline="3000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3-</a:t>
                </a: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·L</a:t>
                </a:r>
                <a:r>
                  <a:rPr lang="en-US" sz="1200" b="0" i="0" u="none" strike="noStrike" kern="1200" baseline="3000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-1</a:t>
                </a: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a:t>
                </a:r>
                <a:endParaRPr lang="en-US" sz="1200">
                  <a:solidFill>
                    <a:sysClr val="windowText" lastClr="000000"/>
                  </a:solidFill>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0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t" align="ctr"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72.xml><?xml version="1.0" encoding="utf-8"?>
<cx:chartSpace xmlns:a="http://schemas.openxmlformats.org/drawingml/2006/main" xmlns:r="http://schemas.openxmlformats.org/officeDocument/2006/relationships" xmlns:cx="http://schemas.microsoft.com/office/drawing/2014/chartex">
  <cx:chartData>
    <cx:data id="0">
      <cx:strDim type="cat">
        <cx:f>_xlchart.v1.362</cx:f>
      </cx:strDim>
      <cx:numDim type="val">
        <cx:f>_xlchart.v1.361</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
              <cx:v>pH</cx:v>
            </cx:txData>
          </cx:tx>
          <cx:spPr>
            <a:noFill/>
            <a:ln w="12700">
              <a:solidFill>
                <a:srgbClr val="5064E6">
                  <a:alpha val="97000"/>
                </a:srgbClr>
              </a:solidFill>
            </a:ln>
          </cx:spPr>
          <cx:dataId val="0"/>
          <cx:layoutPr>
            <cx:visibility meanLine="0" meanMarker="1" nonoutliers="1" outliers="1"/>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a:t>
                </a:r>
                <a:r>
                  <a:rPr lang="en-US" sz="1200" b="1" i="0" u="none" strike="noStrike" kern="1200" baseline="0">
                    <a:solidFill>
                      <a:srgbClr val="FF0000"/>
                    </a:solidFill>
                    <a:latin typeface="Times New Roman" panose="02020603050405020304" pitchFamily="18" charset="0"/>
                    <a:cs typeface="Times New Roman" panose="02020603050405020304" pitchFamily="18" charset="0"/>
                  </a:rPr>
                  <a:t>RN</a:t>
                </a: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7.1499999999999995" min="6.6499999999999995"/>
        <cx:title>
          <cx:tx>
            <cx:rich>
              <a:bodyPr spcFirstLastPara="1" vertOverflow="ellipsis" horzOverflow="overflow" wrap="square" lIns="0" tIns="0" rIns="0" bIns="0" anchor="ctr" anchorCtr="1"/>
              <a:lstStyle/>
              <a:p>
                <a:pP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pH</a:t>
                </a:r>
                <a:endParaRPr lang="en-US" sz="1200">
                  <a:solidFill>
                    <a:sysClr val="windowText" lastClr="000000"/>
                  </a:solidFill>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0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t" align="ctr"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73.xml><?xml version="1.0" encoding="utf-8"?>
<cx:chartSpace xmlns:a="http://schemas.openxmlformats.org/drawingml/2006/main" xmlns:r="http://schemas.openxmlformats.org/officeDocument/2006/relationships" xmlns:cx="http://schemas.microsoft.com/office/drawing/2014/chartex">
  <cx:chartData>
    <cx:data id="0">
      <cx:strDim type="cat">
        <cx:f>_xlchart.v1.364</cx:f>
      </cx:strDim>
      <cx:numDim type="val">
        <cx:f>_xlchart.v1.363</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
              <cx:v>Water Temperature</cx:v>
            </cx:txData>
          </cx:tx>
          <cx:spPr>
            <a:noFill/>
            <a:ln w="12700">
              <a:solidFill>
                <a:srgbClr val="5064E6">
                  <a:alpha val="97000"/>
                </a:srgbClr>
              </a:solidFill>
            </a:ln>
          </cx:spPr>
          <cx:dataId val="0"/>
          <cx:layoutPr>
            <cx:visibility meanLine="0" meanMarker="1" nonoutliers="1" outliers="1"/>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a:t>
                </a:r>
                <a:r>
                  <a:rPr lang="en-US" sz="1200" b="1" i="0" u="none" strike="noStrike" kern="1200" baseline="0">
                    <a:solidFill>
                      <a:srgbClr val="FF0000"/>
                    </a:solidFill>
                    <a:latin typeface="Times New Roman" panose="02020603050405020304" pitchFamily="18" charset="0"/>
                    <a:cs typeface="Times New Roman" panose="02020603050405020304" pitchFamily="18" charset="0"/>
                  </a:rPr>
                  <a:t>RN</a:t>
                </a: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29" min="22"/>
        <cx:title>
          <cx:tx>
            <cx:rich>
              <a:bodyPr spcFirstLastPara="1" vertOverflow="ellipsis" horzOverflow="overflow" wrap="square" lIns="0" tIns="0" rIns="0" bIns="0" anchor="ctr" anchorCtr="1"/>
              <a:lstStyle/>
              <a:p>
                <a:pP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Water temperature (°C)</a:t>
                </a:r>
                <a:endParaRPr lang="en-US" sz="1200">
                  <a:solidFill>
                    <a:sysClr val="windowText" lastClr="000000"/>
                  </a:solidFill>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r" align="min"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74.xml><?xml version="1.0" encoding="utf-8"?>
<cx:chartSpace xmlns:a="http://schemas.openxmlformats.org/drawingml/2006/main" xmlns:r="http://schemas.openxmlformats.org/officeDocument/2006/relationships" xmlns:cx="http://schemas.microsoft.com/office/drawing/2014/chartex">
  <cx:chartData>
    <cx:data id="0">
      <cx:strDim type="cat">
        <cx:f>_xlchart.v1.380</cx:f>
      </cx:strDim>
      <cx:numDim type="val">
        <cx:f>_xlchart.v1.377</cx:f>
      </cx:numDim>
    </cx:data>
    <cx:data id="1">
      <cx:strDim type="cat">
        <cx:f>_xlchart.v1.380</cx:f>
      </cx:strDim>
      <cx:numDim type="val">
        <cx:f>_xlchart.v1.378</cx:f>
      </cx:numDim>
    </cx:data>
    <cx:data id="2">
      <cx:strDim type="cat">
        <cx:f>_xlchart.v1.380</cx:f>
      </cx:strDim>
      <cx:numDim type="val">
        <cx:f>_xlchart.v1.379</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
              <cx:v>Free chlorine</cx:v>
            </cx:txData>
          </cx:tx>
          <cx:spPr>
            <a:noFill/>
            <a:ln w="12700">
              <a:solidFill>
                <a:srgbClr val="5064E6">
                  <a:alpha val="97000"/>
                </a:srgbClr>
              </a:solidFill>
            </a:ln>
          </cx:spPr>
          <cx:dataId val="0"/>
          <cx:layoutPr>
            <cx:visibility meanLine="0" meanMarker="1" nonoutliers="1" outliers="1"/>
            <cx:statistics quartileMethod="inclusive"/>
          </cx:layoutPr>
        </cx:series>
        <cx:series layoutId="boxWhisker" uniqueId="{00000000-13A6-46AF-97B2-7219B81DFFC0}">
          <cx:tx>
            <cx:txData>
              <cx:f/>
              <cx:v>Monochloramine</cx:v>
            </cx:txData>
          </cx:tx>
          <cx:spPr>
            <a:noFill/>
            <a:ln w="12700">
              <a:solidFill>
                <a:srgbClr val="F04646"/>
              </a:solidFill>
            </a:ln>
          </cx:spPr>
          <cx:dataId val="1"/>
          <cx:layoutPr>
            <cx:statistics quartileMethod="inclusive"/>
          </cx:layoutPr>
        </cx:series>
        <cx:series layoutId="boxWhisker" uniqueId="{00000001-13A6-46AF-97B2-7219B81DFFC0}">
          <cx:tx>
            <cx:txData>
              <cx:f/>
              <cx:v>Total chlorine</cx:v>
            </cx:txData>
          </cx:tx>
          <cx:spPr>
            <a:noFill/>
            <a:ln w="12700">
              <a:solidFill>
                <a:schemeClr val="tx1"/>
              </a:solidFill>
            </a:ln>
          </cx:spPr>
          <cx:dataId val="2"/>
          <cx:layoutPr>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a:t>
                </a:r>
                <a:r>
                  <a:rPr lang="en-US" sz="1200" b="1" i="0" u="none" strike="noStrike" kern="1200" baseline="0">
                    <a:solidFill>
                      <a:srgbClr val="FF0000"/>
                    </a:solidFill>
                    <a:latin typeface="Times New Roman" panose="02020603050405020304" pitchFamily="18" charset="0"/>
                    <a:cs typeface="Times New Roman" panose="02020603050405020304" pitchFamily="18" charset="0"/>
                  </a:rPr>
                  <a:t>RN</a:t>
                </a: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2.5" min="0"/>
        <cx:title>
          <cx:tx>
            <cx:rich>
              <a:bodyPr spcFirstLastPara="1" vertOverflow="ellipsis" horzOverflow="overflow" wrap="square" lIns="0" tIns="0" rIns="0" bIns="0" anchor="ctr" anchorCtr="1"/>
              <a:lstStyle/>
              <a:p>
                <a:pP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Chlorine (mg Cl</a:t>
                </a:r>
                <a:r>
                  <a:rPr lang="en-US" sz="1200" b="0" i="0" u="none" strike="noStrike" kern="1200" baseline="-2500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2</a:t>
                </a: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·L</a:t>
                </a:r>
                <a:r>
                  <a:rPr lang="en-US" sz="1200" b="0" i="0" u="none" strike="noStrike" kern="1200" baseline="3000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-1</a:t>
                </a: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a:t>
                </a:r>
                <a:endParaRPr lang="en-US" sz="1200">
                  <a:solidFill>
                    <a:sysClr val="windowText" lastClr="000000"/>
                  </a:solidFill>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r" align="min"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75.xml><?xml version="1.0" encoding="utf-8"?>
<cx:chartSpace xmlns:a="http://schemas.openxmlformats.org/drawingml/2006/main" xmlns:r="http://schemas.openxmlformats.org/officeDocument/2006/relationships" xmlns:cx="http://schemas.microsoft.com/office/drawing/2014/chartex">
  <cx:chartData>
    <cx:data id="0">
      <cx:strDim type="cat">
        <cx:f>_xlchart.v1.401</cx:f>
      </cx:strDim>
      <cx:numDim type="val">
        <cx:f>_xlchart.v1.399</cx:f>
      </cx:numDim>
    </cx:data>
    <cx:data id="1">
      <cx:strDim type="cat">
        <cx:f>_xlchart.v1.401</cx:f>
      </cx:strDim>
      <cx:numDim type="val">
        <cx:f>_xlchart.v1.400</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
              <cx:v>Free ammonia</cx:v>
            </cx:txData>
          </cx:tx>
          <cx:spPr>
            <a:noFill/>
            <a:ln w="12700">
              <a:solidFill>
                <a:srgbClr val="5064E6">
                  <a:alpha val="97000"/>
                </a:srgbClr>
              </a:solidFill>
            </a:ln>
          </cx:spPr>
          <cx:dataId val="0"/>
          <cx:layoutPr>
            <cx:visibility meanLine="0" meanMarker="1" nonoutliers="1" outliers="1"/>
            <cx:statistics quartileMethod="inclusive"/>
          </cx:layoutPr>
        </cx:series>
        <cx:series layoutId="boxWhisker" uniqueId="{00000000-FF3B-4A46-88EF-CACDF8511BC9}">
          <cx:tx>
            <cx:txData>
              <cx:f/>
              <cx:v>Nitrite</cx:v>
            </cx:txData>
          </cx:tx>
          <cx:spPr>
            <a:noFill/>
            <a:ln w="12700">
              <a:solidFill>
                <a:srgbClr val="F04646"/>
              </a:solidFill>
            </a:ln>
          </cx:spPr>
          <cx:dataId val="1"/>
          <cx:layoutPr>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a:t>
                </a:r>
                <a:r>
                  <a:rPr lang="en-US" sz="1200" b="1" i="0" u="none" strike="noStrike" kern="1200" baseline="0">
                    <a:solidFill>
                      <a:srgbClr val="FF0000"/>
                    </a:solidFill>
                    <a:latin typeface="Times New Roman" panose="02020603050405020304" pitchFamily="18" charset="0"/>
                    <a:cs typeface="Times New Roman" panose="02020603050405020304" pitchFamily="18" charset="0"/>
                  </a:rPr>
                  <a:t>RN</a:t>
                </a: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0.5" min="0"/>
        <cx:title>
          <cx:tx>
            <cx:rich>
              <a:bodyPr spcFirstLastPara="1" vertOverflow="ellipsis" horzOverflow="overflow" wrap="square" lIns="0" tIns="0" rIns="0" bIns="0" anchor="ctr" anchorCtr="1"/>
              <a:lstStyle/>
              <a:p>
                <a:pP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Nitrogen (mg N·L</a:t>
                </a:r>
                <a:r>
                  <a:rPr lang="en-US" sz="1200" b="0" i="0" u="none" strike="noStrike" kern="1200" baseline="3000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-1</a:t>
                </a: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a:t>
                </a:r>
                <a:endParaRPr lang="en-US" sz="1200">
                  <a:solidFill>
                    <a:sysClr val="windowText" lastClr="000000"/>
                  </a:solidFill>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0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r" align="min"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76.xml><?xml version="1.0" encoding="utf-8"?>
<cx:chartSpace xmlns:a="http://schemas.openxmlformats.org/drawingml/2006/main" xmlns:r="http://schemas.openxmlformats.org/officeDocument/2006/relationships" xmlns:cx="http://schemas.microsoft.com/office/drawing/2014/chartex">
  <cx:chartData>
    <cx:data id="0">
      <cx:strDim type="cat">
        <cx:f>_xlchart.v1.370</cx:f>
      </cx:strDim>
      <cx:numDim type="val">
        <cx:f>_xlchart.v1.369</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
              <cx:v>Orthophosphate</cx:v>
            </cx:txData>
          </cx:tx>
          <cx:spPr>
            <a:noFill/>
            <a:ln w="12700">
              <a:solidFill>
                <a:srgbClr val="5064E6">
                  <a:alpha val="97000"/>
                </a:srgbClr>
              </a:solidFill>
            </a:ln>
          </cx:spPr>
          <cx:dataId val="0"/>
          <cx:layoutPr>
            <cx:visibility meanLine="0" meanMarker="1" nonoutliers="1" outliers="1"/>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a:t>
                </a:r>
                <a:r>
                  <a:rPr lang="en-US" sz="1200" b="1" i="0" u="none" strike="noStrike" kern="1200" baseline="0">
                    <a:solidFill>
                      <a:srgbClr val="FF0000"/>
                    </a:solidFill>
                    <a:latin typeface="Times New Roman" panose="02020603050405020304" pitchFamily="18" charset="0"/>
                    <a:cs typeface="Times New Roman" panose="02020603050405020304" pitchFamily="18" charset="0"/>
                  </a:rPr>
                  <a:t>RN</a:t>
                </a: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0.80000000000000004" min="0.20000000000000001"/>
        <cx:title>
          <cx:tx>
            <cx:rich>
              <a:bodyPr spcFirstLastPara="1" vertOverflow="ellipsis" horzOverflow="overflow" wrap="square" lIns="0" tIns="0" rIns="0" bIns="0" anchor="ctr" anchorCtr="1"/>
              <a:lstStyle/>
              <a:p>
                <a:pP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Orthophosphate (PO</a:t>
                </a:r>
                <a:r>
                  <a:rPr lang="en-US" sz="1200" b="0" i="0" u="none" strike="noStrike" kern="1200" baseline="-2500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4</a:t>
                </a:r>
                <a:r>
                  <a:rPr lang="en-US" sz="1200" b="0" i="0" u="none" strike="noStrike" kern="1200" baseline="3000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3-</a:t>
                </a: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·L</a:t>
                </a:r>
                <a:r>
                  <a:rPr lang="en-US" sz="1200" b="0" i="0" u="none" strike="noStrike" kern="1200" baseline="3000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-1</a:t>
                </a: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a:t>
                </a:r>
                <a:endParaRPr lang="en-US" sz="1200">
                  <a:solidFill>
                    <a:sysClr val="windowText" lastClr="000000"/>
                  </a:solidFill>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0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t" align="ctr"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77.xml><?xml version="1.0" encoding="utf-8"?>
<cx:chartSpace xmlns:a="http://schemas.openxmlformats.org/drawingml/2006/main" xmlns:r="http://schemas.openxmlformats.org/officeDocument/2006/relationships" xmlns:cx="http://schemas.microsoft.com/office/drawing/2014/chartex">
  <cx:chartData>
    <cx:data id="0">
      <cx:strDim type="cat">
        <cx:f>_xlchart.v1.384</cx:f>
      </cx:strDim>
      <cx:numDim type="val">
        <cx:f>_xlchart.v1.383</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
              <cx:v>pH</cx:v>
            </cx:txData>
          </cx:tx>
          <cx:spPr>
            <a:noFill/>
            <a:ln w="12700">
              <a:solidFill>
                <a:srgbClr val="5064E6">
                  <a:alpha val="97000"/>
                </a:srgbClr>
              </a:solidFill>
            </a:ln>
          </cx:spPr>
          <cx:dataId val="0"/>
          <cx:layoutPr>
            <cx:visibility meanLine="0" meanMarker="1" nonoutliers="1" outliers="1"/>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a:t>
                </a:r>
                <a:r>
                  <a:rPr lang="en-US" sz="1200" b="1" i="0" u="none" strike="noStrike" kern="1200" baseline="0">
                    <a:solidFill>
                      <a:srgbClr val="FF0000"/>
                    </a:solidFill>
                    <a:latin typeface="Times New Roman" panose="02020603050405020304" pitchFamily="18" charset="0"/>
                    <a:cs typeface="Times New Roman" panose="02020603050405020304" pitchFamily="18" charset="0"/>
                  </a:rPr>
                  <a:t>RU</a:t>
                </a: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7.5" min="6.2999999999999998"/>
        <cx:title>
          <cx:tx>
            <cx:rich>
              <a:bodyPr spcFirstLastPara="1" vertOverflow="ellipsis" horzOverflow="overflow" wrap="square" lIns="0" tIns="0" rIns="0" bIns="0" anchor="ctr" anchorCtr="1"/>
              <a:lstStyle/>
              <a:p>
                <a:pP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pH</a:t>
                </a:r>
                <a:endParaRPr lang="en-US" sz="1200">
                  <a:solidFill>
                    <a:sysClr val="windowText" lastClr="000000"/>
                  </a:solidFill>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0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t" align="ctr"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78.xml><?xml version="1.0" encoding="utf-8"?>
<cx:chartSpace xmlns:a="http://schemas.openxmlformats.org/drawingml/2006/main" xmlns:r="http://schemas.openxmlformats.org/officeDocument/2006/relationships" xmlns:cx="http://schemas.microsoft.com/office/drawing/2014/chartex">
  <cx:chartData>
    <cx:data id="0">
      <cx:strDim type="cat">
        <cx:f>_xlchart.v1.423</cx:f>
      </cx:strDim>
      <cx:numDim type="val">
        <cx:f>_xlchart.v1.422</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
              <cx:v>Water Temperature</cx:v>
            </cx:txData>
          </cx:tx>
          <cx:spPr>
            <a:noFill/>
            <a:ln w="12700">
              <a:solidFill>
                <a:srgbClr val="5064E6">
                  <a:alpha val="97000"/>
                </a:srgbClr>
              </a:solidFill>
            </a:ln>
          </cx:spPr>
          <cx:dataId val="0"/>
          <cx:layoutPr>
            <cx:visibility meanLine="0" meanMarker="1" nonoutliers="1" outliers="1"/>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a:t>
                </a:r>
                <a:r>
                  <a:rPr lang="en-US" sz="1200" b="1" i="0" u="none" strike="noStrike" kern="1200" baseline="0">
                    <a:solidFill>
                      <a:srgbClr val="FF0000"/>
                    </a:solidFill>
                    <a:latin typeface="Times New Roman" panose="02020603050405020304" pitchFamily="18" charset="0"/>
                    <a:cs typeface="Times New Roman" panose="02020603050405020304" pitchFamily="18" charset="0"/>
                  </a:rPr>
                  <a:t>RU</a:t>
                </a: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30" min="18"/>
        <cx:title>
          <cx:tx>
            <cx:rich>
              <a:bodyPr spcFirstLastPara="1" vertOverflow="ellipsis" horzOverflow="overflow" wrap="square" lIns="0" tIns="0" rIns="0" bIns="0" anchor="ctr" anchorCtr="1"/>
              <a:lstStyle/>
              <a:p>
                <a:pP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Water temperature (°C)</a:t>
                </a:r>
                <a:endParaRPr lang="en-US" sz="1200">
                  <a:solidFill>
                    <a:sysClr val="windowText" lastClr="000000"/>
                  </a:solidFill>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t" align="ctr"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79.xml><?xml version="1.0" encoding="utf-8"?>
<cx:chartSpace xmlns:a="http://schemas.openxmlformats.org/drawingml/2006/main" xmlns:r="http://schemas.openxmlformats.org/officeDocument/2006/relationships" xmlns:cx="http://schemas.microsoft.com/office/drawing/2014/chartex">
  <cx:chartData>
    <cx:data id="0">
      <cx:strDim type="cat">
        <cx:f>_xlchart.v1.439</cx:f>
      </cx:strDim>
      <cx:numDim type="val">
        <cx:f>_xlchart.v1.436</cx:f>
      </cx:numDim>
    </cx:data>
    <cx:data id="1">
      <cx:strDim type="cat">
        <cx:f>_xlchart.v1.439</cx:f>
      </cx:strDim>
      <cx:numDim type="val">
        <cx:f>_xlchart.v1.437</cx:f>
      </cx:numDim>
    </cx:data>
    <cx:data id="2">
      <cx:strDim type="cat">
        <cx:f>_xlchart.v1.439</cx:f>
      </cx:strDim>
      <cx:numDim type="val">
        <cx:f>_xlchart.v1.438</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
              <cx:v>Free chlorine</cx:v>
            </cx:txData>
          </cx:tx>
          <cx:spPr>
            <a:noFill/>
            <a:ln w="12700">
              <a:solidFill>
                <a:srgbClr val="5064E6">
                  <a:alpha val="97000"/>
                </a:srgbClr>
              </a:solidFill>
            </a:ln>
          </cx:spPr>
          <cx:dataId val="0"/>
          <cx:layoutPr>
            <cx:visibility meanLine="0" meanMarker="1" nonoutliers="1" outliers="1"/>
            <cx:statistics quartileMethod="inclusive"/>
          </cx:layoutPr>
        </cx:series>
        <cx:series layoutId="boxWhisker" uniqueId="{00000000-13A6-46AF-97B2-7219B81DFFC0}">
          <cx:tx>
            <cx:txData>
              <cx:f/>
              <cx:v>Monochloramine</cx:v>
            </cx:txData>
          </cx:tx>
          <cx:spPr>
            <a:noFill/>
            <a:ln w="12700">
              <a:solidFill>
                <a:srgbClr val="F04646"/>
              </a:solidFill>
            </a:ln>
          </cx:spPr>
          <cx:dataId val="1"/>
          <cx:layoutPr>
            <cx:statistics quartileMethod="inclusive"/>
          </cx:layoutPr>
        </cx:series>
        <cx:series layoutId="boxWhisker" uniqueId="{00000001-13A6-46AF-97B2-7219B81DFFC0}">
          <cx:tx>
            <cx:txData>
              <cx:f/>
              <cx:v>Total chlorine</cx:v>
            </cx:txData>
          </cx:tx>
          <cx:spPr>
            <a:noFill/>
            <a:ln w="12700">
              <a:solidFill>
                <a:schemeClr val="tx1"/>
              </a:solidFill>
            </a:ln>
          </cx:spPr>
          <cx:dataId val="2"/>
          <cx:layoutPr>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a:t>
                </a:r>
                <a:r>
                  <a:rPr lang="en-US" sz="1200" b="1" i="0" u="none" strike="noStrike" kern="1200" baseline="0">
                    <a:solidFill>
                      <a:srgbClr val="FF0000"/>
                    </a:solidFill>
                    <a:latin typeface="Times New Roman" panose="02020603050405020304" pitchFamily="18" charset="0"/>
                    <a:cs typeface="Times New Roman" panose="02020603050405020304" pitchFamily="18" charset="0"/>
                  </a:rPr>
                  <a:t>RU</a:t>
                </a: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3.5" min="0"/>
        <cx:title>
          <cx:tx>
            <cx:rich>
              <a:bodyPr spcFirstLastPara="1" vertOverflow="ellipsis" horzOverflow="overflow" wrap="square" lIns="0" tIns="0" rIns="0" bIns="0" anchor="ctr" anchorCtr="1"/>
              <a:lstStyle/>
              <a:p>
                <a:pP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Chlorine (mg Cl</a:t>
                </a:r>
                <a:r>
                  <a:rPr lang="en-US" sz="1200" b="0" i="0" u="none" strike="noStrike" kern="1200" baseline="-2500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2</a:t>
                </a: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·L</a:t>
                </a:r>
                <a:r>
                  <a:rPr lang="en-US" sz="1200" b="0" i="0" u="none" strike="noStrike" kern="1200" baseline="3000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-1</a:t>
                </a: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a:t>
                </a:r>
                <a:endParaRPr lang="en-US" sz="1200">
                  <a:solidFill>
                    <a:sysClr val="windowText" lastClr="000000"/>
                  </a:solidFill>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r" align="min"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8.xml><?xml version="1.0" encoding="utf-8"?>
<cx:chartSpace xmlns:a="http://schemas.openxmlformats.org/drawingml/2006/main" xmlns:r="http://schemas.openxmlformats.org/officeDocument/2006/relationships" xmlns:cx="http://schemas.microsoft.com/office/drawing/2014/chartex">
  <cx:chartData>
    <cx:data id="0">
      <cx:strDim type="cat">
        <cx:f>_xlchart.v1.53</cx:f>
      </cx:strDim>
      <cx:numDim type="val">
        <cx:f>_xlchart.v1.55</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_xlchart.v1.54</cx:f>
              <cx:v>Total bacteria</cx:v>
            </cx:txData>
          </cx:tx>
          <cx:spPr>
            <a:noFill/>
            <a:ln w="12700">
              <a:solidFill>
                <a:srgbClr val="5064E6">
                  <a:alpha val="97000"/>
                </a:srgbClr>
              </a:solidFill>
            </a:ln>
          </cx:spPr>
          <cx:dataId val="0"/>
          <cx:layoutPr>
            <cx:visibility meanLine="0" meanMarker="1" nonoutliers="1" outliers="1"/>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a:t>
                </a:r>
                <a:r>
                  <a:rPr lang="en-US" sz="1200" b="1" i="0" u="none" strike="noStrike" kern="1200" baseline="0">
                    <a:solidFill>
                      <a:srgbClr val="FF0000"/>
                    </a:solidFill>
                    <a:latin typeface="Times New Roman" panose="02020603050405020304" pitchFamily="18" charset="0"/>
                    <a:cs typeface="Times New Roman" panose="02020603050405020304" pitchFamily="18" charset="0"/>
                  </a:rPr>
                  <a:t>DWDS-After the burn</a:t>
                </a: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10" min="6"/>
        <cx:title>
          <cx:tx>
            <cx:rich>
              <a:bodyPr spcFirstLastPara="1" vertOverflow="ellipsis" horzOverflow="overflow" wrap="square" lIns="0" tIns="0" rIns="0" bIns="0" anchor="ctr" anchorCtr="1"/>
              <a:lstStyle/>
              <a:p>
                <a:pPr rtl="0"/>
                <a:r>
                  <a:rPr lang="en-US" sz="1200" b="0" i="0" baseline="0">
                    <a:effectLst/>
                    <a:latin typeface="Times New Roman" panose="02020603050405020304" pitchFamily="18" charset="0"/>
                    <a:cs typeface="Times New Roman" panose="02020603050405020304" pitchFamily="18" charset="0"/>
                  </a:rPr>
                  <a:t>log</a:t>
                </a:r>
                <a:r>
                  <a:rPr lang="en-US" sz="1200" b="0" i="0" baseline="-25000">
                    <a:effectLst/>
                    <a:latin typeface="Times New Roman" panose="02020603050405020304" pitchFamily="18" charset="0"/>
                    <a:cs typeface="Times New Roman" panose="02020603050405020304" pitchFamily="18" charset="0"/>
                  </a:rPr>
                  <a:t>10</a:t>
                </a:r>
                <a:r>
                  <a:rPr lang="en-US" sz="1200" b="0" i="0" baseline="0">
                    <a:effectLst/>
                    <a:latin typeface="Times New Roman" panose="02020603050405020304" pitchFamily="18" charset="0"/>
                    <a:cs typeface="Times New Roman" panose="02020603050405020304" pitchFamily="18" charset="0"/>
                  </a:rPr>
                  <a:t>[Total bacteria (GCN·L</a:t>
                </a:r>
                <a:r>
                  <a:rPr lang="en-US" sz="1200" b="0" i="0" baseline="30000">
                    <a:effectLst/>
                    <a:latin typeface="Times New Roman" panose="02020603050405020304" pitchFamily="18" charset="0"/>
                    <a:cs typeface="Times New Roman" panose="02020603050405020304" pitchFamily="18" charset="0"/>
                  </a:rPr>
                  <a:t>-1</a:t>
                </a:r>
                <a:r>
                  <a:rPr lang="en-US" sz="1200" b="0" i="0" baseline="0">
                    <a:effectLst/>
                    <a:latin typeface="Times New Roman" panose="02020603050405020304" pitchFamily="18" charset="0"/>
                    <a:cs typeface="Times New Roman" panose="02020603050405020304" pitchFamily="18" charset="0"/>
                  </a:rPr>
                  <a:t>)]</a:t>
                </a:r>
                <a:endParaRPr lang="en-US" sz="1200">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t" align="ctr"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80.xml><?xml version="1.0" encoding="utf-8"?>
<cx:chartSpace xmlns:a="http://schemas.openxmlformats.org/drawingml/2006/main" xmlns:r="http://schemas.openxmlformats.org/officeDocument/2006/relationships" xmlns:cx="http://schemas.microsoft.com/office/drawing/2014/chartex">
  <cx:chartData>
    <cx:data id="0">
      <cx:strDim type="cat">
        <cx:f>_xlchart.v1.408</cx:f>
      </cx:strDim>
      <cx:numDim type="val">
        <cx:f>_xlchart.v1.406</cx:f>
      </cx:numDim>
    </cx:data>
    <cx:data id="1">
      <cx:strDim type="cat">
        <cx:f>_xlchart.v1.408</cx:f>
      </cx:strDim>
      <cx:numDim type="val">
        <cx:f>_xlchart.v1.407</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
              <cx:v>Free ammonia</cx:v>
            </cx:txData>
          </cx:tx>
          <cx:spPr>
            <a:noFill/>
            <a:ln w="12700">
              <a:solidFill>
                <a:srgbClr val="5064E6">
                  <a:alpha val="97000"/>
                </a:srgbClr>
              </a:solidFill>
            </a:ln>
          </cx:spPr>
          <cx:dataId val="0"/>
          <cx:layoutPr>
            <cx:visibility meanLine="0" meanMarker="1" nonoutliers="1" outliers="1"/>
            <cx:statistics quartileMethod="inclusive"/>
          </cx:layoutPr>
        </cx:series>
        <cx:series layoutId="boxWhisker" uniqueId="{00000000-FF3B-4A46-88EF-CACDF8511BC9}">
          <cx:tx>
            <cx:txData>
              <cx:f/>
              <cx:v>Nitrite</cx:v>
            </cx:txData>
          </cx:tx>
          <cx:spPr>
            <a:noFill/>
            <a:ln w="12700">
              <a:solidFill>
                <a:srgbClr val="F04646"/>
              </a:solidFill>
            </a:ln>
          </cx:spPr>
          <cx:dataId val="1"/>
          <cx:layoutPr>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a:t>
                </a:r>
                <a:r>
                  <a:rPr lang="en-US" sz="1200" b="1" i="0" u="none" strike="noStrike" kern="1200" baseline="0">
                    <a:solidFill>
                      <a:srgbClr val="FF0000"/>
                    </a:solidFill>
                    <a:latin typeface="Times New Roman" panose="02020603050405020304" pitchFamily="18" charset="0"/>
                    <a:cs typeface="Times New Roman" panose="02020603050405020304" pitchFamily="18" charset="0"/>
                  </a:rPr>
                  <a:t>RU</a:t>
                </a: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0.5" min="0"/>
        <cx:title>
          <cx:tx>
            <cx:rich>
              <a:bodyPr spcFirstLastPara="1" vertOverflow="ellipsis" horzOverflow="overflow" wrap="square" lIns="0" tIns="0" rIns="0" bIns="0" anchor="ctr" anchorCtr="1"/>
              <a:lstStyle/>
              <a:p>
                <a:pP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Nitrogen (mg N·L</a:t>
                </a:r>
                <a:r>
                  <a:rPr lang="en-US" sz="1200" b="0" i="0" u="none" strike="noStrike" kern="1200" baseline="3000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-1</a:t>
                </a: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a:t>
                </a:r>
                <a:endParaRPr lang="en-US" sz="1200">
                  <a:solidFill>
                    <a:sysClr val="windowText" lastClr="000000"/>
                  </a:solidFill>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0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r" align="min"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81.xml><?xml version="1.0" encoding="utf-8"?>
<cx:chartSpace xmlns:a="http://schemas.openxmlformats.org/drawingml/2006/main" xmlns:r="http://schemas.openxmlformats.org/officeDocument/2006/relationships" xmlns:cx="http://schemas.microsoft.com/office/drawing/2014/chartex">
  <cx:chartData>
    <cx:data id="0">
      <cx:strDim type="cat">
        <cx:f>_xlchart.v1.429</cx:f>
      </cx:strDim>
      <cx:numDim type="val">
        <cx:f>_xlchart.v1.428</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
              <cx:v>Orthophosphate</cx:v>
            </cx:txData>
          </cx:tx>
          <cx:spPr>
            <a:noFill/>
            <a:ln w="12700">
              <a:solidFill>
                <a:srgbClr val="5064E6">
                  <a:alpha val="97000"/>
                </a:srgbClr>
              </a:solidFill>
            </a:ln>
          </cx:spPr>
          <cx:dataId val="0"/>
          <cx:layoutPr>
            <cx:visibility meanLine="0" meanMarker="1" nonoutliers="1" outliers="1"/>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a:t>
                </a:r>
                <a:r>
                  <a:rPr lang="en-US" sz="1200" b="1" i="0" u="none" strike="noStrike" kern="1200" baseline="0">
                    <a:solidFill>
                      <a:srgbClr val="FF0000"/>
                    </a:solidFill>
                    <a:latin typeface="Times New Roman" panose="02020603050405020304" pitchFamily="18" charset="0"/>
                    <a:cs typeface="Times New Roman" panose="02020603050405020304" pitchFamily="18" charset="0"/>
                  </a:rPr>
                  <a:t>RU</a:t>
                </a: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0.60000000000000009" min="0.20000000000000001"/>
        <cx:title>
          <cx:tx>
            <cx:rich>
              <a:bodyPr spcFirstLastPara="1" vertOverflow="ellipsis" horzOverflow="overflow" wrap="square" lIns="0" tIns="0" rIns="0" bIns="0" anchor="ctr" anchorCtr="1"/>
              <a:lstStyle/>
              <a:p>
                <a:pP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Orthophosphate (PO</a:t>
                </a:r>
                <a:r>
                  <a:rPr lang="en-US" sz="1200" b="0" i="0" u="none" strike="noStrike" kern="1200" baseline="-2500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4</a:t>
                </a:r>
                <a:r>
                  <a:rPr lang="en-US" sz="1200" b="0" i="0" u="none" strike="noStrike" kern="1200" baseline="3000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3-</a:t>
                </a: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·L</a:t>
                </a:r>
                <a:r>
                  <a:rPr lang="en-US" sz="1200" b="0" i="0" u="none" strike="noStrike" kern="1200" baseline="3000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-1</a:t>
                </a: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a:t>
                </a:r>
                <a:endParaRPr lang="en-US" sz="1200">
                  <a:solidFill>
                    <a:sysClr val="windowText" lastClr="000000"/>
                  </a:solidFill>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0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t" align="ctr"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82.xml><?xml version="1.0" encoding="utf-8"?>
<cx:chartSpace xmlns:a="http://schemas.openxmlformats.org/drawingml/2006/main" xmlns:r="http://schemas.openxmlformats.org/officeDocument/2006/relationships" xmlns:cx="http://schemas.microsoft.com/office/drawing/2014/chartex">
  <cx:chartData>
    <cx:data id="0">
      <cx:strDim type="cat">
        <cx:f>_xlchart.v1.433</cx:f>
      </cx:strDim>
      <cx:numDim type="val">
        <cx:f>_xlchart.v1.432</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
              <cx:v>pH</cx:v>
            </cx:txData>
          </cx:tx>
          <cx:spPr>
            <a:noFill/>
            <a:ln w="12700">
              <a:solidFill>
                <a:srgbClr val="5064E6">
                  <a:alpha val="97000"/>
                </a:srgbClr>
              </a:solidFill>
            </a:ln>
          </cx:spPr>
          <cx:dataId val="0"/>
          <cx:layoutPr>
            <cx:visibility meanLine="0" meanMarker="1" nonoutliers="1" outliers="1"/>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a:t>
                </a:r>
                <a:r>
                  <a:rPr lang="en-US" sz="1200" b="1" i="0" u="none" strike="noStrike" kern="1200" baseline="0">
                    <a:solidFill>
                      <a:srgbClr val="FF0000"/>
                    </a:solidFill>
                    <a:latin typeface="Times New Roman" panose="02020603050405020304" pitchFamily="18" charset="0"/>
                    <a:cs typeface="Times New Roman" panose="02020603050405020304" pitchFamily="18" charset="0"/>
                  </a:rPr>
                  <a:t>RL</a:t>
                </a: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7.7999999999999998" min="6.2999999999999998"/>
        <cx:title>
          <cx:tx>
            <cx:rich>
              <a:bodyPr spcFirstLastPara="1" vertOverflow="ellipsis" horzOverflow="overflow" wrap="square" lIns="0" tIns="0" rIns="0" bIns="0" anchor="ctr" anchorCtr="1"/>
              <a:lstStyle/>
              <a:p>
                <a:pP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pH</a:t>
                </a:r>
                <a:endParaRPr lang="en-US" sz="1200">
                  <a:solidFill>
                    <a:sysClr val="windowText" lastClr="000000"/>
                  </a:solidFill>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0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t" align="ctr"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83.xml><?xml version="1.0" encoding="utf-8"?>
<cx:chartSpace xmlns:a="http://schemas.openxmlformats.org/drawingml/2006/main" xmlns:r="http://schemas.openxmlformats.org/officeDocument/2006/relationships" xmlns:cx="http://schemas.microsoft.com/office/drawing/2014/chartex">
  <cx:chartData>
    <cx:data id="0">
      <cx:strDim type="cat">
        <cx:f>_xlchart.v1.405</cx:f>
      </cx:strDim>
      <cx:numDim type="val">
        <cx:f>_xlchart.v1.404</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
              <cx:v>Water Temperature</cx:v>
            </cx:txData>
          </cx:tx>
          <cx:spPr>
            <a:noFill/>
            <a:ln w="12700">
              <a:solidFill>
                <a:srgbClr val="5064E6">
                  <a:alpha val="97000"/>
                </a:srgbClr>
              </a:solidFill>
            </a:ln>
          </cx:spPr>
          <cx:dataId val="0"/>
          <cx:layoutPr>
            <cx:visibility meanLine="0" meanMarker="1" nonoutliers="1" outliers="1"/>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a:t>
                </a:r>
                <a:r>
                  <a:rPr lang="en-US" sz="1200" b="1" i="0" u="none" strike="noStrike" kern="1200" baseline="0">
                    <a:solidFill>
                      <a:srgbClr val="FF0000"/>
                    </a:solidFill>
                    <a:latin typeface="Times New Roman" panose="02020603050405020304" pitchFamily="18" charset="0"/>
                    <a:cs typeface="Times New Roman" panose="02020603050405020304" pitchFamily="18" charset="0"/>
                  </a:rPr>
                  <a:t>RL</a:t>
                </a: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29" min="20"/>
        <cx:title>
          <cx:tx>
            <cx:rich>
              <a:bodyPr spcFirstLastPara="1" vertOverflow="ellipsis" horzOverflow="overflow" wrap="square" lIns="0" tIns="0" rIns="0" bIns="0" anchor="ctr" anchorCtr="1"/>
              <a:lstStyle/>
              <a:p>
                <a:pP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Water temperature (°C)</a:t>
                </a:r>
                <a:endParaRPr lang="en-US" sz="1200">
                  <a:solidFill>
                    <a:sysClr val="windowText" lastClr="000000"/>
                  </a:solidFill>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t" align="ctr"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84.xml><?xml version="1.0" encoding="utf-8"?>
<cx:chartSpace xmlns:a="http://schemas.openxmlformats.org/drawingml/2006/main" xmlns:r="http://schemas.openxmlformats.org/officeDocument/2006/relationships" xmlns:cx="http://schemas.microsoft.com/office/drawing/2014/chartex">
  <cx:chartData>
    <cx:data id="0">
      <cx:strDim type="cat">
        <cx:f>_xlchart.v1.412</cx:f>
      </cx:strDim>
      <cx:numDim type="val">
        <cx:f>_xlchart.v1.409</cx:f>
      </cx:numDim>
    </cx:data>
    <cx:data id="1">
      <cx:strDim type="cat">
        <cx:f>_xlchart.v1.412</cx:f>
      </cx:strDim>
      <cx:numDim type="val">
        <cx:f>_xlchart.v1.410</cx:f>
      </cx:numDim>
    </cx:data>
    <cx:data id="2">
      <cx:strDim type="cat">
        <cx:f>_xlchart.v1.412</cx:f>
      </cx:strDim>
      <cx:numDim type="val">
        <cx:f>_xlchart.v1.411</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
              <cx:v>Free chlorine</cx:v>
            </cx:txData>
          </cx:tx>
          <cx:spPr>
            <a:noFill/>
            <a:ln w="12700">
              <a:solidFill>
                <a:srgbClr val="5064E6">
                  <a:alpha val="97000"/>
                </a:srgbClr>
              </a:solidFill>
            </a:ln>
          </cx:spPr>
          <cx:dataId val="0"/>
          <cx:layoutPr>
            <cx:visibility meanLine="0" meanMarker="1" nonoutliers="1" outliers="1"/>
            <cx:statistics quartileMethod="inclusive"/>
          </cx:layoutPr>
        </cx:series>
        <cx:series layoutId="boxWhisker" uniqueId="{00000000-13A6-46AF-97B2-7219B81DFFC0}">
          <cx:tx>
            <cx:txData>
              <cx:f/>
              <cx:v>Monochloramine</cx:v>
            </cx:txData>
          </cx:tx>
          <cx:spPr>
            <a:noFill/>
            <a:ln w="12700">
              <a:solidFill>
                <a:srgbClr val="F04646"/>
              </a:solidFill>
            </a:ln>
          </cx:spPr>
          <cx:dataId val="1"/>
          <cx:layoutPr>
            <cx:statistics quartileMethod="inclusive"/>
          </cx:layoutPr>
        </cx:series>
        <cx:series layoutId="boxWhisker" uniqueId="{00000001-13A6-46AF-97B2-7219B81DFFC0}">
          <cx:tx>
            <cx:txData>
              <cx:f/>
              <cx:v>Total chlorine</cx:v>
            </cx:txData>
          </cx:tx>
          <cx:spPr>
            <a:noFill/>
            <a:ln w="12700">
              <a:solidFill>
                <a:schemeClr val="tx1"/>
              </a:solidFill>
            </a:ln>
          </cx:spPr>
          <cx:dataId val="2"/>
          <cx:layoutPr>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a:t>
                </a:r>
                <a:r>
                  <a:rPr lang="en-US" sz="1200" b="1" i="0" u="none" strike="noStrike" kern="1200" baseline="0">
                    <a:solidFill>
                      <a:srgbClr val="FF0000"/>
                    </a:solidFill>
                    <a:latin typeface="Times New Roman" panose="02020603050405020304" pitchFamily="18" charset="0"/>
                    <a:cs typeface="Times New Roman" panose="02020603050405020304" pitchFamily="18" charset="0"/>
                  </a:rPr>
                  <a:t>RL</a:t>
                </a: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2.75" min="0"/>
        <cx:title>
          <cx:tx>
            <cx:rich>
              <a:bodyPr spcFirstLastPara="1" vertOverflow="ellipsis" horzOverflow="overflow" wrap="square" lIns="0" tIns="0" rIns="0" bIns="0" anchor="ctr" anchorCtr="1"/>
              <a:lstStyle/>
              <a:p>
                <a:pP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Chlorine (mg Cl</a:t>
                </a:r>
                <a:r>
                  <a:rPr lang="en-US" sz="1200" b="0" i="0" u="none" strike="noStrike" kern="1200" baseline="-2500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2</a:t>
                </a: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·L</a:t>
                </a:r>
                <a:r>
                  <a:rPr lang="en-US" sz="1200" b="0" i="0" u="none" strike="noStrike" kern="1200" baseline="3000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-1</a:t>
                </a: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a:t>
                </a:r>
                <a:endParaRPr lang="en-US" sz="1200">
                  <a:solidFill>
                    <a:sysClr val="windowText" lastClr="000000"/>
                  </a:solidFill>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r" align="min"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85.xml><?xml version="1.0" encoding="utf-8"?>
<cx:chartSpace xmlns:a="http://schemas.openxmlformats.org/drawingml/2006/main" xmlns:r="http://schemas.openxmlformats.org/officeDocument/2006/relationships" xmlns:cx="http://schemas.microsoft.com/office/drawing/2014/chartex">
  <cx:chartData>
    <cx:data id="0">
      <cx:strDim type="cat">
        <cx:f>_xlchart.v1.442</cx:f>
      </cx:strDim>
      <cx:numDim type="val">
        <cx:f>_xlchart.v1.440</cx:f>
      </cx:numDim>
    </cx:data>
    <cx:data id="1">
      <cx:strDim type="cat">
        <cx:f>_xlchart.v1.442</cx:f>
      </cx:strDim>
      <cx:numDim type="val">
        <cx:f>_xlchart.v1.441</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
              <cx:v>Free ammonia</cx:v>
            </cx:txData>
          </cx:tx>
          <cx:spPr>
            <a:noFill/>
            <a:ln w="12700">
              <a:solidFill>
                <a:srgbClr val="5064E6">
                  <a:alpha val="97000"/>
                </a:srgbClr>
              </a:solidFill>
            </a:ln>
          </cx:spPr>
          <cx:dataId val="0"/>
          <cx:layoutPr>
            <cx:visibility meanLine="0" meanMarker="1" nonoutliers="1" outliers="1"/>
            <cx:statistics quartileMethod="inclusive"/>
          </cx:layoutPr>
        </cx:series>
        <cx:series layoutId="boxWhisker" uniqueId="{00000000-FF3B-4A46-88EF-CACDF8511BC9}">
          <cx:tx>
            <cx:txData>
              <cx:f/>
              <cx:v>Nitrite</cx:v>
            </cx:txData>
          </cx:tx>
          <cx:spPr>
            <a:noFill/>
            <a:ln w="12700">
              <a:solidFill>
                <a:srgbClr val="F04646"/>
              </a:solidFill>
            </a:ln>
          </cx:spPr>
          <cx:dataId val="1"/>
          <cx:layoutPr>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a:t>
                </a:r>
                <a:r>
                  <a:rPr lang="en-US" sz="1200" b="1" i="0" u="none" strike="noStrike" kern="1200" baseline="0">
                    <a:solidFill>
                      <a:srgbClr val="FF0000"/>
                    </a:solidFill>
                    <a:latin typeface="Times New Roman" panose="02020603050405020304" pitchFamily="18" charset="0"/>
                    <a:cs typeface="Times New Roman" panose="02020603050405020304" pitchFamily="18" charset="0"/>
                  </a:rPr>
                  <a:t>RL</a:t>
                </a: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0.30000000000000004" min="0"/>
        <cx:title>
          <cx:tx>
            <cx:rich>
              <a:bodyPr spcFirstLastPara="1" vertOverflow="ellipsis" horzOverflow="overflow" wrap="square" lIns="0" tIns="0" rIns="0" bIns="0" anchor="ctr" anchorCtr="1"/>
              <a:lstStyle/>
              <a:p>
                <a:pP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Nitrogen (mg N·L</a:t>
                </a:r>
                <a:r>
                  <a:rPr lang="en-US" sz="1200" b="0" i="0" u="none" strike="noStrike" kern="1200" baseline="3000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-1</a:t>
                </a: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a:t>
                </a:r>
                <a:endParaRPr lang="en-US" sz="1200">
                  <a:solidFill>
                    <a:sysClr val="windowText" lastClr="000000"/>
                  </a:solidFill>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0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r" align="min"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86.xml><?xml version="1.0" encoding="utf-8"?>
<cx:chartSpace xmlns:a="http://schemas.openxmlformats.org/drawingml/2006/main" xmlns:r="http://schemas.openxmlformats.org/officeDocument/2006/relationships" xmlns:cx="http://schemas.microsoft.com/office/drawing/2014/chartex">
  <cx:chartData>
    <cx:data id="0">
      <cx:strDim type="cat">
        <cx:f>_xlchart.v1.403</cx:f>
      </cx:strDim>
      <cx:numDim type="val">
        <cx:f>_xlchart.v1.402</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
              <cx:v>Orthophosphate</cx:v>
            </cx:txData>
          </cx:tx>
          <cx:spPr>
            <a:noFill/>
            <a:ln w="12700">
              <a:solidFill>
                <a:srgbClr val="5064E6">
                  <a:alpha val="97000"/>
                </a:srgbClr>
              </a:solidFill>
            </a:ln>
          </cx:spPr>
          <cx:dataId val="0"/>
          <cx:layoutPr>
            <cx:visibility meanLine="0" meanMarker="1" nonoutliers="1" outliers="1"/>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a:t>
                </a:r>
                <a:r>
                  <a:rPr lang="en-US" sz="1200" b="1" i="0" u="none" strike="noStrike" kern="1200" baseline="0">
                    <a:solidFill>
                      <a:srgbClr val="FF0000"/>
                    </a:solidFill>
                    <a:latin typeface="Times New Roman" panose="02020603050405020304" pitchFamily="18" charset="0"/>
                    <a:cs typeface="Times New Roman" panose="02020603050405020304" pitchFamily="18" charset="0"/>
                  </a:rPr>
                  <a:t>RL</a:t>
                </a: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0.55000000000000004" min="0.30000000000000004"/>
        <cx:title>
          <cx:tx>
            <cx:rich>
              <a:bodyPr spcFirstLastPara="1" vertOverflow="ellipsis" horzOverflow="overflow" wrap="square" lIns="0" tIns="0" rIns="0" bIns="0" anchor="ctr" anchorCtr="1"/>
              <a:lstStyle/>
              <a:p>
                <a:pP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Orthophosphate (PO</a:t>
                </a:r>
                <a:r>
                  <a:rPr lang="en-US" sz="1200" b="0" i="0" u="none" strike="noStrike" kern="1200" baseline="-2500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4</a:t>
                </a:r>
                <a:r>
                  <a:rPr lang="en-US" sz="1200" b="0" i="0" u="none" strike="noStrike" kern="1200" baseline="3000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3-</a:t>
                </a: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·L</a:t>
                </a:r>
                <a:r>
                  <a:rPr lang="en-US" sz="1200" b="0" i="0" u="none" strike="noStrike" kern="1200" baseline="3000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-1</a:t>
                </a: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a:t>
                </a:r>
                <a:endParaRPr lang="en-US" sz="1200">
                  <a:solidFill>
                    <a:sysClr val="windowText" lastClr="000000"/>
                  </a:solidFill>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0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t" align="ctr"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87.xml><?xml version="1.0" encoding="utf-8"?>
<cx:chartSpace xmlns:a="http://schemas.openxmlformats.org/drawingml/2006/main" xmlns:r="http://schemas.openxmlformats.org/officeDocument/2006/relationships" xmlns:cx="http://schemas.microsoft.com/office/drawing/2014/chartex">
  <cx:chartData>
    <cx:data id="0">
      <cx:strDim type="cat">
        <cx:f>_xlchart.v1.435</cx:f>
      </cx:strDim>
      <cx:numDim type="val">
        <cx:f>_xlchart.v1.434</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
              <cx:v>pH</cx:v>
            </cx:txData>
          </cx:tx>
          <cx:spPr>
            <a:noFill/>
            <a:ln w="12700">
              <a:solidFill>
                <a:srgbClr val="5064E6">
                  <a:alpha val="97000"/>
                </a:srgbClr>
              </a:solidFill>
            </a:ln>
          </cx:spPr>
          <cx:dataId val="0"/>
          <cx:layoutPr>
            <cx:visibility meanLine="0" meanMarker="1" nonoutliers="1" outliers="1"/>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a:t>
                </a:r>
                <a:r>
                  <a:rPr lang="en-US" sz="1200" b="1" i="0" u="none" strike="noStrike" kern="1200" baseline="0">
                    <a:solidFill>
                      <a:srgbClr val="FF0000"/>
                    </a:solidFill>
                    <a:latin typeface="Times New Roman" panose="02020603050405020304" pitchFamily="18" charset="0"/>
                    <a:cs typeface="Times New Roman" panose="02020603050405020304" pitchFamily="18" charset="0"/>
                  </a:rPr>
                  <a:t>RS</a:t>
                </a: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7.0999999999999996" min="6.5999999999999996"/>
        <cx:title>
          <cx:tx>
            <cx:rich>
              <a:bodyPr spcFirstLastPara="1" vertOverflow="ellipsis" horzOverflow="overflow" wrap="square" lIns="0" tIns="0" rIns="0" bIns="0" anchor="ctr" anchorCtr="1"/>
              <a:lstStyle/>
              <a:p>
                <a:pP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pH</a:t>
                </a:r>
                <a:endParaRPr lang="en-US" sz="1200">
                  <a:solidFill>
                    <a:sysClr val="windowText" lastClr="000000"/>
                  </a:solidFill>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0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t" align="ctr"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88.xml><?xml version="1.0" encoding="utf-8"?>
<cx:chartSpace xmlns:a="http://schemas.openxmlformats.org/drawingml/2006/main" xmlns:r="http://schemas.openxmlformats.org/officeDocument/2006/relationships" xmlns:cx="http://schemas.microsoft.com/office/drawing/2014/chartex">
  <cx:chartData>
    <cx:data id="0">
      <cx:strDim type="cat">
        <cx:f>_xlchart.v1.414</cx:f>
      </cx:strDim>
      <cx:numDim type="val">
        <cx:f>_xlchart.v1.413</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
              <cx:v>Water Temperature</cx:v>
            </cx:txData>
          </cx:tx>
          <cx:spPr>
            <a:noFill/>
            <a:ln w="12700">
              <a:solidFill>
                <a:srgbClr val="5064E6">
                  <a:alpha val="97000"/>
                </a:srgbClr>
              </a:solidFill>
            </a:ln>
          </cx:spPr>
          <cx:dataId val="0"/>
          <cx:layoutPr>
            <cx:visibility meanLine="0" meanMarker="1" nonoutliers="1" outliers="1"/>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a:t>
                </a:r>
                <a:r>
                  <a:rPr lang="en-US" sz="1200" b="1" i="0" u="none" strike="noStrike" kern="1200" baseline="0">
                    <a:solidFill>
                      <a:srgbClr val="FF0000"/>
                    </a:solidFill>
                    <a:latin typeface="Times New Roman" panose="02020603050405020304" pitchFamily="18" charset="0"/>
                    <a:cs typeface="Times New Roman" panose="02020603050405020304" pitchFamily="18" charset="0"/>
                  </a:rPr>
                  <a:t>RS</a:t>
                </a: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28.100000000000001" min="18"/>
        <cx:title>
          <cx:tx>
            <cx:rich>
              <a:bodyPr spcFirstLastPara="1" vertOverflow="ellipsis" horzOverflow="overflow" wrap="square" lIns="0" tIns="0" rIns="0" bIns="0" anchor="ctr" anchorCtr="1"/>
              <a:lstStyle/>
              <a:p>
                <a:pP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Water temperature (°C)</a:t>
                </a:r>
                <a:endParaRPr lang="en-US" sz="1200">
                  <a:solidFill>
                    <a:sysClr val="windowText" lastClr="000000"/>
                  </a:solidFill>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r" align="min"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89.xml><?xml version="1.0" encoding="utf-8"?>
<cx:chartSpace xmlns:a="http://schemas.openxmlformats.org/drawingml/2006/main" xmlns:r="http://schemas.openxmlformats.org/officeDocument/2006/relationships" xmlns:cx="http://schemas.microsoft.com/office/drawing/2014/chartex">
  <cx:chartData>
    <cx:data id="0">
      <cx:strDim type="cat">
        <cx:f>_xlchart.v1.418</cx:f>
      </cx:strDim>
      <cx:numDim type="val">
        <cx:f>_xlchart.v1.415</cx:f>
      </cx:numDim>
    </cx:data>
    <cx:data id="1">
      <cx:strDim type="cat">
        <cx:f>_xlchart.v1.418</cx:f>
      </cx:strDim>
      <cx:numDim type="val">
        <cx:f>_xlchart.v1.416</cx:f>
      </cx:numDim>
    </cx:data>
    <cx:data id="2">
      <cx:strDim type="cat">
        <cx:f>_xlchart.v1.418</cx:f>
      </cx:strDim>
      <cx:numDim type="val">
        <cx:f>_xlchart.v1.417</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
              <cx:v>Free chlorine</cx:v>
            </cx:txData>
          </cx:tx>
          <cx:spPr>
            <a:noFill/>
            <a:ln w="12700">
              <a:solidFill>
                <a:srgbClr val="5064E6">
                  <a:alpha val="97000"/>
                </a:srgbClr>
              </a:solidFill>
            </a:ln>
          </cx:spPr>
          <cx:dataId val="0"/>
          <cx:layoutPr>
            <cx:visibility meanLine="0" meanMarker="1" nonoutliers="1" outliers="1"/>
            <cx:statistics quartileMethod="inclusive"/>
          </cx:layoutPr>
        </cx:series>
        <cx:series layoutId="boxWhisker" uniqueId="{00000000-13A6-46AF-97B2-7219B81DFFC0}">
          <cx:tx>
            <cx:txData>
              <cx:f/>
              <cx:v>Monochloramine</cx:v>
            </cx:txData>
          </cx:tx>
          <cx:spPr>
            <a:noFill/>
            <a:ln w="12700">
              <a:solidFill>
                <a:srgbClr val="F04646"/>
              </a:solidFill>
            </a:ln>
          </cx:spPr>
          <cx:dataId val="1"/>
          <cx:layoutPr>
            <cx:statistics quartileMethod="inclusive"/>
          </cx:layoutPr>
        </cx:series>
        <cx:series layoutId="boxWhisker" uniqueId="{00000001-13A6-46AF-97B2-7219B81DFFC0}">
          <cx:tx>
            <cx:txData>
              <cx:f/>
              <cx:v>Total chlorine</cx:v>
            </cx:txData>
          </cx:tx>
          <cx:spPr>
            <a:noFill/>
            <a:ln w="12700">
              <a:solidFill>
                <a:schemeClr val="tx1"/>
              </a:solidFill>
            </a:ln>
          </cx:spPr>
          <cx:dataId val="2"/>
          <cx:layoutPr>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a:t>
                </a:r>
                <a:r>
                  <a:rPr lang="en-US" sz="1200" b="1" i="0" u="none" strike="noStrike" kern="1200" baseline="0">
                    <a:solidFill>
                      <a:srgbClr val="FF0000"/>
                    </a:solidFill>
                    <a:latin typeface="Times New Roman" panose="02020603050405020304" pitchFamily="18" charset="0"/>
                    <a:cs typeface="Times New Roman" panose="02020603050405020304" pitchFamily="18" charset="0"/>
                  </a:rPr>
                  <a:t>RS</a:t>
                </a: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2.25" min="0"/>
        <cx:title>
          <cx:tx>
            <cx:rich>
              <a:bodyPr spcFirstLastPara="1" vertOverflow="ellipsis" horzOverflow="overflow" wrap="square" lIns="0" tIns="0" rIns="0" bIns="0" anchor="ctr" anchorCtr="1"/>
              <a:lstStyle/>
              <a:p>
                <a:pP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Chlorine (mg Cl</a:t>
                </a:r>
                <a:r>
                  <a:rPr lang="en-US" sz="1200" b="0" i="0" u="none" strike="noStrike" kern="1200" baseline="-2500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2</a:t>
                </a: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·L</a:t>
                </a:r>
                <a:r>
                  <a:rPr lang="en-US" sz="1200" b="0" i="0" u="none" strike="noStrike" kern="1200" baseline="3000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-1</a:t>
                </a: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a:t>
                </a:r>
                <a:endParaRPr lang="en-US" sz="1200">
                  <a:solidFill>
                    <a:sysClr val="windowText" lastClr="000000"/>
                  </a:solidFill>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r" align="min"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9.xml><?xml version="1.0" encoding="utf-8"?>
<cx:chartSpace xmlns:a="http://schemas.openxmlformats.org/drawingml/2006/main" xmlns:r="http://schemas.openxmlformats.org/officeDocument/2006/relationships" xmlns:cx="http://schemas.microsoft.com/office/drawing/2014/chartex">
  <cx:chartData>
    <cx:data id="0">
      <cx:strDim type="cat">
        <cx:f>_xlchart.v1.25</cx:f>
      </cx:strDim>
      <cx:numDim type="val">
        <cx:f>_xlchart.v1.27</cx:f>
      </cx:numDim>
    </cx:data>
    <cx:data id="1">
      <cx:strDim type="cat">
        <cx:f>_xlchart.v1.25</cx:f>
      </cx:strDim>
      <cx:numDim type="val">
        <cx:f>_xlchart.v1.29</cx:f>
      </cx:numDim>
    </cx:data>
    <cx:data id="2">
      <cx:strDim type="cat">
        <cx:f>_xlchart.v1.25</cx:f>
      </cx:strDim>
      <cx:numDim type="val">
        <cx:f>_xlchart.v1.31</cx:f>
      </cx:numDim>
    </cx:data>
    <cx:data id="3">
      <cx:strDim type="cat">
        <cx:f>_xlchart.v1.25</cx:f>
      </cx:strDim>
      <cx:numDim type="val">
        <cx:f>_xlchart.v1.33</cx:f>
      </cx:numDim>
    </cx:data>
    <cx:data id="4">
      <cx:strDim type="cat">
        <cx:f>_xlchart.v1.25</cx:f>
      </cx:strDim>
      <cx:numDim type="val">
        <cx:f>_xlchart.v1.35</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_xlchart.v1.26</cx:f>
              <cx:v>Legionella</cx:v>
            </cx:txData>
          </cx:tx>
          <cx:spPr>
            <a:noFill/>
            <a:ln w="12700">
              <a:solidFill>
                <a:srgbClr val="F04646">
                  <a:alpha val="96863"/>
                </a:srgbClr>
              </a:solidFill>
            </a:ln>
          </cx:spPr>
          <cx:dataId val="0"/>
          <cx:layoutPr>
            <cx:visibility meanLine="0" meanMarker="1" nonoutliers="1" outliers="1"/>
            <cx:statistics quartileMethod="inclusive"/>
          </cx:layoutPr>
        </cx:series>
        <cx:series layoutId="boxWhisker" uniqueId="{00000000-13A6-46AF-97B2-7219B81DFFC0}">
          <cx:tx>
            <cx:txData>
              <cx:f>_xlchart.v1.28</cx:f>
              <cx:v>Mycobacterium</cx:v>
            </cx:txData>
          </cx:tx>
          <cx:spPr>
            <a:noFill/>
            <a:ln w="12700">
              <a:solidFill>
                <a:srgbClr val="5064E6"/>
              </a:solidFill>
            </a:ln>
          </cx:spPr>
          <cx:dataId val="1"/>
          <cx:layoutPr>
            <cx:visibility meanLine="0"/>
            <cx:statistics quartileMethod="inclusive"/>
          </cx:layoutPr>
        </cx:series>
        <cx:series layoutId="boxWhisker" uniqueId="{00000001-13A6-46AF-97B2-7219B81DFFC0}">
          <cx:tx>
            <cx:txData>
              <cx:f>_xlchart.v1.30</cx:f>
              <cx:v>Pseudomonas</cx:v>
            </cx:txData>
          </cx:tx>
          <cx:spPr>
            <a:noFill/>
            <a:ln w="12700">
              <a:solidFill>
                <a:srgbClr val="F014C8"/>
              </a:solidFill>
            </a:ln>
          </cx:spPr>
          <cx:dataId val="2"/>
          <cx:layoutPr>
            <cx:statistics quartileMethod="inclusive"/>
          </cx:layoutPr>
        </cx:series>
        <cx:series layoutId="boxWhisker" uniqueId="{00000000-3E06-4E27-8A66-1A8D2F8920EC}">
          <cx:tx>
            <cx:txData>
              <cx:f>_xlchart.v1.32</cx:f>
              <cx:v>Vermamoeba vermiformis</cx:v>
            </cx:txData>
          </cx:tx>
          <cx:spPr>
            <a:noFill/>
            <a:ln w="12700">
              <a:solidFill>
                <a:srgbClr val="3CE63C"/>
              </a:solidFill>
            </a:ln>
          </cx:spPr>
          <cx:dataId val="3"/>
          <cx:layoutPr>
            <cx:statistics quartileMethod="inclusive"/>
          </cx:layoutPr>
        </cx:series>
        <cx:series layoutId="boxWhisker" uniqueId="{00000001-3E06-4E27-8A66-1A8D2F8920EC}">
          <cx:tx>
            <cx:txData>
              <cx:f>_xlchart.v1.34</cx:f>
              <cx:v>Summed OP</cx:v>
            </cx:txData>
          </cx:tx>
          <cx:spPr>
            <a:noFill/>
            <a:ln w="12700">
              <a:solidFill>
                <a:srgbClr val="28C8C8"/>
              </a:solidFill>
            </a:ln>
          </cx:spPr>
          <cx:dataId val="4"/>
          <cx:layoutPr>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a:t>
                </a:r>
                <a:r>
                  <a:rPr lang="en-US" sz="1200" b="1" i="0" u="none" strike="noStrike" kern="1200" baseline="0">
                    <a:solidFill>
                      <a:srgbClr val="FF0000"/>
                    </a:solidFill>
                    <a:latin typeface="Times New Roman" panose="02020603050405020304" pitchFamily="18" charset="0"/>
                    <a:cs typeface="Times New Roman" panose="02020603050405020304" pitchFamily="18" charset="0"/>
                  </a:rPr>
                  <a:t>Residential-Overall</a:t>
                </a: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8" min="0"/>
        <cx:title>
          <cx:tx>
            <cx:rich>
              <a:bodyPr spcFirstLastPara="1" vertOverflow="ellipsis" horzOverflow="overflow" wrap="square" lIns="0" tIns="0" rIns="0" bIns="0" anchor="ctr" anchorCtr="1"/>
              <a:lstStyle/>
              <a:p>
                <a:pPr rtl="0"/>
                <a:r>
                  <a:rPr lang="en-US" sz="1200" b="0" i="0" baseline="0">
                    <a:effectLst/>
                    <a:latin typeface="Times New Roman" panose="02020603050405020304" pitchFamily="18" charset="0"/>
                    <a:cs typeface="Times New Roman" panose="02020603050405020304" pitchFamily="18" charset="0"/>
                  </a:rPr>
                  <a:t>log</a:t>
                </a:r>
                <a:r>
                  <a:rPr lang="en-US" sz="1200" b="0" i="0" baseline="-25000">
                    <a:effectLst/>
                    <a:latin typeface="Times New Roman" panose="02020603050405020304" pitchFamily="18" charset="0"/>
                    <a:cs typeface="Times New Roman" panose="02020603050405020304" pitchFamily="18" charset="0"/>
                  </a:rPr>
                  <a:t>10</a:t>
                </a:r>
                <a:r>
                  <a:rPr lang="en-US" sz="1200" b="0" i="0" baseline="0">
                    <a:effectLst/>
                    <a:latin typeface="Times New Roman" panose="02020603050405020304" pitchFamily="18" charset="0"/>
                    <a:cs typeface="Times New Roman" panose="02020603050405020304" pitchFamily="18" charset="0"/>
                  </a:rPr>
                  <a:t>[OP (GCN·L</a:t>
                </a:r>
                <a:r>
                  <a:rPr lang="en-US" sz="1200" b="0" i="0" baseline="30000">
                    <a:effectLst/>
                    <a:latin typeface="Times New Roman" panose="02020603050405020304" pitchFamily="18" charset="0"/>
                    <a:cs typeface="Times New Roman" panose="02020603050405020304" pitchFamily="18" charset="0"/>
                  </a:rPr>
                  <a:t>-1</a:t>
                </a:r>
                <a:r>
                  <a:rPr lang="en-US" sz="1200" b="0" i="0" baseline="0">
                    <a:effectLst/>
                    <a:latin typeface="Times New Roman" panose="02020603050405020304" pitchFamily="18" charset="0"/>
                    <a:cs typeface="Times New Roman" panose="02020603050405020304" pitchFamily="18" charset="0"/>
                  </a:rPr>
                  <a:t>)]</a:t>
                </a:r>
                <a:endParaRPr lang="en-US" sz="1200">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t" align="ctr"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90.xml><?xml version="1.0" encoding="utf-8"?>
<cx:chartSpace xmlns:a="http://schemas.openxmlformats.org/drawingml/2006/main" xmlns:r="http://schemas.openxmlformats.org/officeDocument/2006/relationships" xmlns:cx="http://schemas.microsoft.com/office/drawing/2014/chartex">
  <cx:chartData>
    <cx:data id="0">
      <cx:strDim type="cat">
        <cx:f>_xlchart.v1.421</cx:f>
      </cx:strDim>
      <cx:numDim type="val">
        <cx:f>_xlchart.v1.419</cx:f>
      </cx:numDim>
    </cx:data>
    <cx:data id="1">
      <cx:strDim type="cat">
        <cx:f>_xlchart.v1.421</cx:f>
      </cx:strDim>
      <cx:numDim type="val">
        <cx:f>_xlchart.v1.420</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
              <cx:v>Free ammonia</cx:v>
            </cx:txData>
          </cx:tx>
          <cx:spPr>
            <a:noFill/>
            <a:ln w="12700">
              <a:solidFill>
                <a:srgbClr val="5064E6">
                  <a:alpha val="97000"/>
                </a:srgbClr>
              </a:solidFill>
            </a:ln>
          </cx:spPr>
          <cx:dataId val="0"/>
          <cx:layoutPr>
            <cx:visibility meanLine="0" meanMarker="1" nonoutliers="1" outliers="1"/>
            <cx:statistics quartileMethod="inclusive"/>
          </cx:layoutPr>
        </cx:series>
        <cx:series layoutId="boxWhisker" uniqueId="{00000000-FF3B-4A46-88EF-CACDF8511BC9}">
          <cx:tx>
            <cx:txData>
              <cx:f/>
              <cx:v>Nitrite</cx:v>
            </cx:txData>
          </cx:tx>
          <cx:spPr>
            <a:noFill/>
            <a:ln w="12700">
              <a:solidFill>
                <a:srgbClr val="F04646"/>
              </a:solidFill>
            </a:ln>
          </cx:spPr>
          <cx:dataId val="1"/>
          <cx:layoutPr>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a:t>
                </a:r>
                <a:r>
                  <a:rPr lang="en-US" sz="1200" b="1" i="0" u="none" strike="noStrike" kern="1200" baseline="0">
                    <a:solidFill>
                      <a:srgbClr val="FF0000"/>
                    </a:solidFill>
                    <a:latin typeface="Times New Roman" panose="02020603050405020304" pitchFamily="18" charset="0"/>
                    <a:cs typeface="Times New Roman" panose="02020603050405020304" pitchFamily="18" charset="0"/>
                  </a:rPr>
                  <a:t>RS</a:t>
                </a: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0.40000000000000002" min="0"/>
        <cx:title>
          <cx:tx>
            <cx:rich>
              <a:bodyPr spcFirstLastPara="1" vertOverflow="ellipsis" horzOverflow="overflow" wrap="square" lIns="0" tIns="0" rIns="0" bIns="0" anchor="ctr" anchorCtr="1"/>
              <a:lstStyle/>
              <a:p>
                <a:pP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Nitrogen (mg N·L</a:t>
                </a:r>
                <a:r>
                  <a:rPr lang="en-US" sz="1200" b="0" i="0" u="none" strike="noStrike" kern="1200" baseline="3000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-1</a:t>
                </a: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a:t>
                </a:r>
                <a:endParaRPr lang="en-US" sz="1200">
                  <a:solidFill>
                    <a:sysClr val="windowText" lastClr="000000"/>
                  </a:solidFill>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0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t" align="ctr"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91.xml><?xml version="1.0" encoding="utf-8"?>
<cx:chartSpace xmlns:a="http://schemas.openxmlformats.org/drawingml/2006/main" xmlns:r="http://schemas.openxmlformats.org/officeDocument/2006/relationships" xmlns:cx="http://schemas.microsoft.com/office/drawing/2014/chartex">
  <cx:chartData>
    <cx:data id="0">
      <cx:strDim type="cat">
        <cx:f>_xlchart.v1.425</cx:f>
      </cx:strDim>
      <cx:numDim type="val">
        <cx:f>_xlchart.v1.424</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
              <cx:v>Orthophosphate</cx:v>
            </cx:txData>
          </cx:tx>
          <cx:spPr>
            <a:noFill/>
            <a:ln w="12700">
              <a:solidFill>
                <a:srgbClr val="5064E6">
                  <a:alpha val="97000"/>
                </a:srgbClr>
              </a:solidFill>
            </a:ln>
          </cx:spPr>
          <cx:dataId val="0"/>
          <cx:layoutPr>
            <cx:visibility meanLine="0" meanMarker="1" nonoutliers="1" outliers="1"/>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a:t>
                </a:r>
                <a:r>
                  <a:rPr lang="en-US" sz="1200" b="1" i="0" u="none" strike="noStrike" kern="1200" baseline="0">
                    <a:solidFill>
                      <a:srgbClr val="FF0000"/>
                    </a:solidFill>
                    <a:latin typeface="Times New Roman" panose="02020603050405020304" pitchFamily="18" charset="0"/>
                    <a:cs typeface="Times New Roman" panose="02020603050405020304" pitchFamily="18" charset="0"/>
                  </a:rPr>
                  <a:t>RS</a:t>
                </a: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0.70000000000000007" min="0.35000000000000003"/>
        <cx:title>
          <cx:tx>
            <cx:rich>
              <a:bodyPr spcFirstLastPara="1" vertOverflow="ellipsis" horzOverflow="overflow" wrap="square" lIns="0" tIns="0" rIns="0" bIns="0" anchor="ctr" anchorCtr="1"/>
              <a:lstStyle/>
              <a:p>
                <a:pP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Orthophosphate (PO</a:t>
                </a:r>
                <a:r>
                  <a:rPr lang="en-US" sz="1200" b="0" i="0" u="none" strike="noStrike" kern="1200" baseline="-2500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4</a:t>
                </a:r>
                <a:r>
                  <a:rPr lang="en-US" sz="1200" b="0" i="0" u="none" strike="noStrike" kern="1200" baseline="3000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3-</a:t>
                </a: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·L</a:t>
                </a:r>
                <a:r>
                  <a:rPr lang="en-US" sz="1200" b="0" i="0" u="none" strike="noStrike" kern="1200" baseline="3000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-1</a:t>
                </a: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a:t>
                </a:r>
                <a:endParaRPr lang="en-US" sz="1200">
                  <a:solidFill>
                    <a:sysClr val="windowText" lastClr="000000"/>
                  </a:solidFill>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0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t" align="ctr"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92.xml><?xml version="1.0" encoding="utf-8"?>
<cx:chartSpace xmlns:a="http://schemas.openxmlformats.org/drawingml/2006/main" xmlns:r="http://schemas.openxmlformats.org/officeDocument/2006/relationships" xmlns:cx="http://schemas.microsoft.com/office/drawing/2014/chartex">
  <cx:chartData>
    <cx:data id="0">
      <cx:strDim type="cat">
        <cx:f>_xlchart.v1.427</cx:f>
      </cx:strDim>
      <cx:numDim type="val">
        <cx:f>_xlchart.v1.426</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
              <cx:v>pH</cx:v>
            </cx:txData>
          </cx:tx>
          <cx:spPr>
            <a:noFill/>
            <a:ln w="12700">
              <a:solidFill>
                <a:srgbClr val="5064E6">
                  <a:alpha val="97000"/>
                </a:srgbClr>
              </a:solidFill>
            </a:ln>
          </cx:spPr>
          <cx:dataId val="0"/>
          <cx:layoutPr>
            <cx:visibility meanLine="0" meanMarker="1" nonoutliers="1" outliers="1"/>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a:t>
                </a:r>
                <a:r>
                  <a:rPr lang="en-US" sz="1200" b="1" i="0" u="none" strike="noStrike" kern="1200" baseline="0">
                    <a:solidFill>
                      <a:srgbClr val="FF0000"/>
                    </a:solidFill>
                    <a:latin typeface="Times New Roman" panose="02020603050405020304" pitchFamily="18" charset="0"/>
                    <a:cs typeface="Times New Roman" panose="02020603050405020304" pitchFamily="18" charset="0"/>
                  </a:rPr>
                  <a:t>Residential</a:t>
                </a: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7.7999999999999998" min="6.2999999999999998"/>
        <cx:title>
          <cx:tx>
            <cx:rich>
              <a:bodyPr spcFirstLastPara="1" vertOverflow="ellipsis" horzOverflow="overflow" wrap="square" lIns="0" tIns="0" rIns="0" bIns="0" anchor="ctr" anchorCtr="1"/>
              <a:lstStyle/>
              <a:p>
                <a:pP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pH</a:t>
                </a:r>
                <a:endParaRPr lang="en-US" sz="1200">
                  <a:solidFill>
                    <a:sysClr val="windowText" lastClr="000000"/>
                  </a:solidFill>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0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t" align="ctr"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93.xml><?xml version="1.0" encoding="utf-8"?>
<cx:chartSpace xmlns:a="http://schemas.openxmlformats.org/drawingml/2006/main" xmlns:r="http://schemas.openxmlformats.org/officeDocument/2006/relationships" xmlns:cx="http://schemas.microsoft.com/office/drawing/2014/chartex">
  <cx:chartData>
    <cx:data id="0">
      <cx:strDim type="cat">
        <cx:f>_xlchart.v1.431</cx:f>
      </cx:strDim>
      <cx:numDim type="val">
        <cx:f>_xlchart.v1.430</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
              <cx:v>Water Temperature</cx:v>
            </cx:txData>
          </cx:tx>
          <cx:spPr>
            <a:noFill/>
            <a:ln w="12700">
              <a:solidFill>
                <a:srgbClr val="5064E6">
                  <a:alpha val="97000"/>
                </a:srgbClr>
              </a:solidFill>
            </a:ln>
          </cx:spPr>
          <cx:dataId val="0"/>
          <cx:layoutPr>
            <cx:visibility meanLine="0" meanMarker="1" nonoutliers="1" outliers="1"/>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a:t>
                </a:r>
                <a:r>
                  <a:rPr lang="en-US" sz="1200" b="1" i="0" u="none" strike="noStrike" kern="1200" baseline="0">
                    <a:solidFill>
                      <a:srgbClr val="FF0000"/>
                    </a:solidFill>
                    <a:latin typeface="Times New Roman" panose="02020603050405020304" pitchFamily="18" charset="0"/>
                    <a:cs typeface="Times New Roman" panose="02020603050405020304" pitchFamily="18" charset="0"/>
                  </a:rPr>
                  <a:t>Residential</a:t>
                </a: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30" min="18"/>
        <cx:title>
          <cx:tx>
            <cx:rich>
              <a:bodyPr spcFirstLastPara="1" vertOverflow="ellipsis" horzOverflow="overflow" wrap="square" lIns="0" tIns="0" rIns="0" bIns="0" anchor="ctr" anchorCtr="1"/>
              <a:lstStyle/>
              <a:p>
                <a:pP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Water temperature (°C)</a:t>
                </a:r>
                <a:endParaRPr lang="en-US" sz="1200">
                  <a:solidFill>
                    <a:sysClr val="windowText" lastClr="000000"/>
                  </a:solidFill>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t" align="ctr"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94.xml><?xml version="1.0" encoding="utf-8"?>
<cx:chartSpace xmlns:a="http://schemas.openxmlformats.org/drawingml/2006/main" xmlns:r="http://schemas.openxmlformats.org/officeDocument/2006/relationships" xmlns:cx="http://schemas.microsoft.com/office/drawing/2014/chartex">
  <cx:chartData>
    <cx:data id="0">
      <cx:strDim type="cat">
        <cx:f>_xlchart.v1.453</cx:f>
      </cx:strDim>
      <cx:numDim type="val">
        <cx:f>_xlchart.v1.450</cx:f>
      </cx:numDim>
    </cx:data>
    <cx:data id="1">
      <cx:strDim type="cat">
        <cx:f>_xlchart.v1.453</cx:f>
      </cx:strDim>
      <cx:numDim type="val">
        <cx:f>_xlchart.v1.451</cx:f>
      </cx:numDim>
    </cx:data>
    <cx:data id="2">
      <cx:strDim type="cat">
        <cx:f>_xlchart.v1.453</cx:f>
      </cx:strDim>
      <cx:numDim type="val">
        <cx:f>_xlchart.v1.452</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
              <cx:v>Free chlorine</cx:v>
            </cx:txData>
          </cx:tx>
          <cx:spPr>
            <a:noFill/>
            <a:ln w="12700">
              <a:solidFill>
                <a:srgbClr val="5064E6">
                  <a:alpha val="97000"/>
                </a:srgbClr>
              </a:solidFill>
            </a:ln>
          </cx:spPr>
          <cx:dataId val="0"/>
          <cx:layoutPr>
            <cx:visibility meanLine="0" meanMarker="1" nonoutliers="1" outliers="1"/>
            <cx:statistics quartileMethod="inclusive"/>
          </cx:layoutPr>
        </cx:series>
        <cx:series layoutId="boxWhisker" uniqueId="{00000000-13A6-46AF-97B2-7219B81DFFC0}">
          <cx:tx>
            <cx:txData>
              <cx:f/>
              <cx:v>Monochloramine</cx:v>
            </cx:txData>
          </cx:tx>
          <cx:spPr>
            <a:noFill/>
            <a:ln w="12700">
              <a:solidFill>
                <a:srgbClr val="F04646"/>
              </a:solidFill>
            </a:ln>
          </cx:spPr>
          <cx:dataId val="1"/>
          <cx:layoutPr>
            <cx:statistics quartileMethod="inclusive"/>
          </cx:layoutPr>
        </cx:series>
        <cx:series layoutId="boxWhisker" uniqueId="{00000001-13A6-46AF-97B2-7219B81DFFC0}">
          <cx:tx>
            <cx:txData>
              <cx:f/>
              <cx:v>Total chlorine</cx:v>
            </cx:txData>
          </cx:tx>
          <cx:spPr>
            <a:noFill/>
            <a:ln w="12700">
              <a:solidFill>
                <a:schemeClr val="tx1"/>
              </a:solidFill>
            </a:ln>
          </cx:spPr>
          <cx:dataId val="2"/>
          <cx:layoutPr>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a:t>
                </a:r>
                <a:r>
                  <a:rPr lang="en-US" sz="1200" b="1" i="0" u="none" strike="noStrike" kern="1200" baseline="0">
                    <a:solidFill>
                      <a:srgbClr val="FF0000"/>
                    </a:solidFill>
                    <a:latin typeface="Times New Roman" panose="02020603050405020304" pitchFamily="18" charset="0"/>
                    <a:cs typeface="Times New Roman" panose="02020603050405020304" pitchFamily="18" charset="0"/>
                  </a:rPr>
                  <a:t>Residential</a:t>
                </a: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3.5" min="0"/>
        <cx:title>
          <cx:tx>
            <cx:rich>
              <a:bodyPr spcFirstLastPara="1" vertOverflow="ellipsis" horzOverflow="overflow" wrap="square" lIns="0" tIns="0" rIns="0" bIns="0" anchor="ctr" anchorCtr="1"/>
              <a:lstStyle/>
              <a:p>
                <a:pP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Chlorine (mg Cl</a:t>
                </a:r>
                <a:r>
                  <a:rPr lang="en-US" sz="1200" b="0" i="0" u="none" strike="noStrike" kern="1200" baseline="-2500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2</a:t>
                </a: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·L</a:t>
                </a:r>
                <a:r>
                  <a:rPr lang="en-US" sz="1200" b="0" i="0" u="none" strike="noStrike" kern="1200" baseline="3000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-1</a:t>
                </a: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a:t>
                </a:r>
                <a:endParaRPr lang="en-US" sz="1200">
                  <a:solidFill>
                    <a:sysClr val="windowText" lastClr="000000"/>
                  </a:solidFill>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r" align="min"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95.xml><?xml version="1.0" encoding="utf-8"?>
<cx:chartSpace xmlns:a="http://schemas.openxmlformats.org/drawingml/2006/main" xmlns:r="http://schemas.openxmlformats.org/officeDocument/2006/relationships" xmlns:cx="http://schemas.microsoft.com/office/drawing/2014/chartex">
  <cx:chartData>
    <cx:data id="0">
      <cx:strDim type="cat">
        <cx:f>_xlchart.v1.460</cx:f>
      </cx:strDim>
      <cx:numDim type="val">
        <cx:f>_xlchart.v1.458</cx:f>
      </cx:numDim>
    </cx:data>
    <cx:data id="1">
      <cx:strDim type="cat">
        <cx:f>_xlchart.v1.460</cx:f>
      </cx:strDim>
      <cx:numDim type="val">
        <cx:f>_xlchart.v1.459</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
              <cx:v>Free ammonia</cx:v>
            </cx:txData>
          </cx:tx>
          <cx:spPr>
            <a:noFill/>
            <a:ln w="12700">
              <a:solidFill>
                <a:srgbClr val="5064E6">
                  <a:alpha val="97000"/>
                </a:srgbClr>
              </a:solidFill>
            </a:ln>
          </cx:spPr>
          <cx:dataId val="0"/>
          <cx:layoutPr>
            <cx:visibility meanLine="0" meanMarker="1" nonoutliers="1" outliers="1"/>
            <cx:statistics quartileMethod="inclusive"/>
          </cx:layoutPr>
        </cx:series>
        <cx:series layoutId="boxWhisker" uniqueId="{00000000-FF3B-4A46-88EF-CACDF8511BC9}">
          <cx:tx>
            <cx:txData>
              <cx:f/>
              <cx:v>Nitrite</cx:v>
            </cx:txData>
          </cx:tx>
          <cx:spPr>
            <a:noFill/>
            <a:ln w="12700">
              <a:solidFill>
                <a:srgbClr val="F04646"/>
              </a:solidFill>
            </a:ln>
          </cx:spPr>
          <cx:dataId val="1"/>
          <cx:layoutPr>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a:t>
                </a:r>
                <a:r>
                  <a:rPr lang="en-US" sz="1200" b="1" i="0" u="none" strike="noStrike" kern="1200" baseline="0">
                    <a:solidFill>
                      <a:srgbClr val="FF0000"/>
                    </a:solidFill>
                    <a:latin typeface="Times New Roman" panose="02020603050405020304" pitchFamily="18" charset="0"/>
                    <a:cs typeface="Times New Roman" panose="02020603050405020304" pitchFamily="18" charset="0"/>
                  </a:rPr>
                  <a:t>Residential</a:t>
                </a: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0.5" min="0"/>
        <cx:title>
          <cx:tx>
            <cx:rich>
              <a:bodyPr spcFirstLastPara="1" vertOverflow="ellipsis" horzOverflow="overflow" wrap="square" lIns="0" tIns="0" rIns="0" bIns="0" anchor="ctr" anchorCtr="1"/>
              <a:lstStyle/>
              <a:p>
                <a:pP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Nitrogen (mg N·L</a:t>
                </a:r>
                <a:r>
                  <a:rPr lang="en-US" sz="1200" b="0" i="0" u="none" strike="noStrike" kern="1200" baseline="3000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-1</a:t>
                </a: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a:t>
                </a:r>
                <a:endParaRPr lang="en-US" sz="1200">
                  <a:solidFill>
                    <a:sysClr val="windowText" lastClr="000000"/>
                  </a:solidFill>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0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r" align="min"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96.xml><?xml version="1.0" encoding="utf-8"?>
<cx:chartSpace xmlns:a="http://schemas.openxmlformats.org/drawingml/2006/main" xmlns:r="http://schemas.openxmlformats.org/officeDocument/2006/relationships" xmlns:cx="http://schemas.microsoft.com/office/drawing/2014/chartex">
  <cx:chartData>
    <cx:data id="0">
      <cx:strDim type="cat">
        <cx:f>_xlchart.v1.447</cx:f>
      </cx:strDim>
      <cx:numDim type="val">
        <cx:f>_xlchart.v1.446</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
              <cx:v>Orthophosphate</cx:v>
            </cx:txData>
          </cx:tx>
          <cx:spPr>
            <a:noFill/>
            <a:ln w="12700">
              <a:solidFill>
                <a:srgbClr val="5064E6">
                  <a:alpha val="97000"/>
                </a:srgbClr>
              </a:solidFill>
            </a:ln>
          </cx:spPr>
          <cx:dataId val="0"/>
          <cx:layoutPr>
            <cx:visibility meanLine="0" meanMarker="1" nonoutliers="1" outliers="1"/>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a:t>
                </a:r>
                <a:r>
                  <a:rPr lang="en-US" sz="1200" b="1" i="0" u="none" strike="noStrike" kern="1200" baseline="0">
                    <a:solidFill>
                      <a:srgbClr val="FF0000"/>
                    </a:solidFill>
                    <a:latin typeface="Times New Roman" panose="02020603050405020304" pitchFamily="18" charset="0"/>
                    <a:cs typeface="Times New Roman" panose="02020603050405020304" pitchFamily="18" charset="0"/>
                  </a:rPr>
                  <a:t>Residential</a:t>
                </a: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0.80000000000000004" min="0.20000000000000001"/>
        <cx:title>
          <cx:tx>
            <cx:rich>
              <a:bodyPr spcFirstLastPara="1" vertOverflow="ellipsis" horzOverflow="overflow" wrap="square" lIns="0" tIns="0" rIns="0" bIns="0" anchor="ctr" anchorCtr="1"/>
              <a:lstStyle/>
              <a:p>
                <a:pP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Orthophosphate (PO</a:t>
                </a:r>
                <a:r>
                  <a:rPr lang="en-US" sz="1200" b="0" i="0" u="none" strike="noStrike" kern="1200" baseline="-2500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4</a:t>
                </a:r>
                <a:r>
                  <a:rPr lang="en-US" sz="1200" b="0" i="0" u="none" strike="noStrike" kern="1200" baseline="3000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3-</a:t>
                </a: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·L</a:t>
                </a:r>
                <a:r>
                  <a:rPr lang="en-US" sz="1200" b="0" i="0" u="none" strike="noStrike" kern="1200" baseline="3000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-1</a:t>
                </a: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a:t>
                </a:r>
                <a:endParaRPr lang="en-US" sz="1200">
                  <a:solidFill>
                    <a:sysClr val="windowText" lastClr="000000"/>
                  </a:solidFill>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0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t" align="ctr"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97.xml><?xml version="1.0" encoding="utf-8"?>
<cx:chartSpace xmlns:a="http://schemas.openxmlformats.org/drawingml/2006/main" xmlns:r="http://schemas.openxmlformats.org/officeDocument/2006/relationships" xmlns:cx="http://schemas.microsoft.com/office/drawing/2014/chartex">
  <cx:chartData>
    <cx:data id="0">
      <cx:strDim type="cat">
        <cx:f>_xlchart.v1.449</cx:f>
      </cx:strDim>
      <cx:numDim type="val">
        <cx:f>_xlchart.v1.448</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
              <cx:v>pH</cx:v>
            </cx:txData>
          </cx:tx>
          <cx:spPr>
            <a:noFill/>
            <a:ln w="12700">
              <a:solidFill>
                <a:srgbClr val="5064E6">
                  <a:alpha val="97000"/>
                </a:srgbClr>
              </a:solidFill>
            </a:ln>
          </cx:spPr>
          <cx:dataId val="0"/>
          <cx:layoutPr>
            <cx:visibility meanLine="0" meanMarker="1" nonoutliers="1" outliers="1"/>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a:t>
                </a:r>
                <a:r>
                  <a:rPr lang="en-US" sz="1200" b="1" i="0" u="none" strike="noStrike" kern="1200" baseline="0">
                    <a:solidFill>
                      <a:srgbClr val="FF0000"/>
                    </a:solidFill>
                    <a:latin typeface="Times New Roman" panose="02020603050405020304" pitchFamily="18" charset="0"/>
                    <a:cs typeface="Times New Roman" panose="02020603050405020304" pitchFamily="18" charset="0"/>
                  </a:rPr>
                  <a:t>All sites</a:t>
                </a: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7.7999999999999998" min="6"/>
        <cx:title>
          <cx:tx>
            <cx:rich>
              <a:bodyPr spcFirstLastPara="1" vertOverflow="ellipsis" horzOverflow="overflow" wrap="square" lIns="0" tIns="0" rIns="0" bIns="0" anchor="ctr" anchorCtr="1"/>
              <a:lstStyle/>
              <a:p>
                <a:pP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pH</a:t>
                </a:r>
                <a:endParaRPr lang="en-US" sz="1200">
                  <a:solidFill>
                    <a:sysClr val="windowText" lastClr="000000"/>
                  </a:solidFill>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0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t" align="ctr"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98.xml><?xml version="1.0" encoding="utf-8"?>
<cx:chartSpace xmlns:a="http://schemas.openxmlformats.org/drawingml/2006/main" xmlns:r="http://schemas.openxmlformats.org/officeDocument/2006/relationships" xmlns:cx="http://schemas.microsoft.com/office/drawing/2014/chartex">
  <cx:chartData>
    <cx:data id="0">
      <cx:strDim type="cat">
        <cx:f>_xlchart.v1.464</cx:f>
      </cx:strDim>
      <cx:numDim type="val">
        <cx:f>_xlchart.v1.463</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
              <cx:v>Water Temperature</cx:v>
            </cx:txData>
          </cx:tx>
          <cx:spPr>
            <a:noFill/>
            <a:ln w="12700">
              <a:solidFill>
                <a:srgbClr val="5064E6">
                  <a:alpha val="97000"/>
                </a:srgbClr>
              </a:solidFill>
            </a:ln>
          </cx:spPr>
          <cx:dataId val="0"/>
          <cx:layoutPr>
            <cx:visibility meanLine="0" meanMarker="1" nonoutliers="1" outliers="1"/>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a:t>
                </a:r>
                <a:r>
                  <a:rPr lang="en-US" sz="1200" b="1" i="0" u="none" strike="noStrike" kern="1200" baseline="0">
                    <a:solidFill>
                      <a:srgbClr val="FF0000"/>
                    </a:solidFill>
                    <a:latin typeface="Times New Roman" panose="02020603050405020304" pitchFamily="18" charset="0"/>
                    <a:cs typeface="Times New Roman" panose="02020603050405020304" pitchFamily="18" charset="0"/>
                  </a:rPr>
                  <a:t>All sites</a:t>
                </a: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34" min="18"/>
        <cx:title>
          <cx:tx>
            <cx:rich>
              <a:bodyPr spcFirstLastPara="1" vertOverflow="ellipsis" horzOverflow="overflow" wrap="square" lIns="0" tIns="0" rIns="0" bIns="0" anchor="ctr" anchorCtr="1"/>
              <a:lstStyle/>
              <a:p>
                <a:pP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Water temperature (°C)</a:t>
                </a:r>
                <a:endParaRPr lang="en-US" sz="1200">
                  <a:solidFill>
                    <a:sysClr val="windowText" lastClr="000000"/>
                  </a:solidFill>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r" align="min"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hartEx99.xml><?xml version="1.0" encoding="utf-8"?>
<cx:chartSpace xmlns:a="http://schemas.openxmlformats.org/drawingml/2006/main" xmlns:r="http://schemas.openxmlformats.org/officeDocument/2006/relationships" xmlns:cx="http://schemas.microsoft.com/office/drawing/2014/chartex">
  <cx:chartData>
    <cx:data id="0">
      <cx:strDim type="cat">
        <cx:f>_xlchart.v1.457</cx:f>
      </cx:strDim>
      <cx:numDim type="val">
        <cx:f>_xlchart.v1.454</cx:f>
      </cx:numDim>
    </cx:data>
    <cx:data id="1">
      <cx:strDim type="cat">
        <cx:f>_xlchart.v1.457</cx:f>
      </cx:strDim>
      <cx:numDim type="val">
        <cx:f>_xlchart.v1.455</cx:f>
      </cx:numDim>
    </cx:data>
    <cx:data id="2">
      <cx:strDim type="cat">
        <cx:f>_xlchart.v1.457</cx:f>
      </cx:strDim>
      <cx:numDim type="val">
        <cx:f>_xlchart.v1.456</cx:f>
      </cx:numDim>
    </cx:data>
  </cx:chartData>
  <cx:chart>
    <cx:plotArea>
      <cx:plotAreaRegion>
        <cx:plotSurface>
          <cx:spPr>
            <a:noFill/>
            <a:ln w="12700">
              <a:solidFill>
                <a:schemeClr val="tx1">
                  <a:alpha val="98000"/>
                </a:schemeClr>
              </a:solidFill>
            </a:ln>
          </cx:spPr>
        </cx:plotSurface>
        <cx:series layoutId="boxWhisker" uniqueId="{8DD83AFB-E4D6-481D-86C8-BE69C9BBEE7C}" formatIdx="0">
          <cx:tx>
            <cx:txData>
              <cx:f/>
              <cx:v>Free chlorine</cx:v>
            </cx:txData>
          </cx:tx>
          <cx:spPr>
            <a:noFill/>
            <a:ln w="12700">
              <a:solidFill>
                <a:srgbClr val="5064E6">
                  <a:alpha val="97000"/>
                </a:srgbClr>
              </a:solidFill>
            </a:ln>
          </cx:spPr>
          <cx:dataId val="0"/>
          <cx:layoutPr>
            <cx:visibility meanLine="0" meanMarker="1" nonoutliers="1" outliers="1"/>
            <cx:statistics quartileMethod="inclusive"/>
          </cx:layoutPr>
        </cx:series>
        <cx:series layoutId="boxWhisker" uniqueId="{00000000-13A6-46AF-97B2-7219B81DFFC0}">
          <cx:tx>
            <cx:txData>
              <cx:f/>
              <cx:v>Monochloramine</cx:v>
            </cx:txData>
          </cx:tx>
          <cx:spPr>
            <a:noFill/>
            <a:ln w="12700">
              <a:solidFill>
                <a:srgbClr val="F04646"/>
              </a:solidFill>
            </a:ln>
          </cx:spPr>
          <cx:dataId val="1"/>
          <cx:layoutPr>
            <cx:statistics quartileMethod="inclusive"/>
          </cx:layoutPr>
        </cx:series>
        <cx:series layoutId="boxWhisker" uniqueId="{00000001-13A6-46AF-97B2-7219B81DFFC0}">
          <cx:tx>
            <cx:txData>
              <cx:f/>
              <cx:v>Total chlorine</cx:v>
            </cx:txData>
          </cx:tx>
          <cx:spPr>
            <a:noFill/>
            <a:ln w="12700">
              <a:solidFill>
                <a:schemeClr val="tx1"/>
              </a:solidFill>
            </a:ln>
          </cx:spPr>
          <cx:dataId val="2"/>
          <cx:layoutPr>
            <cx:statistics quartileMethod="inclusive"/>
          </cx:layoutPr>
        </cx:series>
      </cx:plotAreaRegion>
      <cx:axis id="0">
        <cx:catScaling gapWidth="0.200000003"/>
        <cx:title>
          <cx:tx>
            <cx:rich>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rPr>
                  <a:t>Sampling site--</a:t>
                </a:r>
                <a:r>
                  <a:rPr lang="en-US" sz="1200" b="1" i="0" u="none" strike="noStrike" kern="1200" baseline="0">
                    <a:solidFill>
                      <a:srgbClr val="FF0000"/>
                    </a:solidFill>
                    <a:latin typeface="Times New Roman" panose="02020603050405020304" pitchFamily="18" charset="0"/>
                    <a:cs typeface="Times New Roman" panose="02020603050405020304" pitchFamily="18" charset="0"/>
                  </a:rPr>
                  <a:t>All sites</a:t>
                </a:r>
              </a:p>
            </cx:rich>
          </cx:tx>
        </cx:title>
        <cx:majorTickMarks type="out"/>
        <cx:minorTickMarks type="in"/>
        <cx:tickLabels/>
        <cx:numFmt formatCode="General" sourceLinked="0"/>
        <cx:spPr>
          <a:ln w="6350">
            <a:solidFill>
              <a:schemeClr val="tx1"/>
            </a:solidFill>
          </a:ln>
        </cx:spPr>
        <cx:txPr>
          <a:bodyPr spcFirstLastPara="1" vertOverflow="ellipsis" horzOverflow="overflow" wrap="square" lIns="0" tIns="0" rIns="0" bIns="0" anchor="ctr" anchorCtr="1"/>
          <a:lstStyle/>
          <a:p>
            <a:pPr algn="ct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b="0" i="0" u="none" strike="noStrike" kern="1200" baseline="0">
              <a:solidFill>
                <a:sysClr val="windowText" lastClr="000000"/>
              </a:solidFill>
              <a:latin typeface="Times New Roman" panose="02020603050405020304" pitchFamily="18" charset="0"/>
              <a:cs typeface="Times New Roman" panose="02020603050405020304" pitchFamily="18" charset="0"/>
            </a:endParaRPr>
          </a:p>
        </cx:txPr>
      </cx:axis>
      <cx:axis id="1">
        <cx:valScaling max="4.0999999999999996" min="0"/>
        <cx:title>
          <cx:tx>
            <cx:rich>
              <a:bodyPr spcFirstLastPara="1" vertOverflow="ellipsis" horzOverflow="overflow" wrap="square" lIns="0" tIns="0" rIns="0" bIns="0" anchor="ctr" anchorCtr="1"/>
              <a:lstStyle/>
              <a:p>
                <a:pPr rtl="0">
                  <a:defRPr sz="120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Chlorine (mg Cl</a:t>
                </a:r>
                <a:r>
                  <a:rPr lang="en-US" sz="1200" b="0" i="0" u="none" strike="noStrike" kern="1200" baseline="-2500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2</a:t>
                </a: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·L</a:t>
                </a:r>
                <a:r>
                  <a:rPr lang="en-US" sz="1200" b="0" i="0" u="none" strike="noStrike" kern="1200" baseline="3000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-1</a:t>
                </a:r>
                <a:r>
                  <a:rPr lang="en-US" sz="1200" b="0" i="0" u="none" strike="noStrike" kern="1200" baseline="0">
                    <a:solidFill>
                      <a:sysClr val="windowText" lastClr="000000"/>
                    </a:solidFill>
                    <a:effectLst/>
                    <a:latin typeface="Times New Roman" panose="02020603050405020304" pitchFamily="18" charset="0"/>
                    <a:ea typeface="Calibri" panose="020F0502020204030204" pitchFamily="34" charset="0"/>
                    <a:cs typeface="Times New Roman" panose="02020603050405020304" pitchFamily="18" charset="0"/>
                  </a:rPr>
                  <a:t>)</a:t>
                </a:r>
                <a:endParaRPr lang="en-US" sz="1200">
                  <a:solidFill>
                    <a:sysClr val="windowText" lastClr="000000"/>
                  </a:solidFill>
                  <a:effectLst/>
                  <a:latin typeface="Times New Roman" panose="02020603050405020304" pitchFamily="18" charset="0"/>
                  <a:cs typeface="Times New Roman" panose="02020603050405020304" pitchFamily="18" charset="0"/>
                </a:endParaRPr>
              </a:p>
            </cx:rich>
          </cx:tx>
        </cx:title>
        <cx:majorTickMarks type="out"/>
        <cx:minorTickMarks type="in"/>
        <cx:tickLabels/>
        <cx:numFmt formatCode="0.0" sourceLinked="0"/>
        <cx:spPr>
          <a:ln w="6350">
            <a:solidFill>
              <a:schemeClr val="tx1"/>
            </a:solidFill>
          </a:ln>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axis>
    </cx:plotArea>
    <cx:legend pos="r" align="min" overlay="1">
      <cx:spPr>
        <a:noFill/>
      </cx:spPr>
      <cx:txPr>
        <a:bodyPr vertOverflow="overflow" horzOverflow="overflow" wrap="square" lIns="0" tIns="0" rIns="0" bIns="0"/>
        <a:lstStyle/>
        <a:p>
          <a:pPr algn="ctr" rtl="0">
            <a:defRPr sz="1200" b="0" i="0">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1200">
            <a:solidFill>
              <a:sysClr val="windowText" lastClr="000000"/>
            </a:solidFill>
            <a:latin typeface="Times New Roman" panose="02020603050405020304" pitchFamily="18" charset="0"/>
            <a:cs typeface="Times New Roman" panose="02020603050405020304" pitchFamily="18" charset="0"/>
          </a:endParaRPr>
        </a:p>
      </cx:txPr>
    </cx:legend>
  </cx:chart>
  <cx:spPr>
    <a:solidFill>
      <a:schemeClr val="bg1"/>
    </a:solidFill>
    <a:ln>
      <a:solidFill>
        <a:srgbClr val="FF0000"/>
      </a:solid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8" Type="http://schemas.microsoft.com/office/2014/relationships/chartEx" Target="../charts/chartEx8.xml"/><Relationship Id="rId13" Type="http://schemas.microsoft.com/office/2014/relationships/chartEx" Target="../charts/chartEx13.xml"/><Relationship Id="rId3" Type="http://schemas.microsoft.com/office/2014/relationships/chartEx" Target="../charts/chartEx3.xml"/><Relationship Id="rId7" Type="http://schemas.microsoft.com/office/2014/relationships/chartEx" Target="../charts/chartEx7.xml"/><Relationship Id="rId12" Type="http://schemas.microsoft.com/office/2014/relationships/chartEx" Target="../charts/chartEx12.xml"/><Relationship Id="rId2" Type="http://schemas.microsoft.com/office/2014/relationships/chartEx" Target="../charts/chartEx2.xml"/><Relationship Id="rId16" Type="http://schemas.microsoft.com/office/2014/relationships/chartEx" Target="../charts/chartEx16.xml"/><Relationship Id="rId1" Type="http://schemas.microsoft.com/office/2014/relationships/chartEx" Target="../charts/chartEx1.xml"/><Relationship Id="rId6" Type="http://schemas.microsoft.com/office/2014/relationships/chartEx" Target="../charts/chartEx6.xml"/><Relationship Id="rId11" Type="http://schemas.microsoft.com/office/2014/relationships/chartEx" Target="../charts/chartEx11.xml"/><Relationship Id="rId5" Type="http://schemas.microsoft.com/office/2014/relationships/chartEx" Target="../charts/chartEx5.xml"/><Relationship Id="rId15" Type="http://schemas.microsoft.com/office/2014/relationships/chartEx" Target="../charts/chartEx15.xml"/><Relationship Id="rId10" Type="http://schemas.microsoft.com/office/2014/relationships/chartEx" Target="../charts/chartEx10.xml"/><Relationship Id="rId4" Type="http://schemas.microsoft.com/office/2014/relationships/chartEx" Target="../charts/chartEx4.xml"/><Relationship Id="rId9" Type="http://schemas.microsoft.com/office/2014/relationships/chartEx" Target="../charts/chartEx9.xml"/><Relationship Id="rId14" Type="http://schemas.microsoft.com/office/2014/relationships/chartEx" Target="../charts/chartEx14.xml"/></Relationships>
</file>

<file path=xl/drawings/_rels/drawing4.xml.rels><?xml version="1.0" encoding="UTF-8" standalone="yes"?>
<Relationships xmlns="http://schemas.openxmlformats.org/package/2006/relationships"><Relationship Id="rId8" Type="http://schemas.microsoft.com/office/2014/relationships/chartEx" Target="../charts/chartEx24.xml"/><Relationship Id="rId3" Type="http://schemas.microsoft.com/office/2014/relationships/chartEx" Target="../charts/chartEx19.xml"/><Relationship Id="rId7" Type="http://schemas.microsoft.com/office/2014/relationships/chartEx" Target="../charts/chartEx23.xml"/><Relationship Id="rId2" Type="http://schemas.microsoft.com/office/2014/relationships/chartEx" Target="../charts/chartEx18.xml"/><Relationship Id="rId1" Type="http://schemas.microsoft.com/office/2014/relationships/chartEx" Target="../charts/chartEx17.xml"/><Relationship Id="rId6" Type="http://schemas.microsoft.com/office/2014/relationships/chartEx" Target="../charts/chartEx22.xml"/><Relationship Id="rId5" Type="http://schemas.microsoft.com/office/2014/relationships/chartEx" Target="../charts/chartEx21.xml"/><Relationship Id="rId4" Type="http://schemas.microsoft.com/office/2014/relationships/chartEx" Target="../charts/chartEx20.xml"/></Relationships>
</file>

<file path=xl/drawings/_rels/drawing5.xml.rels><?xml version="1.0" encoding="UTF-8" standalone="yes"?>
<Relationships xmlns="http://schemas.openxmlformats.org/package/2006/relationships"><Relationship Id="rId8" Type="http://schemas.microsoft.com/office/2014/relationships/chartEx" Target="../charts/chartEx29.xml"/><Relationship Id="rId13" Type="http://schemas.microsoft.com/office/2014/relationships/chartEx" Target="../charts/chartEx33.xml"/><Relationship Id="rId18" Type="http://schemas.microsoft.com/office/2014/relationships/chartEx" Target="../charts/chartEx38.xml"/><Relationship Id="rId26" Type="http://schemas.microsoft.com/office/2014/relationships/chartEx" Target="../charts/chartEx42.xml"/><Relationship Id="rId3" Type="http://schemas.microsoft.com/office/2014/relationships/chartEx" Target="../charts/chartEx26.xml"/><Relationship Id="rId21" Type="http://schemas.openxmlformats.org/officeDocument/2006/relationships/chart" Target="../charts/chart8.xml"/><Relationship Id="rId7" Type="http://schemas.openxmlformats.org/officeDocument/2006/relationships/chart" Target="../charts/chart4.xml"/><Relationship Id="rId12" Type="http://schemas.microsoft.com/office/2014/relationships/chartEx" Target="../charts/chartEx32.xml"/><Relationship Id="rId17" Type="http://schemas.microsoft.com/office/2014/relationships/chartEx" Target="../charts/chartEx37.xml"/><Relationship Id="rId25" Type="http://schemas.microsoft.com/office/2014/relationships/chartEx" Target="../charts/chartEx41.xml"/><Relationship Id="rId2" Type="http://schemas.microsoft.com/office/2014/relationships/chartEx" Target="../charts/chartEx25.xml"/><Relationship Id="rId16" Type="http://schemas.microsoft.com/office/2014/relationships/chartEx" Target="../charts/chartEx36.xml"/><Relationship Id="rId20" Type="http://schemas.openxmlformats.org/officeDocument/2006/relationships/chart" Target="../charts/chart7.xml"/><Relationship Id="rId29" Type="http://schemas.microsoft.com/office/2014/relationships/chartEx" Target="../charts/chartEx45.xml"/><Relationship Id="rId1" Type="http://schemas.openxmlformats.org/officeDocument/2006/relationships/chart" Target="../charts/chart2.xml"/><Relationship Id="rId6" Type="http://schemas.microsoft.com/office/2014/relationships/chartEx" Target="../charts/chartEx28.xml"/><Relationship Id="rId11" Type="http://schemas.microsoft.com/office/2014/relationships/chartEx" Target="../charts/chartEx31.xml"/><Relationship Id="rId24" Type="http://schemas.openxmlformats.org/officeDocument/2006/relationships/chart" Target="../charts/chart9.xml"/><Relationship Id="rId5" Type="http://schemas.microsoft.com/office/2014/relationships/chartEx" Target="../charts/chartEx27.xml"/><Relationship Id="rId15" Type="http://schemas.microsoft.com/office/2014/relationships/chartEx" Target="../charts/chartEx35.xml"/><Relationship Id="rId23" Type="http://schemas.microsoft.com/office/2014/relationships/chartEx" Target="../charts/chartEx40.xml"/><Relationship Id="rId28" Type="http://schemas.microsoft.com/office/2014/relationships/chartEx" Target="../charts/chartEx44.xml"/><Relationship Id="rId10" Type="http://schemas.openxmlformats.org/officeDocument/2006/relationships/chart" Target="../charts/chart5.xml"/><Relationship Id="rId19" Type="http://schemas.openxmlformats.org/officeDocument/2006/relationships/chart" Target="../charts/chart6.xml"/><Relationship Id="rId4" Type="http://schemas.openxmlformats.org/officeDocument/2006/relationships/chart" Target="../charts/chart3.xml"/><Relationship Id="rId9" Type="http://schemas.microsoft.com/office/2014/relationships/chartEx" Target="../charts/chartEx30.xml"/><Relationship Id="rId14" Type="http://schemas.microsoft.com/office/2014/relationships/chartEx" Target="../charts/chartEx34.xml"/><Relationship Id="rId22" Type="http://schemas.microsoft.com/office/2014/relationships/chartEx" Target="../charts/chartEx39.xml"/><Relationship Id="rId27" Type="http://schemas.microsoft.com/office/2014/relationships/chartEx" Target="../charts/chartEx43.xml"/><Relationship Id="rId30" Type="http://schemas.microsoft.com/office/2014/relationships/chartEx" Target="../charts/chartEx46.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7.xml.rels><?xml version="1.0" encoding="UTF-8" standalone="yes"?>
<Relationships xmlns="http://schemas.openxmlformats.org/package/2006/relationships"><Relationship Id="rId13" Type="http://schemas.microsoft.com/office/2014/relationships/chartEx" Target="../charts/chartEx53.xml"/><Relationship Id="rId18" Type="http://schemas.openxmlformats.org/officeDocument/2006/relationships/chart" Target="../charts/chart20.xml"/><Relationship Id="rId26" Type="http://schemas.openxmlformats.org/officeDocument/2006/relationships/chart" Target="../charts/chart23.xml"/><Relationship Id="rId39" Type="http://schemas.openxmlformats.org/officeDocument/2006/relationships/chart" Target="../charts/chart26.xml"/><Relationship Id="rId21" Type="http://schemas.microsoft.com/office/2014/relationships/chartEx" Target="../charts/chartEx58.xml"/><Relationship Id="rId34" Type="http://schemas.microsoft.com/office/2014/relationships/chartEx" Target="../charts/chartEx68.xml"/><Relationship Id="rId42" Type="http://schemas.microsoft.com/office/2014/relationships/chartEx" Target="../charts/chartEx73.xml"/><Relationship Id="rId47" Type="http://schemas.openxmlformats.org/officeDocument/2006/relationships/chart" Target="../charts/chart29.xml"/><Relationship Id="rId50" Type="http://schemas.microsoft.com/office/2014/relationships/chartEx" Target="../charts/chartEx78.xml"/><Relationship Id="rId55" Type="http://schemas.openxmlformats.org/officeDocument/2006/relationships/chart" Target="../charts/chart32.xml"/><Relationship Id="rId63" Type="http://schemas.openxmlformats.org/officeDocument/2006/relationships/chart" Target="../charts/chart35.xml"/><Relationship Id="rId68" Type="http://schemas.microsoft.com/office/2014/relationships/chartEx" Target="../charts/chartEx90.xml"/><Relationship Id="rId76" Type="http://schemas.microsoft.com/office/2014/relationships/chartEx" Target="../charts/chartEx98.xml"/><Relationship Id="rId7" Type="http://schemas.microsoft.com/office/2014/relationships/chartEx" Target="../charts/chartEx50.xml"/><Relationship Id="rId71" Type="http://schemas.microsoft.com/office/2014/relationships/chartEx" Target="../charts/chartEx93.xml"/><Relationship Id="rId2" Type="http://schemas.openxmlformats.org/officeDocument/2006/relationships/chart" Target="../charts/chart14.xml"/><Relationship Id="rId16" Type="http://schemas.microsoft.com/office/2014/relationships/chartEx" Target="../charts/chartEx56.xml"/><Relationship Id="rId29" Type="http://schemas.microsoft.com/office/2014/relationships/chartEx" Target="../charts/chartEx63.xml"/><Relationship Id="rId11" Type="http://schemas.openxmlformats.org/officeDocument/2006/relationships/chart" Target="../charts/chart18.xml"/><Relationship Id="rId24" Type="http://schemas.microsoft.com/office/2014/relationships/chartEx" Target="../charts/chartEx61.xml"/><Relationship Id="rId32" Type="http://schemas.microsoft.com/office/2014/relationships/chartEx" Target="../charts/chartEx66.xml"/><Relationship Id="rId37" Type="http://schemas.microsoft.com/office/2014/relationships/chartEx" Target="../charts/chartEx71.xml"/><Relationship Id="rId40" Type="http://schemas.openxmlformats.org/officeDocument/2006/relationships/chart" Target="../charts/chart27.xml"/><Relationship Id="rId45" Type="http://schemas.microsoft.com/office/2014/relationships/chartEx" Target="../charts/chartEx76.xml"/><Relationship Id="rId53" Type="http://schemas.microsoft.com/office/2014/relationships/chartEx" Target="../charts/chartEx81.xml"/><Relationship Id="rId58" Type="http://schemas.microsoft.com/office/2014/relationships/chartEx" Target="../charts/chartEx83.xml"/><Relationship Id="rId66" Type="http://schemas.microsoft.com/office/2014/relationships/chartEx" Target="../charts/chartEx88.xml"/><Relationship Id="rId74" Type="http://schemas.microsoft.com/office/2014/relationships/chartEx" Target="../charts/chartEx96.xml"/><Relationship Id="rId79" Type="http://schemas.microsoft.com/office/2014/relationships/chartEx" Target="../charts/chartEx101.xml"/><Relationship Id="rId5" Type="http://schemas.microsoft.com/office/2014/relationships/chartEx" Target="../charts/chartEx48.xml"/><Relationship Id="rId61" Type="http://schemas.microsoft.com/office/2014/relationships/chartEx" Target="../charts/chartEx86.xml"/><Relationship Id="rId10" Type="http://schemas.openxmlformats.org/officeDocument/2006/relationships/chart" Target="../charts/chart17.xml"/><Relationship Id="rId19" Type="http://schemas.openxmlformats.org/officeDocument/2006/relationships/chart" Target="../charts/chart21.xml"/><Relationship Id="rId31" Type="http://schemas.microsoft.com/office/2014/relationships/chartEx" Target="../charts/chartEx65.xml"/><Relationship Id="rId44" Type="http://schemas.microsoft.com/office/2014/relationships/chartEx" Target="../charts/chartEx75.xml"/><Relationship Id="rId52" Type="http://schemas.microsoft.com/office/2014/relationships/chartEx" Target="../charts/chartEx80.xml"/><Relationship Id="rId60" Type="http://schemas.microsoft.com/office/2014/relationships/chartEx" Target="../charts/chartEx85.xml"/><Relationship Id="rId65" Type="http://schemas.microsoft.com/office/2014/relationships/chartEx" Target="../charts/chartEx87.xml"/><Relationship Id="rId73" Type="http://schemas.microsoft.com/office/2014/relationships/chartEx" Target="../charts/chartEx95.xml"/><Relationship Id="rId78" Type="http://schemas.microsoft.com/office/2014/relationships/chartEx" Target="../charts/chartEx100.xml"/><Relationship Id="rId4" Type="http://schemas.microsoft.com/office/2014/relationships/chartEx" Target="../charts/chartEx47.xml"/><Relationship Id="rId9" Type="http://schemas.openxmlformats.org/officeDocument/2006/relationships/chart" Target="../charts/chart16.xml"/><Relationship Id="rId14" Type="http://schemas.microsoft.com/office/2014/relationships/chartEx" Target="../charts/chartEx54.xml"/><Relationship Id="rId22" Type="http://schemas.microsoft.com/office/2014/relationships/chartEx" Target="../charts/chartEx59.xml"/><Relationship Id="rId27" Type="http://schemas.openxmlformats.org/officeDocument/2006/relationships/chart" Target="../charts/chart24.xml"/><Relationship Id="rId30" Type="http://schemas.microsoft.com/office/2014/relationships/chartEx" Target="../charts/chartEx64.xml"/><Relationship Id="rId35" Type="http://schemas.microsoft.com/office/2014/relationships/chartEx" Target="../charts/chartEx69.xml"/><Relationship Id="rId43" Type="http://schemas.microsoft.com/office/2014/relationships/chartEx" Target="../charts/chartEx74.xml"/><Relationship Id="rId48" Type="http://schemas.openxmlformats.org/officeDocument/2006/relationships/chart" Target="../charts/chart30.xml"/><Relationship Id="rId56" Type="http://schemas.openxmlformats.org/officeDocument/2006/relationships/chart" Target="../charts/chart33.xml"/><Relationship Id="rId64" Type="http://schemas.openxmlformats.org/officeDocument/2006/relationships/chart" Target="../charts/chart36.xml"/><Relationship Id="rId69" Type="http://schemas.microsoft.com/office/2014/relationships/chartEx" Target="../charts/chartEx91.xml"/><Relationship Id="rId77" Type="http://schemas.microsoft.com/office/2014/relationships/chartEx" Target="../charts/chartEx99.xml"/><Relationship Id="rId8" Type="http://schemas.microsoft.com/office/2014/relationships/chartEx" Target="../charts/chartEx51.xml"/><Relationship Id="rId51" Type="http://schemas.microsoft.com/office/2014/relationships/chartEx" Target="../charts/chartEx79.xml"/><Relationship Id="rId72" Type="http://schemas.microsoft.com/office/2014/relationships/chartEx" Target="../charts/chartEx94.xml"/><Relationship Id="rId3" Type="http://schemas.openxmlformats.org/officeDocument/2006/relationships/chart" Target="../charts/chart15.xml"/><Relationship Id="rId12" Type="http://schemas.microsoft.com/office/2014/relationships/chartEx" Target="../charts/chartEx52.xml"/><Relationship Id="rId17" Type="http://schemas.openxmlformats.org/officeDocument/2006/relationships/chart" Target="../charts/chart19.xml"/><Relationship Id="rId25" Type="http://schemas.openxmlformats.org/officeDocument/2006/relationships/chart" Target="../charts/chart22.xml"/><Relationship Id="rId33" Type="http://schemas.microsoft.com/office/2014/relationships/chartEx" Target="../charts/chartEx67.xml"/><Relationship Id="rId38" Type="http://schemas.openxmlformats.org/officeDocument/2006/relationships/chart" Target="../charts/chart25.xml"/><Relationship Id="rId46" Type="http://schemas.openxmlformats.org/officeDocument/2006/relationships/chart" Target="../charts/chart28.xml"/><Relationship Id="rId59" Type="http://schemas.microsoft.com/office/2014/relationships/chartEx" Target="../charts/chartEx84.xml"/><Relationship Id="rId67" Type="http://schemas.microsoft.com/office/2014/relationships/chartEx" Target="../charts/chartEx89.xml"/><Relationship Id="rId20" Type="http://schemas.microsoft.com/office/2014/relationships/chartEx" Target="../charts/chartEx57.xml"/><Relationship Id="rId41" Type="http://schemas.microsoft.com/office/2014/relationships/chartEx" Target="../charts/chartEx72.xml"/><Relationship Id="rId54" Type="http://schemas.openxmlformats.org/officeDocument/2006/relationships/chart" Target="../charts/chart31.xml"/><Relationship Id="rId62" Type="http://schemas.openxmlformats.org/officeDocument/2006/relationships/chart" Target="../charts/chart34.xml"/><Relationship Id="rId70" Type="http://schemas.microsoft.com/office/2014/relationships/chartEx" Target="../charts/chartEx92.xml"/><Relationship Id="rId75" Type="http://schemas.microsoft.com/office/2014/relationships/chartEx" Target="../charts/chartEx97.xml"/><Relationship Id="rId1" Type="http://schemas.openxmlformats.org/officeDocument/2006/relationships/chart" Target="../charts/chart13.xml"/><Relationship Id="rId6" Type="http://schemas.microsoft.com/office/2014/relationships/chartEx" Target="../charts/chartEx49.xml"/><Relationship Id="rId15" Type="http://schemas.microsoft.com/office/2014/relationships/chartEx" Target="../charts/chartEx55.xml"/><Relationship Id="rId23" Type="http://schemas.microsoft.com/office/2014/relationships/chartEx" Target="../charts/chartEx60.xml"/><Relationship Id="rId28" Type="http://schemas.microsoft.com/office/2014/relationships/chartEx" Target="../charts/chartEx62.xml"/><Relationship Id="rId36" Type="http://schemas.microsoft.com/office/2014/relationships/chartEx" Target="../charts/chartEx70.xml"/><Relationship Id="rId49" Type="http://schemas.microsoft.com/office/2014/relationships/chartEx" Target="../charts/chartEx77.xml"/><Relationship Id="rId57" Type="http://schemas.microsoft.com/office/2014/relationships/chartEx" Target="../charts/chartEx82.xml"/></Relationships>
</file>

<file path=xl/drawings/_rels/drawing8.xml.rels><?xml version="1.0" encoding="UTF-8" standalone="yes"?>
<Relationships xmlns="http://schemas.openxmlformats.org/package/2006/relationships"><Relationship Id="rId3" Type="http://schemas.microsoft.com/office/2014/relationships/chartEx" Target="../charts/chartEx104.xml"/><Relationship Id="rId2" Type="http://schemas.microsoft.com/office/2014/relationships/chartEx" Target="../charts/chartEx103.xml"/><Relationship Id="rId1" Type="http://schemas.microsoft.com/office/2014/relationships/chartEx" Target="../charts/chartEx102.xml"/><Relationship Id="rId4" Type="http://schemas.microsoft.com/office/2014/relationships/chartEx" Target="../charts/chartEx105.xml"/></Relationships>
</file>

<file path=xl/drawings/drawing1.xml><?xml version="1.0" encoding="utf-8"?>
<xdr:wsDr xmlns:xdr="http://schemas.openxmlformats.org/drawingml/2006/spreadsheetDrawing" xmlns:a="http://schemas.openxmlformats.org/drawingml/2006/main">
  <xdr:twoCellAnchor>
    <xdr:from>
      <xdr:col>9</xdr:col>
      <xdr:colOff>76843</xdr:colOff>
      <xdr:row>1</xdr:row>
      <xdr:rowOff>38422</xdr:rowOff>
    </xdr:from>
    <xdr:to>
      <xdr:col>18</xdr:col>
      <xdr:colOff>299677</xdr:colOff>
      <xdr:row>22</xdr:row>
      <xdr:rowOff>53788</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530198</xdr:colOff>
      <xdr:row>10</xdr:row>
      <xdr:rowOff>30736</xdr:rowOff>
    </xdr:from>
    <xdr:to>
      <xdr:col>14</xdr:col>
      <xdr:colOff>607038</xdr:colOff>
      <xdr:row>13</xdr:row>
      <xdr:rowOff>7684</xdr:rowOff>
    </xdr:to>
    <xdr:cxnSp macro="">
      <xdr:nvCxnSpPr>
        <xdr:cNvPr id="8" name="Straight Arrow Connector 7">
          <a:extLst>
            <a:ext uri="{FF2B5EF4-FFF2-40B4-BE49-F238E27FC236}">
              <a16:creationId xmlns:a16="http://schemas.microsoft.com/office/drawing/2014/main" id="{00000000-0008-0000-0500-000008000000}"/>
            </a:ext>
          </a:extLst>
        </xdr:cNvPr>
        <xdr:cNvCxnSpPr/>
      </xdr:nvCxnSpPr>
      <xdr:spPr>
        <a:xfrm flipH="1">
          <a:off x="12086985" y="2289842"/>
          <a:ext cx="76840" cy="630091"/>
        </a:xfrm>
        <a:prstGeom prst="straightConnector1">
          <a:avLst/>
        </a:prstGeom>
        <a:ln w="9525">
          <a:solidFill>
            <a:srgbClr val="5064E6"/>
          </a:solidFill>
          <a:tailEnd type="stealth" w="lg" len="lg"/>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c:userShapes xmlns:c="http://schemas.openxmlformats.org/drawingml/2006/chart">
  <cdr:relSizeAnchor xmlns:cdr="http://schemas.openxmlformats.org/drawingml/2006/chartDrawing">
    <cdr:from>
      <cdr:x>0.58576</cdr:x>
      <cdr:y>0.57022</cdr:y>
    </cdr:from>
    <cdr:to>
      <cdr:x>0.80908</cdr:x>
      <cdr:y>0.62564</cdr:y>
    </cdr:to>
    <cdr:sp macro="" textlink="">
      <cdr:nvSpPr>
        <cdr:cNvPr id="2" name="TextBox 1">
          <a:extLst xmlns:a="http://schemas.openxmlformats.org/drawingml/2006/main">
            <a:ext uri="{FF2B5EF4-FFF2-40B4-BE49-F238E27FC236}">
              <a16:creationId xmlns:a16="http://schemas.microsoft.com/office/drawing/2014/main" id="{AA66489F-775B-4D51-9258-A40E8A9D0702}"/>
            </a:ext>
          </a:extLst>
        </cdr:cNvPr>
        <cdr:cNvSpPr txBox="1"/>
      </cdr:nvSpPr>
      <cdr:spPr>
        <a:xfrm xmlns:a="http://schemas.openxmlformats.org/drawingml/2006/main">
          <a:off x="3371275" y="2589518"/>
          <a:ext cx="1285246" cy="25168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i="1">
              <a:solidFill>
                <a:srgbClr val="5064E6"/>
              </a:solidFill>
              <a:effectLst/>
              <a:latin typeface="Times New Roman" panose="02020603050405020304" pitchFamily="18" charset="0"/>
              <a:cs typeface="Times New Roman" panose="02020603050405020304" pitchFamily="18" charset="0"/>
            </a:rPr>
            <a:t>Mycobacterium</a:t>
          </a:r>
          <a:endParaRPr lang="en-US" sz="1200">
            <a:solidFill>
              <a:srgbClr val="5064E6"/>
            </a:solidFill>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0.65032</cdr:x>
      <cdr:y>0.3202</cdr:y>
    </cdr:from>
    <cdr:to>
      <cdr:x>0.90148</cdr:x>
      <cdr:y>0.37313</cdr:y>
    </cdr:to>
    <cdr:sp macro="" textlink="">
      <cdr:nvSpPr>
        <cdr:cNvPr id="3" name="TextBox 1">
          <a:extLst xmlns:a="http://schemas.openxmlformats.org/drawingml/2006/main">
            <a:ext uri="{FF2B5EF4-FFF2-40B4-BE49-F238E27FC236}">
              <a16:creationId xmlns:a16="http://schemas.microsoft.com/office/drawing/2014/main" id="{7068DAD3-532C-4D21-9F3B-402BAF3618D9}"/>
            </a:ext>
          </a:extLst>
        </cdr:cNvPr>
        <cdr:cNvSpPr txBox="1"/>
      </cdr:nvSpPr>
      <cdr:spPr>
        <a:xfrm xmlns:a="http://schemas.openxmlformats.org/drawingml/2006/main">
          <a:off x="3742838" y="1454102"/>
          <a:ext cx="1445510" cy="24036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i="1">
              <a:solidFill>
                <a:srgbClr val="5064E6"/>
              </a:solidFill>
              <a:effectLst/>
              <a:latin typeface="Times New Roman" panose="02020603050405020304" pitchFamily="18" charset="0"/>
              <a:cs typeface="Times New Roman" panose="02020603050405020304" pitchFamily="18" charset="0"/>
            </a:rPr>
            <a:t>V. vermiformis</a:t>
          </a:r>
          <a:endParaRPr lang="en-US" sz="1200">
            <a:solidFill>
              <a:srgbClr val="5064E6"/>
            </a:solidFill>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0.40053</cdr:x>
      <cdr:y>0.46024</cdr:y>
    </cdr:from>
    <cdr:to>
      <cdr:x>0.56207</cdr:x>
      <cdr:y>0.51438</cdr:y>
    </cdr:to>
    <cdr:sp macro="" textlink="">
      <cdr:nvSpPr>
        <cdr:cNvPr id="4" name="TextBox 1">
          <a:extLst xmlns:a="http://schemas.openxmlformats.org/drawingml/2006/main">
            <a:ext uri="{FF2B5EF4-FFF2-40B4-BE49-F238E27FC236}">
              <a16:creationId xmlns:a16="http://schemas.microsoft.com/office/drawing/2014/main" id="{7068DAD3-532C-4D21-9F3B-402BAF3618D9}"/>
            </a:ext>
          </a:extLst>
        </cdr:cNvPr>
        <cdr:cNvSpPr txBox="1"/>
      </cdr:nvSpPr>
      <cdr:spPr>
        <a:xfrm xmlns:a="http://schemas.openxmlformats.org/drawingml/2006/main">
          <a:off x="2305207" y="2090055"/>
          <a:ext cx="929701" cy="245889"/>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1200" i="1">
              <a:solidFill>
                <a:srgbClr val="5064E6"/>
              </a:solidFill>
              <a:effectLst/>
              <a:latin typeface="Times New Roman" panose="02020603050405020304" pitchFamily="18" charset="0"/>
              <a:cs typeface="Times New Roman" panose="02020603050405020304" pitchFamily="18" charset="0"/>
            </a:rPr>
            <a:t>Legionella</a:t>
          </a:r>
          <a:endParaRPr lang="en-US" sz="1200">
            <a:solidFill>
              <a:srgbClr val="5064E6"/>
            </a:solidFill>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0.23901</cdr:x>
      <cdr:y>0.24704</cdr:y>
    </cdr:from>
    <cdr:to>
      <cdr:x>0.4413</cdr:x>
      <cdr:y>0.30047</cdr:y>
    </cdr:to>
    <cdr:sp macro="" textlink="">
      <cdr:nvSpPr>
        <cdr:cNvPr id="5" name="TextBox 1">
          <a:extLst xmlns:a="http://schemas.openxmlformats.org/drawingml/2006/main">
            <a:ext uri="{FF2B5EF4-FFF2-40B4-BE49-F238E27FC236}">
              <a16:creationId xmlns:a16="http://schemas.microsoft.com/office/drawing/2014/main" id="{822B53B5-61DA-4BE5-8E53-11858DDD0F12}"/>
            </a:ext>
          </a:extLst>
        </cdr:cNvPr>
        <cdr:cNvSpPr txBox="1"/>
      </cdr:nvSpPr>
      <cdr:spPr>
        <a:xfrm xmlns:a="http://schemas.openxmlformats.org/drawingml/2006/main">
          <a:off x="1375591" y="1121867"/>
          <a:ext cx="1164247" cy="2426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i="1">
              <a:solidFill>
                <a:srgbClr val="5064E6"/>
              </a:solidFill>
              <a:effectLst/>
              <a:latin typeface="Times New Roman" panose="02020603050405020304" pitchFamily="18" charset="0"/>
              <a:cs typeface="Times New Roman" panose="02020603050405020304" pitchFamily="18" charset="0"/>
            </a:rPr>
            <a:t>Pseudomonas</a:t>
          </a:r>
          <a:endParaRPr lang="en-US" sz="1200">
            <a:solidFill>
              <a:srgbClr val="5064E6"/>
            </a:solidFill>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0.37914</cdr:x>
      <cdr:y>0.34114</cdr:y>
    </cdr:from>
    <cdr:to>
      <cdr:x>0.58143</cdr:x>
      <cdr:y>0.39456</cdr:y>
    </cdr:to>
    <cdr:sp macro="" textlink="">
      <cdr:nvSpPr>
        <cdr:cNvPr id="6" name="TextBox 1">
          <a:extLst xmlns:a="http://schemas.openxmlformats.org/drawingml/2006/main">
            <a:ext uri="{FF2B5EF4-FFF2-40B4-BE49-F238E27FC236}">
              <a16:creationId xmlns:a16="http://schemas.microsoft.com/office/drawing/2014/main" id="{CC29A2CE-4846-4672-82E6-E46BF3ACF8E1}"/>
            </a:ext>
          </a:extLst>
        </cdr:cNvPr>
        <cdr:cNvSpPr txBox="1"/>
      </cdr:nvSpPr>
      <cdr:spPr>
        <a:xfrm xmlns:a="http://schemas.openxmlformats.org/drawingml/2006/main">
          <a:off x="2182106" y="1549187"/>
          <a:ext cx="1164247" cy="2426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i="0">
              <a:solidFill>
                <a:srgbClr val="5064E6"/>
              </a:solidFill>
              <a:effectLst/>
              <a:latin typeface="Times New Roman" panose="02020603050405020304" pitchFamily="18" charset="0"/>
              <a:cs typeface="Times New Roman" panose="02020603050405020304" pitchFamily="18" charset="0"/>
            </a:rPr>
            <a:t>Total bacteria</a:t>
          </a:r>
          <a:endParaRPr lang="en-US" sz="1200" i="0">
            <a:solidFill>
              <a:srgbClr val="5064E6"/>
            </a:solidFill>
            <a:latin typeface="Times New Roman" panose="02020603050405020304" pitchFamily="18" charset="0"/>
            <a:cs typeface="Times New Roman" panose="02020603050405020304" pitchFamily="18" charset="0"/>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1</xdr:col>
      <xdr:colOff>130628</xdr:colOff>
      <xdr:row>2</xdr:row>
      <xdr:rowOff>84524</xdr:rowOff>
    </xdr:from>
    <xdr:to>
      <xdr:col>10</xdr:col>
      <xdr:colOff>156679</xdr:colOff>
      <xdr:row>25</xdr:row>
      <xdr:rowOff>69155</xdr:rowOff>
    </xdr:to>
    <mc:AlternateContent xmlns:mc="http://schemas.openxmlformats.org/markup-compatibility/2006">
      <mc:Choice xmlns:cx1="http://schemas.microsoft.com/office/drawing/2015/9/8/chartex" Requires="cx1">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745351" y="484094"/>
              <a:ext cx="5558555" cy="4579683"/>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199785</xdr:colOff>
      <xdr:row>27</xdr:row>
      <xdr:rowOff>92208</xdr:rowOff>
    </xdr:from>
    <xdr:to>
      <xdr:col>10</xdr:col>
      <xdr:colOff>225835</xdr:colOff>
      <xdr:row>50</xdr:row>
      <xdr:rowOff>84524</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814508" y="5486400"/>
              <a:ext cx="5558554" cy="4587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22</xdr:col>
      <xdr:colOff>107578</xdr:colOff>
      <xdr:row>2</xdr:row>
      <xdr:rowOff>76841</xdr:rowOff>
    </xdr:from>
    <xdr:to>
      <xdr:col>31</xdr:col>
      <xdr:colOff>133629</xdr:colOff>
      <xdr:row>25</xdr:row>
      <xdr:rowOff>61472</xdr:rowOff>
    </xdr:to>
    <mc:AlternateContent xmlns:mc="http://schemas.openxmlformats.org/markup-compatibility/2006">
      <mc:Choice xmlns:cx1="http://schemas.microsoft.com/office/drawing/2015/9/8/chartex" Requires="cx1">
        <xdr:graphicFrame macro="">
          <xdr:nvGraphicFramePr>
            <xdr:cNvPr id="4" name="Chart 3">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xfrm>
              <a:off x="13631477" y="476411"/>
              <a:ext cx="5558555" cy="4579683"/>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22</xdr:col>
      <xdr:colOff>99893</xdr:colOff>
      <xdr:row>27</xdr:row>
      <xdr:rowOff>122945</xdr:rowOff>
    </xdr:from>
    <xdr:to>
      <xdr:col>31</xdr:col>
      <xdr:colOff>125943</xdr:colOff>
      <xdr:row>50</xdr:row>
      <xdr:rowOff>115261</xdr:rowOff>
    </xdr:to>
    <mc:AlternateContent xmlns:mc="http://schemas.openxmlformats.org/markup-compatibility/2006">
      <mc:Choice xmlns:cx1="http://schemas.microsoft.com/office/drawing/2015/9/8/chartex" Requires="cx1">
        <xdr:graphicFrame macro="">
          <xdr:nvGraphicFramePr>
            <xdr:cNvPr id="5" name="Chart 4">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13623792" y="5517137"/>
              <a:ext cx="5558554" cy="4587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42</xdr:col>
      <xdr:colOff>61473</xdr:colOff>
      <xdr:row>2</xdr:row>
      <xdr:rowOff>15368</xdr:rowOff>
    </xdr:from>
    <xdr:to>
      <xdr:col>51</xdr:col>
      <xdr:colOff>87524</xdr:colOff>
      <xdr:row>24</xdr:row>
      <xdr:rowOff>199784</xdr:rowOff>
    </xdr:to>
    <mc:AlternateContent xmlns:mc="http://schemas.openxmlformats.org/markup-compatibility/2006">
      <mc:Choice xmlns:cx1="http://schemas.microsoft.com/office/drawing/2015/9/8/chartex" Requires="cx1">
        <xdr:graphicFrame macro="">
          <xdr:nvGraphicFramePr>
            <xdr:cNvPr id="6" name="Chart 5">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5"/>
            </a:graphicData>
          </a:graphic>
        </xdr:graphicFrame>
      </mc:Choice>
      <mc:Fallback>
        <xdr:sp macro="" textlink="">
          <xdr:nvSpPr>
            <xdr:cNvPr id="0" name=""/>
            <xdr:cNvSpPr>
              <a:spLocks noTextEdit="1"/>
            </xdr:cNvSpPr>
          </xdr:nvSpPr>
          <xdr:spPr>
            <a:xfrm>
              <a:off x="25879826" y="414938"/>
              <a:ext cx="5558555" cy="4579683"/>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42</xdr:col>
      <xdr:colOff>92209</xdr:colOff>
      <xdr:row>27</xdr:row>
      <xdr:rowOff>0</xdr:rowOff>
    </xdr:from>
    <xdr:to>
      <xdr:col>51</xdr:col>
      <xdr:colOff>118259</xdr:colOff>
      <xdr:row>49</xdr:row>
      <xdr:rowOff>192100</xdr:rowOff>
    </xdr:to>
    <mc:AlternateContent xmlns:mc="http://schemas.openxmlformats.org/markup-compatibility/2006">
      <mc:Choice xmlns:cx1="http://schemas.microsoft.com/office/drawing/2015/9/8/chartex" Requires="cx1">
        <xdr:graphicFrame macro="">
          <xdr:nvGraphicFramePr>
            <xdr:cNvPr id="7" name="Chart 6">
              <a:extLst>
                <a:ext uri="{FF2B5EF4-FFF2-40B4-BE49-F238E27FC236}">
                  <a16:creationId xmlns:a16="http://schemas.microsoft.com/office/drawing/2014/main" id="{00000000-0008-0000-0A00-000007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6"/>
            </a:graphicData>
          </a:graphic>
        </xdr:graphicFrame>
      </mc:Choice>
      <mc:Fallback>
        <xdr:sp macro="" textlink="">
          <xdr:nvSpPr>
            <xdr:cNvPr id="0" name=""/>
            <xdr:cNvSpPr>
              <a:spLocks noTextEdit="1"/>
            </xdr:cNvSpPr>
          </xdr:nvSpPr>
          <xdr:spPr>
            <a:xfrm>
              <a:off x="25910562" y="5394192"/>
              <a:ext cx="5558554" cy="4587367"/>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62</xdr:col>
      <xdr:colOff>84523</xdr:colOff>
      <xdr:row>2</xdr:row>
      <xdr:rowOff>53788</xdr:rowOff>
    </xdr:from>
    <xdr:to>
      <xdr:col>71</xdr:col>
      <xdr:colOff>110574</xdr:colOff>
      <xdr:row>25</xdr:row>
      <xdr:rowOff>38419</xdr:rowOff>
    </xdr:to>
    <mc:AlternateContent xmlns:mc="http://schemas.openxmlformats.org/markup-compatibility/2006">
      <mc:Choice xmlns:cx1="http://schemas.microsoft.com/office/drawing/2015/9/8/chartex" Requires="cx1">
        <xdr:graphicFrame macro="">
          <xdr:nvGraphicFramePr>
            <xdr:cNvPr id="8" name="Chart 7">
              <a:extLst>
                <a:ext uri="{FF2B5EF4-FFF2-40B4-BE49-F238E27FC236}">
                  <a16:creationId xmlns:a16="http://schemas.microsoft.com/office/drawing/2014/main" id="{00000000-0008-0000-0A00-000008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7"/>
            </a:graphicData>
          </a:graphic>
        </xdr:graphicFrame>
      </mc:Choice>
      <mc:Fallback>
        <xdr:sp macro="" textlink="">
          <xdr:nvSpPr>
            <xdr:cNvPr id="0" name=""/>
            <xdr:cNvSpPr>
              <a:spLocks noTextEdit="1"/>
            </xdr:cNvSpPr>
          </xdr:nvSpPr>
          <xdr:spPr>
            <a:xfrm>
              <a:off x="38197330" y="453358"/>
              <a:ext cx="5558555" cy="4579683"/>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62</xdr:col>
      <xdr:colOff>99892</xdr:colOff>
      <xdr:row>27</xdr:row>
      <xdr:rowOff>46104</xdr:rowOff>
    </xdr:from>
    <xdr:to>
      <xdr:col>71</xdr:col>
      <xdr:colOff>125942</xdr:colOff>
      <xdr:row>50</xdr:row>
      <xdr:rowOff>38420</xdr:rowOff>
    </xdr:to>
    <mc:AlternateContent xmlns:mc="http://schemas.openxmlformats.org/markup-compatibility/2006">
      <mc:Choice xmlns:cx1="http://schemas.microsoft.com/office/drawing/2015/9/8/chartex" Requires="cx1">
        <xdr:graphicFrame macro="">
          <xdr:nvGraphicFramePr>
            <xdr:cNvPr id="9" name="Chart 8">
              <a:extLst>
                <a:ext uri="{FF2B5EF4-FFF2-40B4-BE49-F238E27FC236}">
                  <a16:creationId xmlns:a16="http://schemas.microsoft.com/office/drawing/2014/main" id="{00000000-0008-0000-0A00-000009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8"/>
            </a:graphicData>
          </a:graphic>
        </xdr:graphicFrame>
      </mc:Choice>
      <mc:Fallback>
        <xdr:sp macro="" textlink="">
          <xdr:nvSpPr>
            <xdr:cNvPr id="0" name=""/>
            <xdr:cNvSpPr>
              <a:spLocks noTextEdit="1"/>
            </xdr:cNvSpPr>
          </xdr:nvSpPr>
          <xdr:spPr>
            <a:xfrm>
              <a:off x="38212699" y="5440296"/>
              <a:ext cx="5558554" cy="4587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12</xdr:col>
      <xdr:colOff>99892</xdr:colOff>
      <xdr:row>2</xdr:row>
      <xdr:rowOff>107577</xdr:rowOff>
    </xdr:from>
    <xdr:to>
      <xdr:col>21</xdr:col>
      <xdr:colOff>125943</xdr:colOff>
      <xdr:row>25</xdr:row>
      <xdr:rowOff>92208</xdr:rowOff>
    </xdr:to>
    <mc:AlternateContent xmlns:mc="http://schemas.openxmlformats.org/markup-compatibility/2006">
      <mc:Choice xmlns:cx1="http://schemas.microsoft.com/office/drawing/2015/9/8/chartex" Requires="cx1">
        <xdr:graphicFrame macro="">
          <xdr:nvGraphicFramePr>
            <xdr:cNvPr id="10" name="Chart 9">
              <a:extLst>
                <a:ext uri="{FF2B5EF4-FFF2-40B4-BE49-F238E27FC236}">
                  <a16:creationId xmlns:a16="http://schemas.microsoft.com/office/drawing/2014/main" id="{00000000-0008-0000-0A00-00000A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9"/>
            </a:graphicData>
          </a:graphic>
        </xdr:graphicFrame>
      </mc:Choice>
      <mc:Fallback>
        <xdr:sp macro="" textlink="">
          <xdr:nvSpPr>
            <xdr:cNvPr id="0" name=""/>
            <xdr:cNvSpPr>
              <a:spLocks noTextEdit="1"/>
            </xdr:cNvSpPr>
          </xdr:nvSpPr>
          <xdr:spPr>
            <a:xfrm>
              <a:off x="7476564" y="507147"/>
              <a:ext cx="5558555" cy="4579683"/>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12</xdr:col>
      <xdr:colOff>130628</xdr:colOff>
      <xdr:row>27</xdr:row>
      <xdr:rowOff>107577</xdr:rowOff>
    </xdr:from>
    <xdr:to>
      <xdr:col>21</xdr:col>
      <xdr:colOff>156678</xdr:colOff>
      <xdr:row>50</xdr:row>
      <xdr:rowOff>99893</xdr:rowOff>
    </xdr:to>
    <mc:AlternateContent xmlns:mc="http://schemas.openxmlformats.org/markup-compatibility/2006">
      <mc:Choice xmlns:cx1="http://schemas.microsoft.com/office/drawing/2015/9/8/chartex" Requires="cx1">
        <xdr:graphicFrame macro="">
          <xdr:nvGraphicFramePr>
            <xdr:cNvPr id="11" name="Chart 10">
              <a:extLst>
                <a:ext uri="{FF2B5EF4-FFF2-40B4-BE49-F238E27FC236}">
                  <a16:creationId xmlns:a16="http://schemas.microsoft.com/office/drawing/2014/main" id="{00000000-0008-0000-0A00-00000B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0"/>
            </a:graphicData>
          </a:graphic>
        </xdr:graphicFrame>
      </mc:Choice>
      <mc:Fallback>
        <xdr:sp macro="" textlink="">
          <xdr:nvSpPr>
            <xdr:cNvPr id="0" name=""/>
            <xdr:cNvSpPr>
              <a:spLocks noTextEdit="1"/>
            </xdr:cNvSpPr>
          </xdr:nvSpPr>
          <xdr:spPr>
            <a:xfrm>
              <a:off x="7507300" y="5501769"/>
              <a:ext cx="5558554" cy="4587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32</xdr:col>
      <xdr:colOff>53788</xdr:colOff>
      <xdr:row>2</xdr:row>
      <xdr:rowOff>53789</xdr:rowOff>
    </xdr:from>
    <xdr:to>
      <xdr:col>41</xdr:col>
      <xdr:colOff>79839</xdr:colOff>
      <xdr:row>25</xdr:row>
      <xdr:rowOff>38420</xdr:rowOff>
    </xdr:to>
    <mc:AlternateContent xmlns:mc="http://schemas.openxmlformats.org/markup-compatibility/2006">
      <mc:Choice xmlns:cx1="http://schemas.microsoft.com/office/drawing/2015/9/8/chartex" Requires="cx1">
        <xdr:graphicFrame macro="">
          <xdr:nvGraphicFramePr>
            <xdr:cNvPr id="12" name="Chart 11">
              <a:extLst>
                <a:ext uri="{FF2B5EF4-FFF2-40B4-BE49-F238E27FC236}">
                  <a16:creationId xmlns:a16="http://schemas.microsoft.com/office/drawing/2014/main" id="{00000000-0008-0000-0A00-00000C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1"/>
            </a:graphicData>
          </a:graphic>
        </xdr:graphicFrame>
      </mc:Choice>
      <mc:Fallback>
        <xdr:sp macro="" textlink="">
          <xdr:nvSpPr>
            <xdr:cNvPr id="0" name=""/>
            <xdr:cNvSpPr>
              <a:spLocks noTextEdit="1"/>
            </xdr:cNvSpPr>
          </xdr:nvSpPr>
          <xdr:spPr>
            <a:xfrm>
              <a:off x="19724914" y="453359"/>
              <a:ext cx="5558555" cy="4579683"/>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32</xdr:col>
      <xdr:colOff>107576</xdr:colOff>
      <xdr:row>27</xdr:row>
      <xdr:rowOff>122945</xdr:rowOff>
    </xdr:from>
    <xdr:to>
      <xdr:col>41</xdr:col>
      <xdr:colOff>133626</xdr:colOff>
      <xdr:row>50</xdr:row>
      <xdr:rowOff>115261</xdr:rowOff>
    </xdr:to>
    <mc:AlternateContent xmlns:mc="http://schemas.openxmlformats.org/markup-compatibility/2006">
      <mc:Choice xmlns:cx1="http://schemas.microsoft.com/office/drawing/2015/9/8/chartex" Requires="cx1">
        <xdr:graphicFrame macro="">
          <xdr:nvGraphicFramePr>
            <xdr:cNvPr id="13" name="Chart 12">
              <a:extLst>
                <a:ext uri="{FF2B5EF4-FFF2-40B4-BE49-F238E27FC236}">
                  <a16:creationId xmlns:a16="http://schemas.microsoft.com/office/drawing/2014/main" id="{00000000-0008-0000-0A00-00000D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2"/>
            </a:graphicData>
          </a:graphic>
        </xdr:graphicFrame>
      </mc:Choice>
      <mc:Fallback>
        <xdr:sp macro="" textlink="">
          <xdr:nvSpPr>
            <xdr:cNvPr id="0" name=""/>
            <xdr:cNvSpPr>
              <a:spLocks noTextEdit="1"/>
            </xdr:cNvSpPr>
          </xdr:nvSpPr>
          <xdr:spPr>
            <a:xfrm>
              <a:off x="19778702" y="5517137"/>
              <a:ext cx="5558554" cy="4587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52</xdr:col>
      <xdr:colOff>0</xdr:colOff>
      <xdr:row>2</xdr:row>
      <xdr:rowOff>0</xdr:rowOff>
    </xdr:from>
    <xdr:to>
      <xdr:col>61</xdr:col>
      <xdr:colOff>26051</xdr:colOff>
      <xdr:row>24</xdr:row>
      <xdr:rowOff>184416</xdr:rowOff>
    </xdr:to>
    <mc:AlternateContent xmlns:mc="http://schemas.openxmlformats.org/markup-compatibility/2006">
      <mc:Choice xmlns:cx1="http://schemas.microsoft.com/office/drawing/2015/9/8/chartex" Requires="cx1">
        <xdr:graphicFrame macro="">
          <xdr:nvGraphicFramePr>
            <xdr:cNvPr id="14" name="Chart 13">
              <a:extLst>
                <a:ext uri="{FF2B5EF4-FFF2-40B4-BE49-F238E27FC236}">
                  <a16:creationId xmlns:a16="http://schemas.microsoft.com/office/drawing/2014/main" id="{00000000-0008-0000-0A00-00000E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3"/>
            </a:graphicData>
          </a:graphic>
        </xdr:graphicFrame>
      </mc:Choice>
      <mc:Fallback>
        <xdr:sp macro="" textlink="">
          <xdr:nvSpPr>
            <xdr:cNvPr id="0" name=""/>
            <xdr:cNvSpPr>
              <a:spLocks noTextEdit="1"/>
            </xdr:cNvSpPr>
          </xdr:nvSpPr>
          <xdr:spPr>
            <a:xfrm>
              <a:off x="31965580" y="399570"/>
              <a:ext cx="5558555" cy="4579683"/>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52</xdr:col>
      <xdr:colOff>0</xdr:colOff>
      <xdr:row>27</xdr:row>
      <xdr:rowOff>0</xdr:rowOff>
    </xdr:from>
    <xdr:to>
      <xdr:col>61</xdr:col>
      <xdr:colOff>26050</xdr:colOff>
      <xdr:row>49</xdr:row>
      <xdr:rowOff>192100</xdr:rowOff>
    </xdr:to>
    <mc:AlternateContent xmlns:mc="http://schemas.openxmlformats.org/markup-compatibility/2006">
      <mc:Choice xmlns:cx1="http://schemas.microsoft.com/office/drawing/2015/9/8/chartex" Requires="cx1">
        <xdr:graphicFrame macro="">
          <xdr:nvGraphicFramePr>
            <xdr:cNvPr id="15" name="Chart 14">
              <a:extLst>
                <a:ext uri="{FF2B5EF4-FFF2-40B4-BE49-F238E27FC236}">
                  <a16:creationId xmlns:a16="http://schemas.microsoft.com/office/drawing/2014/main" id="{00000000-0008-0000-0A00-00000F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4"/>
            </a:graphicData>
          </a:graphic>
        </xdr:graphicFrame>
      </mc:Choice>
      <mc:Fallback>
        <xdr:sp macro="" textlink="">
          <xdr:nvSpPr>
            <xdr:cNvPr id="0" name=""/>
            <xdr:cNvSpPr>
              <a:spLocks noTextEdit="1"/>
            </xdr:cNvSpPr>
          </xdr:nvSpPr>
          <xdr:spPr>
            <a:xfrm>
              <a:off x="31965580" y="5394192"/>
              <a:ext cx="5558554" cy="4587367"/>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73</xdr:col>
      <xdr:colOff>92208</xdr:colOff>
      <xdr:row>2</xdr:row>
      <xdr:rowOff>46104</xdr:rowOff>
    </xdr:from>
    <xdr:to>
      <xdr:col>82</xdr:col>
      <xdr:colOff>118259</xdr:colOff>
      <xdr:row>25</xdr:row>
      <xdr:rowOff>30735</xdr:rowOff>
    </xdr:to>
    <mc:AlternateContent xmlns:mc="http://schemas.openxmlformats.org/markup-compatibility/2006">
      <mc:Choice xmlns:cx1="http://schemas.microsoft.com/office/drawing/2015/9/8/chartex" Requires="cx1">
        <xdr:graphicFrame macro="">
          <xdr:nvGraphicFramePr>
            <xdr:cNvPr id="16" name="Chart 15">
              <a:extLst>
                <a:ext uri="{FF2B5EF4-FFF2-40B4-BE49-F238E27FC236}">
                  <a16:creationId xmlns:a16="http://schemas.microsoft.com/office/drawing/2014/main" id="{00000000-0008-0000-0A00-000010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5"/>
            </a:graphicData>
          </a:graphic>
        </xdr:graphicFrame>
      </mc:Choice>
      <mc:Fallback>
        <xdr:sp macro="" textlink="">
          <xdr:nvSpPr>
            <xdr:cNvPr id="0" name=""/>
            <xdr:cNvSpPr>
              <a:spLocks noTextEdit="1"/>
            </xdr:cNvSpPr>
          </xdr:nvSpPr>
          <xdr:spPr>
            <a:xfrm>
              <a:off x="44966964" y="445674"/>
              <a:ext cx="5558556" cy="4579683"/>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73</xdr:col>
      <xdr:colOff>130629</xdr:colOff>
      <xdr:row>27</xdr:row>
      <xdr:rowOff>76840</xdr:rowOff>
    </xdr:from>
    <xdr:to>
      <xdr:col>82</xdr:col>
      <xdr:colOff>156679</xdr:colOff>
      <xdr:row>50</xdr:row>
      <xdr:rowOff>69156</xdr:rowOff>
    </xdr:to>
    <mc:AlternateContent xmlns:mc="http://schemas.openxmlformats.org/markup-compatibility/2006">
      <mc:Choice xmlns:cx1="http://schemas.microsoft.com/office/drawing/2015/9/8/chartex" Requires="cx1">
        <xdr:graphicFrame macro="">
          <xdr:nvGraphicFramePr>
            <xdr:cNvPr id="17" name="Chart 16">
              <a:extLst>
                <a:ext uri="{FF2B5EF4-FFF2-40B4-BE49-F238E27FC236}">
                  <a16:creationId xmlns:a16="http://schemas.microsoft.com/office/drawing/2014/main" id="{00000000-0008-0000-0A00-000011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6"/>
            </a:graphicData>
          </a:graphic>
        </xdr:graphicFrame>
      </mc:Choice>
      <mc:Fallback>
        <xdr:sp macro="" textlink="">
          <xdr:nvSpPr>
            <xdr:cNvPr id="0" name=""/>
            <xdr:cNvSpPr>
              <a:spLocks noTextEdit="1"/>
            </xdr:cNvSpPr>
          </xdr:nvSpPr>
          <xdr:spPr>
            <a:xfrm>
              <a:off x="45005385" y="5471032"/>
              <a:ext cx="5558555" cy="4587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xdr:from>
      <xdr:col>9</xdr:col>
      <xdr:colOff>130628</xdr:colOff>
      <xdr:row>5</xdr:row>
      <xdr:rowOff>84524</xdr:rowOff>
    </xdr:from>
    <xdr:to>
      <xdr:col>18</xdr:col>
      <xdr:colOff>156679</xdr:colOff>
      <xdr:row>28</xdr:row>
      <xdr:rowOff>69155</xdr:rowOff>
    </xdr:to>
    <mc:AlternateContent xmlns:mc="http://schemas.openxmlformats.org/markup-compatibility/2006">
      <mc:Choice xmlns:cx1="http://schemas.microsoft.com/office/drawing/2015/9/8/chartex" Requires="cx1">
        <xdr:graphicFrame macro="">
          <xdr:nvGraphicFramePr>
            <xdr:cNvPr id="6" name="Chart 5">
              <a:extLst>
                <a:ext uri="{FF2B5EF4-FFF2-40B4-BE49-F238E27FC236}">
                  <a16:creationId xmlns:a16="http://schemas.microsoft.com/office/drawing/2014/main" id="{00000000-0008-0000-0B00-000006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0089136" y="1106500"/>
              <a:ext cx="5558555" cy="4587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9</xdr:col>
      <xdr:colOff>199785</xdr:colOff>
      <xdr:row>30</xdr:row>
      <xdr:rowOff>92208</xdr:rowOff>
    </xdr:from>
    <xdr:to>
      <xdr:col>18</xdr:col>
      <xdr:colOff>225835</xdr:colOff>
      <xdr:row>53</xdr:row>
      <xdr:rowOff>84524</xdr:rowOff>
    </xdr:to>
    <mc:AlternateContent xmlns:mc="http://schemas.openxmlformats.org/markup-compatibility/2006">
      <mc:Choice xmlns:cx1="http://schemas.microsoft.com/office/drawing/2015/9/8/chartex" Requires="cx1">
        <xdr:graphicFrame macro="">
          <xdr:nvGraphicFramePr>
            <xdr:cNvPr id="7" name="Chart 6">
              <a:extLst>
                <a:ext uri="{FF2B5EF4-FFF2-40B4-BE49-F238E27FC236}">
                  <a16:creationId xmlns:a16="http://schemas.microsoft.com/office/drawing/2014/main" id="{00000000-0008-0000-0B00-000007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10158293" y="6116490"/>
              <a:ext cx="5558554" cy="4587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20</xdr:col>
      <xdr:colOff>130629</xdr:colOff>
      <xdr:row>5</xdr:row>
      <xdr:rowOff>92208</xdr:rowOff>
    </xdr:from>
    <xdr:to>
      <xdr:col>29</xdr:col>
      <xdr:colOff>156680</xdr:colOff>
      <xdr:row>28</xdr:row>
      <xdr:rowOff>76839</xdr:rowOff>
    </xdr:to>
    <mc:AlternateContent xmlns:mc="http://schemas.openxmlformats.org/markup-compatibility/2006">
      <mc:Choice xmlns:cx1="http://schemas.microsoft.com/office/drawing/2015/9/8/chartex" Requires="cx1">
        <xdr:graphicFrame macro="">
          <xdr:nvGraphicFramePr>
            <xdr:cNvPr id="4" name="Chart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xfrm>
              <a:off x="16851086" y="1114184"/>
              <a:ext cx="5558555" cy="4587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20</xdr:col>
      <xdr:colOff>138313</xdr:colOff>
      <xdr:row>30</xdr:row>
      <xdr:rowOff>53788</xdr:rowOff>
    </xdr:from>
    <xdr:to>
      <xdr:col>29</xdr:col>
      <xdr:colOff>164363</xdr:colOff>
      <xdr:row>53</xdr:row>
      <xdr:rowOff>46104</xdr:rowOff>
    </xdr:to>
    <mc:AlternateContent xmlns:mc="http://schemas.openxmlformats.org/markup-compatibility/2006">
      <mc:Choice xmlns:cx1="http://schemas.microsoft.com/office/drawing/2015/9/8/chartex" Requires="cx1">
        <xdr:graphicFrame macro="">
          <xdr:nvGraphicFramePr>
            <xdr:cNvPr id="5" name="Chart 4">
              <a:extLst>
                <a:ext uri="{FF2B5EF4-FFF2-40B4-BE49-F238E27FC236}">
                  <a16:creationId xmlns:a16="http://schemas.microsoft.com/office/drawing/2014/main" id="{00000000-0008-0000-0B00-000005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16858770" y="6078070"/>
              <a:ext cx="5558554" cy="4587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31</xdr:col>
      <xdr:colOff>61473</xdr:colOff>
      <xdr:row>5</xdr:row>
      <xdr:rowOff>15368</xdr:rowOff>
    </xdr:from>
    <xdr:to>
      <xdr:col>40</xdr:col>
      <xdr:colOff>87524</xdr:colOff>
      <xdr:row>27</xdr:row>
      <xdr:rowOff>199784</xdr:rowOff>
    </xdr:to>
    <mc:AlternateContent xmlns:mc="http://schemas.openxmlformats.org/markup-compatibility/2006">
      <mc:Choice xmlns:cx1="http://schemas.microsoft.com/office/drawing/2015/9/8/chartex" Requires="cx1">
        <xdr:graphicFrame macro="">
          <xdr:nvGraphicFramePr>
            <xdr:cNvPr id="8" name="Chart 7">
              <a:extLst>
                <a:ext uri="{FF2B5EF4-FFF2-40B4-BE49-F238E27FC236}">
                  <a16:creationId xmlns:a16="http://schemas.microsoft.com/office/drawing/2014/main" id="{00000000-0008-0000-0B00-000008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5"/>
            </a:graphicData>
          </a:graphic>
        </xdr:graphicFrame>
      </mc:Choice>
      <mc:Fallback>
        <xdr:sp macro="" textlink="">
          <xdr:nvSpPr>
            <xdr:cNvPr id="0" name=""/>
            <xdr:cNvSpPr>
              <a:spLocks noTextEdit="1"/>
            </xdr:cNvSpPr>
          </xdr:nvSpPr>
          <xdr:spPr>
            <a:xfrm>
              <a:off x="23543880" y="1037344"/>
              <a:ext cx="5558555" cy="4587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31</xdr:col>
      <xdr:colOff>92209</xdr:colOff>
      <xdr:row>30</xdr:row>
      <xdr:rowOff>0</xdr:rowOff>
    </xdr:from>
    <xdr:to>
      <xdr:col>40</xdr:col>
      <xdr:colOff>118259</xdr:colOff>
      <xdr:row>52</xdr:row>
      <xdr:rowOff>192100</xdr:rowOff>
    </xdr:to>
    <mc:AlternateContent xmlns:mc="http://schemas.openxmlformats.org/markup-compatibility/2006">
      <mc:Choice xmlns:cx1="http://schemas.microsoft.com/office/drawing/2015/9/8/chartex" Requires="cx1">
        <xdr:graphicFrame macro="">
          <xdr:nvGraphicFramePr>
            <xdr:cNvPr id="9" name="Chart 8">
              <a:extLst>
                <a:ext uri="{FF2B5EF4-FFF2-40B4-BE49-F238E27FC236}">
                  <a16:creationId xmlns:a16="http://schemas.microsoft.com/office/drawing/2014/main" id="{00000000-0008-0000-0B00-000009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6"/>
            </a:graphicData>
          </a:graphic>
        </xdr:graphicFrame>
      </mc:Choice>
      <mc:Fallback>
        <xdr:sp macro="" textlink="">
          <xdr:nvSpPr>
            <xdr:cNvPr id="0" name=""/>
            <xdr:cNvSpPr>
              <a:spLocks noTextEdit="1"/>
            </xdr:cNvSpPr>
          </xdr:nvSpPr>
          <xdr:spPr>
            <a:xfrm>
              <a:off x="23574616" y="6024282"/>
              <a:ext cx="5558554" cy="4587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42</xdr:col>
      <xdr:colOff>61472</xdr:colOff>
      <xdr:row>5</xdr:row>
      <xdr:rowOff>30736</xdr:rowOff>
    </xdr:from>
    <xdr:to>
      <xdr:col>51</xdr:col>
      <xdr:colOff>87522</xdr:colOff>
      <xdr:row>28</xdr:row>
      <xdr:rowOff>15367</xdr:rowOff>
    </xdr:to>
    <mc:AlternateContent xmlns:mc="http://schemas.openxmlformats.org/markup-compatibility/2006">
      <mc:Choice xmlns:cx1="http://schemas.microsoft.com/office/drawing/2015/9/8/chartex" Requires="cx1">
        <xdr:graphicFrame macro="">
          <xdr:nvGraphicFramePr>
            <xdr:cNvPr id="10" name="Chart 9">
              <a:extLst>
                <a:ext uri="{FF2B5EF4-FFF2-40B4-BE49-F238E27FC236}">
                  <a16:creationId xmlns:a16="http://schemas.microsoft.com/office/drawing/2014/main" id="{00000000-0008-0000-0B00-00000A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7"/>
            </a:graphicData>
          </a:graphic>
        </xdr:graphicFrame>
      </mc:Choice>
      <mc:Fallback>
        <xdr:sp macro="" textlink="">
          <xdr:nvSpPr>
            <xdr:cNvPr id="0" name=""/>
            <xdr:cNvSpPr>
              <a:spLocks noTextEdit="1"/>
            </xdr:cNvSpPr>
          </xdr:nvSpPr>
          <xdr:spPr>
            <a:xfrm>
              <a:off x="30305828" y="1052712"/>
              <a:ext cx="5558555" cy="4587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42</xdr:col>
      <xdr:colOff>115261</xdr:colOff>
      <xdr:row>30</xdr:row>
      <xdr:rowOff>0</xdr:rowOff>
    </xdr:from>
    <xdr:to>
      <xdr:col>51</xdr:col>
      <xdr:colOff>141310</xdr:colOff>
      <xdr:row>52</xdr:row>
      <xdr:rowOff>192100</xdr:rowOff>
    </xdr:to>
    <mc:AlternateContent xmlns:mc="http://schemas.openxmlformats.org/markup-compatibility/2006">
      <mc:Choice xmlns:cx1="http://schemas.microsoft.com/office/drawing/2015/9/8/chartex" Requires="cx1">
        <xdr:graphicFrame macro="">
          <xdr:nvGraphicFramePr>
            <xdr:cNvPr id="11" name="Chart 10">
              <a:extLst>
                <a:ext uri="{FF2B5EF4-FFF2-40B4-BE49-F238E27FC236}">
                  <a16:creationId xmlns:a16="http://schemas.microsoft.com/office/drawing/2014/main" id="{00000000-0008-0000-0B00-00000B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8"/>
            </a:graphicData>
          </a:graphic>
        </xdr:graphicFrame>
      </mc:Choice>
      <mc:Fallback>
        <xdr:sp macro="" textlink="">
          <xdr:nvSpPr>
            <xdr:cNvPr id="0" name=""/>
            <xdr:cNvSpPr>
              <a:spLocks noTextEdit="1"/>
            </xdr:cNvSpPr>
          </xdr:nvSpPr>
          <xdr:spPr>
            <a:xfrm>
              <a:off x="30359617" y="6024282"/>
              <a:ext cx="5558554" cy="4587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xdr:from>
      <xdr:col>1</xdr:col>
      <xdr:colOff>145998</xdr:colOff>
      <xdr:row>1</xdr:row>
      <xdr:rowOff>61474</xdr:rowOff>
    </xdr:from>
    <xdr:to>
      <xdr:col>11</xdr:col>
      <xdr:colOff>189251</xdr:colOff>
      <xdr:row>26</xdr:row>
      <xdr:rowOff>153681</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169645</xdr:colOff>
      <xdr:row>2</xdr:row>
      <xdr:rowOff>34781</xdr:rowOff>
    </xdr:from>
    <xdr:to>
      <xdr:col>7</xdr:col>
      <xdr:colOff>360715</xdr:colOff>
      <xdr:row>21</xdr:row>
      <xdr:rowOff>110530</xdr:rowOff>
    </xdr:to>
    <xdr:grpSp>
      <xdr:nvGrpSpPr>
        <xdr:cNvPr id="153" name="Group 152">
          <a:extLst>
            <a:ext uri="{FF2B5EF4-FFF2-40B4-BE49-F238E27FC236}">
              <a16:creationId xmlns:a16="http://schemas.microsoft.com/office/drawing/2014/main" id="{00000000-0008-0000-0D00-000099000000}"/>
            </a:ext>
          </a:extLst>
        </xdr:cNvPr>
        <xdr:cNvGrpSpPr/>
      </xdr:nvGrpSpPr>
      <xdr:grpSpPr>
        <a:xfrm>
          <a:off x="3104946" y="434351"/>
          <a:ext cx="2035238" cy="3871661"/>
          <a:chOff x="2712361" y="432954"/>
          <a:chExt cx="2035239" cy="3858389"/>
        </a:xfrm>
      </xdr:grpSpPr>
      <xdr:cxnSp macro="">
        <xdr:nvCxnSpPr>
          <xdr:cNvPr id="4" name="Straight Connector 3">
            <a:extLst>
              <a:ext uri="{FF2B5EF4-FFF2-40B4-BE49-F238E27FC236}">
                <a16:creationId xmlns:a16="http://schemas.microsoft.com/office/drawing/2014/main" id="{00000000-0008-0000-0D00-000004000000}"/>
              </a:ext>
            </a:extLst>
          </xdr:cNvPr>
          <xdr:cNvCxnSpPr/>
        </xdr:nvCxnSpPr>
        <xdr:spPr>
          <a:xfrm>
            <a:off x="2712361" y="437310"/>
            <a:ext cx="0" cy="3854033"/>
          </a:xfrm>
          <a:prstGeom prst="line">
            <a:avLst/>
          </a:prstGeom>
          <a:ln w="19050">
            <a:solidFill>
              <a:srgbClr val="7030A0"/>
            </a:solidFill>
          </a:ln>
        </xdr:spPr>
        <xdr:style>
          <a:lnRef idx="1">
            <a:schemeClr val="accent1"/>
          </a:lnRef>
          <a:fillRef idx="0">
            <a:schemeClr val="accent1"/>
          </a:fillRef>
          <a:effectRef idx="0">
            <a:schemeClr val="accent1"/>
          </a:effectRef>
          <a:fontRef idx="minor">
            <a:schemeClr val="tx1"/>
          </a:fontRef>
        </xdr:style>
      </xdr:cxnSp>
      <xdr:cxnSp macro="">
        <xdr:nvCxnSpPr>
          <xdr:cNvPr id="5" name="Straight Connector 4">
            <a:extLst>
              <a:ext uri="{FF2B5EF4-FFF2-40B4-BE49-F238E27FC236}">
                <a16:creationId xmlns:a16="http://schemas.microsoft.com/office/drawing/2014/main" id="{00000000-0008-0000-0D00-000005000000}"/>
              </a:ext>
            </a:extLst>
          </xdr:cNvPr>
          <xdr:cNvCxnSpPr/>
        </xdr:nvCxnSpPr>
        <xdr:spPr>
          <a:xfrm>
            <a:off x="4747600" y="432954"/>
            <a:ext cx="0" cy="3854033"/>
          </a:xfrm>
          <a:prstGeom prst="line">
            <a:avLst/>
          </a:prstGeom>
          <a:ln w="19050">
            <a:solidFill>
              <a:srgbClr val="7030A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12</xdr:col>
      <xdr:colOff>69158</xdr:colOff>
      <xdr:row>1</xdr:row>
      <xdr:rowOff>107574</xdr:rowOff>
    </xdr:from>
    <xdr:to>
      <xdr:col>21</xdr:col>
      <xdr:colOff>95208</xdr:colOff>
      <xdr:row>24</xdr:row>
      <xdr:rowOff>99890</xdr:rowOff>
    </xdr:to>
    <mc:AlternateContent xmlns:mc="http://schemas.openxmlformats.org/markup-compatibility/2006">
      <mc:Choice xmlns:cx1="http://schemas.microsoft.com/office/drawing/2015/9/8/chartex" Requires="cx1">
        <xdr:graphicFrame macro="">
          <xdr:nvGraphicFramePr>
            <xdr:cNvPr id="16" name="Chart 15">
              <a:extLst>
                <a:ext uri="{FF2B5EF4-FFF2-40B4-BE49-F238E27FC236}">
                  <a16:creationId xmlns:a16="http://schemas.microsoft.com/office/drawing/2014/main" id="{00000000-0008-0000-0D00-000010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7922240" y="307359"/>
              <a:ext cx="5558555" cy="4587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21</xdr:col>
      <xdr:colOff>591671</xdr:colOff>
      <xdr:row>1</xdr:row>
      <xdr:rowOff>99892</xdr:rowOff>
    </xdr:from>
    <xdr:to>
      <xdr:col>31</xdr:col>
      <xdr:colOff>2998</xdr:colOff>
      <xdr:row>24</xdr:row>
      <xdr:rowOff>92208</xdr:rowOff>
    </xdr:to>
    <mc:AlternateContent xmlns:mc="http://schemas.openxmlformats.org/markup-compatibility/2006">
      <mc:Choice xmlns:cx1="http://schemas.microsoft.com/office/drawing/2015/9/8/chartex" Requires="cx1">
        <xdr:graphicFrame macro="">
          <xdr:nvGraphicFramePr>
            <xdr:cNvPr id="154" name="Chart 153">
              <a:extLst>
                <a:ext uri="{FF2B5EF4-FFF2-40B4-BE49-F238E27FC236}">
                  <a16:creationId xmlns:a16="http://schemas.microsoft.com/office/drawing/2014/main" id="{00000000-0008-0000-0D00-00009A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xfrm>
              <a:off x="13977258" y="299677"/>
              <a:ext cx="5558553" cy="4587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153680</xdr:colOff>
      <xdr:row>30</xdr:row>
      <xdr:rowOff>7685</xdr:rowOff>
    </xdr:from>
    <xdr:to>
      <xdr:col>11</xdr:col>
      <xdr:colOff>196933</xdr:colOff>
      <xdr:row>55</xdr:row>
      <xdr:rowOff>99892</xdr:rowOff>
    </xdr:to>
    <xdr:graphicFrame macro="">
      <xdr:nvGraphicFramePr>
        <xdr:cNvPr id="155" name="Chart 154">
          <a:extLst>
            <a:ext uri="{FF2B5EF4-FFF2-40B4-BE49-F238E27FC236}">
              <a16:creationId xmlns:a16="http://schemas.microsoft.com/office/drawing/2014/main" id="{00000000-0008-0000-0D00-00009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177328</xdr:colOff>
      <xdr:row>30</xdr:row>
      <xdr:rowOff>180777</xdr:rowOff>
    </xdr:from>
    <xdr:to>
      <xdr:col>7</xdr:col>
      <xdr:colOff>368398</xdr:colOff>
      <xdr:row>50</xdr:row>
      <xdr:rowOff>56740</xdr:rowOff>
    </xdr:to>
    <xdr:grpSp>
      <xdr:nvGrpSpPr>
        <xdr:cNvPr id="156" name="Group 155">
          <a:extLst>
            <a:ext uri="{FF2B5EF4-FFF2-40B4-BE49-F238E27FC236}">
              <a16:creationId xmlns:a16="http://schemas.microsoft.com/office/drawing/2014/main" id="{00000000-0008-0000-0D00-00009C000000}"/>
            </a:ext>
          </a:extLst>
        </xdr:cNvPr>
        <xdr:cNvGrpSpPr/>
      </xdr:nvGrpSpPr>
      <xdr:grpSpPr>
        <a:xfrm>
          <a:off x="3112629" y="6174323"/>
          <a:ext cx="2035238" cy="3871661"/>
          <a:chOff x="2712361" y="432954"/>
          <a:chExt cx="2035239" cy="3858389"/>
        </a:xfrm>
      </xdr:grpSpPr>
      <xdr:cxnSp macro="">
        <xdr:nvCxnSpPr>
          <xdr:cNvPr id="157" name="Straight Connector 156">
            <a:extLst>
              <a:ext uri="{FF2B5EF4-FFF2-40B4-BE49-F238E27FC236}">
                <a16:creationId xmlns:a16="http://schemas.microsoft.com/office/drawing/2014/main" id="{00000000-0008-0000-0D00-00009D000000}"/>
              </a:ext>
            </a:extLst>
          </xdr:cNvPr>
          <xdr:cNvCxnSpPr/>
        </xdr:nvCxnSpPr>
        <xdr:spPr>
          <a:xfrm>
            <a:off x="2712361" y="437310"/>
            <a:ext cx="0" cy="3854033"/>
          </a:xfrm>
          <a:prstGeom prst="line">
            <a:avLst/>
          </a:prstGeom>
          <a:ln w="19050">
            <a:solidFill>
              <a:srgbClr val="7030A0"/>
            </a:solidFill>
          </a:ln>
        </xdr:spPr>
        <xdr:style>
          <a:lnRef idx="1">
            <a:schemeClr val="accent1"/>
          </a:lnRef>
          <a:fillRef idx="0">
            <a:schemeClr val="accent1"/>
          </a:fillRef>
          <a:effectRef idx="0">
            <a:schemeClr val="accent1"/>
          </a:effectRef>
          <a:fontRef idx="minor">
            <a:schemeClr val="tx1"/>
          </a:fontRef>
        </xdr:style>
      </xdr:cxnSp>
      <xdr:cxnSp macro="">
        <xdr:nvCxnSpPr>
          <xdr:cNvPr id="158" name="Straight Connector 157">
            <a:extLst>
              <a:ext uri="{FF2B5EF4-FFF2-40B4-BE49-F238E27FC236}">
                <a16:creationId xmlns:a16="http://schemas.microsoft.com/office/drawing/2014/main" id="{00000000-0008-0000-0D00-00009E000000}"/>
              </a:ext>
            </a:extLst>
          </xdr:cNvPr>
          <xdr:cNvCxnSpPr/>
        </xdr:nvCxnSpPr>
        <xdr:spPr>
          <a:xfrm>
            <a:off x="4747600" y="432954"/>
            <a:ext cx="0" cy="3854033"/>
          </a:xfrm>
          <a:prstGeom prst="line">
            <a:avLst/>
          </a:prstGeom>
          <a:ln w="19050">
            <a:solidFill>
              <a:srgbClr val="7030A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12</xdr:col>
      <xdr:colOff>99893</xdr:colOff>
      <xdr:row>30</xdr:row>
      <xdr:rowOff>169049</xdr:rowOff>
    </xdr:from>
    <xdr:to>
      <xdr:col>21</xdr:col>
      <xdr:colOff>125943</xdr:colOff>
      <xdr:row>53</xdr:row>
      <xdr:rowOff>161365</xdr:rowOff>
    </xdr:to>
    <mc:AlternateContent xmlns:mc="http://schemas.openxmlformats.org/markup-compatibility/2006">
      <mc:Choice xmlns:cx1="http://schemas.microsoft.com/office/drawing/2015/9/8/chartex" Requires="cx1">
        <xdr:graphicFrame macro="">
          <xdr:nvGraphicFramePr>
            <xdr:cNvPr id="159" name="Chart 158">
              <a:extLst>
                <a:ext uri="{FF2B5EF4-FFF2-40B4-BE49-F238E27FC236}">
                  <a16:creationId xmlns:a16="http://schemas.microsoft.com/office/drawing/2014/main" id="{00000000-0008-0000-0D00-00009F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5"/>
            </a:graphicData>
          </a:graphic>
        </xdr:graphicFrame>
      </mc:Choice>
      <mc:Fallback>
        <xdr:sp macro="" textlink="">
          <xdr:nvSpPr>
            <xdr:cNvPr id="0" name=""/>
            <xdr:cNvSpPr>
              <a:spLocks noTextEdit="1"/>
            </xdr:cNvSpPr>
          </xdr:nvSpPr>
          <xdr:spPr>
            <a:xfrm>
              <a:off x="7952975" y="6162595"/>
              <a:ext cx="5558555" cy="4587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22</xdr:col>
      <xdr:colOff>161364</xdr:colOff>
      <xdr:row>30</xdr:row>
      <xdr:rowOff>130629</xdr:rowOff>
    </xdr:from>
    <xdr:to>
      <xdr:col>31</xdr:col>
      <xdr:colOff>187414</xdr:colOff>
      <xdr:row>53</xdr:row>
      <xdr:rowOff>122945</xdr:rowOff>
    </xdr:to>
    <mc:AlternateContent xmlns:mc="http://schemas.openxmlformats.org/markup-compatibility/2006">
      <mc:Choice xmlns:cx1="http://schemas.microsoft.com/office/drawing/2015/9/8/chartex" Requires="cx1">
        <xdr:graphicFrame macro="">
          <xdr:nvGraphicFramePr>
            <xdr:cNvPr id="160" name="Chart 159">
              <a:extLst>
                <a:ext uri="{FF2B5EF4-FFF2-40B4-BE49-F238E27FC236}">
                  <a16:creationId xmlns:a16="http://schemas.microsoft.com/office/drawing/2014/main" id="{00000000-0008-0000-0D00-0000A0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6"/>
            </a:graphicData>
          </a:graphic>
        </xdr:graphicFrame>
      </mc:Choice>
      <mc:Fallback>
        <xdr:sp macro="" textlink="">
          <xdr:nvSpPr>
            <xdr:cNvPr id="0" name=""/>
            <xdr:cNvSpPr>
              <a:spLocks noTextEdit="1"/>
            </xdr:cNvSpPr>
          </xdr:nvSpPr>
          <xdr:spPr>
            <a:xfrm>
              <a:off x="14161673" y="6124175"/>
              <a:ext cx="5558554" cy="4587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153680</xdr:colOff>
      <xdr:row>60</xdr:row>
      <xdr:rowOff>145997</xdr:rowOff>
    </xdr:from>
    <xdr:to>
      <xdr:col>11</xdr:col>
      <xdr:colOff>196933</xdr:colOff>
      <xdr:row>86</xdr:row>
      <xdr:rowOff>38419</xdr:rowOff>
    </xdr:to>
    <xdr:graphicFrame macro="">
      <xdr:nvGraphicFramePr>
        <xdr:cNvPr id="161" name="Chart 160">
          <a:extLst>
            <a:ext uri="{FF2B5EF4-FFF2-40B4-BE49-F238E27FC236}">
              <a16:creationId xmlns:a16="http://schemas.microsoft.com/office/drawing/2014/main" id="{00000000-0008-0000-0D00-0000A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177328</xdr:colOff>
      <xdr:row>61</xdr:row>
      <xdr:rowOff>119304</xdr:rowOff>
    </xdr:from>
    <xdr:to>
      <xdr:col>7</xdr:col>
      <xdr:colOff>368398</xdr:colOff>
      <xdr:row>80</xdr:row>
      <xdr:rowOff>195052</xdr:rowOff>
    </xdr:to>
    <xdr:grpSp>
      <xdr:nvGrpSpPr>
        <xdr:cNvPr id="162" name="Group 161">
          <a:extLst>
            <a:ext uri="{FF2B5EF4-FFF2-40B4-BE49-F238E27FC236}">
              <a16:creationId xmlns:a16="http://schemas.microsoft.com/office/drawing/2014/main" id="{00000000-0008-0000-0D00-0000A2000000}"/>
            </a:ext>
          </a:extLst>
        </xdr:cNvPr>
        <xdr:cNvGrpSpPr/>
      </xdr:nvGrpSpPr>
      <xdr:grpSpPr>
        <a:xfrm>
          <a:off x="3112629" y="12306181"/>
          <a:ext cx="2035238" cy="3871661"/>
          <a:chOff x="2712361" y="432954"/>
          <a:chExt cx="2035239" cy="3858389"/>
        </a:xfrm>
      </xdr:grpSpPr>
      <xdr:cxnSp macro="">
        <xdr:nvCxnSpPr>
          <xdr:cNvPr id="163" name="Straight Connector 162">
            <a:extLst>
              <a:ext uri="{FF2B5EF4-FFF2-40B4-BE49-F238E27FC236}">
                <a16:creationId xmlns:a16="http://schemas.microsoft.com/office/drawing/2014/main" id="{00000000-0008-0000-0D00-0000A3000000}"/>
              </a:ext>
            </a:extLst>
          </xdr:cNvPr>
          <xdr:cNvCxnSpPr/>
        </xdr:nvCxnSpPr>
        <xdr:spPr>
          <a:xfrm>
            <a:off x="2712361" y="437310"/>
            <a:ext cx="0" cy="3854033"/>
          </a:xfrm>
          <a:prstGeom prst="line">
            <a:avLst/>
          </a:prstGeom>
          <a:ln w="19050">
            <a:solidFill>
              <a:srgbClr val="7030A0"/>
            </a:solidFill>
          </a:ln>
        </xdr:spPr>
        <xdr:style>
          <a:lnRef idx="1">
            <a:schemeClr val="accent1"/>
          </a:lnRef>
          <a:fillRef idx="0">
            <a:schemeClr val="accent1"/>
          </a:fillRef>
          <a:effectRef idx="0">
            <a:schemeClr val="accent1"/>
          </a:effectRef>
          <a:fontRef idx="minor">
            <a:schemeClr val="tx1"/>
          </a:fontRef>
        </xdr:style>
      </xdr:cxnSp>
      <xdr:cxnSp macro="">
        <xdr:nvCxnSpPr>
          <xdr:cNvPr id="164" name="Straight Connector 163">
            <a:extLst>
              <a:ext uri="{FF2B5EF4-FFF2-40B4-BE49-F238E27FC236}">
                <a16:creationId xmlns:a16="http://schemas.microsoft.com/office/drawing/2014/main" id="{00000000-0008-0000-0D00-0000A4000000}"/>
              </a:ext>
            </a:extLst>
          </xdr:cNvPr>
          <xdr:cNvCxnSpPr/>
        </xdr:nvCxnSpPr>
        <xdr:spPr>
          <a:xfrm>
            <a:off x="4747600" y="432954"/>
            <a:ext cx="0" cy="3854033"/>
          </a:xfrm>
          <a:prstGeom prst="line">
            <a:avLst/>
          </a:prstGeom>
          <a:ln w="19050">
            <a:solidFill>
              <a:srgbClr val="7030A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12</xdr:col>
      <xdr:colOff>583987</xdr:colOff>
      <xdr:row>60</xdr:row>
      <xdr:rowOff>138313</xdr:rowOff>
    </xdr:from>
    <xdr:to>
      <xdr:col>21</xdr:col>
      <xdr:colOff>610037</xdr:colOff>
      <xdr:row>83</xdr:row>
      <xdr:rowOff>130628</xdr:rowOff>
    </xdr:to>
    <mc:AlternateContent xmlns:mc="http://schemas.openxmlformats.org/markup-compatibility/2006">
      <mc:Choice xmlns:cx1="http://schemas.microsoft.com/office/drawing/2015/9/8/chartex" Requires="cx1">
        <xdr:graphicFrame macro="">
          <xdr:nvGraphicFramePr>
            <xdr:cNvPr id="18" name="Chart 17">
              <a:extLst>
                <a:ext uri="{FF2B5EF4-FFF2-40B4-BE49-F238E27FC236}">
                  <a16:creationId xmlns:a16="http://schemas.microsoft.com/office/drawing/2014/main" id="{00000000-0008-0000-0D00-000012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8"/>
            </a:graphicData>
          </a:graphic>
        </xdr:graphicFrame>
      </mc:Choice>
      <mc:Fallback>
        <xdr:sp macro="" textlink="">
          <xdr:nvSpPr>
            <xdr:cNvPr id="0" name=""/>
            <xdr:cNvSpPr>
              <a:spLocks noTextEdit="1"/>
            </xdr:cNvSpPr>
          </xdr:nvSpPr>
          <xdr:spPr>
            <a:xfrm>
              <a:off x="8437069" y="12125405"/>
              <a:ext cx="5558555" cy="4587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23</xdr:col>
      <xdr:colOff>0</xdr:colOff>
      <xdr:row>61</xdr:row>
      <xdr:rowOff>0</xdr:rowOff>
    </xdr:from>
    <xdr:to>
      <xdr:col>32</xdr:col>
      <xdr:colOff>26050</xdr:colOff>
      <xdr:row>83</xdr:row>
      <xdr:rowOff>192100</xdr:rowOff>
    </xdr:to>
    <mc:AlternateContent xmlns:mc="http://schemas.openxmlformats.org/markup-compatibility/2006">
      <mc:Choice xmlns:cx1="http://schemas.microsoft.com/office/drawing/2015/9/8/chartex" Requires="cx1">
        <xdr:graphicFrame macro="">
          <xdr:nvGraphicFramePr>
            <xdr:cNvPr id="19" name="Chart 18">
              <a:extLst>
                <a:ext uri="{FF2B5EF4-FFF2-40B4-BE49-F238E27FC236}">
                  <a16:creationId xmlns:a16="http://schemas.microsoft.com/office/drawing/2014/main" id="{00000000-0008-0000-0D00-000013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9"/>
            </a:graphicData>
          </a:graphic>
        </xdr:graphicFrame>
      </mc:Choice>
      <mc:Fallback>
        <xdr:sp macro="" textlink="">
          <xdr:nvSpPr>
            <xdr:cNvPr id="0" name=""/>
            <xdr:cNvSpPr>
              <a:spLocks noTextEdit="1"/>
            </xdr:cNvSpPr>
          </xdr:nvSpPr>
          <xdr:spPr>
            <a:xfrm>
              <a:off x="14615032" y="12186877"/>
              <a:ext cx="5558554" cy="4587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130629</xdr:colOff>
      <xdr:row>90</xdr:row>
      <xdr:rowOff>107577</xdr:rowOff>
    </xdr:from>
    <xdr:to>
      <xdr:col>11</xdr:col>
      <xdr:colOff>173882</xdr:colOff>
      <xdr:row>116</xdr:row>
      <xdr:rowOff>0</xdr:rowOff>
    </xdr:to>
    <xdr:graphicFrame macro="">
      <xdr:nvGraphicFramePr>
        <xdr:cNvPr id="20" name="Chart 19">
          <a:extLst>
            <a:ext uri="{FF2B5EF4-FFF2-40B4-BE49-F238E27FC236}">
              <a16:creationId xmlns:a16="http://schemas.microsoft.com/office/drawing/2014/main" id="{00000000-0008-0000-0D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154277</xdr:colOff>
      <xdr:row>91</xdr:row>
      <xdr:rowOff>80884</xdr:rowOff>
    </xdr:from>
    <xdr:to>
      <xdr:col>7</xdr:col>
      <xdr:colOff>345347</xdr:colOff>
      <xdr:row>110</xdr:row>
      <xdr:rowOff>156633</xdr:rowOff>
    </xdr:to>
    <xdr:grpSp>
      <xdr:nvGrpSpPr>
        <xdr:cNvPr id="21" name="Group 20">
          <a:extLst>
            <a:ext uri="{FF2B5EF4-FFF2-40B4-BE49-F238E27FC236}">
              <a16:creationId xmlns:a16="http://schemas.microsoft.com/office/drawing/2014/main" id="{00000000-0008-0000-0D00-000015000000}"/>
            </a:ext>
          </a:extLst>
        </xdr:cNvPr>
        <xdr:cNvGrpSpPr/>
      </xdr:nvGrpSpPr>
      <xdr:grpSpPr>
        <a:xfrm>
          <a:off x="3089578" y="18261308"/>
          <a:ext cx="2035238" cy="3871661"/>
          <a:chOff x="2712361" y="432954"/>
          <a:chExt cx="2035239" cy="3858389"/>
        </a:xfrm>
      </xdr:grpSpPr>
      <xdr:cxnSp macro="">
        <xdr:nvCxnSpPr>
          <xdr:cNvPr id="22" name="Straight Connector 21">
            <a:extLst>
              <a:ext uri="{FF2B5EF4-FFF2-40B4-BE49-F238E27FC236}">
                <a16:creationId xmlns:a16="http://schemas.microsoft.com/office/drawing/2014/main" id="{00000000-0008-0000-0D00-000016000000}"/>
              </a:ext>
            </a:extLst>
          </xdr:cNvPr>
          <xdr:cNvCxnSpPr/>
        </xdr:nvCxnSpPr>
        <xdr:spPr>
          <a:xfrm>
            <a:off x="2712361" y="437310"/>
            <a:ext cx="0" cy="3854033"/>
          </a:xfrm>
          <a:prstGeom prst="line">
            <a:avLst/>
          </a:prstGeom>
          <a:ln w="19050">
            <a:solidFill>
              <a:srgbClr val="7030A0"/>
            </a:solidFill>
          </a:ln>
        </xdr:spPr>
        <xdr:style>
          <a:lnRef idx="1">
            <a:schemeClr val="accent1"/>
          </a:lnRef>
          <a:fillRef idx="0">
            <a:schemeClr val="accent1"/>
          </a:fillRef>
          <a:effectRef idx="0">
            <a:schemeClr val="accent1"/>
          </a:effectRef>
          <a:fontRef idx="minor">
            <a:schemeClr val="tx1"/>
          </a:fontRef>
        </xdr:style>
      </xdr:cxnSp>
      <xdr:cxnSp macro="">
        <xdr:nvCxnSpPr>
          <xdr:cNvPr id="23" name="Straight Connector 22">
            <a:extLst>
              <a:ext uri="{FF2B5EF4-FFF2-40B4-BE49-F238E27FC236}">
                <a16:creationId xmlns:a16="http://schemas.microsoft.com/office/drawing/2014/main" id="{00000000-0008-0000-0D00-000017000000}"/>
              </a:ext>
            </a:extLst>
          </xdr:cNvPr>
          <xdr:cNvCxnSpPr/>
        </xdr:nvCxnSpPr>
        <xdr:spPr>
          <a:xfrm>
            <a:off x="4747600" y="432954"/>
            <a:ext cx="0" cy="3854033"/>
          </a:xfrm>
          <a:prstGeom prst="line">
            <a:avLst/>
          </a:prstGeom>
          <a:ln w="19050">
            <a:solidFill>
              <a:srgbClr val="7030A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76840</xdr:colOff>
      <xdr:row>90</xdr:row>
      <xdr:rowOff>122945</xdr:rowOff>
    </xdr:from>
    <xdr:to>
      <xdr:col>22</xdr:col>
      <xdr:colOff>102891</xdr:colOff>
      <xdr:row>113</xdr:row>
      <xdr:rowOff>115261</xdr:rowOff>
    </xdr:to>
    <mc:AlternateContent xmlns:mc="http://schemas.openxmlformats.org/markup-compatibility/2006">
      <mc:Choice xmlns:cx1="http://schemas.microsoft.com/office/drawing/2015/9/8/chartex" Requires="cx1">
        <xdr:graphicFrame macro="">
          <xdr:nvGraphicFramePr>
            <xdr:cNvPr id="24" name="Chart 23">
              <a:extLst>
                <a:ext uri="{FF2B5EF4-FFF2-40B4-BE49-F238E27FC236}">
                  <a16:creationId xmlns:a16="http://schemas.microsoft.com/office/drawing/2014/main" id="{00000000-0008-0000-0D00-000018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1"/>
            </a:graphicData>
          </a:graphic>
        </xdr:graphicFrame>
      </mc:Choice>
      <mc:Fallback>
        <xdr:sp macro="" textlink="">
          <xdr:nvSpPr>
            <xdr:cNvPr id="0" name=""/>
            <xdr:cNvSpPr>
              <a:spLocks noTextEdit="1"/>
            </xdr:cNvSpPr>
          </xdr:nvSpPr>
          <xdr:spPr>
            <a:xfrm>
              <a:off x="8544645" y="18103584"/>
              <a:ext cx="5558555" cy="4587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23</xdr:col>
      <xdr:colOff>161365</xdr:colOff>
      <xdr:row>90</xdr:row>
      <xdr:rowOff>92208</xdr:rowOff>
    </xdr:from>
    <xdr:to>
      <xdr:col>32</xdr:col>
      <xdr:colOff>187415</xdr:colOff>
      <xdr:row>113</xdr:row>
      <xdr:rowOff>84524</xdr:rowOff>
    </xdr:to>
    <mc:AlternateContent xmlns:mc="http://schemas.openxmlformats.org/markup-compatibility/2006">
      <mc:Choice xmlns:cx1="http://schemas.microsoft.com/office/drawing/2015/9/8/chartex" Requires="cx1">
        <xdr:graphicFrame macro="">
          <xdr:nvGraphicFramePr>
            <xdr:cNvPr id="25" name="Chart 24">
              <a:extLst>
                <a:ext uri="{FF2B5EF4-FFF2-40B4-BE49-F238E27FC236}">
                  <a16:creationId xmlns:a16="http://schemas.microsoft.com/office/drawing/2014/main" id="{00000000-0008-0000-0D00-000019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2"/>
            </a:graphicData>
          </a:graphic>
        </xdr:graphicFrame>
      </mc:Choice>
      <mc:Fallback>
        <xdr:sp macro="" textlink="">
          <xdr:nvSpPr>
            <xdr:cNvPr id="0" name=""/>
            <xdr:cNvSpPr>
              <a:spLocks noTextEdit="1"/>
            </xdr:cNvSpPr>
          </xdr:nvSpPr>
          <xdr:spPr>
            <a:xfrm>
              <a:off x="14776397" y="18072847"/>
              <a:ext cx="5558554" cy="4587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13</xdr:col>
      <xdr:colOff>69156</xdr:colOff>
      <xdr:row>151</xdr:row>
      <xdr:rowOff>53788</xdr:rowOff>
    </xdr:from>
    <xdr:to>
      <xdr:col>22</xdr:col>
      <xdr:colOff>95207</xdr:colOff>
      <xdr:row>174</xdr:row>
      <xdr:rowOff>46104</xdr:rowOff>
    </xdr:to>
    <mc:AlternateContent xmlns:mc="http://schemas.openxmlformats.org/markup-compatibility/2006">
      <mc:Choice xmlns:cx1="http://schemas.microsoft.com/office/drawing/2015/9/8/chartex" Requires="cx1">
        <xdr:graphicFrame macro="">
          <xdr:nvGraphicFramePr>
            <xdr:cNvPr id="30" name="Chart 29">
              <a:extLst>
                <a:ext uri="{FF2B5EF4-FFF2-40B4-BE49-F238E27FC236}">
                  <a16:creationId xmlns:a16="http://schemas.microsoft.com/office/drawing/2014/main" id="{00000000-0008-0000-0D00-00001E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3"/>
            </a:graphicData>
          </a:graphic>
        </xdr:graphicFrame>
      </mc:Choice>
      <mc:Fallback>
        <xdr:sp macro="" textlink="">
          <xdr:nvSpPr>
            <xdr:cNvPr id="0" name=""/>
            <xdr:cNvSpPr>
              <a:spLocks noTextEdit="1"/>
            </xdr:cNvSpPr>
          </xdr:nvSpPr>
          <xdr:spPr>
            <a:xfrm>
              <a:off x="8536961" y="30221304"/>
              <a:ext cx="5558555" cy="4587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24</xdr:col>
      <xdr:colOff>138314</xdr:colOff>
      <xdr:row>151</xdr:row>
      <xdr:rowOff>76840</xdr:rowOff>
    </xdr:from>
    <xdr:to>
      <xdr:col>33</xdr:col>
      <xdr:colOff>164364</xdr:colOff>
      <xdr:row>174</xdr:row>
      <xdr:rowOff>69156</xdr:rowOff>
    </xdr:to>
    <mc:AlternateContent xmlns:mc="http://schemas.openxmlformats.org/markup-compatibility/2006">
      <mc:Choice xmlns:cx1="http://schemas.microsoft.com/office/drawing/2015/9/8/chartex" Requires="cx1">
        <xdr:graphicFrame macro="">
          <xdr:nvGraphicFramePr>
            <xdr:cNvPr id="31" name="Chart 30">
              <a:extLst>
                <a:ext uri="{FF2B5EF4-FFF2-40B4-BE49-F238E27FC236}">
                  <a16:creationId xmlns:a16="http://schemas.microsoft.com/office/drawing/2014/main" id="{00000000-0008-0000-0D00-00001F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4"/>
            </a:graphicData>
          </a:graphic>
        </xdr:graphicFrame>
      </mc:Choice>
      <mc:Fallback>
        <xdr:sp macro="" textlink="">
          <xdr:nvSpPr>
            <xdr:cNvPr id="0" name=""/>
            <xdr:cNvSpPr>
              <a:spLocks noTextEdit="1"/>
            </xdr:cNvSpPr>
          </xdr:nvSpPr>
          <xdr:spPr>
            <a:xfrm>
              <a:off x="15368069" y="30244356"/>
              <a:ext cx="5558554" cy="4587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13</xdr:col>
      <xdr:colOff>92208</xdr:colOff>
      <xdr:row>181</xdr:row>
      <xdr:rowOff>53788</xdr:rowOff>
    </xdr:from>
    <xdr:to>
      <xdr:col>22</xdr:col>
      <xdr:colOff>118259</xdr:colOff>
      <xdr:row>204</xdr:row>
      <xdr:rowOff>46104</xdr:rowOff>
    </xdr:to>
    <mc:AlternateContent xmlns:mc="http://schemas.openxmlformats.org/markup-compatibility/2006">
      <mc:Choice xmlns:cx1="http://schemas.microsoft.com/office/drawing/2015/9/8/chartex" Requires="cx1">
        <xdr:graphicFrame macro="">
          <xdr:nvGraphicFramePr>
            <xdr:cNvPr id="40" name="Chart 39">
              <a:extLst>
                <a:ext uri="{FF2B5EF4-FFF2-40B4-BE49-F238E27FC236}">
                  <a16:creationId xmlns:a16="http://schemas.microsoft.com/office/drawing/2014/main" id="{00000000-0008-0000-0D00-000028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5"/>
            </a:graphicData>
          </a:graphic>
        </xdr:graphicFrame>
      </mc:Choice>
      <mc:Fallback>
        <xdr:sp macro="" textlink="">
          <xdr:nvSpPr>
            <xdr:cNvPr id="0" name=""/>
            <xdr:cNvSpPr>
              <a:spLocks noTextEdit="1"/>
            </xdr:cNvSpPr>
          </xdr:nvSpPr>
          <xdr:spPr>
            <a:xfrm>
              <a:off x="8560013" y="36214850"/>
              <a:ext cx="5558555" cy="4587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24</xdr:col>
      <xdr:colOff>176731</xdr:colOff>
      <xdr:row>181</xdr:row>
      <xdr:rowOff>61473</xdr:rowOff>
    </xdr:from>
    <xdr:to>
      <xdr:col>33</xdr:col>
      <xdr:colOff>202781</xdr:colOff>
      <xdr:row>204</xdr:row>
      <xdr:rowOff>53789</xdr:rowOff>
    </xdr:to>
    <mc:AlternateContent xmlns:mc="http://schemas.openxmlformats.org/markup-compatibility/2006">
      <mc:Choice xmlns:cx1="http://schemas.microsoft.com/office/drawing/2015/9/8/chartex" Requires="cx1">
        <xdr:graphicFrame macro="">
          <xdr:nvGraphicFramePr>
            <xdr:cNvPr id="41" name="Chart 40">
              <a:extLst>
                <a:ext uri="{FF2B5EF4-FFF2-40B4-BE49-F238E27FC236}">
                  <a16:creationId xmlns:a16="http://schemas.microsoft.com/office/drawing/2014/main" id="{00000000-0008-0000-0D00-000029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6"/>
            </a:graphicData>
          </a:graphic>
        </xdr:graphicFrame>
      </mc:Choice>
      <mc:Fallback>
        <xdr:sp macro="" textlink="">
          <xdr:nvSpPr>
            <xdr:cNvPr id="0" name=""/>
            <xdr:cNvSpPr>
              <a:spLocks noTextEdit="1"/>
            </xdr:cNvSpPr>
          </xdr:nvSpPr>
          <xdr:spPr>
            <a:xfrm>
              <a:off x="15406486" y="36222535"/>
              <a:ext cx="5558554" cy="4587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13</xdr:col>
      <xdr:colOff>115261</xdr:colOff>
      <xdr:row>210</xdr:row>
      <xdr:rowOff>38419</xdr:rowOff>
    </xdr:from>
    <xdr:to>
      <xdr:col>22</xdr:col>
      <xdr:colOff>141312</xdr:colOff>
      <xdr:row>233</xdr:row>
      <xdr:rowOff>30735</xdr:rowOff>
    </xdr:to>
    <mc:AlternateContent xmlns:mc="http://schemas.openxmlformats.org/markup-compatibility/2006">
      <mc:Choice xmlns:cx1="http://schemas.microsoft.com/office/drawing/2015/9/8/chartex" Requires="cx1">
        <xdr:graphicFrame macro="">
          <xdr:nvGraphicFramePr>
            <xdr:cNvPr id="46" name="Chart 45">
              <a:extLst>
                <a:ext uri="{FF2B5EF4-FFF2-40B4-BE49-F238E27FC236}">
                  <a16:creationId xmlns:a16="http://schemas.microsoft.com/office/drawing/2014/main" id="{00000000-0008-0000-0D00-00002E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7"/>
            </a:graphicData>
          </a:graphic>
        </xdr:graphicFrame>
      </mc:Choice>
      <mc:Fallback>
        <xdr:sp macro="" textlink="">
          <xdr:nvSpPr>
            <xdr:cNvPr id="0" name=""/>
            <xdr:cNvSpPr>
              <a:spLocks noTextEdit="1"/>
            </xdr:cNvSpPr>
          </xdr:nvSpPr>
          <xdr:spPr>
            <a:xfrm>
              <a:off x="8583066" y="41993243"/>
              <a:ext cx="5558555" cy="4587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24</xdr:col>
      <xdr:colOff>215153</xdr:colOff>
      <xdr:row>210</xdr:row>
      <xdr:rowOff>61472</xdr:rowOff>
    </xdr:from>
    <xdr:to>
      <xdr:col>33</xdr:col>
      <xdr:colOff>241203</xdr:colOff>
      <xdr:row>233</xdr:row>
      <xdr:rowOff>53788</xdr:rowOff>
    </xdr:to>
    <mc:AlternateContent xmlns:mc="http://schemas.openxmlformats.org/markup-compatibility/2006">
      <mc:Choice xmlns:cx1="http://schemas.microsoft.com/office/drawing/2015/9/8/chartex" Requires="cx1">
        <xdr:graphicFrame macro="">
          <xdr:nvGraphicFramePr>
            <xdr:cNvPr id="47" name="Chart 46">
              <a:extLst>
                <a:ext uri="{FF2B5EF4-FFF2-40B4-BE49-F238E27FC236}">
                  <a16:creationId xmlns:a16="http://schemas.microsoft.com/office/drawing/2014/main" id="{00000000-0008-0000-0D00-00002F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8"/>
            </a:graphicData>
          </a:graphic>
        </xdr:graphicFrame>
      </mc:Choice>
      <mc:Fallback>
        <xdr:sp macro="" textlink="">
          <xdr:nvSpPr>
            <xdr:cNvPr id="0" name=""/>
            <xdr:cNvSpPr>
              <a:spLocks noTextEdit="1"/>
            </xdr:cNvSpPr>
          </xdr:nvSpPr>
          <xdr:spPr>
            <a:xfrm>
              <a:off x="15444908" y="42016296"/>
              <a:ext cx="5558554" cy="4587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130629</xdr:colOff>
      <xdr:row>210</xdr:row>
      <xdr:rowOff>53788</xdr:rowOff>
    </xdr:from>
    <xdr:to>
      <xdr:col>11</xdr:col>
      <xdr:colOff>173882</xdr:colOff>
      <xdr:row>235</xdr:row>
      <xdr:rowOff>145996</xdr:rowOff>
    </xdr:to>
    <xdr:graphicFrame macro="">
      <xdr:nvGraphicFramePr>
        <xdr:cNvPr id="48" name="Chart 47">
          <a:extLst>
            <a:ext uri="{FF2B5EF4-FFF2-40B4-BE49-F238E27FC236}">
              <a16:creationId xmlns:a16="http://schemas.microsoft.com/office/drawing/2014/main" id="{00000000-0008-0000-0D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xdr:col>
      <xdr:colOff>154277</xdr:colOff>
      <xdr:row>211</xdr:row>
      <xdr:rowOff>27096</xdr:rowOff>
    </xdr:from>
    <xdr:to>
      <xdr:col>7</xdr:col>
      <xdr:colOff>345347</xdr:colOff>
      <xdr:row>230</xdr:row>
      <xdr:rowOff>102844</xdr:rowOff>
    </xdr:to>
    <xdr:grpSp>
      <xdr:nvGrpSpPr>
        <xdr:cNvPr id="49" name="Group 48">
          <a:extLst>
            <a:ext uri="{FF2B5EF4-FFF2-40B4-BE49-F238E27FC236}">
              <a16:creationId xmlns:a16="http://schemas.microsoft.com/office/drawing/2014/main" id="{00000000-0008-0000-0D00-000031000000}"/>
            </a:ext>
          </a:extLst>
        </xdr:cNvPr>
        <xdr:cNvGrpSpPr/>
      </xdr:nvGrpSpPr>
      <xdr:grpSpPr>
        <a:xfrm>
          <a:off x="3089578" y="42181704"/>
          <a:ext cx="2035238" cy="3871661"/>
          <a:chOff x="2712361" y="432954"/>
          <a:chExt cx="2035239" cy="3858389"/>
        </a:xfrm>
      </xdr:grpSpPr>
      <xdr:cxnSp macro="">
        <xdr:nvCxnSpPr>
          <xdr:cNvPr id="50" name="Straight Connector 49">
            <a:extLst>
              <a:ext uri="{FF2B5EF4-FFF2-40B4-BE49-F238E27FC236}">
                <a16:creationId xmlns:a16="http://schemas.microsoft.com/office/drawing/2014/main" id="{00000000-0008-0000-0D00-000032000000}"/>
              </a:ext>
            </a:extLst>
          </xdr:cNvPr>
          <xdr:cNvCxnSpPr/>
        </xdr:nvCxnSpPr>
        <xdr:spPr>
          <a:xfrm>
            <a:off x="2712361" y="437310"/>
            <a:ext cx="0" cy="3854033"/>
          </a:xfrm>
          <a:prstGeom prst="line">
            <a:avLst/>
          </a:prstGeom>
          <a:ln w="19050">
            <a:solidFill>
              <a:srgbClr val="7030A0"/>
            </a:solidFill>
          </a:ln>
        </xdr:spPr>
        <xdr:style>
          <a:lnRef idx="1">
            <a:schemeClr val="accent1"/>
          </a:lnRef>
          <a:fillRef idx="0">
            <a:schemeClr val="accent1"/>
          </a:fillRef>
          <a:effectRef idx="0">
            <a:schemeClr val="accent1"/>
          </a:effectRef>
          <a:fontRef idx="minor">
            <a:schemeClr val="tx1"/>
          </a:fontRef>
        </xdr:style>
      </xdr:cxnSp>
      <xdr:cxnSp macro="">
        <xdr:nvCxnSpPr>
          <xdr:cNvPr id="51" name="Straight Connector 50">
            <a:extLst>
              <a:ext uri="{FF2B5EF4-FFF2-40B4-BE49-F238E27FC236}">
                <a16:creationId xmlns:a16="http://schemas.microsoft.com/office/drawing/2014/main" id="{00000000-0008-0000-0D00-000033000000}"/>
              </a:ext>
            </a:extLst>
          </xdr:cNvPr>
          <xdr:cNvCxnSpPr/>
        </xdr:nvCxnSpPr>
        <xdr:spPr>
          <a:xfrm>
            <a:off x="4747600" y="432954"/>
            <a:ext cx="0" cy="3854033"/>
          </a:xfrm>
          <a:prstGeom prst="line">
            <a:avLst/>
          </a:prstGeom>
          <a:ln w="19050">
            <a:solidFill>
              <a:srgbClr val="7030A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130629</xdr:colOff>
      <xdr:row>181</xdr:row>
      <xdr:rowOff>84524</xdr:rowOff>
    </xdr:from>
    <xdr:to>
      <xdr:col>11</xdr:col>
      <xdr:colOff>173882</xdr:colOff>
      <xdr:row>206</xdr:row>
      <xdr:rowOff>176731</xdr:rowOff>
    </xdr:to>
    <xdr:graphicFrame macro="">
      <xdr:nvGraphicFramePr>
        <xdr:cNvPr id="56" name="Chart 55">
          <a:extLst>
            <a:ext uri="{FF2B5EF4-FFF2-40B4-BE49-F238E27FC236}">
              <a16:creationId xmlns:a16="http://schemas.microsoft.com/office/drawing/2014/main" id="{00000000-0008-0000-0D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4</xdr:col>
      <xdr:colOff>154277</xdr:colOff>
      <xdr:row>182</xdr:row>
      <xdr:rowOff>57831</xdr:rowOff>
    </xdr:from>
    <xdr:to>
      <xdr:col>7</xdr:col>
      <xdr:colOff>345347</xdr:colOff>
      <xdr:row>201</xdr:row>
      <xdr:rowOff>133579</xdr:rowOff>
    </xdr:to>
    <xdr:grpSp>
      <xdr:nvGrpSpPr>
        <xdr:cNvPr id="57" name="Group 56">
          <a:extLst>
            <a:ext uri="{FF2B5EF4-FFF2-40B4-BE49-F238E27FC236}">
              <a16:creationId xmlns:a16="http://schemas.microsoft.com/office/drawing/2014/main" id="{00000000-0008-0000-0D00-000039000000}"/>
            </a:ext>
          </a:extLst>
        </xdr:cNvPr>
        <xdr:cNvGrpSpPr/>
      </xdr:nvGrpSpPr>
      <xdr:grpSpPr>
        <a:xfrm>
          <a:off x="3089578" y="36418678"/>
          <a:ext cx="2035238" cy="3871661"/>
          <a:chOff x="2712361" y="432954"/>
          <a:chExt cx="2035239" cy="3858389"/>
        </a:xfrm>
      </xdr:grpSpPr>
      <xdr:cxnSp macro="">
        <xdr:nvCxnSpPr>
          <xdr:cNvPr id="58" name="Straight Connector 57">
            <a:extLst>
              <a:ext uri="{FF2B5EF4-FFF2-40B4-BE49-F238E27FC236}">
                <a16:creationId xmlns:a16="http://schemas.microsoft.com/office/drawing/2014/main" id="{00000000-0008-0000-0D00-00003A000000}"/>
              </a:ext>
            </a:extLst>
          </xdr:cNvPr>
          <xdr:cNvCxnSpPr/>
        </xdr:nvCxnSpPr>
        <xdr:spPr>
          <a:xfrm>
            <a:off x="2712361" y="437310"/>
            <a:ext cx="0" cy="3854033"/>
          </a:xfrm>
          <a:prstGeom prst="line">
            <a:avLst/>
          </a:prstGeom>
          <a:ln w="19050">
            <a:solidFill>
              <a:srgbClr val="7030A0"/>
            </a:solidFill>
          </a:ln>
        </xdr:spPr>
        <xdr:style>
          <a:lnRef idx="1">
            <a:schemeClr val="accent1"/>
          </a:lnRef>
          <a:fillRef idx="0">
            <a:schemeClr val="accent1"/>
          </a:fillRef>
          <a:effectRef idx="0">
            <a:schemeClr val="accent1"/>
          </a:effectRef>
          <a:fontRef idx="minor">
            <a:schemeClr val="tx1"/>
          </a:fontRef>
        </xdr:style>
      </xdr:cxnSp>
      <xdr:cxnSp macro="">
        <xdr:nvCxnSpPr>
          <xdr:cNvPr id="59" name="Straight Connector 58">
            <a:extLst>
              <a:ext uri="{FF2B5EF4-FFF2-40B4-BE49-F238E27FC236}">
                <a16:creationId xmlns:a16="http://schemas.microsoft.com/office/drawing/2014/main" id="{00000000-0008-0000-0D00-00003B000000}"/>
              </a:ext>
            </a:extLst>
          </xdr:cNvPr>
          <xdr:cNvCxnSpPr/>
        </xdr:nvCxnSpPr>
        <xdr:spPr>
          <a:xfrm>
            <a:off x="4747600" y="432954"/>
            <a:ext cx="0" cy="3854033"/>
          </a:xfrm>
          <a:prstGeom prst="line">
            <a:avLst/>
          </a:prstGeom>
          <a:ln w="19050">
            <a:solidFill>
              <a:srgbClr val="7030A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268941</xdr:colOff>
      <xdr:row>151</xdr:row>
      <xdr:rowOff>99893</xdr:rowOff>
    </xdr:from>
    <xdr:to>
      <xdr:col>11</xdr:col>
      <xdr:colOff>312194</xdr:colOff>
      <xdr:row>176</xdr:row>
      <xdr:rowOff>192100</xdr:rowOff>
    </xdr:to>
    <xdr:graphicFrame macro="">
      <xdr:nvGraphicFramePr>
        <xdr:cNvPr id="64" name="Chart 63">
          <a:extLst>
            <a:ext uri="{FF2B5EF4-FFF2-40B4-BE49-F238E27FC236}">
              <a16:creationId xmlns:a16="http://schemas.microsoft.com/office/drawing/2014/main" id="{00000000-0008-0000-0D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4</xdr:col>
      <xdr:colOff>292589</xdr:colOff>
      <xdr:row>152</xdr:row>
      <xdr:rowOff>73200</xdr:rowOff>
    </xdr:from>
    <xdr:to>
      <xdr:col>7</xdr:col>
      <xdr:colOff>483659</xdr:colOff>
      <xdr:row>171</xdr:row>
      <xdr:rowOff>148949</xdr:rowOff>
    </xdr:to>
    <xdr:grpSp>
      <xdr:nvGrpSpPr>
        <xdr:cNvPr id="65" name="Group 64">
          <a:extLst>
            <a:ext uri="{FF2B5EF4-FFF2-40B4-BE49-F238E27FC236}">
              <a16:creationId xmlns:a16="http://schemas.microsoft.com/office/drawing/2014/main" id="{00000000-0008-0000-0D00-000041000000}"/>
            </a:ext>
          </a:extLst>
        </xdr:cNvPr>
        <xdr:cNvGrpSpPr/>
      </xdr:nvGrpSpPr>
      <xdr:grpSpPr>
        <a:xfrm>
          <a:off x="3227890" y="30440501"/>
          <a:ext cx="2035238" cy="3871661"/>
          <a:chOff x="2712361" y="432954"/>
          <a:chExt cx="2035239" cy="3858389"/>
        </a:xfrm>
      </xdr:grpSpPr>
      <xdr:cxnSp macro="">
        <xdr:nvCxnSpPr>
          <xdr:cNvPr id="66" name="Straight Connector 65">
            <a:extLst>
              <a:ext uri="{FF2B5EF4-FFF2-40B4-BE49-F238E27FC236}">
                <a16:creationId xmlns:a16="http://schemas.microsoft.com/office/drawing/2014/main" id="{00000000-0008-0000-0D00-000042000000}"/>
              </a:ext>
            </a:extLst>
          </xdr:cNvPr>
          <xdr:cNvCxnSpPr/>
        </xdr:nvCxnSpPr>
        <xdr:spPr>
          <a:xfrm>
            <a:off x="2712361" y="437310"/>
            <a:ext cx="0" cy="3854033"/>
          </a:xfrm>
          <a:prstGeom prst="line">
            <a:avLst/>
          </a:prstGeom>
          <a:ln w="19050">
            <a:solidFill>
              <a:srgbClr val="7030A0"/>
            </a:solidFill>
          </a:ln>
        </xdr:spPr>
        <xdr:style>
          <a:lnRef idx="1">
            <a:schemeClr val="accent1"/>
          </a:lnRef>
          <a:fillRef idx="0">
            <a:schemeClr val="accent1"/>
          </a:fillRef>
          <a:effectRef idx="0">
            <a:schemeClr val="accent1"/>
          </a:effectRef>
          <a:fontRef idx="minor">
            <a:schemeClr val="tx1"/>
          </a:fontRef>
        </xdr:style>
      </xdr:cxnSp>
      <xdr:cxnSp macro="">
        <xdr:nvCxnSpPr>
          <xdr:cNvPr id="67" name="Straight Connector 66">
            <a:extLst>
              <a:ext uri="{FF2B5EF4-FFF2-40B4-BE49-F238E27FC236}">
                <a16:creationId xmlns:a16="http://schemas.microsoft.com/office/drawing/2014/main" id="{00000000-0008-0000-0D00-000043000000}"/>
              </a:ext>
            </a:extLst>
          </xdr:cNvPr>
          <xdr:cNvCxnSpPr/>
        </xdr:nvCxnSpPr>
        <xdr:spPr>
          <a:xfrm>
            <a:off x="4747600" y="432954"/>
            <a:ext cx="0" cy="3854033"/>
          </a:xfrm>
          <a:prstGeom prst="line">
            <a:avLst/>
          </a:prstGeom>
          <a:ln w="19050">
            <a:solidFill>
              <a:srgbClr val="7030A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0</xdr:colOff>
      <xdr:row>120</xdr:row>
      <xdr:rowOff>0</xdr:rowOff>
    </xdr:from>
    <xdr:to>
      <xdr:col>22</xdr:col>
      <xdr:colOff>26051</xdr:colOff>
      <xdr:row>142</xdr:row>
      <xdr:rowOff>192101</xdr:rowOff>
    </xdr:to>
    <mc:AlternateContent xmlns:mc="http://schemas.openxmlformats.org/markup-compatibility/2006">
      <mc:Choice xmlns:cx1="http://schemas.microsoft.com/office/drawing/2015/9/8/chartex" Requires="cx1">
        <xdr:graphicFrame macro="">
          <xdr:nvGraphicFramePr>
            <xdr:cNvPr id="68" name="Chart 67">
              <a:extLst>
                <a:ext uri="{FF2B5EF4-FFF2-40B4-BE49-F238E27FC236}">
                  <a16:creationId xmlns:a16="http://schemas.microsoft.com/office/drawing/2014/main" id="{00000000-0008-0000-0D00-000044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2"/>
            </a:graphicData>
          </a:graphic>
        </xdr:graphicFrame>
      </mc:Choice>
      <mc:Fallback>
        <xdr:sp macro="" textlink="">
          <xdr:nvSpPr>
            <xdr:cNvPr id="0" name=""/>
            <xdr:cNvSpPr>
              <a:spLocks noTextEdit="1"/>
            </xdr:cNvSpPr>
          </xdr:nvSpPr>
          <xdr:spPr>
            <a:xfrm>
              <a:off x="8467805" y="23974185"/>
              <a:ext cx="5558555" cy="4587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23</xdr:col>
      <xdr:colOff>261258</xdr:colOff>
      <xdr:row>120</xdr:row>
      <xdr:rowOff>92209</xdr:rowOff>
    </xdr:from>
    <xdr:to>
      <xdr:col>32</xdr:col>
      <xdr:colOff>287308</xdr:colOff>
      <xdr:row>143</xdr:row>
      <xdr:rowOff>84525</xdr:rowOff>
    </xdr:to>
    <mc:AlternateContent xmlns:mc="http://schemas.openxmlformats.org/markup-compatibility/2006">
      <mc:Choice xmlns:cx1="http://schemas.microsoft.com/office/drawing/2015/9/8/chartex" Requires="cx1">
        <xdr:graphicFrame macro="">
          <xdr:nvGraphicFramePr>
            <xdr:cNvPr id="70" name="Chart 69">
              <a:extLst>
                <a:ext uri="{FF2B5EF4-FFF2-40B4-BE49-F238E27FC236}">
                  <a16:creationId xmlns:a16="http://schemas.microsoft.com/office/drawing/2014/main" id="{00000000-0008-0000-0D00-000046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3"/>
            </a:graphicData>
          </a:graphic>
        </xdr:graphicFrame>
      </mc:Choice>
      <mc:Fallback>
        <xdr:sp macro="" textlink="">
          <xdr:nvSpPr>
            <xdr:cNvPr id="0" name=""/>
            <xdr:cNvSpPr>
              <a:spLocks noTextEdit="1"/>
            </xdr:cNvSpPr>
          </xdr:nvSpPr>
          <xdr:spPr>
            <a:xfrm>
              <a:off x="14876290" y="24066394"/>
              <a:ext cx="5558554" cy="4587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99893</xdr:colOff>
      <xdr:row>240</xdr:row>
      <xdr:rowOff>69157</xdr:rowOff>
    </xdr:from>
    <xdr:to>
      <xdr:col>11</xdr:col>
      <xdr:colOff>143146</xdr:colOff>
      <xdr:row>265</xdr:row>
      <xdr:rowOff>161364</xdr:rowOff>
    </xdr:to>
    <xdr:graphicFrame macro="">
      <xdr:nvGraphicFramePr>
        <xdr:cNvPr id="75" name="Chart 74">
          <a:extLst>
            <a:ext uri="{FF2B5EF4-FFF2-40B4-BE49-F238E27FC236}">
              <a16:creationId xmlns:a16="http://schemas.microsoft.com/office/drawing/2014/main" id="{00000000-0008-0000-0D00-00004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4</xdr:col>
      <xdr:colOff>123541</xdr:colOff>
      <xdr:row>241</xdr:row>
      <xdr:rowOff>42464</xdr:rowOff>
    </xdr:from>
    <xdr:to>
      <xdr:col>7</xdr:col>
      <xdr:colOff>314611</xdr:colOff>
      <xdr:row>260</xdr:row>
      <xdr:rowOff>118213</xdr:rowOff>
    </xdr:to>
    <xdr:grpSp>
      <xdr:nvGrpSpPr>
        <xdr:cNvPr id="76" name="Group 75">
          <a:extLst>
            <a:ext uri="{FF2B5EF4-FFF2-40B4-BE49-F238E27FC236}">
              <a16:creationId xmlns:a16="http://schemas.microsoft.com/office/drawing/2014/main" id="{00000000-0008-0000-0D00-00004C000000}"/>
            </a:ext>
          </a:extLst>
        </xdr:cNvPr>
        <xdr:cNvGrpSpPr/>
      </xdr:nvGrpSpPr>
      <xdr:grpSpPr>
        <a:xfrm>
          <a:off x="3058842" y="48190619"/>
          <a:ext cx="2035238" cy="3871661"/>
          <a:chOff x="2712361" y="432954"/>
          <a:chExt cx="2035239" cy="3858389"/>
        </a:xfrm>
      </xdr:grpSpPr>
      <xdr:cxnSp macro="">
        <xdr:nvCxnSpPr>
          <xdr:cNvPr id="77" name="Straight Connector 76">
            <a:extLst>
              <a:ext uri="{FF2B5EF4-FFF2-40B4-BE49-F238E27FC236}">
                <a16:creationId xmlns:a16="http://schemas.microsoft.com/office/drawing/2014/main" id="{00000000-0008-0000-0D00-00004D000000}"/>
              </a:ext>
            </a:extLst>
          </xdr:cNvPr>
          <xdr:cNvCxnSpPr/>
        </xdr:nvCxnSpPr>
        <xdr:spPr>
          <a:xfrm>
            <a:off x="2712361" y="437310"/>
            <a:ext cx="0" cy="3854033"/>
          </a:xfrm>
          <a:prstGeom prst="line">
            <a:avLst/>
          </a:prstGeom>
          <a:ln w="19050">
            <a:solidFill>
              <a:srgbClr val="7030A0"/>
            </a:solidFill>
          </a:ln>
        </xdr:spPr>
        <xdr:style>
          <a:lnRef idx="1">
            <a:schemeClr val="accent1"/>
          </a:lnRef>
          <a:fillRef idx="0">
            <a:schemeClr val="accent1"/>
          </a:fillRef>
          <a:effectRef idx="0">
            <a:schemeClr val="accent1"/>
          </a:effectRef>
          <a:fontRef idx="minor">
            <a:schemeClr val="tx1"/>
          </a:fontRef>
        </xdr:style>
      </xdr:cxnSp>
      <xdr:cxnSp macro="">
        <xdr:nvCxnSpPr>
          <xdr:cNvPr id="78" name="Straight Connector 77">
            <a:extLst>
              <a:ext uri="{FF2B5EF4-FFF2-40B4-BE49-F238E27FC236}">
                <a16:creationId xmlns:a16="http://schemas.microsoft.com/office/drawing/2014/main" id="{00000000-0008-0000-0D00-00004E000000}"/>
              </a:ext>
            </a:extLst>
          </xdr:cNvPr>
          <xdr:cNvCxnSpPr/>
        </xdr:nvCxnSpPr>
        <xdr:spPr>
          <a:xfrm>
            <a:off x="4747600" y="432954"/>
            <a:ext cx="0" cy="3854033"/>
          </a:xfrm>
          <a:prstGeom prst="line">
            <a:avLst/>
          </a:prstGeom>
          <a:ln w="19050">
            <a:solidFill>
              <a:srgbClr val="7030A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92208</xdr:colOff>
      <xdr:row>240</xdr:row>
      <xdr:rowOff>145997</xdr:rowOff>
    </xdr:from>
    <xdr:to>
      <xdr:col>22</xdr:col>
      <xdr:colOff>118259</xdr:colOff>
      <xdr:row>263</xdr:row>
      <xdr:rowOff>138313</xdr:rowOff>
    </xdr:to>
    <mc:AlternateContent xmlns:mc="http://schemas.openxmlformats.org/markup-compatibility/2006">
      <mc:Choice xmlns:cx1="http://schemas.microsoft.com/office/drawing/2015/9/8/chartex" Requires="cx1">
        <xdr:graphicFrame macro="">
          <xdr:nvGraphicFramePr>
            <xdr:cNvPr id="79" name="Chart 78">
              <a:extLst>
                <a:ext uri="{FF2B5EF4-FFF2-40B4-BE49-F238E27FC236}">
                  <a16:creationId xmlns:a16="http://schemas.microsoft.com/office/drawing/2014/main" id="{00000000-0008-0000-0D00-00004F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5"/>
            </a:graphicData>
          </a:graphic>
        </xdr:graphicFrame>
      </mc:Choice>
      <mc:Fallback>
        <xdr:sp macro="" textlink="">
          <xdr:nvSpPr>
            <xdr:cNvPr id="0" name=""/>
            <xdr:cNvSpPr>
              <a:spLocks noTextEdit="1"/>
            </xdr:cNvSpPr>
          </xdr:nvSpPr>
          <xdr:spPr>
            <a:xfrm>
              <a:off x="8560013" y="48094367"/>
              <a:ext cx="5558555" cy="4587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24</xdr:col>
      <xdr:colOff>69156</xdr:colOff>
      <xdr:row>240</xdr:row>
      <xdr:rowOff>107577</xdr:rowOff>
    </xdr:from>
    <xdr:to>
      <xdr:col>33</xdr:col>
      <xdr:colOff>95206</xdr:colOff>
      <xdr:row>263</xdr:row>
      <xdr:rowOff>99893</xdr:rowOff>
    </xdr:to>
    <mc:AlternateContent xmlns:mc="http://schemas.openxmlformats.org/markup-compatibility/2006">
      <mc:Choice xmlns:cx1="http://schemas.microsoft.com/office/drawing/2015/9/8/chartex" Requires="cx1">
        <xdr:graphicFrame macro="">
          <xdr:nvGraphicFramePr>
            <xdr:cNvPr id="80" name="Chart 79">
              <a:extLst>
                <a:ext uri="{FF2B5EF4-FFF2-40B4-BE49-F238E27FC236}">
                  <a16:creationId xmlns:a16="http://schemas.microsoft.com/office/drawing/2014/main" id="{00000000-0008-0000-0D00-000050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6"/>
            </a:graphicData>
          </a:graphic>
        </xdr:graphicFrame>
      </mc:Choice>
      <mc:Fallback>
        <xdr:sp macro="" textlink="">
          <xdr:nvSpPr>
            <xdr:cNvPr id="0" name=""/>
            <xdr:cNvSpPr>
              <a:spLocks noTextEdit="1"/>
            </xdr:cNvSpPr>
          </xdr:nvSpPr>
          <xdr:spPr>
            <a:xfrm>
              <a:off x="15298911" y="48055947"/>
              <a:ext cx="5558554" cy="4587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13</xdr:col>
      <xdr:colOff>99893</xdr:colOff>
      <xdr:row>270</xdr:row>
      <xdr:rowOff>99892</xdr:rowOff>
    </xdr:from>
    <xdr:to>
      <xdr:col>22</xdr:col>
      <xdr:colOff>125944</xdr:colOff>
      <xdr:row>293</xdr:row>
      <xdr:rowOff>92208</xdr:rowOff>
    </xdr:to>
    <mc:AlternateContent xmlns:mc="http://schemas.openxmlformats.org/markup-compatibility/2006">
      <mc:Choice xmlns:cx1="http://schemas.microsoft.com/office/drawing/2015/9/8/chartex" Requires="cx1">
        <xdr:graphicFrame macro="">
          <xdr:nvGraphicFramePr>
            <xdr:cNvPr id="81" name="Chart 80">
              <a:extLst>
                <a:ext uri="{FF2B5EF4-FFF2-40B4-BE49-F238E27FC236}">
                  <a16:creationId xmlns:a16="http://schemas.microsoft.com/office/drawing/2014/main" id="{00000000-0008-0000-0D00-000051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7"/>
            </a:graphicData>
          </a:graphic>
        </xdr:graphicFrame>
      </mc:Choice>
      <mc:Fallback>
        <xdr:sp macro="" textlink="">
          <xdr:nvSpPr>
            <xdr:cNvPr id="0" name=""/>
            <xdr:cNvSpPr>
              <a:spLocks noTextEdit="1"/>
            </xdr:cNvSpPr>
          </xdr:nvSpPr>
          <xdr:spPr>
            <a:xfrm>
              <a:off x="8567698" y="54041808"/>
              <a:ext cx="5558555" cy="4587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24</xdr:col>
      <xdr:colOff>99893</xdr:colOff>
      <xdr:row>270</xdr:row>
      <xdr:rowOff>153681</xdr:rowOff>
    </xdr:from>
    <xdr:to>
      <xdr:col>33</xdr:col>
      <xdr:colOff>125943</xdr:colOff>
      <xdr:row>293</xdr:row>
      <xdr:rowOff>145997</xdr:rowOff>
    </xdr:to>
    <mc:AlternateContent xmlns:mc="http://schemas.openxmlformats.org/markup-compatibility/2006">
      <mc:Choice xmlns:cx1="http://schemas.microsoft.com/office/drawing/2015/9/8/chartex" Requires="cx1">
        <xdr:graphicFrame macro="">
          <xdr:nvGraphicFramePr>
            <xdr:cNvPr id="82" name="Chart 81">
              <a:extLst>
                <a:ext uri="{FF2B5EF4-FFF2-40B4-BE49-F238E27FC236}">
                  <a16:creationId xmlns:a16="http://schemas.microsoft.com/office/drawing/2014/main" id="{00000000-0008-0000-0D00-000052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8"/>
            </a:graphicData>
          </a:graphic>
        </xdr:graphicFrame>
      </mc:Choice>
      <mc:Fallback>
        <xdr:sp macro="" textlink="">
          <xdr:nvSpPr>
            <xdr:cNvPr id="0" name=""/>
            <xdr:cNvSpPr>
              <a:spLocks noTextEdit="1"/>
            </xdr:cNvSpPr>
          </xdr:nvSpPr>
          <xdr:spPr>
            <a:xfrm>
              <a:off x="15329648" y="54095597"/>
              <a:ext cx="5558554" cy="4587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13</xdr:col>
      <xdr:colOff>169048</xdr:colOff>
      <xdr:row>298</xdr:row>
      <xdr:rowOff>99892</xdr:rowOff>
    </xdr:from>
    <xdr:to>
      <xdr:col>22</xdr:col>
      <xdr:colOff>195099</xdr:colOff>
      <xdr:row>321</xdr:row>
      <xdr:rowOff>92207</xdr:rowOff>
    </xdr:to>
    <mc:AlternateContent xmlns:mc="http://schemas.openxmlformats.org/markup-compatibility/2006">
      <mc:Choice xmlns:cx1="http://schemas.microsoft.com/office/drawing/2015/9/8/chartex" Requires="cx1">
        <xdr:graphicFrame macro="">
          <xdr:nvGraphicFramePr>
            <xdr:cNvPr id="83" name="Chart 82">
              <a:extLst>
                <a:ext uri="{FF2B5EF4-FFF2-40B4-BE49-F238E27FC236}">
                  <a16:creationId xmlns:a16="http://schemas.microsoft.com/office/drawing/2014/main" id="{00000000-0008-0000-0D00-000053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9"/>
            </a:graphicData>
          </a:graphic>
        </xdr:graphicFrame>
      </mc:Choice>
      <mc:Fallback>
        <xdr:sp macro="" textlink="">
          <xdr:nvSpPr>
            <xdr:cNvPr id="0" name=""/>
            <xdr:cNvSpPr>
              <a:spLocks noTextEdit="1"/>
            </xdr:cNvSpPr>
          </xdr:nvSpPr>
          <xdr:spPr>
            <a:xfrm>
              <a:off x="8636853" y="59635784"/>
              <a:ext cx="5558555" cy="4587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24</xdr:col>
      <xdr:colOff>161364</xdr:colOff>
      <xdr:row>298</xdr:row>
      <xdr:rowOff>84525</xdr:rowOff>
    </xdr:from>
    <xdr:to>
      <xdr:col>33</xdr:col>
      <xdr:colOff>187414</xdr:colOff>
      <xdr:row>321</xdr:row>
      <xdr:rowOff>76840</xdr:rowOff>
    </xdr:to>
    <mc:AlternateContent xmlns:mc="http://schemas.openxmlformats.org/markup-compatibility/2006">
      <mc:Choice xmlns:cx1="http://schemas.microsoft.com/office/drawing/2015/9/8/chartex" Requires="cx1">
        <xdr:graphicFrame macro="">
          <xdr:nvGraphicFramePr>
            <xdr:cNvPr id="85" name="Chart 84">
              <a:extLst>
                <a:ext uri="{FF2B5EF4-FFF2-40B4-BE49-F238E27FC236}">
                  <a16:creationId xmlns:a16="http://schemas.microsoft.com/office/drawing/2014/main" id="{00000000-0008-0000-0D00-000055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0"/>
            </a:graphicData>
          </a:graphic>
        </xdr:graphicFrame>
      </mc:Choice>
      <mc:Fallback>
        <xdr:sp macro="" textlink="">
          <xdr:nvSpPr>
            <xdr:cNvPr id="0" name=""/>
            <xdr:cNvSpPr>
              <a:spLocks noTextEdit="1"/>
            </xdr:cNvSpPr>
          </xdr:nvSpPr>
          <xdr:spPr>
            <a:xfrm>
              <a:off x="15391119" y="59620417"/>
              <a:ext cx="5558554" cy="4587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xdr:from>
      <xdr:col>2</xdr:col>
      <xdr:colOff>61472</xdr:colOff>
      <xdr:row>1</xdr:row>
      <xdr:rowOff>0</xdr:rowOff>
    </xdr:from>
    <xdr:to>
      <xdr:col>12</xdr:col>
      <xdr:colOff>189249</xdr:colOff>
      <xdr:row>26</xdr:row>
      <xdr:rowOff>92207</xdr:rowOff>
    </xdr:to>
    <xdr:graphicFrame macro="">
      <xdr:nvGraphicFramePr>
        <xdr:cNvPr id="3" name="Chart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69156</xdr:colOff>
      <xdr:row>28</xdr:row>
      <xdr:rowOff>61472</xdr:rowOff>
    </xdr:from>
    <xdr:to>
      <xdr:col>12</xdr:col>
      <xdr:colOff>196933</xdr:colOff>
      <xdr:row>53</xdr:row>
      <xdr:rowOff>153679</xdr:rowOff>
    </xdr:to>
    <xdr:graphicFrame macro="">
      <xdr:nvGraphicFramePr>
        <xdr:cNvPr id="4" name="Chart 3">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84524</xdr:colOff>
      <xdr:row>55</xdr:row>
      <xdr:rowOff>69156</xdr:rowOff>
    </xdr:from>
    <xdr:to>
      <xdr:col>12</xdr:col>
      <xdr:colOff>212301</xdr:colOff>
      <xdr:row>80</xdr:row>
      <xdr:rowOff>161363</xdr:rowOff>
    </xdr:to>
    <xdr:graphicFrame macro="">
      <xdr:nvGraphicFramePr>
        <xdr:cNvPr id="6" name="Chart 5">
          <a:extLst>
            <a:ext uri="{FF2B5EF4-FFF2-40B4-BE49-F238E27FC236}">
              <a16:creationId xmlns:a16="http://schemas.microsoft.com/office/drawing/2014/main" id="{00000000-0008-0000-0F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145998</xdr:colOff>
      <xdr:row>1</xdr:row>
      <xdr:rowOff>61474</xdr:rowOff>
    </xdr:from>
    <xdr:to>
      <xdr:col>11</xdr:col>
      <xdr:colOff>189251</xdr:colOff>
      <xdr:row>26</xdr:row>
      <xdr:rowOff>153681</xdr:rowOff>
    </xdr:to>
    <xdr:graphicFrame macro="">
      <xdr:nvGraphicFramePr>
        <xdr:cNvPr id="8" name="Chart 7">
          <a:extLst>
            <a:ext uri="{FF2B5EF4-FFF2-40B4-BE49-F238E27FC236}">
              <a16:creationId xmlns:a16="http://schemas.microsoft.com/office/drawing/2014/main" id="{00000000-0008-0000-1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30983</xdr:colOff>
      <xdr:row>2</xdr:row>
      <xdr:rowOff>44385</xdr:rowOff>
    </xdr:from>
    <xdr:to>
      <xdr:col>8</xdr:col>
      <xdr:colOff>163200</xdr:colOff>
      <xdr:row>21</xdr:row>
      <xdr:rowOff>116292</xdr:rowOff>
    </xdr:to>
    <xdr:grpSp>
      <xdr:nvGrpSpPr>
        <xdr:cNvPr id="51" name="Group 50">
          <a:extLst>
            <a:ext uri="{FF2B5EF4-FFF2-40B4-BE49-F238E27FC236}">
              <a16:creationId xmlns:a16="http://schemas.microsoft.com/office/drawing/2014/main" id="{00000000-0008-0000-1200-000033000000}"/>
            </a:ext>
          </a:extLst>
        </xdr:cNvPr>
        <xdr:cNvGrpSpPr/>
      </xdr:nvGrpSpPr>
      <xdr:grpSpPr>
        <a:xfrm>
          <a:off x="3803844" y="443955"/>
          <a:ext cx="1361662" cy="3867819"/>
          <a:chOff x="11119043" y="534242"/>
          <a:chExt cx="1361662" cy="3867819"/>
        </a:xfrm>
      </xdr:grpSpPr>
      <xdr:cxnSp macro="">
        <xdr:nvCxnSpPr>
          <xdr:cNvPr id="49" name="Straight Connector 48">
            <a:extLst>
              <a:ext uri="{FF2B5EF4-FFF2-40B4-BE49-F238E27FC236}">
                <a16:creationId xmlns:a16="http://schemas.microsoft.com/office/drawing/2014/main" id="{00000000-0008-0000-1200-000031000000}"/>
              </a:ext>
            </a:extLst>
          </xdr:cNvPr>
          <xdr:cNvCxnSpPr/>
        </xdr:nvCxnSpPr>
        <xdr:spPr>
          <a:xfrm>
            <a:off x="11119043" y="534756"/>
            <a:ext cx="0" cy="3867305"/>
          </a:xfrm>
          <a:prstGeom prst="line">
            <a:avLst/>
          </a:prstGeom>
          <a:ln w="19050">
            <a:solidFill>
              <a:srgbClr val="7030A0"/>
            </a:solidFill>
          </a:ln>
        </xdr:spPr>
        <xdr:style>
          <a:lnRef idx="1">
            <a:schemeClr val="accent1"/>
          </a:lnRef>
          <a:fillRef idx="0">
            <a:schemeClr val="accent1"/>
          </a:fillRef>
          <a:effectRef idx="0">
            <a:schemeClr val="accent1"/>
          </a:effectRef>
          <a:fontRef idx="minor">
            <a:schemeClr val="tx1"/>
          </a:fontRef>
        </xdr:style>
      </xdr:cxnSp>
      <xdr:cxnSp macro="">
        <xdr:nvCxnSpPr>
          <xdr:cNvPr id="50" name="Straight Connector 49">
            <a:extLst>
              <a:ext uri="{FF2B5EF4-FFF2-40B4-BE49-F238E27FC236}">
                <a16:creationId xmlns:a16="http://schemas.microsoft.com/office/drawing/2014/main" id="{00000000-0008-0000-1200-000032000000}"/>
              </a:ext>
            </a:extLst>
          </xdr:cNvPr>
          <xdr:cNvCxnSpPr/>
        </xdr:nvCxnSpPr>
        <xdr:spPr>
          <a:xfrm>
            <a:off x="12480705" y="534242"/>
            <a:ext cx="0" cy="3867305"/>
          </a:xfrm>
          <a:prstGeom prst="line">
            <a:avLst/>
          </a:prstGeom>
          <a:ln w="19050">
            <a:solidFill>
              <a:srgbClr val="7030A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92209</xdr:colOff>
      <xdr:row>1</xdr:row>
      <xdr:rowOff>38420</xdr:rowOff>
    </xdr:from>
    <xdr:to>
      <xdr:col>23</xdr:col>
      <xdr:colOff>219986</xdr:colOff>
      <xdr:row>26</xdr:row>
      <xdr:rowOff>130627</xdr:rowOff>
    </xdr:to>
    <xdr:graphicFrame macro="">
      <xdr:nvGraphicFramePr>
        <xdr:cNvPr id="52" name="Chart 51">
          <a:extLst>
            <a:ext uri="{FF2B5EF4-FFF2-40B4-BE49-F238E27FC236}">
              <a16:creationId xmlns:a16="http://schemas.microsoft.com/office/drawing/2014/main" id="{00000000-0008-0000-12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61718</xdr:colOff>
      <xdr:row>2</xdr:row>
      <xdr:rowOff>21331</xdr:rowOff>
    </xdr:from>
    <xdr:to>
      <xdr:col>20</xdr:col>
      <xdr:colOff>193935</xdr:colOff>
      <xdr:row>21</xdr:row>
      <xdr:rowOff>93238</xdr:rowOff>
    </xdr:to>
    <xdr:grpSp>
      <xdr:nvGrpSpPr>
        <xdr:cNvPr id="53" name="Group 52">
          <a:extLst>
            <a:ext uri="{FF2B5EF4-FFF2-40B4-BE49-F238E27FC236}">
              <a16:creationId xmlns:a16="http://schemas.microsoft.com/office/drawing/2014/main" id="{00000000-0008-0000-1200-000035000000}"/>
            </a:ext>
          </a:extLst>
        </xdr:cNvPr>
        <xdr:cNvGrpSpPr/>
      </xdr:nvGrpSpPr>
      <xdr:grpSpPr>
        <a:xfrm>
          <a:off x="11211251" y="420901"/>
          <a:ext cx="1361662" cy="3867819"/>
          <a:chOff x="11119043" y="534242"/>
          <a:chExt cx="1361662" cy="3867819"/>
        </a:xfrm>
      </xdr:grpSpPr>
      <xdr:cxnSp macro="">
        <xdr:nvCxnSpPr>
          <xdr:cNvPr id="54" name="Straight Connector 53">
            <a:extLst>
              <a:ext uri="{FF2B5EF4-FFF2-40B4-BE49-F238E27FC236}">
                <a16:creationId xmlns:a16="http://schemas.microsoft.com/office/drawing/2014/main" id="{00000000-0008-0000-1200-000036000000}"/>
              </a:ext>
            </a:extLst>
          </xdr:cNvPr>
          <xdr:cNvCxnSpPr/>
        </xdr:nvCxnSpPr>
        <xdr:spPr>
          <a:xfrm>
            <a:off x="11119043" y="534756"/>
            <a:ext cx="0" cy="3867305"/>
          </a:xfrm>
          <a:prstGeom prst="line">
            <a:avLst/>
          </a:prstGeom>
          <a:ln w="19050">
            <a:solidFill>
              <a:srgbClr val="7030A0"/>
            </a:solidFill>
          </a:ln>
        </xdr:spPr>
        <xdr:style>
          <a:lnRef idx="1">
            <a:schemeClr val="accent1"/>
          </a:lnRef>
          <a:fillRef idx="0">
            <a:schemeClr val="accent1"/>
          </a:fillRef>
          <a:effectRef idx="0">
            <a:schemeClr val="accent1"/>
          </a:effectRef>
          <a:fontRef idx="minor">
            <a:schemeClr val="tx1"/>
          </a:fontRef>
        </xdr:style>
      </xdr:cxnSp>
      <xdr:cxnSp macro="">
        <xdr:nvCxnSpPr>
          <xdr:cNvPr id="55" name="Straight Connector 54">
            <a:extLst>
              <a:ext uri="{FF2B5EF4-FFF2-40B4-BE49-F238E27FC236}">
                <a16:creationId xmlns:a16="http://schemas.microsoft.com/office/drawing/2014/main" id="{00000000-0008-0000-1200-000037000000}"/>
              </a:ext>
            </a:extLst>
          </xdr:cNvPr>
          <xdr:cNvCxnSpPr/>
        </xdr:nvCxnSpPr>
        <xdr:spPr>
          <a:xfrm>
            <a:off x="12480705" y="534242"/>
            <a:ext cx="0" cy="3867305"/>
          </a:xfrm>
          <a:prstGeom prst="line">
            <a:avLst/>
          </a:prstGeom>
          <a:ln w="19050">
            <a:solidFill>
              <a:srgbClr val="7030A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25</xdr:col>
      <xdr:colOff>84523</xdr:colOff>
      <xdr:row>1</xdr:row>
      <xdr:rowOff>23052</xdr:rowOff>
    </xdr:from>
    <xdr:to>
      <xdr:col>35</xdr:col>
      <xdr:colOff>212301</xdr:colOff>
      <xdr:row>26</xdr:row>
      <xdr:rowOff>115259</xdr:rowOff>
    </xdr:to>
    <xdr:graphicFrame macro="">
      <xdr:nvGraphicFramePr>
        <xdr:cNvPr id="56" name="Chart 55">
          <a:extLst>
            <a:ext uri="{FF2B5EF4-FFF2-40B4-BE49-F238E27FC236}">
              <a16:creationId xmlns:a16="http://schemas.microsoft.com/office/drawing/2014/main" id="{00000000-0008-0000-12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30</xdr:col>
      <xdr:colOff>56046</xdr:colOff>
      <xdr:row>2</xdr:row>
      <xdr:rowOff>2958</xdr:rowOff>
    </xdr:from>
    <xdr:to>
      <xdr:col>32</xdr:col>
      <xdr:colOff>188262</xdr:colOff>
      <xdr:row>21</xdr:row>
      <xdr:rowOff>74539</xdr:rowOff>
    </xdr:to>
    <xdr:grpSp>
      <xdr:nvGrpSpPr>
        <xdr:cNvPr id="57" name="Group 56">
          <a:extLst>
            <a:ext uri="{FF2B5EF4-FFF2-40B4-BE49-F238E27FC236}">
              <a16:creationId xmlns:a16="http://schemas.microsoft.com/office/drawing/2014/main" id="{00000000-0008-0000-1200-000039000000}"/>
            </a:ext>
          </a:extLst>
        </xdr:cNvPr>
        <xdr:cNvGrpSpPr/>
      </xdr:nvGrpSpPr>
      <xdr:grpSpPr>
        <a:xfrm>
          <a:off x="18582251" y="402528"/>
          <a:ext cx="1361661" cy="3867493"/>
          <a:chOff x="11119043" y="534242"/>
          <a:chExt cx="1361662" cy="3867819"/>
        </a:xfrm>
      </xdr:grpSpPr>
      <xdr:cxnSp macro="">
        <xdr:nvCxnSpPr>
          <xdr:cNvPr id="58" name="Straight Connector 57">
            <a:extLst>
              <a:ext uri="{FF2B5EF4-FFF2-40B4-BE49-F238E27FC236}">
                <a16:creationId xmlns:a16="http://schemas.microsoft.com/office/drawing/2014/main" id="{00000000-0008-0000-1200-00003A000000}"/>
              </a:ext>
            </a:extLst>
          </xdr:cNvPr>
          <xdr:cNvCxnSpPr/>
        </xdr:nvCxnSpPr>
        <xdr:spPr>
          <a:xfrm>
            <a:off x="11119043" y="534756"/>
            <a:ext cx="0" cy="3867305"/>
          </a:xfrm>
          <a:prstGeom prst="line">
            <a:avLst/>
          </a:prstGeom>
          <a:ln w="19050">
            <a:solidFill>
              <a:srgbClr val="7030A0"/>
            </a:solidFill>
          </a:ln>
        </xdr:spPr>
        <xdr:style>
          <a:lnRef idx="1">
            <a:schemeClr val="accent1"/>
          </a:lnRef>
          <a:fillRef idx="0">
            <a:schemeClr val="accent1"/>
          </a:fillRef>
          <a:effectRef idx="0">
            <a:schemeClr val="accent1"/>
          </a:effectRef>
          <a:fontRef idx="minor">
            <a:schemeClr val="tx1"/>
          </a:fontRef>
        </xdr:style>
      </xdr:cxnSp>
      <xdr:cxnSp macro="">
        <xdr:nvCxnSpPr>
          <xdr:cNvPr id="59" name="Straight Connector 58">
            <a:extLst>
              <a:ext uri="{FF2B5EF4-FFF2-40B4-BE49-F238E27FC236}">
                <a16:creationId xmlns:a16="http://schemas.microsoft.com/office/drawing/2014/main" id="{00000000-0008-0000-1200-00003B000000}"/>
              </a:ext>
            </a:extLst>
          </xdr:cNvPr>
          <xdr:cNvCxnSpPr/>
        </xdr:nvCxnSpPr>
        <xdr:spPr>
          <a:xfrm>
            <a:off x="12480705" y="534242"/>
            <a:ext cx="0" cy="3867305"/>
          </a:xfrm>
          <a:prstGeom prst="line">
            <a:avLst/>
          </a:prstGeom>
          <a:ln w="19050">
            <a:solidFill>
              <a:srgbClr val="7030A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37</xdr:col>
      <xdr:colOff>66160</xdr:colOff>
      <xdr:row>1</xdr:row>
      <xdr:rowOff>53788</xdr:rowOff>
    </xdr:from>
    <xdr:to>
      <xdr:col>46</xdr:col>
      <xdr:colOff>92210</xdr:colOff>
      <xdr:row>24</xdr:row>
      <xdr:rowOff>46104</xdr:rowOff>
    </xdr:to>
    <mc:AlternateContent xmlns:mc="http://schemas.openxmlformats.org/markup-compatibility/2006">
      <mc:Choice xmlns:cx1="http://schemas.microsoft.com/office/drawing/2015/9/8/chartex" Requires="cx1">
        <xdr:graphicFrame macro="">
          <xdr:nvGraphicFramePr>
            <xdr:cNvPr id="65" name="Chart 64">
              <a:extLst>
                <a:ext uri="{FF2B5EF4-FFF2-40B4-BE49-F238E27FC236}">
                  <a16:creationId xmlns:a16="http://schemas.microsoft.com/office/drawing/2014/main" id="{00000000-0008-0000-1200-000041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22895424" y="253573"/>
              <a:ext cx="5558554" cy="4587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48</xdr:col>
      <xdr:colOff>115261</xdr:colOff>
      <xdr:row>1</xdr:row>
      <xdr:rowOff>92209</xdr:rowOff>
    </xdr:from>
    <xdr:to>
      <xdr:col>57</xdr:col>
      <xdr:colOff>141310</xdr:colOff>
      <xdr:row>24</xdr:row>
      <xdr:rowOff>84525</xdr:rowOff>
    </xdr:to>
    <mc:AlternateContent xmlns:mc="http://schemas.openxmlformats.org/markup-compatibility/2006">
      <mc:Choice xmlns:cx1="http://schemas.microsoft.com/office/drawing/2015/9/8/chartex" Requires="cx1">
        <xdr:graphicFrame macro="">
          <xdr:nvGraphicFramePr>
            <xdr:cNvPr id="15" name="Chart 14">
              <a:extLst>
                <a:ext uri="{FF2B5EF4-FFF2-40B4-BE49-F238E27FC236}">
                  <a16:creationId xmlns:a16="http://schemas.microsoft.com/office/drawing/2014/main" id="{00000000-0008-0000-1200-00000F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5"/>
            </a:graphicData>
          </a:graphic>
        </xdr:graphicFrame>
      </mc:Choice>
      <mc:Fallback>
        <xdr:sp macro="" textlink="">
          <xdr:nvSpPr>
            <xdr:cNvPr id="0" name=""/>
            <xdr:cNvSpPr>
              <a:spLocks noTextEdit="1"/>
            </xdr:cNvSpPr>
          </xdr:nvSpPr>
          <xdr:spPr>
            <a:xfrm>
              <a:off x="29706474" y="291994"/>
              <a:ext cx="5558554" cy="4587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59</xdr:col>
      <xdr:colOff>138313</xdr:colOff>
      <xdr:row>1</xdr:row>
      <xdr:rowOff>69156</xdr:rowOff>
    </xdr:from>
    <xdr:to>
      <xdr:col>68</xdr:col>
      <xdr:colOff>164363</xdr:colOff>
      <xdr:row>24</xdr:row>
      <xdr:rowOff>61472</xdr:rowOff>
    </xdr:to>
    <mc:AlternateContent xmlns:mc="http://schemas.openxmlformats.org/markup-compatibility/2006">
      <mc:Choice xmlns:cx1="http://schemas.microsoft.com/office/drawing/2015/9/8/chartex" Requires="cx1">
        <xdr:graphicFrame macro="">
          <xdr:nvGraphicFramePr>
            <xdr:cNvPr id="16" name="Chart 15">
              <a:extLst>
                <a:ext uri="{FF2B5EF4-FFF2-40B4-BE49-F238E27FC236}">
                  <a16:creationId xmlns:a16="http://schemas.microsoft.com/office/drawing/2014/main" id="{00000000-0008-0000-1200-000010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6"/>
            </a:graphicData>
          </a:graphic>
        </xdr:graphicFrame>
      </mc:Choice>
      <mc:Fallback>
        <xdr:sp macro="" textlink="">
          <xdr:nvSpPr>
            <xdr:cNvPr id="0" name=""/>
            <xdr:cNvSpPr>
              <a:spLocks noTextEdit="1"/>
            </xdr:cNvSpPr>
          </xdr:nvSpPr>
          <xdr:spPr>
            <a:xfrm>
              <a:off x="36491476" y="268941"/>
              <a:ext cx="5558554" cy="4587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70</xdr:col>
      <xdr:colOff>107577</xdr:colOff>
      <xdr:row>1</xdr:row>
      <xdr:rowOff>76841</xdr:rowOff>
    </xdr:from>
    <xdr:to>
      <xdr:col>79</xdr:col>
      <xdr:colOff>133627</xdr:colOff>
      <xdr:row>24</xdr:row>
      <xdr:rowOff>69157</xdr:rowOff>
    </xdr:to>
    <mc:AlternateContent xmlns:mc="http://schemas.openxmlformats.org/markup-compatibility/2006">
      <mc:Choice xmlns:cx1="http://schemas.microsoft.com/office/drawing/2015/9/8/chartex" Requires="cx1">
        <xdr:graphicFrame macro="">
          <xdr:nvGraphicFramePr>
            <xdr:cNvPr id="18" name="Chart 17">
              <a:extLst>
                <a:ext uri="{FF2B5EF4-FFF2-40B4-BE49-F238E27FC236}">
                  <a16:creationId xmlns:a16="http://schemas.microsoft.com/office/drawing/2014/main" id="{00000000-0008-0000-1200-000012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7"/>
            </a:graphicData>
          </a:graphic>
        </xdr:graphicFrame>
      </mc:Choice>
      <mc:Fallback>
        <xdr:sp macro="" textlink="">
          <xdr:nvSpPr>
            <xdr:cNvPr id="0" name=""/>
            <xdr:cNvSpPr>
              <a:spLocks noTextEdit="1"/>
            </xdr:cNvSpPr>
          </xdr:nvSpPr>
          <xdr:spPr>
            <a:xfrm>
              <a:off x="43222690" y="276626"/>
              <a:ext cx="5558554" cy="4587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81</xdr:col>
      <xdr:colOff>99892</xdr:colOff>
      <xdr:row>1</xdr:row>
      <xdr:rowOff>46104</xdr:rowOff>
    </xdr:from>
    <xdr:to>
      <xdr:col>90</xdr:col>
      <xdr:colOff>125942</xdr:colOff>
      <xdr:row>24</xdr:row>
      <xdr:rowOff>38420</xdr:rowOff>
    </xdr:to>
    <mc:AlternateContent xmlns:mc="http://schemas.openxmlformats.org/markup-compatibility/2006">
      <mc:Choice xmlns:cx1="http://schemas.microsoft.com/office/drawing/2015/9/8/chartex" Requires="cx1">
        <xdr:graphicFrame macro="">
          <xdr:nvGraphicFramePr>
            <xdr:cNvPr id="20" name="Chart 19">
              <a:extLst>
                <a:ext uri="{FF2B5EF4-FFF2-40B4-BE49-F238E27FC236}">
                  <a16:creationId xmlns:a16="http://schemas.microsoft.com/office/drawing/2014/main" id="{00000000-0008-0000-1200-000014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8"/>
            </a:graphicData>
          </a:graphic>
        </xdr:graphicFrame>
      </mc:Choice>
      <mc:Fallback>
        <xdr:sp macro="" textlink="">
          <xdr:nvSpPr>
            <xdr:cNvPr id="0" name=""/>
            <xdr:cNvSpPr>
              <a:spLocks noTextEdit="1"/>
            </xdr:cNvSpPr>
          </xdr:nvSpPr>
          <xdr:spPr>
            <a:xfrm>
              <a:off x="49976954" y="245889"/>
              <a:ext cx="5558554" cy="4587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199784</xdr:colOff>
      <xdr:row>30</xdr:row>
      <xdr:rowOff>115261</xdr:rowOff>
    </xdr:from>
    <xdr:to>
      <xdr:col>11</xdr:col>
      <xdr:colOff>243037</xdr:colOff>
      <xdr:row>56</xdr:row>
      <xdr:rowOff>7683</xdr:rowOff>
    </xdr:to>
    <xdr:graphicFrame macro="">
      <xdr:nvGraphicFramePr>
        <xdr:cNvPr id="21" name="Chart 20">
          <a:extLst>
            <a:ext uri="{FF2B5EF4-FFF2-40B4-BE49-F238E27FC236}">
              <a16:creationId xmlns:a16="http://schemas.microsoft.com/office/drawing/2014/main" id="{00000000-0008-0000-12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84769</xdr:colOff>
      <xdr:row>31</xdr:row>
      <xdr:rowOff>98172</xdr:rowOff>
    </xdr:from>
    <xdr:to>
      <xdr:col>8</xdr:col>
      <xdr:colOff>216986</xdr:colOff>
      <xdr:row>50</xdr:row>
      <xdr:rowOff>170078</xdr:rowOff>
    </xdr:to>
    <xdr:grpSp>
      <xdr:nvGrpSpPr>
        <xdr:cNvPr id="22" name="Group 21">
          <a:extLst>
            <a:ext uri="{FF2B5EF4-FFF2-40B4-BE49-F238E27FC236}">
              <a16:creationId xmlns:a16="http://schemas.microsoft.com/office/drawing/2014/main" id="{00000000-0008-0000-1200-000016000000}"/>
            </a:ext>
          </a:extLst>
        </xdr:cNvPr>
        <xdr:cNvGrpSpPr/>
      </xdr:nvGrpSpPr>
      <xdr:grpSpPr>
        <a:xfrm>
          <a:off x="3857630" y="6291503"/>
          <a:ext cx="1361662" cy="3867819"/>
          <a:chOff x="11119043" y="534242"/>
          <a:chExt cx="1361662" cy="3867819"/>
        </a:xfrm>
      </xdr:grpSpPr>
      <xdr:cxnSp macro="">
        <xdr:nvCxnSpPr>
          <xdr:cNvPr id="23" name="Straight Connector 22">
            <a:extLst>
              <a:ext uri="{FF2B5EF4-FFF2-40B4-BE49-F238E27FC236}">
                <a16:creationId xmlns:a16="http://schemas.microsoft.com/office/drawing/2014/main" id="{00000000-0008-0000-1200-000017000000}"/>
              </a:ext>
            </a:extLst>
          </xdr:cNvPr>
          <xdr:cNvCxnSpPr/>
        </xdr:nvCxnSpPr>
        <xdr:spPr>
          <a:xfrm>
            <a:off x="11119043" y="534756"/>
            <a:ext cx="0" cy="3867305"/>
          </a:xfrm>
          <a:prstGeom prst="line">
            <a:avLst/>
          </a:prstGeom>
          <a:ln w="19050">
            <a:solidFill>
              <a:srgbClr val="7030A0"/>
            </a:solidFill>
          </a:ln>
        </xdr:spPr>
        <xdr:style>
          <a:lnRef idx="1">
            <a:schemeClr val="accent1"/>
          </a:lnRef>
          <a:fillRef idx="0">
            <a:schemeClr val="accent1"/>
          </a:fillRef>
          <a:effectRef idx="0">
            <a:schemeClr val="accent1"/>
          </a:effectRef>
          <a:fontRef idx="minor">
            <a:schemeClr val="tx1"/>
          </a:fontRef>
        </xdr:style>
      </xdr:cxnSp>
      <xdr:cxnSp macro="">
        <xdr:nvCxnSpPr>
          <xdr:cNvPr id="24" name="Straight Connector 23">
            <a:extLst>
              <a:ext uri="{FF2B5EF4-FFF2-40B4-BE49-F238E27FC236}">
                <a16:creationId xmlns:a16="http://schemas.microsoft.com/office/drawing/2014/main" id="{00000000-0008-0000-1200-000018000000}"/>
              </a:ext>
            </a:extLst>
          </xdr:cNvPr>
          <xdr:cNvCxnSpPr/>
        </xdr:nvCxnSpPr>
        <xdr:spPr>
          <a:xfrm>
            <a:off x="12480705" y="534242"/>
            <a:ext cx="0" cy="3867305"/>
          </a:xfrm>
          <a:prstGeom prst="line">
            <a:avLst/>
          </a:prstGeom>
          <a:ln w="19050">
            <a:solidFill>
              <a:srgbClr val="7030A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138312</xdr:colOff>
      <xdr:row>30</xdr:row>
      <xdr:rowOff>115261</xdr:rowOff>
    </xdr:from>
    <xdr:to>
      <xdr:col>23</xdr:col>
      <xdr:colOff>266089</xdr:colOff>
      <xdr:row>56</xdr:row>
      <xdr:rowOff>7683</xdr:rowOff>
    </xdr:to>
    <xdr:graphicFrame macro="">
      <xdr:nvGraphicFramePr>
        <xdr:cNvPr id="25" name="Chart 24">
          <a:extLst>
            <a:ext uri="{FF2B5EF4-FFF2-40B4-BE49-F238E27FC236}">
              <a16:creationId xmlns:a16="http://schemas.microsoft.com/office/drawing/2014/main" id="{00000000-0008-0000-12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107821</xdr:colOff>
      <xdr:row>31</xdr:row>
      <xdr:rowOff>98172</xdr:rowOff>
    </xdr:from>
    <xdr:to>
      <xdr:col>20</xdr:col>
      <xdr:colOff>240038</xdr:colOff>
      <xdr:row>50</xdr:row>
      <xdr:rowOff>170078</xdr:rowOff>
    </xdr:to>
    <xdr:grpSp>
      <xdr:nvGrpSpPr>
        <xdr:cNvPr id="26" name="Group 25">
          <a:extLst>
            <a:ext uri="{FF2B5EF4-FFF2-40B4-BE49-F238E27FC236}">
              <a16:creationId xmlns:a16="http://schemas.microsoft.com/office/drawing/2014/main" id="{00000000-0008-0000-1200-00001A000000}"/>
            </a:ext>
          </a:extLst>
        </xdr:cNvPr>
        <xdr:cNvGrpSpPr/>
      </xdr:nvGrpSpPr>
      <xdr:grpSpPr>
        <a:xfrm>
          <a:off x="11257354" y="6291503"/>
          <a:ext cx="1361662" cy="3867819"/>
          <a:chOff x="11119043" y="534242"/>
          <a:chExt cx="1361662" cy="3867819"/>
        </a:xfrm>
      </xdr:grpSpPr>
      <xdr:cxnSp macro="">
        <xdr:nvCxnSpPr>
          <xdr:cNvPr id="27" name="Straight Connector 26">
            <a:extLst>
              <a:ext uri="{FF2B5EF4-FFF2-40B4-BE49-F238E27FC236}">
                <a16:creationId xmlns:a16="http://schemas.microsoft.com/office/drawing/2014/main" id="{00000000-0008-0000-1200-00001B000000}"/>
              </a:ext>
            </a:extLst>
          </xdr:cNvPr>
          <xdr:cNvCxnSpPr/>
        </xdr:nvCxnSpPr>
        <xdr:spPr>
          <a:xfrm>
            <a:off x="11119043" y="534756"/>
            <a:ext cx="0" cy="3867305"/>
          </a:xfrm>
          <a:prstGeom prst="line">
            <a:avLst/>
          </a:prstGeom>
          <a:ln w="19050">
            <a:solidFill>
              <a:srgbClr val="7030A0"/>
            </a:solidFill>
          </a:ln>
        </xdr:spPr>
        <xdr:style>
          <a:lnRef idx="1">
            <a:schemeClr val="accent1"/>
          </a:lnRef>
          <a:fillRef idx="0">
            <a:schemeClr val="accent1"/>
          </a:fillRef>
          <a:effectRef idx="0">
            <a:schemeClr val="accent1"/>
          </a:effectRef>
          <a:fontRef idx="minor">
            <a:schemeClr val="tx1"/>
          </a:fontRef>
        </xdr:style>
      </xdr:cxnSp>
      <xdr:cxnSp macro="">
        <xdr:nvCxnSpPr>
          <xdr:cNvPr id="28" name="Straight Connector 27">
            <a:extLst>
              <a:ext uri="{FF2B5EF4-FFF2-40B4-BE49-F238E27FC236}">
                <a16:creationId xmlns:a16="http://schemas.microsoft.com/office/drawing/2014/main" id="{00000000-0008-0000-1200-00001C000000}"/>
              </a:ext>
            </a:extLst>
          </xdr:cNvPr>
          <xdr:cNvCxnSpPr/>
        </xdr:nvCxnSpPr>
        <xdr:spPr>
          <a:xfrm>
            <a:off x="12480705" y="534242"/>
            <a:ext cx="0" cy="3867305"/>
          </a:xfrm>
          <a:prstGeom prst="line">
            <a:avLst/>
          </a:prstGeom>
          <a:ln w="19050">
            <a:solidFill>
              <a:srgbClr val="7030A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25</xdr:col>
      <xdr:colOff>153681</xdr:colOff>
      <xdr:row>30</xdr:row>
      <xdr:rowOff>130629</xdr:rowOff>
    </xdr:from>
    <xdr:to>
      <xdr:col>35</xdr:col>
      <xdr:colOff>281459</xdr:colOff>
      <xdr:row>56</xdr:row>
      <xdr:rowOff>23051</xdr:rowOff>
    </xdr:to>
    <xdr:graphicFrame macro="">
      <xdr:nvGraphicFramePr>
        <xdr:cNvPr id="33" name="Chart 32">
          <a:extLst>
            <a:ext uri="{FF2B5EF4-FFF2-40B4-BE49-F238E27FC236}">
              <a16:creationId xmlns:a16="http://schemas.microsoft.com/office/drawing/2014/main" id="{00000000-0008-0000-12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30</xdr:col>
      <xdr:colOff>125204</xdr:colOff>
      <xdr:row>31</xdr:row>
      <xdr:rowOff>110535</xdr:rowOff>
    </xdr:from>
    <xdr:to>
      <xdr:col>32</xdr:col>
      <xdr:colOff>257420</xdr:colOff>
      <xdr:row>50</xdr:row>
      <xdr:rowOff>182115</xdr:rowOff>
    </xdr:to>
    <xdr:grpSp>
      <xdr:nvGrpSpPr>
        <xdr:cNvPr id="34" name="Group 33">
          <a:extLst>
            <a:ext uri="{FF2B5EF4-FFF2-40B4-BE49-F238E27FC236}">
              <a16:creationId xmlns:a16="http://schemas.microsoft.com/office/drawing/2014/main" id="{00000000-0008-0000-1200-000022000000}"/>
            </a:ext>
          </a:extLst>
        </xdr:cNvPr>
        <xdr:cNvGrpSpPr/>
      </xdr:nvGrpSpPr>
      <xdr:grpSpPr>
        <a:xfrm>
          <a:off x="18651409" y="6303866"/>
          <a:ext cx="1361661" cy="3867493"/>
          <a:chOff x="11119043" y="534242"/>
          <a:chExt cx="1361662" cy="3867819"/>
        </a:xfrm>
      </xdr:grpSpPr>
      <xdr:cxnSp macro="">
        <xdr:nvCxnSpPr>
          <xdr:cNvPr id="35" name="Straight Connector 34">
            <a:extLst>
              <a:ext uri="{FF2B5EF4-FFF2-40B4-BE49-F238E27FC236}">
                <a16:creationId xmlns:a16="http://schemas.microsoft.com/office/drawing/2014/main" id="{00000000-0008-0000-1200-000023000000}"/>
              </a:ext>
            </a:extLst>
          </xdr:cNvPr>
          <xdr:cNvCxnSpPr/>
        </xdr:nvCxnSpPr>
        <xdr:spPr>
          <a:xfrm>
            <a:off x="11119043" y="534756"/>
            <a:ext cx="0" cy="3867305"/>
          </a:xfrm>
          <a:prstGeom prst="line">
            <a:avLst/>
          </a:prstGeom>
          <a:ln w="19050">
            <a:solidFill>
              <a:srgbClr val="7030A0"/>
            </a:solidFill>
          </a:ln>
        </xdr:spPr>
        <xdr:style>
          <a:lnRef idx="1">
            <a:schemeClr val="accent1"/>
          </a:lnRef>
          <a:fillRef idx="0">
            <a:schemeClr val="accent1"/>
          </a:fillRef>
          <a:effectRef idx="0">
            <a:schemeClr val="accent1"/>
          </a:effectRef>
          <a:fontRef idx="minor">
            <a:schemeClr val="tx1"/>
          </a:fontRef>
        </xdr:style>
      </xdr:cxnSp>
      <xdr:cxnSp macro="">
        <xdr:nvCxnSpPr>
          <xdr:cNvPr id="36" name="Straight Connector 35">
            <a:extLst>
              <a:ext uri="{FF2B5EF4-FFF2-40B4-BE49-F238E27FC236}">
                <a16:creationId xmlns:a16="http://schemas.microsoft.com/office/drawing/2014/main" id="{00000000-0008-0000-1200-000024000000}"/>
              </a:ext>
            </a:extLst>
          </xdr:cNvPr>
          <xdr:cNvCxnSpPr/>
        </xdr:nvCxnSpPr>
        <xdr:spPr>
          <a:xfrm>
            <a:off x="12480705" y="534242"/>
            <a:ext cx="0" cy="3867305"/>
          </a:xfrm>
          <a:prstGeom prst="line">
            <a:avLst/>
          </a:prstGeom>
          <a:ln w="19050">
            <a:solidFill>
              <a:srgbClr val="7030A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37</xdr:col>
      <xdr:colOff>92209</xdr:colOff>
      <xdr:row>30</xdr:row>
      <xdr:rowOff>145997</xdr:rowOff>
    </xdr:from>
    <xdr:to>
      <xdr:col>46</xdr:col>
      <xdr:colOff>118259</xdr:colOff>
      <xdr:row>53</xdr:row>
      <xdr:rowOff>138313</xdr:rowOff>
    </xdr:to>
    <mc:AlternateContent xmlns:mc="http://schemas.openxmlformats.org/markup-compatibility/2006">
      <mc:Choice xmlns:cx1="http://schemas.microsoft.com/office/drawing/2015/9/8/chartex" Requires="cx1">
        <xdr:graphicFrame macro="">
          <xdr:nvGraphicFramePr>
            <xdr:cNvPr id="37" name="Chart 36">
              <a:extLst>
                <a:ext uri="{FF2B5EF4-FFF2-40B4-BE49-F238E27FC236}">
                  <a16:creationId xmlns:a16="http://schemas.microsoft.com/office/drawing/2014/main" id="{00000000-0008-0000-1200-000025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2"/>
            </a:graphicData>
          </a:graphic>
        </xdr:graphicFrame>
      </mc:Choice>
      <mc:Fallback>
        <xdr:sp macro="" textlink="">
          <xdr:nvSpPr>
            <xdr:cNvPr id="0" name=""/>
            <xdr:cNvSpPr>
              <a:spLocks noTextEdit="1"/>
            </xdr:cNvSpPr>
          </xdr:nvSpPr>
          <xdr:spPr>
            <a:xfrm>
              <a:off x="22921473" y="6139543"/>
              <a:ext cx="5558554" cy="4587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48</xdr:col>
      <xdr:colOff>169048</xdr:colOff>
      <xdr:row>30</xdr:row>
      <xdr:rowOff>169049</xdr:rowOff>
    </xdr:from>
    <xdr:to>
      <xdr:col>57</xdr:col>
      <xdr:colOff>195097</xdr:colOff>
      <xdr:row>53</xdr:row>
      <xdr:rowOff>161365</xdr:rowOff>
    </xdr:to>
    <mc:AlternateContent xmlns:mc="http://schemas.openxmlformats.org/markup-compatibility/2006">
      <mc:Choice xmlns:cx1="http://schemas.microsoft.com/office/drawing/2015/9/8/chartex" Requires="cx1">
        <xdr:graphicFrame macro="">
          <xdr:nvGraphicFramePr>
            <xdr:cNvPr id="38" name="Chart 37">
              <a:extLst>
                <a:ext uri="{FF2B5EF4-FFF2-40B4-BE49-F238E27FC236}">
                  <a16:creationId xmlns:a16="http://schemas.microsoft.com/office/drawing/2014/main" id="{00000000-0008-0000-1200-000026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3"/>
            </a:graphicData>
          </a:graphic>
        </xdr:graphicFrame>
      </mc:Choice>
      <mc:Fallback>
        <xdr:sp macro="" textlink="">
          <xdr:nvSpPr>
            <xdr:cNvPr id="0" name=""/>
            <xdr:cNvSpPr>
              <a:spLocks noTextEdit="1"/>
            </xdr:cNvSpPr>
          </xdr:nvSpPr>
          <xdr:spPr>
            <a:xfrm>
              <a:off x="29760261" y="6162595"/>
              <a:ext cx="5558554" cy="4587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59</xdr:col>
      <xdr:colOff>153681</xdr:colOff>
      <xdr:row>30</xdr:row>
      <xdr:rowOff>153680</xdr:rowOff>
    </xdr:from>
    <xdr:to>
      <xdr:col>68</xdr:col>
      <xdr:colOff>179731</xdr:colOff>
      <xdr:row>53</xdr:row>
      <xdr:rowOff>145996</xdr:rowOff>
    </xdr:to>
    <mc:AlternateContent xmlns:mc="http://schemas.openxmlformats.org/markup-compatibility/2006">
      <mc:Choice xmlns:cx1="http://schemas.microsoft.com/office/drawing/2015/9/8/chartex" Requires="cx1">
        <xdr:graphicFrame macro="">
          <xdr:nvGraphicFramePr>
            <xdr:cNvPr id="39" name="Chart 38">
              <a:extLst>
                <a:ext uri="{FF2B5EF4-FFF2-40B4-BE49-F238E27FC236}">
                  <a16:creationId xmlns:a16="http://schemas.microsoft.com/office/drawing/2014/main" id="{00000000-0008-0000-1200-000027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4"/>
            </a:graphicData>
          </a:graphic>
        </xdr:graphicFrame>
      </mc:Choice>
      <mc:Fallback>
        <xdr:sp macro="" textlink="">
          <xdr:nvSpPr>
            <xdr:cNvPr id="0" name=""/>
            <xdr:cNvSpPr>
              <a:spLocks noTextEdit="1"/>
            </xdr:cNvSpPr>
          </xdr:nvSpPr>
          <xdr:spPr>
            <a:xfrm>
              <a:off x="36506844" y="6147226"/>
              <a:ext cx="5558554" cy="4587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70</xdr:col>
      <xdr:colOff>130629</xdr:colOff>
      <xdr:row>30</xdr:row>
      <xdr:rowOff>184417</xdr:rowOff>
    </xdr:from>
    <xdr:to>
      <xdr:col>79</xdr:col>
      <xdr:colOff>156679</xdr:colOff>
      <xdr:row>53</xdr:row>
      <xdr:rowOff>176733</xdr:rowOff>
    </xdr:to>
    <mc:AlternateContent xmlns:mc="http://schemas.openxmlformats.org/markup-compatibility/2006">
      <mc:Choice xmlns:cx1="http://schemas.microsoft.com/office/drawing/2015/9/8/chartex" Requires="cx1">
        <xdr:graphicFrame macro="">
          <xdr:nvGraphicFramePr>
            <xdr:cNvPr id="41" name="Chart 40">
              <a:extLst>
                <a:ext uri="{FF2B5EF4-FFF2-40B4-BE49-F238E27FC236}">
                  <a16:creationId xmlns:a16="http://schemas.microsoft.com/office/drawing/2014/main" id="{00000000-0008-0000-1200-000029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5"/>
            </a:graphicData>
          </a:graphic>
        </xdr:graphicFrame>
      </mc:Choice>
      <mc:Fallback>
        <xdr:sp macro="" textlink="">
          <xdr:nvSpPr>
            <xdr:cNvPr id="0" name=""/>
            <xdr:cNvSpPr>
              <a:spLocks noTextEdit="1"/>
            </xdr:cNvSpPr>
          </xdr:nvSpPr>
          <xdr:spPr>
            <a:xfrm>
              <a:off x="43245742" y="6177963"/>
              <a:ext cx="5558554" cy="4587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81</xdr:col>
      <xdr:colOff>161365</xdr:colOff>
      <xdr:row>30</xdr:row>
      <xdr:rowOff>161365</xdr:rowOff>
    </xdr:from>
    <xdr:to>
      <xdr:col>90</xdr:col>
      <xdr:colOff>187415</xdr:colOff>
      <xdr:row>53</xdr:row>
      <xdr:rowOff>153681</xdr:rowOff>
    </xdr:to>
    <mc:AlternateContent xmlns:mc="http://schemas.openxmlformats.org/markup-compatibility/2006">
      <mc:Choice xmlns:cx1="http://schemas.microsoft.com/office/drawing/2015/9/8/chartex" Requires="cx1">
        <xdr:graphicFrame macro="">
          <xdr:nvGraphicFramePr>
            <xdr:cNvPr id="42" name="Chart 41">
              <a:extLst>
                <a:ext uri="{FF2B5EF4-FFF2-40B4-BE49-F238E27FC236}">
                  <a16:creationId xmlns:a16="http://schemas.microsoft.com/office/drawing/2014/main" id="{00000000-0008-0000-1200-00002A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6"/>
            </a:graphicData>
          </a:graphic>
        </xdr:graphicFrame>
      </mc:Choice>
      <mc:Fallback>
        <xdr:sp macro="" textlink="">
          <xdr:nvSpPr>
            <xdr:cNvPr id="0" name=""/>
            <xdr:cNvSpPr>
              <a:spLocks noTextEdit="1"/>
            </xdr:cNvSpPr>
          </xdr:nvSpPr>
          <xdr:spPr>
            <a:xfrm>
              <a:off x="50038427" y="6154911"/>
              <a:ext cx="5558554" cy="4587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169048</xdr:colOff>
      <xdr:row>60</xdr:row>
      <xdr:rowOff>92208</xdr:rowOff>
    </xdr:from>
    <xdr:to>
      <xdr:col>11</xdr:col>
      <xdr:colOff>212301</xdr:colOff>
      <xdr:row>85</xdr:row>
      <xdr:rowOff>184415</xdr:rowOff>
    </xdr:to>
    <xdr:graphicFrame macro="">
      <xdr:nvGraphicFramePr>
        <xdr:cNvPr id="44" name="Chart 43">
          <a:extLst>
            <a:ext uri="{FF2B5EF4-FFF2-40B4-BE49-F238E27FC236}">
              <a16:creationId xmlns:a16="http://schemas.microsoft.com/office/drawing/2014/main" id="{00000000-0008-0000-12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6</xdr:col>
      <xdr:colOff>54033</xdr:colOff>
      <xdr:row>61</xdr:row>
      <xdr:rowOff>75119</xdr:rowOff>
    </xdr:from>
    <xdr:to>
      <xdr:col>8</xdr:col>
      <xdr:colOff>186250</xdr:colOff>
      <xdr:row>80</xdr:row>
      <xdr:rowOff>147025</xdr:rowOff>
    </xdr:to>
    <xdr:grpSp>
      <xdr:nvGrpSpPr>
        <xdr:cNvPr id="45" name="Group 44">
          <a:extLst>
            <a:ext uri="{FF2B5EF4-FFF2-40B4-BE49-F238E27FC236}">
              <a16:creationId xmlns:a16="http://schemas.microsoft.com/office/drawing/2014/main" id="{00000000-0008-0000-1200-00002D000000}"/>
            </a:ext>
          </a:extLst>
        </xdr:cNvPr>
        <xdr:cNvGrpSpPr/>
      </xdr:nvGrpSpPr>
      <xdr:grpSpPr>
        <a:xfrm>
          <a:off x="3826894" y="12261996"/>
          <a:ext cx="1361662" cy="3867819"/>
          <a:chOff x="11119043" y="534242"/>
          <a:chExt cx="1361662" cy="3867819"/>
        </a:xfrm>
      </xdr:grpSpPr>
      <xdr:cxnSp macro="">
        <xdr:nvCxnSpPr>
          <xdr:cNvPr id="46" name="Straight Connector 45">
            <a:extLst>
              <a:ext uri="{FF2B5EF4-FFF2-40B4-BE49-F238E27FC236}">
                <a16:creationId xmlns:a16="http://schemas.microsoft.com/office/drawing/2014/main" id="{00000000-0008-0000-1200-00002E000000}"/>
              </a:ext>
            </a:extLst>
          </xdr:cNvPr>
          <xdr:cNvCxnSpPr/>
        </xdr:nvCxnSpPr>
        <xdr:spPr>
          <a:xfrm>
            <a:off x="11119043" y="534756"/>
            <a:ext cx="0" cy="3867305"/>
          </a:xfrm>
          <a:prstGeom prst="line">
            <a:avLst/>
          </a:prstGeom>
          <a:ln w="19050">
            <a:solidFill>
              <a:srgbClr val="7030A0"/>
            </a:solidFill>
          </a:ln>
        </xdr:spPr>
        <xdr:style>
          <a:lnRef idx="1">
            <a:schemeClr val="accent1"/>
          </a:lnRef>
          <a:fillRef idx="0">
            <a:schemeClr val="accent1"/>
          </a:fillRef>
          <a:effectRef idx="0">
            <a:schemeClr val="accent1"/>
          </a:effectRef>
          <a:fontRef idx="minor">
            <a:schemeClr val="tx1"/>
          </a:fontRef>
        </xdr:style>
      </xdr:cxnSp>
      <xdr:cxnSp macro="">
        <xdr:nvCxnSpPr>
          <xdr:cNvPr id="47" name="Straight Connector 46">
            <a:extLst>
              <a:ext uri="{FF2B5EF4-FFF2-40B4-BE49-F238E27FC236}">
                <a16:creationId xmlns:a16="http://schemas.microsoft.com/office/drawing/2014/main" id="{00000000-0008-0000-1200-00002F000000}"/>
              </a:ext>
            </a:extLst>
          </xdr:cNvPr>
          <xdr:cNvCxnSpPr/>
        </xdr:nvCxnSpPr>
        <xdr:spPr>
          <a:xfrm>
            <a:off x="12480705" y="534242"/>
            <a:ext cx="0" cy="3867305"/>
          </a:xfrm>
          <a:prstGeom prst="line">
            <a:avLst/>
          </a:prstGeom>
          <a:ln w="19050">
            <a:solidFill>
              <a:srgbClr val="7030A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99893</xdr:colOff>
      <xdr:row>60</xdr:row>
      <xdr:rowOff>92209</xdr:rowOff>
    </xdr:from>
    <xdr:to>
      <xdr:col>23</xdr:col>
      <xdr:colOff>227670</xdr:colOff>
      <xdr:row>85</xdr:row>
      <xdr:rowOff>184416</xdr:rowOff>
    </xdr:to>
    <xdr:graphicFrame macro="">
      <xdr:nvGraphicFramePr>
        <xdr:cNvPr id="48" name="Chart 47">
          <a:extLst>
            <a:ext uri="{FF2B5EF4-FFF2-40B4-BE49-F238E27FC236}">
              <a16:creationId xmlns:a16="http://schemas.microsoft.com/office/drawing/2014/main" id="{00000000-0008-0000-12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18</xdr:col>
      <xdr:colOff>69402</xdr:colOff>
      <xdr:row>61</xdr:row>
      <xdr:rowOff>75120</xdr:rowOff>
    </xdr:from>
    <xdr:to>
      <xdr:col>20</xdr:col>
      <xdr:colOff>201619</xdr:colOff>
      <xdr:row>80</xdr:row>
      <xdr:rowOff>147026</xdr:rowOff>
    </xdr:to>
    <xdr:grpSp>
      <xdr:nvGrpSpPr>
        <xdr:cNvPr id="60" name="Group 59">
          <a:extLst>
            <a:ext uri="{FF2B5EF4-FFF2-40B4-BE49-F238E27FC236}">
              <a16:creationId xmlns:a16="http://schemas.microsoft.com/office/drawing/2014/main" id="{00000000-0008-0000-1200-00003C000000}"/>
            </a:ext>
          </a:extLst>
        </xdr:cNvPr>
        <xdr:cNvGrpSpPr/>
      </xdr:nvGrpSpPr>
      <xdr:grpSpPr>
        <a:xfrm>
          <a:off x="11218935" y="12261997"/>
          <a:ext cx="1361662" cy="3867819"/>
          <a:chOff x="11119043" y="534242"/>
          <a:chExt cx="1361662" cy="3867819"/>
        </a:xfrm>
      </xdr:grpSpPr>
      <xdr:cxnSp macro="">
        <xdr:nvCxnSpPr>
          <xdr:cNvPr id="61" name="Straight Connector 60">
            <a:extLst>
              <a:ext uri="{FF2B5EF4-FFF2-40B4-BE49-F238E27FC236}">
                <a16:creationId xmlns:a16="http://schemas.microsoft.com/office/drawing/2014/main" id="{00000000-0008-0000-1200-00003D000000}"/>
              </a:ext>
            </a:extLst>
          </xdr:cNvPr>
          <xdr:cNvCxnSpPr/>
        </xdr:nvCxnSpPr>
        <xdr:spPr>
          <a:xfrm>
            <a:off x="11119043" y="534756"/>
            <a:ext cx="0" cy="3867305"/>
          </a:xfrm>
          <a:prstGeom prst="line">
            <a:avLst/>
          </a:prstGeom>
          <a:ln w="19050">
            <a:solidFill>
              <a:srgbClr val="7030A0"/>
            </a:solidFill>
          </a:ln>
        </xdr:spPr>
        <xdr:style>
          <a:lnRef idx="1">
            <a:schemeClr val="accent1"/>
          </a:lnRef>
          <a:fillRef idx="0">
            <a:schemeClr val="accent1"/>
          </a:fillRef>
          <a:effectRef idx="0">
            <a:schemeClr val="accent1"/>
          </a:effectRef>
          <a:fontRef idx="minor">
            <a:schemeClr val="tx1"/>
          </a:fontRef>
        </xdr:style>
      </xdr:cxnSp>
      <xdr:cxnSp macro="">
        <xdr:nvCxnSpPr>
          <xdr:cNvPr id="62" name="Straight Connector 61">
            <a:extLst>
              <a:ext uri="{FF2B5EF4-FFF2-40B4-BE49-F238E27FC236}">
                <a16:creationId xmlns:a16="http://schemas.microsoft.com/office/drawing/2014/main" id="{00000000-0008-0000-1200-00003E000000}"/>
              </a:ext>
            </a:extLst>
          </xdr:cNvPr>
          <xdr:cNvCxnSpPr/>
        </xdr:nvCxnSpPr>
        <xdr:spPr>
          <a:xfrm>
            <a:off x="12480705" y="534242"/>
            <a:ext cx="0" cy="3867305"/>
          </a:xfrm>
          <a:prstGeom prst="line">
            <a:avLst/>
          </a:prstGeom>
          <a:ln w="19050">
            <a:solidFill>
              <a:srgbClr val="7030A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25</xdr:col>
      <xdr:colOff>176732</xdr:colOff>
      <xdr:row>60</xdr:row>
      <xdr:rowOff>76841</xdr:rowOff>
    </xdr:from>
    <xdr:to>
      <xdr:col>35</xdr:col>
      <xdr:colOff>304510</xdr:colOff>
      <xdr:row>85</xdr:row>
      <xdr:rowOff>169048</xdr:rowOff>
    </xdr:to>
    <xdr:graphicFrame macro="">
      <xdr:nvGraphicFramePr>
        <xdr:cNvPr id="63" name="Chart 62">
          <a:extLst>
            <a:ext uri="{FF2B5EF4-FFF2-40B4-BE49-F238E27FC236}">
              <a16:creationId xmlns:a16="http://schemas.microsoft.com/office/drawing/2014/main" id="{00000000-0008-0000-12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30</xdr:col>
      <xdr:colOff>148255</xdr:colOff>
      <xdr:row>61</xdr:row>
      <xdr:rowOff>56747</xdr:rowOff>
    </xdr:from>
    <xdr:to>
      <xdr:col>32</xdr:col>
      <xdr:colOff>280471</xdr:colOff>
      <xdr:row>80</xdr:row>
      <xdr:rowOff>128327</xdr:rowOff>
    </xdr:to>
    <xdr:grpSp>
      <xdr:nvGrpSpPr>
        <xdr:cNvPr id="64" name="Group 63">
          <a:extLst>
            <a:ext uri="{FF2B5EF4-FFF2-40B4-BE49-F238E27FC236}">
              <a16:creationId xmlns:a16="http://schemas.microsoft.com/office/drawing/2014/main" id="{00000000-0008-0000-1200-000040000000}"/>
            </a:ext>
          </a:extLst>
        </xdr:cNvPr>
        <xdr:cNvGrpSpPr/>
      </xdr:nvGrpSpPr>
      <xdr:grpSpPr>
        <a:xfrm>
          <a:off x="18674460" y="12243624"/>
          <a:ext cx="1361661" cy="3867493"/>
          <a:chOff x="11119043" y="534242"/>
          <a:chExt cx="1361662" cy="3867819"/>
        </a:xfrm>
      </xdr:grpSpPr>
      <xdr:cxnSp macro="">
        <xdr:nvCxnSpPr>
          <xdr:cNvPr id="66" name="Straight Connector 65">
            <a:extLst>
              <a:ext uri="{FF2B5EF4-FFF2-40B4-BE49-F238E27FC236}">
                <a16:creationId xmlns:a16="http://schemas.microsoft.com/office/drawing/2014/main" id="{00000000-0008-0000-1200-000042000000}"/>
              </a:ext>
            </a:extLst>
          </xdr:cNvPr>
          <xdr:cNvCxnSpPr/>
        </xdr:nvCxnSpPr>
        <xdr:spPr>
          <a:xfrm>
            <a:off x="11119043" y="534756"/>
            <a:ext cx="0" cy="3867305"/>
          </a:xfrm>
          <a:prstGeom prst="line">
            <a:avLst/>
          </a:prstGeom>
          <a:ln w="19050">
            <a:solidFill>
              <a:srgbClr val="7030A0"/>
            </a:solidFill>
          </a:ln>
        </xdr:spPr>
        <xdr:style>
          <a:lnRef idx="1">
            <a:schemeClr val="accent1"/>
          </a:lnRef>
          <a:fillRef idx="0">
            <a:schemeClr val="accent1"/>
          </a:fillRef>
          <a:effectRef idx="0">
            <a:schemeClr val="accent1"/>
          </a:effectRef>
          <a:fontRef idx="minor">
            <a:schemeClr val="tx1"/>
          </a:fontRef>
        </xdr:style>
      </xdr:cxnSp>
      <xdr:cxnSp macro="">
        <xdr:nvCxnSpPr>
          <xdr:cNvPr id="67" name="Straight Connector 66">
            <a:extLst>
              <a:ext uri="{FF2B5EF4-FFF2-40B4-BE49-F238E27FC236}">
                <a16:creationId xmlns:a16="http://schemas.microsoft.com/office/drawing/2014/main" id="{00000000-0008-0000-1200-000043000000}"/>
              </a:ext>
            </a:extLst>
          </xdr:cNvPr>
          <xdr:cNvCxnSpPr/>
        </xdr:nvCxnSpPr>
        <xdr:spPr>
          <a:xfrm>
            <a:off x="12480705" y="534242"/>
            <a:ext cx="0" cy="3867305"/>
          </a:xfrm>
          <a:prstGeom prst="line">
            <a:avLst/>
          </a:prstGeom>
          <a:ln w="19050">
            <a:solidFill>
              <a:srgbClr val="7030A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37</xdr:col>
      <xdr:colOff>107577</xdr:colOff>
      <xdr:row>60</xdr:row>
      <xdr:rowOff>99892</xdr:rowOff>
    </xdr:from>
    <xdr:to>
      <xdr:col>46</xdr:col>
      <xdr:colOff>133627</xdr:colOff>
      <xdr:row>83</xdr:row>
      <xdr:rowOff>92207</xdr:rowOff>
    </xdr:to>
    <mc:AlternateContent xmlns:mc="http://schemas.openxmlformats.org/markup-compatibility/2006">
      <mc:Choice xmlns:cx1="http://schemas.microsoft.com/office/drawing/2015/9/8/chartex" Requires="cx1">
        <xdr:graphicFrame macro="">
          <xdr:nvGraphicFramePr>
            <xdr:cNvPr id="68" name="Chart 67">
              <a:extLst>
                <a:ext uri="{FF2B5EF4-FFF2-40B4-BE49-F238E27FC236}">
                  <a16:creationId xmlns:a16="http://schemas.microsoft.com/office/drawing/2014/main" id="{00000000-0008-0000-1200-000044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0"/>
            </a:graphicData>
          </a:graphic>
        </xdr:graphicFrame>
      </mc:Choice>
      <mc:Fallback>
        <xdr:sp macro="" textlink="">
          <xdr:nvSpPr>
            <xdr:cNvPr id="0" name=""/>
            <xdr:cNvSpPr>
              <a:spLocks noTextEdit="1"/>
            </xdr:cNvSpPr>
          </xdr:nvSpPr>
          <xdr:spPr>
            <a:xfrm>
              <a:off x="22936841" y="12086984"/>
              <a:ext cx="5558554" cy="4587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48</xdr:col>
      <xdr:colOff>99892</xdr:colOff>
      <xdr:row>60</xdr:row>
      <xdr:rowOff>153680</xdr:rowOff>
    </xdr:from>
    <xdr:to>
      <xdr:col>57</xdr:col>
      <xdr:colOff>125941</xdr:colOff>
      <xdr:row>83</xdr:row>
      <xdr:rowOff>145995</xdr:rowOff>
    </xdr:to>
    <mc:AlternateContent xmlns:mc="http://schemas.openxmlformats.org/markup-compatibility/2006">
      <mc:Choice xmlns:cx1="http://schemas.microsoft.com/office/drawing/2015/9/8/chartex" Requires="cx1">
        <xdr:graphicFrame macro="">
          <xdr:nvGraphicFramePr>
            <xdr:cNvPr id="69" name="Chart 68">
              <a:extLst>
                <a:ext uri="{FF2B5EF4-FFF2-40B4-BE49-F238E27FC236}">
                  <a16:creationId xmlns:a16="http://schemas.microsoft.com/office/drawing/2014/main" id="{00000000-0008-0000-1200-000045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1"/>
            </a:graphicData>
          </a:graphic>
        </xdr:graphicFrame>
      </mc:Choice>
      <mc:Fallback>
        <xdr:sp macro="" textlink="">
          <xdr:nvSpPr>
            <xdr:cNvPr id="0" name=""/>
            <xdr:cNvSpPr>
              <a:spLocks noTextEdit="1"/>
            </xdr:cNvSpPr>
          </xdr:nvSpPr>
          <xdr:spPr>
            <a:xfrm>
              <a:off x="29691105" y="12140772"/>
              <a:ext cx="5558554" cy="4587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59</xdr:col>
      <xdr:colOff>153681</xdr:colOff>
      <xdr:row>60</xdr:row>
      <xdr:rowOff>145996</xdr:rowOff>
    </xdr:from>
    <xdr:to>
      <xdr:col>68</xdr:col>
      <xdr:colOff>179731</xdr:colOff>
      <xdr:row>83</xdr:row>
      <xdr:rowOff>138311</xdr:rowOff>
    </xdr:to>
    <mc:AlternateContent xmlns:mc="http://schemas.openxmlformats.org/markup-compatibility/2006">
      <mc:Choice xmlns:cx1="http://schemas.microsoft.com/office/drawing/2015/9/8/chartex" Requires="cx1">
        <xdr:graphicFrame macro="">
          <xdr:nvGraphicFramePr>
            <xdr:cNvPr id="71" name="Chart 70">
              <a:extLst>
                <a:ext uri="{FF2B5EF4-FFF2-40B4-BE49-F238E27FC236}">
                  <a16:creationId xmlns:a16="http://schemas.microsoft.com/office/drawing/2014/main" id="{00000000-0008-0000-1200-000047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2"/>
            </a:graphicData>
          </a:graphic>
        </xdr:graphicFrame>
      </mc:Choice>
      <mc:Fallback>
        <xdr:sp macro="" textlink="">
          <xdr:nvSpPr>
            <xdr:cNvPr id="0" name=""/>
            <xdr:cNvSpPr>
              <a:spLocks noTextEdit="1"/>
            </xdr:cNvSpPr>
          </xdr:nvSpPr>
          <xdr:spPr>
            <a:xfrm>
              <a:off x="36506844" y="12133088"/>
              <a:ext cx="5558554" cy="4587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70</xdr:col>
      <xdr:colOff>192100</xdr:colOff>
      <xdr:row>60</xdr:row>
      <xdr:rowOff>76840</xdr:rowOff>
    </xdr:from>
    <xdr:to>
      <xdr:col>79</xdr:col>
      <xdr:colOff>218150</xdr:colOff>
      <xdr:row>83</xdr:row>
      <xdr:rowOff>69155</xdr:rowOff>
    </xdr:to>
    <mc:AlternateContent xmlns:mc="http://schemas.openxmlformats.org/markup-compatibility/2006">
      <mc:Choice xmlns:cx1="http://schemas.microsoft.com/office/drawing/2015/9/8/chartex" Requires="cx1">
        <xdr:graphicFrame macro="">
          <xdr:nvGraphicFramePr>
            <xdr:cNvPr id="73" name="Chart 72">
              <a:extLst>
                <a:ext uri="{FF2B5EF4-FFF2-40B4-BE49-F238E27FC236}">
                  <a16:creationId xmlns:a16="http://schemas.microsoft.com/office/drawing/2014/main" id="{00000000-0008-0000-1200-000049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3"/>
            </a:graphicData>
          </a:graphic>
        </xdr:graphicFrame>
      </mc:Choice>
      <mc:Fallback>
        <xdr:sp macro="" textlink="">
          <xdr:nvSpPr>
            <xdr:cNvPr id="0" name=""/>
            <xdr:cNvSpPr>
              <a:spLocks noTextEdit="1"/>
            </xdr:cNvSpPr>
          </xdr:nvSpPr>
          <xdr:spPr>
            <a:xfrm>
              <a:off x="43307213" y="12063932"/>
              <a:ext cx="5558554" cy="4587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81</xdr:col>
      <xdr:colOff>222838</xdr:colOff>
      <xdr:row>61</xdr:row>
      <xdr:rowOff>53789</xdr:rowOff>
    </xdr:from>
    <xdr:to>
      <xdr:col>90</xdr:col>
      <xdr:colOff>248888</xdr:colOff>
      <xdr:row>84</xdr:row>
      <xdr:rowOff>46105</xdr:rowOff>
    </xdr:to>
    <mc:AlternateContent xmlns:mc="http://schemas.openxmlformats.org/markup-compatibility/2006">
      <mc:Choice xmlns:cx1="http://schemas.microsoft.com/office/drawing/2015/9/8/chartex" Requires="cx1">
        <xdr:graphicFrame macro="">
          <xdr:nvGraphicFramePr>
            <xdr:cNvPr id="74" name="Chart 73">
              <a:extLst>
                <a:ext uri="{FF2B5EF4-FFF2-40B4-BE49-F238E27FC236}">
                  <a16:creationId xmlns:a16="http://schemas.microsoft.com/office/drawing/2014/main" id="{00000000-0008-0000-1200-00004A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4"/>
            </a:graphicData>
          </a:graphic>
        </xdr:graphicFrame>
      </mc:Choice>
      <mc:Fallback>
        <xdr:sp macro="" textlink="">
          <xdr:nvSpPr>
            <xdr:cNvPr id="0" name=""/>
            <xdr:cNvSpPr>
              <a:spLocks noTextEdit="1"/>
            </xdr:cNvSpPr>
          </xdr:nvSpPr>
          <xdr:spPr>
            <a:xfrm>
              <a:off x="50099900" y="12240666"/>
              <a:ext cx="5558554" cy="4587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145997</xdr:colOff>
      <xdr:row>90</xdr:row>
      <xdr:rowOff>53789</xdr:rowOff>
    </xdr:from>
    <xdr:to>
      <xdr:col>11</xdr:col>
      <xdr:colOff>189250</xdr:colOff>
      <xdr:row>115</xdr:row>
      <xdr:rowOff>145996</xdr:rowOff>
    </xdr:to>
    <xdr:graphicFrame macro="">
      <xdr:nvGraphicFramePr>
        <xdr:cNvPr id="75" name="Chart 74">
          <a:extLst>
            <a:ext uri="{FF2B5EF4-FFF2-40B4-BE49-F238E27FC236}">
              <a16:creationId xmlns:a16="http://schemas.microsoft.com/office/drawing/2014/main" id="{00000000-0008-0000-1200-00004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6</xdr:col>
      <xdr:colOff>30982</xdr:colOff>
      <xdr:row>91</xdr:row>
      <xdr:rowOff>36700</xdr:rowOff>
    </xdr:from>
    <xdr:to>
      <xdr:col>8</xdr:col>
      <xdr:colOff>163199</xdr:colOff>
      <xdr:row>110</xdr:row>
      <xdr:rowOff>108607</xdr:rowOff>
    </xdr:to>
    <xdr:grpSp>
      <xdr:nvGrpSpPr>
        <xdr:cNvPr id="76" name="Group 75">
          <a:extLst>
            <a:ext uri="{FF2B5EF4-FFF2-40B4-BE49-F238E27FC236}">
              <a16:creationId xmlns:a16="http://schemas.microsoft.com/office/drawing/2014/main" id="{00000000-0008-0000-1200-00004C000000}"/>
            </a:ext>
          </a:extLst>
        </xdr:cNvPr>
        <xdr:cNvGrpSpPr/>
      </xdr:nvGrpSpPr>
      <xdr:grpSpPr>
        <a:xfrm>
          <a:off x="3803843" y="18217124"/>
          <a:ext cx="1361662" cy="3867819"/>
          <a:chOff x="11119043" y="534242"/>
          <a:chExt cx="1361662" cy="3867819"/>
        </a:xfrm>
      </xdr:grpSpPr>
      <xdr:cxnSp macro="">
        <xdr:nvCxnSpPr>
          <xdr:cNvPr id="77" name="Straight Connector 76">
            <a:extLst>
              <a:ext uri="{FF2B5EF4-FFF2-40B4-BE49-F238E27FC236}">
                <a16:creationId xmlns:a16="http://schemas.microsoft.com/office/drawing/2014/main" id="{00000000-0008-0000-1200-00004D000000}"/>
              </a:ext>
            </a:extLst>
          </xdr:cNvPr>
          <xdr:cNvCxnSpPr/>
        </xdr:nvCxnSpPr>
        <xdr:spPr>
          <a:xfrm>
            <a:off x="11119043" y="534756"/>
            <a:ext cx="0" cy="3867305"/>
          </a:xfrm>
          <a:prstGeom prst="line">
            <a:avLst/>
          </a:prstGeom>
          <a:ln w="19050">
            <a:solidFill>
              <a:srgbClr val="7030A0"/>
            </a:solidFill>
          </a:ln>
        </xdr:spPr>
        <xdr:style>
          <a:lnRef idx="1">
            <a:schemeClr val="accent1"/>
          </a:lnRef>
          <a:fillRef idx="0">
            <a:schemeClr val="accent1"/>
          </a:fillRef>
          <a:effectRef idx="0">
            <a:schemeClr val="accent1"/>
          </a:effectRef>
          <a:fontRef idx="minor">
            <a:schemeClr val="tx1"/>
          </a:fontRef>
        </xdr:style>
      </xdr:cxnSp>
      <xdr:cxnSp macro="">
        <xdr:nvCxnSpPr>
          <xdr:cNvPr id="78" name="Straight Connector 77">
            <a:extLst>
              <a:ext uri="{FF2B5EF4-FFF2-40B4-BE49-F238E27FC236}">
                <a16:creationId xmlns:a16="http://schemas.microsoft.com/office/drawing/2014/main" id="{00000000-0008-0000-1200-00004E000000}"/>
              </a:ext>
            </a:extLst>
          </xdr:cNvPr>
          <xdr:cNvCxnSpPr/>
        </xdr:nvCxnSpPr>
        <xdr:spPr>
          <a:xfrm>
            <a:off x="12480705" y="534242"/>
            <a:ext cx="0" cy="3867305"/>
          </a:xfrm>
          <a:prstGeom prst="line">
            <a:avLst/>
          </a:prstGeom>
          <a:ln w="19050">
            <a:solidFill>
              <a:srgbClr val="7030A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76840</xdr:colOff>
      <xdr:row>90</xdr:row>
      <xdr:rowOff>53789</xdr:rowOff>
    </xdr:from>
    <xdr:to>
      <xdr:col>23</xdr:col>
      <xdr:colOff>204617</xdr:colOff>
      <xdr:row>115</xdr:row>
      <xdr:rowOff>145996</xdr:rowOff>
    </xdr:to>
    <xdr:graphicFrame macro="">
      <xdr:nvGraphicFramePr>
        <xdr:cNvPr id="79" name="Chart 78">
          <a:extLst>
            <a:ext uri="{FF2B5EF4-FFF2-40B4-BE49-F238E27FC236}">
              <a16:creationId xmlns:a16="http://schemas.microsoft.com/office/drawing/2014/main" id="{00000000-0008-0000-1200-00004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18</xdr:col>
      <xdr:colOff>46349</xdr:colOff>
      <xdr:row>91</xdr:row>
      <xdr:rowOff>36700</xdr:rowOff>
    </xdr:from>
    <xdr:to>
      <xdr:col>20</xdr:col>
      <xdr:colOff>178566</xdr:colOff>
      <xdr:row>110</xdr:row>
      <xdr:rowOff>108607</xdr:rowOff>
    </xdr:to>
    <xdr:grpSp>
      <xdr:nvGrpSpPr>
        <xdr:cNvPr id="80" name="Group 79">
          <a:extLst>
            <a:ext uri="{FF2B5EF4-FFF2-40B4-BE49-F238E27FC236}">
              <a16:creationId xmlns:a16="http://schemas.microsoft.com/office/drawing/2014/main" id="{00000000-0008-0000-1200-000050000000}"/>
            </a:ext>
          </a:extLst>
        </xdr:cNvPr>
        <xdr:cNvGrpSpPr/>
      </xdr:nvGrpSpPr>
      <xdr:grpSpPr>
        <a:xfrm>
          <a:off x="11195882" y="18217124"/>
          <a:ext cx="1361662" cy="3867819"/>
          <a:chOff x="11119043" y="534242"/>
          <a:chExt cx="1361662" cy="3867819"/>
        </a:xfrm>
      </xdr:grpSpPr>
      <xdr:cxnSp macro="">
        <xdr:nvCxnSpPr>
          <xdr:cNvPr id="81" name="Straight Connector 80">
            <a:extLst>
              <a:ext uri="{FF2B5EF4-FFF2-40B4-BE49-F238E27FC236}">
                <a16:creationId xmlns:a16="http://schemas.microsoft.com/office/drawing/2014/main" id="{00000000-0008-0000-1200-000051000000}"/>
              </a:ext>
            </a:extLst>
          </xdr:cNvPr>
          <xdr:cNvCxnSpPr/>
        </xdr:nvCxnSpPr>
        <xdr:spPr>
          <a:xfrm>
            <a:off x="11119043" y="534756"/>
            <a:ext cx="0" cy="3867305"/>
          </a:xfrm>
          <a:prstGeom prst="line">
            <a:avLst/>
          </a:prstGeom>
          <a:ln w="19050">
            <a:solidFill>
              <a:srgbClr val="7030A0"/>
            </a:solidFill>
          </a:ln>
        </xdr:spPr>
        <xdr:style>
          <a:lnRef idx="1">
            <a:schemeClr val="accent1"/>
          </a:lnRef>
          <a:fillRef idx="0">
            <a:schemeClr val="accent1"/>
          </a:fillRef>
          <a:effectRef idx="0">
            <a:schemeClr val="accent1"/>
          </a:effectRef>
          <a:fontRef idx="minor">
            <a:schemeClr val="tx1"/>
          </a:fontRef>
        </xdr:style>
      </xdr:cxnSp>
      <xdr:cxnSp macro="">
        <xdr:nvCxnSpPr>
          <xdr:cNvPr id="82" name="Straight Connector 81">
            <a:extLst>
              <a:ext uri="{FF2B5EF4-FFF2-40B4-BE49-F238E27FC236}">
                <a16:creationId xmlns:a16="http://schemas.microsoft.com/office/drawing/2014/main" id="{00000000-0008-0000-1200-000052000000}"/>
              </a:ext>
            </a:extLst>
          </xdr:cNvPr>
          <xdr:cNvCxnSpPr/>
        </xdr:nvCxnSpPr>
        <xdr:spPr>
          <a:xfrm>
            <a:off x="12480705" y="534242"/>
            <a:ext cx="0" cy="3867305"/>
          </a:xfrm>
          <a:prstGeom prst="line">
            <a:avLst/>
          </a:prstGeom>
          <a:ln w="19050">
            <a:solidFill>
              <a:srgbClr val="7030A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25</xdr:col>
      <xdr:colOff>138312</xdr:colOff>
      <xdr:row>90</xdr:row>
      <xdr:rowOff>84524</xdr:rowOff>
    </xdr:from>
    <xdr:to>
      <xdr:col>35</xdr:col>
      <xdr:colOff>266090</xdr:colOff>
      <xdr:row>115</xdr:row>
      <xdr:rowOff>176731</xdr:rowOff>
    </xdr:to>
    <xdr:graphicFrame macro="">
      <xdr:nvGraphicFramePr>
        <xdr:cNvPr id="83" name="Chart 82">
          <a:extLst>
            <a:ext uri="{FF2B5EF4-FFF2-40B4-BE49-F238E27FC236}">
              <a16:creationId xmlns:a16="http://schemas.microsoft.com/office/drawing/2014/main" id="{00000000-0008-0000-1200-00005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30</xdr:col>
      <xdr:colOff>109835</xdr:colOff>
      <xdr:row>91</xdr:row>
      <xdr:rowOff>64430</xdr:rowOff>
    </xdr:from>
    <xdr:to>
      <xdr:col>32</xdr:col>
      <xdr:colOff>242051</xdr:colOff>
      <xdr:row>110</xdr:row>
      <xdr:rowOff>136011</xdr:rowOff>
    </xdr:to>
    <xdr:grpSp>
      <xdr:nvGrpSpPr>
        <xdr:cNvPr id="84" name="Group 83">
          <a:extLst>
            <a:ext uri="{FF2B5EF4-FFF2-40B4-BE49-F238E27FC236}">
              <a16:creationId xmlns:a16="http://schemas.microsoft.com/office/drawing/2014/main" id="{00000000-0008-0000-1200-000054000000}"/>
            </a:ext>
          </a:extLst>
        </xdr:cNvPr>
        <xdr:cNvGrpSpPr/>
      </xdr:nvGrpSpPr>
      <xdr:grpSpPr>
        <a:xfrm>
          <a:off x="18636040" y="18244854"/>
          <a:ext cx="1361661" cy="3867493"/>
          <a:chOff x="11119043" y="534242"/>
          <a:chExt cx="1361662" cy="3867819"/>
        </a:xfrm>
      </xdr:grpSpPr>
      <xdr:cxnSp macro="">
        <xdr:nvCxnSpPr>
          <xdr:cNvPr id="85" name="Straight Connector 84">
            <a:extLst>
              <a:ext uri="{FF2B5EF4-FFF2-40B4-BE49-F238E27FC236}">
                <a16:creationId xmlns:a16="http://schemas.microsoft.com/office/drawing/2014/main" id="{00000000-0008-0000-1200-000055000000}"/>
              </a:ext>
            </a:extLst>
          </xdr:cNvPr>
          <xdr:cNvCxnSpPr/>
        </xdr:nvCxnSpPr>
        <xdr:spPr>
          <a:xfrm>
            <a:off x="11119043" y="534756"/>
            <a:ext cx="0" cy="3867305"/>
          </a:xfrm>
          <a:prstGeom prst="line">
            <a:avLst/>
          </a:prstGeom>
          <a:ln w="19050">
            <a:solidFill>
              <a:srgbClr val="7030A0"/>
            </a:solidFill>
          </a:ln>
        </xdr:spPr>
        <xdr:style>
          <a:lnRef idx="1">
            <a:schemeClr val="accent1"/>
          </a:lnRef>
          <a:fillRef idx="0">
            <a:schemeClr val="accent1"/>
          </a:fillRef>
          <a:effectRef idx="0">
            <a:schemeClr val="accent1"/>
          </a:effectRef>
          <a:fontRef idx="minor">
            <a:schemeClr val="tx1"/>
          </a:fontRef>
        </xdr:style>
      </xdr:cxnSp>
      <xdr:cxnSp macro="">
        <xdr:nvCxnSpPr>
          <xdr:cNvPr id="86" name="Straight Connector 85">
            <a:extLst>
              <a:ext uri="{FF2B5EF4-FFF2-40B4-BE49-F238E27FC236}">
                <a16:creationId xmlns:a16="http://schemas.microsoft.com/office/drawing/2014/main" id="{00000000-0008-0000-1200-000056000000}"/>
              </a:ext>
            </a:extLst>
          </xdr:cNvPr>
          <xdr:cNvCxnSpPr/>
        </xdr:nvCxnSpPr>
        <xdr:spPr>
          <a:xfrm>
            <a:off x="12480705" y="534242"/>
            <a:ext cx="0" cy="3867305"/>
          </a:xfrm>
          <a:prstGeom prst="line">
            <a:avLst/>
          </a:prstGeom>
          <a:ln w="19050">
            <a:solidFill>
              <a:srgbClr val="7030A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37</xdr:col>
      <xdr:colOff>0</xdr:colOff>
      <xdr:row>90</xdr:row>
      <xdr:rowOff>0</xdr:rowOff>
    </xdr:from>
    <xdr:to>
      <xdr:col>46</xdr:col>
      <xdr:colOff>26050</xdr:colOff>
      <xdr:row>112</xdr:row>
      <xdr:rowOff>192101</xdr:rowOff>
    </xdr:to>
    <mc:AlternateContent xmlns:mc="http://schemas.openxmlformats.org/markup-compatibility/2006">
      <mc:Choice xmlns:cx1="http://schemas.microsoft.com/office/drawing/2015/9/8/chartex" Requires="cx1">
        <xdr:graphicFrame macro="">
          <xdr:nvGraphicFramePr>
            <xdr:cNvPr id="87" name="Chart 86">
              <a:extLst>
                <a:ext uri="{FF2B5EF4-FFF2-40B4-BE49-F238E27FC236}">
                  <a16:creationId xmlns:a16="http://schemas.microsoft.com/office/drawing/2014/main" id="{00000000-0008-0000-1200-000057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8"/>
            </a:graphicData>
          </a:graphic>
        </xdr:graphicFrame>
      </mc:Choice>
      <mc:Fallback>
        <xdr:sp macro="" textlink="">
          <xdr:nvSpPr>
            <xdr:cNvPr id="0" name=""/>
            <xdr:cNvSpPr>
              <a:spLocks noTextEdit="1"/>
            </xdr:cNvSpPr>
          </xdr:nvSpPr>
          <xdr:spPr>
            <a:xfrm>
              <a:off x="22829264" y="17980639"/>
              <a:ext cx="5558554" cy="4587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48</xdr:col>
      <xdr:colOff>92209</xdr:colOff>
      <xdr:row>90</xdr:row>
      <xdr:rowOff>76840</xdr:rowOff>
    </xdr:from>
    <xdr:to>
      <xdr:col>57</xdr:col>
      <xdr:colOff>118258</xdr:colOff>
      <xdr:row>113</xdr:row>
      <xdr:rowOff>69156</xdr:rowOff>
    </xdr:to>
    <mc:AlternateContent xmlns:mc="http://schemas.openxmlformats.org/markup-compatibility/2006">
      <mc:Choice xmlns:cx1="http://schemas.microsoft.com/office/drawing/2015/9/8/chartex" Requires="cx1">
        <xdr:graphicFrame macro="">
          <xdr:nvGraphicFramePr>
            <xdr:cNvPr id="89" name="Chart 88">
              <a:extLst>
                <a:ext uri="{FF2B5EF4-FFF2-40B4-BE49-F238E27FC236}">
                  <a16:creationId xmlns:a16="http://schemas.microsoft.com/office/drawing/2014/main" id="{00000000-0008-0000-1200-000059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9"/>
            </a:graphicData>
          </a:graphic>
        </xdr:graphicFrame>
      </mc:Choice>
      <mc:Fallback>
        <xdr:sp macro="" textlink="">
          <xdr:nvSpPr>
            <xdr:cNvPr id="0" name=""/>
            <xdr:cNvSpPr>
              <a:spLocks noTextEdit="1"/>
            </xdr:cNvSpPr>
          </xdr:nvSpPr>
          <xdr:spPr>
            <a:xfrm>
              <a:off x="29683422" y="18057479"/>
              <a:ext cx="5558554" cy="4587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59</xdr:col>
      <xdr:colOff>107577</xdr:colOff>
      <xdr:row>90</xdr:row>
      <xdr:rowOff>69157</xdr:rowOff>
    </xdr:from>
    <xdr:to>
      <xdr:col>68</xdr:col>
      <xdr:colOff>133627</xdr:colOff>
      <xdr:row>113</xdr:row>
      <xdr:rowOff>61473</xdr:rowOff>
    </xdr:to>
    <mc:AlternateContent xmlns:mc="http://schemas.openxmlformats.org/markup-compatibility/2006">
      <mc:Choice xmlns:cx1="http://schemas.microsoft.com/office/drawing/2015/9/8/chartex" Requires="cx1">
        <xdr:graphicFrame macro="">
          <xdr:nvGraphicFramePr>
            <xdr:cNvPr id="90" name="Chart 89">
              <a:extLst>
                <a:ext uri="{FF2B5EF4-FFF2-40B4-BE49-F238E27FC236}">
                  <a16:creationId xmlns:a16="http://schemas.microsoft.com/office/drawing/2014/main" id="{00000000-0008-0000-1200-00005A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0"/>
            </a:graphicData>
          </a:graphic>
        </xdr:graphicFrame>
      </mc:Choice>
      <mc:Fallback>
        <xdr:sp macro="" textlink="">
          <xdr:nvSpPr>
            <xdr:cNvPr id="0" name=""/>
            <xdr:cNvSpPr>
              <a:spLocks noTextEdit="1"/>
            </xdr:cNvSpPr>
          </xdr:nvSpPr>
          <xdr:spPr>
            <a:xfrm>
              <a:off x="36460740" y="18049796"/>
              <a:ext cx="5558554" cy="4587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70</xdr:col>
      <xdr:colOff>130628</xdr:colOff>
      <xdr:row>90</xdr:row>
      <xdr:rowOff>138313</xdr:rowOff>
    </xdr:from>
    <xdr:to>
      <xdr:col>79</xdr:col>
      <xdr:colOff>156678</xdr:colOff>
      <xdr:row>113</xdr:row>
      <xdr:rowOff>130629</xdr:rowOff>
    </xdr:to>
    <mc:AlternateContent xmlns:mc="http://schemas.openxmlformats.org/markup-compatibility/2006">
      <mc:Choice xmlns:cx1="http://schemas.microsoft.com/office/drawing/2015/9/8/chartex" Requires="cx1">
        <xdr:graphicFrame macro="">
          <xdr:nvGraphicFramePr>
            <xdr:cNvPr id="91" name="Chart 90">
              <a:extLst>
                <a:ext uri="{FF2B5EF4-FFF2-40B4-BE49-F238E27FC236}">
                  <a16:creationId xmlns:a16="http://schemas.microsoft.com/office/drawing/2014/main" id="{00000000-0008-0000-1200-00005B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1"/>
            </a:graphicData>
          </a:graphic>
        </xdr:graphicFrame>
      </mc:Choice>
      <mc:Fallback>
        <xdr:sp macro="" textlink="">
          <xdr:nvSpPr>
            <xdr:cNvPr id="0" name=""/>
            <xdr:cNvSpPr>
              <a:spLocks noTextEdit="1"/>
            </xdr:cNvSpPr>
          </xdr:nvSpPr>
          <xdr:spPr>
            <a:xfrm>
              <a:off x="43245741" y="18118952"/>
              <a:ext cx="5558554" cy="4587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81</xdr:col>
      <xdr:colOff>145997</xdr:colOff>
      <xdr:row>90</xdr:row>
      <xdr:rowOff>122945</xdr:rowOff>
    </xdr:from>
    <xdr:to>
      <xdr:col>90</xdr:col>
      <xdr:colOff>172047</xdr:colOff>
      <xdr:row>113</xdr:row>
      <xdr:rowOff>115261</xdr:rowOff>
    </xdr:to>
    <mc:AlternateContent xmlns:mc="http://schemas.openxmlformats.org/markup-compatibility/2006">
      <mc:Choice xmlns:cx1="http://schemas.microsoft.com/office/drawing/2015/9/8/chartex" Requires="cx1">
        <xdr:graphicFrame macro="">
          <xdr:nvGraphicFramePr>
            <xdr:cNvPr id="92" name="Chart 91">
              <a:extLst>
                <a:ext uri="{FF2B5EF4-FFF2-40B4-BE49-F238E27FC236}">
                  <a16:creationId xmlns:a16="http://schemas.microsoft.com/office/drawing/2014/main" id="{00000000-0008-0000-1200-00005C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2"/>
            </a:graphicData>
          </a:graphic>
        </xdr:graphicFrame>
      </mc:Choice>
      <mc:Fallback>
        <xdr:sp macro="" textlink="">
          <xdr:nvSpPr>
            <xdr:cNvPr id="0" name=""/>
            <xdr:cNvSpPr>
              <a:spLocks noTextEdit="1"/>
            </xdr:cNvSpPr>
          </xdr:nvSpPr>
          <xdr:spPr>
            <a:xfrm>
              <a:off x="50023059" y="18103584"/>
              <a:ext cx="5558554" cy="4587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37</xdr:col>
      <xdr:colOff>0</xdr:colOff>
      <xdr:row>120</xdr:row>
      <xdr:rowOff>0</xdr:rowOff>
    </xdr:from>
    <xdr:to>
      <xdr:col>46</xdr:col>
      <xdr:colOff>26050</xdr:colOff>
      <xdr:row>142</xdr:row>
      <xdr:rowOff>192101</xdr:rowOff>
    </xdr:to>
    <mc:AlternateContent xmlns:mc="http://schemas.openxmlformats.org/markup-compatibility/2006">
      <mc:Choice xmlns:cx1="http://schemas.microsoft.com/office/drawing/2015/9/8/chartex" Requires="cx1">
        <xdr:graphicFrame macro="">
          <xdr:nvGraphicFramePr>
            <xdr:cNvPr id="93" name="Chart 92">
              <a:extLst>
                <a:ext uri="{FF2B5EF4-FFF2-40B4-BE49-F238E27FC236}">
                  <a16:creationId xmlns:a16="http://schemas.microsoft.com/office/drawing/2014/main" id="{00000000-0008-0000-1200-00005D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3"/>
            </a:graphicData>
          </a:graphic>
        </xdr:graphicFrame>
      </mc:Choice>
      <mc:Fallback>
        <xdr:sp macro="" textlink="">
          <xdr:nvSpPr>
            <xdr:cNvPr id="0" name=""/>
            <xdr:cNvSpPr>
              <a:spLocks noTextEdit="1"/>
            </xdr:cNvSpPr>
          </xdr:nvSpPr>
          <xdr:spPr>
            <a:xfrm>
              <a:off x="22829264" y="23974185"/>
              <a:ext cx="5558554" cy="4587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48</xdr:col>
      <xdr:colOff>99892</xdr:colOff>
      <xdr:row>120</xdr:row>
      <xdr:rowOff>84524</xdr:rowOff>
    </xdr:from>
    <xdr:to>
      <xdr:col>57</xdr:col>
      <xdr:colOff>125941</xdr:colOff>
      <xdr:row>143</xdr:row>
      <xdr:rowOff>76840</xdr:rowOff>
    </xdr:to>
    <mc:AlternateContent xmlns:mc="http://schemas.openxmlformats.org/markup-compatibility/2006">
      <mc:Choice xmlns:cx1="http://schemas.microsoft.com/office/drawing/2015/9/8/chartex" Requires="cx1">
        <xdr:graphicFrame macro="">
          <xdr:nvGraphicFramePr>
            <xdr:cNvPr id="94" name="Chart 93">
              <a:extLst>
                <a:ext uri="{FF2B5EF4-FFF2-40B4-BE49-F238E27FC236}">
                  <a16:creationId xmlns:a16="http://schemas.microsoft.com/office/drawing/2014/main" id="{00000000-0008-0000-1200-00005E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4"/>
            </a:graphicData>
          </a:graphic>
        </xdr:graphicFrame>
      </mc:Choice>
      <mc:Fallback>
        <xdr:sp macro="" textlink="">
          <xdr:nvSpPr>
            <xdr:cNvPr id="0" name=""/>
            <xdr:cNvSpPr>
              <a:spLocks noTextEdit="1"/>
            </xdr:cNvSpPr>
          </xdr:nvSpPr>
          <xdr:spPr>
            <a:xfrm>
              <a:off x="29691105" y="24058709"/>
              <a:ext cx="5558554" cy="4587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59</xdr:col>
      <xdr:colOff>84525</xdr:colOff>
      <xdr:row>120</xdr:row>
      <xdr:rowOff>84525</xdr:rowOff>
    </xdr:from>
    <xdr:to>
      <xdr:col>68</xdr:col>
      <xdr:colOff>110575</xdr:colOff>
      <xdr:row>143</xdr:row>
      <xdr:rowOff>76841</xdr:rowOff>
    </xdr:to>
    <mc:AlternateContent xmlns:mc="http://schemas.openxmlformats.org/markup-compatibility/2006">
      <mc:Choice xmlns:cx1="http://schemas.microsoft.com/office/drawing/2015/9/8/chartex" Requires="cx1">
        <xdr:graphicFrame macro="">
          <xdr:nvGraphicFramePr>
            <xdr:cNvPr id="95" name="Chart 94">
              <a:extLst>
                <a:ext uri="{FF2B5EF4-FFF2-40B4-BE49-F238E27FC236}">
                  <a16:creationId xmlns:a16="http://schemas.microsoft.com/office/drawing/2014/main" id="{00000000-0008-0000-1200-00005F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5"/>
            </a:graphicData>
          </a:graphic>
        </xdr:graphicFrame>
      </mc:Choice>
      <mc:Fallback>
        <xdr:sp macro="" textlink="">
          <xdr:nvSpPr>
            <xdr:cNvPr id="0" name=""/>
            <xdr:cNvSpPr>
              <a:spLocks noTextEdit="1"/>
            </xdr:cNvSpPr>
          </xdr:nvSpPr>
          <xdr:spPr>
            <a:xfrm>
              <a:off x="36437688" y="24058710"/>
              <a:ext cx="5558554" cy="4587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70</xdr:col>
      <xdr:colOff>130628</xdr:colOff>
      <xdr:row>120</xdr:row>
      <xdr:rowOff>92208</xdr:rowOff>
    </xdr:from>
    <xdr:to>
      <xdr:col>79</xdr:col>
      <xdr:colOff>156678</xdr:colOff>
      <xdr:row>143</xdr:row>
      <xdr:rowOff>84524</xdr:rowOff>
    </xdr:to>
    <mc:AlternateContent xmlns:mc="http://schemas.openxmlformats.org/markup-compatibility/2006">
      <mc:Choice xmlns:cx1="http://schemas.microsoft.com/office/drawing/2015/9/8/chartex" Requires="cx1">
        <xdr:graphicFrame macro="">
          <xdr:nvGraphicFramePr>
            <xdr:cNvPr id="96" name="Chart 95">
              <a:extLst>
                <a:ext uri="{FF2B5EF4-FFF2-40B4-BE49-F238E27FC236}">
                  <a16:creationId xmlns:a16="http://schemas.microsoft.com/office/drawing/2014/main" id="{00000000-0008-0000-1200-000060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6"/>
            </a:graphicData>
          </a:graphic>
        </xdr:graphicFrame>
      </mc:Choice>
      <mc:Fallback>
        <xdr:sp macro="" textlink="">
          <xdr:nvSpPr>
            <xdr:cNvPr id="0" name=""/>
            <xdr:cNvSpPr>
              <a:spLocks noTextEdit="1"/>
            </xdr:cNvSpPr>
          </xdr:nvSpPr>
          <xdr:spPr>
            <a:xfrm>
              <a:off x="43245741" y="24066393"/>
              <a:ext cx="5558554" cy="4587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81</xdr:col>
      <xdr:colOff>130629</xdr:colOff>
      <xdr:row>120</xdr:row>
      <xdr:rowOff>122945</xdr:rowOff>
    </xdr:from>
    <xdr:to>
      <xdr:col>90</xdr:col>
      <xdr:colOff>156679</xdr:colOff>
      <xdr:row>143</xdr:row>
      <xdr:rowOff>115261</xdr:rowOff>
    </xdr:to>
    <mc:AlternateContent xmlns:mc="http://schemas.openxmlformats.org/markup-compatibility/2006">
      <mc:Choice xmlns:cx1="http://schemas.microsoft.com/office/drawing/2015/9/8/chartex" Requires="cx1">
        <xdr:graphicFrame macro="">
          <xdr:nvGraphicFramePr>
            <xdr:cNvPr id="97" name="Chart 96">
              <a:extLst>
                <a:ext uri="{FF2B5EF4-FFF2-40B4-BE49-F238E27FC236}">
                  <a16:creationId xmlns:a16="http://schemas.microsoft.com/office/drawing/2014/main" id="{00000000-0008-0000-1200-000061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7"/>
            </a:graphicData>
          </a:graphic>
        </xdr:graphicFrame>
      </mc:Choice>
      <mc:Fallback>
        <xdr:sp macro="" textlink="">
          <xdr:nvSpPr>
            <xdr:cNvPr id="0" name=""/>
            <xdr:cNvSpPr>
              <a:spLocks noTextEdit="1"/>
            </xdr:cNvSpPr>
          </xdr:nvSpPr>
          <xdr:spPr>
            <a:xfrm>
              <a:off x="50007691" y="24097130"/>
              <a:ext cx="5558554" cy="4587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153680</xdr:colOff>
      <xdr:row>147</xdr:row>
      <xdr:rowOff>76840</xdr:rowOff>
    </xdr:from>
    <xdr:to>
      <xdr:col>11</xdr:col>
      <xdr:colOff>196933</xdr:colOff>
      <xdr:row>172</xdr:row>
      <xdr:rowOff>169047</xdr:rowOff>
    </xdr:to>
    <xdr:graphicFrame macro="">
      <xdr:nvGraphicFramePr>
        <xdr:cNvPr id="88" name="Chart 87">
          <a:extLst>
            <a:ext uri="{FF2B5EF4-FFF2-40B4-BE49-F238E27FC236}">
              <a16:creationId xmlns:a16="http://schemas.microsoft.com/office/drawing/2014/main" id="{00000000-0008-0000-1200-00005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6</xdr:col>
      <xdr:colOff>38665</xdr:colOff>
      <xdr:row>148</xdr:row>
      <xdr:rowOff>59751</xdr:rowOff>
    </xdr:from>
    <xdr:to>
      <xdr:col>8</xdr:col>
      <xdr:colOff>170882</xdr:colOff>
      <xdr:row>167</xdr:row>
      <xdr:rowOff>131657</xdr:rowOff>
    </xdr:to>
    <xdr:grpSp>
      <xdr:nvGrpSpPr>
        <xdr:cNvPr id="98" name="Group 97">
          <a:extLst>
            <a:ext uri="{FF2B5EF4-FFF2-40B4-BE49-F238E27FC236}">
              <a16:creationId xmlns:a16="http://schemas.microsoft.com/office/drawing/2014/main" id="{00000000-0008-0000-1200-000062000000}"/>
            </a:ext>
          </a:extLst>
        </xdr:cNvPr>
        <xdr:cNvGrpSpPr/>
      </xdr:nvGrpSpPr>
      <xdr:grpSpPr>
        <a:xfrm>
          <a:off x="3811526" y="29627912"/>
          <a:ext cx="1361662" cy="3867819"/>
          <a:chOff x="11119043" y="534242"/>
          <a:chExt cx="1361662" cy="3867819"/>
        </a:xfrm>
      </xdr:grpSpPr>
      <xdr:cxnSp macro="">
        <xdr:nvCxnSpPr>
          <xdr:cNvPr id="99" name="Straight Connector 98">
            <a:extLst>
              <a:ext uri="{FF2B5EF4-FFF2-40B4-BE49-F238E27FC236}">
                <a16:creationId xmlns:a16="http://schemas.microsoft.com/office/drawing/2014/main" id="{00000000-0008-0000-1200-000063000000}"/>
              </a:ext>
            </a:extLst>
          </xdr:cNvPr>
          <xdr:cNvCxnSpPr/>
        </xdr:nvCxnSpPr>
        <xdr:spPr>
          <a:xfrm>
            <a:off x="11119043" y="534756"/>
            <a:ext cx="0" cy="3867305"/>
          </a:xfrm>
          <a:prstGeom prst="line">
            <a:avLst/>
          </a:prstGeom>
          <a:ln w="19050">
            <a:solidFill>
              <a:srgbClr val="7030A0"/>
            </a:solidFill>
          </a:ln>
        </xdr:spPr>
        <xdr:style>
          <a:lnRef idx="1">
            <a:schemeClr val="accent1"/>
          </a:lnRef>
          <a:fillRef idx="0">
            <a:schemeClr val="accent1"/>
          </a:fillRef>
          <a:effectRef idx="0">
            <a:schemeClr val="accent1"/>
          </a:effectRef>
          <a:fontRef idx="minor">
            <a:schemeClr val="tx1"/>
          </a:fontRef>
        </xdr:style>
      </xdr:cxnSp>
      <xdr:cxnSp macro="">
        <xdr:nvCxnSpPr>
          <xdr:cNvPr id="100" name="Straight Connector 99">
            <a:extLst>
              <a:ext uri="{FF2B5EF4-FFF2-40B4-BE49-F238E27FC236}">
                <a16:creationId xmlns:a16="http://schemas.microsoft.com/office/drawing/2014/main" id="{00000000-0008-0000-1200-000064000000}"/>
              </a:ext>
            </a:extLst>
          </xdr:cNvPr>
          <xdr:cNvCxnSpPr/>
        </xdr:nvCxnSpPr>
        <xdr:spPr>
          <a:xfrm>
            <a:off x="12480705" y="534242"/>
            <a:ext cx="0" cy="3867305"/>
          </a:xfrm>
          <a:prstGeom prst="line">
            <a:avLst/>
          </a:prstGeom>
          <a:ln w="19050">
            <a:solidFill>
              <a:srgbClr val="7030A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130629</xdr:colOff>
      <xdr:row>147</xdr:row>
      <xdr:rowOff>107577</xdr:rowOff>
    </xdr:from>
    <xdr:to>
      <xdr:col>23</xdr:col>
      <xdr:colOff>258406</xdr:colOff>
      <xdr:row>172</xdr:row>
      <xdr:rowOff>199784</xdr:rowOff>
    </xdr:to>
    <xdr:graphicFrame macro="">
      <xdr:nvGraphicFramePr>
        <xdr:cNvPr id="101" name="Chart 100">
          <a:extLst>
            <a:ext uri="{FF2B5EF4-FFF2-40B4-BE49-F238E27FC236}">
              <a16:creationId xmlns:a16="http://schemas.microsoft.com/office/drawing/2014/main" id="{00000000-0008-0000-1200-00006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18</xdr:col>
      <xdr:colOff>100138</xdr:colOff>
      <xdr:row>148</xdr:row>
      <xdr:rowOff>90488</xdr:rowOff>
    </xdr:from>
    <xdr:to>
      <xdr:col>20</xdr:col>
      <xdr:colOff>232355</xdr:colOff>
      <xdr:row>167</xdr:row>
      <xdr:rowOff>162394</xdr:rowOff>
    </xdr:to>
    <xdr:grpSp>
      <xdr:nvGrpSpPr>
        <xdr:cNvPr id="102" name="Group 101">
          <a:extLst>
            <a:ext uri="{FF2B5EF4-FFF2-40B4-BE49-F238E27FC236}">
              <a16:creationId xmlns:a16="http://schemas.microsoft.com/office/drawing/2014/main" id="{00000000-0008-0000-1200-000066000000}"/>
            </a:ext>
          </a:extLst>
        </xdr:cNvPr>
        <xdr:cNvGrpSpPr/>
      </xdr:nvGrpSpPr>
      <xdr:grpSpPr>
        <a:xfrm>
          <a:off x="11249671" y="29658649"/>
          <a:ext cx="1361662" cy="3867819"/>
          <a:chOff x="11119043" y="534242"/>
          <a:chExt cx="1361662" cy="3867819"/>
        </a:xfrm>
      </xdr:grpSpPr>
      <xdr:cxnSp macro="">
        <xdr:nvCxnSpPr>
          <xdr:cNvPr id="103" name="Straight Connector 102">
            <a:extLst>
              <a:ext uri="{FF2B5EF4-FFF2-40B4-BE49-F238E27FC236}">
                <a16:creationId xmlns:a16="http://schemas.microsoft.com/office/drawing/2014/main" id="{00000000-0008-0000-1200-000067000000}"/>
              </a:ext>
            </a:extLst>
          </xdr:cNvPr>
          <xdr:cNvCxnSpPr/>
        </xdr:nvCxnSpPr>
        <xdr:spPr>
          <a:xfrm>
            <a:off x="11119043" y="534756"/>
            <a:ext cx="0" cy="3867305"/>
          </a:xfrm>
          <a:prstGeom prst="line">
            <a:avLst/>
          </a:prstGeom>
          <a:ln w="19050">
            <a:solidFill>
              <a:srgbClr val="7030A0"/>
            </a:solidFill>
          </a:ln>
        </xdr:spPr>
        <xdr:style>
          <a:lnRef idx="1">
            <a:schemeClr val="accent1"/>
          </a:lnRef>
          <a:fillRef idx="0">
            <a:schemeClr val="accent1"/>
          </a:fillRef>
          <a:effectRef idx="0">
            <a:schemeClr val="accent1"/>
          </a:effectRef>
          <a:fontRef idx="minor">
            <a:schemeClr val="tx1"/>
          </a:fontRef>
        </xdr:style>
      </xdr:cxnSp>
      <xdr:cxnSp macro="">
        <xdr:nvCxnSpPr>
          <xdr:cNvPr id="104" name="Straight Connector 103">
            <a:extLst>
              <a:ext uri="{FF2B5EF4-FFF2-40B4-BE49-F238E27FC236}">
                <a16:creationId xmlns:a16="http://schemas.microsoft.com/office/drawing/2014/main" id="{00000000-0008-0000-1200-000068000000}"/>
              </a:ext>
            </a:extLst>
          </xdr:cNvPr>
          <xdr:cNvCxnSpPr/>
        </xdr:nvCxnSpPr>
        <xdr:spPr>
          <a:xfrm>
            <a:off x="12480705" y="534242"/>
            <a:ext cx="0" cy="3867305"/>
          </a:xfrm>
          <a:prstGeom prst="line">
            <a:avLst/>
          </a:prstGeom>
          <a:ln w="19050">
            <a:solidFill>
              <a:srgbClr val="7030A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25</xdr:col>
      <xdr:colOff>130629</xdr:colOff>
      <xdr:row>147</xdr:row>
      <xdr:rowOff>69156</xdr:rowOff>
    </xdr:from>
    <xdr:to>
      <xdr:col>35</xdr:col>
      <xdr:colOff>258407</xdr:colOff>
      <xdr:row>172</xdr:row>
      <xdr:rowOff>161363</xdr:rowOff>
    </xdr:to>
    <xdr:graphicFrame macro="">
      <xdr:nvGraphicFramePr>
        <xdr:cNvPr id="105" name="Chart 104">
          <a:extLst>
            <a:ext uri="{FF2B5EF4-FFF2-40B4-BE49-F238E27FC236}">
              <a16:creationId xmlns:a16="http://schemas.microsoft.com/office/drawing/2014/main" id="{00000000-0008-0000-1200-00006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30</xdr:col>
      <xdr:colOff>102152</xdr:colOff>
      <xdr:row>148</xdr:row>
      <xdr:rowOff>49062</xdr:rowOff>
    </xdr:from>
    <xdr:to>
      <xdr:col>32</xdr:col>
      <xdr:colOff>234368</xdr:colOff>
      <xdr:row>167</xdr:row>
      <xdr:rowOff>120642</xdr:rowOff>
    </xdr:to>
    <xdr:grpSp>
      <xdr:nvGrpSpPr>
        <xdr:cNvPr id="106" name="Group 105">
          <a:extLst>
            <a:ext uri="{FF2B5EF4-FFF2-40B4-BE49-F238E27FC236}">
              <a16:creationId xmlns:a16="http://schemas.microsoft.com/office/drawing/2014/main" id="{00000000-0008-0000-1200-00006A000000}"/>
            </a:ext>
          </a:extLst>
        </xdr:cNvPr>
        <xdr:cNvGrpSpPr/>
      </xdr:nvGrpSpPr>
      <xdr:grpSpPr>
        <a:xfrm>
          <a:off x="18628357" y="29617223"/>
          <a:ext cx="1361661" cy="3867493"/>
          <a:chOff x="11119043" y="534242"/>
          <a:chExt cx="1361662" cy="3867819"/>
        </a:xfrm>
      </xdr:grpSpPr>
      <xdr:cxnSp macro="">
        <xdr:nvCxnSpPr>
          <xdr:cNvPr id="107" name="Straight Connector 106">
            <a:extLst>
              <a:ext uri="{FF2B5EF4-FFF2-40B4-BE49-F238E27FC236}">
                <a16:creationId xmlns:a16="http://schemas.microsoft.com/office/drawing/2014/main" id="{00000000-0008-0000-1200-00006B000000}"/>
              </a:ext>
            </a:extLst>
          </xdr:cNvPr>
          <xdr:cNvCxnSpPr/>
        </xdr:nvCxnSpPr>
        <xdr:spPr>
          <a:xfrm>
            <a:off x="11119043" y="534756"/>
            <a:ext cx="0" cy="3867305"/>
          </a:xfrm>
          <a:prstGeom prst="line">
            <a:avLst/>
          </a:prstGeom>
          <a:ln w="19050">
            <a:solidFill>
              <a:srgbClr val="7030A0"/>
            </a:solidFill>
          </a:ln>
        </xdr:spPr>
        <xdr:style>
          <a:lnRef idx="1">
            <a:schemeClr val="accent1"/>
          </a:lnRef>
          <a:fillRef idx="0">
            <a:schemeClr val="accent1"/>
          </a:fillRef>
          <a:effectRef idx="0">
            <a:schemeClr val="accent1"/>
          </a:effectRef>
          <a:fontRef idx="minor">
            <a:schemeClr val="tx1"/>
          </a:fontRef>
        </xdr:style>
      </xdr:cxnSp>
      <xdr:cxnSp macro="">
        <xdr:nvCxnSpPr>
          <xdr:cNvPr id="108" name="Straight Connector 107">
            <a:extLst>
              <a:ext uri="{FF2B5EF4-FFF2-40B4-BE49-F238E27FC236}">
                <a16:creationId xmlns:a16="http://schemas.microsoft.com/office/drawing/2014/main" id="{00000000-0008-0000-1200-00006C000000}"/>
              </a:ext>
            </a:extLst>
          </xdr:cNvPr>
          <xdr:cNvCxnSpPr/>
        </xdr:nvCxnSpPr>
        <xdr:spPr>
          <a:xfrm>
            <a:off x="12480705" y="534242"/>
            <a:ext cx="0" cy="3867305"/>
          </a:xfrm>
          <a:prstGeom prst="line">
            <a:avLst/>
          </a:prstGeom>
          <a:ln w="19050">
            <a:solidFill>
              <a:srgbClr val="7030A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37</xdr:col>
      <xdr:colOff>115260</xdr:colOff>
      <xdr:row>147</xdr:row>
      <xdr:rowOff>99893</xdr:rowOff>
    </xdr:from>
    <xdr:to>
      <xdr:col>46</xdr:col>
      <xdr:colOff>141310</xdr:colOff>
      <xdr:row>170</xdr:row>
      <xdr:rowOff>92208</xdr:rowOff>
    </xdr:to>
    <mc:AlternateContent xmlns:mc="http://schemas.openxmlformats.org/markup-compatibility/2006">
      <mc:Choice xmlns:cx1="http://schemas.microsoft.com/office/drawing/2015/9/8/chartex" Requires="cx1">
        <xdr:graphicFrame macro="">
          <xdr:nvGraphicFramePr>
            <xdr:cNvPr id="109" name="Chart 108">
              <a:extLst>
                <a:ext uri="{FF2B5EF4-FFF2-40B4-BE49-F238E27FC236}">
                  <a16:creationId xmlns:a16="http://schemas.microsoft.com/office/drawing/2014/main" id="{00000000-0008-0000-1200-00006D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1"/>
            </a:graphicData>
          </a:graphic>
        </xdr:graphicFrame>
      </mc:Choice>
      <mc:Fallback>
        <xdr:sp macro="" textlink="">
          <xdr:nvSpPr>
            <xdr:cNvPr id="0" name=""/>
            <xdr:cNvSpPr>
              <a:spLocks noTextEdit="1"/>
            </xdr:cNvSpPr>
          </xdr:nvSpPr>
          <xdr:spPr>
            <a:xfrm>
              <a:off x="22944524" y="29468269"/>
              <a:ext cx="5558554" cy="4587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48</xdr:col>
      <xdr:colOff>115261</xdr:colOff>
      <xdr:row>147</xdr:row>
      <xdr:rowOff>53789</xdr:rowOff>
    </xdr:from>
    <xdr:to>
      <xdr:col>57</xdr:col>
      <xdr:colOff>141310</xdr:colOff>
      <xdr:row>170</xdr:row>
      <xdr:rowOff>46104</xdr:rowOff>
    </xdr:to>
    <mc:AlternateContent xmlns:mc="http://schemas.openxmlformats.org/markup-compatibility/2006">
      <mc:Choice xmlns:cx1="http://schemas.microsoft.com/office/drawing/2015/9/8/chartex" Requires="cx1">
        <xdr:graphicFrame macro="">
          <xdr:nvGraphicFramePr>
            <xdr:cNvPr id="110" name="Chart 109">
              <a:extLst>
                <a:ext uri="{FF2B5EF4-FFF2-40B4-BE49-F238E27FC236}">
                  <a16:creationId xmlns:a16="http://schemas.microsoft.com/office/drawing/2014/main" id="{00000000-0008-0000-1200-00006E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2"/>
            </a:graphicData>
          </a:graphic>
        </xdr:graphicFrame>
      </mc:Choice>
      <mc:Fallback>
        <xdr:sp macro="" textlink="">
          <xdr:nvSpPr>
            <xdr:cNvPr id="0" name=""/>
            <xdr:cNvSpPr>
              <a:spLocks noTextEdit="1"/>
            </xdr:cNvSpPr>
          </xdr:nvSpPr>
          <xdr:spPr>
            <a:xfrm>
              <a:off x="29706474" y="29422165"/>
              <a:ext cx="5558554" cy="4587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59</xdr:col>
      <xdr:colOff>53788</xdr:colOff>
      <xdr:row>147</xdr:row>
      <xdr:rowOff>53789</xdr:rowOff>
    </xdr:from>
    <xdr:to>
      <xdr:col>68</xdr:col>
      <xdr:colOff>79838</xdr:colOff>
      <xdr:row>170</xdr:row>
      <xdr:rowOff>46104</xdr:rowOff>
    </xdr:to>
    <mc:AlternateContent xmlns:mc="http://schemas.openxmlformats.org/markup-compatibility/2006">
      <mc:Choice xmlns:cx1="http://schemas.microsoft.com/office/drawing/2015/9/8/chartex" Requires="cx1">
        <xdr:graphicFrame macro="">
          <xdr:nvGraphicFramePr>
            <xdr:cNvPr id="111" name="Chart 110">
              <a:extLst>
                <a:ext uri="{FF2B5EF4-FFF2-40B4-BE49-F238E27FC236}">
                  <a16:creationId xmlns:a16="http://schemas.microsoft.com/office/drawing/2014/main" id="{00000000-0008-0000-1200-00006F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3"/>
            </a:graphicData>
          </a:graphic>
        </xdr:graphicFrame>
      </mc:Choice>
      <mc:Fallback>
        <xdr:sp macro="" textlink="">
          <xdr:nvSpPr>
            <xdr:cNvPr id="0" name=""/>
            <xdr:cNvSpPr>
              <a:spLocks noTextEdit="1"/>
            </xdr:cNvSpPr>
          </xdr:nvSpPr>
          <xdr:spPr>
            <a:xfrm>
              <a:off x="36406951" y="29422165"/>
              <a:ext cx="5558554" cy="4587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70</xdr:col>
      <xdr:colOff>130629</xdr:colOff>
      <xdr:row>147</xdr:row>
      <xdr:rowOff>69157</xdr:rowOff>
    </xdr:from>
    <xdr:to>
      <xdr:col>79</xdr:col>
      <xdr:colOff>156679</xdr:colOff>
      <xdr:row>170</xdr:row>
      <xdr:rowOff>61472</xdr:rowOff>
    </xdr:to>
    <mc:AlternateContent xmlns:mc="http://schemas.openxmlformats.org/markup-compatibility/2006">
      <mc:Choice xmlns:cx1="http://schemas.microsoft.com/office/drawing/2015/9/8/chartex" Requires="cx1">
        <xdr:graphicFrame macro="">
          <xdr:nvGraphicFramePr>
            <xdr:cNvPr id="112" name="Chart 111">
              <a:extLst>
                <a:ext uri="{FF2B5EF4-FFF2-40B4-BE49-F238E27FC236}">
                  <a16:creationId xmlns:a16="http://schemas.microsoft.com/office/drawing/2014/main" id="{00000000-0008-0000-1200-000070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4"/>
            </a:graphicData>
          </a:graphic>
        </xdr:graphicFrame>
      </mc:Choice>
      <mc:Fallback>
        <xdr:sp macro="" textlink="">
          <xdr:nvSpPr>
            <xdr:cNvPr id="0" name=""/>
            <xdr:cNvSpPr>
              <a:spLocks noTextEdit="1"/>
            </xdr:cNvSpPr>
          </xdr:nvSpPr>
          <xdr:spPr>
            <a:xfrm>
              <a:off x="43245742" y="29437533"/>
              <a:ext cx="5558554" cy="4587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81</xdr:col>
      <xdr:colOff>199785</xdr:colOff>
      <xdr:row>147</xdr:row>
      <xdr:rowOff>115261</xdr:rowOff>
    </xdr:from>
    <xdr:to>
      <xdr:col>90</xdr:col>
      <xdr:colOff>225835</xdr:colOff>
      <xdr:row>170</xdr:row>
      <xdr:rowOff>107576</xdr:rowOff>
    </xdr:to>
    <mc:AlternateContent xmlns:mc="http://schemas.openxmlformats.org/markup-compatibility/2006">
      <mc:Choice xmlns:cx1="http://schemas.microsoft.com/office/drawing/2015/9/8/chartex" Requires="cx1">
        <xdr:graphicFrame macro="">
          <xdr:nvGraphicFramePr>
            <xdr:cNvPr id="113" name="Chart 112">
              <a:extLst>
                <a:ext uri="{FF2B5EF4-FFF2-40B4-BE49-F238E27FC236}">
                  <a16:creationId xmlns:a16="http://schemas.microsoft.com/office/drawing/2014/main" id="{00000000-0008-0000-1200-000071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5"/>
            </a:graphicData>
          </a:graphic>
        </xdr:graphicFrame>
      </mc:Choice>
      <mc:Fallback>
        <xdr:sp macro="" textlink="">
          <xdr:nvSpPr>
            <xdr:cNvPr id="0" name=""/>
            <xdr:cNvSpPr>
              <a:spLocks noTextEdit="1"/>
            </xdr:cNvSpPr>
          </xdr:nvSpPr>
          <xdr:spPr>
            <a:xfrm>
              <a:off x="50076847" y="29483637"/>
              <a:ext cx="5558554" cy="4587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99893</xdr:colOff>
      <xdr:row>176</xdr:row>
      <xdr:rowOff>176733</xdr:rowOff>
    </xdr:from>
    <xdr:to>
      <xdr:col>11</xdr:col>
      <xdr:colOff>143146</xdr:colOff>
      <xdr:row>202</xdr:row>
      <xdr:rowOff>69155</xdr:rowOff>
    </xdr:to>
    <xdr:graphicFrame macro="">
      <xdr:nvGraphicFramePr>
        <xdr:cNvPr id="114" name="Chart 113">
          <a:extLst>
            <a:ext uri="{FF2B5EF4-FFF2-40B4-BE49-F238E27FC236}">
              <a16:creationId xmlns:a16="http://schemas.microsoft.com/office/drawing/2014/main" id="{00000000-0008-0000-1200-00007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5</xdr:col>
      <xdr:colOff>599601</xdr:colOff>
      <xdr:row>177</xdr:row>
      <xdr:rowOff>159644</xdr:rowOff>
    </xdr:from>
    <xdr:to>
      <xdr:col>8</xdr:col>
      <xdr:colOff>117095</xdr:colOff>
      <xdr:row>197</xdr:row>
      <xdr:rowOff>31766</xdr:rowOff>
    </xdr:to>
    <xdr:grpSp>
      <xdr:nvGrpSpPr>
        <xdr:cNvPr id="115" name="Group 114">
          <a:extLst>
            <a:ext uri="{FF2B5EF4-FFF2-40B4-BE49-F238E27FC236}">
              <a16:creationId xmlns:a16="http://schemas.microsoft.com/office/drawing/2014/main" id="{00000000-0008-0000-1200-000073000000}"/>
            </a:ext>
          </a:extLst>
        </xdr:cNvPr>
        <xdr:cNvGrpSpPr/>
      </xdr:nvGrpSpPr>
      <xdr:grpSpPr>
        <a:xfrm>
          <a:off x="3757739" y="35521567"/>
          <a:ext cx="1361662" cy="3867819"/>
          <a:chOff x="11119043" y="534242"/>
          <a:chExt cx="1361662" cy="3867819"/>
        </a:xfrm>
      </xdr:grpSpPr>
      <xdr:cxnSp macro="">
        <xdr:nvCxnSpPr>
          <xdr:cNvPr id="116" name="Straight Connector 115">
            <a:extLst>
              <a:ext uri="{FF2B5EF4-FFF2-40B4-BE49-F238E27FC236}">
                <a16:creationId xmlns:a16="http://schemas.microsoft.com/office/drawing/2014/main" id="{00000000-0008-0000-1200-000074000000}"/>
              </a:ext>
            </a:extLst>
          </xdr:cNvPr>
          <xdr:cNvCxnSpPr/>
        </xdr:nvCxnSpPr>
        <xdr:spPr>
          <a:xfrm>
            <a:off x="11119043" y="534756"/>
            <a:ext cx="0" cy="3867305"/>
          </a:xfrm>
          <a:prstGeom prst="line">
            <a:avLst/>
          </a:prstGeom>
          <a:ln w="19050">
            <a:solidFill>
              <a:srgbClr val="7030A0"/>
            </a:solidFill>
          </a:ln>
        </xdr:spPr>
        <xdr:style>
          <a:lnRef idx="1">
            <a:schemeClr val="accent1"/>
          </a:lnRef>
          <a:fillRef idx="0">
            <a:schemeClr val="accent1"/>
          </a:fillRef>
          <a:effectRef idx="0">
            <a:schemeClr val="accent1"/>
          </a:effectRef>
          <a:fontRef idx="minor">
            <a:schemeClr val="tx1"/>
          </a:fontRef>
        </xdr:style>
      </xdr:cxnSp>
      <xdr:cxnSp macro="">
        <xdr:nvCxnSpPr>
          <xdr:cNvPr id="117" name="Straight Connector 116">
            <a:extLst>
              <a:ext uri="{FF2B5EF4-FFF2-40B4-BE49-F238E27FC236}">
                <a16:creationId xmlns:a16="http://schemas.microsoft.com/office/drawing/2014/main" id="{00000000-0008-0000-1200-000075000000}"/>
              </a:ext>
            </a:extLst>
          </xdr:cNvPr>
          <xdr:cNvCxnSpPr/>
        </xdr:nvCxnSpPr>
        <xdr:spPr>
          <a:xfrm>
            <a:off x="12480705" y="534242"/>
            <a:ext cx="0" cy="3867305"/>
          </a:xfrm>
          <a:prstGeom prst="line">
            <a:avLst/>
          </a:prstGeom>
          <a:ln w="19050">
            <a:solidFill>
              <a:srgbClr val="7030A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107576</xdr:colOff>
      <xdr:row>177</xdr:row>
      <xdr:rowOff>76840</xdr:rowOff>
    </xdr:from>
    <xdr:to>
      <xdr:col>23</xdr:col>
      <xdr:colOff>235353</xdr:colOff>
      <xdr:row>202</xdr:row>
      <xdr:rowOff>169047</xdr:rowOff>
    </xdr:to>
    <xdr:graphicFrame macro="">
      <xdr:nvGraphicFramePr>
        <xdr:cNvPr id="122" name="Chart 121">
          <a:extLst>
            <a:ext uri="{FF2B5EF4-FFF2-40B4-BE49-F238E27FC236}">
              <a16:creationId xmlns:a16="http://schemas.microsoft.com/office/drawing/2014/main" id="{00000000-0008-0000-1200-00007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18</xdr:col>
      <xdr:colOff>77085</xdr:colOff>
      <xdr:row>178</xdr:row>
      <xdr:rowOff>59751</xdr:rowOff>
    </xdr:from>
    <xdr:to>
      <xdr:col>20</xdr:col>
      <xdr:colOff>209302</xdr:colOff>
      <xdr:row>197</xdr:row>
      <xdr:rowOff>131658</xdr:rowOff>
    </xdr:to>
    <xdr:grpSp>
      <xdr:nvGrpSpPr>
        <xdr:cNvPr id="123" name="Group 122">
          <a:extLst>
            <a:ext uri="{FF2B5EF4-FFF2-40B4-BE49-F238E27FC236}">
              <a16:creationId xmlns:a16="http://schemas.microsoft.com/office/drawing/2014/main" id="{00000000-0008-0000-1200-00007B000000}"/>
            </a:ext>
          </a:extLst>
        </xdr:cNvPr>
        <xdr:cNvGrpSpPr/>
      </xdr:nvGrpSpPr>
      <xdr:grpSpPr>
        <a:xfrm>
          <a:off x="11226618" y="35621459"/>
          <a:ext cx="1361662" cy="3867819"/>
          <a:chOff x="11119043" y="534242"/>
          <a:chExt cx="1361662" cy="3867819"/>
        </a:xfrm>
      </xdr:grpSpPr>
      <xdr:cxnSp macro="">
        <xdr:nvCxnSpPr>
          <xdr:cNvPr id="124" name="Straight Connector 123">
            <a:extLst>
              <a:ext uri="{FF2B5EF4-FFF2-40B4-BE49-F238E27FC236}">
                <a16:creationId xmlns:a16="http://schemas.microsoft.com/office/drawing/2014/main" id="{00000000-0008-0000-1200-00007C000000}"/>
              </a:ext>
            </a:extLst>
          </xdr:cNvPr>
          <xdr:cNvCxnSpPr/>
        </xdr:nvCxnSpPr>
        <xdr:spPr>
          <a:xfrm>
            <a:off x="11119043" y="534756"/>
            <a:ext cx="0" cy="3867305"/>
          </a:xfrm>
          <a:prstGeom prst="line">
            <a:avLst/>
          </a:prstGeom>
          <a:ln w="19050">
            <a:solidFill>
              <a:srgbClr val="7030A0"/>
            </a:solidFill>
          </a:ln>
        </xdr:spPr>
        <xdr:style>
          <a:lnRef idx="1">
            <a:schemeClr val="accent1"/>
          </a:lnRef>
          <a:fillRef idx="0">
            <a:schemeClr val="accent1"/>
          </a:fillRef>
          <a:effectRef idx="0">
            <a:schemeClr val="accent1"/>
          </a:effectRef>
          <a:fontRef idx="minor">
            <a:schemeClr val="tx1"/>
          </a:fontRef>
        </xdr:style>
      </xdr:cxnSp>
      <xdr:cxnSp macro="">
        <xdr:nvCxnSpPr>
          <xdr:cNvPr id="125" name="Straight Connector 124">
            <a:extLst>
              <a:ext uri="{FF2B5EF4-FFF2-40B4-BE49-F238E27FC236}">
                <a16:creationId xmlns:a16="http://schemas.microsoft.com/office/drawing/2014/main" id="{00000000-0008-0000-1200-00007D000000}"/>
              </a:ext>
            </a:extLst>
          </xdr:cNvPr>
          <xdr:cNvCxnSpPr/>
        </xdr:nvCxnSpPr>
        <xdr:spPr>
          <a:xfrm>
            <a:off x="12480705" y="534242"/>
            <a:ext cx="0" cy="3867305"/>
          </a:xfrm>
          <a:prstGeom prst="line">
            <a:avLst/>
          </a:prstGeom>
          <a:ln w="19050">
            <a:solidFill>
              <a:srgbClr val="7030A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25</xdr:col>
      <xdr:colOff>61473</xdr:colOff>
      <xdr:row>177</xdr:row>
      <xdr:rowOff>23052</xdr:rowOff>
    </xdr:from>
    <xdr:to>
      <xdr:col>35</xdr:col>
      <xdr:colOff>189251</xdr:colOff>
      <xdr:row>202</xdr:row>
      <xdr:rowOff>115259</xdr:rowOff>
    </xdr:to>
    <xdr:graphicFrame macro="">
      <xdr:nvGraphicFramePr>
        <xdr:cNvPr id="138" name="Chart 137">
          <a:extLst>
            <a:ext uri="{FF2B5EF4-FFF2-40B4-BE49-F238E27FC236}">
              <a16:creationId xmlns:a16="http://schemas.microsoft.com/office/drawing/2014/main" id="{00000000-0008-0000-1200-00008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30</xdr:col>
      <xdr:colOff>32996</xdr:colOff>
      <xdr:row>178</xdr:row>
      <xdr:rowOff>2958</xdr:rowOff>
    </xdr:from>
    <xdr:to>
      <xdr:col>32</xdr:col>
      <xdr:colOff>165212</xdr:colOff>
      <xdr:row>197</xdr:row>
      <xdr:rowOff>74539</xdr:rowOff>
    </xdr:to>
    <xdr:grpSp>
      <xdr:nvGrpSpPr>
        <xdr:cNvPr id="139" name="Group 138">
          <a:extLst>
            <a:ext uri="{FF2B5EF4-FFF2-40B4-BE49-F238E27FC236}">
              <a16:creationId xmlns:a16="http://schemas.microsoft.com/office/drawing/2014/main" id="{00000000-0008-0000-1200-00008B000000}"/>
            </a:ext>
          </a:extLst>
        </xdr:cNvPr>
        <xdr:cNvGrpSpPr/>
      </xdr:nvGrpSpPr>
      <xdr:grpSpPr>
        <a:xfrm>
          <a:off x="18559201" y="35564666"/>
          <a:ext cx="1361661" cy="3867493"/>
          <a:chOff x="11119043" y="534242"/>
          <a:chExt cx="1361662" cy="3867819"/>
        </a:xfrm>
      </xdr:grpSpPr>
      <xdr:cxnSp macro="">
        <xdr:nvCxnSpPr>
          <xdr:cNvPr id="140" name="Straight Connector 139">
            <a:extLst>
              <a:ext uri="{FF2B5EF4-FFF2-40B4-BE49-F238E27FC236}">
                <a16:creationId xmlns:a16="http://schemas.microsoft.com/office/drawing/2014/main" id="{00000000-0008-0000-1200-00008C000000}"/>
              </a:ext>
            </a:extLst>
          </xdr:cNvPr>
          <xdr:cNvCxnSpPr/>
        </xdr:nvCxnSpPr>
        <xdr:spPr>
          <a:xfrm>
            <a:off x="11119043" y="534756"/>
            <a:ext cx="0" cy="3867305"/>
          </a:xfrm>
          <a:prstGeom prst="line">
            <a:avLst/>
          </a:prstGeom>
          <a:ln w="19050">
            <a:solidFill>
              <a:srgbClr val="7030A0"/>
            </a:solidFill>
          </a:ln>
        </xdr:spPr>
        <xdr:style>
          <a:lnRef idx="1">
            <a:schemeClr val="accent1"/>
          </a:lnRef>
          <a:fillRef idx="0">
            <a:schemeClr val="accent1"/>
          </a:fillRef>
          <a:effectRef idx="0">
            <a:schemeClr val="accent1"/>
          </a:effectRef>
          <a:fontRef idx="minor">
            <a:schemeClr val="tx1"/>
          </a:fontRef>
        </xdr:style>
      </xdr:cxnSp>
      <xdr:cxnSp macro="">
        <xdr:nvCxnSpPr>
          <xdr:cNvPr id="141" name="Straight Connector 140">
            <a:extLst>
              <a:ext uri="{FF2B5EF4-FFF2-40B4-BE49-F238E27FC236}">
                <a16:creationId xmlns:a16="http://schemas.microsoft.com/office/drawing/2014/main" id="{00000000-0008-0000-1200-00008D000000}"/>
              </a:ext>
            </a:extLst>
          </xdr:cNvPr>
          <xdr:cNvCxnSpPr/>
        </xdr:nvCxnSpPr>
        <xdr:spPr>
          <a:xfrm>
            <a:off x="12480705" y="534242"/>
            <a:ext cx="0" cy="3867305"/>
          </a:xfrm>
          <a:prstGeom prst="line">
            <a:avLst/>
          </a:prstGeom>
          <a:ln w="19050">
            <a:solidFill>
              <a:srgbClr val="7030A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37</xdr:col>
      <xdr:colOff>184417</xdr:colOff>
      <xdr:row>177</xdr:row>
      <xdr:rowOff>99892</xdr:rowOff>
    </xdr:from>
    <xdr:to>
      <xdr:col>46</xdr:col>
      <xdr:colOff>210467</xdr:colOff>
      <xdr:row>200</xdr:row>
      <xdr:rowOff>92208</xdr:rowOff>
    </xdr:to>
    <mc:AlternateContent xmlns:mc="http://schemas.openxmlformats.org/markup-compatibility/2006">
      <mc:Choice xmlns:cx1="http://schemas.microsoft.com/office/drawing/2015/9/8/chartex" Requires="cx1">
        <xdr:graphicFrame macro="">
          <xdr:nvGraphicFramePr>
            <xdr:cNvPr id="142" name="Chart 141">
              <a:extLst>
                <a:ext uri="{FF2B5EF4-FFF2-40B4-BE49-F238E27FC236}">
                  <a16:creationId xmlns:a16="http://schemas.microsoft.com/office/drawing/2014/main" id="{00000000-0008-0000-1200-00008E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9"/>
            </a:graphicData>
          </a:graphic>
        </xdr:graphicFrame>
      </mc:Choice>
      <mc:Fallback>
        <xdr:sp macro="" textlink="">
          <xdr:nvSpPr>
            <xdr:cNvPr id="0" name=""/>
            <xdr:cNvSpPr>
              <a:spLocks noTextEdit="1"/>
            </xdr:cNvSpPr>
          </xdr:nvSpPr>
          <xdr:spPr>
            <a:xfrm>
              <a:off x="23013681" y="35461815"/>
              <a:ext cx="5558554" cy="4587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48</xdr:col>
      <xdr:colOff>122945</xdr:colOff>
      <xdr:row>177</xdr:row>
      <xdr:rowOff>115260</xdr:rowOff>
    </xdr:from>
    <xdr:to>
      <xdr:col>57</xdr:col>
      <xdr:colOff>148994</xdr:colOff>
      <xdr:row>200</xdr:row>
      <xdr:rowOff>107576</xdr:rowOff>
    </xdr:to>
    <mc:AlternateContent xmlns:mc="http://schemas.openxmlformats.org/markup-compatibility/2006">
      <mc:Choice xmlns:cx1="http://schemas.microsoft.com/office/drawing/2015/9/8/chartex" Requires="cx1">
        <xdr:graphicFrame macro="">
          <xdr:nvGraphicFramePr>
            <xdr:cNvPr id="143" name="Chart 142">
              <a:extLst>
                <a:ext uri="{FF2B5EF4-FFF2-40B4-BE49-F238E27FC236}">
                  <a16:creationId xmlns:a16="http://schemas.microsoft.com/office/drawing/2014/main" id="{00000000-0008-0000-1200-00008F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50"/>
            </a:graphicData>
          </a:graphic>
        </xdr:graphicFrame>
      </mc:Choice>
      <mc:Fallback>
        <xdr:sp macro="" textlink="">
          <xdr:nvSpPr>
            <xdr:cNvPr id="0" name=""/>
            <xdr:cNvSpPr>
              <a:spLocks noTextEdit="1"/>
            </xdr:cNvSpPr>
          </xdr:nvSpPr>
          <xdr:spPr>
            <a:xfrm>
              <a:off x="29714158" y="35477183"/>
              <a:ext cx="5558554" cy="4587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59</xdr:col>
      <xdr:colOff>107576</xdr:colOff>
      <xdr:row>177</xdr:row>
      <xdr:rowOff>69156</xdr:rowOff>
    </xdr:from>
    <xdr:to>
      <xdr:col>68</xdr:col>
      <xdr:colOff>133626</xdr:colOff>
      <xdr:row>200</xdr:row>
      <xdr:rowOff>61472</xdr:rowOff>
    </xdr:to>
    <mc:AlternateContent xmlns:mc="http://schemas.openxmlformats.org/markup-compatibility/2006">
      <mc:Choice xmlns:cx1="http://schemas.microsoft.com/office/drawing/2015/9/8/chartex" Requires="cx1">
        <xdr:graphicFrame macro="">
          <xdr:nvGraphicFramePr>
            <xdr:cNvPr id="144" name="Chart 143">
              <a:extLst>
                <a:ext uri="{FF2B5EF4-FFF2-40B4-BE49-F238E27FC236}">
                  <a16:creationId xmlns:a16="http://schemas.microsoft.com/office/drawing/2014/main" id="{00000000-0008-0000-1200-000090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51"/>
            </a:graphicData>
          </a:graphic>
        </xdr:graphicFrame>
      </mc:Choice>
      <mc:Fallback>
        <xdr:sp macro="" textlink="">
          <xdr:nvSpPr>
            <xdr:cNvPr id="0" name=""/>
            <xdr:cNvSpPr>
              <a:spLocks noTextEdit="1"/>
            </xdr:cNvSpPr>
          </xdr:nvSpPr>
          <xdr:spPr>
            <a:xfrm>
              <a:off x="36460739" y="35431079"/>
              <a:ext cx="5558554" cy="4587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70</xdr:col>
      <xdr:colOff>176733</xdr:colOff>
      <xdr:row>177</xdr:row>
      <xdr:rowOff>130628</xdr:rowOff>
    </xdr:from>
    <xdr:to>
      <xdr:col>79</xdr:col>
      <xdr:colOff>202783</xdr:colOff>
      <xdr:row>200</xdr:row>
      <xdr:rowOff>122944</xdr:rowOff>
    </xdr:to>
    <mc:AlternateContent xmlns:mc="http://schemas.openxmlformats.org/markup-compatibility/2006">
      <mc:Choice xmlns:cx1="http://schemas.microsoft.com/office/drawing/2015/9/8/chartex" Requires="cx1">
        <xdr:graphicFrame macro="">
          <xdr:nvGraphicFramePr>
            <xdr:cNvPr id="146" name="Chart 145">
              <a:extLst>
                <a:ext uri="{FF2B5EF4-FFF2-40B4-BE49-F238E27FC236}">
                  <a16:creationId xmlns:a16="http://schemas.microsoft.com/office/drawing/2014/main" id="{00000000-0008-0000-1200-000092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52"/>
            </a:graphicData>
          </a:graphic>
        </xdr:graphicFrame>
      </mc:Choice>
      <mc:Fallback>
        <xdr:sp macro="" textlink="">
          <xdr:nvSpPr>
            <xdr:cNvPr id="0" name=""/>
            <xdr:cNvSpPr>
              <a:spLocks noTextEdit="1"/>
            </xdr:cNvSpPr>
          </xdr:nvSpPr>
          <xdr:spPr>
            <a:xfrm>
              <a:off x="43291846" y="35492551"/>
              <a:ext cx="5558554" cy="4587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81</xdr:col>
      <xdr:colOff>161365</xdr:colOff>
      <xdr:row>177</xdr:row>
      <xdr:rowOff>84524</xdr:rowOff>
    </xdr:from>
    <xdr:to>
      <xdr:col>90</xdr:col>
      <xdr:colOff>187415</xdr:colOff>
      <xdr:row>200</xdr:row>
      <xdr:rowOff>76840</xdr:rowOff>
    </xdr:to>
    <mc:AlternateContent xmlns:mc="http://schemas.openxmlformats.org/markup-compatibility/2006">
      <mc:Choice xmlns:cx1="http://schemas.microsoft.com/office/drawing/2015/9/8/chartex" Requires="cx1">
        <xdr:graphicFrame macro="">
          <xdr:nvGraphicFramePr>
            <xdr:cNvPr id="147" name="Chart 146">
              <a:extLst>
                <a:ext uri="{FF2B5EF4-FFF2-40B4-BE49-F238E27FC236}">
                  <a16:creationId xmlns:a16="http://schemas.microsoft.com/office/drawing/2014/main" id="{00000000-0008-0000-1200-000093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53"/>
            </a:graphicData>
          </a:graphic>
        </xdr:graphicFrame>
      </mc:Choice>
      <mc:Fallback>
        <xdr:sp macro="" textlink="">
          <xdr:nvSpPr>
            <xdr:cNvPr id="0" name=""/>
            <xdr:cNvSpPr>
              <a:spLocks noTextEdit="1"/>
            </xdr:cNvSpPr>
          </xdr:nvSpPr>
          <xdr:spPr>
            <a:xfrm>
              <a:off x="50038427" y="35446447"/>
              <a:ext cx="5558554" cy="4587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130629</xdr:colOff>
      <xdr:row>206</xdr:row>
      <xdr:rowOff>61472</xdr:rowOff>
    </xdr:from>
    <xdr:to>
      <xdr:col>11</xdr:col>
      <xdr:colOff>173882</xdr:colOff>
      <xdr:row>231</xdr:row>
      <xdr:rowOff>153679</xdr:rowOff>
    </xdr:to>
    <xdr:graphicFrame macro="">
      <xdr:nvGraphicFramePr>
        <xdr:cNvPr id="152" name="Chart 151">
          <a:extLst>
            <a:ext uri="{FF2B5EF4-FFF2-40B4-BE49-F238E27FC236}">
              <a16:creationId xmlns:a16="http://schemas.microsoft.com/office/drawing/2014/main" id="{00000000-0008-0000-1200-00009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6</xdr:col>
      <xdr:colOff>15614</xdr:colOff>
      <xdr:row>207</xdr:row>
      <xdr:rowOff>44383</xdr:rowOff>
    </xdr:from>
    <xdr:to>
      <xdr:col>8</xdr:col>
      <xdr:colOff>147831</xdr:colOff>
      <xdr:row>226</xdr:row>
      <xdr:rowOff>116289</xdr:rowOff>
    </xdr:to>
    <xdr:grpSp>
      <xdr:nvGrpSpPr>
        <xdr:cNvPr id="153" name="Group 152">
          <a:extLst>
            <a:ext uri="{FF2B5EF4-FFF2-40B4-BE49-F238E27FC236}">
              <a16:creationId xmlns:a16="http://schemas.microsoft.com/office/drawing/2014/main" id="{00000000-0008-0000-1200-000099000000}"/>
            </a:ext>
          </a:extLst>
        </xdr:cNvPr>
        <xdr:cNvGrpSpPr/>
      </xdr:nvGrpSpPr>
      <xdr:grpSpPr>
        <a:xfrm>
          <a:off x="3788475" y="41399852"/>
          <a:ext cx="1361662" cy="3867819"/>
          <a:chOff x="11119043" y="534242"/>
          <a:chExt cx="1361662" cy="3867819"/>
        </a:xfrm>
      </xdr:grpSpPr>
      <xdr:cxnSp macro="">
        <xdr:nvCxnSpPr>
          <xdr:cNvPr id="154" name="Straight Connector 153">
            <a:extLst>
              <a:ext uri="{FF2B5EF4-FFF2-40B4-BE49-F238E27FC236}">
                <a16:creationId xmlns:a16="http://schemas.microsoft.com/office/drawing/2014/main" id="{00000000-0008-0000-1200-00009A000000}"/>
              </a:ext>
            </a:extLst>
          </xdr:cNvPr>
          <xdr:cNvCxnSpPr/>
        </xdr:nvCxnSpPr>
        <xdr:spPr>
          <a:xfrm>
            <a:off x="11119043" y="534756"/>
            <a:ext cx="0" cy="3867305"/>
          </a:xfrm>
          <a:prstGeom prst="line">
            <a:avLst/>
          </a:prstGeom>
          <a:ln w="19050">
            <a:solidFill>
              <a:srgbClr val="7030A0"/>
            </a:solidFill>
          </a:ln>
        </xdr:spPr>
        <xdr:style>
          <a:lnRef idx="1">
            <a:schemeClr val="accent1"/>
          </a:lnRef>
          <a:fillRef idx="0">
            <a:schemeClr val="accent1"/>
          </a:fillRef>
          <a:effectRef idx="0">
            <a:schemeClr val="accent1"/>
          </a:effectRef>
          <a:fontRef idx="minor">
            <a:schemeClr val="tx1"/>
          </a:fontRef>
        </xdr:style>
      </xdr:cxnSp>
      <xdr:cxnSp macro="">
        <xdr:nvCxnSpPr>
          <xdr:cNvPr id="155" name="Straight Connector 154">
            <a:extLst>
              <a:ext uri="{FF2B5EF4-FFF2-40B4-BE49-F238E27FC236}">
                <a16:creationId xmlns:a16="http://schemas.microsoft.com/office/drawing/2014/main" id="{00000000-0008-0000-1200-00009B000000}"/>
              </a:ext>
            </a:extLst>
          </xdr:cNvPr>
          <xdr:cNvCxnSpPr/>
        </xdr:nvCxnSpPr>
        <xdr:spPr>
          <a:xfrm>
            <a:off x="12480705" y="534242"/>
            <a:ext cx="0" cy="3867305"/>
          </a:xfrm>
          <a:prstGeom prst="line">
            <a:avLst/>
          </a:prstGeom>
          <a:ln w="19050">
            <a:solidFill>
              <a:srgbClr val="7030A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99893</xdr:colOff>
      <xdr:row>206</xdr:row>
      <xdr:rowOff>92208</xdr:rowOff>
    </xdr:from>
    <xdr:to>
      <xdr:col>23</xdr:col>
      <xdr:colOff>227670</xdr:colOff>
      <xdr:row>231</xdr:row>
      <xdr:rowOff>184415</xdr:rowOff>
    </xdr:to>
    <xdr:graphicFrame macro="">
      <xdr:nvGraphicFramePr>
        <xdr:cNvPr id="156" name="Chart 155">
          <a:extLst>
            <a:ext uri="{FF2B5EF4-FFF2-40B4-BE49-F238E27FC236}">
              <a16:creationId xmlns:a16="http://schemas.microsoft.com/office/drawing/2014/main" id="{00000000-0008-0000-1200-00009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18</xdr:col>
      <xdr:colOff>69402</xdr:colOff>
      <xdr:row>207</xdr:row>
      <xdr:rowOff>75119</xdr:rowOff>
    </xdr:from>
    <xdr:to>
      <xdr:col>20</xdr:col>
      <xdr:colOff>201619</xdr:colOff>
      <xdr:row>226</xdr:row>
      <xdr:rowOff>147025</xdr:rowOff>
    </xdr:to>
    <xdr:grpSp>
      <xdr:nvGrpSpPr>
        <xdr:cNvPr id="157" name="Group 156">
          <a:extLst>
            <a:ext uri="{FF2B5EF4-FFF2-40B4-BE49-F238E27FC236}">
              <a16:creationId xmlns:a16="http://schemas.microsoft.com/office/drawing/2014/main" id="{00000000-0008-0000-1200-00009D000000}"/>
            </a:ext>
          </a:extLst>
        </xdr:cNvPr>
        <xdr:cNvGrpSpPr/>
      </xdr:nvGrpSpPr>
      <xdr:grpSpPr>
        <a:xfrm>
          <a:off x="11218935" y="41430588"/>
          <a:ext cx="1361662" cy="3867819"/>
          <a:chOff x="11119043" y="534242"/>
          <a:chExt cx="1361662" cy="3867819"/>
        </a:xfrm>
      </xdr:grpSpPr>
      <xdr:cxnSp macro="">
        <xdr:nvCxnSpPr>
          <xdr:cNvPr id="158" name="Straight Connector 157">
            <a:extLst>
              <a:ext uri="{FF2B5EF4-FFF2-40B4-BE49-F238E27FC236}">
                <a16:creationId xmlns:a16="http://schemas.microsoft.com/office/drawing/2014/main" id="{00000000-0008-0000-1200-00009E000000}"/>
              </a:ext>
            </a:extLst>
          </xdr:cNvPr>
          <xdr:cNvCxnSpPr/>
        </xdr:nvCxnSpPr>
        <xdr:spPr>
          <a:xfrm>
            <a:off x="11119043" y="534756"/>
            <a:ext cx="0" cy="3867305"/>
          </a:xfrm>
          <a:prstGeom prst="line">
            <a:avLst/>
          </a:prstGeom>
          <a:ln w="19050">
            <a:solidFill>
              <a:srgbClr val="7030A0"/>
            </a:solidFill>
          </a:ln>
        </xdr:spPr>
        <xdr:style>
          <a:lnRef idx="1">
            <a:schemeClr val="accent1"/>
          </a:lnRef>
          <a:fillRef idx="0">
            <a:schemeClr val="accent1"/>
          </a:fillRef>
          <a:effectRef idx="0">
            <a:schemeClr val="accent1"/>
          </a:effectRef>
          <a:fontRef idx="minor">
            <a:schemeClr val="tx1"/>
          </a:fontRef>
        </xdr:style>
      </xdr:cxnSp>
      <xdr:cxnSp macro="">
        <xdr:nvCxnSpPr>
          <xdr:cNvPr id="159" name="Straight Connector 158">
            <a:extLst>
              <a:ext uri="{FF2B5EF4-FFF2-40B4-BE49-F238E27FC236}">
                <a16:creationId xmlns:a16="http://schemas.microsoft.com/office/drawing/2014/main" id="{00000000-0008-0000-1200-00009F000000}"/>
              </a:ext>
            </a:extLst>
          </xdr:cNvPr>
          <xdr:cNvCxnSpPr/>
        </xdr:nvCxnSpPr>
        <xdr:spPr>
          <a:xfrm>
            <a:off x="12480705" y="534242"/>
            <a:ext cx="0" cy="3867305"/>
          </a:xfrm>
          <a:prstGeom prst="line">
            <a:avLst/>
          </a:prstGeom>
          <a:ln w="19050">
            <a:solidFill>
              <a:srgbClr val="7030A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25</xdr:col>
      <xdr:colOff>145996</xdr:colOff>
      <xdr:row>206</xdr:row>
      <xdr:rowOff>107577</xdr:rowOff>
    </xdr:from>
    <xdr:to>
      <xdr:col>35</xdr:col>
      <xdr:colOff>273774</xdr:colOff>
      <xdr:row>231</xdr:row>
      <xdr:rowOff>199784</xdr:rowOff>
    </xdr:to>
    <xdr:graphicFrame macro="">
      <xdr:nvGraphicFramePr>
        <xdr:cNvPr id="164" name="Chart 163">
          <a:extLst>
            <a:ext uri="{FF2B5EF4-FFF2-40B4-BE49-F238E27FC236}">
              <a16:creationId xmlns:a16="http://schemas.microsoft.com/office/drawing/2014/main" id="{00000000-0008-0000-1200-0000A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30</xdr:col>
      <xdr:colOff>117519</xdr:colOff>
      <xdr:row>207</xdr:row>
      <xdr:rowOff>87483</xdr:rowOff>
    </xdr:from>
    <xdr:to>
      <xdr:col>32</xdr:col>
      <xdr:colOff>249735</xdr:colOff>
      <xdr:row>226</xdr:row>
      <xdr:rowOff>159063</xdr:rowOff>
    </xdr:to>
    <xdr:grpSp>
      <xdr:nvGrpSpPr>
        <xdr:cNvPr id="165" name="Group 164">
          <a:extLst>
            <a:ext uri="{FF2B5EF4-FFF2-40B4-BE49-F238E27FC236}">
              <a16:creationId xmlns:a16="http://schemas.microsoft.com/office/drawing/2014/main" id="{00000000-0008-0000-1200-0000A5000000}"/>
            </a:ext>
          </a:extLst>
        </xdr:cNvPr>
        <xdr:cNvGrpSpPr/>
      </xdr:nvGrpSpPr>
      <xdr:grpSpPr>
        <a:xfrm>
          <a:off x="18643724" y="41442952"/>
          <a:ext cx="1361661" cy="3867493"/>
          <a:chOff x="11119043" y="534242"/>
          <a:chExt cx="1361662" cy="3867819"/>
        </a:xfrm>
      </xdr:grpSpPr>
      <xdr:cxnSp macro="">
        <xdr:nvCxnSpPr>
          <xdr:cNvPr id="166" name="Straight Connector 165">
            <a:extLst>
              <a:ext uri="{FF2B5EF4-FFF2-40B4-BE49-F238E27FC236}">
                <a16:creationId xmlns:a16="http://schemas.microsoft.com/office/drawing/2014/main" id="{00000000-0008-0000-1200-0000A6000000}"/>
              </a:ext>
            </a:extLst>
          </xdr:cNvPr>
          <xdr:cNvCxnSpPr/>
        </xdr:nvCxnSpPr>
        <xdr:spPr>
          <a:xfrm>
            <a:off x="11119043" y="534756"/>
            <a:ext cx="0" cy="3867305"/>
          </a:xfrm>
          <a:prstGeom prst="line">
            <a:avLst/>
          </a:prstGeom>
          <a:ln w="19050">
            <a:solidFill>
              <a:srgbClr val="7030A0"/>
            </a:solidFill>
          </a:ln>
        </xdr:spPr>
        <xdr:style>
          <a:lnRef idx="1">
            <a:schemeClr val="accent1"/>
          </a:lnRef>
          <a:fillRef idx="0">
            <a:schemeClr val="accent1"/>
          </a:fillRef>
          <a:effectRef idx="0">
            <a:schemeClr val="accent1"/>
          </a:effectRef>
          <a:fontRef idx="minor">
            <a:schemeClr val="tx1"/>
          </a:fontRef>
        </xdr:style>
      </xdr:cxnSp>
      <xdr:cxnSp macro="">
        <xdr:nvCxnSpPr>
          <xdr:cNvPr id="167" name="Straight Connector 166">
            <a:extLst>
              <a:ext uri="{FF2B5EF4-FFF2-40B4-BE49-F238E27FC236}">
                <a16:creationId xmlns:a16="http://schemas.microsoft.com/office/drawing/2014/main" id="{00000000-0008-0000-1200-0000A7000000}"/>
              </a:ext>
            </a:extLst>
          </xdr:cNvPr>
          <xdr:cNvCxnSpPr/>
        </xdr:nvCxnSpPr>
        <xdr:spPr>
          <a:xfrm>
            <a:off x="12480705" y="534242"/>
            <a:ext cx="0" cy="3867305"/>
          </a:xfrm>
          <a:prstGeom prst="line">
            <a:avLst/>
          </a:prstGeom>
          <a:ln w="19050">
            <a:solidFill>
              <a:srgbClr val="7030A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37</xdr:col>
      <xdr:colOff>192101</xdr:colOff>
      <xdr:row>206</xdr:row>
      <xdr:rowOff>92209</xdr:rowOff>
    </xdr:from>
    <xdr:to>
      <xdr:col>46</xdr:col>
      <xdr:colOff>218151</xdr:colOff>
      <xdr:row>229</xdr:row>
      <xdr:rowOff>84525</xdr:rowOff>
    </xdr:to>
    <mc:AlternateContent xmlns:mc="http://schemas.openxmlformats.org/markup-compatibility/2006">
      <mc:Choice xmlns:cx1="http://schemas.microsoft.com/office/drawing/2015/9/8/chartex" Requires="cx1">
        <xdr:graphicFrame macro="">
          <xdr:nvGraphicFramePr>
            <xdr:cNvPr id="168" name="Chart 167">
              <a:extLst>
                <a:ext uri="{FF2B5EF4-FFF2-40B4-BE49-F238E27FC236}">
                  <a16:creationId xmlns:a16="http://schemas.microsoft.com/office/drawing/2014/main" id="{00000000-0008-0000-1200-0000A8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57"/>
            </a:graphicData>
          </a:graphic>
        </xdr:graphicFrame>
      </mc:Choice>
      <mc:Fallback>
        <xdr:sp macro="" textlink="">
          <xdr:nvSpPr>
            <xdr:cNvPr id="0" name=""/>
            <xdr:cNvSpPr>
              <a:spLocks noTextEdit="1"/>
            </xdr:cNvSpPr>
          </xdr:nvSpPr>
          <xdr:spPr>
            <a:xfrm>
              <a:off x="23021365" y="41247893"/>
              <a:ext cx="5558554" cy="4587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48</xdr:col>
      <xdr:colOff>169049</xdr:colOff>
      <xdr:row>206</xdr:row>
      <xdr:rowOff>115261</xdr:rowOff>
    </xdr:from>
    <xdr:to>
      <xdr:col>57</xdr:col>
      <xdr:colOff>195098</xdr:colOff>
      <xdr:row>229</xdr:row>
      <xdr:rowOff>107577</xdr:rowOff>
    </xdr:to>
    <mc:AlternateContent xmlns:mc="http://schemas.openxmlformats.org/markup-compatibility/2006">
      <mc:Choice xmlns:cx1="http://schemas.microsoft.com/office/drawing/2015/9/8/chartex" Requires="cx1">
        <xdr:graphicFrame macro="">
          <xdr:nvGraphicFramePr>
            <xdr:cNvPr id="170" name="Chart 169">
              <a:extLst>
                <a:ext uri="{FF2B5EF4-FFF2-40B4-BE49-F238E27FC236}">
                  <a16:creationId xmlns:a16="http://schemas.microsoft.com/office/drawing/2014/main" id="{00000000-0008-0000-1200-0000AA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58"/>
            </a:graphicData>
          </a:graphic>
        </xdr:graphicFrame>
      </mc:Choice>
      <mc:Fallback>
        <xdr:sp macro="" textlink="">
          <xdr:nvSpPr>
            <xdr:cNvPr id="0" name=""/>
            <xdr:cNvSpPr>
              <a:spLocks noTextEdit="1"/>
            </xdr:cNvSpPr>
          </xdr:nvSpPr>
          <xdr:spPr>
            <a:xfrm>
              <a:off x="29760262" y="41270945"/>
              <a:ext cx="5558554" cy="4587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59</xdr:col>
      <xdr:colOff>122945</xdr:colOff>
      <xdr:row>206</xdr:row>
      <xdr:rowOff>69156</xdr:rowOff>
    </xdr:from>
    <xdr:to>
      <xdr:col>68</xdr:col>
      <xdr:colOff>148995</xdr:colOff>
      <xdr:row>229</xdr:row>
      <xdr:rowOff>61472</xdr:rowOff>
    </xdr:to>
    <mc:AlternateContent xmlns:mc="http://schemas.openxmlformats.org/markup-compatibility/2006">
      <mc:Choice xmlns:cx1="http://schemas.microsoft.com/office/drawing/2015/9/8/chartex" Requires="cx1">
        <xdr:graphicFrame macro="">
          <xdr:nvGraphicFramePr>
            <xdr:cNvPr id="171" name="Chart 170">
              <a:extLst>
                <a:ext uri="{FF2B5EF4-FFF2-40B4-BE49-F238E27FC236}">
                  <a16:creationId xmlns:a16="http://schemas.microsoft.com/office/drawing/2014/main" id="{00000000-0008-0000-1200-0000AB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59"/>
            </a:graphicData>
          </a:graphic>
        </xdr:graphicFrame>
      </mc:Choice>
      <mc:Fallback>
        <xdr:sp macro="" textlink="">
          <xdr:nvSpPr>
            <xdr:cNvPr id="0" name=""/>
            <xdr:cNvSpPr>
              <a:spLocks noTextEdit="1"/>
            </xdr:cNvSpPr>
          </xdr:nvSpPr>
          <xdr:spPr>
            <a:xfrm>
              <a:off x="36476108" y="41224840"/>
              <a:ext cx="5558554" cy="4587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70</xdr:col>
      <xdr:colOff>107577</xdr:colOff>
      <xdr:row>206</xdr:row>
      <xdr:rowOff>115260</xdr:rowOff>
    </xdr:from>
    <xdr:to>
      <xdr:col>79</xdr:col>
      <xdr:colOff>133627</xdr:colOff>
      <xdr:row>229</xdr:row>
      <xdr:rowOff>107576</xdr:rowOff>
    </xdr:to>
    <mc:AlternateContent xmlns:mc="http://schemas.openxmlformats.org/markup-compatibility/2006">
      <mc:Choice xmlns:cx1="http://schemas.microsoft.com/office/drawing/2015/9/8/chartex" Requires="cx1">
        <xdr:graphicFrame macro="">
          <xdr:nvGraphicFramePr>
            <xdr:cNvPr id="173" name="Chart 172">
              <a:extLst>
                <a:ext uri="{FF2B5EF4-FFF2-40B4-BE49-F238E27FC236}">
                  <a16:creationId xmlns:a16="http://schemas.microsoft.com/office/drawing/2014/main" id="{00000000-0008-0000-1200-0000AD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60"/>
            </a:graphicData>
          </a:graphic>
        </xdr:graphicFrame>
      </mc:Choice>
      <mc:Fallback>
        <xdr:sp macro="" textlink="">
          <xdr:nvSpPr>
            <xdr:cNvPr id="0" name=""/>
            <xdr:cNvSpPr>
              <a:spLocks noTextEdit="1"/>
            </xdr:cNvSpPr>
          </xdr:nvSpPr>
          <xdr:spPr>
            <a:xfrm>
              <a:off x="43222690" y="41270944"/>
              <a:ext cx="5558554" cy="4587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81</xdr:col>
      <xdr:colOff>130628</xdr:colOff>
      <xdr:row>206</xdr:row>
      <xdr:rowOff>145997</xdr:rowOff>
    </xdr:from>
    <xdr:to>
      <xdr:col>90</xdr:col>
      <xdr:colOff>156678</xdr:colOff>
      <xdr:row>229</xdr:row>
      <xdr:rowOff>138313</xdr:rowOff>
    </xdr:to>
    <mc:AlternateContent xmlns:mc="http://schemas.openxmlformats.org/markup-compatibility/2006">
      <mc:Choice xmlns:cx1="http://schemas.microsoft.com/office/drawing/2015/9/8/chartex" Requires="cx1">
        <xdr:graphicFrame macro="">
          <xdr:nvGraphicFramePr>
            <xdr:cNvPr id="174" name="Chart 173">
              <a:extLst>
                <a:ext uri="{FF2B5EF4-FFF2-40B4-BE49-F238E27FC236}">
                  <a16:creationId xmlns:a16="http://schemas.microsoft.com/office/drawing/2014/main" id="{00000000-0008-0000-1200-0000AE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61"/>
            </a:graphicData>
          </a:graphic>
        </xdr:graphicFrame>
      </mc:Choice>
      <mc:Fallback>
        <xdr:sp macro="" textlink="">
          <xdr:nvSpPr>
            <xdr:cNvPr id="0" name=""/>
            <xdr:cNvSpPr>
              <a:spLocks noTextEdit="1"/>
            </xdr:cNvSpPr>
          </xdr:nvSpPr>
          <xdr:spPr>
            <a:xfrm>
              <a:off x="50007690" y="41301681"/>
              <a:ext cx="5558554" cy="4587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138312</xdr:colOff>
      <xdr:row>236</xdr:row>
      <xdr:rowOff>92209</xdr:rowOff>
    </xdr:from>
    <xdr:to>
      <xdr:col>11</xdr:col>
      <xdr:colOff>181565</xdr:colOff>
      <xdr:row>261</xdr:row>
      <xdr:rowOff>184416</xdr:rowOff>
    </xdr:to>
    <xdr:graphicFrame macro="">
      <xdr:nvGraphicFramePr>
        <xdr:cNvPr id="179" name="Chart 178">
          <a:extLst>
            <a:ext uri="{FF2B5EF4-FFF2-40B4-BE49-F238E27FC236}">
              <a16:creationId xmlns:a16="http://schemas.microsoft.com/office/drawing/2014/main" id="{00000000-0008-0000-1200-0000B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6</xdr:col>
      <xdr:colOff>23297</xdr:colOff>
      <xdr:row>237</xdr:row>
      <xdr:rowOff>75120</xdr:rowOff>
    </xdr:from>
    <xdr:to>
      <xdr:col>8</xdr:col>
      <xdr:colOff>155514</xdr:colOff>
      <xdr:row>256</xdr:row>
      <xdr:rowOff>147026</xdr:rowOff>
    </xdr:to>
    <xdr:grpSp>
      <xdr:nvGrpSpPr>
        <xdr:cNvPr id="180" name="Group 179">
          <a:extLst>
            <a:ext uri="{FF2B5EF4-FFF2-40B4-BE49-F238E27FC236}">
              <a16:creationId xmlns:a16="http://schemas.microsoft.com/office/drawing/2014/main" id="{00000000-0008-0000-1200-0000B4000000}"/>
            </a:ext>
          </a:extLst>
        </xdr:cNvPr>
        <xdr:cNvGrpSpPr/>
      </xdr:nvGrpSpPr>
      <xdr:grpSpPr>
        <a:xfrm>
          <a:off x="3796158" y="47424135"/>
          <a:ext cx="1361662" cy="3867819"/>
          <a:chOff x="11119043" y="534242"/>
          <a:chExt cx="1361662" cy="3867819"/>
        </a:xfrm>
      </xdr:grpSpPr>
      <xdr:cxnSp macro="">
        <xdr:nvCxnSpPr>
          <xdr:cNvPr id="181" name="Straight Connector 180">
            <a:extLst>
              <a:ext uri="{FF2B5EF4-FFF2-40B4-BE49-F238E27FC236}">
                <a16:creationId xmlns:a16="http://schemas.microsoft.com/office/drawing/2014/main" id="{00000000-0008-0000-1200-0000B5000000}"/>
              </a:ext>
            </a:extLst>
          </xdr:cNvPr>
          <xdr:cNvCxnSpPr/>
        </xdr:nvCxnSpPr>
        <xdr:spPr>
          <a:xfrm>
            <a:off x="11119043" y="534756"/>
            <a:ext cx="0" cy="3867305"/>
          </a:xfrm>
          <a:prstGeom prst="line">
            <a:avLst/>
          </a:prstGeom>
          <a:ln w="19050">
            <a:solidFill>
              <a:srgbClr val="7030A0"/>
            </a:solidFill>
          </a:ln>
        </xdr:spPr>
        <xdr:style>
          <a:lnRef idx="1">
            <a:schemeClr val="accent1"/>
          </a:lnRef>
          <a:fillRef idx="0">
            <a:schemeClr val="accent1"/>
          </a:fillRef>
          <a:effectRef idx="0">
            <a:schemeClr val="accent1"/>
          </a:effectRef>
          <a:fontRef idx="minor">
            <a:schemeClr val="tx1"/>
          </a:fontRef>
        </xdr:style>
      </xdr:cxnSp>
      <xdr:cxnSp macro="">
        <xdr:nvCxnSpPr>
          <xdr:cNvPr id="182" name="Straight Connector 181">
            <a:extLst>
              <a:ext uri="{FF2B5EF4-FFF2-40B4-BE49-F238E27FC236}">
                <a16:creationId xmlns:a16="http://schemas.microsoft.com/office/drawing/2014/main" id="{00000000-0008-0000-1200-0000B6000000}"/>
              </a:ext>
            </a:extLst>
          </xdr:cNvPr>
          <xdr:cNvCxnSpPr/>
        </xdr:nvCxnSpPr>
        <xdr:spPr>
          <a:xfrm>
            <a:off x="12480705" y="534242"/>
            <a:ext cx="0" cy="3867305"/>
          </a:xfrm>
          <a:prstGeom prst="line">
            <a:avLst/>
          </a:prstGeom>
          <a:ln w="19050">
            <a:solidFill>
              <a:srgbClr val="7030A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130629</xdr:colOff>
      <xdr:row>236</xdr:row>
      <xdr:rowOff>99892</xdr:rowOff>
    </xdr:from>
    <xdr:to>
      <xdr:col>23</xdr:col>
      <xdr:colOff>258406</xdr:colOff>
      <xdr:row>261</xdr:row>
      <xdr:rowOff>192099</xdr:rowOff>
    </xdr:to>
    <xdr:graphicFrame macro="">
      <xdr:nvGraphicFramePr>
        <xdr:cNvPr id="187" name="Chart 186">
          <a:extLst>
            <a:ext uri="{FF2B5EF4-FFF2-40B4-BE49-F238E27FC236}">
              <a16:creationId xmlns:a16="http://schemas.microsoft.com/office/drawing/2014/main" id="{00000000-0008-0000-1200-0000B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18</xdr:col>
      <xdr:colOff>100138</xdr:colOff>
      <xdr:row>237</xdr:row>
      <xdr:rowOff>82803</xdr:rowOff>
    </xdr:from>
    <xdr:to>
      <xdr:col>20</xdr:col>
      <xdr:colOff>232355</xdr:colOff>
      <xdr:row>256</xdr:row>
      <xdr:rowOff>154709</xdr:rowOff>
    </xdr:to>
    <xdr:grpSp>
      <xdr:nvGrpSpPr>
        <xdr:cNvPr id="188" name="Group 187">
          <a:extLst>
            <a:ext uri="{FF2B5EF4-FFF2-40B4-BE49-F238E27FC236}">
              <a16:creationId xmlns:a16="http://schemas.microsoft.com/office/drawing/2014/main" id="{00000000-0008-0000-1200-0000BC000000}"/>
            </a:ext>
          </a:extLst>
        </xdr:cNvPr>
        <xdr:cNvGrpSpPr/>
      </xdr:nvGrpSpPr>
      <xdr:grpSpPr>
        <a:xfrm>
          <a:off x="11249671" y="47431818"/>
          <a:ext cx="1361662" cy="3867819"/>
          <a:chOff x="11119043" y="534242"/>
          <a:chExt cx="1361662" cy="3867819"/>
        </a:xfrm>
      </xdr:grpSpPr>
      <xdr:cxnSp macro="">
        <xdr:nvCxnSpPr>
          <xdr:cNvPr id="189" name="Straight Connector 188">
            <a:extLst>
              <a:ext uri="{FF2B5EF4-FFF2-40B4-BE49-F238E27FC236}">
                <a16:creationId xmlns:a16="http://schemas.microsoft.com/office/drawing/2014/main" id="{00000000-0008-0000-1200-0000BD000000}"/>
              </a:ext>
            </a:extLst>
          </xdr:cNvPr>
          <xdr:cNvCxnSpPr/>
        </xdr:nvCxnSpPr>
        <xdr:spPr>
          <a:xfrm>
            <a:off x="11119043" y="534756"/>
            <a:ext cx="0" cy="3867305"/>
          </a:xfrm>
          <a:prstGeom prst="line">
            <a:avLst/>
          </a:prstGeom>
          <a:ln w="19050">
            <a:solidFill>
              <a:srgbClr val="7030A0"/>
            </a:solidFill>
          </a:ln>
        </xdr:spPr>
        <xdr:style>
          <a:lnRef idx="1">
            <a:schemeClr val="accent1"/>
          </a:lnRef>
          <a:fillRef idx="0">
            <a:schemeClr val="accent1"/>
          </a:fillRef>
          <a:effectRef idx="0">
            <a:schemeClr val="accent1"/>
          </a:effectRef>
          <a:fontRef idx="minor">
            <a:schemeClr val="tx1"/>
          </a:fontRef>
        </xdr:style>
      </xdr:cxnSp>
      <xdr:cxnSp macro="">
        <xdr:nvCxnSpPr>
          <xdr:cNvPr id="190" name="Straight Connector 189">
            <a:extLst>
              <a:ext uri="{FF2B5EF4-FFF2-40B4-BE49-F238E27FC236}">
                <a16:creationId xmlns:a16="http://schemas.microsoft.com/office/drawing/2014/main" id="{00000000-0008-0000-1200-0000BE000000}"/>
              </a:ext>
            </a:extLst>
          </xdr:cNvPr>
          <xdr:cNvCxnSpPr/>
        </xdr:nvCxnSpPr>
        <xdr:spPr>
          <a:xfrm>
            <a:off x="12480705" y="534242"/>
            <a:ext cx="0" cy="3867305"/>
          </a:xfrm>
          <a:prstGeom prst="line">
            <a:avLst/>
          </a:prstGeom>
          <a:ln w="19050">
            <a:solidFill>
              <a:srgbClr val="7030A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25</xdr:col>
      <xdr:colOff>215153</xdr:colOff>
      <xdr:row>236</xdr:row>
      <xdr:rowOff>92208</xdr:rowOff>
    </xdr:from>
    <xdr:to>
      <xdr:col>35</xdr:col>
      <xdr:colOff>342931</xdr:colOff>
      <xdr:row>261</xdr:row>
      <xdr:rowOff>184415</xdr:rowOff>
    </xdr:to>
    <xdr:graphicFrame macro="">
      <xdr:nvGraphicFramePr>
        <xdr:cNvPr id="195" name="Chart 194">
          <a:extLst>
            <a:ext uri="{FF2B5EF4-FFF2-40B4-BE49-F238E27FC236}">
              <a16:creationId xmlns:a16="http://schemas.microsoft.com/office/drawing/2014/main" id="{00000000-0008-0000-1200-0000C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30</xdr:col>
      <xdr:colOff>186676</xdr:colOff>
      <xdr:row>237</xdr:row>
      <xdr:rowOff>72114</xdr:rowOff>
    </xdr:from>
    <xdr:to>
      <xdr:col>32</xdr:col>
      <xdr:colOff>318892</xdr:colOff>
      <xdr:row>256</xdr:row>
      <xdr:rowOff>143694</xdr:rowOff>
    </xdr:to>
    <xdr:grpSp>
      <xdr:nvGrpSpPr>
        <xdr:cNvPr id="196" name="Group 195">
          <a:extLst>
            <a:ext uri="{FF2B5EF4-FFF2-40B4-BE49-F238E27FC236}">
              <a16:creationId xmlns:a16="http://schemas.microsoft.com/office/drawing/2014/main" id="{00000000-0008-0000-1200-0000C4000000}"/>
            </a:ext>
          </a:extLst>
        </xdr:cNvPr>
        <xdr:cNvGrpSpPr/>
      </xdr:nvGrpSpPr>
      <xdr:grpSpPr>
        <a:xfrm>
          <a:off x="18712881" y="47421129"/>
          <a:ext cx="1361661" cy="3867493"/>
          <a:chOff x="11119043" y="534242"/>
          <a:chExt cx="1361662" cy="3867819"/>
        </a:xfrm>
      </xdr:grpSpPr>
      <xdr:cxnSp macro="">
        <xdr:nvCxnSpPr>
          <xdr:cNvPr id="197" name="Straight Connector 196">
            <a:extLst>
              <a:ext uri="{FF2B5EF4-FFF2-40B4-BE49-F238E27FC236}">
                <a16:creationId xmlns:a16="http://schemas.microsoft.com/office/drawing/2014/main" id="{00000000-0008-0000-1200-0000C5000000}"/>
              </a:ext>
            </a:extLst>
          </xdr:cNvPr>
          <xdr:cNvCxnSpPr/>
        </xdr:nvCxnSpPr>
        <xdr:spPr>
          <a:xfrm>
            <a:off x="11119043" y="534756"/>
            <a:ext cx="0" cy="3867305"/>
          </a:xfrm>
          <a:prstGeom prst="line">
            <a:avLst/>
          </a:prstGeom>
          <a:ln w="19050">
            <a:solidFill>
              <a:srgbClr val="7030A0"/>
            </a:solidFill>
          </a:ln>
        </xdr:spPr>
        <xdr:style>
          <a:lnRef idx="1">
            <a:schemeClr val="accent1"/>
          </a:lnRef>
          <a:fillRef idx="0">
            <a:schemeClr val="accent1"/>
          </a:fillRef>
          <a:effectRef idx="0">
            <a:schemeClr val="accent1"/>
          </a:effectRef>
          <a:fontRef idx="minor">
            <a:schemeClr val="tx1"/>
          </a:fontRef>
        </xdr:style>
      </xdr:cxnSp>
      <xdr:cxnSp macro="">
        <xdr:nvCxnSpPr>
          <xdr:cNvPr id="198" name="Straight Connector 197">
            <a:extLst>
              <a:ext uri="{FF2B5EF4-FFF2-40B4-BE49-F238E27FC236}">
                <a16:creationId xmlns:a16="http://schemas.microsoft.com/office/drawing/2014/main" id="{00000000-0008-0000-1200-0000C6000000}"/>
              </a:ext>
            </a:extLst>
          </xdr:cNvPr>
          <xdr:cNvCxnSpPr/>
        </xdr:nvCxnSpPr>
        <xdr:spPr>
          <a:xfrm>
            <a:off x="12480705" y="534242"/>
            <a:ext cx="0" cy="3867305"/>
          </a:xfrm>
          <a:prstGeom prst="line">
            <a:avLst/>
          </a:prstGeom>
          <a:ln w="19050">
            <a:solidFill>
              <a:srgbClr val="7030A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37</xdr:col>
      <xdr:colOff>215153</xdr:colOff>
      <xdr:row>237</xdr:row>
      <xdr:rowOff>92208</xdr:rowOff>
    </xdr:from>
    <xdr:to>
      <xdr:col>46</xdr:col>
      <xdr:colOff>241203</xdr:colOff>
      <xdr:row>260</xdr:row>
      <xdr:rowOff>84524</xdr:rowOff>
    </xdr:to>
    <mc:AlternateContent xmlns:mc="http://schemas.openxmlformats.org/markup-compatibility/2006">
      <mc:Choice xmlns:cx1="http://schemas.microsoft.com/office/drawing/2015/9/8/chartex" Requires="cx1">
        <xdr:graphicFrame macro="">
          <xdr:nvGraphicFramePr>
            <xdr:cNvPr id="199" name="Chart 198">
              <a:extLst>
                <a:ext uri="{FF2B5EF4-FFF2-40B4-BE49-F238E27FC236}">
                  <a16:creationId xmlns:a16="http://schemas.microsoft.com/office/drawing/2014/main" id="{00000000-0008-0000-1200-0000C7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65"/>
            </a:graphicData>
          </a:graphic>
        </xdr:graphicFrame>
      </mc:Choice>
      <mc:Fallback>
        <xdr:sp macro="" textlink="">
          <xdr:nvSpPr>
            <xdr:cNvPr id="0" name=""/>
            <xdr:cNvSpPr>
              <a:spLocks noTextEdit="1"/>
            </xdr:cNvSpPr>
          </xdr:nvSpPr>
          <xdr:spPr>
            <a:xfrm>
              <a:off x="23044417" y="47441223"/>
              <a:ext cx="5558554" cy="4587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48</xdr:col>
      <xdr:colOff>0</xdr:colOff>
      <xdr:row>237</xdr:row>
      <xdr:rowOff>0</xdr:rowOff>
    </xdr:from>
    <xdr:to>
      <xdr:col>57</xdr:col>
      <xdr:colOff>26049</xdr:colOff>
      <xdr:row>259</xdr:row>
      <xdr:rowOff>192101</xdr:rowOff>
    </xdr:to>
    <mc:AlternateContent xmlns:mc="http://schemas.openxmlformats.org/markup-compatibility/2006">
      <mc:Choice xmlns:cx1="http://schemas.microsoft.com/office/drawing/2015/9/8/chartex" Requires="cx1">
        <xdr:graphicFrame macro="">
          <xdr:nvGraphicFramePr>
            <xdr:cNvPr id="201" name="Chart 200">
              <a:extLst>
                <a:ext uri="{FF2B5EF4-FFF2-40B4-BE49-F238E27FC236}">
                  <a16:creationId xmlns:a16="http://schemas.microsoft.com/office/drawing/2014/main" id="{00000000-0008-0000-1200-0000C9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66"/>
            </a:graphicData>
          </a:graphic>
        </xdr:graphicFrame>
      </mc:Choice>
      <mc:Fallback>
        <xdr:sp macro="" textlink="">
          <xdr:nvSpPr>
            <xdr:cNvPr id="0" name=""/>
            <xdr:cNvSpPr>
              <a:spLocks noTextEdit="1"/>
            </xdr:cNvSpPr>
          </xdr:nvSpPr>
          <xdr:spPr>
            <a:xfrm>
              <a:off x="29591213" y="47349015"/>
              <a:ext cx="5558554" cy="4587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59</xdr:col>
      <xdr:colOff>130629</xdr:colOff>
      <xdr:row>236</xdr:row>
      <xdr:rowOff>153681</xdr:rowOff>
    </xdr:from>
    <xdr:to>
      <xdr:col>68</xdr:col>
      <xdr:colOff>156679</xdr:colOff>
      <xdr:row>259</xdr:row>
      <xdr:rowOff>145997</xdr:rowOff>
    </xdr:to>
    <mc:AlternateContent xmlns:mc="http://schemas.openxmlformats.org/markup-compatibility/2006">
      <mc:Choice xmlns:cx1="http://schemas.microsoft.com/office/drawing/2015/9/8/chartex" Requires="cx1">
        <xdr:graphicFrame macro="">
          <xdr:nvGraphicFramePr>
            <xdr:cNvPr id="202" name="Chart 201">
              <a:extLst>
                <a:ext uri="{FF2B5EF4-FFF2-40B4-BE49-F238E27FC236}">
                  <a16:creationId xmlns:a16="http://schemas.microsoft.com/office/drawing/2014/main" id="{00000000-0008-0000-1200-0000CA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67"/>
            </a:graphicData>
          </a:graphic>
        </xdr:graphicFrame>
      </mc:Choice>
      <mc:Fallback>
        <xdr:sp macro="" textlink="">
          <xdr:nvSpPr>
            <xdr:cNvPr id="0" name=""/>
            <xdr:cNvSpPr>
              <a:spLocks noTextEdit="1"/>
            </xdr:cNvSpPr>
          </xdr:nvSpPr>
          <xdr:spPr>
            <a:xfrm>
              <a:off x="36483792" y="47302911"/>
              <a:ext cx="5558554" cy="4587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70</xdr:col>
      <xdr:colOff>61473</xdr:colOff>
      <xdr:row>236</xdr:row>
      <xdr:rowOff>153680</xdr:rowOff>
    </xdr:from>
    <xdr:to>
      <xdr:col>79</xdr:col>
      <xdr:colOff>87523</xdr:colOff>
      <xdr:row>259</xdr:row>
      <xdr:rowOff>145996</xdr:rowOff>
    </xdr:to>
    <mc:AlternateContent xmlns:mc="http://schemas.openxmlformats.org/markup-compatibility/2006">
      <mc:Choice xmlns:cx1="http://schemas.microsoft.com/office/drawing/2015/9/8/chartex" Requires="cx1">
        <xdr:graphicFrame macro="">
          <xdr:nvGraphicFramePr>
            <xdr:cNvPr id="203" name="Chart 202">
              <a:extLst>
                <a:ext uri="{FF2B5EF4-FFF2-40B4-BE49-F238E27FC236}">
                  <a16:creationId xmlns:a16="http://schemas.microsoft.com/office/drawing/2014/main" id="{00000000-0008-0000-1200-0000CB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68"/>
            </a:graphicData>
          </a:graphic>
        </xdr:graphicFrame>
      </mc:Choice>
      <mc:Fallback>
        <xdr:sp macro="" textlink="">
          <xdr:nvSpPr>
            <xdr:cNvPr id="0" name=""/>
            <xdr:cNvSpPr>
              <a:spLocks noTextEdit="1"/>
            </xdr:cNvSpPr>
          </xdr:nvSpPr>
          <xdr:spPr>
            <a:xfrm>
              <a:off x="43176586" y="47302910"/>
              <a:ext cx="5558554" cy="4587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81</xdr:col>
      <xdr:colOff>107577</xdr:colOff>
      <xdr:row>236</xdr:row>
      <xdr:rowOff>161366</xdr:rowOff>
    </xdr:from>
    <xdr:to>
      <xdr:col>90</xdr:col>
      <xdr:colOff>133627</xdr:colOff>
      <xdr:row>259</xdr:row>
      <xdr:rowOff>153682</xdr:rowOff>
    </xdr:to>
    <mc:AlternateContent xmlns:mc="http://schemas.openxmlformats.org/markup-compatibility/2006">
      <mc:Choice xmlns:cx1="http://schemas.microsoft.com/office/drawing/2015/9/8/chartex" Requires="cx1">
        <xdr:graphicFrame macro="">
          <xdr:nvGraphicFramePr>
            <xdr:cNvPr id="204" name="Chart 203">
              <a:extLst>
                <a:ext uri="{FF2B5EF4-FFF2-40B4-BE49-F238E27FC236}">
                  <a16:creationId xmlns:a16="http://schemas.microsoft.com/office/drawing/2014/main" id="{00000000-0008-0000-1200-0000CC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69"/>
            </a:graphicData>
          </a:graphic>
        </xdr:graphicFrame>
      </mc:Choice>
      <mc:Fallback>
        <xdr:sp macro="" textlink="">
          <xdr:nvSpPr>
            <xdr:cNvPr id="0" name=""/>
            <xdr:cNvSpPr>
              <a:spLocks noTextEdit="1"/>
            </xdr:cNvSpPr>
          </xdr:nvSpPr>
          <xdr:spPr>
            <a:xfrm>
              <a:off x="49984639" y="47310596"/>
              <a:ext cx="5558554" cy="4587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37</xdr:col>
      <xdr:colOff>207469</xdr:colOff>
      <xdr:row>266</xdr:row>
      <xdr:rowOff>92208</xdr:rowOff>
    </xdr:from>
    <xdr:to>
      <xdr:col>46</xdr:col>
      <xdr:colOff>233519</xdr:colOff>
      <xdr:row>289</xdr:row>
      <xdr:rowOff>84523</xdr:rowOff>
    </xdr:to>
    <mc:AlternateContent xmlns:mc="http://schemas.openxmlformats.org/markup-compatibility/2006">
      <mc:Choice xmlns:cx1="http://schemas.microsoft.com/office/drawing/2015/9/8/chartex" Requires="cx1">
        <xdr:graphicFrame macro="">
          <xdr:nvGraphicFramePr>
            <xdr:cNvPr id="205" name="Chart 204">
              <a:extLst>
                <a:ext uri="{FF2B5EF4-FFF2-40B4-BE49-F238E27FC236}">
                  <a16:creationId xmlns:a16="http://schemas.microsoft.com/office/drawing/2014/main" id="{00000000-0008-0000-1200-0000CD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70"/>
            </a:graphicData>
          </a:graphic>
        </xdr:graphicFrame>
      </mc:Choice>
      <mc:Fallback>
        <xdr:sp macro="" textlink="">
          <xdr:nvSpPr>
            <xdr:cNvPr id="0" name=""/>
            <xdr:cNvSpPr>
              <a:spLocks noTextEdit="1"/>
            </xdr:cNvSpPr>
          </xdr:nvSpPr>
          <xdr:spPr>
            <a:xfrm>
              <a:off x="23036733" y="53234984"/>
              <a:ext cx="5558554" cy="4587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48</xdr:col>
      <xdr:colOff>115260</xdr:colOff>
      <xdr:row>266</xdr:row>
      <xdr:rowOff>145997</xdr:rowOff>
    </xdr:from>
    <xdr:to>
      <xdr:col>57</xdr:col>
      <xdr:colOff>141309</xdr:colOff>
      <xdr:row>289</xdr:row>
      <xdr:rowOff>138312</xdr:rowOff>
    </xdr:to>
    <mc:AlternateContent xmlns:mc="http://schemas.openxmlformats.org/markup-compatibility/2006">
      <mc:Choice xmlns:cx1="http://schemas.microsoft.com/office/drawing/2015/9/8/chartex" Requires="cx1">
        <xdr:graphicFrame macro="">
          <xdr:nvGraphicFramePr>
            <xdr:cNvPr id="206" name="Chart 205">
              <a:extLst>
                <a:ext uri="{FF2B5EF4-FFF2-40B4-BE49-F238E27FC236}">
                  <a16:creationId xmlns:a16="http://schemas.microsoft.com/office/drawing/2014/main" id="{00000000-0008-0000-1200-0000CE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71"/>
            </a:graphicData>
          </a:graphic>
        </xdr:graphicFrame>
      </mc:Choice>
      <mc:Fallback>
        <xdr:sp macro="" textlink="">
          <xdr:nvSpPr>
            <xdr:cNvPr id="0" name=""/>
            <xdr:cNvSpPr>
              <a:spLocks noTextEdit="1"/>
            </xdr:cNvSpPr>
          </xdr:nvSpPr>
          <xdr:spPr>
            <a:xfrm>
              <a:off x="29706473" y="53288773"/>
              <a:ext cx="5558554" cy="4587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59</xdr:col>
      <xdr:colOff>138313</xdr:colOff>
      <xdr:row>266</xdr:row>
      <xdr:rowOff>138313</xdr:rowOff>
    </xdr:from>
    <xdr:to>
      <xdr:col>68</xdr:col>
      <xdr:colOff>164363</xdr:colOff>
      <xdr:row>289</xdr:row>
      <xdr:rowOff>130628</xdr:rowOff>
    </xdr:to>
    <mc:AlternateContent xmlns:mc="http://schemas.openxmlformats.org/markup-compatibility/2006">
      <mc:Choice xmlns:cx1="http://schemas.microsoft.com/office/drawing/2015/9/8/chartex" Requires="cx1">
        <xdr:graphicFrame macro="">
          <xdr:nvGraphicFramePr>
            <xdr:cNvPr id="207" name="Chart 206">
              <a:extLst>
                <a:ext uri="{FF2B5EF4-FFF2-40B4-BE49-F238E27FC236}">
                  <a16:creationId xmlns:a16="http://schemas.microsoft.com/office/drawing/2014/main" id="{00000000-0008-0000-1200-0000CF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72"/>
            </a:graphicData>
          </a:graphic>
        </xdr:graphicFrame>
      </mc:Choice>
      <mc:Fallback>
        <xdr:sp macro="" textlink="">
          <xdr:nvSpPr>
            <xdr:cNvPr id="0" name=""/>
            <xdr:cNvSpPr>
              <a:spLocks noTextEdit="1"/>
            </xdr:cNvSpPr>
          </xdr:nvSpPr>
          <xdr:spPr>
            <a:xfrm>
              <a:off x="36491476" y="53281089"/>
              <a:ext cx="5558554" cy="4587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70</xdr:col>
      <xdr:colOff>69156</xdr:colOff>
      <xdr:row>266</xdr:row>
      <xdr:rowOff>138313</xdr:rowOff>
    </xdr:from>
    <xdr:to>
      <xdr:col>79</xdr:col>
      <xdr:colOff>95206</xdr:colOff>
      <xdr:row>289</xdr:row>
      <xdr:rowOff>130628</xdr:rowOff>
    </xdr:to>
    <mc:AlternateContent xmlns:mc="http://schemas.openxmlformats.org/markup-compatibility/2006">
      <mc:Choice xmlns:cx1="http://schemas.microsoft.com/office/drawing/2015/9/8/chartex" Requires="cx1">
        <xdr:graphicFrame macro="">
          <xdr:nvGraphicFramePr>
            <xdr:cNvPr id="208" name="Chart 207">
              <a:extLst>
                <a:ext uri="{FF2B5EF4-FFF2-40B4-BE49-F238E27FC236}">
                  <a16:creationId xmlns:a16="http://schemas.microsoft.com/office/drawing/2014/main" id="{00000000-0008-0000-1200-0000D0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73"/>
            </a:graphicData>
          </a:graphic>
        </xdr:graphicFrame>
      </mc:Choice>
      <mc:Fallback>
        <xdr:sp macro="" textlink="">
          <xdr:nvSpPr>
            <xdr:cNvPr id="0" name=""/>
            <xdr:cNvSpPr>
              <a:spLocks noTextEdit="1"/>
            </xdr:cNvSpPr>
          </xdr:nvSpPr>
          <xdr:spPr>
            <a:xfrm>
              <a:off x="43184269" y="53281089"/>
              <a:ext cx="5558554" cy="4587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81</xdr:col>
      <xdr:colOff>107577</xdr:colOff>
      <xdr:row>266</xdr:row>
      <xdr:rowOff>92208</xdr:rowOff>
    </xdr:from>
    <xdr:to>
      <xdr:col>90</xdr:col>
      <xdr:colOff>133627</xdr:colOff>
      <xdr:row>289</xdr:row>
      <xdr:rowOff>84523</xdr:rowOff>
    </xdr:to>
    <mc:AlternateContent xmlns:mc="http://schemas.openxmlformats.org/markup-compatibility/2006">
      <mc:Choice xmlns:cx1="http://schemas.microsoft.com/office/drawing/2015/9/8/chartex" Requires="cx1">
        <xdr:graphicFrame macro="">
          <xdr:nvGraphicFramePr>
            <xdr:cNvPr id="209" name="Chart 208">
              <a:extLst>
                <a:ext uri="{FF2B5EF4-FFF2-40B4-BE49-F238E27FC236}">
                  <a16:creationId xmlns:a16="http://schemas.microsoft.com/office/drawing/2014/main" id="{00000000-0008-0000-1200-0000D1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74"/>
            </a:graphicData>
          </a:graphic>
        </xdr:graphicFrame>
      </mc:Choice>
      <mc:Fallback>
        <xdr:sp macro="" textlink="">
          <xdr:nvSpPr>
            <xdr:cNvPr id="0" name=""/>
            <xdr:cNvSpPr>
              <a:spLocks noTextEdit="1"/>
            </xdr:cNvSpPr>
          </xdr:nvSpPr>
          <xdr:spPr>
            <a:xfrm>
              <a:off x="49984639" y="53234984"/>
              <a:ext cx="5558554" cy="4587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37</xdr:col>
      <xdr:colOff>169049</xdr:colOff>
      <xdr:row>294</xdr:row>
      <xdr:rowOff>0</xdr:rowOff>
    </xdr:from>
    <xdr:to>
      <xdr:col>46</xdr:col>
      <xdr:colOff>195099</xdr:colOff>
      <xdr:row>316</xdr:row>
      <xdr:rowOff>192101</xdr:rowOff>
    </xdr:to>
    <mc:AlternateContent xmlns:mc="http://schemas.openxmlformats.org/markup-compatibility/2006">
      <mc:Choice xmlns:cx1="http://schemas.microsoft.com/office/drawing/2015/9/8/chartex" Requires="cx1">
        <xdr:graphicFrame macro="">
          <xdr:nvGraphicFramePr>
            <xdr:cNvPr id="212" name="Chart 211">
              <a:extLst>
                <a:ext uri="{FF2B5EF4-FFF2-40B4-BE49-F238E27FC236}">
                  <a16:creationId xmlns:a16="http://schemas.microsoft.com/office/drawing/2014/main" id="{00000000-0008-0000-1200-0000D4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75"/>
            </a:graphicData>
          </a:graphic>
        </xdr:graphicFrame>
      </mc:Choice>
      <mc:Fallback>
        <xdr:sp macro="" textlink="">
          <xdr:nvSpPr>
            <xdr:cNvPr id="0" name=""/>
            <xdr:cNvSpPr>
              <a:spLocks noTextEdit="1"/>
            </xdr:cNvSpPr>
          </xdr:nvSpPr>
          <xdr:spPr>
            <a:xfrm>
              <a:off x="22998313" y="58736753"/>
              <a:ext cx="5558554" cy="4587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48</xdr:col>
      <xdr:colOff>92208</xdr:colOff>
      <xdr:row>294</xdr:row>
      <xdr:rowOff>130629</xdr:rowOff>
    </xdr:from>
    <xdr:to>
      <xdr:col>57</xdr:col>
      <xdr:colOff>118257</xdr:colOff>
      <xdr:row>317</xdr:row>
      <xdr:rowOff>122945</xdr:rowOff>
    </xdr:to>
    <mc:AlternateContent xmlns:mc="http://schemas.openxmlformats.org/markup-compatibility/2006">
      <mc:Choice xmlns:cx1="http://schemas.microsoft.com/office/drawing/2015/9/8/chartex" Requires="cx1">
        <xdr:graphicFrame macro="">
          <xdr:nvGraphicFramePr>
            <xdr:cNvPr id="213" name="Chart 212">
              <a:extLst>
                <a:ext uri="{FF2B5EF4-FFF2-40B4-BE49-F238E27FC236}">
                  <a16:creationId xmlns:a16="http://schemas.microsoft.com/office/drawing/2014/main" id="{00000000-0008-0000-1200-0000D5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76"/>
            </a:graphicData>
          </a:graphic>
        </xdr:graphicFrame>
      </mc:Choice>
      <mc:Fallback>
        <xdr:sp macro="" textlink="">
          <xdr:nvSpPr>
            <xdr:cNvPr id="0" name=""/>
            <xdr:cNvSpPr>
              <a:spLocks noTextEdit="1"/>
            </xdr:cNvSpPr>
          </xdr:nvSpPr>
          <xdr:spPr>
            <a:xfrm>
              <a:off x="29683421" y="58867382"/>
              <a:ext cx="5558554" cy="4587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59</xdr:col>
      <xdr:colOff>130628</xdr:colOff>
      <xdr:row>294</xdr:row>
      <xdr:rowOff>107577</xdr:rowOff>
    </xdr:from>
    <xdr:to>
      <xdr:col>68</xdr:col>
      <xdr:colOff>156678</xdr:colOff>
      <xdr:row>317</xdr:row>
      <xdr:rowOff>99893</xdr:rowOff>
    </xdr:to>
    <mc:AlternateContent xmlns:mc="http://schemas.openxmlformats.org/markup-compatibility/2006">
      <mc:Choice xmlns:cx1="http://schemas.microsoft.com/office/drawing/2015/9/8/chartex" Requires="cx1">
        <xdr:graphicFrame macro="">
          <xdr:nvGraphicFramePr>
            <xdr:cNvPr id="214" name="Chart 213">
              <a:extLst>
                <a:ext uri="{FF2B5EF4-FFF2-40B4-BE49-F238E27FC236}">
                  <a16:creationId xmlns:a16="http://schemas.microsoft.com/office/drawing/2014/main" id="{00000000-0008-0000-1200-0000D6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77"/>
            </a:graphicData>
          </a:graphic>
        </xdr:graphicFrame>
      </mc:Choice>
      <mc:Fallback>
        <xdr:sp macro="" textlink="">
          <xdr:nvSpPr>
            <xdr:cNvPr id="0" name=""/>
            <xdr:cNvSpPr>
              <a:spLocks noTextEdit="1"/>
            </xdr:cNvSpPr>
          </xdr:nvSpPr>
          <xdr:spPr>
            <a:xfrm>
              <a:off x="36483791" y="58844330"/>
              <a:ext cx="5558554" cy="4587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70</xdr:col>
      <xdr:colOff>0</xdr:colOff>
      <xdr:row>295</xdr:row>
      <xdr:rowOff>0</xdr:rowOff>
    </xdr:from>
    <xdr:to>
      <xdr:col>79</xdr:col>
      <xdr:colOff>26050</xdr:colOff>
      <xdr:row>317</xdr:row>
      <xdr:rowOff>192101</xdr:rowOff>
    </xdr:to>
    <mc:AlternateContent xmlns:mc="http://schemas.openxmlformats.org/markup-compatibility/2006">
      <mc:Choice xmlns:cx1="http://schemas.microsoft.com/office/drawing/2015/9/8/chartex" Requires="cx1">
        <xdr:graphicFrame macro="">
          <xdr:nvGraphicFramePr>
            <xdr:cNvPr id="215" name="Chart 214">
              <a:extLst>
                <a:ext uri="{FF2B5EF4-FFF2-40B4-BE49-F238E27FC236}">
                  <a16:creationId xmlns:a16="http://schemas.microsoft.com/office/drawing/2014/main" id="{00000000-0008-0000-1200-0000D7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78"/>
            </a:graphicData>
          </a:graphic>
        </xdr:graphicFrame>
      </mc:Choice>
      <mc:Fallback>
        <xdr:sp macro="" textlink="">
          <xdr:nvSpPr>
            <xdr:cNvPr id="0" name=""/>
            <xdr:cNvSpPr>
              <a:spLocks noTextEdit="1"/>
            </xdr:cNvSpPr>
          </xdr:nvSpPr>
          <xdr:spPr>
            <a:xfrm>
              <a:off x="43115113" y="58936538"/>
              <a:ext cx="5558554" cy="4587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81</xdr:col>
      <xdr:colOff>92208</xdr:colOff>
      <xdr:row>294</xdr:row>
      <xdr:rowOff>84524</xdr:rowOff>
    </xdr:from>
    <xdr:to>
      <xdr:col>90</xdr:col>
      <xdr:colOff>118258</xdr:colOff>
      <xdr:row>317</xdr:row>
      <xdr:rowOff>76840</xdr:rowOff>
    </xdr:to>
    <mc:AlternateContent xmlns:mc="http://schemas.openxmlformats.org/markup-compatibility/2006">
      <mc:Choice xmlns:cx1="http://schemas.microsoft.com/office/drawing/2015/9/8/chartex" Requires="cx1">
        <xdr:graphicFrame macro="">
          <xdr:nvGraphicFramePr>
            <xdr:cNvPr id="216" name="Chart 215">
              <a:extLst>
                <a:ext uri="{FF2B5EF4-FFF2-40B4-BE49-F238E27FC236}">
                  <a16:creationId xmlns:a16="http://schemas.microsoft.com/office/drawing/2014/main" id="{00000000-0008-0000-1200-0000D8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79"/>
            </a:graphicData>
          </a:graphic>
        </xdr:graphicFrame>
      </mc:Choice>
      <mc:Fallback>
        <xdr:sp macro="" textlink="">
          <xdr:nvSpPr>
            <xdr:cNvPr id="0" name=""/>
            <xdr:cNvSpPr>
              <a:spLocks noTextEdit="1"/>
            </xdr:cNvSpPr>
          </xdr:nvSpPr>
          <xdr:spPr>
            <a:xfrm>
              <a:off x="49969270" y="58821277"/>
              <a:ext cx="5558554" cy="4587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8.xml><?xml version="1.0" encoding="utf-8"?>
<xdr:wsDr xmlns:xdr="http://schemas.openxmlformats.org/drawingml/2006/spreadsheetDrawing" xmlns:a="http://schemas.openxmlformats.org/drawingml/2006/main">
  <xdr:twoCellAnchor>
    <xdr:from>
      <xdr:col>2</xdr:col>
      <xdr:colOff>0</xdr:colOff>
      <xdr:row>1</xdr:row>
      <xdr:rowOff>0</xdr:rowOff>
    </xdr:from>
    <xdr:to>
      <xdr:col>11</xdr:col>
      <xdr:colOff>26049</xdr:colOff>
      <xdr:row>23</xdr:row>
      <xdr:rowOff>192101</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CF526A1F-30EE-45E7-9A41-7A93A2EF58A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229445" y="199785"/>
              <a:ext cx="5558554" cy="4587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xdr:col>
      <xdr:colOff>0</xdr:colOff>
      <xdr:row>25</xdr:row>
      <xdr:rowOff>0</xdr:rowOff>
    </xdr:from>
    <xdr:to>
      <xdr:col>11</xdr:col>
      <xdr:colOff>26049</xdr:colOff>
      <xdr:row>47</xdr:row>
      <xdr:rowOff>192101</xdr:rowOff>
    </xdr:to>
    <mc:AlternateContent xmlns:mc="http://schemas.openxmlformats.org/markup-compatibility/2006">
      <mc:Choice xmlns:cx1="http://schemas.microsoft.com/office/drawing/2015/9/8/chartex" Requires="cx1">
        <xdr:graphicFrame macro="">
          <xdr:nvGraphicFramePr>
            <xdr:cNvPr id="4" name="Chart 3">
              <a:extLst>
                <a:ext uri="{FF2B5EF4-FFF2-40B4-BE49-F238E27FC236}">
                  <a16:creationId xmlns:a16="http://schemas.microsoft.com/office/drawing/2014/main" id="{C9616CD4-DA62-4C50-A48A-551AEB64B258}"/>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1229445" y="4994622"/>
              <a:ext cx="5558554" cy="4587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xdr:col>
      <xdr:colOff>0</xdr:colOff>
      <xdr:row>49</xdr:row>
      <xdr:rowOff>0</xdr:rowOff>
    </xdr:from>
    <xdr:to>
      <xdr:col>11</xdr:col>
      <xdr:colOff>26049</xdr:colOff>
      <xdr:row>71</xdr:row>
      <xdr:rowOff>192101</xdr:rowOff>
    </xdr:to>
    <mc:AlternateContent xmlns:mc="http://schemas.openxmlformats.org/markup-compatibility/2006">
      <mc:Choice xmlns:cx1="http://schemas.microsoft.com/office/drawing/2015/9/8/chartex" Requires="cx1">
        <xdr:graphicFrame macro="">
          <xdr:nvGraphicFramePr>
            <xdr:cNvPr id="5" name="Chart 4">
              <a:extLst>
                <a:ext uri="{FF2B5EF4-FFF2-40B4-BE49-F238E27FC236}">
                  <a16:creationId xmlns:a16="http://schemas.microsoft.com/office/drawing/2014/main" id="{1904A0A9-4DCA-4CE9-BF01-BC57215C91CE}"/>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xfrm>
              <a:off x="1229445" y="9789459"/>
              <a:ext cx="5558554" cy="4587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xdr:col>
      <xdr:colOff>0</xdr:colOff>
      <xdr:row>73</xdr:row>
      <xdr:rowOff>0</xdr:rowOff>
    </xdr:from>
    <xdr:to>
      <xdr:col>11</xdr:col>
      <xdr:colOff>26049</xdr:colOff>
      <xdr:row>95</xdr:row>
      <xdr:rowOff>192101</xdr:rowOff>
    </xdr:to>
    <mc:AlternateContent xmlns:mc="http://schemas.openxmlformats.org/markup-compatibility/2006">
      <mc:Choice xmlns:cx1="http://schemas.microsoft.com/office/drawing/2015/9/8/chartex" Requires="cx1">
        <xdr:graphicFrame macro="">
          <xdr:nvGraphicFramePr>
            <xdr:cNvPr id="6" name="Chart 5">
              <a:extLst>
                <a:ext uri="{FF2B5EF4-FFF2-40B4-BE49-F238E27FC236}">
                  <a16:creationId xmlns:a16="http://schemas.microsoft.com/office/drawing/2014/main" id="{E31DA862-51BA-4FFD-BB5F-1E3B653F9F06}"/>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1229445" y="14584296"/>
              <a:ext cx="5558554" cy="4587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F66201-60A6-4188-83D2-536DD5B9FA08}" name="Table2" displayName="Table2" ref="A2:T25" totalsRowShown="0" headerRowDxfId="175" dataDxfId="174">
  <autoFilter ref="A2:T25" xr:uid="{5259C397-A955-4457-84DD-FF4C6B7F796D}"/>
  <tableColumns count="20">
    <tableColumn id="16" xr3:uid="{C6AA209E-0BEF-451C-8503-8E950970F583}" name="Sample Date/Time" dataDxfId="173"/>
    <tableColumn id="18" xr3:uid="{92B24B36-97F3-4102-92B8-29A80BFA8FD8}" name="Sample ID" dataDxfId="172"/>
    <tableColumn id="17" xr3:uid="{B0AD6A45-95CD-4AEC-A610-C5664ECA273A}" name="Location" dataDxfId="171"/>
    <tableColumn id="6" xr3:uid="{7810E8B1-35C9-49AD-825D-34DB62FBC5F1}" name="pH" dataDxfId="170"/>
    <tableColumn id="7" xr3:uid="{0A7B1B07-DBD1-44E1-9C32-2D465A98BEA7}" name="Temperature (˚C)" dataDxfId="169"/>
    <tableColumn id="8" xr3:uid="{90F15C09-F5EF-442C-BA2A-C217C0B4A4D5}" name="Free Chlorine (mg/L)" dataDxfId="168"/>
    <tableColumn id="9" xr3:uid="{30B08269-35CA-42CB-BAAC-2162BB5312FC}" name="Total Chlorine" dataDxfId="167"/>
    <tableColumn id="10" xr3:uid="{71E91AEB-D87E-4A5B-BB20-50BDE237DD1C}" name="Monochloramine" dataDxfId="166"/>
    <tableColumn id="11" xr3:uid="{4FAF2F77-F4C0-43B7-9DB7-99E335297E01}" name="Free Ammonia" dataDxfId="165"/>
    <tableColumn id="12" xr3:uid="{0E8968A3-A5CF-4A0A-BDDF-922825DB77AC}" name="Nitrite" dataDxfId="164"/>
    <tableColumn id="13" xr3:uid="{6FBF071F-6EBE-40A5-9E9B-2E908A6C0A75}" name="Orthophosphate" dataDxfId="163"/>
    <tableColumn id="22" xr3:uid="{BF0F54A8-5C9D-4616-AAB9-53CC63211632}" name="NH3" dataDxfId="162"/>
    <tableColumn id="21" xr3:uid="{8116B5A0-C20D-4A59-BB6F-E5334FD301F8}" name="PO4" dataDxfId="161"/>
    <tableColumn id="20" xr3:uid="{B904EB06-07CF-4D88-8AB9-384F342601F3}" name="NO3" dataDxfId="160"/>
    <tableColumn id="19" xr3:uid="{C6E25164-BE3F-4FDE-98E4-4AE62269B812}" name="NO2" dataDxfId="159"/>
    <tableColumn id="15" xr3:uid="{BBB1BA19-B0A4-4A32-AC28-F7E34BEB54EF}" name="Turbidity" dataDxfId="158"/>
    <tableColumn id="5" xr3:uid="{11F74C04-0A60-4592-BA16-A8AC32945CBC}" name="Color" dataDxfId="157"/>
    <tableColumn id="4" xr3:uid="{B594B134-F0E1-4527-95AA-6A2BBE56B6E0}" name="Copper (mg/L)" dataDxfId="156"/>
    <tableColumn id="2" xr3:uid="{F93ADF4C-316E-4731-A501-BDE50EF400EB}" name="Iron (mg/L)" dataDxfId="155"/>
    <tableColumn id="14" xr3:uid="{803DF22C-3F83-468F-8B9C-5FA024D5CD4C}" name="Comments" dataDxfId="154"/>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4332FBF-5B6D-42B4-909C-A50FE9D0D0C8}" name="Table26" displayName="Table26" ref="A2:T24" totalsRowShown="0" headerRowDxfId="153" dataDxfId="152">
  <autoFilter ref="A2:T24" xr:uid="{AC6A3732-C5AB-4978-B066-96B0DEB436FA}"/>
  <tableColumns count="20">
    <tableColumn id="18" xr3:uid="{C59B766E-1788-4082-86E8-5383B650CA1A}" name="Sample Date/Time" dataDxfId="151"/>
    <tableColumn id="2" xr3:uid="{F0415484-1941-4981-8937-BFC93AB0CF23}" name="Sample ID" dataDxfId="150"/>
    <tableColumn id="15" xr3:uid="{24683064-2101-4F86-9EEB-75F1E3F4BF61}" name="Location" dataDxfId="149"/>
    <tableColumn id="6" xr3:uid="{34D67FA5-0417-41F0-B397-B437804F85BB}" name="pH" dataDxfId="148"/>
    <tableColumn id="7" xr3:uid="{EFA006F7-E3AA-4863-9067-8E6B7B56CDB9}" name="Temperature (˚C)" dataDxfId="147"/>
    <tableColumn id="8" xr3:uid="{B135FC41-5E0B-4792-B190-48BA06D40E42}" name="Free Chlorine (mg/L)" dataDxfId="146"/>
    <tableColumn id="9" xr3:uid="{8CC9C87F-CF39-4EF0-8C11-A3D28FA14A32}" name="Total Chlorine" dataDxfId="145"/>
    <tableColumn id="10" xr3:uid="{3EFDB434-ABF1-4346-BA9F-DB4A3B5A1F8A}" name="Monochloramine" dataDxfId="144"/>
    <tableColumn id="11" xr3:uid="{9E58FBBD-8363-4AB6-B8F8-1C9433AF03F0}" name="Free Ammonia" dataDxfId="143"/>
    <tableColumn id="12" xr3:uid="{0259C7D5-09D7-477B-93E6-31F8DA395B23}" name="Nitrite" dataDxfId="142"/>
    <tableColumn id="13" xr3:uid="{C17E1E7D-06F3-4330-A6B5-B1E2122C41BE}" name="Orthophosphate" dataDxfId="141"/>
    <tableColumn id="22" xr3:uid="{F1E2AF7D-74D8-4667-8B48-390FA9FB2769}" name="NH3" dataDxfId="140"/>
    <tableColumn id="21" xr3:uid="{81D8B747-9FD0-4E18-9CE9-56C26905884D}" name="PO4" dataDxfId="139"/>
    <tableColumn id="20" xr3:uid="{F46F4A39-A35F-418C-BCA0-F17555A0F4CF}" name="NO3" dataDxfId="138"/>
    <tableColumn id="19" xr3:uid="{ABA8633A-4771-494C-8C31-1FD3D8E24CD9}" name="NO2" dataDxfId="137"/>
    <tableColumn id="17" xr3:uid="{C571D3AA-7F0D-4F24-AD14-FBF9851E5588}" name="Turbidity" dataDxfId="136"/>
    <tableColumn id="16" xr3:uid="{DBB0DD35-CED9-4BAD-BA39-A7C11A287629}" name="Color" dataDxfId="135"/>
    <tableColumn id="5" xr3:uid="{6B91628F-84B1-446A-9EAE-EFEF94404A6D}" name="Copper (mg/L)" dataDxfId="134"/>
    <tableColumn id="4" xr3:uid="{8F62878E-03BF-4777-A531-75DD6001ADAB}" name="Iron (mg/L)" dataDxfId="133"/>
    <tableColumn id="14" xr3:uid="{111B9FA6-8EA4-4CBB-AF89-2DD22E503980}" name="Comments" dataDxfId="132"/>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C0CBF41-2E3F-4833-8058-1171EB92730E}" name="Table27" displayName="Table27" ref="A2:T24" totalsRowShown="0" headerRowDxfId="131" dataDxfId="130">
  <autoFilter ref="A2:T24" xr:uid="{71D9D23F-5F2F-40AB-A578-01466182569B}"/>
  <tableColumns count="20">
    <tableColumn id="18" xr3:uid="{4BA9025D-3E78-4770-9EA0-7D53D98FEC0B}" name="Sample Date/Time" dataDxfId="129"/>
    <tableColumn id="15" xr3:uid="{C13A28BA-742B-4EAA-862A-2C743913FE4C}" name="Sample ID" dataDxfId="128"/>
    <tableColumn id="2" xr3:uid="{BDEE4CF4-6ACE-46F3-9C23-E11400A04014}" name="Location" dataDxfId="127"/>
    <tableColumn id="6" xr3:uid="{FF0C4DD0-4BF4-48C2-8EE2-27A3E571287B}" name="pH" dataDxfId="126"/>
    <tableColumn id="7" xr3:uid="{CD3EE067-15FF-44BC-8ACF-4E05251240A8}" name="Temperature (˚C)" dataDxfId="125"/>
    <tableColumn id="8" xr3:uid="{97E0920F-4BBF-4582-9E36-E43D622D3DD8}" name="Free Chlorine (mg/L)" dataDxfId="124"/>
    <tableColumn id="9" xr3:uid="{F2B6660C-21EC-4D06-B30F-B1AB187B1171}" name="Total Chlorine" dataDxfId="123"/>
    <tableColumn id="10" xr3:uid="{60F44F71-CB54-4AAC-BC60-1C57673CA4EE}" name="Monochloramine" dataDxfId="122"/>
    <tableColumn id="11" xr3:uid="{085826BA-498A-49A8-855C-2FFA460BA0F8}" name="Free Ammonia" dataDxfId="121"/>
    <tableColumn id="12" xr3:uid="{E12904AE-5248-44E4-908B-A858312CF952}" name="Nitrite" dataDxfId="120"/>
    <tableColumn id="13" xr3:uid="{361667D1-5C46-4ACC-860E-53B8FCFFD308}" name="Orthophosphate" dataDxfId="119"/>
    <tableColumn id="22" xr3:uid="{9C796A7A-6604-4687-9A92-37AC83FE8282}" name="NH3" dataDxfId="118"/>
    <tableColumn id="21" xr3:uid="{16894DE9-9D55-4063-B5A4-5B0F0F3E7CF4}" name="PO4" dataDxfId="117"/>
    <tableColumn id="20" xr3:uid="{611B0612-822C-4B80-A6BF-2F6E7D9FBD8E}" name="NO3" dataDxfId="116"/>
    <tableColumn id="19" xr3:uid="{4C716701-F39C-4DE6-87CE-DC65D710A704}" name="NO2" dataDxfId="115"/>
    <tableColumn id="17" xr3:uid="{36052020-6AFE-4035-8EAB-372AFD34E527}" name="Turbidity" dataDxfId="114"/>
    <tableColumn id="16" xr3:uid="{0038941B-501A-4DCB-AC5A-8B6D342FDABD}" name="Color" dataDxfId="113"/>
    <tableColumn id="5" xr3:uid="{D5261083-358A-47FC-BA51-7BC8178FD7F6}" name="Copper (mg/L)" dataDxfId="112"/>
    <tableColumn id="4" xr3:uid="{484831EC-20F3-4B48-A852-0875B81DAAE3}" name="Iron (mg/L)" dataDxfId="111"/>
    <tableColumn id="14" xr3:uid="{502F210B-402A-4937-B00E-849CA868AAA0}" name="Comments" dataDxfId="110"/>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0737A33-9085-4A14-816C-F17E58AC0A0E}" name="Table24" displayName="Table24" ref="A2:T25" totalsRowShown="0" headerRowDxfId="109" dataDxfId="108">
  <autoFilter ref="A2:T25" xr:uid="{F7C99C02-ECC6-40B1-87D8-E681CB627CB2}"/>
  <tableColumns count="20">
    <tableColumn id="16" xr3:uid="{19F847E3-7B04-4169-86A0-A7E79B103E99}" name="Sample Date/Time" dataDxfId="107"/>
    <tableColumn id="18" xr3:uid="{06FB1C7F-4992-4E66-BC8C-408BC7EEEF15}" name="Sample ID" dataDxfId="106"/>
    <tableColumn id="17" xr3:uid="{9832C579-2D08-4273-995A-A394E5C99572}" name="Location" dataDxfId="105"/>
    <tableColumn id="6" xr3:uid="{E11EED85-472B-4961-9D17-93BCA617E7B3}" name="pH" dataDxfId="104"/>
    <tableColumn id="7" xr3:uid="{AE7037D9-03F2-48EB-9097-C187CC34B654}" name="Temperature (˚C)" dataDxfId="103"/>
    <tableColumn id="8" xr3:uid="{9BB3C1A0-1658-4C84-8958-5ACC9E1854D1}" name="Free Chlorine (mg/L)" dataDxfId="102"/>
    <tableColumn id="9" xr3:uid="{4265AF1F-AD3C-43B2-81B6-C1F2AC07D35F}" name="Total Chlorine" dataDxfId="101"/>
    <tableColumn id="10" xr3:uid="{0F72AEA9-12DA-4265-A4C6-26D3FAE4B74C}" name="Monochloramine" dataDxfId="100"/>
    <tableColumn id="11" xr3:uid="{1ED6F11C-F2F6-474C-91E5-EF0B000A32CA}" name="Free Ammonia" dataDxfId="99"/>
    <tableColumn id="12" xr3:uid="{CF875CC8-4EC4-4F24-BA77-C639BF5225F1}" name="Nitrite" dataDxfId="98"/>
    <tableColumn id="13" xr3:uid="{8D6D8071-1B9D-49A4-B759-904B3FAADB85}" name="Orthophosphate" dataDxfId="97"/>
    <tableColumn id="22" xr3:uid="{7FD0B309-E007-4318-AEDB-E89C75622C51}" name="NH3" dataDxfId="96"/>
    <tableColumn id="21" xr3:uid="{560EEC60-FAAD-4078-A540-41E1797DAD1C}" name="PO4" dataDxfId="95"/>
    <tableColumn id="20" xr3:uid="{9D2313CC-9B09-47FB-80A7-87B66612493E}" name="NO3" dataDxfId="94"/>
    <tableColumn id="3" xr3:uid="{DC6E2CF3-303A-4EA6-B9C5-3D9768303C0E}" name="NO2" dataDxfId="93"/>
    <tableColumn id="15" xr3:uid="{687498B3-F7E1-45F3-BC9E-7CE16D038F63}" name="Turbidity" dataDxfId="92"/>
    <tableColumn id="5" xr3:uid="{DCB778BE-4242-4A2A-AF37-7DB2E9DCDCF5}" name="Color" dataDxfId="91"/>
    <tableColumn id="4" xr3:uid="{A9BCB76E-D2B4-46A0-9585-104EE8FDE552}" name="Copper (mg/L)" dataDxfId="90"/>
    <tableColumn id="2" xr3:uid="{663897EF-99F8-4C05-A9BD-9244531E2DB1}" name="Iron (mg/L)" dataDxfId="89"/>
    <tableColumn id="14" xr3:uid="{C9308202-693C-4F88-B092-10381FCA8727}" name="Comments" dataDxfId="88"/>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D5D35CE-80D2-44DE-9D73-7F2717705B6C}" name="Table28" displayName="Table28" ref="A2:T55" totalsRowShown="0" headerRowDxfId="87" dataDxfId="86">
  <autoFilter ref="A2:T55" xr:uid="{49A5DD0E-6877-4092-B396-8A1500AEA99F}"/>
  <tableColumns count="20">
    <tableColumn id="28" xr3:uid="{226281DE-8AD3-4C38-A8CE-88DBFB3A421D}" name="Sample Time" dataDxfId="85"/>
    <tableColumn id="17" xr3:uid="{5FE12F70-6136-4079-8475-DFC6560DB8F3}" name="Sample ID" dataDxfId="84"/>
    <tableColumn id="2" xr3:uid="{96AD517F-47E4-4576-A9E9-2D4498E6FD56}" name="Location" dataDxfId="83"/>
    <tableColumn id="6" xr3:uid="{C046D267-47E7-4758-8A6A-F2833530C34F}" name="pH" dataDxfId="82"/>
    <tableColumn id="7" xr3:uid="{451C2043-08FB-45F8-A03D-FF23FBB08F55}" name="Temperature (˚C)" dataDxfId="81"/>
    <tableColumn id="8" xr3:uid="{40B00717-B850-402F-850C-CE0FB6689DE0}" name="Free Chlorine (mg/L)" dataDxfId="80"/>
    <tableColumn id="9" xr3:uid="{00286570-BD33-4A5D-9B92-DDF326F5C170}" name="Total Chlorine" dataDxfId="79"/>
    <tableColumn id="10" xr3:uid="{EC7AB2F8-6F70-40C9-A2D7-1305A5400B0A}" name="Monochloramine" dataDxfId="78"/>
    <tableColumn id="11" xr3:uid="{0D206A87-72D4-46BE-A4DF-9A95FBD003E7}" name="Free Ammonia" dataDxfId="77"/>
    <tableColumn id="12" xr3:uid="{FDD0643B-52B4-44D6-8D8C-D66D815CE9A8}" name="Nitrite" dataDxfId="76"/>
    <tableColumn id="13" xr3:uid="{15A7A5C1-55F9-46AB-9F25-DB37C00442A8}" name="Orthophosphate" dataDxfId="75"/>
    <tableColumn id="5" xr3:uid="{1BC9D1E4-A50D-489D-B175-77A2FFC9DA93}" name="NH3" dataDxfId="74"/>
    <tableColumn id="4" xr3:uid="{616CDAB1-224E-4B10-BF27-9D43B63287AF}" name="PO4" dataDxfId="73"/>
    <tableColumn id="3" xr3:uid="{23923A59-1D12-41B7-B9B3-1A79F5EBC958}" name="NO3" dataDxfId="72"/>
    <tableColumn id="1" xr3:uid="{0CCBAC36-E16B-42C6-B9BC-AC2011CD883B}" name="NO2" dataDxfId="71"/>
    <tableColumn id="27" xr3:uid="{78EEC0A4-DD57-484A-AC02-9ADE6638E9EF}" name="Turbidity" dataDxfId="70"/>
    <tableColumn id="26" xr3:uid="{FE9322E0-F789-42D3-AC11-003A4383D7C2}" name="Color" dataDxfId="69"/>
    <tableColumn id="25" xr3:uid="{2FEE6532-3262-4F84-BBA5-79A297E07EE0}" name="Copper (mg/L)" dataDxfId="68"/>
    <tableColumn id="24" xr3:uid="{0B08FFFA-588F-407A-B4E3-40F0F8F3EB85}" name="Iron (mg/L)" dataDxfId="67"/>
    <tableColumn id="14" xr3:uid="{215512B7-C8A5-4D74-AD4A-F708F89C2C0D}" name="Comments" dataDxfId="66"/>
  </tableColumns>
  <tableStyleInfo name="TableStyleLight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12D738DF-54FF-4B1B-900B-0432469BA126}" name="Table213" displayName="Table213" ref="A2:T55" totalsRowShown="0" headerRowDxfId="65" dataDxfId="64">
  <autoFilter ref="A2:T55" xr:uid="{51F3CF50-451C-44B8-AACF-84C82688C62C}"/>
  <tableColumns count="20">
    <tableColumn id="20" xr3:uid="{2BD03CFF-B59D-40CE-AAE6-1EC44E0827C8}" name="Sample Time" dataDxfId="63"/>
    <tableColumn id="18" xr3:uid="{58D59944-B2B0-4F5D-8428-C1677D831BD0}" name="Sample ID" dataDxfId="62"/>
    <tableColumn id="17" xr3:uid="{53FF4006-48AC-4911-88A8-07C2EFA06D7A}" name="Location" dataDxfId="61"/>
    <tableColumn id="6" xr3:uid="{F394A36D-F937-4F58-BBB2-069BE2EC6EA9}" name="pH" dataDxfId="60"/>
    <tableColumn id="7" xr3:uid="{58AFB1F2-428B-4067-8B4E-481A5D9576B3}" name="Temperature (˚C)" dataDxfId="59"/>
    <tableColumn id="8" xr3:uid="{A30F6EDF-D0C6-4AC4-8500-F210B9E41CA8}" name="Free Chlorine (mg/L)" dataDxfId="58"/>
    <tableColumn id="9" xr3:uid="{34359C29-1D50-489E-813E-3678F0C32ADA}" name="Total Chlorine" dataDxfId="57"/>
    <tableColumn id="10" xr3:uid="{94C13D71-47DF-4CA8-A75A-D31A9ACA79E6}" name="Monochloramine" dataDxfId="56"/>
    <tableColumn id="11" xr3:uid="{90A5970C-2C73-4333-AC21-4FAF2B3DCFF8}" name="Free Ammonia" dataDxfId="55"/>
    <tableColumn id="12" xr3:uid="{83C6E111-34E8-4AD6-82F1-FC13A93D017A}" name="Nitrite" dataDxfId="54"/>
    <tableColumn id="13" xr3:uid="{FA7746A1-E7A9-457E-B892-E95A2160CCD6}" name="Orthophosphate" dataDxfId="53"/>
    <tableColumn id="22" xr3:uid="{2F80F958-588C-4903-8874-C68D58C46CD9}" name="NH3" dataDxfId="52"/>
    <tableColumn id="21" xr3:uid="{2ECBD4AE-FAFE-4505-80CF-CE912D198E25}" name="PO4" dataDxfId="51"/>
    <tableColumn id="3" xr3:uid="{19593C2B-2BAA-4652-B3AC-B0BB99A28DBC}" name="NO3" dataDxfId="50"/>
    <tableColumn id="1" xr3:uid="{2071236D-9BB7-445C-84B3-435FA87B059A}" name="NO2" dataDxfId="49"/>
    <tableColumn id="19" xr3:uid="{F9C387F7-B468-40C8-989B-C781D32230B1}" name="Turbidity" dataDxfId="48"/>
    <tableColumn id="5" xr3:uid="{560C0388-89FA-40BC-8FAD-C0A4593EA007}" name="Color" dataDxfId="47"/>
    <tableColumn id="4" xr3:uid="{088A98AF-20C1-4E15-870C-76E1D7AECE37}" name="Copper (mg/L)" dataDxfId="46"/>
    <tableColumn id="2" xr3:uid="{594958CE-1936-414C-8EDD-EABD1F9737D5}" name="Iron (mg/L)" dataDxfId="45"/>
    <tableColumn id="14" xr3:uid="{FDE818D1-DB7F-436D-A27D-8697235CB0C5}" name="Comments" dataDxfId="44"/>
  </tableColumns>
  <tableStyleInfo name="TableStyleLight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780E62DE-56ED-4BCB-AF92-5A7E8C2B01D2}" name="Table210" displayName="Table210" ref="A2:T55" totalsRowShown="0" headerRowDxfId="43" dataDxfId="42">
  <autoFilter ref="A2:T55" xr:uid="{304F2977-A92A-4B72-8997-9A699BF6AD04}"/>
  <tableColumns count="20">
    <tableColumn id="22" xr3:uid="{B7E2D1AA-3188-4D7F-9A19-8FC9F589267B}" name="Sample Time" dataDxfId="41"/>
    <tableColumn id="18" xr3:uid="{276A470C-789E-447B-83EC-24C794BD5B2F}" name="Sample ID" dataDxfId="40"/>
    <tableColumn id="17" xr3:uid="{34391D35-7FD4-4E69-81DA-2614FB8748B5}" name="Location" dataDxfId="39"/>
    <tableColumn id="6" xr3:uid="{3D442F71-2B94-4CD1-846D-793CF3830BC5}" name="pH" dataDxfId="38"/>
    <tableColumn id="7" xr3:uid="{C8242E98-DEE9-40C0-A581-2773954CEF30}" name="Temperature (˚C)" dataDxfId="37"/>
    <tableColumn id="8" xr3:uid="{A87FFC87-10C9-471B-8BCA-8DBFF8D023F0}" name="Free Chlorine (mg/L)" dataDxfId="36"/>
    <tableColumn id="9" xr3:uid="{D5F78253-ACBD-43F0-8DDE-A0183FE78F7F}" name="Total Chlorine" dataDxfId="35"/>
    <tableColumn id="10" xr3:uid="{098B073E-3E16-41EB-A051-E64A6E9B70BC}" name="Monochloramine" dataDxfId="34"/>
    <tableColumn id="11" xr3:uid="{EF978578-BEA9-4367-A322-EF07477640AE}" name="Free Ammonia" dataDxfId="33"/>
    <tableColumn id="12" xr3:uid="{BE5D2A79-F826-4EE6-9A5B-73052F7F3613}" name="Nitrite" dataDxfId="32"/>
    <tableColumn id="13" xr3:uid="{40DEDCD2-1494-4156-BBFA-BB62630EA415}" name="Orthophosphate" dataDxfId="31"/>
    <tableColumn id="5" xr3:uid="{5F750D93-CF55-48C2-AA5D-1EF372D93AB0}" name="NH3" dataDxfId="30"/>
    <tableColumn id="4" xr3:uid="{60B2B8A2-1C78-4D18-BC89-ADA1D629DC45}" name="PO4" dataDxfId="29"/>
    <tableColumn id="3" xr3:uid="{205BF87D-3F74-42F6-A3FB-95B4A37C951F}" name="NO3" dataDxfId="28"/>
    <tableColumn id="1" xr3:uid="{BD978BA5-B209-4D48-BCC3-18D6A103757E}" name="NO2" dataDxfId="27"/>
    <tableColumn id="21" xr3:uid="{9D5D55DD-1414-41AF-9C4A-A49DE5C4A83D}" name="Turbidity" dataDxfId="26"/>
    <tableColumn id="20" xr3:uid="{C64DBCFF-694B-41F9-A396-2DD883C35C62}" name="Color" dataDxfId="25"/>
    <tableColumn id="19" xr3:uid="{5CF1AA59-0B1B-4944-B7DA-F7C86D73939A}" name="Copper (mg/L)" dataDxfId="24"/>
    <tableColumn id="2" xr3:uid="{1A8AC230-FBFB-4845-8B3A-BBB0354A105E}" name="Iron (mg/L)" dataDxfId="23"/>
    <tableColumn id="14" xr3:uid="{0E15AEDD-5C8F-4CBE-85B7-ED677DA22DC0}" name="Comments" dataDxfId="22"/>
  </tableColumns>
  <tableStyleInfo name="TableStyleLight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59E60DD1-4FE3-4A43-8648-2C6063119A90}" name="Table212" displayName="Table212" ref="A2:T54" totalsRowShown="0" headerRowDxfId="21" dataDxfId="20">
  <autoFilter ref="A2:T54" xr:uid="{9504C8F6-FFEA-43DB-870C-D8433B0B2049}"/>
  <tableColumns count="20">
    <tableColumn id="20" xr3:uid="{F8297A9A-6F76-4765-B795-5C6966842F1F}" name="Sample Time" dataDxfId="19"/>
    <tableColumn id="18" xr3:uid="{39529607-A903-4925-A72F-65D6C859B262}" name="Sample ID" dataDxfId="18"/>
    <tableColumn id="17" xr3:uid="{A827944A-EA85-4DCD-94C3-59A6C07D552F}" name="Location" dataDxfId="17"/>
    <tableColumn id="6" xr3:uid="{EDD789F1-8E63-4AA6-8176-CBB8D0E8782B}" name="pH" dataDxfId="16"/>
    <tableColumn id="7" xr3:uid="{DB058FB2-040A-453A-87BA-8F051D31ED30}" name="Temperature (˚C)" dataDxfId="15"/>
    <tableColumn id="8" xr3:uid="{87C8ED00-FE27-4E8A-A670-D5F987E20E56}" name="Free Chlorine (mg/L)" dataDxfId="14"/>
    <tableColumn id="9" xr3:uid="{7339C767-B690-4174-99AA-B57856A5525D}" name="Total Chlorine" dataDxfId="13"/>
    <tableColumn id="10" xr3:uid="{26BBDF4E-42CE-4821-8211-8F8A4CB01B23}" name="Monochloramine" dataDxfId="12"/>
    <tableColumn id="11" xr3:uid="{1DDEA042-784B-47DB-99EE-6CC24B4E3E63}" name="Free Ammonia" dataDxfId="11"/>
    <tableColumn id="12" xr3:uid="{72CB327A-9065-4F98-99AD-06BAEFD953B3}" name="Nitrite" dataDxfId="10"/>
    <tableColumn id="13" xr3:uid="{DE8C08BE-C0F7-459E-A619-D6DD5B51D89B}" name="Orthophosphate" dataDxfId="9"/>
    <tableColumn id="22" xr3:uid="{49F4A914-173E-4A00-A669-284B9CA2D0B3}" name="NH3" dataDxfId="8"/>
    <tableColumn id="21" xr3:uid="{6AD6CE5E-22C3-47E9-AB2E-43E1EDBC9FAE}" name="PO4" dataDxfId="7"/>
    <tableColumn id="3" xr3:uid="{E8A3D91C-8F29-4D04-A347-9C5783FAB634}" name="NO3" dataDxfId="6"/>
    <tableColumn id="1" xr3:uid="{8F01CC1F-8C22-4D38-AD8B-AAE48CAABD55}" name="NO2" dataDxfId="5"/>
    <tableColumn id="19" xr3:uid="{B51D6A3D-3DB1-4FCC-9CC6-779CF972DF5B}" name="Turbidity" dataDxfId="4"/>
    <tableColumn id="5" xr3:uid="{5DDA6316-ECD9-401F-8AE9-8CED36F6914B}" name="Color" dataDxfId="3"/>
    <tableColumn id="4" xr3:uid="{87DCE084-2F01-40DE-A69B-B09FCBBC67C4}" name="Copper (mg/L)" dataDxfId="2"/>
    <tableColumn id="2" xr3:uid="{611498D2-96AF-4FAF-A9C7-79C0FAFD040E}" name="Iron (mg/L)" dataDxfId="1"/>
    <tableColumn id="14" xr3:uid="{F0D0D58D-2A11-4598-98D2-55E498E20343}" name="Comments"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7.xml.rels><?xml version="1.0" encoding="UTF-8" standalone="yes"?>
<Relationships xmlns="http://schemas.openxmlformats.org/package/2006/relationships"><Relationship Id="rId1" Type="http://schemas.openxmlformats.org/officeDocument/2006/relationships/table" Target="../tables/table2.xml"/></Relationships>
</file>

<file path=xl/worksheets/_rels/sheet28.xml.rels><?xml version="1.0" encoding="UTF-8" standalone="yes"?>
<Relationships xmlns="http://schemas.openxmlformats.org/package/2006/relationships"><Relationship Id="rId1" Type="http://schemas.openxmlformats.org/officeDocument/2006/relationships/table" Target="../tables/table3.xml"/></Relationships>
</file>

<file path=xl/worksheets/_rels/sheet29.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F100BE-79CB-42F1-A625-BC4CA6E04132}">
  <dimension ref="A1:XFD104"/>
  <sheetViews>
    <sheetView topLeftCell="A46" zoomScale="130" zoomScaleNormal="130" workbookViewId="0">
      <selection activeCell="B51" sqref="B51:D51"/>
    </sheetView>
  </sheetViews>
  <sheetFormatPr defaultColWidth="9.109375" defaultRowHeight="20.149999999999999" customHeight="1" x14ac:dyDescent="0.3"/>
  <cols>
    <col min="1" max="1" width="50.88671875" style="1" customWidth="1"/>
    <col min="2" max="2" width="20.88671875" style="1" customWidth="1"/>
    <col min="3" max="3" width="35.109375" style="1" customWidth="1"/>
    <col min="4" max="4" width="49.44140625" style="1" customWidth="1"/>
    <col min="5" max="5" width="85.6640625" style="1" customWidth="1"/>
    <col min="6" max="16384" width="9.109375" style="1"/>
  </cols>
  <sheetData>
    <row r="1" spans="1:4" ht="20.149999999999999" customHeight="1" thickTop="1" x14ac:dyDescent="0.3">
      <c r="A1" s="1574" t="s">
        <v>185</v>
      </c>
      <c r="B1" s="1575"/>
      <c r="C1" s="1575"/>
      <c r="D1" s="1576"/>
    </row>
    <row r="2" spans="1:4" ht="39.049999999999997" customHeight="1" thickBot="1" x14ac:dyDescent="0.35">
      <c r="A2" s="2" t="s">
        <v>0</v>
      </c>
      <c r="B2" s="3" t="s">
        <v>1</v>
      </c>
      <c r="C2" s="1577" t="s">
        <v>2</v>
      </c>
      <c r="D2" s="1578"/>
    </row>
    <row r="3" spans="1:4" ht="20.149999999999999" customHeight="1" x14ac:dyDescent="0.3">
      <c r="A3" s="4" t="s">
        <v>3</v>
      </c>
      <c r="B3" s="74">
        <v>3</v>
      </c>
      <c r="C3" s="1579" t="s">
        <v>4</v>
      </c>
      <c r="D3" s="1580"/>
    </row>
    <row r="4" spans="1:4" ht="20.149999999999999" customHeight="1" x14ac:dyDescent="0.3">
      <c r="A4" s="5" t="s">
        <v>5</v>
      </c>
      <c r="B4" s="72">
        <v>3</v>
      </c>
      <c r="C4" s="1569" t="s">
        <v>4</v>
      </c>
      <c r="D4" s="1570"/>
    </row>
    <row r="5" spans="1:4" ht="20.149999999999999" customHeight="1" x14ac:dyDescent="0.3">
      <c r="A5" s="183" t="s">
        <v>6</v>
      </c>
      <c r="B5" s="72">
        <v>10</v>
      </c>
      <c r="C5" s="1569" t="s">
        <v>4</v>
      </c>
      <c r="D5" s="1570"/>
    </row>
    <row r="6" spans="1:4" ht="20.149999999999999" customHeight="1" x14ac:dyDescent="0.3">
      <c r="A6" s="5" t="s">
        <v>7</v>
      </c>
      <c r="B6" s="72">
        <v>3</v>
      </c>
      <c r="C6" s="1569" t="s">
        <v>4</v>
      </c>
      <c r="D6" s="1570"/>
    </row>
    <row r="7" spans="1:4" ht="20.149999999999999" customHeight="1" thickBot="1" x14ac:dyDescent="0.35">
      <c r="A7" s="6" t="s">
        <v>8</v>
      </c>
      <c r="B7" s="7">
        <v>100</v>
      </c>
      <c r="C7" s="1586" t="s">
        <v>9</v>
      </c>
      <c r="D7" s="1587"/>
    </row>
    <row r="8" spans="1:4" ht="20.149999999999999" customHeight="1" thickTop="1" x14ac:dyDescent="0.3">
      <c r="A8" s="1598" t="s">
        <v>182</v>
      </c>
      <c r="B8" s="1598"/>
      <c r="C8" s="1598"/>
    </row>
    <row r="9" spans="1:4" ht="20.149999999999999" customHeight="1" x14ac:dyDescent="0.3">
      <c r="A9" s="1599" t="s">
        <v>183</v>
      </c>
      <c r="B9" s="1599"/>
      <c r="C9" s="1599"/>
    </row>
    <row r="10" spans="1:4" ht="20.149999999999999" customHeight="1" x14ac:dyDescent="0.3">
      <c r="A10" s="1598" t="s">
        <v>184</v>
      </c>
      <c r="B10" s="1598"/>
      <c r="C10" s="1598"/>
    </row>
    <row r="11" spans="1:4" ht="20.149999999999999" customHeight="1" x14ac:dyDescent="0.3">
      <c r="A11" s="1598" t="s">
        <v>10</v>
      </c>
      <c r="B11" s="1598"/>
      <c r="C11" s="1598"/>
    </row>
    <row r="12" spans="1:4" ht="20.149999999999999" customHeight="1" x14ac:dyDescent="0.3">
      <c r="A12" s="1598" t="s">
        <v>11</v>
      </c>
      <c r="B12" s="1598"/>
      <c r="C12" s="1598"/>
    </row>
    <row r="13" spans="1:4" ht="20.149999999999999" customHeight="1" x14ac:dyDescent="0.3">
      <c r="A13" s="1598" t="s">
        <v>12</v>
      </c>
      <c r="B13" s="1598"/>
      <c r="C13" s="1598"/>
    </row>
    <row r="14" spans="1:4" ht="20.149999999999999" customHeight="1" x14ac:dyDescent="0.3">
      <c r="A14" s="1598" t="s">
        <v>186</v>
      </c>
      <c r="B14" s="1598"/>
      <c r="C14" s="1598"/>
    </row>
    <row r="16" spans="1:4" ht="20.149999999999999" customHeight="1" thickBot="1" x14ac:dyDescent="0.35"/>
    <row r="17" spans="1:4" ht="20.149999999999999" customHeight="1" thickTop="1" x14ac:dyDescent="0.3">
      <c r="A17" s="1600" t="s">
        <v>187</v>
      </c>
      <c r="B17" s="1601"/>
      <c r="C17" s="1602"/>
    </row>
    <row r="18" spans="1:4" ht="20.149999999999999" customHeight="1" thickBot="1" x14ac:dyDescent="0.35">
      <c r="A18" s="9" t="s">
        <v>13</v>
      </c>
      <c r="B18" s="10" t="s">
        <v>14</v>
      </c>
      <c r="C18" s="11" t="s">
        <v>15</v>
      </c>
    </row>
    <row r="19" spans="1:4" s="15" customFormat="1" ht="20.149999999999999" customHeight="1" x14ac:dyDescent="0.3">
      <c r="A19" s="12" t="s">
        <v>16</v>
      </c>
      <c r="B19" s="13" t="s">
        <v>17</v>
      </c>
      <c r="C19" s="14" t="s">
        <v>18</v>
      </c>
    </row>
    <row r="20" spans="1:4" s="15" customFormat="1" ht="20.149999999999999" customHeight="1" x14ac:dyDescent="0.3">
      <c r="A20" s="12" t="s">
        <v>19</v>
      </c>
      <c r="B20" s="13" t="s">
        <v>20</v>
      </c>
      <c r="C20" s="14" t="s">
        <v>24</v>
      </c>
    </row>
    <row r="21" spans="1:4" s="15" customFormat="1" ht="20.149999999999999" customHeight="1" x14ac:dyDescent="0.3">
      <c r="A21" s="12" t="s">
        <v>22</v>
      </c>
      <c r="B21" s="13" t="s">
        <v>23</v>
      </c>
      <c r="C21" s="14" t="s">
        <v>21</v>
      </c>
    </row>
    <row r="22" spans="1:4" s="15" customFormat="1" ht="33.299999999999997" customHeight="1" x14ac:dyDescent="0.3">
      <c r="A22" s="12" t="s">
        <v>25</v>
      </c>
      <c r="B22" s="13" t="s">
        <v>26</v>
      </c>
      <c r="C22" s="170" t="s">
        <v>27</v>
      </c>
    </row>
    <row r="23" spans="1:4" s="15" customFormat="1" ht="20.149999999999999" customHeight="1" x14ac:dyDescent="0.3">
      <c r="A23" s="16" t="s">
        <v>28</v>
      </c>
      <c r="B23" s="17" t="s">
        <v>29</v>
      </c>
      <c r="C23" s="18" t="s">
        <v>30</v>
      </c>
    </row>
    <row r="24" spans="1:4" s="15" customFormat="1" ht="20.149999999999999" customHeight="1" x14ac:dyDescent="0.3">
      <c r="A24" s="16" t="s">
        <v>31</v>
      </c>
      <c r="B24" s="17" t="s">
        <v>32</v>
      </c>
      <c r="C24" s="18" t="s">
        <v>33</v>
      </c>
    </row>
    <row r="25" spans="1:4" s="15" customFormat="1" ht="20.149999999999999" customHeight="1" x14ac:dyDescent="0.3">
      <c r="A25" s="16" t="s">
        <v>34</v>
      </c>
      <c r="B25" s="17" t="s">
        <v>35</v>
      </c>
      <c r="C25" s="18" t="s">
        <v>36</v>
      </c>
    </row>
    <row r="26" spans="1:4" s="15" customFormat="1" ht="20.149999999999999" customHeight="1" thickBot="1" x14ac:dyDescent="0.35">
      <c r="A26" s="19" t="s">
        <v>37</v>
      </c>
      <c r="B26" s="20" t="s">
        <v>38</v>
      </c>
      <c r="C26" s="21" t="s">
        <v>39</v>
      </c>
    </row>
    <row r="27" spans="1:4" ht="20.149999999999999" customHeight="1" thickTop="1" x14ac:dyDescent="0.3">
      <c r="A27" s="1567" t="s">
        <v>188</v>
      </c>
      <c r="B27" s="1567"/>
      <c r="C27" s="1567"/>
    </row>
    <row r="28" spans="1:4" ht="20.149999999999999" customHeight="1" x14ac:dyDescent="0.3">
      <c r="A28" s="1567" t="s">
        <v>189</v>
      </c>
      <c r="B28" s="1567"/>
      <c r="C28" s="1567"/>
    </row>
    <row r="29" spans="1:4" s="8" customFormat="1" ht="20.149999999999999" customHeight="1" x14ac:dyDescent="0.3">
      <c r="A29" s="22"/>
      <c r="B29" s="22"/>
      <c r="C29" s="22"/>
    </row>
    <row r="30" spans="1:4" s="8" customFormat="1" ht="20.149999999999999" customHeight="1" thickBot="1" x14ac:dyDescent="0.35">
      <c r="A30" s="22"/>
      <c r="B30" s="22"/>
      <c r="C30" s="22"/>
    </row>
    <row r="31" spans="1:4" s="8" customFormat="1" ht="20.149999999999999" customHeight="1" thickTop="1" x14ac:dyDescent="0.3">
      <c r="A31" s="1595" t="s">
        <v>43</v>
      </c>
      <c r="B31" s="1596"/>
      <c r="C31" s="1596"/>
      <c r="D31" s="1597"/>
    </row>
    <row r="32" spans="1:4" s="8" customFormat="1" ht="20.149999999999999" customHeight="1" thickBot="1" x14ac:dyDescent="0.35">
      <c r="A32" s="180" t="s">
        <v>40</v>
      </c>
      <c r="B32" s="181" t="s">
        <v>41</v>
      </c>
      <c r="C32" s="181" t="s">
        <v>42</v>
      </c>
      <c r="D32" s="182" t="s">
        <v>15</v>
      </c>
    </row>
    <row r="33" spans="1:4" s="8" customFormat="1" ht="51.45" customHeight="1" x14ac:dyDescent="0.3">
      <c r="A33" s="177" t="s">
        <v>44</v>
      </c>
      <c r="B33" s="178" t="s">
        <v>46</v>
      </c>
      <c r="C33" s="179" t="s">
        <v>45</v>
      </c>
      <c r="D33" s="184" t="s">
        <v>190</v>
      </c>
    </row>
    <row r="34" spans="1:4" s="1458" customFormat="1" ht="36.950000000000003" customHeight="1" x14ac:dyDescent="0.3">
      <c r="A34" s="177" t="s">
        <v>329</v>
      </c>
      <c r="B34" s="178" t="s">
        <v>46</v>
      </c>
      <c r="C34" s="179" t="s">
        <v>330</v>
      </c>
      <c r="D34" s="1459" t="s">
        <v>331</v>
      </c>
    </row>
    <row r="35" spans="1:4" s="1458" customFormat="1" ht="32.1" customHeight="1" x14ac:dyDescent="0.3">
      <c r="A35" s="177" t="s">
        <v>332</v>
      </c>
      <c r="B35" s="178" t="s">
        <v>333</v>
      </c>
      <c r="C35" s="179" t="s">
        <v>334</v>
      </c>
      <c r="D35" s="1459" t="s">
        <v>335</v>
      </c>
    </row>
    <row r="36" spans="1:4" s="8" customFormat="1" ht="52.05" customHeight="1" x14ac:dyDescent="0.3">
      <c r="A36" s="171" t="s">
        <v>84</v>
      </c>
      <c r="B36" s="172" t="s">
        <v>17</v>
      </c>
      <c r="C36" s="173" t="s">
        <v>17</v>
      </c>
      <c r="D36" s="73" t="s">
        <v>191</v>
      </c>
    </row>
    <row r="37" spans="1:4" s="8" customFormat="1" ht="72" customHeight="1" x14ac:dyDescent="0.3">
      <c r="A37" s="171" t="s">
        <v>84</v>
      </c>
      <c r="B37" s="172" t="s">
        <v>87</v>
      </c>
      <c r="C37" s="173" t="s">
        <v>20</v>
      </c>
      <c r="D37" s="73" t="s">
        <v>192</v>
      </c>
    </row>
    <row r="38" spans="1:4" s="8" customFormat="1" ht="71.400000000000006" customHeight="1" x14ac:dyDescent="0.3">
      <c r="A38" s="171" t="s">
        <v>84</v>
      </c>
      <c r="B38" s="172" t="s">
        <v>85</v>
      </c>
      <c r="C38" s="173" t="s">
        <v>23</v>
      </c>
      <c r="D38" s="73" t="s">
        <v>192</v>
      </c>
    </row>
    <row r="39" spans="1:4" s="8" customFormat="1" ht="56.3" customHeight="1" x14ac:dyDescent="0.3">
      <c r="A39" s="171" t="s">
        <v>84</v>
      </c>
      <c r="B39" s="172" t="s">
        <v>26</v>
      </c>
      <c r="C39" s="173" t="s">
        <v>26</v>
      </c>
      <c r="D39" s="73" t="s">
        <v>191</v>
      </c>
    </row>
    <row r="40" spans="1:4" s="8" customFormat="1" ht="58.7" customHeight="1" x14ac:dyDescent="0.3">
      <c r="A40" s="171" t="s">
        <v>84</v>
      </c>
      <c r="B40" s="172" t="s">
        <v>88</v>
      </c>
      <c r="C40" s="173" t="s">
        <v>29</v>
      </c>
      <c r="D40" s="73" t="s">
        <v>191</v>
      </c>
    </row>
    <row r="41" spans="1:4" s="8" customFormat="1" ht="48.4" customHeight="1" x14ac:dyDescent="0.3">
      <c r="A41" s="171" t="s">
        <v>84</v>
      </c>
      <c r="B41" s="172" t="s">
        <v>89</v>
      </c>
      <c r="C41" s="173" t="s">
        <v>32</v>
      </c>
      <c r="D41" s="73" t="s">
        <v>191</v>
      </c>
    </row>
    <row r="42" spans="1:4" s="8" customFormat="1" ht="73.849999999999994" customHeight="1" x14ac:dyDescent="0.3">
      <c r="A42" s="171" t="s">
        <v>84</v>
      </c>
      <c r="B42" s="172" t="s">
        <v>90</v>
      </c>
      <c r="C42" s="173" t="s">
        <v>35</v>
      </c>
      <c r="D42" s="73" t="s">
        <v>193</v>
      </c>
    </row>
    <row r="43" spans="1:4" s="8" customFormat="1" ht="73.25" customHeight="1" thickBot="1" x14ac:dyDescent="0.35">
      <c r="A43" s="174" t="s">
        <v>84</v>
      </c>
      <c r="B43" s="175" t="s">
        <v>91</v>
      </c>
      <c r="C43" s="176" t="s">
        <v>38</v>
      </c>
      <c r="D43" s="185" t="s">
        <v>194</v>
      </c>
    </row>
    <row r="44" spans="1:4" s="8" customFormat="1" ht="20.149999999999999" customHeight="1" thickTop="1" x14ac:dyDescent="0.3">
      <c r="A44" s="47"/>
      <c r="B44" s="22"/>
      <c r="C44" s="22"/>
    </row>
    <row r="45" spans="1:4" s="76" customFormat="1" ht="20.149999999999999" customHeight="1" x14ac:dyDescent="0.3">
      <c r="A45" s="75"/>
      <c r="B45" s="75"/>
      <c r="C45" s="75"/>
    </row>
    <row r="46" spans="1:4" s="76" customFormat="1" ht="20.149999999999999" customHeight="1" x14ac:dyDescent="0.3">
      <c r="A46" s="1585" t="s">
        <v>198</v>
      </c>
      <c r="B46" s="1585"/>
      <c r="C46" s="1585"/>
      <c r="D46" s="1585"/>
    </row>
    <row r="47" spans="1:4" s="76" customFormat="1" ht="20.149999999999999" customHeight="1" x14ac:dyDescent="0.3">
      <c r="A47" s="189" t="s">
        <v>197</v>
      </c>
      <c r="B47" s="1584" t="s">
        <v>15</v>
      </c>
      <c r="C47" s="1584"/>
      <c r="D47" s="1584"/>
    </row>
    <row r="48" spans="1:4" s="76" customFormat="1" ht="20.149999999999999" customHeight="1" x14ac:dyDescent="0.3">
      <c r="A48" s="75" t="s">
        <v>199</v>
      </c>
      <c r="B48" s="1567" t="s">
        <v>201</v>
      </c>
      <c r="C48" s="1567"/>
      <c r="D48" s="1567"/>
    </row>
    <row r="49" spans="1:16384" s="279" customFormat="1" ht="53.85" customHeight="1" x14ac:dyDescent="0.3">
      <c r="A49" s="278" t="s">
        <v>212</v>
      </c>
      <c r="B49" s="1567" t="s">
        <v>281</v>
      </c>
      <c r="C49" s="1567"/>
      <c r="D49" s="1567"/>
    </row>
    <row r="50" spans="1:16384" s="1127" customFormat="1" ht="20" customHeight="1" x14ac:dyDescent="0.3">
      <c r="A50" s="1126" t="s">
        <v>293</v>
      </c>
      <c r="B50" s="1567" t="s">
        <v>292</v>
      </c>
      <c r="C50" s="1567"/>
      <c r="D50" s="1567"/>
    </row>
    <row r="51" spans="1:16384" s="1463" customFormat="1" ht="20" customHeight="1" x14ac:dyDescent="0.3">
      <c r="A51" s="1462" t="s">
        <v>488</v>
      </c>
      <c r="B51" s="1567" t="s">
        <v>489</v>
      </c>
      <c r="C51" s="1567"/>
      <c r="D51" s="1567"/>
    </row>
    <row r="52" spans="1:16384" s="1463" customFormat="1" ht="20" customHeight="1" x14ac:dyDescent="0.3">
      <c r="A52" s="1462" t="s">
        <v>483</v>
      </c>
      <c r="B52" s="1567" t="s">
        <v>484</v>
      </c>
      <c r="C52" s="1567"/>
      <c r="D52" s="1567"/>
    </row>
    <row r="53" spans="1:16384" s="807" customFormat="1" ht="20.149999999999999" customHeight="1" x14ac:dyDescent="0.3">
      <c r="A53" s="806" t="s">
        <v>279</v>
      </c>
      <c r="B53" s="1588" t="s">
        <v>280</v>
      </c>
      <c r="C53" s="1588"/>
      <c r="D53" s="1588"/>
    </row>
    <row r="54" spans="1:16384" s="859" customFormat="1" ht="20.149999999999999" customHeight="1" x14ac:dyDescent="0.3">
      <c r="A54" s="858" t="s">
        <v>283</v>
      </c>
      <c r="B54" s="1588" t="s">
        <v>284</v>
      </c>
      <c r="C54" s="1588"/>
      <c r="D54" s="1588"/>
    </row>
    <row r="55" spans="1:16384" s="1089" customFormat="1" ht="20.149999999999999" customHeight="1" x14ac:dyDescent="0.3">
      <c r="A55" s="1088" t="s">
        <v>289</v>
      </c>
      <c r="B55" s="1567" t="s">
        <v>290</v>
      </c>
      <c r="C55" s="1567"/>
      <c r="D55" s="1567"/>
      <c r="E55" s="1088" t="s">
        <v>289</v>
      </c>
      <c r="F55" s="1567" t="s">
        <v>290</v>
      </c>
      <c r="G55" s="1567"/>
      <c r="H55" s="1567"/>
      <c r="I55" s="1088" t="s">
        <v>289</v>
      </c>
      <c r="J55" s="1567" t="s">
        <v>290</v>
      </c>
      <c r="K55" s="1567"/>
      <c r="L55" s="1567"/>
      <c r="M55" s="1088" t="s">
        <v>289</v>
      </c>
      <c r="N55" s="1567" t="s">
        <v>290</v>
      </c>
      <c r="O55" s="1567"/>
      <c r="P55" s="1567"/>
      <c r="Q55" s="1088" t="s">
        <v>289</v>
      </c>
      <c r="R55" s="1567" t="s">
        <v>290</v>
      </c>
      <c r="S55" s="1567"/>
      <c r="T55" s="1567"/>
      <c r="U55" s="1088" t="s">
        <v>289</v>
      </c>
      <c r="V55" s="1567" t="s">
        <v>290</v>
      </c>
      <c r="W55" s="1567"/>
      <c r="X55" s="1567"/>
      <c r="Y55" s="1088" t="s">
        <v>289</v>
      </c>
      <c r="Z55" s="1567" t="s">
        <v>290</v>
      </c>
      <c r="AA55" s="1567"/>
      <c r="AB55" s="1567"/>
      <c r="AC55" s="1088" t="s">
        <v>289</v>
      </c>
      <c r="AD55" s="1567" t="s">
        <v>290</v>
      </c>
      <c r="AE55" s="1567"/>
      <c r="AF55" s="1567"/>
      <c r="AG55" s="1088" t="s">
        <v>289</v>
      </c>
      <c r="AH55" s="1567" t="s">
        <v>290</v>
      </c>
      <c r="AI55" s="1567"/>
      <c r="AJ55" s="1567"/>
      <c r="AK55" s="1088" t="s">
        <v>289</v>
      </c>
      <c r="AL55" s="1567" t="s">
        <v>290</v>
      </c>
      <c r="AM55" s="1567"/>
      <c r="AN55" s="1567"/>
      <c r="AO55" s="1088" t="s">
        <v>289</v>
      </c>
      <c r="AP55" s="1567" t="s">
        <v>290</v>
      </c>
      <c r="AQ55" s="1567"/>
      <c r="AR55" s="1567"/>
      <c r="AS55" s="1088" t="s">
        <v>289</v>
      </c>
      <c r="AT55" s="1567" t="s">
        <v>290</v>
      </c>
      <c r="AU55" s="1567"/>
      <c r="AV55" s="1567"/>
      <c r="AW55" s="1088" t="s">
        <v>289</v>
      </c>
      <c r="AX55" s="1567" t="s">
        <v>290</v>
      </c>
      <c r="AY55" s="1567"/>
      <c r="AZ55" s="1567"/>
      <c r="BA55" s="1088" t="s">
        <v>289</v>
      </c>
      <c r="BB55" s="1567" t="s">
        <v>290</v>
      </c>
      <c r="BC55" s="1567"/>
      <c r="BD55" s="1567"/>
      <c r="BE55" s="1088" t="s">
        <v>289</v>
      </c>
      <c r="BF55" s="1567" t="s">
        <v>290</v>
      </c>
      <c r="BG55" s="1567"/>
      <c r="BH55" s="1567"/>
      <c r="BI55" s="1088" t="s">
        <v>289</v>
      </c>
      <c r="BJ55" s="1567" t="s">
        <v>290</v>
      </c>
      <c r="BK55" s="1567"/>
      <c r="BL55" s="1567"/>
      <c r="BM55" s="1088" t="s">
        <v>289</v>
      </c>
      <c r="BN55" s="1567" t="s">
        <v>290</v>
      </c>
      <c r="BO55" s="1567"/>
      <c r="BP55" s="1567"/>
      <c r="BQ55" s="1088" t="s">
        <v>289</v>
      </c>
      <c r="BR55" s="1567" t="s">
        <v>290</v>
      </c>
      <c r="BS55" s="1567"/>
      <c r="BT55" s="1567"/>
      <c r="BU55" s="1088" t="s">
        <v>289</v>
      </c>
      <c r="BV55" s="1567" t="s">
        <v>290</v>
      </c>
      <c r="BW55" s="1567"/>
      <c r="BX55" s="1567"/>
      <c r="BY55" s="1088" t="s">
        <v>289</v>
      </c>
      <c r="BZ55" s="1567" t="s">
        <v>290</v>
      </c>
      <c r="CA55" s="1567"/>
      <c r="CB55" s="1567"/>
      <c r="CC55" s="1088" t="s">
        <v>289</v>
      </c>
      <c r="CD55" s="1567" t="s">
        <v>290</v>
      </c>
      <c r="CE55" s="1567"/>
      <c r="CF55" s="1567"/>
      <c r="CG55" s="1088" t="s">
        <v>289</v>
      </c>
      <c r="CH55" s="1567" t="s">
        <v>290</v>
      </c>
      <c r="CI55" s="1567"/>
      <c r="CJ55" s="1567"/>
      <c r="CK55" s="1088" t="s">
        <v>289</v>
      </c>
      <c r="CL55" s="1567" t="s">
        <v>290</v>
      </c>
      <c r="CM55" s="1567"/>
      <c r="CN55" s="1567"/>
      <c r="CO55" s="1088" t="s">
        <v>289</v>
      </c>
      <c r="CP55" s="1567" t="s">
        <v>290</v>
      </c>
      <c r="CQ55" s="1567"/>
      <c r="CR55" s="1567"/>
      <c r="CS55" s="1088" t="s">
        <v>289</v>
      </c>
      <c r="CT55" s="1567" t="s">
        <v>290</v>
      </c>
      <c r="CU55" s="1567"/>
      <c r="CV55" s="1567"/>
      <c r="CW55" s="1088" t="s">
        <v>289</v>
      </c>
      <c r="CX55" s="1567" t="s">
        <v>290</v>
      </c>
      <c r="CY55" s="1567"/>
      <c r="CZ55" s="1567"/>
      <c r="DA55" s="1088" t="s">
        <v>289</v>
      </c>
      <c r="DB55" s="1567" t="s">
        <v>290</v>
      </c>
      <c r="DC55" s="1567"/>
      <c r="DD55" s="1567"/>
      <c r="DE55" s="1088" t="s">
        <v>289</v>
      </c>
      <c r="DF55" s="1567" t="s">
        <v>290</v>
      </c>
      <c r="DG55" s="1567"/>
      <c r="DH55" s="1567"/>
      <c r="DI55" s="1088" t="s">
        <v>289</v>
      </c>
      <c r="DJ55" s="1567" t="s">
        <v>290</v>
      </c>
      <c r="DK55" s="1567"/>
      <c r="DL55" s="1567"/>
      <c r="DM55" s="1088" t="s">
        <v>289</v>
      </c>
      <c r="DN55" s="1567" t="s">
        <v>290</v>
      </c>
      <c r="DO55" s="1567"/>
      <c r="DP55" s="1567"/>
      <c r="DQ55" s="1088" t="s">
        <v>289</v>
      </c>
      <c r="DR55" s="1567" t="s">
        <v>290</v>
      </c>
      <c r="DS55" s="1567"/>
      <c r="DT55" s="1567"/>
      <c r="DU55" s="1088" t="s">
        <v>289</v>
      </c>
      <c r="DV55" s="1567" t="s">
        <v>290</v>
      </c>
      <c r="DW55" s="1567"/>
      <c r="DX55" s="1567"/>
      <c r="DY55" s="1088" t="s">
        <v>289</v>
      </c>
      <c r="DZ55" s="1567" t="s">
        <v>290</v>
      </c>
      <c r="EA55" s="1567"/>
      <c r="EB55" s="1567"/>
      <c r="EC55" s="1088" t="s">
        <v>289</v>
      </c>
      <c r="ED55" s="1567" t="s">
        <v>290</v>
      </c>
      <c r="EE55" s="1567"/>
      <c r="EF55" s="1567"/>
      <c r="EG55" s="1088" t="s">
        <v>289</v>
      </c>
      <c r="EH55" s="1567" t="s">
        <v>290</v>
      </c>
      <c r="EI55" s="1567"/>
      <c r="EJ55" s="1567"/>
      <c r="EK55" s="1088" t="s">
        <v>289</v>
      </c>
      <c r="EL55" s="1567" t="s">
        <v>290</v>
      </c>
      <c r="EM55" s="1567"/>
      <c r="EN55" s="1567"/>
      <c r="EO55" s="1088" t="s">
        <v>289</v>
      </c>
      <c r="EP55" s="1567" t="s">
        <v>290</v>
      </c>
      <c r="EQ55" s="1567"/>
      <c r="ER55" s="1567"/>
      <c r="ES55" s="1088" t="s">
        <v>289</v>
      </c>
      <c r="ET55" s="1567" t="s">
        <v>290</v>
      </c>
      <c r="EU55" s="1567"/>
      <c r="EV55" s="1567"/>
      <c r="EW55" s="1088" t="s">
        <v>289</v>
      </c>
      <c r="EX55" s="1567" t="s">
        <v>290</v>
      </c>
      <c r="EY55" s="1567"/>
      <c r="EZ55" s="1567"/>
      <c r="FA55" s="1088" t="s">
        <v>289</v>
      </c>
      <c r="FB55" s="1567" t="s">
        <v>290</v>
      </c>
      <c r="FC55" s="1567"/>
      <c r="FD55" s="1567"/>
      <c r="FE55" s="1088" t="s">
        <v>289</v>
      </c>
      <c r="FF55" s="1567" t="s">
        <v>290</v>
      </c>
      <c r="FG55" s="1567"/>
      <c r="FH55" s="1567"/>
      <c r="FI55" s="1088" t="s">
        <v>289</v>
      </c>
      <c r="FJ55" s="1567" t="s">
        <v>290</v>
      </c>
      <c r="FK55" s="1567"/>
      <c r="FL55" s="1567"/>
      <c r="FM55" s="1088" t="s">
        <v>289</v>
      </c>
      <c r="FN55" s="1567" t="s">
        <v>290</v>
      </c>
      <c r="FO55" s="1567"/>
      <c r="FP55" s="1567"/>
      <c r="FQ55" s="1088" t="s">
        <v>289</v>
      </c>
      <c r="FR55" s="1567" t="s">
        <v>290</v>
      </c>
      <c r="FS55" s="1567"/>
      <c r="FT55" s="1567"/>
      <c r="FU55" s="1088" t="s">
        <v>289</v>
      </c>
      <c r="FV55" s="1567" t="s">
        <v>290</v>
      </c>
      <c r="FW55" s="1567"/>
      <c r="FX55" s="1567"/>
      <c r="FY55" s="1088" t="s">
        <v>289</v>
      </c>
      <c r="FZ55" s="1567" t="s">
        <v>290</v>
      </c>
      <c r="GA55" s="1567"/>
      <c r="GB55" s="1567"/>
      <c r="GC55" s="1088" t="s">
        <v>289</v>
      </c>
      <c r="GD55" s="1567" t="s">
        <v>290</v>
      </c>
      <c r="GE55" s="1567"/>
      <c r="GF55" s="1567"/>
      <c r="GG55" s="1088" t="s">
        <v>289</v>
      </c>
      <c r="GH55" s="1567" t="s">
        <v>290</v>
      </c>
      <c r="GI55" s="1567"/>
      <c r="GJ55" s="1567"/>
      <c r="GK55" s="1088" t="s">
        <v>289</v>
      </c>
      <c r="GL55" s="1567" t="s">
        <v>290</v>
      </c>
      <c r="GM55" s="1567"/>
      <c r="GN55" s="1567"/>
      <c r="GO55" s="1088" t="s">
        <v>289</v>
      </c>
      <c r="GP55" s="1567" t="s">
        <v>290</v>
      </c>
      <c r="GQ55" s="1567"/>
      <c r="GR55" s="1567"/>
      <c r="GS55" s="1088" t="s">
        <v>289</v>
      </c>
      <c r="GT55" s="1567" t="s">
        <v>290</v>
      </c>
      <c r="GU55" s="1567"/>
      <c r="GV55" s="1567"/>
      <c r="GW55" s="1088" t="s">
        <v>289</v>
      </c>
      <c r="GX55" s="1567" t="s">
        <v>290</v>
      </c>
      <c r="GY55" s="1567"/>
      <c r="GZ55" s="1567"/>
      <c r="HA55" s="1088" t="s">
        <v>289</v>
      </c>
      <c r="HB55" s="1567" t="s">
        <v>290</v>
      </c>
      <c r="HC55" s="1567"/>
      <c r="HD55" s="1567"/>
      <c r="HE55" s="1088" t="s">
        <v>289</v>
      </c>
      <c r="HF55" s="1567" t="s">
        <v>290</v>
      </c>
      <c r="HG55" s="1567"/>
      <c r="HH55" s="1567"/>
      <c r="HI55" s="1088" t="s">
        <v>289</v>
      </c>
      <c r="HJ55" s="1567" t="s">
        <v>290</v>
      </c>
      <c r="HK55" s="1567"/>
      <c r="HL55" s="1567"/>
      <c r="HM55" s="1088" t="s">
        <v>289</v>
      </c>
      <c r="HN55" s="1567" t="s">
        <v>290</v>
      </c>
      <c r="HO55" s="1567"/>
      <c r="HP55" s="1567"/>
      <c r="HQ55" s="1088" t="s">
        <v>289</v>
      </c>
      <c r="HR55" s="1567" t="s">
        <v>290</v>
      </c>
      <c r="HS55" s="1567"/>
      <c r="HT55" s="1567"/>
      <c r="HU55" s="1088" t="s">
        <v>289</v>
      </c>
      <c r="HV55" s="1567" t="s">
        <v>290</v>
      </c>
      <c r="HW55" s="1567"/>
      <c r="HX55" s="1567"/>
      <c r="HY55" s="1088" t="s">
        <v>289</v>
      </c>
      <c r="HZ55" s="1567" t="s">
        <v>290</v>
      </c>
      <c r="IA55" s="1567"/>
      <c r="IB55" s="1567"/>
      <c r="IC55" s="1088" t="s">
        <v>289</v>
      </c>
      <c r="ID55" s="1567" t="s">
        <v>290</v>
      </c>
      <c r="IE55" s="1567"/>
      <c r="IF55" s="1567"/>
      <c r="IG55" s="1088" t="s">
        <v>289</v>
      </c>
      <c r="IH55" s="1567" t="s">
        <v>290</v>
      </c>
      <c r="II55" s="1567"/>
      <c r="IJ55" s="1567"/>
      <c r="IK55" s="1088" t="s">
        <v>289</v>
      </c>
      <c r="IL55" s="1567" t="s">
        <v>290</v>
      </c>
      <c r="IM55" s="1567"/>
      <c r="IN55" s="1567"/>
      <c r="IO55" s="1088" t="s">
        <v>289</v>
      </c>
      <c r="IP55" s="1567" t="s">
        <v>290</v>
      </c>
      <c r="IQ55" s="1567"/>
      <c r="IR55" s="1567"/>
      <c r="IS55" s="1088" t="s">
        <v>289</v>
      </c>
      <c r="IT55" s="1567" t="s">
        <v>290</v>
      </c>
      <c r="IU55" s="1567"/>
      <c r="IV55" s="1567"/>
      <c r="IW55" s="1088" t="s">
        <v>289</v>
      </c>
      <c r="IX55" s="1567" t="s">
        <v>290</v>
      </c>
      <c r="IY55" s="1567"/>
      <c r="IZ55" s="1567"/>
      <c r="JA55" s="1088" t="s">
        <v>289</v>
      </c>
      <c r="JB55" s="1567" t="s">
        <v>290</v>
      </c>
      <c r="JC55" s="1567"/>
      <c r="JD55" s="1567"/>
      <c r="JE55" s="1088" t="s">
        <v>289</v>
      </c>
      <c r="JF55" s="1567" t="s">
        <v>290</v>
      </c>
      <c r="JG55" s="1567"/>
      <c r="JH55" s="1567"/>
      <c r="JI55" s="1088" t="s">
        <v>289</v>
      </c>
      <c r="JJ55" s="1567" t="s">
        <v>290</v>
      </c>
      <c r="JK55" s="1567"/>
      <c r="JL55" s="1567"/>
      <c r="JM55" s="1088" t="s">
        <v>289</v>
      </c>
      <c r="JN55" s="1567" t="s">
        <v>290</v>
      </c>
      <c r="JO55" s="1567"/>
      <c r="JP55" s="1567"/>
      <c r="JQ55" s="1088" t="s">
        <v>289</v>
      </c>
      <c r="JR55" s="1567" t="s">
        <v>290</v>
      </c>
      <c r="JS55" s="1567"/>
      <c r="JT55" s="1567"/>
      <c r="JU55" s="1088" t="s">
        <v>289</v>
      </c>
      <c r="JV55" s="1567" t="s">
        <v>290</v>
      </c>
      <c r="JW55" s="1567"/>
      <c r="JX55" s="1567"/>
      <c r="JY55" s="1088" t="s">
        <v>289</v>
      </c>
      <c r="JZ55" s="1567" t="s">
        <v>290</v>
      </c>
      <c r="KA55" s="1567"/>
      <c r="KB55" s="1567"/>
      <c r="KC55" s="1088" t="s">
        <v>289</v>
      </c>
      <c r="KD55" s="1567" t="s">
        <v>290</v>
      </c>
      <c r="KE55" s="1567"/>
      <c r="KF55" s="1567"/>
      <c r="KG55" s="1088" t="s">
        <v>289</v>
      </c>
      <c r="KH55" s="1567" t="s">
        <v>290</v>
      </c>
      <c r="KI55" s="1567"/>
      <c r="KJ55" s="1567"/>
      <c r="KK55" s="1088" t="s">
        <v>289</v>
      </c>
      <c r="KL55" s="1567" t="s">
        <v>290</v>
      </c>
      <c r="KM55" s="1567"/>
      <c r="KN55" s="1567"/>
      <c r="KO55" s="1088" t="s">
        <v>289</v>
      </c>
      <c r="KP55" s="1567" t="s">
        <v>290</v>
      </c>
      <c r="KQ55" s="1567"/>
      <c r="KR55" s="1567"/>
      <c r="KS55" s="1088" t="s">
        <v>289</v>
      </c>
      <c r="KT55" s="1567" t="s">
        <v>290</v>
      </c>
      <c r="KU55" s="1567"/>
      <c r="KV55" s="1567"/>
      <c r="KW55" s="1088" t="s">
        <v>289</v>
      </c>
      <c r="KX55" s="1567" t="s">
        <v>290</v>
      </c>
      <c r="KY55" s="1567"/>
      <c r="KZ55" s="1567"/>
      <c r="LA55" s="1088" t="s">
        <v>289</v>
      </c>
      <c r="LB55" s="1567" t="s">
        <v>290</v>
      </c>
      <c r="LC55" s="1567"/>
      <c r="LD55" s="1567"/>
      <c r="LE55" s="1088" t="s">
        <v>289</v>
      </c>
      <c r="LF55" s="1567" t="s">
        <v>290</v>
      </c>
      <c r="LG55" s="1567"/>
      <c r="LH55" s="1567"/>
      <c r="LI55" s="1088" t="s">
        <v>289</v>
      </c>
      <c r="LJ55" s="1567" t="s">
        <v>290</v>
      </c>
      <c r="LK55" s="1567"/>
      <c r="LL55" s="1567"/>
      <c r="LM55" s="1088" t="s">
        <v>289</v>
      </c>
      <c r="LN55" s="1567" t="s">
        <v>290</v>
      </c>
      <c r="LO55" s="1567"/>
      <c r="LP55" s="1567"/>
      <c r="LQ55" s="1088" t="s">
        <v>289</v>
      </c>
      <c r="LR55" s="1567" t="s">
        <v>290</v>
      </c>
      <c r="LS55" s="1567"/>
      <c r="LT55" s="1567"/>
      <c r="LU55" s="1088" t="s">
        <v>289</v>
      </c>
      <c r="LV55" s="1567" t="s">
        <v>290</v>
      </c>
      <c r="LW55" s="1567"/>
      <c r="LX55" s="1567"/>
      <c r="LY55" s="1088" t="s">
        <v>289</v>
      </c>
      <c r="LZ55" s="1567" t="s">
        <v>290</v>
      </c>
      <c r="MA55" s="1567"/>
      <c r="MB55" s="1567"/>
      <c r="MC55" s="1088" t="s">
        <v>289</v>
      </c>
      <c r="MD55" s="1567" t="s">
        <v>290</v>
      </c>
      <c r="ME55" s="1567"/>
      <c r="MF55" s="1567"/>
      <c r="MG55" s="1088" t="s">
        <v>289</v>
      </c>
      <c r="MH55" s="1567" t="s">
        <v>290</v>
      </c>
      <c r="MI55" s="1567"/>
      <c r="MJ55" s="1567"/>
      <c r="MK55" s="1088" t="s">
        <v>289</v>
      </c>
      <c r="ML55" s="1567" t="s">
        <v>290</v>
      </c>
      <c r="MM55" s="1567"/>
      <c r="MN55" s="1567"/>
      <c r="MO55" s="1088" t="s">
        <v>289</v>
      </c>
      <c r="MP55" s="1567" t="s">
        <v>290</v>
      </c>
      <c r="MQ55" s="1567"/>
      <c r="MR55" s="1567"/>
      <c r="MS55" s="1088" t="s">
        <v>289</v>
      </c>
      <c r="MT55" s="1567" t="s">
        <v>290</v>
      </c>
      <c r="MU55" s="1567"/>
      <c r="MV55" s="1567"/>
      <c r="MW55" s="1088" t="s">
        <v>289</v>
      </c>
      <c r="MX55" s="1567" t="s">
        <v>290</v>
      </c>
      <c r="MY55" s="1567"/>
      <c r="MZ55" s="1567"/>
      <c r="NA55" s="1088" t="s">
        <v>289</v>
      </c>
      <c r="NB55" s="1567" t="s">
        <v>290</v>
      </c>
      <c r="NC55" s="1567"/>
      <c r="ND55" s="1567"/>
      <c r="NE55" s="1088" t="s">
        <v>289</v>
      </c>
      <c r="NF55" s="1567" t="s">
        <v>290</v>
      </c>
      <c r="NG55" s="1567"/>
      <c r="NH55" s="1567"/>
      <c r="NI55" s="1088" t="s">
        <v>289</v>
      </c>
      <c r="NJ55" s="1567" t="s">
        <v>290</v>
      </c>
      <c r="NK55" s="1567"/>
      <c r="NL55" s="1567"/>
      <c r="NM55" s="1088" t="s">
        <v>289</v>
      </c>
      <c r="NN55" s="1567" t="s">
        <v>290</v>
      </c>
      <c r="NO55" s="1567"/>
      <c r="NP55" s="1567"/>
      <c r="NQ55" s="1088" t="s">
        <v>289</v>
      </c>
      <c r="NR55" s="1567" t="s">
        <v>290</v>
      </c>
      <c r="NS55" s="1567"/>
      <c r="NT55" s="1567"/>
      <c r="NU55" s="1088" t="s">
        <v>289</v>
      </c>
      <c r="NV55" s="1567" t="s">
        <v>290</v>
      </c>
      <c r="NW55" s="1567"/>
      <c r="NX55" s="1567"/>
      <c r="NY55" s="1088" t="s">
        <v>289</v>
      </c>
      <c r="NZ55" s="1567" t="s">
        <v>290</v>
      </c>
      <c r="OA55" s="1567"/>
      <c r="OB55" s="1567"/>
      <c r="OC55" s="1088" t="s">
        <v>289</v>
      </c>
      <c r="OD55" s="1567" t="s">
        <v>290</v>
      </c>
      <c r="OE55" s="1567"/>
      <c r="OF55" s="1567"/>
      <c r="OG55" s="1088" t="s">
        <v>289</v>
      </c>
      <c r="OH55" s="1567" t="s">
        <v>290</v>
      </c>
      <c r="OI55" s="1567"/>
      <c r="OJ55" s="1567"/>
      <c r="OK55" s="1088" t="s">
        <v>289</v>
      </c>
      <c r="OL55" s="1567" t="s">
        <v>290</v>
      </c>
      <c r="OM55" s="1567"/>
      <c r="ON55" s="1567"/>
      <c r="OO55" s="1088" t="s">
        <v>289</v>
      </c>
      <c r="OP55" s="1567" t="s">
        <v>290</v>
      </c>
      <c r="OQ55" s="1567"/>
      <c r="OR55" s="1567"/>
      <c r="OS55" s="1088" t="s">
        <v>289</v>
      </c>
      <c r="OT55" s="1567" t="s">
        <v>290</v>
      </c>
      <c r="OU55" s="1567"/>
      <c r="OV55" s="1567"/>
      <c r="OW55" s="1088" t="s">
        <v>289</v>
      </c>
      <c r="OX55" s="1567" t="s">
        <v>290</v>
      </c>
      <c r="OY55" s="1567"/>
      <c r="OZ55" s="1567"/>
      <c r="PA55" s="1088" t="s">
        <v>289</v>
      </c>
      <c r="PB55" s="1567" t="s">
        <v>290</v>
      </c>
      <c r="PC55" s="1567"/>
      <c r="PD55" s="1567"/>
      <c r="PE55" s="1088" t="s">
        <v>289</v>
      </c>
      <c r="PF55" s="1567" t="s">
        <v>290</v>
      </c>
      <c r="PG55" s="1567"/>
      <c r="PH55" s="1567"/>
      <c r="PI55" s="1088" t="s">
        <v>289</v>
      </c>
      <c r="PJ55" s="1567" t="s">
        <v>290</v>
      </c>
      <c r="PK55" s="1567"/>
      <c r="PL55" s="1567"/>
      <c r="PM55" s="1088" t="s">
        <v>289</v>
      </c>
      <c r="PN55" s="1567" t="s">
        <v>290</v>
      </c>
      <c r="PO55" s="1567"/>
      <c r="PP55" s="1567"/>
      <c r="PQ55" s="1088" t="s">
        <v>289</v>
      </c>
      <c r="PR55" s="1567" t="s">
        <v>290</v>
      </c>
      <c r="PS55" s="1567"/>
      <c r="PT55" s="1567"/>
      <c r="PU55" s="1088" t="s">
        <v>289</v>
      </c>
      <c r="PV55" s="1567" t="s">
        <v>290</v>
      </c>
      <c r="PW55" s="1567"/>
      <c r="PX55" s="1567"/>
      <c r="PY55" s="1088" t="s">
        <v>289</v>
      </c>
      <c r="PZ55" s="1567" t="s">
        <v>290</v>
      </c>
      <c r="QA55" s="1567"/>
      <c r="QB55" s="1567"/>
      <c r="QC55" s="1088" t="s">
        <v>289</v>
      </c>
      <c r="QD55" s="1567" t="s">
        <v>290</v>
      </c>
      <c r="QE55" s="1567"/>
      <c r="QF55" s="1567"/>
      <c r="QG55" s="1088" t="s">
        <v>289</v>
      </c>
      <c r="QH55" s="1567" t="s">
        <v>290</v>
      </c>
      <c r="QI55" s="1567"/>
      <c r="QJ55" s="1567"/>
      <c r="QK55" s="1088" t="s">
        <v>289</v>
      </c>
      <c r="QL55" s="1567" t="s">
        <v>290</v>
      </c>
      <c r="QM55" s="1567"/>
      <c r="QN55" s="1567"/>
      <c r="QO55" s="1088" t="s">
        <v>289</v>
      </c>
      <c r="QP55" s="1567" t="s">
        <v>290</v>
      </c>
      <c r="QQ55" s="1567"/>
      <c r="QR55" s="1567"/>
      <c r="QS55" s="1088" t="s">
        <v>289</v>
      </c>
      <c r="QT55" s="1567" t="s">
        <v>290</v>
      </c>
      <c r="QU55" s="1567"/>
      <c r="QV55" s="1567"/>
      <c r="QW55" s="1088" t="s">
        <v>289</v>
      </c>
      <c r="QX55" s="1567" t="s">
        <v>290</v>
      </c>
      <c r="QY55" s="1567"/>
      <c r="QZ55" s="1567"/>
      <c r="RA55" s="1088" t="s">
        <v>289</v>
      </c>
      <c r="RB55" s="1567" t="s">
        <v>290</v>
      </c>
      <c r="RC55" s="1567"/>
      <c r="RD55" s="1567"/>
      <c r="RE55" s="1088" t="s">
        <v>289</v>
      </c>
      <c r="RF55" s="1567" t="s">
        <v>290</v>
      </c>
      <c r="RG55" s="1567"/>
      <c r="RH55" s="1567"/>
      <c r="RI55" s="1088" t="s">
        <v>289</v>
      </c>
      <c r="RJ55" s="1567" t="s">
        <v>290</v>
      </c>
      <c r="RK55" s="1567"/>
      <c r="RL55" s="1567"/>
      <c r="RM55" s="1088" t="s">
        <v>289</v>
      </c>
      <c r="RN55" s="1567" t="s">
        <v>290</v>
      </c>
      <c r="RO55" s="1567"/>
      <c r="RP55" s="1567"/>
      <c r="RQ55" s="1088" t="s">
        <v>289</v>
      </c>
      <c r="RR55" s="1567" t="s">
        <v>290</v>
      </c>
      <c r="RS55" s="1567"/>
      <c r="RT55" s="1567"/>
      <c r="RU55" s="1088" t="s">
        <v>289</v>
      </c>
      <c r="RV55" s="1567" t="s">
        <v>290</v>
      </c>
      <c r="RW55" s="1567"/>
      <c r="RX55" s="1567"/>
      <c r="RY55" s="1088" t="s">
        <v>289</v>
      </c>
      <c r="RZ55" s="1567" t="s">
        <v>290</v>
      </c>
      <c r="SA55" s="1567"/>
      <c r="SB55" s="1567"/>
      <c r="SC55" s="1088" t="s">
        <v>289</v>
      </c>
      <c r="SD55" s="1567" t="s">
        <v>290</v>
      </c>
      <c r="SE55" s="1567"/>
      <c r="SF55" s="1567"/>
      <c r="SG55" s="1088" t="s">
        <v>289</v>
      </c>
      <c r="SH55" s="1567" t="s">
        <v>290</v>
      </c>
      <c r="SI55" s="1567"/>
      <c r="SJ55" s="1567"/>
      <c r="SK55" s="1088" t="s">
        <v>289</v>
      </c>
      <c r="SL55" s="1567" t="s">
        <v>290</v>
      </c>
      <c r="SM55" s="1567"/>
      <c r="SN55" s="1567"/>
      <c r="SO55" s="1088" t="s">
        <v>289</v>
      </c>
      <c r="SP55" s="1567" t="s">
        <v>290</v>
      </c>
      <c r="SQ55" s="1567"/>
      <c r="SR55" s="1567"/>
      <c r="SS55" s="1088" t="s">
        <v>289</v>
      </c>
      <c r="ST55" s="1567" t="s">
        <v>290</v>
      </c>
      <c r="SU55" s="1567"/>
      <c r="SV55" s="1567"/>
      <c r="SW55" s="1088" t="s">
        <v>289</v>
      </c>
      <c r="SX55" s="1567" t="s">
        <v>290</v>
      </c>
      <c r="SY55" s="1567"/>
      <c r="SZ55" s="1567"/>
      <c r="TA55" s="1088" t="s">
        <v>289</v>
      </c>
      <c r="TB55" s="1567" t="s">
        <v>290</v>
      </c>
      <c r="TC55" s="1567"/>
      <c r="TD55" s="1567"/>
      <c r="TE55" s="1088" t="s">
        <v>289</v>
      </c>
      <c r="TF55" s="1567" t="s">
        <v>290</v>
      </c>
      <c r="TG55" s="1567"/>
      <c r="TH55" s="1567"/>
      <c r="TI55" s="1088" t="s">
        <v>289</v>
      </c>
      <c r="TJ55" s="1567" t="s">
        <v>290</v>
      </c>
      <c r="TK55" s="1567"/>
      <c r="TL55" s="1567"/>
      <c r="TM55" s="1088" t="s">
        <v>289</v>
      </c>
      <c r="TN55" s="1567" t="s">
        <v>290</v>
      </c>
      <c r="TO55" s="1567"/>
      <c r="TP55" s="1567"/>
      <c r="TQ55" s="1088" t="s">
        <v>289</v>
      </c>
      <c r="TR55" s="1567" t="s">
        <v>290</v>
      </c>
      <c r="TS55" s="1567"/>
      <c r="TT55" s="1567"/>
      <c r="TU55" s="1088" t="s">
        <v>289</v>
      </c>
      <c r="TV55" s="1567" t="s">
        <v>290</v>
      </c>
      <c r="TW55" s="1567"/>
      <c r="TX55" s="1567"/>
      <c r="TY55" s="1088" t="s">
        <v>289</v>
      </c>
      <c r="TZ55" s="1567" t="s">
        <v>290</v>
      </c>
      <c r="UA55" s="1567"/>
      <c r="UB55" s="1567"/>
      <c r="UC55" s="1088" t="s">
        <v>289</v>
      </c>
      <c r="UD55" s="1567" t="s">
        <v>290</v>
      </c>
      <c r="UE55" s="1567"/>
      <c r="UF55" s="1567"/>
      <c r="UG55" s="1088" t="s">
        <v>289</v>
      </c>
      <c r="UH55" s="1567" t="s">
        <v>290</v>
      </c>
      <c r="UI55" s="1567"/>
      <c r="UJ55" s="1567"/>
      <c r="UK55" s="1088" t="s">
        <v>289</v>
      </c>
      <c r="UL55" s="1567" t="s">
        <v>290</v>
      </c>
      <c r="UM55" s="1567"/>
      <c r="UN55" s="1567"/>
      <c r="UO55" s="1088" t="s">
        <v>289</v>
      </c>
      <c r="UP55" s="1567" t="s">
        <v>290</v>
      </c>
      <c r="UQ55" s="1567"/>
      <c r="UR55" s="1567"/>
      <c r="US55" s="1088" t="s">
        <v>289</v>
      </c>
      <c r="UT55" s="1567" t="s">
        <v>290</v>
      </c>
      <c r="UU55" s="1567"/>
      <c r="UV55" s="1567"/>
      <c r="UW55" s="1088" t="s">
        <v>289</v>
      </c>
      <c r="UX55" s="1567" t="s">
        <v>290</v>
      </c>
      <c r="UY55" s="1567"/>
      <c r="UZ55" s="1567"/>
      <c r="VA55" s="1088" t="s">
        <v>289</v>
      </c>
      <c r="VB55" s="1567" t="s">
        <v>290</v>
      </c>
      <c r="VC55" s="1567"/>
      <c r="VD55" s="1567"/>
      <c r="VE55" s="1088" t="s">
        <v>289</v>
      </c>
      <c r="VF55" s="1567" t="s">
        <v>290</v>
      </c>
      <c r="VG55" s="1567"/>
      <c r="VH55" s="1567"/>
      <c r="VI55" s="1088" t="s">
        <v>289</v>
      </c>
      <c r="VJ55" s="1567" t="s">
        <v>290</v>
      </c>
      <c r="VK55" s="1567"/>
      <c r="VL55" s="1567"/>
      <c r="VM55" s="1088" t="s">
        <v>289</v>
      </c>
      <c r="VN55" s="1567" t="s">
        <v>290</v>
      </c>
      <c r="VO55" s="1567"/>
      <c r="VP55" s="1567"/>
      <c r="VQ55" s="1088" t="s">
        <v>289</v>
      </c>
      <c r="VR55" s="1567" t="s">
        <v>290</v>
      </c>
      <c r="VS55" s="1567"/>
      <c r="VT55" s="1567"/>
      <c r="VU55" s="1088" t="s">
        <v>289</v>
      </c>
      <c r="VV55" s="1567" t="s">
        <v>290</v>
      </c>
      <c r="VW55" s="1567"/>
      <c r="VX55" s="1567"/>
      <c r="VY55" s="1088" t="s">
        <v>289</v>
      </c>
      <c r="VZ55" s="1567" t="s">
        <v>290</v>
      </c>
      <c r="WA55" s="1567"/>
      <c r="WB55" s="1567"/>
      <c r="WC55" s="1088" t="s">
        <v>289</v>
      </c>
      <c r="WD55" s="1567" t="s">
        <v>290</v>
      </c>
      <c r="WE55" s="1567"/>
      <c r="WF55" s="1567"/>
      <c r="WG55" s="1088" t="s">
        <v>289</v>
      </c>
      <c r="WH55" s="1567" t="s">
        <v>290</v>
      </c>
      <c r="WI55" s="1567"/>
      <c r="WJ55" s="1567"/>
      <c r="WK55" s="1088" t="s">
        <v>289</v>
      </c>
      <c r="WL55" s="1567" t="s">
        <v>290</v>
      </c>
      <c r="WM55" s="1567"/>
      <c r="WN55" s="1567"/>
      <c r="WO55" s="1088" t="s">
        <v>289</v>
      </c>
      <c r="WP55" s="1567" t="s">
        <v>290</v>
      </c>
      <c r="WQ55" s="1567"/>
      <c r="WR55" s="1567"/>
      <c r="WS55" s="1088" t="s">
        <v>289</v>
      </c>
      <c r="WT55" s="1567" t="s">
        <v>290</v>
      </c>
      <c r="WU55" s="1567"/>
      <c r="WV55" s="1567"/>
      <c r="WW55" s="1088" t="s">
        <v>289</v>
      </c>
      <c r="WX55" s="1567" t="s">
        <v>290</v>
      </c>
      <c r="WY55" s="1567"/>
      <c r="WZ55" s="1567"/>
      <c r="XA55" s="1088" t="s">
        <v>289</v>
      </c>
      <c r="XB55" s="1567" t="s">
        <v>290</v>
      </c>
      <c r="XC55" s="1567"/>
      <c r="XD55" s="1567"/>
      <c r="XE55" s="1088" t="s">
        <v>289</v>
      </c>
      <c r="XF55" s="1567" t="s">
        <v>290</v>
      </c>
      <c r="XG55" s="1567"/>
      <c r="XH55" s="1567"/>
      <c r="XI55" s="1088" t="s">
        <v>289</v>
      </c>
      <c r="XJ55" s="1567" t="s">
        <v>290</v>
      </c>
      <c r="XK55" s="1567"/>
      <c r="XL55" s="1567"/>
      <c r="XM55" s="1088" t="s">
        <v>289</v>
      </c>
      <c r="XN55" s="1567" t="s">
        <v>290</v>
      </c>
      <c r="XO55" s="1567"/>
      <c r="XP55" s="1567"/>
      <c r="XQ55" s="1088" t="s">
        <v>289</v>
      </c>
      <c r="XR55" s="1567" t="s">
        <v>290</v>
      </c>
      <c r="XS55" s="1567"/>
      <c r="XT55" s="1567"/>
      <c r="XU55" s="1088" t="s">
        <v>289</v>
      </c>
      <c r="XV55" s="1567" t="s">
        <v>290</v>
      </c>
      <c r="XW55" s="1567"/>
      <c r="XX55" s="1567"/>
      <c r="XY55" s="1088" t="s">
        <v>289</v>
      </c>
      <c r="XZ55" s="1567" t="s">
        <v>290</v>
      </c>
      <c r="YA55" s="1567"/>
      <c r="YB55" s="1567"/>
      <c r="YC55" s="1088" t="s">
        <v>289</v>
      </c>
      <c r="YD55" s="1567" t="s">
        <v>290</v>
      </c>
      <c r="YE55" s="1567"/>
      <c r="YF55" s="1567"/>
      <c r="YG55" s="1088" t="s">
        <v>289</v>
      </c>
      <c r="YH55" s="1567" t="s">
        <v>290</v>
      </c>
      <c r="YI55" s="1567"/>
      <c r="YJ55" s="1567"/>
      <c r="YK55" s="1088" t="s">
        <v>289</v>
      </c>
      <c r="YL55" s="1567" t="s">
        <v>290</v>
      </c>
      <c r="YM55" s="1567"/>
      <c r="YN55" s="1567"/>
      <c r="YO55" s="1088" t="s">
        <v>289</v>
      </c>
      <c r="YP55" s="1567" t="s">
        <v>290</v>
      </c>
      <c r="YQ55" s="1567"/>
      <c r="YR55" s="1567"/>
      <c r="YS55" s="1088" t="s">
        <v>289</v>
      </c>
      <c r="YT55" s="1567" t="s">
        <v>290</v>
      </c>
      <c r="YU55" s="1567"/>
      <c r="YV55" s="1567"/>
      <c r="YW55" s="1088" t="s">
        <v>289</v>
      </c>
      <c r="YX55" s="1567" t="s">
        <v>290</v>
      </c>
      <c r="YY55" s="1567"/>
      <c r="YZ55" s="1567"/>
      <c r="ZA55" s="1088" t="s">
        <v>289</v>
      </c>
      <c r="ZB55" s="1567" t="s">
        <v>290</v>
      </c>
      <c r="ZC55" s="1567"/>
      <c r="ZD55" s="1567"/>
      <c r="ZE55" s="1088" t="s">
        <v>289</v>
      </c>
      <c r="ZF55" s="1567" t="s">
        <v>290</v>
      </c>
      <c r="ZG55" s="1567"/>
      <c r="ZH55" s="1567"/>
      <c r="ZI55" s="1088" t="s">
        <v>289</v>
      </c>
      <c r="ZJ55" s="1567" t="s">
        <v>290</v>
      </c>
      <c r="ZK55" s="1567"/>
      <c r="ZL55" s="1567"/>
      <c r="ZM55" s="1088" t="s">
        <v>289</v>
      </c>
      <c r="ZN55" s="1567" t="s">
        <v>290</v>
      </c>
      <c r="ZO55" s="1567"/>
      <c r="ZP55" s="1567"/>
      <c r="ZQ55" s="1088" t="s">
        <v>289</v>
      </c>
      <c r="ZR55" s="1567" t="s">
        <v>290</v>
      </c>
      <c r="ZS55" s="1567"/>
      <c r="ZT55" s="1567"/>
      <c r="ZU55" s="1088" t="s">
        <v>289</v>
      </c>
      <c r="ZV55" s="1567" t="s">
        <v>290</v>
      </c>
      <c r="ZW55" s="1567"/>
      <c r="ZX55" s="1567"/>
      <c r="ZY55" s="1088" t="s">
        <v>289</v>
      </c>
      <c r="ZZ55" s="1567" t="s">
        <v>290</v>
      </c>
      <c r="AAA55" s="1567"/>
      <c r="AAB55" s="1567"/>
      <c r="AAC55" s="1088" t="s">
        <v>289</v>
      </c>
      <c r="AAD55" s="1567" t="s">
        <v>290</v>
      </c>
      <c r="AAE55" s="1567"/>
      <c r="AAF55" s="1567"/>
      <c r="AAG55" s="1088" t="s">
        <v>289</v>
      </c>
      <c r="AAH55" s="1567" t="s">
        <v>290</v>
      </c>
      <c r="AAI55" s="1567"/>
      <c r="AAJ55" s="1567"/>
      <c r="AAK55" s="1088" t="s">
        <v>289</v>
      </c>
      <c r="AAL55" s="1567" t="s">
        <v>290</v>
      </c>
      <c r="AAM55" s="1567"/>
      <c r="AAN55" s="1567"/>
      <c r="AAO55" s="1088" t="s">
        <v>289</v>
      </c>
      <c r="AAP55" s="1567" t="s">
        <v>290</v>
      </c>
      <c r="AAQ55" s="1567"/>
      <c r="AAR55" s="1567"/>
      <c r="AAS55" s="1088" t="s">
        <v>289</v>
      </c>
      <c r="AAT55" s="1567" t="s">
        <v>290</v>
      </c>
      <c r="AAU55" s="1567"/>
      <c r="AAV55" s="1567"/>
      <c r="AAW55" s="1088" t="s">
        <v>289</v>
      </c>
      <c r="AAX55" s="1567" t="s">
        <v>290</v>
      </c>
      <c r="AAY55" s="1567"/>
      <c r="AAZ55" s="1567"/>
      <c r="ABA55" s="1088" t="s">
        <v>289</v>
      </c>
      <c r="ABB55" s="1567" t="s">
        <v>290</v>
      </c>
      <c r="ABC55" s="1567"/>
      <c r="ABD55" s="1567"/>
      <c r="ABE55" s="1088" t="s">
        <v>289</v>
      </c>
      <c r="ABF55" s="1567" t="s">
        <v>290</v>
      </c>
      <c r="ABG55" s="1567"/>
      <c r="ABH55" s="1567"/>
      <c r="ABI55" s="1088" t="s">
        <v>289</v>
      </c>
      <c r="ABJ55" s="1567" t="s">
        <v>290</v>
      </c>
      <c r="ABK55" s="1567"/>
      <c r="ABL55" s="1567"/>
      <c r="ABM55" s="1088" t="s">
        <v>289</v>
      </c>
      <c r="ABN55" s="1567" t="s">
        <v>290</v>
      </c>
      <c r="ABO55" s="1567"/>
      <c r="ABP55" s="1567"/>
      <c r="ABQ55" s="1088" t="s">
        <v>289</v>
      </c>
      <c r="ABR55" s="1567" t="s">
        <v>290</v>
      </c>
      <c r="ABS55" s="1567"/>
      <c r="ABT55" s="1567"/>
      <c r="ABU55" s="1088" t="s">
        <v>289</v>
      </c>
      <c r="ABV55" s="1567" t="s">
        <v>290</v>
      </c>
      <c r="ABW55" s="1567"/>
      <c r="ABX55" s="1567"/>
      <c r="ABY55" s="1088" t="s">
        <v>289</v>
      </c>
      <c r="ABZ55" s="1567" t="s">
        <v>290</v>
      </c>
      <c r="ACA55" s="1567"/>
      <c r="ACB55" s="1567"/>
      <c r="ACC55" s="1088" t="s">
        <v>289</v>
      </c>
      <c r="ACD55" s="1567" t="s">
        <v>290</v>
      </c>
      <c r="ACE55" s="1567"/>
      <c r="ACF55" s="1567"/>
      <c r="ACG55" s="1088" t="s">
        <v>289</v>
      </c>
      <c r="ACH55" s="1567" t="s">
        <v>290</v>
      </c>
      <c r="ACI55" s="1567"/>
      <c r="ACJ55" s="1567"/>
      <c r="ACK55" s="1088" t="s">
        <v>289</v>
      </c>
      <c r="ACL55" s="1567" t="s">
        <v>290</v>
      </c>
      <c r="ACM55" s="1567"/>
      <c r="ACN55" s="1567"/>
      <c r="ACO55" s="1088" t="s">
        <v>289</v>
      </c>
      <c r="ACP55" s="1567" t="s">
        <v>290</v>
      </c>
      <c r="ACQ55" s="1567"/>
      <c r="ACR55" s="1567"/>
      <c r="ACS55" s="1088" t="s">
        <v>289</v>
      </c>
      <c r="ACT55" s="1567" t="s">
        <v>290</v>
      </c>
      <c r="ACU55" s="1567"/>
      <c r="ACV55" s="1567"/>
      <c r="ACW55" s="1088" t="s">
        <v>289</v>
      </c>
      <c r="ACX55" s="1567" t="s">
        <v>290</v>
      </c>
      <c r="ACY55" s="1567"/>
      <c r="ACZ55" s="1567"/>
      <c r="ADA55" s="1088" t="s">
        <v>289</v>
      </c>
      <c r="ADB55" s="1567" t="s">
        <v>290</v>
      </c>
      <c r="ADC55" s="1567"/>
      <c r="ADD55" s="1567"/>
      <c r="ADE55" s="1088" t="s">
        <v>289</v>
      </c>
      <c r="ADF55" s="1567" t="s">
        <v>290</v>
      </c>
      <c r="ADG55" s="1567"/>
      <c r="ADH55" s="1567"/>
      <c r="ADI55" s="1088" t="s">
        <v>289</v>
      </c>
      <c r="ADJ55" s="1567" t="s">
        <v>290</v>
      </c>
      <c r="ADK55" s="1567"/>
      <c r="ADL55" s="1567"/>
      <c r="ADM55" s="1088" t="s">
        <v>289</v>
      </c>
      <c r="ADN55" s="1567" t="s">
        <v>290</v>
      </c>
      <c r="ADO55" s="1567"/>
      <c r="ADP55" s="1567"/>
      <c r="ADQ55" s="1088" t="s">
        <v>289</v>
      </c>
      <c r="ADR55" s="1567" t="s">
        <v>290</v>
      </c>
      <c r="ADS55" s="1567"/>
      <c r="ADT55" s="1567"/>
      <c r="ADU55" s="1088" t="s">
        <v>289</v>
      </c>
      <c r="ADV55" s="1567" t="s">
        <v>290</v>
      </c>
      <c r="ADW55" s="1567"/>
      <c r="ADX55" s="1567"/>
      <c r="ADY55" s="1088" t="s">
        <v>289</v>
      </c>
      <c r="ADZ55" s="1567" t="s">
        <v>290</v>
      </c>
      <c r="AEA55" s="1567"/>
      <c r="AEB55" s="1567"/>
      <c r="AEC55" s="1088" t="s">
        <v>289</v>
      </c>
      <c r="AED55" s="1567" t="s">
        <v>290</v>
      </c>
      <c r="AEE55" s="1567"/>
      <c r="AEF55" s="1567"/>
      <c r="AEG55" s="1088" t="s">
        <v>289</v>
      </c>
      <c r="AEH55" s="1567" t="s">
        <v>290</v>
      </c>
      <c r="AEI55" s="1567"/>
      <c r="AEJ55" s="1567"/>
      <c r="AEK55" s="1088" t="s">
        <v>289</v>
      </c>
      <c r="AEL55" s="1567" t="s">
        <v>290</v>
      </c>
      <c r="AEM55" s="1567"/>
      <c r="AEN55" s="1567"/>
      <c r="AEO55" s="1088" t="s">
        <v>289</v>
      </c>
      <c r="AEP55" s="1567" t="s">
        <v>290</v>
      </c>
      <c r="AEQ55" s="1567"/>
      <c r="AER55" s="1567"/>
      <c r="AES55" s="1088" t="s">
        <v>289</v>
      </c>
      <c r="AET55" s="1567" t="s">
        <v>290</v>
      </c>
      <c r="AEU55" s="1567"/>
      <c r="AEV55" s="1567"/>
      <c r="AEW55" s="1088" t="s">
        <v>289</v>
      </c>
      <c r="AEX55" s="1567" t="s">
        <v>290</v>
      </c>
      <c r="AEY55" s="1567"/>
      <c r="AEZ55" s="1567"/>
      <c r="AFA55" s="1088" t="s">
        <v>289</v>
      </c>
      <c r="AFB55" s="1567" t="s">
        <v>290</v>
      </c>
      <c r="AFC55" s="1567"/>
      <c r="AFD55" s="1567"/>
      <c r="AFE55" s="1088" t="s">
        <v>289</v>
      </c>
      <c r="AFF55" s="1567" t="s">
        <v>290</v>
      </c>
      <c r="AFG55" s="1567"/>
      <c r="AFH55" s="1567"/>
      <c r="AFI55" s="1088" t="s">
        <v>289</v>
      </c>
      <c r="AFJ55" s="1567" t="s">
        <v>290</v>
      </c>
      <c r="AFK55" s="1567"/>
      <c r="AFL55" s="1567"/>
      <c r="AFM55" s="1088" t="s">
        <v>289</v>
      </c>
      <c r="AFN55" s="1567" t="s">
        <v>290</v>
      </c>
      <c r="AFO55" s="1567"/>
      <c r="AFP55" s="1567"/>
      <c r="AFQ55" s="1088" t="s">
        <v>289</v>
      </c>
      <c r="AFR55" s="1567" t="s">
        <v>290</v>
      </c>
      <c r="AFS55" s="1567"/>
      <c r="AFT55" s="1567"/>
      <c r="AFU55" s="1088" t="s">
        <v>289</v>
      </c>
      <c r="AFV55" s="1567" t="s">
        <v>290</v>
      </c>
      <c r="AFW55" s="1567"/>
      <c r="AFX55" s="1567"/>
      <c r="AFY55" s="1088" t="s">
        <v>289</v>
      </c>
      <c r="AFZ55" s="1567" t="s">
        <v>290</v>
      </c>
      <c r="AGA55" s="1567"/>
      <c r="AGB55" s="1567"/>
      <c r="AGC55" s="1088" t="s">
        <v>289</v>
      </c>
      <c r="AGD55" s="1567" t="s">
        <v>290</v>
      </c>
      <c r="AGE55" s="1567"/>
      <c r="AGF55" s="1567"/>
      <c r="AGG55" s="1088" t="s">
        <v>289</v>
      </c>
      <c r="AGH55" s="1567" t="s">
        <v>290</v>
      </c>
      <c r="AGI55" s="1567"/>
      <c r="AGJ55" s="1567"/>
      <c r="AGK55" s="1088" t="s">
        <v>289</v>
      </c>
      <c r="AGL55" s="1567" t="s">
        <v>290</v>
      </c>
      <c r="AGM55" s="1567"/>
      <c r="AGN55" s="1567"/>
      <c r="AGO55" s="1088" t="s">
        <v>289</v>
      </c>
      <c r="AGP55" s="1567" t="s">
        <v>290</v>
      </c>
      <c r="AGQ55" s="1567"/>
      <c r="AGR55" s="1567"/>
      <c r="AGS55" s="1088" t="s">
        <v>289</v>
      </c>
      <c r="AGT55" s="1567" t="s">
        <v>290</v>
      </c>
      <c r="AGU55" s="1567"/>
      <c r="AGV55" s="1567"/>
      <c r="AGW55" s="1088" t="s">
        <v>289</v>
      </c>
      <c r="AGX55" s="1567" t="s">
        <v>290</v>
      </c>
      <c r="AGY55" s="1567"/>
      <c r="AGZ55" s="1567"/>
      <c r="AHA55" s="1088" t="s">
        <v>289</v>
      </c>
      <c r="AHB55" s="1567" t="s">
        <v>290</v>
      </c>
      <c r="AHC55" s="1567"/>
      <c r="AHD55" s="1567"/>
      <c r="AHE55" s="1088" t="s">
        <v>289</v>
      </c>
      <c r="AHF55" s="1567" t="s">
        <v>290</v>
      </c>
      <c r="AHG55" s="1567"/>
      <c r="AHH55" s="1567"/>
      <c r="AHI55" s="1088" t="s">
        <v>289</v>
      </c>
      <c r="AHJ55" s="1567" t="s">
        <v>290</v>
      </c>
      <c r="AHK55" s="1567"/>
      <c r="AHL55" s="1567"/>
      <c r="AHM55" s="1088" t="s">
        <v>289</v>
      </c>
      <c r="AHN55" s="1567" t="s">
        <v>290</v>
      </c>
      <c r="AHO55" s="1567"/>
      <c r="AHP55" s="1567"/>
      <c r="AHQ55" s="1088" t="s">
        <v>289</v>
      </c>
      <c r="AHR55" s="1567" t="s">
        <v>290</v>
      </c>
      <c r="AHS55" s="1567"/>
      <c r="AHT55" s="1567"/>
      <c r="AHU55" s="1088" t="s">
        <v>289</v>
      </c>
      <c r="AHV55" s="1567" t="s">
        <v>290</v>
      </c>
      <c r="AHW55" s="1567"/>
      <c r="AHX55" s="1567"/>
      <c r="AHY55" s="1088" t="s">
        <v>289</v>
      </c>
      <c r="AHZ55" s="1567" t="s">
        <v>290</v>
      </c>
      <c r="AIA55" s="1567"/>
      <c r="AIB55" s="1567"/>
      <c r="AIC55" s="1088" t="s">
        <v>289</v>
      </c>
      <c r="AID55" s="1567" t="s">
        <v>290</v>
      </c>
      <c r="AIE55" s="1567"/>
      <c r="AIF55" s="1567"/>
      <c r="AIG55" s="1088" t="s">
        <v>289</v>
      </c>
      <c r="AIH55" s="1567" t="s">
        <v>290</v>
      </c>
      <c r="AII55" s="1567"/>
      <c r="AIJ55" s="1567"/>
      <c r="AIK55" s="1088" t="s">
        <v>289</v>
      </c>
      <c r="AIL55" s="1567" t="s">
        <v>290</v>
      </c>
      <c r="AIM55" s="1567"/>
      <c r="AIN55" s="1567"/>
      <c r="AIO55" s="1088" t="s">
        <v>289</v>
      </c>
      <c r="AIP55" s="1567" t="s">
        <v>290</v>
      </c>
      <c r="AIQ55" s="1567"/>
      <c r="AIR55" s="1567"/>
      <c r="AIS55" s="1088" t="s">
        <v>289</v>
      </c>
      <c r="AIT55" s="1567" t="s">
        <v>290</v>
      </c>
      <c r="AIU55" s="1567"/>
      <c r="AIV55" s="1567"/>
      <c r="AIW55" s="1088" t="s">
        <v>289</v>
      </c>
      <c r="AIX55" s="1567" t="s">
        <v>290</v>
      </c>
      <c r="AIY55" s="1567"/>
      <c r="AIZ55" s="1567"/>
      <c r="AJA55" s="1088" t="s">
        <v>289</v>
      </c>
      <c r="AJB55" s="1567" t="s">
        <v>290</v>
      </c>
      <c r="AJC55" s="1567"/>
      <c r="AJD55" s="1567"/>
      <c r="AJE55" s="1088" t="s">
        <v>289</v>
      </c>
      <c r="AJF55" s="1567" t="s">
        <v>290</v>
      </c>
      <c r="AJG55" s="1567"/>
      <c r="AJH55" s="1567"/>
      <c r="AJI55" s="1088" t="s">
        <v>289</v>
      </c>
      <c r="AJJ55" s="1567" t="s">
        <v>290</v>
      </c>
      <c r="AJK55" s="1567"/>
      <c r="AJL55" s="1567"/>
      <c r="AJM55" s="1088" t="s">
        <v>289</v>
      </c>
      <c r="AJN55" s="1567" t="s">
        <v>290</v>
      </c>
      <c r="AJO55" s="1567"/>
      <c r="AJP55" s="1567"/>
      <c r="AJQ55" s="1088" t="s">
        <v>289</v>
      </c>
      <c r="AJR55" s="1567" t="s">
        <v>290</v>
      </c>
      <c r="AJS55" s="1567"/>
      <c r="AJT55" s="1567"/>
      <c r="AJU55" s="1088" t="s">
        <v>289</v>
      </c>
      <c r="AJV55" s="1567" t="s">
        <v>290</v>
      </c>
      <c r="AJW55" s="1567"/>
      <c r="AJX55" s="1567"/>
      <c r="AJY55" s="1088" t="s">
        <v>289</v>
      </c>
      <c r="AJZ55" s="1567" t="s">
        <v>290</v>
      </c>
      <c r="AKA55" s="1567"/>
      <c r="AKB55" s="1567"/>
      <c r="AKC55" s="1088" t="s">
        <v>289</v>
      </c>
      <c r="AKD55" s="1567" t="s">
        <v>290</v>
      </c>
      <c r="AKE55" s="1567"/>
      <c r="AKF55" s="1567"/>
      <c r="AKG55" s="1088" t="s">
        <v>289</v>
      </c>
      <c r="AKH55" s="1567" t="s">
        <v>290</v>
      </c>
      <c r="AKI55" s="1567"/>
      <c r="AKJ55" s="1567"/>
      <c r="AKK55" s="1088" t="s">
        <v>289</v>
      </c>
      <c r="AKL55" s="1567" t="s">
        <v>290</v>
      </c>
      <c r="AKM55" s="1567"/>
      <c r="AKN55" s="1567"/>
      <c r="AKO55" s="1088" t="s">
        <v>289</v>
      </c>
      <c r="AKP55" s="1567" t="s">
        <v>290</v>
      </c>
      <c r="AKQ55" s="1567"/>
      <c r="AKR55" s="1567"/>
      <c r="AKS55" s="1088" t="s">
        <v>289</v>
      </c>
      <c r="AKT55" s="1567" t="s">
        <v>290</v>
      </c>
      <c r="AKU55" s="1567"/>
      <c r="AKV55" s="1567"/>
      <c r="AKW55" s="1088" t="s">
        <v>289</v>
      </c>
      <c r="AKX55" s="1567" t="s">
        <v>290</v>
      </c>
      <c r="AKY55" s="1567"/>
      <c r="AKZ55" s="1567"/>
      <c r="ALA55" s="1088" t="s">
        <v>289</v>
      </c>
      <c r="ALB55" s="1567" t="s">
        <v>290</v>
      </c>
      <c r="ALC55" s="1567"/>
      <c r="ALD55" s="1567"/>
      <c r="ALE55" s="1088" t="s">
        <v>289</v>
      </c>
      <c r="ALF55" s="1567" t="s">
        <v>290</v>
      </c>
      <c r="ALG55" s="1567"/>
      <c r="ALH55" s="1567"/>
      <c r="ALI55" s="1088" t="s">
        <v>289</v>
      </c>
      <c r="ALJ55" s="1567" t="s">
        <v>290</v>
      </c>
      <c r="ALK55" s="1567"/>
      <c r="ALL55" s="1567"/>
      <c r="ALM55" s="1088" t="s">
        <v>289</v>
      </c>
      <c r="ALN55" s="1567" t="s">
        <v>290</v>
      </c>
      <c r="ALO55" s="1567"/>
      <c r="ALP55" s="1567"/>
      <c r="ALQ55" s="1088" t="s">
        <v>289</v>
      </c>
      <c r="ALR55" s="1567" t="s">
        <v>290</v>
      </c>
      <c r="ALS55" s="1567"/>
      <c r="ALT55" s="1567"/>
      <c r="ALU55" s="1088" t="s">
        <v>289</v>
      </c>
      <c r="ALV55" s="1567" t="s">
        <v>290</v>
      </c>
      <c r="ALW55" s="1567"/>
      <c r="ALX55" s="1567"/>
      <c r="ALY55" s="1088" t="s">
        <v>289</v>
      </c>
      <c r="ALZ55" s="1567" t="s">
        <v>290</v>
      </c>
      <c r="AMA55" s="1567"/>
      <c r="AMB55" s="1567"/>
      <c r="AMC55" s="1088" t="s">
        <v>289</v>
      </c>
      <c r="AMD55" s="1567" t="s">
        <v>290</v>
      </c>
      <c r="AME55" s="1567"/>
      <c r="AMF55" s="1567"/>
      <c r="AMG55" s="1088" t="s">
        <v>289</v>
      </c>
      <c r="AMH55" s="1567" t="s">
        <v>290</v>
      </c>
      <c r="AMI55" s="1567"/>
      <c r="AMJ55" s="1567"/>
      <c r="AMK55" s="1088" t="s">
        <v>289</v>
      </c>
      <c r="AML55" s="1567" t="s">
        <v>290</v>
      </c>
      <c r="AMM55" s="1567"/>
      <c r="AMN55" s="1567"/>
      <c r="AMO55" s="1088" t="s">
        <v>289</v>
      </c>
      <c r="AMP55" s="1567" t="s">
        <v>290</v>
      </c>
      <c r="AMQ55" s="1567"/>
      <c r="AMR55" s="1567"/>
      <c r="AMS55" s="1088" t="s">
        <v>289</v>
      </c>
      <c r="AMT55" s="1567" t="s">
        <v>290</v>
      </c>
      <c r="AMU55" s="1567"/>
      <c r="AMV55" s="1567"/>
      <c r="AMW55" s="1088" t="s">
        <v>289</v>
      </c>
      <c r="AMX55" s="1567" t="s">
        <v>290</v>
      </c>
      <c r="AMY55" s="1567"/>
      <c r="AMZ55" s="1567"/>
      <c r="ANA55" s="1088" t="s">
        <v>289</v>
      </c>
      <c r="ANB55" s="1567" t="s">
        <v>290</v>
      </c>
      <c r="ANC55" s="1567"/>
      <c r="AND55" s="1567"/>
      <c r="ANE55" s="1088" t="s">
        <v>289</v>
      </c>
      <c r="ANF55" s="1567" t="s">
        <v>290</v>
      </c>
      <c r="ANG55" s="1567"/>
      <c r="ANH55" s="1567"/>
      <c r="ANI55" s="1088" t="s">
        <v>289</v>
      </c>
      <c r="ANJ55" s="1567" t="s">
        <v>290</v>
      </c>
      <c r="ANK55" s="1567"/>
      <c r="ANL55" s="1567"/>
      <c r="ANM55" s="1088" t="s">
        <v>289</v>
      </c>
      <c r="ANN55" s="1567" t="s">
        <v>290</v>
      </c>
      <c r="ANO55" s="1567"/>
      <c r="ANP55" s="1567"/>
      <c r="ANQ55" s="1088" t="s">
        <v>289</v>
      </c>
      <c r="ANR55" s="1567" t="s">
        <v>290</v>
      </c>
      <c r="ANS55" s="1567"/>
      <c r="ANT55" s="1567"/>
      <c r="ANU55" s="1088" t="s">
        <v>289</v>
      </c>
      <c r="ANV55" s="1567" t="s">
        <v>290</v>
      </c>
      <c r="ANW55" s="1567"/>
      <c r="ANX55" s="1567"/>
      <c r="ANY55" s="1088" t="s">
        <v>289</v>
      </c>
      <c r="ANZ55" s="1567" t="s">
        <v>290</v>
      </c>
      <c r="AOA55" s="1567"/>
      <c r="AOB55" s="1567"/>
      <c r="AOC55" s="1088" t="s">
        <v>289</v>
      </c>
      <c r="AOD55" s="1567" t="s">
        <v>290</v>
      </c>
      <c r="AOE55" s="1567"/>
      <c r="AOF55" s="1567"/>
      <c r="AOG55" s="1088" t="s">
        <v>289</v>
      </c>
      <c r="AOH55" s="1567" t="s">
        <v>290</v>
      </c>
      <c r="AOI55" s="1567"/>
      <c r="AOJ55" s="1567"/>
      <c r="AOK55" s="1088" t="s">
        <v>289</v>
      </c>
      <c r="AOL55" s="1567" t="s">
        <v>290</v>
      </c>
      <c r="AOM55" s="1567"/>
      <c r="AON55" s="1567"/>
      <c r="AOO55" s="1088" t="s">
        <v>289</v>
      </c>
      <c r="AOP55" s="1567" t="s">
        <v>290</v>
      </c>
      <c r="AOQ55" s="1567"/>
      <c r="AOR55" s="1567"/>
      <c r="AOS55" s="1088" t="s">
        <v>289</v>
      </c>
      <c r="AOT55" s="1567" t="s">
        <v>290</v>
      </c>
      <c r="AOU55" s="1567"/>
      <c r="AOV55" s="1567"/>
      <c r="AOW55" s="1088" t="s">
        <v>289</v>
      </c>
      <c r="AOX55" s="1567" t="s">
        <v>290</v>
      </c>
      <c r="AOY55" s="1567"/>
      <c r="AOZ55" s="1567"/>
      <c r="APA55" s="1088" t="s">
        <v>289</v>
      </c>
      <c r="APB55" s="1567" t="s">
        <v>290</v>
      </c>
      <c r="APC55" s="1567"/>
      <c r="APD55" s="1567"/>
      <c r="APE55" s="1088" t="s">
        <v>289</v>
      </c>
      <c r="APF55" s="1567" t="s">
        <v>290</v>
      </c>
      <c r="APG55" s="1567"/>
      <c r="APH55" s="1567"/>
      <c r="API55" s="1088" t="s">
        <v>289</v>
      </c>
      <c r="APJ55" s="1567" t="s">
        <v>290</v>
      </c>
      <c r="APK55" s="1567"/>
      <c r="APL55" s="1567"/>
      <c r="APM55" s="1088" t="s">
        <v>289</v>
      </c>
      <c r="APN55" s="1567" t="s">
        <v>290</v>
      </c>
      <c r="APO55" s="1567"/>
      <c r="APP55" s="1567"/>
      <c r="APQ55" s="1088" t="s">
        <v>289</v>
      </c>
      <c r="APR55" s="1567" t="s">
        <v>290</v>
      </c>
      <c r="APS55" s="1567"/>
      <c r="APT55" s="1567"/>
      <c r="APU55" s="1088" t="s">
        <v>289</v>
      </c>
      <c r="APV55" s="1567" t="s">
        <v>290</v>
      </c>
      <c r="APW55" s="1567"/>
      <c r="APX55" s="1567"/>
      <c r="APY55" s="1088" t="s">
        <v>289</v>
      </c>
      <c r="APZ55" s="1567" t="s">
        <v>290</v>
      </c>
      <c r="AQA55" s="1567"/>
      <c r="AQB55" s="1567"/>
      <c r="AQC55" s="1088" t="s">
        <v>289</v>
      </c>
      <c r="AQD55" s="1567" t="s">
        <v>290</v>
      </c>
      <c r="AQE55" s="1567"/>
      <c r="AQF55" s="1567"/>
      <c r="AQG55" s="1088" t="s">
        <v>289</v>
      </c>
      <c r="AQH55" s="1567" t="s">
        <v>290</v>
      </c>
      <c r="AQI55" s="1567"/>
      <c r="AQJ55" s="1567"/>
      <c r="AQK55" s="1088" t="s">
        <v>289</v>
      </c>
      <c r="AQL55" s="1567" t="s">
        <v>290</v>
      </c>
      <c r="AQM55" s="1567"/>
      <c r="AQN55" s="1567"/>
      <c r="AQO55" s="1088" t="s">
        <v>289</v>
      </c>
      <c r="AQP55" s="1567" t="s">
        <v>290</v>
      </c>
      <c r="AQQ55" s="1567"/>
      <c r="AQR55" s="1567"/>
      <c r="AQS55" s="1088" t="s">
        <v>289</v>
      </c>
      <c r="AQT55" s="1567" t="s">
        <v>290</v>
      </c>
      <c r="AQU55" s="1567"/>
      <c r="AQV55" s="1567"/>
      <c r="AQW55" s="1088" t="s">
        <v>289</v>
      </c>
      <c r="AQX55" s="1567" t="s">
        <v>290</v>
      </c>
      <c r="AQY55" s="1567"/>
      <c r="AQZ55" s="1567"/>
      <c r="ARA55" s="1088" t="s">
        <v>289</v>
      </c>
      <c r="ARB55" s="1567" t="s">
        <v>290</v>
      </c>
      <c r="ARC55" s="1567"/>
      <c r="ARD55" s="1567"/>
      <c r="ARE55" s="1088" t="s">
        <v>289</v>
      </c>
      <c r="ARF55" s="1567" t="s">
        <v>290</v>
      </c>
      <c r="ARG55" s="1567"/>
      <c r="ARH55" s="1567"/>
      <c r="ARI55" s="1088" t="s">
        <v>289</v>
      </c>
      <c r="ARJ55" s="1567" t="s">
        <v>290</v>
      </c>
      <c r="ARK55" s="1567"/>
      <c r="ARL55" s="1567"/>
      <c r="ARM55" s="1088" t="s">
        <v>289</v>
      </c>
      <c r="ARN55" s="1567" t="s">
        <v>290</v>
      </c>
      <c r="ARO55" s="1567"/>
      <c r="ARP55" s="1567"/>
      <c r="ARQ55" s="1088" t="s">
        <v>289</v>
      </c>
      <c r="ARR55" s="1567" t="s">
        <v>290</v>
      </c>
      <c r="ARS55" s="1567"/>
      <c r="ART55" s="1567"/>
      <c r="ARU55" s="1088" t="s">
        <v>289</v>
      </c>
      <c r="ARV55" s="1567" t="s">
        <v>290</v>
      </c>
      <c r="ARW55" s="1567"/>
      <c r="ARX55" s="1567"/>
      <c r="ARY55" s="1088" t="s">
        <v>289</v>
      </c>
      <c r="ARZ55" s="1567" t="s">
        <v>290</v>
      </c>
      <c r="ASA55" s="1567"/>
      <c r="ASB55" s="1567"/>
      <c r="ASC55" s="1088" t="s">
        <v>289</v>
      </c>
      <c r="ASD55" s="1567" t="s">
        <v>290</v>
      </c>
      <c r="ASE55" s="1567"/>
      <c r="ASF55" s="1567"/>
      <c r="ASG55" s="1088" t="s">
        <v>289</v>
      </c>
      <c r="ASH55" s="1567" t="s">
        <v>290</v>
      </c>
      <c r="ASI55" s="1567"/>
      <c r="ASJ55" s="1567"/>
      <c r="ASK55" s="1088" t="s">
        <v>289</v>
      </c>
      <c r="ASL55" s="1567" t="s">
        <v>290</v>
      </c>
      <c r="ASM55" s="1567"/>
      <c r="ASN55" s="1567"/>
      <c r="ASO55" s="1088" t="s">
        <v>289</v>
      </c>
      <c r="ASP55" s="1567" t="s">
        <v>290</v>
      </c>
      <c r="ASQ55" s="1567"/>
      <c r="ASR55" s="1567"/>
      <c r="ASS55" s="1088" t="s">
        <v>289</v>
      </c>
      <c r="AST55" s="1567" t="s">
        <v>290</v>
      </c>
      <c r="ASU55" s="1567"/>
      <c r="ASV55" s="1567"/>
      <c r="ASW55" s="1088" t="s">
        <v>289</v>
      </c>
      <c r="ASX55" s="1567" t="s">
        <v>290</v>
      </c>
      <c r="ASY55" s="1567"/>
      <c r="ASZ55" s="1567"/>
      <c r="ATA55" s="1088" t="s">
        <v>289</v>
      </c>
      <c r="ATB55" s="1567" t="s">
        <v>290</v>
      </c>
      <c r="ATC55" s="1567"/>
      <c r="ATD55" s="1567"/>
      <c r="ATE55" s="1088" t="s">
        <v>289</v>
      </c>
      <c r="ATF55" s="1567" t="s">
        <v>290</v>
      </c>
      <c r="ATG55" s="1567"/>
      <c r="ATH55" s="1567"/>
      <c r="ATI55" s="1088" t="s">
        <v>289</v>
      </c>
      <c r="ATJ55" s="1567" t="s">
        <v>290</v>
      </c>
      <c r="ATK55" s="1567"/>
      <c r="ATL55" s="1567"/>
      <c r="ATM55" s="1088" t="s">
        <v>289</v>
      </c>
      <c r="ATN55" s="1567" t="s">
        <v>290</v>
      </c>
      <c r="ATO55" s="1567"/>
      <c r="ATP55" s="1567"/>
      <c r="ATQ55" s="1088" t="s">
        <v>289</v>
      </c>
      <c r="ATR55" s="1567" t="s">
        <v>290</v>
      </c>
      <c r="ATS55" s="1567"/>
      <c r="ATT55" s="1567"/>
      <c r="ATU55" s="1088" t="s">
        <v>289</v>
      </c>
      <c r="ATV55" s="1567" t="s">
        <v>290</v>
      </c>
      <c r="ATW55" s="1567"/>
      <c r="ATX55" s="1567"/>
      <c r="ATY55" s="1088" t="s">
        <v>289</v>
      </c>
      <c r="ATZ55" s="1567" t="s">
        <v>290</v>
      </c>
      <c r="AUA55" s="1567"/>
      <c r="AUB55" s="1567"/>
      <c r="AUC55" s="1088" t="s">
        <v>289</v>
      </c>
      <c r="AUD55" s="1567" t="s">
        <v>290</v>
      </c>
      <c r="AUE55" s="1567"/>
      <c r="AUF55" s="1567"/>
      <c r="AUG55" s="1088" t="s">
        <v>289</v>
      </c>
      <c r="AUH55" s="1567" t="s">
        <v>290</v>
      </c>
      <c r="AUI55" s="1567"/>
      <c r="AUJ55" s="1567"/>
      <c r="AUK55" s="1088" t="s">
        <v>289</v>
      </c>
      <c r="AUL55" s="1567" t="s">
        <v>290</v>
      </c>
      <c r="AUM55" s="1567"/>
      <c r="AUN55" s="1567"/>
      <c r="AUO55" s="1088" t="s">
        <v>289</v>
      </c>
      <c r="AUP55" s="1567" t="s">
        <v>290</v>
      </c>
      <c r="AUQ55" s="1567"/>
      <c r="AUR55" s="1567"/>
      <c r="AUS55" s="1088" t="s">
        <v>289</v>
      </c>
      <c r="AUT55" s="1567" t="s">
        <v>290</v>
      </c>
      <c r="AUU55" s="1567"/>
      <c r="AUV55" s="1567"/>
      <c r="AUW55" s="1088" t="s">
        <v>289</v>
      </c>
      <c r="AUX55" s="1567" t="s">
        <v>290</v>
      </c>
      <c r="AUY55" s="1567"/>
      <c r="AUZ55" s="1567"/>
      <c r="AVA55" s="1088" t="s">
        <v>289</v>
      </c>
      <c r="AVB55" s="1567" t="s">
        <v>290</v>
      </c>
      <c r="AVC55" s="1567"/>
      <c r="AVD55" s="1567"/>
      <c r="AVE55" s="1088" t="s">
        <v>289</v>
      </c>
      <c r="AVF55" s="1567" t="s">
        <v>290</v>
      </c>
      <c r="AVG55" s="1567"/>
      <c r="AVH55" s="1567"/>
      <c r="AVI55" s="1088" t="s">
        <v>289</v>
      </c>
      <c r="AVJ55" s="1567" t="s">
        <v>290</v>
      </c>
      <c r="AVK55" s="1567"/>
      <c r="AVL55" s="1567"/>
      <c r="AVM55" s="1088" t="s">
        <v>289</v>
      </c>
      <c r="AVN55" s="1567" t="s">
        <v>290</v>
      </c>
      <c r="AVO55" s="1567"/>
      <c r="AVP55" s="1567"/>
      <c r="AVQ55" s="1088" t="s">
        <v>289</v>
      </c>
      <c r="AVR55" s="1567" t="s">
        <v>290</v>
      </c>
      <c r="AVS55" s="1567"/>
      <c r="AVT55" s="1567"/>
      <c r="AVU55" s="1088" t="s">
        <v>289</v>
      </c>
      <c r="AVV55" s="1567" t="s">
        <v>290</v>
      </c>
      <c r="AVW55" s="1567"/>
      <c r="AVX55" s="1567"/>
      <c r="AVY55" s="1088" t="s">
        <v>289</v>
      </c>
      <c r="AVZ55" s="1567" t="s">
        <v>290</v>
      </c>
      <c r="AWA55" s="1567"/>
      <c r="AWB55" s="1567"/>
      <c r="AWC55" s="1088" t="s">
        <v>289</v>
      </c>
      <c r="AWD55" s="1567" t="s">
        <v>290</v>
      </c>
      <c r="AWE55" s="1567"/>
      <c r="AWF55" s="1567"/>
      <c r="AWG55" s="1088" t="s">
        <v>289</v>
      </c>
      <c r="AWH55" s="1567" t="s">
        <v>290</v>
      </c>
      <c r="AWI55" s="1567"/>
      <c r="AWJ55" s="1567"/>
      <c r="AWK55" s="1088" t="s">
        <v>289</v>
      </c>
      <c r="AWL55" s="1567" t="s">
        <v>290</v>
      </c>
      <c r="AWM55" s="1567"/>
      <c r="AWN55" s="1567"/>
      <c r="AWO55" s="1088" t="s">
        <v>289</v>
      </c>
      <c r="AWP55" s="1567" t="s">
        <v>290</v>
      </c>
      <c r="AWQ55" s="1567"/>
      <c r="AWR55" s="1567"/>
      <c r="AWS55" s="1088" t="s">
        <v>289</v>
      </c>
      <c r="AWT55" s="1567" t="s">
        <v>290</v>
      </c>
      <c r="AWU55" s="1567"/>
      <c r="AWV55" s="1567"/>
      <c r="AWW55" s="1088" t="s">
        <v>289</v>
      </c>
      <c r="AWX55" s="1567" t="s">
        <v>290</v>
      </c>
      <c r="AWY55" s="1567"/>
      <c r="AWZ55" s="1567"/>
      <c r="AXA55" s="1088" t="s">
        <v>289</v>
      </c>
      <c r="AXB55" s="1567" t="s">
        <v>290</v>
      </c>
      <c r="AXC55" s="1567"/>
      <c r="AXD55" s="1567"/>
      <c r="AXE55" s="1088" t="s">
        <v>289</v>
      </c>
      <c r="AXF55" s="1567" t="s">
        <v>290</v>
      </c>
      <c r="AXG55" s="1567"/>
      <c r="AXH55" s="1567"/>
      <c r="AXI55" s="1088" t="s">
        <v>289</v>
      </c>
      <c r="AXJ55" s="1567" t="s">
        <v>290</v>
      </c>
      <c r="AXK55" s="1567"/>
      <c r="AXL55" s="1567"/>
      <c r="AXM55" s="1088" t="s">
        <v>289</v>
      </c>
      <c r="AXN55" s="1567" t="s">
        <v>290</v>
      </c>
      <c r="AXO55" s="1567"/>
      <c r="AXP55" s="1567"/>
      <c r="AXQ55" s="1088" t="s">
        <v>289</v>
      </c>
      <c r="AXR55" s="1567" t="s">
        <v>290</v>
      </c>
      <c r="AXS55" s="1567"/>
      <c r="AXT55" s="1567"/>
      <c r="AXU55" s="1088" t="s">
        <v>289</v>
      </c>
      <c r="AXV55" s="1567" t="s">
        <v>290</v>
      </c>
      <c r="AXW55" s="1567"/>
      <c r="AXX55" s="1567"/>
      <c r="AXY55" s="1088" t="s">
        <v>289</v>
      </c>
      <c r="AXZ55" s="1567" t="s">
        <v>290</v>
      </c>
      <c r="AYA55" s="1567"/>
      <c r="AYB55" s="1567"/>
      <c r="AYC55" s="1088" t="s">
        <v>289</v>
      </c>
      <c r="AYD55" s="1567" t="s">
        <v>290</v>
      </c>
      <c r="AYE55" s="1567"/>
      <c r="AYF55" s="1567"/>
      <c r="AYG55" s="1088" t="s">
        <v>289</v>
      </c>
      <c r="AYH55" s="1567" t="s">
        <v>290</v>
      </c>
      <c r="AYI55" s="1567"/>
      <c r="AYJ55" s="1567"/>
      <c r="AYK55" s="1088" t="s">
        <v>289</v>
      </c>
      <c r="AYL55" s="1567" t="s">
        <v>290</v>
      </c>
      <c r="AYM55" s="1567"/>
      <c r="AYN55" s="1567"/>
      <c r="AYO55" s="1088" t="s">
        <v>289</v>
      </c>
      <c r="AYP55" s="1567" t="s">
        <v>290</v>
      </c>
      <c r="AYQ55" s="1567"/>
      <c r="AYR55" s="1567"/>
      <c r="AYS55" s="1088" t="s">
        <v>289</v>
      </c>
      <c r="AYT55" s="1567" t="s">
        <v>290</v>
      </c>
      <c r="AYU55" s="1567"/>
      <c r="AYV55" s="1567"/>
      <c r="AYW55" s="1088" t="s">
        <v>289</v>
      </c>
      <c r="AYX55" s="1567" t="s">
        <v>290</v>
      </c>
      <c r="AYY55" s="1567"/>
      <c r="AYZ55" s="1567"/>
      <c r="AZA55" s="1088" t="s">
        <v>289</v>
      </c>
      <c r="AZB55" s="1567" t="s">
        <v>290</v>
      </c>
      <c r="AZC55" s="1567"/>
      <c r="AZD55" s="1567"/>
      <c r="AZE55" s="1088" t="s">
        <v>289</v>
      </c>
      <c r="AZF55" s="1567" t="s">
        <v>290</v>
      </c>
      <c r="AZG55" s="1567"/>
      <c r="AZH55" s="1567"/>
      <c r="AZI55" s="1088" t="s">
        <v>289</v>
      </c>
      <c r="AZJ55" s="1567" t="s">
        <v>290</v>
      </c>
      <c r="AZK55" s="1567"/>
      <c r="AZL55" s="1567"/>
      <c r="AZM55" s="1088" t="s">
        <v>289</v>
      </c>
      <c r="AZN55" s="1567" t="s">
        <v>290</v>
      </c>
      <c r="AZO55" s="1567"/>
      <c r="AZP55" s="1567"/>
      <c r="AZQ55" s="1088" t="s">
        <v>289</v>
      </c>
      <c r="AZR55" s="1567" t="s">
        <v>290</v>
      </c>
      <c r="AZS55" s="1567"/>
      <c r="AZT55" s="1567"/>
      <c r="AZU55" s="1088" t="s">
        <v>289</v>
      </c>
      <c r="AZV55" s="1567" t="s">
        <v>290</v>
      </c>
      <c r="AZW55" s="1567"/>
      <c r="AZX55" s="1567"/>
      <c r="AZY55" s="1088" t="s">
        <v>289</v>
      </c>
      <c r="AZZ55" s="1567" t="s">
        <v>290</v>
      </c>
      <c r="BAA55" s="1567"/>
      <c r="BAB55" s="1567"/>
      <c r="BAC55" s="1088" t="s">
        <v>289</v>
      </c>
      <c r="BAD55" s="1567" t="s">
        <v>290</v>
      </c>
      <c r="BAE55" s="1567"/>
      <c r="BAF55" s="1567"/>
      <c r="BAG55" s="1088" t="s">
        <v>289</v>
      </c>
      <c r="BAH55" s="1567" t="s">
        <v>290</v>
      </c>
      <c r="BAI55" s="1567"/>
      <c r="BAJ55" s="1567"/>
      <c r="BAK55" s="1088" t="s">
        <v>289</v>
      </c>
      <c r="BAL55" s="1567" t="s">
        <v>290</v>
      </c>
      <c r="BAM55" s="1567"/>
      <c r="BAN55" s="1567"/>
      <c r="BAO55" s="1088" t="s">
        <v>289</v>
      </c>
      <c r="BAP55" s="1567" t="s">
        <v>290</v>
      </c>
      <c r="BAQ55" s="1567"/>
      <c r="BAR55" s="1567"/>
      <c r="BAS55" s="1088" t="s">
        <v>289</v>
      </c>
      <c r="BAT55" s="1567" t="s">
        <v>290</v>
      </c>
      <c r="BAU55" s="1567"/>
      <c r="BAV55" s="1567"/>
      <c r="BAW55" s="1088" t="s">
        <v>289</v>
      </c>
      <c r="BAX55" s="1567" t="s">
        <v>290</v>
      </c>
      <c r="BAY55" s="1567"/>
      <c r="BAZ55" s="1567"/>
      <c r="BBA55" s="1088" t="s">
        <v>289</v>
      </c>
      <c r="BBB55" s="1567" t="s">
        <v>290</v>
      </c>
      <c r="BBC55" s="1567"/>
      <c r="BBD55" s="1567"/>
      <c r="BBE55" s="1088" t="s">
        <v>289</v>
      </c>
      <c r="BBF55" s="1567" t="s">
        <v>290</v>
      </c>
      <c r="BBG55" s="1567"/>
      <c r="BBH55" s="1567"/>
      <c r="BBI55" s="1088" t="s">
        <v>289</v>
      </c>
      <c r="BBJ55" s="1567" t="s">
        <v>290</v>
      </c>
      <c r="BBK55" s="1567"/>
      <c r="BBL55" s="1567"/>
      <c r="BBM55" s="1088" t="s">
        <v>289</v>
      </c>
      <c r="BBN55" s="1567" t="s">
        <v>290</v>
      </c>
      <c r="BBO55" s="1567"/>
      <c r="BBP55" s="1567"/>
      <c r="BBQ55" s="1088" t="s">
        <v>289</v>
      </c>
      <c r="BBR55" s="1567" t="s">
        <v>290</v>
      </c>
      <c r="BBS55" s="1567"/>
      <c r="BBT55" s="1567"/>
      <c r="BBU55" s="1088" t="s">
        <v>289</v>
      </c>
      <c r="BBV55" s="1567" t="s">
        <v>290</v>
      </c>
      <c r="BBW55" s="1567"/>
      <c r="BBX55" s="1567"/>
      <c r="BBY55" s="1088" t="s">
        <v>289</v>
      </c>
      <c r="BBZ55" s="1567" t="s">
        <v>290</v>
      </c>
      <c r="BCA55" s="1567"/>
      <c r="BCB55" s="1567"/>
      <c r="BCC55" s="1088" t="s">
        <v>289</v>
      </c>
      <c r="BCD55" s="1567" t="s">
        <v>290</v>
      </c>
      <c r="BCE55" s="1567"/>
      <c r="BCF55" s="1567"/>
      <c r="BCG55" s="1088" t="s">
        <v>289</v>
      </c>
      <c r="BCH55" s="1567" t="s">
        <v>290</v>
      </c>
      <c r="BCI55" s="1567"/>
      <c r="BCJ55" s="1567"/>
      <c r="BCK55" s="1088" t="s">
        <v>289</v>
      </c>
      <c r="BCL55" s="1567" t="s">
        <v>290</v>
      </c>
      <c r="BCM55" s="1567"/>
      <c r="BCN55" s="1567"/>
      <c r="BCO55" s="1088" t="s">
        <v>289</v>
      </c>
      <c r="BCP55" s="1567" t="s">
        <v>290</v>
      </c>
      <c r="BCQ55" s="1567"/>
      <c r="BCR55" s="1567"/>
      <c r="BCS55" s="1088" t="s">
        <v>289</v>
      </c>
      <c r="BCT55" s="1567" t="s">
        <v>290</v>
      </c>
      <c r="BCU55" s="1567"/>
      <c r="BCV55" s="1567"/>
      <c r="BCW55" s="1088" t="s">
        <v>289</v>
      </c>
      <c r="BCX55" s="1567" t="s">
        <v>290</v>
      </c>
      <c r="BCY55" s="1567"/>
      <c r="BCZ55" s="1567"/>
      <c r="BDA55" s="1088" t="s">
        <v>289</v>
      </c>
      <c r="BDB55" s="1567" t="s">
        <v>290</v>
      </c>
      <c r="BDC55" s="1567"/>
      <c r="BDD55" s="1567"/>
      <c r="BDE55" s="1088" t="s">
        <v>289</v>
      </c>
      <c r="BDF55" s="1567" t="s">
        <v>290</v>
      </c>
      <c r="BDG55" s="1567"/>
      <c r="BDH55" s="1567"/>
      <c r="BDI55" s="1088" t="s">
        <v>289</v>
      </c>
      <c r="BDJ55" s="1567" t="s">
        <v>290</v>
      </c>
      <c r="BDK55" s="1567"/>
      <c r="BDL55" s="1567"/>
      <c r="BDM55" s="1088" t="s">
        <v>289</v>
      </c>
      <c r="BDN55" s="1567" t="s">
        <v>290</v>
      </c>
      <c r="BDO55" s="1567"/>
      <c r="BDP55" s="1567"/>
      <c r="BDQ55" s="1088" t="s">
        <v>289</v>
      </c>
      <c r="BDR55" s="1567" t="s">
        <v>290</v>
      </c>
      <c r="BDS55" s="1567"/>
      <c r="BDT55" s="1567"/>
      <c r="BDU55" s="1088" t="s">
        <v>289</v>
      </c>
      <c r="BDV55" s="1567" t="s">
        <v>290</v>
      </c>
      <c r="BDW55" s="1567"/>
      <c r="BDX55" s="1567"/>
      <c r="BDY55" s="1088" t="s">
        <v>289</v>
      </c>
      <c r="BDZ55" s="1567" t="s">
        <v>290</v>
      </c>
      <c r="BEA55" s="1567"/>
      <c r="BEB55" s="1567"/>
      <c r="BEC55" s="1088" t="s">
        <v>289</v>
      </c>
      <c r="BED55" s="1567" t="s">
        <v>290</v>
      </c>
      <c r="BEE55" s="1567"/>
      <c r="BEF55" s="1567"/>
      <c r="BEG55" s="1088" t="s">
        <v>289</v>
      </c>
      <c r="BEH55" s="1567" t="s">
        <v>290</v>
      </c>
      <c r="BEI55" s="1567"/>
      <c r="BEJ55" s="1567"/>
      <c r="BEK55" s="1088" t="s">
        <v>289</v>
      </c>
      <c r="BEL55" s="1567" t="s">
        <v>290</v>
      </c>
      <c r="BEM55" s="1567"/>
      <c r="BEN55" s="1567"/>
      <c r="BEO55" s="1088" t="s">
        <v>289</v>
      </c>
      <c r="BEP55" s="1567" t="s">
        <v>290</v>
      </c>
      <c r="BEQ55" s="1567"/>
      <c r="BER55" s="1567"/>
      <c r="BES55" s="1088" t="s">
        <v>289</v>
      </c>
      <c r="BET55" s="1567" t="s">
        <v>290</v>
      </c>
      <c r="BEU55" s="1567"/>
      <c r="BEV55" s="1567"/>
      <c r="BEW55" s="1088" t="s">
        <v>289</v>
      </c>
      <c r="BEX55" s="1567" t="s">
        <v>290</v>
      </c>
      <c r="BEY55" s="1567"/>
      <c r="BEZ55" s="1567"/>
      <c r="BFA55" s="1088" t="s">
        <v>289</v>
      </c>
      <c r="BFB55" s="1567" t="s">
        <v>290</v>
      </c>
      <c r="BFC55" s="1567"/>
      <c r="BFD55" s="1567"/>
      <c r="BFE55" s="1088" t="s">
        <v>289</v>
      </c>
      <c r="BFF55" s="1567" t="s">
        <v>290</v>
      </c>
      <c r="BFG55" s="1567"/>
      <c r="BFH55" s="1567"/>
      <c r="BFI55" s="1088" t="s">
        <v>289</v>
      </c>
      <c r="BFJ55" s="1567" t="s">
        <v>290</v>
      </c>
      <c r="BFK55" s="1567"/>
      <c r="BFL55" s="1567"/>
      <c r="BFM55" s="1088" t="s">
        <v>289</v>
      </c>
      <c r="BFN55" s="1567" t="s">
        <v>290</v>
      </c>
      <c r="BFO55" s="1567"/>
      <c r="BFP55" s="1567"/>
      <c r="BFQ55" s="1088" t="s">
        <v>289</v>
      </c>
      <c r="BFR55" s="1567" t="s">
        <v>290</v>
      </c>
      <c r="BFS55" s="1567"/>
      <c r="BFT55" s="1567"/>
      <c r="BFU55" s="1088" t="s">
        <v>289</v>
      </c>
      <c r="BFV55" s="1567" t="s">
        <v>290</v>
      </c>
      <c r="BFW55" s="1567"/>
      <c r="BFX55" s="1567"/>
      <c r="BFY55" s="1088" t="s">
        <v>289</v>
      </c>
      <c r="BFZ55" s="1567" t="s">
        <v>290</v>
      </c>
      <c r="BGA55" s="1567"/>
      <c r="BGB55" s="1567"/>
      <c r="BGC55" s="1088" t="s">
        <v>289</v>
      </c>
      <c r="BGD55" s="1567" t="s">
        <v>290</v>
      </c>
      <c r="BGE55" s="1567"/>
      <c r="BGF55" s="1567"/>
      <c r="BGG55" s="1088" t="s">
        <v>289</v>
      </c>
      <c r="BGH55" s="1567" t="s">
        <v>290</v>
      </c>
      <c r="BGI55" s="1567"/>
      <c r="BGJ55" s="1567"/>
      <c r="BGK55" s="1088" t="s">
        <v>289</v>
      </c>
      <c r="BGL55" s="1567" t="s">
        <v>290</v>
      </c>
      <c r="BGM55" s="1567"/>
      <c r="BGN55" s="1567"/>
      <c r="BGO55" s="1088" t="s">
        <v>289</v>
      </c>
      <c r="BGP55" s="1567" t="s">
        <v>290</v>
      </c>
      <c r="BGQ55" s="1567"/>
      <c r="BGR55" s="1567"/>
      <c r="BGS55" s="1088" t="s">
        <v>289</v>
      </c>
      <c r="BGT55" s="1567" t="s">
        <v>290</v>
      </c>
      <c r="BGU55" s="1567"/>
      <c r="BGV55" s="1567"/>
      <c r="BGW55" s="1088" t="s">
        <v>289</v>
      </c>
      <c r="BGX55" s="1567" t="s">
        <v>290</v>
      </c>
      <c r="BGY55" s="1567"/>
      <c r="BGZ55" s="1567"/>
      <c r="BHA55" s="1088" t="s">
        <v>289</v>
      </c>
      <c r="BHB55" s="1567" t="s">
        <v>290</v>
      </c>
      <c r="BHC55" s="1567"/>
      <c r="BHD55" s="1567"/>
      <c r="BHE55" s="1088" t="s">
        <v>289</v>
      </c>
      <c r="BHF55" s="1567" t="s">
        <v>290</v>
      </c>
      <c r="BHG55" s="1567"/>
      <c r="BHH55" s="1567"/>
      <c r="BHI55" s="1088" t="s">
        <v>289</v>
      </c>
      <c r="BHJ55" s="1567" t="s">
        <v>290</v>
      </c>
      <c r="BHK55" s="1567"/>
      <c r="BHL55" s="1567"/>
      <c r="BHM55" s="1088" t="s">
        <v>289</v>
      </c>
      <c r="BHN55" s="1567" t="s">
        <v>290</v>
      </c>
      <c r="BHO55" s="1567"/>
      <c r="BHP55" s="1567"/>
      <c r="BHQ55" s="1088" t="s">
        <v>289</v>
      </c>
      <c r="BHR55" s="1567" t="s">
        <v>290</v>
      </c>
      <c r="BHS55" s="1567"/>
      <c r="BHT55" s="1567"/>
      <c r="BHU55" s="1088" t="s">
        <v>289</v>
      </c>
      <c r="BHV55" s="1567" t="s">
        <v>290</v>
      </c>
      <c r="BHW55" s="1567"/>
      <c r="BHX55" s="1567"/>
      <c r="BHY55" s="1088" t="s">
        <v>289</v>
      </c>
      <c r="BHZ55" s="1567" t="s">
        <v>290</v>
      </c>
      <c r="BIA55" s="1567"/>
      <c r="BIB55" s="1567"/>
      <c r="BIC55" s="1088" t="s">
        <v>289</v>
      </c>
      <c r="BID55" s="1567" t="s">
        <v>290</v>
      </c>
      <c r="BIE55" s="1567"/>
      <c r="BIF55" s="1567"/>
      <c r="BIG55" s="1088" t="s">
        <v>289</v>
      </c>
      <c r="BIH55" s="1567" t="s">
        <v>290</v>
      </c>
      <c r="BII55" s="1567"/>
      <c r="BIJ55" s="1567"/>
      <c r="BIK55" s="1088" t="s">
        <v>289</v>
      </c>
      <c r="BIL55" s="1567" t="s">
        <v>290</v>
      </c>
      <c r="BIM55" s="1567"/>
      <c r="BIN55" s="1567"/>
      <c r="BIO55" s="1088" t="s">
        <v>289</v>
      </c>
      <c r="BIP55" s="1567" t="s">
        <v>290</v>
      </c>
      <c r="BIQ55" s="1567"/>
      <c r="BIR55" s="1567"/>
      <c r="BIS55" s="1088" t="s">
        <v>289</v>
      </c>
      <c r="BIT55" s="1567" t="s">
        <v>290</v>
      </c>
      <c r="BIU55" s="1567"/>
      <c r="BIV55" s="1567"/>
      <c r="BIW55" s="1088" t="s">
        <v>289</v>
      </c>
      <c r="BIX55" s="1567" t="s">
        <v>290</v>
      </c>
      <c r="BIY55" s="1567"/>
      <c r="BIZ55" s="1567"/>
      <c r="BJA55" s="1088" t="s">
        <v>289</v>
      </c>
      <c r="BJB55" s="1567" t="s">
        <v>290</v>
      </c>
      <c r="BJC55" s="1567"/>
      <c r="BJD55" s="1567"/>
      <c r="BJE55" s="1088" t="s">
        <v>289</v>
      </c>
      <c r="BJF55" s="1567" t="s">
        <v>290</v>
      </c>
      <c r="BJG55" s="1567"/>
      <c r="BJH55" s="1567"/>
      <c r="BJI55" s="1088" t="s">
        <v>289</v>
      </c>
      <c r="BJJ55" s="1567" t="s">
        <v>290</v>
      </c>
      <c r="BJK55" s="1567"/>
      <c r="BJL55" s="1567"/>
      <c r="BJM55" s="1088" t="s">
        <v>289</v>
      </c>
      <c r="BJN55" s="1567" t="s">
        <v>290</v>
      </c>
      <c r="BJO55" s="1567"/>
      <c r="BJP55" s="1567"/>
      <c r="BJQ55" s="1088" t="s">
        <v>289</v>
      </c>
      <c r="BJR55" s="1567" t="s">
        <v>290</v>
      </c>
      <c r="BJS55" s="1567"/>
      <c r="BJT55" s="1567"/>
      <c r="BJU55" s="1088" t="s">
        <v>289</v>
      </c>
      <c r="BJV55" s="1567" t="s">
        <v>290</v>
      </c>
      <c r="BJW55" s="1567"/>
      <c r="BJX55" s="1567"/>
      <c r="BJY55" s="1088" t="s">
        <v>289</v>
      </c>
      <c r="BJZ55" s="1567" t="s">
        <v>290</v>
      </c>
      <c r="BKA55" s="1567"/>
      <c r="BKB55" s="1567"/>
      <c r="BKC55" s="1088" t="s">
        <v>289</v>
      </c>
      <c r="BKD55" s="1567" t="s">
        <v>290</v>
      </c>
      <c r="BKE55" s="1567"/>
      <c r="BKF55" s="1567"/>
      <c r="BKG55" s="1088" t="s">
        <v>289</v>
      </c>
      <c r="BKH55" s="1567" t="s">
        <v>290</v>
      </c>
      <c r="BKI55" s="1567"/>
      <c r="BKJ55" s="1567"/>
      <c r="BKK55" s="1088" t="s">
        <v>289</v>
      </c>
      <c r="BKL55" s="1567" t="s">
        <v>290</v>
      </c>
      <c r="BKM55" s="1567"/>
      <c r="BKN55" s="1567"/>
      <c r="BKO55" s="1088" t="s">
        <v>289</v>
      </c>
      <c r="BKP55" s="1567" t="s">
        <v>290</v>
      </c>
      <c r="BKQ55" s="1567"/>
      <c r="BKR55" s="1567"/>
      <c r="BKS55" s="1088" t="s">
        <v>289</v>
      </c>
      <c r="BKT55" s="1567" t="s">
        <v>290</v>
      </c>
      <c r="BKU55" s="1567"/>
      <c r="BKV55" s="1567"/>
      <c r="BKW55" s="1088" t="s">
        <v>289</v>
      </c>
      <c r="BKX55" s="1567" t="s">
        <v>290</v>
      </c>
      <c r="BKY55" s="1567"/>
      <c r="BKZ55" s="1567"/>
      <c r="BLA55" s="1088" t="s">
        <v>289</v>
      </c>
      <c r="BLB55" s="1567" t="s">
        <v>290</v>
      </c>
      <c r="BLC55" s="1567"/>
      <c r="BLD55" s="1567"/>
      <c r="BLE55" s="1088" t="s">
        <v>289</v>
      </c>
      <c r="BLF55" s="1567" t="s">
        <v>290</v>
      </c>
      <c r="BLG55" s="1567"/>
      <c r="BLH55" s="1567"/>
      <c r="BLI55" s="1088" t="s">
        <v>289</v>
      </c>
      <c r="BLJ55" s="1567" t="s">
        <v>290</v>
      </c>
      <c r="BLK55" s="1567"/>
      <c r="BLL55" s="1567"/>
      <c r="BLM55" s="1088" t="s">
        <v>289</v>
      </c>
      <c r="BLN55" s="1567" t="s">
        <v>290</v>
      </c>
      <c r="BLO55" s="1567"/>
      <c r="BLP55" s="1567"/>
      <c r="BLQ55" s="1088" t="s">
        <v>289</v>
      </c>
      <c r="BLR55" s="1567" t="s">
        <v>290</v>
      </c>
      <c r="BLS55" s="1567"/>
      <c r="BLT55" s="1567"/>
      <c r="BLU55" s="1088" t="s">
        <v>289</v>
      </c>
      <c r="BLV55" s="1567" t="s">
        <v>290</v>
      </c>
      <c r="BLW55" s="1567"/>
      <c r="BLX55" s="1567"/>
      <c r="BLY55" s="1088" t="s">
        <v>289</v>
      </c>
      <c r="BLZ55" s="1567" t="s">
        <v>290</v>
      </c>
      <c r="BMA55" s="1567"/>
      <c r="BMB55" s="1567"/>
      <c r="BMC55" s="1088" t="s">
        <v>289</v>
      </c>
      <c r="BMD55" s="1567" t="s">
        <v>290</v>
      </c>
      <c r="BME55" s="1567"/>
      <c r="BMF55" s="1567"/>
      <c r="BMG55" s="1088" t="s">
        <v>289</v>
      </c>
      <c r="BMH55" s="1567" t="s">
        <v>290</v>
      </c>
      <c r="BMI55" s="1567"/>
      <c r="BMJ55" s="1567"/>
      <c r="BMK55" s="1088" t="s">
        <v>289</v>
      </c>
      <c r="BML55" s="1567" t="s">
        <v>290</v>
      </c>
      <c r="BMM55" s="1567"/>
      <c r="BMN55" s="1567"/>
      <c r="BMO55" s="1088" t="s">
        <v>289</v>
      </c>
      <c r="BMP55" s="1567" t="s">
        <v>290</v>
      </c>
      <c r="BMQ55" s="1567"/>
      <c r="BMR55" s="1567"/>
      <c r="BMS55" s="1088" t="s">
        <v>289</v>
      </c>
      <c r="BMT55" s="1567" t="s">
        <v>290</v>
      </c>
      <c r="BMU55" s="1567"/>
      <c r="BMV55" s="1567"/>
      <c r="BMW55" s="1088" t="s">
        <v>289</v>
      </c>
      <c r="BMX55" s="1567" t="s">
        <v>290</v>
      </c>
      <c r="BMY55" s="1567"/>
      <c r="BMZ55" s="1567"/>
      <c r="BNA55" s="1088" t="s">
        <v>289</v>
      </c>
      <c r="BNB55" s="1567" t="s">
        <v>290</v>
      </c>
      <c r="BNC55" s="1567"/>
      <c r="BND55" s="1567"/>
      <c r="BNE55" s="1088" t="s">
        <v>289</v>
      </c>
      <c r="BNF55" s="1567" t="s">
        <v>290</v>
      </c>
      <c r="BNG55" s="1567"/>
      <c r="BNH55" s="1567"/>
      <c r="BNI55" s="1088" t="s">
        <v>289</v>
      </c>
      <c r="BNJ55" s="1567" t="s">
        <v>290</v>
      </c>
      <c r="BNK55" s="1567"/>
      <c r="BNL55" s="1567"/>
      <c r="BNM55" s="1088" t="s">
        <v>289</v>
      </c>
      <c r="BNN55" s="1567" t="s">
        <v>290</v>
      </c>
      <c r="BNO55" s="1567"/>
      <c r="BNP55" s="1567"/>
      <c r="BNQ55" s="1088" t="s">
        <v>289</v>
      </c>
      <c r="BNR55" s="1567" t="s">
        <v>290</v>
      </c>
      <c r="BNS55" s="1567"/>
      <c r="BNT55" s="1567"/>
      <c r="BNU55" s="1088" t="s">
        <v>289</v>
      </c>
      <c r="BNV55" s="1567" t="s">
        <v>290</v>
      </c>
      <c r="BNW55" s="1567"/>
      <c r="BNX55" s="1567"/>
      <c r="BNY55" s="1088" t="s">
        <v>289</v>
      </c>
      <c r="BNZ55" s="1567" t="s">
        <v>290</v>
      </c>
      <c r="BOA55" s="1567"/>
      <c r="BOB55" s="1567"/>
      <c r="BOC55" s="1088" t="s">
        <v>289</v>
      </c>
      <c r="BOD55" s="1567" t="s">
        <v>290</v>
      </c>
      <c r="BOE55" s="1567"/>
      <c r="BOF55" s="1567"/>
      <c r="BOG55" s="1088" t="s">
        <v>289</v>
      </c>
      <c r="BOH55" s="1567" t="s">
        <v>290</v>
      </c>
      <c r="BOI55" s="1567"/>
      <c r="BOJ55" s="1567"/>
      <c r="BOK55" s="1088" t="s">
        <v>289</v>
      </c>
      <c r="BOL55" s="1567" t="s">
        <v>290</v>
      </c>
      <c r="BOM55" s="1567"/>
      <c r="BON55" s="1567"/>
      <c r="BOO55" s="1088" t="s">
        <v>289</v>
      </c>
      <c r="BOP55" s="1567" t="s">
        <v>290</v>
      </c>
      <c r="BOQ55" s="1567"/>
      <c r="BOR55" s="1567"/>
      <c r="BOS55" s="1088" t="s">
        <v>289</v>
      </c>
      <c r="BOT55" s="1567" t="s">
        <v>290</v>
      </c>
      <c r="BOU55" s="1567"/>
      <c r="BOV55" s="1567"/>
      <c r="BOW55" s="1088" t="s">
        <v>289</v>
      </c>
      <c r="BOX55" s="1567" t="s">
        <v>290</v>
      </c>
      <c r="BOY55" s="1567"/>
      <c r="BOZ55" s="1567"/>
      <c r="BPA55" s="1088" t="s">
        <v>289</v>
      </c>
      <c r="BPB55" s="1567" t="s">
        <v>290</v>
      </c>
      <c r="BPC55" s="1567"/>
      <c r="BPD55" s="1567"/>
      <c r="BPE55" s="1088" t="s">
        <v>289</v>
      </c>
      <c r="BPF55" s="1567" t="s">
        <v>290</v>
      </c>
      <c r="BPG55" s="1567"/>
      <c r="BPH55" s="1567"/>
      <c r="BPI55" s="1088" t="s">
        <v>289</v>
      </c>
      <c r="BPJ55" s="1567" t="s">
        <v>290</v>
      </c>
      <c r="BPK55" s="1567"/>
      <c r="BPL55" s="1567"/>
      <c r="BPM55" s="1088" t="s">
        <v>289</v>
      </c>
      <c r="BPN55" s="1567" t="s">
        <v>290</v>
      </c>
      <c r="BPO55" s="1567"/>
      <c r="BPP55" s="1567"/>
      <c r="BPQ55" s="1088" t="s">
        <v>289</v>
      </c>
      <c r="BPR55" s="1567" t="s">
        <v>290</v>
      </c>
      <c r="BPS55" s="1567"/>
      <c r="BPT55" s="1567"/>
      <c r="BPU55" s="1088" t="s">
        <v>289</v>
      </c>
      <c r="BPV55" s="1567" t="s">
        <v>290</v>
      </c>
      <c r="BPW55" s="1567"/>
      <c r="BPX55" s="1567"/>
      <c r="BPY55" s="1088" t="s">
        <v>289</v>
      </c>
      <c r="BPZ55" s="1567" t="s">
        <v>290</v>
      </c>
      <c r="BQA55" s="1567"/>
      <c r="BQB55" s="1567"/>
      <c r="BQC55" s="1088" t="s">
        <v>289</v>
      </c>
      <c r="BQD55" s="1567" t="s">
        <v>290</v>
      </c>
      <c r="BQE55" s="1567"/>
      <c r="BQF55" s="1567"/>
      <c r="BQG55" s="1088" t="s">
        <v>289</v>
      </c>
      <c r="BQH55" s="1567" t="s">
        <v>290</v>
      </c>
      <c r="BQI55" s="1567"/>
      <c r="BQJ55" s="1567"/>
      <c r="BQK55" s="1088" t="s">
        <v>289</v>
      </c>
      <c r="BQL55" s="1567" t="s">
        <v>290</v>
      </c>
      <c r="BQM55" s="1567"/>
      <c r="BQN55" s="1567"/>
      <c r="BQO55" s="1088" t="s">
        <v>289</v>
      </c>
      <c r="BQP55" s="1567" t="s">
        <v>290</v>
      </c>
      <c r="BQQ55" s="1567"/>
      <c r="BQR55" s="1567"/>
      <c r="BQS55" s="1088" t="s">
        <v>289</v>
      </c>
      <c r="BQT55" s="1567" t="s">
        <v>290</v>
      </c>
      <c r="BQU55" s="1567"/>
      <c r="BQV55" s="1567"/>
      <c r="BQW55" s="1088" t="s">
        <v>289</v>
      </c>
      <c r="BQX55" s="1567" t="s">
        <v>290</v>
      </c>
      <c r="BQY55" s="1567"/>
      <c r="BQZ55" s="1567"/>
      <c r="BRA55" s="1088" t="s">
        <v>289</v>
      </c>
      <c r="BRB55" s="1567" t="s">
        <v>290</v>
      </c>
      <c r="BRC55" s="1567"/>
      <c r="BRD55" s="1567"/>
      <c r="BRE55" s="1088" t="s">
        <v>289</v>
      </c>
      <c r="BRF55" s="1567" t="s">
        <v>290</v>
      </c>
      <c r="BRG55" s="1567"/>
      <c r="BRH55" s="1567"/>
      <c r="BRI55" s="1088" t="s">
        <v>289</v>
      </c>
      <c r="BRJ55" s="1567" t="s">
        <v>290</v>
      </c>
      <c r="BRK55" s="1567"/>
      <c r="BRL55" s="1567"/>
      <c r="BRM55" s="1088" t="s">
        <v>289</v>
      </c>
      <c r="BRN55" s="1567" t="s">
        <v>290</v>
      </c>
      <c r="BRO55" s="1567"/>
      <c r="BRP55" s="1567"/>
      <c r="BRQ55" s="1088" t="s">
        <v>289</v>
      </c>
      <c r="BRR55" s="1567" t="s">
        <v>290</v>
      </c>
      <c r="BRS55" s="1567"/>
      <c r="BRT55" s="1567"/>
      <c r="BRU55" s="1088" t="s">
        <v>289</v>
      </c>
      <c r="BRV55" s="1567" t="s">
        <v>290</v>
      </c>
      <c r="BRW55" s="1567"/>
      <c r="BRX55" s="1567"/>
      <c r="BRY55" s="1088" t="s">
        <v>289</v>
      </c>
      <c r="BRZ55" s="1567" t="s">
        <v>290</v>
      </c>
      <c r="BSA55" s="1567"/>
      <c r="BSB55" s="1567"/>
      <c r="BSC55" s="1088" t="s">
        <v>289</v>
      </c>
      <c r="BSD55" s="1567" t="s">
        <v>290</v>
      </c>
      <c r="BSE55" s="1567"/>
      <c r="BSF55" s="1567"/>
      <c r="BSG55" s="1088" t="s">
        <v>289</v>
      </c>
      <c r="BSH55" s="1567" t="s">
        <v>290</v>
      </c>
      <c r="BSI55" s="1567"/>
      <c r="BSJ55" s="1567"/>
      <c r="BSK55" s="1088" t="s">
        <v>289</v>
      </c>
      <c r="BSL55" s="1567" t="s">
        <v>290</v>
      </c>
      <c r="BSM55" s="1567"/>
      <c r="BSN55" s="1567"/>
      <c r="BSO55" s="1088" t="s">
        <v>289</v>
      </c>
      <c r="BSP55" s="1567" t="s">
        <v>290</v>
      </c>
      <c r="BSQ55" s="1567"/>
      <c r="BSR55" s="1567"/>
      <c r="BSS55" s="1088" t="s">
        <v>289</v>
      </c>
      <c r="BST55" s="1567" t="s">
        <v>290</v>
      </c>
      <c r="BSU55" s="1567"/>
      <c r="BSV55" s="1567"/>
      <c r="BSW55" s="1088" t="s">
        <v>289</v>
      </c>
      <c r="BSX55" s="1567" t="s">
        <v>290</v>
      </c>
      <c r="BSY55" s="1567"/>
      <c r="BSZ55" s="1567"/>
      <c r="BTA55" s="1088" t="s">
        <v>289</v>
      </c>
      <c r="BTB55" s="1567" t="s">
        <v>290</v>
      </c>
      <c r="BTC55" s="1567"/>
      <c r="BTD55" s="1567"/>
      <c r="BTE55" s="1088" t="s">
        <v>289</v>
      </c>
      <c r="BTF55" s="1567" t="s">
        <v>290</v>
      </c>
      <c r="BTG55" s="1567"/>
      <c r="BTH55" s="1567"/>
      <c r="BTI55" s="1088" t="s">
        <v>289</v>
      </c>
      <c r="BTJ55" s="1567" t="s">
        <v>290</v>
      </c>
      <c r="BTK55" s="1567"/>
      <c r="BTL55" s="1567"/>
      <c r="BTM55" s="1088" t="s">
        <v>289</v>
      </c>
      <c r="BTN55" s="1567" t="s">
        <v>290</v>
      </c>
      <c r="BTO55" s="1567"/>
      <c r="BTP55" s="1567"/>
      <c r="BTQ55" s="1088" t="s">
        <v>289</v>
      </c>
      <c r="BTR55" s="1567" t="s">
        <v>290</v>
      </c>
      <c r="BTS55" s="1567"/>
      <c r="BTT55" s="1567"/>
      <c r="BTU55" s="1088" t="s">
        <v>289</v>
      </c>
      <c r="BTV55" s="1567" t="s">
        <v>290</v>
      </c>
      <c r="BTW55" s="1567"/>
      <c r="BTX55" s="1567"/>
      <c r="BTY55" s="1088" t="s">
        <v>289</v>
      </c>
      <c r="BTZ55" s="1567" t="s">
        <v>290</v>
      </c>
      <c r="BUA55" s="1567"/>
      <c r="BUB55" s="1567"/>
      <c r="BUC55" s="1088" t="s">
        <v>289</v>
      </c>
      <c r="BUD55" s="1567" t="s">
        <v>290</v>
      </c>
      <c r="BUE55" s="1567"/>
      <c r="BUF55" s="1567"/>
      <c r="BUG55" s="1088" t="s">
        <v>289</v>
      </c>
      <c r="BUH55" s="1567" t="s">
        <v>290</v>
      </c>
      <c r="BUI55" s="1567"/>
      <c r="BUJ55" s="1567"/>
      <c r="BUK55" s="1088" t="s">
        <v>289</v>
      </c>
      <c r="BUL55" s="1567" t="s">
        <v>290</v>
      </c>
      <c r="BUM55" s="1567"/>
      <c r="BUN55" s="1567"/>
      <c r="BUO55" s="1088" t="s">
        <v>289</v>
      </c>
      <c r="BUP55" s="1567" t="s">
        <v>290</v>
      </c>
      <c r="BUQ55" s="1567"/>
      <c r="BUR55" s="1567"/>
      <c r="BUS55" s="1088" t="s">
        <v>289</v>
      </c>
      <c r="BUT55" s="1567" t="s">
        <v>290</v>
      </c>
      <c r="BUU55" s="1567"/>
      <c r="BUV55" s="1567"/>
      <c r="BUW55" s="1088" t="s">
        <v>289</v>
      </c>
      <c r="BUX55" s="1567" t="s">
        <v>290</v>
      </c>
      <c r="BUY55" s="1567"/>
      <c r="BUZ55" s="1567"/>
      <c r="BVA55" s="1088" t="s">
        <v>289</v>
      </c>
      <c r="BVB55" s="1567" t="s">
        <v>290</v>
      </c>
      <c r="BVC55" s="1567"/>
      <c r="BVD55" s="1567"/>
      <c r="BVE55" s="1088" t="s">
        <v>289</v>
      </c>
      <c r="BVF55" s="1567" t="s">
        <v>290</v>
      </c>
      <c r="BVG55" s="1567"/>
      <c r="BVH55" s="1567"/>
      <c r="BVI55" s="1088" t="s">
        <v>289</v>
      </c>
      <c r="BVJ55" s="1567" t="s">
        <v>290</v>
      </c>
      <c r="BVK55" s="1567"/>
      <c r="BVL55" s="1567"/>
      <c r="BVM55" s="1088" t="s">
        <v>289</v>
      </c>
      <c r="BVN55" s="1567" t="s">
        <v>290</v>
      </c>
      <c r="BVO55" s="1567"/>
      <c r="BVP55" s="1567"/>
      <c r="BVQ55" s="1088" t="s">
        <v>289</v>
      </c>
      <c r="BVR55" s="1567" t="s">
        <v>290</v>
      </c>
      <c r="BVS55" s="1567"/>
      <c r="BVT55" s="1567"/>
      <c r="BVU55" s="1088" t="s">
        <v>289</v>
      </c>
      <c r="BVV55" s="1567" t="s">
        <v>290</v>
      </c>
      <c r="BVW55" s="1567"/>
      <c r="BVX55" s="1567"/>
      <c r="BVY55" s="1088" t="s">
        <v>289</v>
      </c>
      <c r="BVZ55" s="1567" t="s">
        <v>290</v>
      </c>
      <c r="BWA55" s="1567"/>
      <c r="BWB55" s="1567"/>
      <c r="BWC55" s="1088" t="s">
        <v>289</v>
      </c>
      <c r="BWD55" s="1567" t="s">
        <v>290</v>
      </c>
      <c r="BWE55" s="1567"/>
      <c r="BWF55" s="1567"/>
      <c r="BWG55" s="1088" t="s">
        <v>289</v>
      </c>
      <c r="BWH55" s="1567" t="s">
        <v>290</v>
      </c>
      <c r="BWI55" s="1567"/>
      <c r="BWJ55" s="1567"/>
      <c r="BWK55" s="1088" t="s">
        <v>289</v>
      </c>
      <c r="BWL55" s="1567" t="s">
        <v>290</v>
      </c>
      <c r="BWM55" s="1567"/>
      <c r="BWN55" s="1567"/>
      <c r="BWO55" s="1088" t="s">
        <v>289</v>
      </c>
      <c r="BWP55" s="1567" t="s">
        <v>290</v>
      </c>
      <c r="BWQ55" s="1567"/>
      <c r="BWR55" s="1567"/>
      <c r="BWS55" s="1088" t="s">
        <v>289</v>
      </c>
      <c r="BWT55" s="1567" t="s">
        <v>290</v>
      </c>
      <c r="BWU55" s="1567"/>
      <c r="BWV55" s="1567"/>
      <c r="BWW55" s="1088" t="s">
        <v>289</v>
      </c>
      <c r="BWX55" s="1567" t="s">
        <v>290</v>
      </c>
      <c r="BWY55" s="1567"/>
      <c r="BWZ55" s="1567"/>
      <c r="BXA55" s="1088" t="s">
        <v>289</v>
      </c>
      <c r="BXB55" s="1567" t="s">
        <v>290</v>
      </c>
      <c r="BXC55" s="1567"/>
      <c r="BXD55" s="1567"/>
      <c r="BXE55" s="1088" t="s">
        <v>289</v>
      </c>
      <c r="BXF55" s="1567" t="s">
        <v>290</v>
      </c>
      <c r="BXG55" s="1567"/>
      <c r="BXH55" s="1567"/>
      <c r="BXI55" s="1088" t="s">
        <v>289</v>
      </c>
      <c r="BXJ55" s="1567" t="s">
        <v>290</v>
      </c>
      <c r="BXK55" s="1567"/>
      <c r="BXL55" s="1567"/>
      <c r="BXM55" s="1088" t="s">
        <v>289</v>
      </c>
      <c r="BXN55" s="1567" t="s">
        <v>290</v>
      </c>
      <c r="BXO55" s="1567"/>
      <c r="BXP55" s="1567"/>
      <c r="BXQ55" s="1088" t="s">
        <v>289</v>
      </c>
      <c r="BXR55" s="1567" t="s">
        <v>290</v>
      </c>
      <c r="BXS55" s="1567"/>
      <c r="BXT55" s="1567"/>
      <c r="BXU55" s="1088" t="s">
        <v>289</v>
      </c>
      <c r="BXV55" s="1567" t="s">
        <v>290</v>
      </c>
      <c r="BXW55" s="1567"/>
      <c r="BXX55" s="1567"/>
      <c r="BXY55" s="1088" t="s">
        <v>289</v>
      </c>
      <c r="BXZ55" s="1567" t="s">
        <v>290</v>
      </c>
      <c r="BYA55" s="1567"/>
      <c r="BYB55" s="1567"/>
      <c r="BYC55" s="1088" t="s">
        <v>289</v>
      </c>
      <c r="BYD55" s="1567" t="s">
        <v>290</v>
      </c>
      <c r="BYE55" s="1567"/>
      <c r="BYF55" s="1567"/>
      <c r="BYG55" s="1088" t="s">
        <v>289</v>
      </c>
      <c r="BYH55" s="1567" t="s">
        <v>290</v>
      </c>
      <c r="BYI55" s="1567"/>
      <c r="BYJ55" s="1567"/>
      <c r="BYK55" s="1088" t="s">
        <v>289</v>
      </c>
      <c r="BYL55" s="1567" t="s">
        <v>290</v>
      </c>
      <c r="BYM55" s="1567"/>
      <c r="BYN55" s="1567"/>
      <c r="BYO55" s="1088" t="s">
        <v>289</v>
      </c>
      <c r="BYP55" s="1567" t="s">
        <v>290</v>
      </c>
      <c r="BYQ55" s="1567"/>
      <c r="BYR55" s="1567"/>
      <c r="BYS55" s="1088" t="s">
        <v>289</v>
      </c>
      <c r="BYT55" s="1567" t="s">
        <v>290</v>
      </c>
      <c r="BYU55" s="1567"/>
      <c r="BYV55" s="1567"/>
      <c r="BYW55" s="1088" t="s">
        <v>289</v>
      </c>
      <c r="BYX55" s="1567" t="s">
        <v>290</v>
      </c>
      <c r="BYY55" s="1567"/>
      <c r="BYZ55" s="1567"/>
      <c r="BZA55" s="1088" t="s">
        <v>289</v>
      </c>
      <c r="BZB55" s="1567" t="s">
        <v>290</v>
      </c>
      <c r="BZC55" s="1567"/>
      <c r="BZD55" s="1567"/>
      <c r="BZE55" s="1088" t="s">
        <v>289</v>
      </c>
      <c r="BZF55" s="1567" t="s">
        <v>290</v>
      </c>
      <c r="BZG55" s="1567"/>
      <c r="BZH55" s="1567"/>
      <c r="BZI55" s="1088" t="s">
        <v>289</v>
      </c>
      <c r="BZJ55" s="1567" t="s">
        <v>290</v>
      </c>
      <c r="BZK55" s="1567"/>
      <c r="BZL55" s="1567"/>
      <c r="BZM55" s="1088" t="s">
        <v>289</v>
      </c>
      <c r="BZN55" s="1567" t="s">
        <v>290</v>
      </c>
      <c r="BZO55" s="1567"/>
      <c r="BZP55" s="1567"/>
      <c r="BZQ55" s="1088" t="s">
        <v>289</v>
      </c>
      <c r="BZR55" s="1567" t="s">
        <v>290</v>
      </c>
      <c r="BZS55" s="1567"/>
      <c r="BZT55" s="1567"/>
      <c r="BZU55" s="1088" t="s">
        <v>289</v>
      </c>
      <c r="BZV55" s="1567" t="s">
        <v>290</v>
      </c>
      <c r="BZW55" s="1567"/>
      <c r="BZX55" s="1567"/>
      <c r="BZY55" s="1088" t="s">
        <v>289</v>
      </c>
      <c r="BZZ55" s="1567" t="s">
        <v>290</v>
      </c>
      <c r="CAA55" s="1567"/>
      <c r="CAB55" s="1567"/>
      <c r="CAC55" s="1088" t="s">
        <v>289</v>
      </c>
      <c r="CAD55" s="1567" t="s">
        <v>290</v>
      </c>
      <c r="CAE55" s="1567"/>
      <c r="CAF55" s="1567"/>
      <c r="CAG55" s="1088" t="s">
        <v>289</v>
      </c>
      <c r="CAH55" s="1567" t="s">
        <v>290</v>
      </c>
      <c r="CAI55" s="1567"/>
      <c r="CAJ55" s="1567"/>
      <c r="CAK55" s="1088" t="s">
        <v>289</v>
      </c>
      <c r="CAL55" s="1567" t="s">
        <v>290</v>
      </c>
      <c r="CAM55" s="1567"/>
      <c r="CAN55" s="1567"/>
      <c r="CAO55" s="1088" t="s">
        <v>289</v>
      </c>
      <c r="CAP55" s="1567" t="s">
        <v>290</v>
      </c>
      <c r="CAQ55" s="1567"/>
      <c r="CAR55" s="1567"/>
      <c r="CAS55" s="1088" t="s">
        <v>289</v>
      </c>
      <c r="CAT55" s="1567" t="s">
        <v>290</v>
      </c>
      <c r="CAU55" s="1567"/>
      <c r="CAV55" s="1567"/>
      <c r="CAW55" s="1088" t="s">
        <v>289</v>
      </c>
      <c r="CAX55" s="1567" t="s">
        <v>290</v>
      </c>
      <c r="CAY55" s="1567"/>
      <c r="CAZ55" s="1567"/>
      <c r="CBA55" s="1088" t="s">
        <v>289</v>
      </c>
      <c r="CBB55" s="1567" t="s">
        <v>290</v>
      </c>
      <c r="CBC55" s="1567"/>
      <c r="CBD55" s="1567"/>
      <c r="CBE55" s="1088" t="s">
        <v>289</v>
      </c>
      <c r="CBF55" s="1567" t="s">
        <v>290</v>
      </c>
      <c r="CBG55" s="1567"/>
      <c r="CBH55" s="1567"/>
      <c r="CBI55" s="1088" t="s">
        <v>289</v>
      </c>
      <c r="CBJ55" s="1567" t="s">
        <v>290</v>
      </c>
      <c r="CBK55" s="1567"/>
      <c r="CBL55" s="1567"/>
      <c r="CBM55" s="1088" t="s">
        <v>289</v>
      </c>
      <c r="CBN55" s="1567" t="s">
        <v>290</v>
      </c>
      <c r="CBO55" s="1567"/>
      <c r="CBP55" s="1567"/>
      <c r="CBQ55" s="1088" t="s">
        <v>289</v>
      </c>
      <c r="CBR55" s="1567" t="s">
        <v>290</v>
      </c>
      <c r="CBS55" s="1567"/>
      <c r="CBT55" s="1567"/>
      <c r="CBU55" s="1088" t="s">
        <v>289</v>
      </c>
      <c r="CBV55" s="1567" t="s">
        <v>290</v>
      </c>
      <c r="CBW55" s="1567"/>
      <c r="CBX55" s="1567"/>
      <c r="CBY55" s="1088" t="s">
        <v>289</v>
      </c>
      <c r="CBZ55" s="1567" t="s">
        <v>290</v>
      </c>
      <c r="CCA55" s="1567"/>
      <c r="CCB55" s="1567"/>
      <c r="CCC55" s="1088" t="s">
        <v>289</v>
      </c>
      <c r="CCD55" s="1567" t="s">
        <v>290</v>
      </c>
      <c r="CCE55" s="1567"/>
      <c r="CCF55" s="1567"/>
      <c r="CCG55" s="1088" t="s">
        <v>289</v>
      </c>
      <c r="CCH55" s="1567" t="s">
        <v>290</v>
      </c>
      <c r="CCI55" s="1567"/>
      <c r="CCJ55" s="1567"/>
      <c r="CCK55" s="1088" t="s">
        <v>289</v>
      </c>
      <c r="CCL55" s="1567" t="s">
        <v>290</v>
      </c>
      <c r="CCM55" s="1567"/>
      <c r="CCN55" s="1567"/>
      <c r="CCO55" s="1088" t="s">
        <v>289</v>
      </c>
      <c r="CCP55" s="1567" t="s">
        <v>290</v>
      </c>
      <c r="CCQ55" s="1567"/>
      <c r="CCR55" s="1567"/>
      <c r="CCS55" s="1088" t="s">
        <v>289</v>
      </c>
      <c r="CCT55" s="1567" t="s">
        <v>290</v>
      </c>
      <c r="CCU55" s="1567"/>
      <c r="CCV55" s="1567"/>
      <c r="CCW55" s="1088" t="s">
        <v>289</v>
      </c>
      <c r="CCX55" s="1567" t="s">
        <v>290</v>
      </c>
      <c r="CCY55" s="1567"/>
      <c r="CCZ55" s="1567"/>
      <c r="CDA55" s="1088" t="s">
        <v>289</v>
      </c>
      <c r="CDB55" s="1567" t="s">
        <v>290</v>
      </c>
      <c r="CDC55" s="1567"/>
      <c r="CDD55" s="1567"/>
      <c r="CDE55" s="1088" t="s">
        <v>289</v>
      </c>
      <c r="CDF55" s="1567" t="s">
        <v>290</v>
      </c>
      <c r="CDG55" s="1567"/>
      <c r="CDH55" s="1567"/>
      <c r="CDI55" s="1088" t="s">
        <v>289</v>
      </c>
      <c r="CDJ55" s="1567" t="s">
        <v>290</v>
      </c>
      <c r="CDK55" s="1567"/>
      <c r="CDL55" s="1567"/>
      <c r="CDM55" s="1088" t="s">
        <v>289</v>
      </c>
      <c r="CDN55" s="1567" t="s">
        <v>290</v>
      </c>
      <c r="CDO55" s="1567"/>
      <c r="CDP55" s="1567"/>
      <c r="CDQ55" s="1088" t="s">
        <v>289</v>
      </c>
      <c r="CDR55" s="1567" t="s">
        <v>290</v>
      </c>
      <c r="CDS55" s="1567"/>
      <c r="CDT55" s="1567"/>
      <c r="CDU55" s="1088" t="s">
        <v>289</v>
      </c>
      <c r="CDV55" s="1567" t="s">
        <v>290</v>
      </c>
      <c r="CDW55" s="1567"/>
      <c r="CDX55" s="1567"/>
      <c r="CDY55" s="1088" t="s">
        <v>289</v>
      </c>
      <c r="CDZ55" s="1567" t="s">
        <v>290</v>
      </c>
      <c r="CEA55" s="1567"/>
      <c r="CEB55" s="1567"/>
      <c r="CEC55" s="1088" t="s">
        <v>289</v>
      </c>
      <c r="CED55" s="1567" t="s">
        <v>290</v>
      </c>
      <c r="CEE55" s="1567"/>
      <c r="CEF55" s="1567"/>
      <c r="CEG55" s="1088" t="s">
        <v>289</v>
      </c>
      <c r="CEH55" s="1567" t="s">
        <v>290</v>
      </c>
      <c r="CEI55" s="1567"/>
      <c r="CEJ55" s="1567"/>
      <c r="CEK55" s="1088" t="s">
        <v>289</v>
      </c>
      <c r="CEL55" s="1567" t="s">
        <v>290</v>
      </c>
      <c r="CEM55" s="1567"/>
      <c r="CEN55" s="1567"/>
      <c r="CEO55" s="1088" t="s">
        <v>289</v>
      </c>
      <c r="CEP55" s="1567" t="s">
        <v>290</v>
      </c>
      <c r="CEQ55" s="1567"/>
      <c r="CER55" s="1567"/>
      <c r="CES55" s="1088" t="s">
        <v>289</v>
      </c>
      <c r="CET55" s="1567" t="s">
        <v>290</v>
      </c>
      <c r="CEU55" s="1567"/>
      <c r="CEV55" s="1567"/>
      <c r="CEW55" s="1088" t="s">
        <v>289</v>
      </c>
      <c r="CEX55" s="1567" t="s">
        <v>290</v>
      </c>
      <c r="CEY55" s="1567"/>
      <c r="CEZ55" s="1567"/>
      <c r="CFA55" s="1088" t="s">
        <v>289</v>
      </c>
      <c r="CFB55" s="1567" t="s">
        <v>290</v>
      </c>
      <c r="CFC55" s="1567"/>
      <c r="CFD55" s="1567"/>
      <c r="CFE55" s="1088" t="s">
        <v>289</v>
      </c>
      <c r="CFF55" s="1567" t="s">
        <v>290</v>
      </c>
      <c r="CFG55" s="1567"/>
      <c r="CFH55" s="1567"/>
      <c r="CFI55" s="1088" t="s">
        <v>289</v>
      </c>
      <c r="CFJ55" s="1567" t="s">
        <v>290</v>
      </c>
      <c r="CFK55" s="1567"/>
      <c r="CFL55" s="1567"/>
      <c r="CFM55" s="1088" t="s">
        <v>289</v>
      </c>
      <c r="CFN55" s="1567" t="s">
        <v>290</v>
      </c>
      <c r="CFO55" s="1567"/>
      <c r="CFP55" s="1567"/>
      <c r="CFQ55" s="1088" t="s">
        <v>289</v>
      </c>
      <c r="CFR55" s="1567" t="s">
        <v>290</v>
      </c>
      <c r="CFS55" s="1567"/>
      <c r="CFT55" s="1567"/>
      <c r="CFU55" s="1088" t="s">
        <v>289</v>
      </c>
      <c r="CFV55" s="1567" t="s">
        <v>290</v>
      </c>
      <c r="CFW55" s="1567"/>
      <c r="CFX55" s="1567"/>
      <c r="CFY55" s="1088" t="s">
        <v>289</v>
      </c>
      <c r="CFZ55" s="1567" t="s">
        <v>290</v>
      </c>
      <c r="CGA55" s="1567"/>
      <c r="CGB55" s="1567"/>
      <c r="CGC55" s="1088" t="s">
        <v>289</v>
      </c>
      <c r="CGD55" s="1567" t="s">
        <v>290</v>
      </c>
      <c r="CGE55" s="1567"/>
      <c r="CGF55" s="1567"/>
      <c r="CGG55" s="1088" t="s">
        <v>289</v>
      </c>
      <c r="CGH55" s="1567" t="s">
        <v>290</v>
      </c>
      <c r="CGI55" s="1567"/>
      <c r="CGJ55" s="1567"/>
      <c r="CGK55" s="1088" t="s">
        <v>289</v>
      </c>
      <c r="CGL55" s="1567" t="s">
        <v>290</v>
      </c>
      <c r="CGM55" s="1567"/>
      <c r="CGN55" s="1567"/>
      <c r="CGO55" s="1088" t="s">
        <v>289</v>
      </c>
      <c r="CGP55" s="1567" t="s">
        <v>290</v>
      </c>
      <c r="CGQ55" s="1567"/>
      <c r="CGR55" s="1567"/>
      <c r="CGS55" s="1088" t="s">
        <v>289</v>
      </c>
      <c r="CGT55" s="1567" t="s">
        <v>290</v>
      </c>
      <c r="CGU55" s="1567"/>
      <c r="CGV55" s="1567"/>
      <c r="CGW55" s="1088" t="s">
        <v>289</v>
      </c>
      <c r="CGX55" s="1567" t="s">
        <v>290</v>
      </c>
      <c r="CGY55" s="1567"/>
      <c r="CGZ55" s="1567"/>
      <c r="CHA55" s="1088" t="s">
        <v>289</v>
      </c>
      <c r="CHB55" s="1567" t="s">
        <v>290</v>
      </c>
      <c r="CHC55" s="1567"/>
      <c r="CHD55" s="1567"/>
      <c r="CHE55" s="1088" t="s">
        <v>289</v>
      </c>
      <c r="CHF55" s="1567" t="s">
        <v>290</v>
      </c>
      <c r="CHG55" s="1567"/>
      <c r="CHH55" s="1567"/>
      <c r="CHI55" s="1088" t="s">
        <v>289</v>
      </c>
      <c r="CHJ55" s="1567" t="s">
        <v>290</v>
      </c>
      <c r="CHK55" s="1567"/>
      <c r="CHL55" s="1567"/>
      <c r="CHM55" s="1088" t="s">
        <v>289</v>
      </c>
      <c r="CHN55" s="1567" t="s">
        <v>290</v>
      </c>
      <c r="CHO55" s="1567"/>
      <c r="CHP55" s="1567"/>
      <c r="CHQ55" s="1088" t="s">
        <v>289</v>
      </c>
      <c r="CHR55" s="1567" t="s">
        <v>290</v>
      </c>
      <c r="CHS55" s="1567"/>
      <c r="CHT55" s="1567"/>
      <c r="CHU55" s="1088" t="s">
        <v>289</v>
      </c>
      <c r="CHV55" s="1567" t="s">
        <v>290</v>
      </c>
      <c r="CHW55" s="1567"/>
      <c r="CHX55" s="1567"/>
      <c r="CHY55" s="1088" t="s">
        <v>289</v>
      </c>
      <c r="CHZ55" s="1567" t="s">
        <v>290</v>
      </c>
      <c r="CIA55" s="1567"/>
      <c r="CIB55" s="1567"/>
      <c r="CIC55" s="1088" t="s">
        <v>289</v>
      </c>
      <c r="CID55" s="1567" t="s">
        <v>290</v>
      </c>
      <c r="CIE55" s="1567"/>
      <c r="CIF55" s="1567"/>
      <c r="CIG55" s="1088" t="s">
        <v>289</v>
      </c>
      <c r="CIH55" s="1567" t="s">
        <v>290</v>
      </c>
      <c r="CII55" s="1567"/>
      <c r="CIJ55" s="1567"/>
      <c r="CIK55" s="1088" t="s">
        <v>289</v>
      </c>
      <c r="CIL55" s="1567" t="s">
        <v>290</v>
      </c>
      <c r="CIM55" s="1567"/>
      <c r="CIN55" s="1567"/>
      <c r="CIO55" s="1088" t="s">
        <v>289</v>
      </c>
      <c r="CIP55" s="1567" t="s">
        <v>290</v>
      </c>
      <c r="CIQ55" s="1567"/>
      <c r="CIR55" s="1567"/>
      <c r="CIS55" s="1088" t="s">
        <v>289</v>
      </c>
      <c r="CIT55" s="1567" t="s">
        <v>290</v>
      </c>
      <c r="CIU55" s="1567"/>
      <c r="CIV55" s="1567"/>
      <c r="CIW55" s="1088" t="s">
        <v>289</v>
      </c>
      <c r="CIX55" s="1567" t="s">
        <v>290</v>
      </c>
      <c r="CIY55" s="1567"/>
      <c r="CIZ55" s="1567"/>
      <c r="CJA55" s="1088" t="s">
        <v>289</v>
      </c>
      <c r="CJB55" s="1567" t="s">
        <v>290</v>
      </c>
      <c r="CJC55" s="1567"/>
      <c r="CJD55" s="1567"/>
      <c r="CJE55" s="1088" t="s">
        <v>289</v>
      </c>
      <c r="CJF55" s="1567" t="s">
        <v>290</v>
      </c>
      <c r="CJG55" s="1567"/>
      <c r="CJH55" s="1567"/>
      <c r="CJI55" s="1088" t="s">
        <v>289</v>
      </c>
      <c r="CJJ55" s="1567" t="s">
        <v>290</v>
      </c>
      <c r="CJK55" s="1567"/>
      <c r="CJL55" s="1567"/>
      <c r="CJM55" s="1088" t="s">
        <v>289</v>
      </c>
      <c r="CJN55" s="1567" t="s">
        <v>290</v>
      </c>
      <c r="CJO55" s="1567"/>
      <c r="CJP55" s="1567"/>
      <c r="CJQ55" s="1088" t="s">
        <v>289</v>
      </c>
      <c r="CJR55" s="1567" t="s">
        <v>290</v>
      </c>
      <c r="CJS55" s="1567"/>
      <c r="CJT55" s="1567"/>
      <c r="CJU55" s="1088" t="s">
        <v>289</v>
      </c>
      <c r="CJV55" s="1567" t="s">
        <v>290</v>
      </c>
      <c r="CJW55" s="1567"/>
      <c r="CJX55" s="1567"/>
      <c r="CJY55" s="1088" t="s">
        <v>289</v>
      </c>
      <c r="CJZ55" s="1567" t="s">
        <v>290</v>
      </c>
      <c r="CKA55" s="1567"/>
      <c r="CKB55" s="1567"/>
      <c r="CKC55" s="1088" t="s">
        <v>289</v>
      </c>
      <c r="CKD55" s="1567" t="s">
        <v>290</v>
      </c>
      <c r="CKE55" s="1567"/>
      <c r="CKF55" s="1567"/>
      <c r="CKG55" s="1088" t="s">
        <v>289</v>
      </c>
      <c r="CKH55" s="1567" t="s">
        <v>290</v>
      </c>
      <c r="CKI55" s="1567"/>
      <c r="CKJ55" s="1567"/>
      <c r="CKK55" s="1088" t="s">
        <v>289</v>
      </c>
      <c r="CKL55" s="1567" t="s">
        <v>290</v>
      </c>
      <c r="CKM55" s="1567"/>
      <c r="CKN55" s="1567"/>
      <c r="CKO55" s="1088" t="s">
        <v>289</v>
      </c>
      <c r="CKP55" s="1567" t="s">
        <v>290</v>
      </c>
      <c r="CKQ55" s="1567"/>
      <c r="CKR55" s="1567"/>
      <c r="CKS55" s="1088" t="s">
        <v>289</v>
      </c>
      <c r="CKT55" s="1567" t="s">
        <v>290</v>
      </c>
      <c r="CKU55" s="1567"/>
      <c r="CKV55" s="1567"/>
      <c r="CKW55" s="1088" t="s">
        <v>289</v>
      </c>
      <c r="CKX55" s="1567" t="s">
        <v>290</v>
      </c>
      <c r="CKY55" s="1567"/>
      <c r="CKZ55" s="1567"/>
      <c r="CLA55" s="1088" t="s">
        <v>289</v>
      </c>
      <c r="CLB55" s="1567" t="s">
        <v>290</v>
      </c>
      <c r="CLC55" s="1567"/>
      <c r="CLD55" s="1567"/>
      <c r="CLE55" s="1088" t="s">
        <v>289</v>
      </c>
      <c r="CLF55" s="1567" t="s">
        <v>290</v>
      </c>
      <c r="CLG55" s="1567"/>
      <c r="CLH55" s="1567"/>
      <c r="CLI55" s="1088" t="s">
        <v>289</v>
      </c>
      <c r="CLJ55" s="1567" t="s">
        <v>290</v>
      </c>
      <c r="CLK55" s="1567"/>
      <c r="CLL55" s="1567"/>
      <c r="CLM55" s="1088" t="s">
        <v>289</v>
      </c>
      <c r="CLN55" s="1567" t="s">
        <v>290</v>
      </c>
      <c r="CLO55" s="1567"/>
      <c r="CLP55" s="1567"/>
      <c r="CLQ55" s="1088" t="s">
        <v>289</v>
      </c>
      <c r="CLR55" s="1567" t="s">
        <v>290</v>
      </c>
      <c r="CLS55" s="1567"/>
      <c r="CLT55" s="1567"/>
      <c r="CLU55" s="1088" t="s">
        <v>289</v>
      </c>
      <c r="CLV55" s="1567" t="s">
        <v>290</v>
      </c>
      <c r="CLW55" s="1567"/>
      <c r="CLX55" s="1567"/>
      <c r="CLY55" s="1088" t="s">
        <v>289</v>
      </c>
      <c r="CLZ55" s="1567" t="s">
        <v>290</v>
      </c>
      <c r="CMA55" s="1567"/>
      <c r="CMB55" s="1567"/>
      <c r="CMC55" s="1088" t="s">
        <v>289</v>
      </c>
      <c r="CMD55" s="1567" t="s">
        <v>290</v>
      </c>
      <c r="CME55" s="1567"/>
      <c r="CMF55" s="1567"/>
      <c r="CMG55" s="1088" t="s">
        <v>289</v>
      </c>
      <c r="CMH55" s="1567" t="s">
        <v>290</v>
      </c>
      <c r="CMI55" s="1567"/>
      <c r="CMJ55" s="1567"/>
      <c r="CMK55" s="1088" t="s">
        <v>289</v>
      </c>
      <c r="CML55" s="1567" t="s">
        <v>290</v>
      </c>
      <c r="CMM55" s="1567"/>
      <c r="CMN55" s="1567"/>
      <c r="CMO55" s="1088" t="s">
        <v>289</v>
      </c>
      <c r="CMP55" s="1567" t="s">
        <v>290</v>
      </c>
      <c r="CMQ55" s="1567"/>
      <c r="CMR55" s="1567"/>
      <c r="CMS55" s="1088" t="s">
        <v>289</v>
      </c>
      <c r="CMT55" s="1567" t="s">
        <v>290</v>
      </c>
      <c r="CMU55" s="1567"/>
      <c r="CMV55" s="1567"/>
      <c r="CMW55" s="1088" t="s">
        <v>289</v>
      </c>
      <c r="CMX55" s="1567" t="s">
        <v>290</v>
      </c>
      <c r="CMY55" s="1567"/>
      <c r="CMZ55" s="1567"/>
      <c r="CNA55" s="1088" t="s">
        <v>289</v>
      </c>
      <c r="CNB55" s="1567" t="s">
        <v>290</v>
      </c>
      <c r="CNC55" s="1567"/>
      <c r="CND55" s="1567"/>
      <c r="CNE55" s="1088" t="s">
        <v>289</v>
      </c>
      <c r="CNF55" s="1567" t="s">
        <v>290</v>
      </c>
      <c r="CNG55" s="1567"/>
      <c r="CNH55" s="1567"/>
      <c r="CNI55" s="1088" t="s">
        <v>289</v>
      </c>
      <c r="CNJ55" s="1567" t="s">
        <v>290</v>
      </c>
      <c r="CNK55" s="1567"/>
      <c r="CNL55" s="1567"/>
      <c r="CNM55" s="1088" t="s">
        <v>289</v>
      </c>
      <c r="CNN55" s="1567" t="s">
        <v>290</v>
      </c>
      <c r="CNO55" s="1567"/>
      <c r="CNP55" s="1567"/>
      <c r="CNQ55" s="1088" t="s">
        <v>289</v>
      </c>
      <c r="CNR55" s="1567" t="s">
        <v>290</v>
      </c>
      <c r="CNS55" s="1567"/>
      <c r="CNT55" s="1567"/>
      <c r="CNU55" s="1088" t="s">
        <v>289</v>
      </c>
      <c r="CNV55" s="1567" t="s">
        <v>290</v>
      </c>
      <c r="CNW55" s="1567"/>
      <c r="CNX55" s="1567"/>
      <c r="CNY55" s="1088" t="s">
        <v>289</v>
      </c>
      <c r="CNZ55" s="1567" t="s">
        <v>290</v>
      </c>
      <c r="COA55" s="1567"/>
      <c r="COB55" s="1567"/>
      <c r="COC55" s="1088" t="s">
        <v>289</v>
      </c>
      <c r="COD55" s="1567" t="s">
        <v>290</v>
      </c>
      <c r="COE55" s="1567"/>
      <c r="COF55" s="1567"/>
      <c r="COG55" s="1088" t="s">
        <v>289</v>
      </c>
      <c r="COH55" s="1567" t="s">
        <v>290</v>
      </c>
      <c r="COI55" s="1567"/>
      <c r="COJ55" s="1567"/>
      <c r="COK55" s="1088" t="s">
        <v>289</v>
      </c>
      <c r="COL55" s="1567" t="s">
        <v>290</v>
      </c>
      <c r="COM55" s="1567"/>
      <c r="CON55" s="1567"/>
      <c r="COO55" s="1088" t="s">
        <v>289</v>
      </c>
      <c r="COP55" s="1567" t="s">
        <v>290</v>
      </c>
      <c r="COQ55" s="1567"/>
      <c r="COR55" s="1567"/>
      <c r="COS55" s="1088" t="s">
        <v>289</v>
      </c>
      <c r="COT55" s="1567" t="s">
        <v>290</v>
      </c>
      <c r="COU55" s="1567"/>
      <c r="COV55" s="1567"/>
      <c r="COW55" s="1088" t="s">
        <v>289</v>
      </c>
      <c r="COX55" s="1567" t="s">
        <v>290</v>
      </c>
      <c r="COY55" s="1567"/>
      <c r="COZ55" s="1567"/>
      <c r="CPA55" s="1088" t="s">
        <v>289</v>
      </c>
      <c r="CPB55" s="1567" t="s">
        <v>290</v>
      </c>
      <c r="CPC55" s="1567"/>
      <c r="CPD55" s="1567"/>
      <c r="CPE55" s="1088" t="s">
        <v>289</v>
      </c>
      <c r="CPF55" s="1567" t="s">
        <v>290</v>
      </c>
      <c r="CPG55" s="1567"/>
      <c r="CPH55" s="1567"/>
      <c r="CPI55" s="1088" t="s">
        <v>289</v>
      </c>
      <c r="CPJ55" s="1567" t="s">
        <v>290</v>
      </c>
      <c r="CPK55" s="1567"/>
      <c r="CPL55" s="1567"/>
      <c r="CPM55" s="1088" t="s">
        <v>289</v>
      </c>
      <c r="CPN55" s="1567" t="s">
        <v>290</v>
      </c>
      <c r="CPO55" s="1567"/>
      <c r="CPP55" s="1567"/>
      <c r="CPQ55" s="1088" t="s">
        <v>289</v>
      </c>
      <c r="CPR55" s="1567" t="s">
        <v>290</v>
      </c>
      <c r="CPS55" s="1567"/>
      <c r="CPT55" s="1567"/>
      <c r="CPU55" s="1088" t="s">
        <v>289</v>
      </c>
      <c r="CPV55" s="1567" t="s">
        <v>290</v>
      </c>
      <c r="CPW55" s="1567"/>
      <c r="CPX55" s="1567"/>
      <c r="CPY55" s="1088" t="s">
        <v>289</v>
      </c>
      <c r="CPZ55" s="1567" t="s">
        <v>290</v>
      </c>
      <c r="CQA55" s="1567"/>
      <c r="CQB55" s="1567"/>
      <c r="CQC55" s="1088" t="s">
        <v>289</v>
      </c>
      <c r="CQD55" s="1567" t="s">
        <v>290</v>
      </c>
      <c r="CQE55" s="1567"/>
      <c r="CQF55" s="1567"/>
      <c r="CQG55" s="1088" t="s">
        <v>289</v>
      </c>
      <c r="CQH55" s="1567" t="s">
        <v>290</v>
      </c>
      <c r="CQI55" s="1567"/>
      <c r="CQJ55" s="1567"/>
      <c r="CQK55" s="1088" t="s">
        <v>289</v>
      </c>
      <c r="CQL55" s="1567" t="s">
        <v>290</v>
      </c>
      <c r="CQM55" s="1567"/>
      <c r="CQN55" s="1567"/>
      <c r="CQO55" s="1088" t="s">
        <v>289</v>
      </c>
      <c r="CQP55" s="1567" t="s">
        <v>290</v>
      </c>
      <c r="CQQ55" s="1567"/>
      <c r="CQR55" s="1567"/>
      <c r="CQS55" s="1088" t="s">
        <v>289</v>
      </c>
      <c r="CQT55" s="1567" t="s">
        <v>290</v>
      </c>
      <c r="CQU55" s="1567"/>
      <c r="CQV55" s="1567"/>
      <c r="CQW55" s="1088" t="s">
        <v>289</v>
      </c>
      <c r="CQX55" s="1567" t="s">
        <v>290</v>
      </c>
      <c r="CQY55" s="1567"/>
      <c r="CQZ55" s="1567"/>
      <c r="CRA55" s="1088" t="s">
        <v>289</v>
      </c>
      <c r="CRB55" s="1567" t="s">
        <v>290</v>
      </c>
      <c r="CRC55" s="1567"/>
      <c r="CRD55" s="1567"/>
      <c r="CRE55" s="1088" t="s">
        <v>289</v>
      </c>
      <c r="CRF55" s="1567" t="s">
        <v>290</v>
      </c>
      <c r="CRG55" s="1567"/>
      <c r="CRH55" s="1567"/>
      <c r="CRI55" s="1088" t="s">
        <v>289</v>
      </c>
      <c r="CRJ55" s="1567" t="s">
        <v>290</v>
      </c>
      <c r="CRK55" s="1567"/>
      <c r="CRL55" s="1567"/>
      <c r="CRM55" s="1088" t="s">
        <v>289</v>
      </c>
      <c r="CRN55" s="1567" t="s">
        <v>290</v>
      </c>
      <c r="CRO55" s="1567"/>
      <c r="CRP55" s="1567"/>
      <c r="CRQ55" s="1088" t="s">
        <v>289</v>
      </c>
      <c r="CRR55" s="1567" t="s">
        <v>290</v>
      </c>
      <c r="CRS55" s="1567"/>
      <c r="CRT55" s="1567"/>
      <c r="CRU55" s="1088" t="s">
        <v>289</v>
      </c>
      <c r="CRV55" s="1567" t="s">
        <v>290</v>
      </c>
      <c r="CRW55" s="1567"/>
      <c r="CRX55" s="1567"/>
      <c r="CRY55" s="1088" t="s">
        <v>289</v>
      </c>
      <c r="CRZ55" s="1567" t="s">
        <v>290</v>
      </c>
      <c r="CSA55" s="1567"/>
      <c r="CSB55" s="1567"/>
      <c r="CSC55" s="1088" t="s">
        <v>289</v>
      </c>
      <c r="CSD55" s="1567" t="s">
        <v>290</v>
      </c>
      <c r="CSE55" s="1567"/>
      <c r="CSF55" s="1567"/>
      <c r="CSG55" s="1088" t="s">
        <v>289</v>
      </c>
      <c r="CSH55" s="1567" t="s">
        <v>290</v>
      </c>
      <c r="CSI55" s="1567"/>
      <c r="CSJ55" s="1567"/>
      <c r="CSK55" s="1088" t="s">
        <v>289</v>
      </c>
      <c r="CSL55" s="1567" t="s">
        <v>290</v>
      </c>
      <c r="CSM55" s="1567"/>
      <c r="CSN55" s="1567"/>
      <c r="CSO55" s="1088" t="s">
        <v>289</v>
      </c>
      <c r="CSP55" s="1567" t="s">
        <v>290</v>
      </c>
      <c r="CSQ55" s="1567"/>
      <c r="CSR55" s="1567"/>
      <c r="CSS55" s="1088" t="s">
        <v>289</v>
      </c>
      <c r="CST55" s="1567" t="s">
        <v>290</v>
      </c>
      <c r="CSU55" s="1567"/>
      <c r="CSV55" s="1567"/>
      <c r="CSW55" s="1088" t="s">
        <v>289</v>
      </c>
      <c r="CSX55" s="1567" t="s">
        <v>290</v>
      </c>
      <c r="CSY55" s="1567"/>
      <c r="CSZ55" s="1567"/>
      <c r="CTA55" s="1088" t="s">
        <v>289</v>
      </c>
      <c r="CTB55" s="1567" t="s">
        <v>290</v>
      </c>
      <c r="CTC55" s="1567"/>
      <c r="CTD55" s="1567"/>
      <c r="CTE55" s="1088" t="s">
        <v>289</v>
      </c>
      <c r="CTF55" s="1567" t="s">
        <v>290</v>
      </c>
      <c r="CTG55" s="1567"/>
      <c r="CTH55" s="1567"/>
      <c r="CTI55" s="1088" t="s">
        <v>289</v>
      </c>
      <c r="CTJ55" s="1567" t="s">
        <v>290</v>
      </c>
      <c r="CTK55" s="1567"/>
      <c r="CTL55" s="1567"/>
      <c r="CTM55" s="1088" t="s">
        <v>289</v>
      </c>
      <c r="CTN55" s="1567" t="s">
        <v>290</v>
      </c>
      <c r="CTO55" s="1567"/>
      <c r="CTP55" s="1567"/>
      <c r="CTQ55" s="1088" t="s">
        <v>289</v>
      </c>
      <c r="CTR55" s="1567" t="s">
        <v>290</v>
      </c>
      <c r="CTS55" s="1567"/>
      <c r="CTT55" s="1567"/>
      <c r="CTU55" s="1088" t="s">
        <v>289</v>
      </c>
      <c r="CTV55" s="1567" t="s">
        <v>290</v>
      </c>
      <c r="CTW55" s="1567"/>
      <c r="CTX55" s="1567"/>
      <c r="CTY55" s="1088" t="s">
        <v>289</v>
      </c>
      <c r="CTZ55" s="1567" t="s">
        <v>290</v>
      </c>
      <c r="CUA55" s="1567"/>
      <c r="CUB55" s="1567"/>
      <c r="CUC55" s="1088" t="s">
        <v>289</v>
      </c>
      <c r="CUD55" s="1567" t="s">
        <v>290</v>
      </c>
      <c r="CUE55" s="1567"/>
      <c r="CUF55" s="1567"/>
      <c r="CUG55" s="1088" t="s">
        <v>289</v>
      </c>
      <c r="CUH55" s="1567" t="s">
        <v>290</v>
      </c>
      <c r="CUI55" s="1567"/>
      <c r="CUJ55" s="1567"/>
      <c r="CUK55" s="1088" t="s">
        <v>289</v>
      </c>
      <c r="CUL55" s="1567" t="s">
        <v>290</v>
      </c>
      <c r="CUM55" s="1567"/>
      <c r="CUN55" s="1567"/>
      <c r="CUO55" s="1088" t="s">
        <v>289</v>
      </c>
      <c r="CUP55" s="1567" t="s">
        <v>290</v>
      </c>
      <c r="CUQ55" s="1567"/>
      <c r="CUR55" s="1567"/>
      <c r="CUS55" s="1088" t="s">
        <v>289</v>
      </c>
      <c r="CUT55" s="1567" t="s">
        <v>290</v>
      </c>
      <c r="CUU55" s="1567"/>
      <c r="CUV55" s="1567"/>
      <c r="CUW55" s="1088" t="s">
        <v>289</v>
      </c>
      <c r="CUX55" s="1567" t="s">
        <v>290</v>
      </c>
      <c r="CUY55" s="1567"/>
      <c r="CUZ55" s="1567"/>
      <c r="CVA55" s="1088" t="s">
        <v>289</v>
      </c>
      <c r="CVB55" s="1567" t="s">
        <v>290</v>
      </c>
      <c r="CVC55" s="1567"/>
      <c r="CVD55" s="1567"/>
      <c r="CVE55" s="1088" t="s">
        <v>289</v>
      </c>
      <c r="CVF55" s="1567" t="s">
        <v>290</v>
      </c>
      <c r="CVG55" s="1567"/>
      <c r="CVH55" s="1567"/>
      <c r="CVI55" s="1088" t="s">
        <v>289</v>
      </c>
      <c r="CVJ55" s="1567" t="s">
        <v>290</v>
      </c>
      <c r="CVK55" s="1567"/>
      <c r="CVL55" s="1567"/>
      <c r="CVM55" s="1088" t="s">
        <v>289</v>
      </c>
      <c r="CVN55" s="1567" t="s">
        <v>290</v>
      </c>
      <c r="CVO55" s="1567"/>
      <c r="CVP55" s="1567"/>
      <c r="CVQ55" s="1088" t="s">
        <v>289</v>
      </c>
      <c r="CVR55" s="1567" t="s">
        <v>290</v>
      </c>
      <c r="CVS55" s="1567"/>
      <c r="CVT55" s="1567"/>
      <c r="CVU55" s="1088" t="s">
        <v>289</v>
      </c>
      <c r="CVV55" s="1567" t="s">
        <v>290</v>
      </c>
      <c r="CVW55" s="1567"/>
      <c r="CVX55" s="1567"/>
      <c r="CVY55" s="1088" t="s">
        <v>289</v>
      </c>
      <c r="CVZ55" s="1567" t="s">
        <v>290</v>
      </c>
      <c r="CWA55" s="1567"/>
      <c r="CWB55" s="1567"/>
      <c r="CWC55" s="1088" t="s">
        <v>289</v>
      </c>
      <c r="CWD55" s="1567" t="s">
        <v>290</v>
      </c>
      <c r="CWE55" s="1567"/>
      <c r="CWF55" s="1567"/>
      <c r="CWG55" s="1088" t="s">
        <v>289</v>
      </c>
      <c r="CWH55" s="1567" t="s">
        <v>290</v>
      </c>
      <c r="CWI55" s="1567"/>
      <c r="CWJ55" s="1567"/>
      <c r="CWK55" s="1088" t="s">
        <v>289</v>
      </c>
      <c r="CWL55" s="1567" t="s">
        <v>290</v>
      </c>
      <c r="CWM55" s="1567"/>
      <c r="CWN55" s="1567"/>
      <c r="CWO55" s="1088" t="s">
        <v>289</v>
      </c>
      <c r="CWP55" s="1567" t="s">
        <v>290</v>
      </c>
      <c r="CWQ55" s="1567"/>
      <c r="CWR55" s="1567"/>
      <c r="CWS55" s="1088" t="s">
        <v>289</v>
      </c>
      <c r="CWT55" s="1567" t="s">
        <v>290</v>
      </c>
      <c r="CWU55" s="1567"/>
      <c r="CWV55" s="1567"/>
      <c r="CWW55" s="1088" t="s">
        <v>289</v>
      </c>
      <c r="CWX55" s="1567" t="s">
        <v>290</v>
      </c>
      <c r="CWY55" s="1567"/>
      <c r="CWZ55" s="1567"/>
      <c r="CXA55" s="1088" t="s">
        <v>289</v>
      </c>
      <c r="CXB55" s="1567" t="s">
        <v>290</v>
      </c>
      <c r="CXC55" s="1567"/>
      <c r="CXD55" s="1567"/>
      <c r="CXE55" s="1088" t="s">
        <v>289</v>
      </c>
      <c r="CXF55" s="1567" t="s">
        <v>290</v>
      </c>
      <c r="CXG55" s="1567"/>
      <c r="CXH55" s="1567"/>
      <c r="CXI55" s="1088" t="s">
        <v>289</v>
      </c>
      <c r="CXJ55" s="1567" t="s">
        <v>290</v>
      </c>
      <c r="CXK55" s="1567"/>
      <c r="CXL55" s="1567"/>
      <c r="CXM55" s="1088" t="s">
        <v>289</v>
      </c>
      <c r="CXN55" s="1567" t="s">
        <v>290</v>
      </c>
      <c r="CXO55" s="1567"/>
      <c r="CXP55" s="1567"/>
      <c r="CXQ55" s="1088" t="s">
        <v>289</v>
      </c>
      <c r="CXR55" s="1567" t="s">
        <v>290</v>
      </c>
      <c r="CXS55" s="1567"/>
      <c r="CXT55" s="1567"/>
      <c r="CXU55" s="1088" t="s">
        <v>289</v>
      </c>
      <c r="CXV55" s="1567" t="s">
        <v>290</v>
      </c>
      <c r="CXW55" s="1567"/>
      <c r="CXX55" s="1567"/>
      <c r="CXY55" s="1088" t="s">
        <v>289</v>
      </c>
      <c r="CXZ55" s="1567" t="s">
        <v>290</v>
      </c>
      <c r="CYA55" s="1567"/>
      <c r="CYB55" s="1567"/>
      <c r="CYC55" s="1088" t="s">
        <v>289</v>
      </c>
      <c r="CYD55" s="1567" t="s">
        <v>290</v>
      </c>
      <c r="CYE55" s="1567"/>
      <c r="CYF55" s="1567"/>
      <c r="CYG55" s="1088" t="s">
        <v>289</v>
      </c>
      <c r="CYH55" s="1567" t="s">
        <v>290</v>
      </c>
      <c r="CYI55" s="1567"/>
      <c r="CYJ55" s="1567"/>
      <c r="CYK55" s="1088" t="s">
        <v>289</v>
      </c>
      <c r="CYL55" s="1567" t="s">
        <v>290</v>
      </c>
      <c r="CYM55" s="1567"/>
      <c r="CYN55" s="1567"/>
      <c r="CYO55" s="1088" t="s">
        <v>289</v>
      </c>
      <c r="CYP55" s="1567" t="s">
        <v>290</v>
      </c>
      <c r="CYQ55" s="1567"/>
      <c r="CYR55" s="1567"/>
      <c r="CYS55" s="1088" t="s">
        <v>289</v>
      </c>
      <c r="CYT55" s="1567" t="s">
        <v>290</v>
      </c>
      <c r="CYU55" s="1567"/>
      <c r="CYV55" s="1567"/>
      <c r="CYW55" s="1088" t="s">
        <v>289</v>
      </c>
      <c r="CYX55" s="1567" t="s">
        <v>290</v>
      </c>
      <c r="CYY55" s="1567"/>
      <c r="CYZ55" s="1567"/>
      <c r="CZA55" s="1088" t="s">
        <v>289</v>
      </c>
      <c r="CZB55" s="1567" t="s">
        <v>290</v>
      </c>
      <c r="CZC55" s="1567"/>
      <c r="CZD55" s="1567"/>
      <c r="CZE55" s="1088" t="s">
        <v>289</v>
      </c>
      <c r="CZF55" s="1567" t="s">
        <v>290</v>
      </c>
      <c r="CZG55" s="1567"/>
      <c r="CZH55" s="1567"/>
      <c r="CZI55" s="1088" t="s">
        <v>289</v>
      </c>
      <c r="CZJ55" s="1567" t="s">
        <v>290</v>
      </c>
      <c r="CZK55" s="1567"/>
      <c r="CZL55" s="1567"/>
      <c r="CZM55" s="1088" t="s">
        <v>289</v>
      </c>
      <c r="CZN55" s="1567" t="s">
        <v>290</v>
      </c>
      <c r="CZO55" s="1567"/>
      <c r="CZP55" s="1567"/>
      <c r="CZQ55" s="1088" t="s">
        <v>289</v>
      </c>
      <c r="CZR55" s="1567" t="s">
        <v>290</v>
      </c>
      <c r="CZS55" s="1567"/>
      <c r="CZT55" s="1567"/>
      <c r="CZU55" s="1088" t="s">
        <v>289</v>
      </c>
      <c r="CZV55" s="1567" t="s">
        <v>290</v>
      </c>
      <c r="CZW55" s="1567"/>
      <c r="CZX55" s="1567"/>
      <c r="CZY55" s="1088" t="s">
        <v>289</v>
      </c>
      <c r="CZZ55" s="1567" t="s">
        <v>290</v>
      </c>
      <c r="DAA55" s="1567"/>
      <c r="DAB55" s="1567"/>
      <c r="DAC55" s="1088" t="s">
        <v>289</v>
      </c>
      <c r="DAD55" s="1567" t="s">
        <v>290</v>
      </c>
      <c r="DAE55" s="1567"/>
      <c r="DAF55" s="1567"/>
      <c r="DAG55" s="1088" t="s">
        <v>289</v>
      </c>
      <c r="DAH55" s="1567" t="s">
        <v>290</v>
      </c>
      <c r="DAI55" s="1567"/>
      <c r="DAJ55" s="1567"/>
      <c r="DAK55" s="1088" t="s">
        <v>289</v>
      </c>
      <c r="DAL55" s="1567" t="s">
        <v>290</v>
      </c>
      <c r="DAM55" s="1567"/>
      <c r="DAN55" s="1567"/>
      <c r="DAO55" s="1088" t="s">
        <v>289</v>
      </c>
      <c r="DAP55" s="1567" t="s">
        <v>290</v>
      </c>
      <c r="DAQ55" s="1567"/>
      <c r="DAR55" s="1567"/>
      <c r="DAS55" s="1088" t="s">
        <v>289</v>
      </c>
      <c r="DAT55" s="1567" t="s">
        <v>290</v>
      </c>
      <c r="DAU55" s="1567"/>
      <c r="DAV55" s="1567"/>
      <c r="DAW55" s="1088" t="s">
        <v>289</v>
      </c>
      <c r="DAX55" s="1567" t="s">
        <v>290</v>
      </c>
      <c r="DAY55" s="1567"/>
      <c r="DAZ55" s="1567"/>
      <c r="DBA55" s="1088" t="s">
        <v>289</v>
      </c>
      <c r="DBB55" s="1567" t="s">
        <v>290</v>
      </c>
      <c r="DBC55" s="1567"/>
      <c r="DBD55" s="1567"/>
      <c r="DBE55" s="1088" t="s">
        <v>289</v>
      </c>
      <c r="DBF55" s="1567" t="s">
        <v>290</v>
      </c>
      <c r="DBG55" s="1567"/>
      <c r="DBH55" s="1567"/>
      <c r="DBI55" s="1088" t="s">
        <v>289</v>
      </c>
      <c r="DBJ55" s="1567" t="s">
        <v>290</v>
      </c>
      <c r="DBK55" s="1567"/>
      <c r="DBL55" s="1567"/>
      <c r="DBM55" s="1088" t="s">
        <v>289</v>
      </c>
      <c r="DBN55" s="1567" t="s">
        <v>290</v>
      </c>
      <c r="DBO55" s="1567"/>
      <c r="DBP55" s="1567"/>
      <c r="DBQ55" s="1088" t="s">
        <v>289</v>
      </c>
      <c r="DBR55" s="1567" t="s">
        <v>290</v>
      </c>
      <c r="DBS55" s="1567"/>
      <c r="DBT55" s="1567"/>
      <c r="DBU55" s="1088" t="s">
        <v>289</v>
      </c>
      <c r="DBV55" s="1567" t="s">
        <v>290</v>
      </c>
      <c r="DBW55" s="1567"/>
      <c r="DBX55" s="1567"/>
      <c r="DBY55" s="1088" t="s">
        <v>289</v>
      </c>
      <c r="DBZ55" s="1567" t="s">
        <v>290</v>
      </c>
      <c r="DCA55" s="1567"/>
      <c r="DCB55" s="1567"/>
      <c r="DCC55" s="1088" t="s">
        <v>289</v>
      </c>
      <c r="DCD55" s="1567" t="s">
        <v>290</v>
      </c>
      <c r="DCE55" s="1567"/>
      <c r="DCF55" s="1567"/>
      <c r="DCG55" s="1088" t="s">
        <v>289</v>
      </c>
      <c r="DCH55" s="1567" t="s">
        <v>290</v>
      </c>
      <c r="DCI55" s="1567"/>
      <c r="DCJ55" s="1567"/>
      <c r="DCK55" s="1088" t="s">
        <v>289</v>
      </c>
      <c r="DCL55" s="1567" t="s">
        <v>290</v>
      </c>
      <c r="DCM55" s="1567"/>
      <c r="DCN55" s="1567"/>
      <c r="DCO55" s="1088" t="s">
        <v>289</v>
      </c>
      <c r="DCP55" s="1567" t="s">
        <v>290</v>
      </c>
      <c r="DCQ55" s="1567"/>
      <c r="DCR55" s="1567"/>
      <c r="DCS55" s="1088" t="s">
        <v>289</v>
      </c>
      <c r="DCT55" s="1567" t="s">
        <v>290</v>
      </c>
      <c r="DCU55" s="1567"/>
      <c r="DCV55" s="1567"/>
      <c r="DCW55" s="1088" t="s">
        <v>289</v>
      </c>
      <c r="DCX55" s="1567" t="s">
        <v>290</v>
      </c>
      <c r="DCY55" s="1567"/>
      <c r="DCZ55" s="1567"/>
      <c r="DDA55" s="1088" t="s">
        <v>289</v>
      </c>
      <c r="DDB55" s="1567" t="s">
        <v>290</v>
      </c>
      <c r="DDC55" s="1567"/>
      <c r="DDD55" s="1567"/>
      <c r="DDE55" s="1088" t="s">
        <v>289</v>
      </c>
      <c r="DDF55" s="1567" t="s">
        <v>290</v>
      </c>
      <c r="DDG55" s="1567"/>
      <c r="DDH55" s="1567"/>
      <c r="DDI55" s="1088" t="s">
        <v>289</v>
      </c>
      <c r="DDJ55" s="1567" t="s">
        <v>290</v>
      </c>
      <c r="DDK55" s="1567"/>
      <c r="DDL55" s="1567"/>
      <c r="DDM55" s="1088" t="s">
        <v>289</v>
      </c>
      <c r="DDN55" s="1567" t="s">
        <v>290</v>
      </c>
      <c r="DDO55" s="1567"/>
      <c r="DDP55" s="1567"/>
      <c r="DDQ55" s="1088" t="s">
        <v>289</v>
      </c>
      <c r="DDR55" s="1567" t="s">
        <v>290</v>
      </c>
      <c r="DDS55" s="1567"/>
      <c r="DDT55" s="1567"/>
      <c r="DDU55" s="1088" t="s">
        <v>289</v>
      </c>
      <c r="DDV55" s="1567" t="s">
        <v>290</v>
      </c>
      <c r="DDW55" s="1567"/>
      <c r="DDX55" s="1567"/>
      <c r="DDY55" s="1088" t="s">
        <v>289</v>
      </c>
      <c r="DDZ55" s="1567" t="s">
        <v>290</v>
      </c>
      <c r="DEA55" s="1567"/>
      <c r="DEB55" s="1567"/>
      <c r="DEC55" s="1088" t="s">
        <v>289</v>
      </c>
      <c r="DED55" s="1567" t="s">
        <v>290</v>
      </c>
      <c r="DEE55" s="1567"/>
      <c r="DEF55" s="1567"/>
      <c r="DEG55" s="1088" t="s">
        <v>289</v>
      </c>
      <c r="DEH55" s="1567" t="s">
        <v>290</v>
      </c>
      <c r="DEI55" s="1567"/>
      <c r="DEJ55" s="1567"/>
      <c r="DEK55" s="1088" t="s">
        <v>289</v>
      </c>
      <c r="DEL55" s="1567" t="s">
        <v>290</v>
      </c>
      <c r="DEM55" s="1567"/>
      <c r="DEN55" s="1567"/>
      <c r="DEO55" s="1088" t="s">
        <v>289</v>
      </c>
      <c r="DEP55" s="1567" t="s">
        <v>290</v>
      </c>
      <c r="DEQ55" s="1567"/>
      <c r="DER55" s="1567"/>
      <c r="DES55" s="1088" t="s">
        <v>289</v>
      </c>
      <c r="DET55" s="1567" t="s">
        <v>290</v>
      </c>
      <c r="DEU55" s="1567"/>
      <c r="DEV55" s="1567"/>
      <c r="DEW55" s="1088" t="s">
        <v>289</v>
      </c>
      <c r="DEX55" s="1567" t="s">
        <v>290</v>
      </c>
      <c r="DEY55" s="1567"/>
      <c r="DEZ55" s="1567"/>
      <c r="DFA55" s="1088" t="s">
        <v>289</v>
      </c>
      <c r="DFB55" s="1567" t="s">
        <v>290</v>
      </c>
      <c r="DFC55" s="1567"/>
      <c r="DFD55" s="1567"/>
      <c r="DFE55" s="1088" t="s">
        <v>289</v>
      </c>
      <c r="DFF55" s="1567" t="s">
        <v>290</v>
      </c>
      <c r="DFG55" s="1567"/>
      <c r="DFH55" s="1567"/>
      <c r="DFI55" s="1088" t="s">
        <v>289</v>
      </c>
      <c r="DFJ55" s="1567" t="s">
        <v>290</v>
      </c>
      <c r="DFK55" s="1567"/>
      <c r="DFL55" s="1567"/>
      <c r="DFM55" s="1088" t="s">
        <v>289</v>
      </c>
      <c r="DFN55" s="1567" t="s">
        <v>290</v>
      </c>
      <c r="DFO55" s="1567"/>
      <c r="DFP55" s="1567"/>
      <c r="DFQ55" s="1088" t="s">
        <v>289</v>
      </c>
      <c r="DFR55" s="1567" t="s">
        <v>290</v>
      </c>
      <c r="DFS55" s="1567"/>
      <c r="DFT55" s="1567"/>
      <c r="DFU55" s="1088" t="s">
        <v>289</v>
      </c>
      <c r="DFV55" s="1567" t="s">
        <v>290</v>
      </c>
      <c r="DFW55" s="1567"/>
      <c r="DFX55" s="1567"/>
      <c r="DFY55" s="1088" t="s">
        <v>289</v>
      </c>
      <c r="DFZ55" s="1567" t="s">
        <v>290</v>
      </c>
      <c r="DGA55" s="1567"/>
      <c r="DGB55" s="1567"/>
      <c r="DGC55" s="1088" t="s">
        <v>289</v>
      </c>
      <c r="DGD55" s="1567" t="s">
        <v>290</v>
      </c>
      <c r="DGE55" s="1567"/>
      <c r="DGF55" s="1567"/>
      <c r="DGG55" s="1088" t="s">
        <v>289</v>
      </c>
      <c r="DGH55" s="1567" t="s">
        <v>290</v>
      </c>
      <c r="DGI55" s="1567"/>
      <c r="DGJ55" s="1567"/>
      <c r="DGK55" s="1088" t="s">
        <v>289</v>
      </c>
      <c r="DGL55" s="1567" t="s">
        <v>290</v>
      </c>
      <c r="DGM55" s="1567"/>
      <c r="DGN55" s="1567"/>
      <c r="DGO55" s="1088" t="s">
        <v>289</v>
      </c>
      <c r="DGP55" s="1567" t="s">
        <v>290</v>
      </c>
      <c r="DGQ55" s="1567"/>
      <c r="DGR55" s="1567"/>
      <c r="DGS55" s="1088" t="s">
        <v>289</v>
      </c>
      <c r="DGT55" s="1567" t="s">
        <v>290</v>
      </c>
      <c r="DGU55" s="1567"/>
      <c r="DGV55" s="1567"/>
      <c r="DGW55" s="1088" t="s">
        <v>289</v>
      </c>
      <c r="DGX55" s="1567" t="s">
        <v>290</v>
      </c>
      <c r="DGY55" s="1567"/>
      <c r="DGZ55" s="1567"/>
      <c r="DHA55" s="1088" t="s">
        <v>289</v>
      </c>
      <c r="DHB55" s="1567" t="s">
        <v>290</v>
      </c>
      <c r="DHC55" s="1567"/>
      <c r="DHD55" s="1567"/>
      <c r="DHE55" s="1088" t="s">
        <v>289</v>
      </c>
      <c r="DHF55" s="1567" t="s">
        <v>290</v>
      </c>
      <c r="DHG55" s="1567"/>
      <c r="DHH55" s="1567"/>
      <c r="DHI55" s="1088" t="s">
        <v>289</v>
      </c>
      <c r="DHJ55" s="1567" t="s">
        <v>290</v>
      </c>
      <c r="DHK55" s="1567"/>
      <c r="DHL55" s="1567"/>
      <c r="DHM55" s="1088" t="s">
        <v>289</v>
      </c>
      <c r="DHN55" s="1567" t="s">
        <v>290</v>
      </c>
      <c r="DHO55" s="1567"/>
      <c r="DHP55" s="1567"/>
      <c r="DHQ55" s="1088" t="s">
        <v>289</v>
      </c>
      <c r="DHR55" s="1567" t="s">
        <v>290</v>
      </c>
      <c r="DHS55" s="1567"/>
      <c r="DHT55" s="1567"/>
      <c r="DHU55" s="1088" t="s">
        <v>289</v>
      </c>
      <c r="DHV55" s="1567" t="s">
        <v>290</v>
      </c>
      <c r="DHW55" s="1567"/>
      <c r="DHX55" s="1567"/>
      <c r="DHY55" s="1088" t="s">
        <v>289</v>
      </c>
      <c r="DHZ55" s="1567" t="s">
        <v>290</v>
      </c>
      <c r="DIA55" s="1567"/>
      <c r="DIB55" s="1567"/>
      <c r="DIC55" s="1088" t="s">
        <v>289</v>
      </c>
      <c r="DID55" s="1567" t="s">
        <v>290</v>
      </c>
      <c r="DIE55" s="1567"/>
      <c r="DIF55" s="1567"/>
      <c r="DIG55" s="1088" t="s">
        <v>289</v>
      </c>
      <c r="DIH55" s="1567" t="s">
        <v>290</v>
      </c>
      <c r="DII55" s="1567"/>
      <c r="DIJ55" s="1567"/>
      <c r="DIK55" s="1088" t="s">
        <v>289</v>
      </c>
      <c r="DIL55" s="1567" t="s">
        <v>290</v>
      </c>
      <c r="DIM55" s="1567"/>
      <c r="DIN55" s="1567"/>
      <c r="DIO55" s="1088" t="s">
        <v>289</v>
      </c>
      <c r="DIP55" s="1567" t="s">
        <v>290</v>
      </c>
      <c r="DIQ55" s="1567"/>
      <c r="DIR55" s="1567"/>
      <c r="DIS55" s="1088" t="s">
        <v>289</v>
      </c>
      <c r="DIT55" s="1567" t="s">
        <v>290</v>
      </c>
      <c r="DIU55" s="1567"/>
      <c r="DIV55" s="1567"/>
      <c r="DIW55" s="1088" t="s">
        <v>289</v>
      </c>
      <c r="DIX55" s="1567" t="s">
        <v>290</v>
      </c>
      <c r="DIY55" s="1567"/>
      <c r="DIZ55" s="1567"/>
      <c r="DJA55" s="1088" t="s">
        <v>289</v>
      </c>
      <c r="DJB55" s="1567" t="s">
        <v>290</v>
      </c>
      <c r="DJC55" s="1567"/>
      <c r="DJD55" s="1567"/>
      <c r="DJE55" s="1088" t="s">
        <v>289</v>
      </c>
      <c r="DJF55" s="1567" t="s">
        <v>290</v>
      </c>
      <c r="DJG55" s="1567"/>
      <c r="DJH55" s="1567"/>
      <c r="DJI55" s="1088" t="s">
        <v>289</v>
      </c>
      <c r="DJJ55" s="1567" t="s">
        <v>290</v>
      </c>
      <c r="DJK55" s="1567"/>
      <c r="DJL55" s="1567"/>
      <c r="DJM55" s="1088" t="s">
        <v>289</v>
      </c>
      <c r="DJN55" s="1567" t="s">
        <v>290</v>
      </c>
      <c r="DJO55" s="1567"/>
      <c r="DJP55" s="1567"/>
      <c r="DJQ55" s="1088" t="s">
        <v>289</v>
      </c>
      <c r="DJR55" s="1567" t="s">
        <v>290</v>
      </c>
      <c r="DJS55" s="1567"/>
      <c r="DJT55" s="1567"/>
      <c r="DJU55" s="1088" t="s">
        <v>289</v>
      </c>
      <c r="DJV55" s="1567" t="s">
        <v>290</v>
      </c>
      <c r="DJW55" s="1567"/>
      <c r="DJX55" s="1567"/>
      <c r="DJY55" s="1088" t="s">
        <v>289</v>
      </c>
      <c r="DJZ55" s="1567" t="s">
        <v>290</v>
      </c>
      <c r="DKA55" s="1567"/>
      <c r="DKB55" s="1567"/>
      <c r="DKC55" s="1088" t="s">
        <v>289</v>
      </c>
      <c r="DKD55" s="1567" t="s">
        <v>290</v>
      </c>
      <c r="DKE55" s="1567"/>
      <c r="DKF55" s="1567"/>
      <c r="DKG55" s="1088" t="s">
        <v>289</v>
      </c>
      <c r="DKH55" s="1567" t="s">
        <v>290</v>
      </c>
      <c r="DKI55" s="1567"/>
      <c r="DKJ55" s="1567"/>
      <c r="DKK55" s="1088" t="s">
        <v>289</v>
      </c>
      <c r="DKL55" s="1567" t="s">
        <v>290</v>
      </c>
      <c r="DKM55" s="1567"/>
      <c r="DKN55" s="1567"/>
      <c r="DKO55" s="1088" t="s">
        <v>289</v>
      </c>
      <c r="DKP55" s="1567" t="s">
        <v>290</v>
      </c>
      <c r="DKQ55" s="1567"/>
      <c r="DKR55" s="1567"/>
      <c r="DKS55" s="1088" t="s">
        <v>289</v>
      </c>
      <c r="DKT55" s="1567" t="s">
        <v>290</v>
      </c>
      <c r="DKU55" s="1567"/>
      <c r="DKV55" s="1567"/>
      <c r="DKW55" s="1088" t="s">
        <v>289</v>
      </c>
      <c r="DKX55" s="1567" t="s">
        <v>290</v>
      </c>
      <c r="DKY55" s="1567"/>
      <c r="DKZ55" s="1567"/>
      <c r="DLA55" s="1088" t="s">
        <v>289</v>
      </c>
      <c r="DLB55" s="1567" t="s">
        <v>290</v>
      </c>
      <c r="DLC55" s="1567"/>
      <c r="DLD55" s="1567"/>
      <c r="DLE55" s="1088" t="s">
        <v>289</v>
      </c>
      <c r="DLF55" s="1567" t="s">
        <v>290</v>
      </c>
      <c r="DLG55" s="1567"/>
      <c r="DLH55" s="1567"/>
      <c r="DLI55" s="1088" t="s">
        <v>289</v>
      </c>
      <c r="DLJ55" s="1567" t="s">
        <v>290</v>
      </c>
      <c r="DLK55" s="1567"/>
      <c r="DLL55" s="1567"/>
      <c r="DLM55" s="1088" t="s">
        <v>289</v>
      </c>
      <c r="DLN55" s="1567" t="s">
        <v>290</v>
      </c>
      <c r="DLO55" s="1567"/>
      <c r="DLP55" s="1567"/>
      <c r="DLQ55" s="1088" t="s">
        <v>289</v>
      </c>
      <c r="DLR55" s="1567" t="s">
        <v>290</v>
      </c>
      <c r="DLS55" s="1567"/>
      <c r="DLT55" s="1567"/>
      <c r="DLU55" s="1088" t="s">
        <v>289</v>
      </c>
      <c r="DLV55" s="1567" t="s">
        <v>290</v>
      </c>
      <c r="DLW55" s="1567"/>
      <c r="DLX55" s="1567"/>
      <c r="DLY55" s="1088" t="s">
        <v>289</v>
      </c>
      <c r="DLZ55" s="1567" t="s">
        <v>290</v>
      </c>
      <c r="DMA55" s="1567"/>
      <c r="DMB55" s="1567"/>
      <c r="DMC55" s="1088" t="s">
        <v>289</v>
      </c>
      <c r="DMD55" s="1567" t="s">
        <v>290</v>
      </c>
      <c r="DME55" s="1567"/>
      <c r="DMF55" s="1567"/>
      <c r="DMG55" s="1088" t="s">
        <v>289</v>
      </c>
      <c r="DMH55" s="1567" t="s">
        <v>290</v>
      </c>
      <c r="DMI55" s="1567"/>
      <c r="DMJ55" s="1567"/>
      <c r="DMK55" s="1088" t="s">
        <v>289</v>
      </c>
      <c r="DML55" s="1567" t="s">
        <v>290</v>
      </c>
      <c r="DMM55" s="1567"/>
      <c r="DMN55" s="1567"/>
      <c r="DMO55" s="1088" t="s">
        <v>289</v>
      </c>
      <c r="DMP55" s="1567" t="s">
        <v>290</v>
      </c>
      <c r="DMQ55" s="1567"/>
      <c r="DMR55" s="1567"/>
      <c r="DMS55" s="1088" t="s">
        <v>289</v>
      </c>
      <c r="DMT55" s="1567" t="s">
        <v>290</v>
      </c>
      <c r="DMU55" s="1567"/>
      <c r="DMV55" s="1567"/>
      <c r="DMW55" s="1088" t="s">
        <v>289</v>
      </c>
      <c r="DMX55" s="1567" t="s">
        <v>290</v>
      </c>
      <c r="DMY55" s="1567"/>
      <c r="DMZ55" s="1567"/>
      <c r="DNA55" s="1088" t="s">
        <v>289</v>
      </c>
      <c r="DNB55" s="1567" t="s">
        <v>290</v>
      </c>
      <c r="DNC55" s="1567"/>
      <c r="DND55" s="1567"/>
      <c r="DNE55" s="1088" t="s">
        <v>289</v>
      </c>
      <c r="DNF55" s="1567" t="s">
        <v>290</v>
      </c>
      <c r="DNG55" s="1567"/>
      <c r="DNH55" s="1567"/>
      <c r="DNI55" s="1088" t="s">
        <v>289</v>
      </c>
      <c r="DNJ55" s="1567" t="s">
        <v>290</v>
      </c>
      <c r="DNK55" s="1567"/>
      <c r="DNL55" s="1567"/>
      <c r="DNM55" s="1088" t="s">
        <v>289</v>
      </c>
      <c r="DNN55" s="1567" t="s">
        <v>290</v>
      </c>
      <c r="DNO55" s="1567"/>
      <c r="DNP55" s="1567"/>
      <c r="DNQ55" s="1088" t="s">
        <v>289</v>
      </c>
      <c r="DNR55" s="1567" t="s">
        <v>290</v>
      </c>
      <c r="DNS55" s="1567"/>
      <c r="DNT55" s="1567"/>
      <c r="DNU55" s="1088" t="s">
        <v>289</v>
      </c>
      <c r="DNV55" s="1567" t="s">
        <v>290</v>
      </c>
      <c r="DNW55" s="1567"/>
      <c r="DNX55" s="1567"/>
      <c r="DNY55" s="1088" t="s">
        <v>289</v>
      </c>
      <c r="DNZ55" s="1567" t="s">
        <v>290</v>
      </c>
      <c r="DOA55" s="1567"/>
      <c r="DOB55" s="1567"/>
      <c r="DOC55" s="1088" t="s">
        <v>289</v>
      </c>
      <c r="DOD55" s="1567" t="s">
        <v>290</v>
      </c>
      <c r="DOE55" s="1567"/>
      <c r="DOF55" s="1567"/>
      <c r="DOG55" s="1088" t="s">
        <v>289</v>
      </c>
      <c r="DOH55" s="1567" t="s">
        <v>290</v>
      </c>
      <c r="DOI55" s="1567"/>
      <c r="DOJ55" s="1567"/>
      <c r="DOK55" s="1088" t="s">
        <v>289</v>
      </c>
      <c r="DOL55" s="1567" t="s">
        <v>290</v>
      </c>
      <c r="DOM55" s="1567"/>
      <c r="DON55" s="1567"/>
      <c r="DOO55" s="1088" t="s">
        <v>289</v>
      </c>
      <c r="DOP55" s="1567" t="s">
        <v>290</v>
      </c>
      <c r="DOQ55" s="1567"/>
      <c r="DOR55" s="1567"/>
      <c r="DOS55" s="1088" t="s">
        <v>289</v>
      </c>
      <c r="DOT55" s="1567" t="s">
        <v>290</v>
      </c>
      <c r="DOU55" s="1567"/>
      <c r="DOV55" s="1567"/>
      <c r="DOW55" s="1088" t="s">
        <v>289</v>
      </c>
      <c r="DOX55" s="1567" t="s">
        <v>290</v>
      </c>
      <c r="DOY55" s="1567"/>
      <c r="DOZ55" s="1567"/>
      <c r="DPA55" s="1088" t="s">
        <v>289</v>
      </c>
      <c r="DPB55" s="1567" t="s">
        <v>290</v>
      </c>
      <c r="DPC55" s="1567"/>
      <c r="DPD55" s="1567"/>
      <c r="DPE55" s="1088" t="s">
        <v>289</v>
      </c>
      <c r="DPF55" s="1567" t="s">
        <v>290</v>
      </c>
      <c r="DPG55" s="1567"/>
      <c r="DPH55" s="1567"/>
      <c r="DPI55" s="1088" t="s">
        <v>289</v>
      </c>
      <c r="DPJ55" s="1567" t="s">
        <v>290</v>
      </c>
      <c r="DPK55" s="1567"/>
      <c r="DPL55" s="1567"/>
      <c r="DPM55" s="1088" t="s">
        <v>289</v>
      </c>
      <c r="DPN55" s="1567" t="s">
        <v>290</v>
      </c>
      <c r="DPO55" s="1567"/>
      <c r="DPP55" s="1567"/>
      <c r="DPQ55" s="1088" t="s">
        <v>289</v>
      </c>
      <c r="DPR55" s="1567" t="s">
        <v>290</v>
      </c>
      <c r="DPS55" s="1567"/>
      <c r="DPT55" s="1567"/>
      <c r="DPU55" s="1088" t="s">
        <v>289</v>
      </c>
      <c r="DPV55" s="1567" t="s">
        <v>290</v>
      </c>
      <c r="DPW55" s="1567"/>
      <c r="DPX55" s="1567"/>
      <c r="DPY55" s="1088" t="s">
        <v>289</v>
      </c>
      <c r="DPZ55" s="1567" t="s">
        <v>290</v>
      </c>
      <c r="DQA55" s="1567"/>
      <c r="DQB55" s="1567"/>
      <c r="DQC55" s="1088" t="s">
        <v>289</v>
      </c>
      <c r="DQD55" s="1567" t="s">
        <v>290</v>
      </c>
      <c r="DQE55" s="1567"/>
      <c r="DQF55" s="1567"/>
      <c r="DQG55" s="1088" t="s">
        <v>289</v>
      </c>
      <c r="DQH55" s="1567" t="s">
        <v>290</v>
      </c>
      <c r="DQI55" s="1567"/>
      <c r="DQJ55" s="1567"/>
      <c r="DQK55" s="1088" t="s">
        <v>289</v>
      </c>
      <c r="DQL55" s="1567" t="s">
        <v>290</v>
      </c>
      <c r="DQM55" s="1567"/>
      <c r="DQN55" s="1567"/>
      <c r="DQO55" s="1088" t="s">
        <v>289</v>
      </c>
      <c r="DQP55" s="1567" t="s">
        <v>290</v>
      </c>
      <c r="DQQ55" s="1567"/>
      <c r="DQR55" s="1567"/>
      <c r="DQS55" s="1088" t="s">
        <v>289</v>
      </c>
      <c r="DQT55" s="1567" t="s">
        <v>290</v>
      </c>
      <c r="DQU55" s="1567"/>
      <c r="DQV55" s="1567"/>
      <c r="DQW55" s="1088" t="s">
        <v>289</v>
      </c>
      <c r="DQX55" s="1567" t="s">
        <v>290</v>
      </c>
      <c r="DQY55" s="1567"/>
      <c r="DQZ55" s="1567"/>
      <c r="DRA55" s="1088" t="s">
        <v>289</v>
      </c>
      <c r="DRB55" s="1567" t="s">
        <v>290</v>
      </c>
      <c r="DRC55" s="1567"/>
      <c r="DRD55" s="1567"/>
      <c r="DRE55" s="1088" t="s">
        <v>289</v>
      </c>
      <c r="DRF55" s="1567" t="s">
        <v>290</v>
      </c>
      <c r="DRG55" s="1567"/>
      <c r="DRH55" s="1567"/>
      <c r="DRI55" s="1088" t="s">
        <v>289</v>
      </c>
      <c r="DRJ55" s="1567" t="s">
        <v>290</v>
      </c>
      <c r="DRK55" s="1567"/>
      <c r="DRL55" s="1567"/>
      <c r="DRM55" s="1088" t="s">
        <v>289</v>
      </c>
      <c r="DRN55" s="1567" t="s">
        <v>290</v>
      </c>
      <c r="DRO55" s="1567"/>
      <c r="DRP55" s="1567"/>
      <c r="DRQ55" s="1088" t="s">
        <v>289</v>
      </c>
      <c r="DRR55" s="1567" t="s">
        <v>290</v>
      </c>
      <c r="DRS55" s="1567"/>
      <c r="DRT55" s="1567"/>
      <c r="DRU55" s="1088" t="s">
        <v>289</v>
      </c>
      <c r="DRV55" s="1567" t="s">
        <v>290</v>
      </c>
      <c r="DRW55" s="1567"/>
      <c r="DRX55" s="1567"/>
      <c r="DRY55" s="1088" t="s">
        <v>289</v>
      </c>
      <c r="DRZ55" s="1567" t="s">
        <v>290</v>
      </c>
      <c r="DSA55" s="1567"/>
      <c r="DSB55" s="1567"/>
      <c r="DSC55" s="1088" t="s">
        <v>289</v>
      </c>
      <c r="DSD55" s="1567" t="s">
        <v>290</v>
      </c>
      <c r="DSE55" s="1567"/>
      <c r="DSF55" s="1567"/>
      <c r="DSG55" s="1088" t="s">
        <v>289</v>
      </c>
      <c r="DSH55" s="1567" t="s">
        <v>290</v>
      </c>
      <c r="DSI55" s="1567"/>
      <c r="DSJ55" s="1567"/>
      <c r="DSK55" s="1088" t="s">
        <v>289</v>
      </c>
      <c r="DSL55" s="1567" t="s">
        <v>290</v>
      </c>
      <c r="DSM55" s="1567"/>
      <c r="DSN55" s="1567"/>
      <c r="DSO55" s="1088" t="s">
        <v>289</v>
      </c>
      <c r="DSP55" s="1567" t="s">
        <v>290</v>
      </c>
      <c r="DSQ55" s="1567"/>
      <c r="DSR55" s="1567"/>
      <c r="DSS55" s="1088" t="s">
        <v>289</v>
      </c>
      <c r="DST55" s="1567" t="s">
        <v>290</v>
      </c>
      <c r="DSU55" s="1567"/>
      <c r="DSV55" s="1567"/>
      <c r="DSW55" s="1088" t="s">
        <v>289</v>
      </c>
      <c r="DSX55" s="1567" t="s">
        <v>290</v>
      </c>
      <c r="DSY55" s="1567"/>
      <c r="DSZ55" s="1567"/>
      <c r="DTA55" s="1088" t="s">
        <v>289</v>
      </c>
      <c r="DTB55" s="1567" t="s">
        <v>290</v>
      </c>
      <c r="DTC55" s="1567"/>
      <c r="DTD55" s="1567"/>
      <c r="DTE55" s="1088" t="s">
        <v>289</v>
      </c>
      <c r="DTF55" s="1567" t="s">
        <v>290</v>
      </c>
      <c r="DTG55" s="1567"/>
      <c r="DTH55" s="1567"/>
      <c r="DTI55" s="1088" t="s">
        <v>289</v>
      </c>
      <c r="DTJ55" s="1567" t="s">
        <v>290</v>
      </c>
      <c r="DTK55" s="1567"/>
      <c r="DTL55" s="1567"/>
      <c r="DTM55" s="1088" t="s">
        <v>289</v>
      </c>
      <c r="DTN55" s="1567" t="s">
        <v>290</v>
      </c>
      <c r="DTO55" s="1567"/>
      <c r="DTP55" s="1567"/>
      <c r="DTQ55" s="1088" t="s">
        <v>289</v>
      </c>
      <c r="DTR55" s="1567" t="s">
        <v>290</v>
      </c>
      <c r="DTS55" s="1567"/>
      <c r="DTT55" s="1567"/>
      <c r="DTU55" s="1088" t="s">
        <v>289</v>
      </c>
      <c r="DTV55" s="1567" t="s">
        <v>290</v>
      </c>
      <c r="DTW55" s="1567"/>
      <c r="DTX55" s="1567"/>
      <c r="DTY55" s="1088" t="s">
        <v>289</v>
      </c>
      <c r="DTZ55" s="1567" t="s">
        <v>290</v>
      </c>
      <c r="DUA55" s="1567"/>
      <c r="DUB55" s="1567"/>
      <c r="DUC55" s="1088" t="s">
        <v>289</v>
      </c>
      <c r="DUD55" s="1567" t="s">
        <v>290</v>
      </c>
      <c r="DUE55" s="1567"/>
      <c r="DUF55" s="1567"/>
      <c r="DUG55" s="1088" t="s">
        <v>289</v>
      </c>
      <c r="DUH55" s="1567" t="s">
        <v>290</v>
      </c>
      <c r="DUI55" s="1567"/>
      <c r="DUJ55" s="1567"/>
      <c r="DUK55" s="1088" t="s">
        <v>289</v>
      </c>
      <c r="DUL55" s="1567" t="s">
        <v>290</v>
      </c>
      <c r="DUM55" s="1567"/>
      <c r="DUN55" s="1567"/>
      <c r="DUO55" s="1088" t="s">
        <v>289</v>
      </c>
      <c r="DUP55" s="1567" t="s">
        <v>290</v>
      </c>
      <c r="DUQ55" s="1567"/>
      <c r="DUR55" s="1567"/>
      <c r="DUS55" s="1088" t="s">
        <v>289</v>
      </c>
      <c r="DUT55" s="1567" t="s">
        <v>290</v>
      </c>
      <c r="DUU55" s="1567"/>
      <c r="DUV55" s="1567"/>
      <c r="DUW55" s="1088" t="s">
        <v>289</v>
      </c>
      <c r="DUX55" s="1567" t="s">
        <v>290</v>
      </c>
      <c r="DUY55" s="1567"/>
      <c r="DUZ55" s="1567"/>
      <c r="DVA55" s="1088" t="s">
        <v>289</v>
      </c>
      <c r="DVB55" s="1567" t="s">
        <v>290</v>
      </c>
      <c r="DVC55" s="1567"/>
      <c r="DVD55" s="1567"/>
      <c r="DVE55" s="1088" t="s">
        <v>289</v>
      </c>
      <c r="DVF55" s="1567" t="s">
        <v>290</v>
      </c>
      <c r="DVG55" s="1567"/>
      <c r="DVH55" s="1567"/>
      <c r="DVI55" s="1088" t="s">
        <v>289</v>
      </c>
      <c r="DVJ55" s="1567" t="s">
        <v>290</v>
      </c>
      <c r="DVK55" s="1567"/>
      <c r="DVL55" s="1567"/>
      <c r="DVM55" s="1088" t="s">
        <v>289</v>
      </c>
      <c r="DVN55" s="1567" t="s">
        <v>290</v>
      </c>
      <c r="DVO55" s="1567"/>
      <c r="DVP55" s="1567"/>
      <c r="DVQ55" s="1088" t="s">
        <v>289</v>
      </c>
      <c r="DVR55" s="1567" t="s">
        <v>290</v>
      </c>
      <c r="DVS55" s="1567"/>
      <c r="DVT55" s="1567"/>
      <c r="DVU55" s="1088" t="s">
        <v>289</v>
      </c>
      <c r="DVV55" s="1567" t="s">
        <v>290</v>
      </c>
      <c r="DVW55" s="1567"/>
      <c r="DVX55" s="1567"/>
      <c r="DVY55" s="1088" t="s">
        <v>289</v>
      </c>
      <c r="DVZ55" s="1567" t="s">
        <v>290</v>
      </c>
      <c r="DWA55" s="1567"/>
      <c r="DWB55" s="1567"/>
      <c r="DWC55" s="1088" t="s">
        <v>289</v>
      </c>
      <c r="DWD55" s="1567" t="s">
        <v>290</v>
      </c>
      <c r="DWE55" s="1567"/>
      <c r="DWF55" s="1567"/>
      <c r="DWG55" s="1088" t="s">
        <v>289</v>
      </c>
      <c r="DWH55" s="1567" t="s">
        <v>290</v>
      </c>
      <c r="DWI55" s="1567"/>
      <c r="DWJ55" s="1567"/>
      <c r="DWK55" s="1088" t="s">
        <v>289</v>
      </c>
      <c r="DWL55" s="1567" t="s">
        <v>290</v>
      </c>
      <c r="DWM55" s="1567"/>
      <c r="DWN55" s="1567"/>
      <c r="DWO55" s="1088" t="s">
        <v>289</v>
      </c>
      <c r="DWP55" s="1567" t="s">
        <v>290</v>
      </c>
      <c r="DWQ55" s="1567"/>
      <c r="DWR55" s="1567"/>
      <c r="DWS55" s="1088" t="s">
        <v>289</v>
      </c>
      <c r="DWT55" s="1567" t="s">
        <v>290</v>
      </c>
      <c r="DWU55" s="1567"/>
      <c r="DWV55" s="1567"/>
      <c r="DWW55" s="1088" t="s">
        <v>289</v>
      </c>
      <c r="DWX55" s="1567" t="s">
        <v>290</v>
      </c>
      <c r="DWY55" s="1567"/>
      <c r="DWZ55" s="1567"/>
      <c r="DXA55" s="1088" t="s">
        <v>289</v>
      </c>
      <c r="DXB55" s="1567" t="s">
        <v>290</v>
      </c>
      <c r="DXC55" s="1567"/>
      <c r="DXD55" s="1567"/>
      <c r="DXE55" s="1088" t="s">
        <v>289</v>
      </c>
      <c r="DXF55" s="1567" t="s">
        <v>290</v>
      </c>
      <c r="DXG55" s="1567"/>
      <c r="DXH55" s="1567"/>
      <c r="DXI55" s="1088" t="s">
        <v>289</v>
      </c>
      <c r="DXJ55" s="1567" t="s">
        <v>290</v>
      </c>
      <c r="DXK55" s="1567"/>
      <c r="DXL55" s="1567"/>
      <c r="DXM55" s="1088" t="s">
        <v>289</v>
      </c>
      <c r="DXN55" s="1567" t="s">
        <v>290</v>
      </c>
      <c r="DXO55" s="1567"/>
      <c r="DXP55" s="1567"/>
      <c r="DXQ55" s="1088" t="s">
        <v>289</v>
      </c>
      <c r="DXR55" s="1567" t="s">
        <v>290</v>
      </c>
      <c r="DXS55" s="1567"/>
      <c r="DXT55" s="1567"/>
      <c r="DXU55" s="1088" t="s">
        <v>289</v>
      </c>
      <c r="DXV55" s="1567" t="s">
        <v>290</v>
      </c>
      <c r="DXW55" s="1567"/>
      <c r="DXX55" s="1567"/>
      <c r="DXY55" s="1088" t="s">
        <v>289</v>
      </c>
      <c r="DXZ55" s="1567" t="s">
        <v>290</v>
      </c>
      <c r="DYA55" s="1567"/>
      <c r="DYB55" s="1567"/>
      <c r="DYC55" s="1088" t="s">
        <v>289</v>
      </c>
      <c r="DYD55" s="1567" t="s">
        <v>290</v>
      </c>
      <c r="DYE55" s="1567"/>
      <c r="DYF55" s="1567"/>
      <c r="DYG55" s="1088" t="s">
        <v>289</v>
      </c>
      <c r="DYH55" s="1567" t="s">
        <v>290</v>
      </c>
      <c r="DYI55" s="1567"/>
      <c r="DYJ55" s="1567"/>
      <c r="DYK55" s="1088" t="s">
        <v>289</v>
      </c>
      <c r="DYL55" s="1567" t="s">
        <v>290</v>
      </c>
      <c r="DYM55" s="1567"/>
      <c r="DYN55" s="1567"/>
      <c r="DYO55" s="1088" t="s">
        <v>289</v>
      </c>
      <c r="DYP55" s="1567" t="s">
        <v>290</v>
      </c>
      <c r="DYQ55" s="1567"/>
      <c r="DYR55" s="1567"/>
      <c r="DYS55" s="1088" t="s">
        <v>289</v>
      </c>
      <c r="DYT55" s="1567" t="s">
        <v>290</v>
      </c>
      <c r="DYU55" s="1567"/>
      <c r="DYV55" s="1567"/>
      <c r="DYW55" s="1088" t="s">
        <v>289</v>
      </c>
      <c r="DYX55" s="1567" t="s">
        <v>290</v>
      </c>
      <c r="DYY55" s="1567"/>
      <c r="DYZ55" s="1567"/>
      <c r="DZA55" s="1088" t="s">
        <v>289</v>
      </c>
      <c r="DZB55" s="1567" t="s">
        <v>290</v>
      </c>
      <c r="DZC55" s="1567"/>
      <c r="DZD55" s="1567"/>
      <c r="DZE55" s="1088" t="s">
        <v>289</v>
      </c>
      <c r="DZF55" s="1567" t="s">
        <v>290</v>
      </c>
      <c r="DZG55" s="1567"/>
      <c r="DZH55" s="1567"/>
      <c r="DZI55" s="1088" t="s">
        <v>289</v>
      </c>
      <c r="DZJ55" s="1567" t="s">
        <v>290</v>
      </c>
      <c r="DZK55" s="1567"/>
      <c r="DZL55" s="1567"/>
      <c r="DZM55" s="1088" t="s">
        <v>289</v>
      </c>
      <c r="DZN55" s="1567" t="s">
        <v>290</v>
      </c>
      <c r="DZO55" s="1567"/>
      <c r="DZP55" s="1567"/>
      <c r="DZQ55" s="1088" t="s">
        <v>289</v>
      </c>
      <c r="DZR55" s="1567" t="s">
        <v>290</v>
      </c>
      <c r="DZS55" s="1567"/>
      <c r="DZT55" s="1567"/>
      <c r="DZU55" s="1088" t="s">
        <v>289</v>
      </c>
      <c r="DZV55" s="1567" t="s">
        <v>290</v>
      </c>
      <c r="DZW55" s="1567"/>
      <c r="DZX55" s="1567"/>
      <c r="DZY55" s="1088" t="s">
        <v>289</v>
      </c>
      <c r="DZZ55" s="1567" t="s">
        <v>290</v>
      </c>
      <c r="EAA55" s="1567"/>
      <c r="EAB55" s="1567"/>
      <c r="EAC55" s="1088" t="s">
        <v>289</v>
      </c>
      <c r="EAD55" s="1567" t="s">
        <v>290</v>
      </c>
      <c r="EAE55" s="1567"/>
      <c r="EAF55" s="1567"/>
      <c r="EAG55" s="1088" t="s">
        <v>289</v>
      </c>
      <c r="EAH55" s="1567" t="s">
        <v>290</v>
      </c>
      <c r="EAI55" s="1567"/>
      <c r="EAJ55" s="1567"/>
      <c r="EAK55" s="1088" t="s">
        <v>289</v>
      </c>
      <c r="EAL55" s="1567" t="s">
        <v>290</v>
      </c>
      <c r="EAM55" s="1567"/>
      <c r="EAN55" s="1567"/>
      <c r="EAO55" s="1088" t="s">
        <v>289</v>
      </c>
      <c r="EAP55" s="1567" t="s">
        <v>290</v>
      </c>
      <c r="EAQ55" s="1567"/>
      <c r="EAR55" s="1567"/>
      <c r="EAS55" s="1088" t="s">
        <v>289</v>
      </c>
      <c r="EAT55" s="1567" t="s">
        <v>290</v>
      </c>
      <c r="EAU55" s="1567"/>
      <c r="EAV55" s="1567"/>
      <c r="EAW55" s="1088" t="s">
        <v>289</v>
      </c>
      <c r="EAX55" s="1567" t="s">
        <v>290</v>
      </c>
      <c r="EAY55" s="1567"/>
      <c r="EAZ55" s="1567"/>
      <c r="EBA55" s="1088" t="s">
        <v>289</v>
      </c>
      <c r="EBB55" s="1567" t="s">
        <v>290</v>
      </c>
      <c r="EBC55" s="1567"/>
      <c r="EBD55" s="1567"/>
      <c r="EBE55" s="1088" t="s">
        <v>289</v>
      </c>
      <c r="EBF55" s="1567" t="s">
        <v>290</v>
      </c>
      <c r="EBG55" s="1567"/>
      <c r="EBH55" s="1567"/>
      <c r="EBI55" s="1088" t="s">
        <v>289</v>
      </c>
      <c r="EBJ55" s="1567" t="s">
        <v>290</v>
      </c>
      <c r="EBK55" s="1567"/>
      <c r="EBL55" s="1567"/>
      <c r="EBM55" s="1088" t="s">
        <v>289</v>
      </c>
      <c r="EBN55" s="1567" t="s">
        <v>290</v>
      </c>
      <c r="EBO55" s="1567"/>
      <c r="EBP55" s="1567"/>
      <c r="EBQ55" s="1088" t="s">
        <v>289</v>
      </c>
      <c r="EBR55" s="1567" t="s">
        <v>290</v>
      </c>
      <c r="EBS55" s="1567"/>
      <c r="EBT55" s="1567"/>
      <c r="EBU55" s="1088" t="s">
        <v>289</v>
      </c>
      <c r="EBV55" s="1567" t="s">
        <v>290</v>
      </c>
      <c r="EBW55" s="1567"/>
      <c r="EBX55" s="1567"/>
      <c r="EBY55" s="1088" t="s">
        <v>289</v>
      </c>
      <c r="EBZ55" s="1567" t="s">
        <v>290</v>
      </c>
      <c r="ECA55" s="1567"/>
      <c r="ECB55" s="1567"/>
      <c r="ECC55" s="1088" t="s">
        <v>289</v>
      </c>
      <c r="ECD55" s="1567" t="s">
        <v>290</v>
      </c>
      <c r="ECE55" s="1567"/>
      <c r="ECF55" s="1567"/>
      <c r="ECG55" s="1088" t="s">
        <v>289</v>
      </c>
      <c r="ECH55" s="1567" t="s">
        <v>290</v>
      </c>
      <c r="ECI55" s="1567"/>
      <c r="ECJ55" s="1567"/>
      <c r="ECK55" s="1088" t="s">
        <v>289</v>
      </c>
      <c r="ECL55" s="1567" t="s">
        <v>290</v>
      </c>
      <c r="ECM55" s="1567"/>
      <c r="ECN55" s="1567"/>
      <c r="ECO55" s="1088" t="s">
        <v>289</v>
      </c>
      <c r="ECP55" s="1567" t="s">
        <v>290</v>
      </c>
      <c r="ECQ55" s="1567"/>
      <c r="ECR55" s="1567"/>
      <c r="ECS55" s="1088" t="s">
        <v>289</v>
      </c>
      <c r="ECT55" s="1567" t="s">
        <v>290</v>
      </c>
      <c r="ECU55" s="1567"/>
      <c r="ECV55" s="1567"/>
      <c r="ECW55" s="1088" t="s">
        <v>289</v>
      </c>
      <c r="ECX55" s="1567" t="s">
        <v>290</v>
      </c>
      <c r="ECY55" s="1567"/>
      <c r="ECZ55" s="1567"/>
      <c r="EDA55" s="1088" t="s">
        <v>289</v>
      </c>
      <c r="EDB55" s="1567" t="s">
        <v>290</v>
      </c>
      <c r="EDC55" s="1567"/>
      <c r="EDD55" s="1567"/>
      <c r="EDE55" s="1088" t="s">
        <v>289</v>
      </c>
      <c r="EDF55" s="1567" t="s">
        <v>290</v>
      </c>
      <c r="EDG55" s="1567"/>
      <c r="EDH55" s="1567"/>
      <c r="EDI55" s="1088" t="s">
        <v>289</v>
      </c>
      <c r="EDJ55" s="1567" t="s">
        <v>290</v>
      </c>
      <c r="EDK55" s="1567"/>
      <c r="EDL55" s="1567"/>
      <c r="EDM55" s="1088" t="s">
        <v>289</v>
      </c>
      <c r="EDN55" s="1567" t="s">
        <v>290</v>
      </c>
      <c r="EDO55" s="1567"/>
      <c r="EDP55" s="1567"/>
      <c r="EDQ55" s="1088" t="s">
        <v>289</v>
      </c>
      <c r="EDR55" s="1567" t="s">
        <v>290</v>
      </c>
      <c r="EDS55" s="1567"/>
      <c r="EDT55" s="1567"/>
      <c r="EDU55" s="1088" t="s">
        <v>289</v>
      </c>
      <c r="EDV55" s="1567" t="s">
        <v>290</v>
      </c>
      <c r="EDW55" s="1567"/>
      <c r="EDX55" s="1567"/>
      <c r="EDY55" s="1088" t="s">
        <v>289</v>
      </c>
      <c r="EDZ55" s="1567" t="s">
        <v>290</v>
      </c>
      <c r="EEA55" s="1567"/>
      <c r="EEB55" s="1567"/>
      <c r="EEC55" s="1088" t="s">
        <v>289</v>
      </c>
      <c r="EED55" s="1567" t="s">
        <v>290</v>
      </c>
      <c r="EEE55" s="1567"/>
      <c r="EEF55" s="1567"/>
      <c r="EEG55" s="1088" t="s">
        <v>289</v>
      </c>
      <c r="EEH55" s="1567" t="s">
        <v>290</v>
      </c>
      <c r="EEI55" s="1567"/>
      <c r="EEJ55" s="1567"/>
      <c r="EEK55" s="1088" t="s">
        <v>289</v>
      </c>
      <c r="EEL55" s="1567" t="s">
        <v>290</v>
      </c>
      <c r="EEM55" s="1567"/>
      <c r="EEN55" s="1567"/>
      <c r="EEO55" s="1088" t="s">
        <v>289</v>
      </c>
      <c r="EEP55" s="1567" t="s">
        <v>290</v>
      </c>
      <c r="EEQ55" s="1567"/>
      <c r="EER55" s="1567"/>
      <c r="EES55" s="1088" t="s">
        <v>289</v>
      </c>
      <c r="EET55" s="1567" t="s">
        <v>290</v>
      </c>
      <c r="EEU55" s="1567"/>
      <c r="EEV55" s="1567"/>
      <c r="EEW55" s="1088" t="s">
        <v>289</v>
      </c>
      <c r="EEX55" s="1567" t="s">
        <v>290</v>
      </c>
      <c r="EEY55" s="1567"/>
      <c r="EEZ55" s="1567"/>
      <c r="EFA55" s="1088" t="s">
        <v>289</v>
      </c>
      <c r="EFB55" s="1567" t="s">
        <v>290</v>
      </c>
      <c r="EFC55" s="1567"/>
      <c r="EFD55" s="1567"/>
      <c r="EFE55" s="1088" t="s">
        <v>289</v>
      </c>
      <c r="EFF55" s="1567" t="s">
        <v>290</v>
      </c>
      <c r="EFG55" s="1567"/>
      <c r="EFH55" s="1567"/>
      <c r="EFI55" s="1088" t="s">
        <v>289</v>
      </c>
      <c r="EFJ55" s="1567" t="s">
        <v>290</v>
      </c>
      <c r="EFK55" s="1567"/>
      <c r="EFL55" s="1567"/>
      <c r="EFM55" s="1088" t="s">
        <v>289</v>
      </c>
      <c r="EFN55" s="1567" t="s">
        <v>290</v>
      </c>
      <c r="EFO55" s="1567"/>
      <c r="EFP55" s="1567"/>
      <c r="EFQ55" s="1088" t="s">
        <v>289</v>
      </c>
      <c r="EFR55" s="1567" t="s">
        <v>290</v>
      </c>
      <c r="EFS55" s="1567"/>
      <c r="EFT55" s="1567"/>
      <c r="EFU55" s="1088" t="s">
        <v>289</v>
      </c>
      <c r="EFV55" s="1567" t="s">
        <v>290</v>
      </c>
      <c r="EFW55" s="1567"/>
      <c r="EFX55" s="1567"/>
      <c r="EFY55" s="1088" t="s">
        <v>289</v>
      </c>
      <c r="EFZ55" s="1567" t="s">
        <v>290</v>
      </c>
      <c r="EGA55" s="1567"/>
      <c r="EGB55" s="1567"/>
      <c r="EGC55" s="1088" t="s">
        <v>289</v>
      </c>
      <c r="EGD55" s="1567" t="s">
        <v>290</v>
      </c>
      <c r="EGE55" s="1567"/>
      <c r="EGF55" s="1567"/>
      <c r="EGG55" s="1088" t="s">
        <v>289</v>
      </c>
      <c r="EGH55" s="1567" t="s">
        <v>290</v>
      </c>
      <c r="EGI55" s="1567"/>
      <c r="EGJ55" s="1567"/>
      <c r="EGK55" s="1088" t="s">
        <v>289</v>
      </c>
      <c r="EGL55" s="1567" t="s">
        <v>290</v>
      </c>
      <c r="EGM55" s="1567"/>
      <c r="EGN55" s="1567"/>
      <c r="EGO55" s="1088" t="s">
        <v>289</v>
      </c>
      <c r="EGP55" s="1567" t="s">
        <v>290</v>
      </c>
      <c r="EGQ55" s="1567"/>
      <c r="EGR55" s="1567"/>
      <c r="EGS55" s="1088" t="s">
        <v>289</v>
      </c>
      <c r="EGT55" s="1567" t="s">
        <v>290</v>
      </c>
      <c r="EGU55" s="1567"/>
      <c r="EGV55" s="1567"/>
      <c r="EGW55" s="1088" t="s">
        <v>289</v>
      </c>
      <c r="EGX55" s="1567" t="s">
        <v>290</v>
      </c>
      <c r="EGY55" s="1567"/>
      <c r="EGZ55" s="1567"/>
      <c r="EHA55" s="1088" t="s">
        <v>289</v>
      </c>
      <c r="EHB55" s="1567" t="s">
        <v>290</v>
      </c>
      <c r="EHC55" s="1567"/>
      <c r="EHD55" s="1567"/>
      <c r="EHE55" s="1088" t="s">
        <v>289</v>
      </c>
      <c r="EHF55" s="1567" t="s">
        <v>290</v>
      </c>
      <c r="EHG55" s="1567"/>
      <c r="EHH55" s="1567"/>
      <c r="EHI55" s="1088" t="s">
        <v>289</v>
      </c>
      <c r="EHJ55" s="1567" t="s">
        <v>290</v>
      </c>
      <c r="EHK55" s="1567"/>
      <c r="EHL55" s="1567"/>
      <c r="EHM55" s="1088" t="s">
        <v>289</v>
      </c>
      <c r="EHN55" s="1567" t="s">
        <v>290</v>
      </c>
      <c r="EHO55" s="1567"/>
      <c r="EHP55" s="1567"/>
      <c r="EHQ55" s="1088" t="s">
        <v>289</v>
      </c>
      <c r="EHR55" s="1567" t="s">
        <v>290</v>
      </c>
      <c r="EHS55" s="1567"/>
      <c r="EHT55" s="1567"/>
      <c r="EHU55" s="1088" t="s">
        <v>289</v>
      </c>
      <c r="EHV55" s="1567" t="s">
        <v>290</v>
      </c>
      <c r="EHW55" s="1567"/>
      <c r="EHX55" s="1567"/>
      <c r="EHY55" s="1088" t="s">
        <v>289</v>
      </c>
      <c r="EHZ55" s="1567" t="s">
        <v>290</v>
      </c>
      <c r="EIA55" s="1567"/>
      <c r="EIB55" s="1567"/>
      <c r="EIC55" s="1088" t="s">
        <v>289</v>
      </c>
      <c r="EID55" s="1567" t="s">
        <v>290</v>
      </c>
      <c r="EIE55" s="1567"/>
      <c r="EIF55" s="1567"/>
      <c r="EIG55" s="1088" t="s">
        <v>289</v>
      </c>
      <c r="EIH55" s="1567" t="s">
        <v>290</v>
      </c>
      <c r="EII55" s="1567"/>
      <c r="EIJ55" s="1567"/>
      <c r="EIK55" s="1088" t="s">
        <v>289</v>
      </c>
      <c r="EIL55" s="1567" t="s">
        <v>290</v>
      </c>
      <c r="EIM55" s="1567"/>
      <c r="EIN55" s="1567"/>
      <c r="EIO55" s="1088" t="s">
        <v>289</v>
      </c>
      <c r="EIP55" s="1567" t="s">
        <v>290</v>
      </c>
      <c r="EIQ55" s="1567"/>
      <c r="EIR55" s="1567"/>
      <c r="EIS55" s="1088" t="s">
        <v>289</v>
      </c>
      <c r="EIT55" s="1567" t="s">
        <v>290</v>
      </c>
      <c r="EIU55" s="1567"/>
      <c r="EIV55" s="1567"/>
      <c r="EIW55" s="1088" t="s">
        <v>289</v>
      </c>
      <c r="EIX55" s="1567" t="s">
        <v>290</v>
      </c>
      <c r="EIY55" s="1567"/>
      <c r="EIZ55" s="1567"/>
      <c r="EJA55" s="1088" t="s">
        <v>289</v>
      </c>
      <c r="EJB55" s="1567" t="s">
        <v>290</v>
      </c>
      <c r="EJC55" s="1567"/>
      <c r="EJD55" s="1567"/>
      <c r="EJE55" s="1088" t="s">
        <v>289</v>
      </c>
      <c r="EJF55" s="1567" t="s">
        <v>290</v>
      </c>
      <c r="EJG55" s="1567"/>
      <c r="EJH55" s="1567"/>
      <c r="EJI55" s="1088" t="s">
        <v>289</v>
      </c>
      <c r="EJJ55" s="1567" t="s">
        <v>290</v>
      </c>
      <c r="EJK55" s="1567"/>
      <c r="EJL55" s="1567"/>
      <c r="EJM55" s="1088" t="s">
        <v>289</v>
      </c>
      <c r="EJN55" s="1567" t="s">
        <v>290</v>
      </c>
      <c r="EJO55" s="1567"/>
      <c r="EJP55" s="1567"/>
      <c r="EJQ55" s="1088" t="s">
        <v>289</v>
      </c>
      <c r="EJR55" s="1567" t="s">
        <v>290</v>
      </c>
      <c r="EJS55" s="1567"/>
      <c r="EJT55" s="1567"/>
      <c r="EJU55" s="1088" t="s">
        <v>289</v>
      </c>
      <c r="EJV55" s="1567" t="s">
        <v>290</v>
      </c>
      <c r="EJW55" s="1567"/>
      <c r="EJX55" s="1567"/>
      <c r="EJY55" s="1088" t="s">
        <v>289</v>
      </c>
      <c r="EJZ55" s="1567" t="s">
        <v>290</v>
      </c>
      <c r="EKA55" s="1567"/>
      <c r="EKB55" s="1567"/>
      <c r="EKC55" s="1088" t="s">
        <v>289</v>
      </c>
      <c r="EKD55" s="1567" t="s">
        <v>290</v>
      </c>
      <c r="EKE55" s="1567"/>
      <c r="EKF55" s="1567"/>
      <c r="EKG55" s="1088" t="s">
        <v>289</v>
      </c>
      <c r="EKH55" s="1567" t="s">
        <v>290</v>
      </c>
      <c r="EKI55" s="1567"/>
      <c r="EKJ55" s="1567"/>
      <c r="EKK55" s="1088" t="s">
        <v>289</v>
      </c>
      <c r="EKL55" s="1567" t="s">
        <v>290</v>
      </c>
      <c r="EKM55" s="1567"/>
      <c r="EKN55" s="1567"/>
      <c r="EKO55" s="1088" t="s">
        <v>289</v>
      </c>
      <c r="EKP55" s="1567" t="s">
        <v>290</v>
      </c>
      <c r="EKQ55" s="1567"/>
      <c r="EKR55" s="1567"/>
      <c r="EKS55" s="1088" t="s">
        <v>289</v>
      </c>
      <c r="EKT55" s="1567" t="s">
        <v>290</v>
      </c>
      <c r="EKU55" s="1567"/>
      <c r="EKV55" s="1567"/>
      <c r="EKW55" s="1088" t="s">
        <v>289</v>
      </c>
      <c r="EKX55" s="1567" t="s">
        <v>290</v>
      </c>
      <c r="EKY55" s="1567"/>
      <c r="EKZ55" s="1567"/>
      <c r="ELA55" s="1088" t="s">
        <v>289</v>
      </c>
      <c r="ELB55" s="1567" t="s">
        <v>290</v>
      </c>
      <c r="ELC55" s="1567"/>
      <c r="ELD55" s="1567"/>
      <c r="ELE55" s="1088" t="s">
        <v>289</v>
      </c>
      <c r="ELF55" s="1567" t="s">
        <v>290</v>
      </c>
      <c r="ELG55" s="1567"/>
      <c r="ELH55" s="1567"/>
      <c r="ELI55" s="1088" t="s">
        <v>289</v>
      </c>
      <c r="ELJ55" s="1567" t="s">
        <v>290</v>
      </c>
      <c r="ELK55" s="1567"/>
      <c r="ELL55" s="1567"/>
      <c r="ELM55" s="1088" t="s">
        <v>289</v>
      </c>
      <c r="ELN55" s="1567" t="s">
        <v>290</v>
      </c>
      <c r="ELO55" s="1567"/>
      <c r="ELP55" s="1567"/>
      <c r="ELQ55" s="1088" t="s">
        <v>289</v>
      </c>
      <c r="ELR55" s="1567" t="s">
        <v>290</v>
      </c>
      <c r="ELS55" s="1567"/>
      <c r="ELT55" s="1567"/>
      <c r="ELU55" s="1088" t="s">
        <v>289</v>
      </c>
      <c r="ELV55" s="1567" t="s">
        <v>290</v>
      </c>
      <c r="ELW55" s="1567"/>
      <c r="ELX55" s="1567"/>
      <c r="ELY55" s="1088" t="s">
        <v>289</v>
      </c>
      <c r="ELZ55" s="1567" t="s">
        <v>290</v>
      </c>
      <c r="EMA55" s="1567"/>
      <c r="EMB55" s="1567"/>
      <c r="EMC55" s="1088" t="s">
        <v>289</v>
      </c>
      <c r="EMD55" s="1567" t="s">
        <v>290</v>
      </c>
      <c r="EME55" s="1567"/>
      <c r="EMF55" s="1567"/>
      <c r="EMG55" s="1088" t="s">
        <v>289</v>
      </c>
      <c r="EMH55" s="1567" t="s">
        <v>290</v>
      </c>
      <c r="EMI55" s="1567"/>
      <c r="EMJ55" s="1567"/>
      <c r="EMK55" s="1088" t="s">
        <v>289</v>
      </c>
      <c r="EML55" s="1567" t="s">
        <v>290</v>
      </c>
      <c r="EMM55" s="1567"/>
      <c r="EMN55" s="1567"/>
      <c r="EMO55" s="1088" t="s">
        <v>289</v>
      </c>
      <c r="EMP55" s="1567" t="s">
        <v>290</v>
      </c>
      <c r="EMQ55" s="1567"/>
      <c r="EMR55" s="1567"/>
      <c r="EMS55" s="1088" t="s">
        <v>289</v>
      </c>
      <c r="EMT55" s="1567" t="s">
        <v>290</v>
      </c>
      <c r="EMU55" s="1567"/>
      <c r="EMV55" s="1567"/>
      <c r="EMW55" s="1088" t="s">
        <v>289</v>
      </c>
      <c r="EMX55" s="1567" t="s">
        <v>290</v>
      </c>
      <c r="EMY55" s="1567"/>
      <c r="EMZ55" s="1567"/>
      <c r="ENA55" s="1088" t="s">
        <v>289</v>
      </c>
      <c r="ENB55" s="1567" t="s">
        <v>290</v>
      </c>
      <c r="ENC55" s="1567"/>
      <c r="END55" s="1567"/>
      <c r="ENE55" s="1088" t="s">
        <v>289</v>
      </c>
      <c r="ENF55" s="1567" t="s">
        <v>290</v>
      </c>
      <c r="ENG55" s="1567"/>
      <c r="ENH55" s="1567"/>
      <c r="ENI55" s="1088" t="s">
        <v>289</v>
      </c>
      <c r="ENJ55" s="1567" t="s">
        <v>290</v>
      </c>
      <c r="ENK55" s="1567"/>
      <c r="ENL55" s="1567"/>
      <c r="ENM55" s="1088" t="s">
        <v>289</v>
      </c>
      <c r="ENN55" s="1567" t="s">
        <v>290</v>
      </c>
      <c r="ENO55" s="1567"/>
      <c r="ENP55" s="1567"/>
      <c r="ENQ55" s="1088" t="s">
        <v>289</v>
      </c>
      <c r="ENR55" s="1567" t="s">
        <v>290</v>
      </c>
      <c r="ENS55" s="1567"/>
      <c r="ENT55" s="1567"/>
      <c r="ENU55" s="1088" t="s">
        <v>289</v>
      </c>
      <c r="ENV55" s="1567" t="s">
        <v>290</v>
      </c>
      <c r="ENW55" s="1567"/>
      <c r="ENX55" s="1567"/>
      <c r="ENY55" s="1088" t="s">
        <v>289</v>
      </c>
      <c r="ENZ55" s="1567" t="s">
        <v>290</v>
      </c>
      <c r="EOA55" s="1567"/>
      <c r="EOB55" s="1567"/>
      <c r="EOC55" s="1088" t="s">
        <v>289</v>
      </c>
      <c r="EOD55" s="1567" t="s">
        <v>290</v>
      </c>
      <c r="EOE55" s="1567"/>
      <c r="EOF55" s="1567"/>
      <c r="EOG55" s="1088" t="s">
        <v>289</v>
      </c>
      <c r="EOH55" s="1567" t="s">
        <v>290</v>
      </c>
      <c r="EOI55" s="1567"/>
      <c r="EOJ55" s="1567"/>
      <c r="EOK55" s="1088" t="s">
        <v>289</v>
      </c>
      <c r="EOL55" s="1567" t="s">
        <v>290</v>
      </c>
      <c r="EOM55" s="1567"/>
      <c r="EON55" s="1567"/>
      <c r="EOO55" s="1088" t="s">
        <v>289</v>
      </c>
      <c r="EOP55" s="1567" t="s">
        <v>290</v>
      </c>
      <c r="EOQ55" s="1567"/>
      <c r="EOR55" s="1567"/>
      <c r="EOS55" s="1088" t="s">
        <v>289</v>
      </c>
      <c r="EOT55" s="1567" t="s">
        <v>290</v>
      </c>
      <c r="EOU55" s="1567"/>
      <c r="EOV55" s="1567"/>
      <c r="EOW55" s="1088" t="s">
        <v>289</v>
      </c>
      <c r="EOX55" s="1567" t="s">
        <v>290</v>
      </c>
      <c r="EOY55" s="1567"/>
      <c r="EOZ55" s="1567"/>
      <c r="EPA55" s="1088" t="s">
        <v>289</v>
      </c>
      <c r="EPB55" s="1567" t="s">
        <v>290</v>
      </c>
      <c r="EPC55" s="1567"/>
      <c r="EPD55" s="1567"/>
      <c r="EPE55" s="1088" t="s">
        <v>289</v>
      </c>
      <c r="EPF55" s="1567" t="s">
        <v>290</v>
      </c>
      <c r="EPG55" s="1567"/>
      <c r="EPH55" s="1567"/>
      <c r="EPI55" s="1088" t="s">
        <v>289</v>
      </c>
      <c r="EPJ55" s="1567" t="s">
        <v>290</v>
      </c>
      <c r="EPK55" s="1567"/>
      <c r="EPL55" s="1567"/>
      <c r="EPM55" s="1088" t="s">
        <v>289</v>
      </c>
      <c r="EPN55" s="1567" t="s">
        <v>290</v>
      </c>
      <c r="EPO55" s="1567"/>
      <c r="EPP55" s="1567"/>
      <c r="EPQ55" s="1088" t="s">
        <v>289</v>
      </c>
      <c r="EPR55" s="1567" t="s">
        <v>290</v>
      </c>
      <c r="EPS55" s="1567"/>
      <c r="EPT55" s="1567"/>
      <c r="EPU55" s="1088" t="s">
        <v>289</v>
      </c>
      <c r="EPV55" s="1567" t="s">
        <v>290</v>
      </c>
      <c r="EPW55" s="1567"/>
      <c r="EPX55" s="1567"/>
      <c r="EPY55" s="1088" t="s">
        <v>289</v>
      </c>
      <c r="EPZ55" s="1567" t="s">
        <v>290</v>
      </c>
      <c r="EQA55" s="1567"/>
      <c r="EQB55" s="1567"/>
      <c r="EQC55" s="1088" t="s">
        <v>289</v>
      </c>
      <c r="EQD55" s="1567" t="s">
        <v>290</v>
      </c>
      <c r="EQE55" s="1567"/>
      <c r="EQF55" s="1567"/>
      <c r="EQG55" s="1088" t="s">
        <v>289</v>
      </c>
      <c r="EQH55" s="1567" t="s">
        <v>290</v>
      </c>
      <c r="EQI55" s="1567"/>
      <c r="EQJ55" s="1567"/>
      <c r="EQK55" s="1088" t="s">
        <v>289</v>
      </c>
      <c r="EQL55" s="1567" t="s">
        <v>290</v>
      </c>
      <c r="EQM55" s="1567"/>
      <c r="EQN55" s="1567"/>
      <c r="EQO55" s="1088" t="s">
        <v>289</v>
      </c>
      <c r="EQP55" s="1567" t="s">
        <v>290</v>
      </c>
      <c r="EQQ55" s="1567"/>
      <c r="EQR55" s="1567"/>
      <c r="EQS55" s="1088" t="s">
        <v>289</v>
      </c>
      <c r="EQT55" s="1567" t="s">
        <v>290</v>
      </c>
      <c r="EQU55" s="1567"/>
      <c r="EQV55" s="1567"/>
      <c r="EQW55" s="1088" t="s">
        <v>289</v>
      </c>
      <c r="EQX55" s="1567" t="s">
        <v>290</v>
      </c>
      <c r="EQY55" s="1567"/>
      <c r="EQZ55" s="1567"/>
      <c r="ERA55" s="1088" t="s">
        <v>289</v>
      </c>
      <c r="ERB55" s="1567" t="s">
        <v>290</v>
      </c>
      <c r="ERC55" s="1567"/>
      <c r="ERD55" s="1567"/>
      <c r="ERE55" s="1088" t="s">
        <v>289</v>
      </c>
      <c r="ERF55" s="1567" t="s">
        <v>290</v>
      </c>
      <c r="ERG55" s="1567"/>
      <c r="ERH55" s="1567"/>
      <c r="ERI55" s="1088" t="s">
        <v>289</v>
      </c>
      <c r="ERJ55" s="1567" t="s">
        <v>290</v>
      </c>
      <c r="ERK55" s="1567"/>
      <c r="ERL55" s="1567"/>
      <c r="ERM55" s="1088" t="s">
        <v>289</v>
      </c>
      <c r="ERN55" s="1567" t="s">
        <v>290</v>
      </c>
      <c r="ERO55" s="1567"/>
      <c r="ERP55" s="1567"/>
      <c r="ERQ55" s="1088" t="s">
        <v>289</v>
      </c>
      <c r="ERR55" s="1567" t="s">
        <v>290</v>
      </c>
      <c r="ERS55" s="1567"/>
      <c r="ERT55" s="1567"/>
      <c r="ERU55" s="1088" t="s">
        <v>289</v>
      </c>
      <c r="ERV55" s="1567" t="s">
        <v>290</v>
      </c>
      <c r="ERW55" s="1567"/>
      <c r="ERX55" s="1567"/>
      <c r="ERY55" s="1088" t="s">
        <v>289</v>
      </c>
      <c r="ERZ55" s="1567" t="s">
        <v>290</v>
      </c>
      <c r="ESA55" s="1567"/>
      <c r="ESB55" s="1567"/>
      <c r="ESC55" s="1088" t="s">
        <v>289</v>
      </c>
      <c r="ESD55" s="1567" t="s">
        <v>290</v>
      </c>
      <c r="ESE55" s="1567"/>
      <c r="ESF55" s="1567"/>
      <c r="ESG55" s="1088" t="s">
        <v>289</v>
      </c>
      <c r="ESH55" s="1567" t="s">
        <v>290</v>
      </c>
      <c r="ESI55" s="1567"/>
      <c r="ESJ55" s="1567"/>
      <c r="ESK55" s="1088" t="s">
        <v>289</v>
      </c>
      <c r="ESL55" s="1567" t="s">
        <v>290</v>
      </c>
      <c r="ESM55" s="1567"/>
      <c r="ESN55" s="1567"/>
      <c r="ESO55" s="1088" t="s">
        <v>289</v>
      </c>
      <c r="ESP55" s="1567" t="s">
        <v>290</v>
      </c>
      <c r="ESQ55" s="1567"/>
      <c r="ESR55" s="1567"/>
      <c r="ESS55" s="1088" t="s">
        <v>289</v>
      </c>
      <c r="EST55" s="1567" t="s">
        <v>290</v>
      </c>
      <c r="ESU55" s="1567"/>
      <c r="ESV55" s="1567"/>
      <c r="ESW55" s="1088" t="s">
        <v>289</v>
      </c>
      <c r="ESX55" s="1567" t="s">
        <v>290</v>
      </c>
      <c r="ESY55" s="1567"/>
      <c r="ESZ55" s="1567"/>
      <c r="ETA55" s="1088" t="s">
        <v>289</v>
      </c>
      <c r="ETB55" s="1567" t="s">
        <v>290</v>
      </c>
      <c r="ETC55" s="1567"/>
      <c r="ETD55" s="1567"/>
      <c r="ETE55" s="1088" t="s">
        <v>289</v>
      </c>
      <c r="ETF55" s="1567" t="s">
        <v>290</v>
      </c>
      <c r="ETG55" s="1567"/>
      <c r="ETH55" s="1567"/>
      <c r="ETI55" s="1088" t="s">
        <v>289</v>
      </c>
      <c r="ETJ55" s="1567" t="s">
        <v>290</v>
      </c>
      <c r="ETK55" s="1567"/>
      <c r="ETL55" s="1567"/>
      <c r="ETM55" s="1088" t="s">
        <v>289</v>
      </c>
      <c r="ETN55" s="1567" t="s">
        <v>290</v>
      </c>
      <c r="ETO55" s="1567"/>
      <c r="ETP55" s="1567"/>
      <c r="ETQ55" s="1088" t="s">
        <v>289</v>
      </c>
      <c r="ETR55" s="1567" t="s">
        <v>290</v>
      </c>
      <c r="ETS55" s="1567"/>
      <c r="ETT55" s="1567"/>
      <c r="ETU55" s="1088" t="s">
        <v>289</v>
      </c>
      <c r="ETV55" s="1567" t="s">
        <v>290</v>
      </c>
      <c r="ETW55" s="1567"/>
      <c r="ETX55" s="1567"/>
      <c r="ETY55" s="1088" t="s">
        <v>289</v>
      </c>
      <c r="ETZ55" s="1567" t="s">
        <v>290</v>
      </c>
      <c r="EUA55" s="1567"/>
      <c r="EUB55" s="1567"/>
      <c r="EUC55" s="1088" t="s">
        <v>289</v>
      </c>
      <c r="EUD55" s="1567" t="s">
        <v>290</v>
      </c>
      <c r="EUE55" s="1567"/>
      <c r="EUF55" s="1567"/>
      <c r="EUG55" s="1088" t="s">
        <v>289</v>
      </c>
      <c r="EUH55" s="1567" t="s">
        <v>290</v>
      </c>
      <c r="EUI55" s="1567"/>
      <c r="EUJ55" s="1567"/>
      <c r="EUK55" s="1088" t="s">
        <v>289</v>
      </c>
      <c r="EUL55" s="1567" t="s">
        <v>290</v>
      </c>
      <c r="EUM55" s="1567"/>
      <c r="EUN55" s="1567"/>
      <c r="EUO55" s="1088" t="s">
        <v>289</v>
      </c>
      <c r="EUP55" s="1567" t="s">
        <v>290</v>
      </c>
      <c r="EUQ55" s="1567"/>
      <c r="EUR55" s="1567"/>
      <c r="EUS55" s="1088" t="s">
        <v>289</v>
      </c>
      <c r="EUT55" s="1567" t="s">
        <v>290</v>
      </c>
      <c r="EUU55" s="1567"/>
      <c r="EUV55" s="1567"/>
      <c r="EUW55" s="1088" t="s">
        <v>289</v>
      </c>
      <c r="EUX55" s="1567" t="s">
        <v>290</v>
      </c>
      <c r="EUY55" s="1567"/>
      <c r="EUZ55" s="1567"/>
      <c r="EVA55" s="1088" t="s">
        <v>289</v>
      </c>
      <c r="EVB55" s="1567" t="s">
        <v>290</v>
      </c>
      <c r="EVC55" s="1567"/>
      <c r="EVD55" s="1567"/>
      <c r="EVE55" s="1088" t="s">
        <v>289</v>
      </c>
      <c r="EVF55" s="1567" t="s">
        <v>290</v>
      </c>
      <c r="EVG55" s="1567"/>
      <c r="EVH55" s="1567"/>
      <c r="EVI55" s="1088" t="s">
        <v>289</v>
      </c>
      <c r="EVJ55" s="1567" t="s">
        <v>290</v>
      </c>
      <c r="EVK55" s="1567"/>
      <c r="EVL55" s="1567"/>
      <c r="EVM55" s="1088" t="s">
        <v>289</v>
      </c>
      <c r="EVN55" s="1567" t="s">
        <v>290</v>
      </c>
      <c r="EVO55" s="1567"/>
      <c r="EVP55" s="1567"/>
      <c r="EVQ55" s="1088" t="s">
        <v>289</v>
      </c>
      <c r="EVR55" s="1567" t="s">
        <v>290</v>
      </c>
      <c r="EVS55" s="1567"/>
      <c r="EVT55" s="1567"/>
      <c r="EVU55" s="1088" t="s">
        <v>289</v>
      </c>
      <c r="EVV55" s="1567" t="s">
        <v>290</v>
      </c>
      <c r="EVW55" s="1567"/>
      <c r="EVX55" s="1567"/>
      <c r="EVY55" s="1088" t="s">
        <v>289</v>
      </c>
      <c r="EVZ55" s="1567" t="s">
        <v>290</v>
      </c>
      <c r="EWA55" s="1567"/>
      <c r="EWB55" s="1567"/>
      <c r="EWC55" s="1088" t="s">
        <v>289</v>
      </c>
      <c r="EWD55" s="1567" t="s">
        <v>290</v>
      </c>
      <c r="EWE55" s="1567"/>
      <c r="EWF55" s="1567"/>
      <c r="EWG55" s="1088" t="s">
        <v>289</v>
      </c>
      <c r="EWH55" s="1567" t="s">
        <v>290</v>
      </c>
      <c r="EWI55" s="1567"/>
      <c r="EWJ55" s="1567"/>
      <c r="EWK55" s="1088" t="s">
        <v>289</v>
      </c>
      <c r="EWL55" s="1567" t="s">
        <v>290</v>
      </c>
      <c r="EWM55" s="1567"/>
      <c r="EWN55" s="1567"/>
      <c r="EWO55" s="1088" t="s">
        <v>289</v>
      </c>
      <c r="EWP55" s="1567" t="s">
        <v>290</v>
      </c>
      <c r="EWQ55" s="1567"/>
      <c r="EWR55" s="1567"/>
      <c r="EWS55" s="1088" t="s">
        <v>289</v>
      </c>
      <c r="EWT55" s="1567" t="s">
        <v>290</v>
      </c>
      <c r="EWU55" s="1567"/>
      <c r="EWV55" s="1567"/>
      <c r="EWW55" s="1088" t="s">
        <v>289</v>
      </c>
      <c r="EWX55" s="1567" t="s">
        <v>290</v>
      </c>
      <c r="EWY55" s="1567"/>
      <c r="EWZ55" s="1567"/>
      <c r="EXA55" s="1088" t="s">
        <v>289</v>
      </c>
      <c r="EXB55" s="1567" t="s">
        <v>290</v>
      </c>
      <c r="EXC55" s="1567"/>
      <c r="EXD55" s="1567"/>
      <c r="EXE55" s="1088" t="s">
        <v>289</v>
      </c>
      <c r="EXF55" s="1567" t="s">
        <v>290</v>
      </c>
      <c r="EXG55" s="1567"/>
      <c r="EXH55" s="1567"/>
      <c r="EXI55" s="1088" t="s">
        <v>289</v>
      </c>
      <c r="EXJ55" s="1567" t="s">
        <v>290</v>
      </c>
      <c r="EXK55" s="1567"/>
      <c r="EXL55" s="1567"/>
      <c r="EXM55" s="1088" t="s">
        <v>289</v>
      </c>
      <c r="EXN55" s="1567" t="s">
        <v>290</v>
      </c>
      <c r="EXO55" s="1567"/>
      <c r="EXP55" s="1567"/>
      <c r="EXQ55" s="1088" t="s">
        <v>289</v>
      </c>
      <c r="EXR55" s="1567" t="s">
        <v>290</v>
      </c>
      <c r="EXS55" s="1567"/>
      <c r="EXT55" s="1567"/>
      <c r="EXU55" s="1088" t="s">
        <v>289</v>
      </c>
      <c r="EXV55" s="1567" t="s">
        <v>290</v>
      </c>
      <c r="EXW55" s="1567"/>
      <c r="EXX55" s="1567"/>
      <c r="EXY55" s="1088" t="s">
        <v>289</v>
      </c>
      <c r="EXZ55" s="1567" t="s">
        <v>290</v>
      </c>
      <c r="EYA55" s="1567"/>
      <c r="EYB55" s="1567"/>
      <c r="EYC55" s="1088" t="s">
        <v>289</v>
      </c>
      <c r="EYD55" s="1567" t="s">
        <v>290</v>
      </c>
      <c r="EYE55" s="1567"/>
      <c r="EYF55" s="1567"/>
      <c r="EYG55" s="1088" t="s">
        <v>289</v>
      </c>
      <c r="EYH55" s="1567" t="s">
        <v>290</v>
      </c>
      <c r="EYI55" s="1567"/>
      <c r="EYJ55" s="1567"/>
      <c r="EYK55" s="1088" t="s">
        <v>289</v>
      </c>
      <c r="EYL55" s="1567" t="s">
        <v>290</v>
      </c>
      <c r="EYM55" s="1567"/>
      <c r="EYN55" s="1567"/>
      <c r="EYO55" s="1088" t="s">
        <v>289</v>
      </c>
      <c r="EYP55" s="1567" t="s">
        <v>290</v>
      </c>
      <c r="EYQ55" s="1567"/>
      <c r="EYR55" s="1567"/>
      <c r="EYS55" s="1088" t="s">
        <v>289</v>
      </c>
      <c r="EYT55" s="1567" t="s">
        <v>290</v>
      </c>
      <c r="EYU55" s="1567"/>
      <c r="EYV55" s="1567"/>
      <c r="EYW55" s="1088" t="s">
        <v>289</v>
      </c>
      <c r="EYX55" s="1567" t="s">
        <v>290</v>
      </c>
      <c r="EYY55" s="1567"/>
      <c r="EYZ55" s="1567"/>
      <c r="EZA55" s="1088" t="s">
        <v>289</v>
      </c>
      <c r="EZB55" s="1567" t="s">
        <v>290</v>
      </c>
      <c r="EZC55" s="1567"/>
      <c r="EZD55" s="1567"/>
      <c r="EZE55" s="1088" t="s">
        <v>289</v>
      </c>
      <c r="EZF55" s="1567" t="s">
        <v>290</v>
      </c>
      <c r="EZG55" s="1567"/>
      <c r="EZH55" s="1567"/>
      <c r="EZI55" s="1088" t="s">
        <v>289</v>
      </c>
      <c r="EZJ55" s="1567" t="s">
        <v>290</v>
      </c>
      <c r="EZK55" s="1567"/>
      <c r="EZL55" s="1567"/>
      <c r="EZM55" s="1088" t="s">
        <v>289</v>
      </c>
      <c r="EZN55" s="1567" t="s">
        <v>290</v>
      </c>
      <c r="EZO55" s="1567"/>
      <c r="EZP55" s="1567"/>
      <c r="EZQ55" s="1088" t="s">
        <v>289</v>
      </c>
      <c r="EZR55" s="1567" t="s">
        <v>290</v>
      </c>
      <c r="EZS55" s="1567"/>
      <c r="EZT55" s="1567"/>
      <c r="EZU55" s="1088" t="s">
        <v>289</v>
      </c>
      <c r="EZV55" s="1567" t="s">
        <v>290</v>
      </c>
      <c r="EZW55" s="1567"/>
      <c r="EZX55" s="1567"/>
      <c r="EZY55" s="1088" t="s">
        <v>289</v>
      </c>
      <c r="EZZ55" s="1567" t="s">
        <v>290</v>
      </c>
      <c r="FAA55" s="1567"/>
      <c r="FAB55" s="1567"/>
      <c r="FAC55" s="1088" t="s">
        <v>289</v>
      </c>
      <c r="FAD55" s="1567" t="s">
        <v>290</v>
      </c>
      <c r="FAE55" s="1567"/>
      <c r="FAF55" s="1567"/>
      <c r="FAG55" s="1088" t="s">
        <v>289</v>
      </c>
      <c r="FAH55" s="1567" t="s">
        <v>290</v>
      </c>
      <c r="FAI55" s="1567"/>
      <c r="FAJ55" s="1567"/>
      <c r="FAK55" s="1088" t="s">
        <v>289</v>
      </c>
      <c r="FAL55" s="1567" t="s">
        <v>290</v>
      </c>
      <c r="FAM55" s="1567"/>
      <c r="FAN55" s="1567"/>
      <c r="FAO55" s="1088" t="s">
        <v>289</v>
      </c>
      <c r="FAP55" s="1567" t="s">
        <v>290</v>
      </c>
      <c r="FAQ55" s="1567"/>
      <c r="FAR55" s="1567"/>
      <c r="FAS55" s="1088" t="s">
        <v>289</v>
      </c>
      <c r="FAT55" s="1567" t="s">
        <v>290</v>
      </c>
      <c r="FAU55" s="1567"/>
      <c r="FAV55" s="1567"/>
      <c r="FAW55" s="1088" t="s">
        <v>289</v>
      </c>
      <c r="FAX55" s="1567" t="s">
        <v>290</v>
      </c>
      <c r="FAY55" s="1567"/>
      <c r="FAZ55" s="1567"/>
      <c r="FBA55" s="1088" t="s">
        <v>289</v>
      </c>
      <c r="FBB55" s="1567" t="s">
        <v>290</v>
      </c>
      <c r="FBC55" s="1567"/>
      <c r="FBD55" s="1567"/>
      <c r="FBE55" s="1088" t="s">
        <v>289</v>
      </c>
      <c r="FBF55" s="1567" t="s">
        <v>290</v>
      </c>
      <c r="FBG55" s="1567"/>
      <c r="FBH55" s="1567"/>
      <c r="FBI55" s="1088" t="s">
        <v>289</v>
      </c>
      <c r="FBJ55" s="1567" t="s">
        <v>290</v>
      </c>
      <c r="FBK55" s="1567"/>
      <c r="FBL55" s="1567"/>
      <c r="FBM55" s="1088" t="s">
        <v>289</v>
      </c>
      <c r="FBN55" s="1567" t="s">
        <v>290</v>
      </c>
      <c r="FBO55" s="1567"/>
      <c r="FBP55" s="1567"/>
      <c r="FBQ55" s="1088" t="s">
        <v>289</v>
      </c>
      <c r="FBR55" s="1567" t="s">
        <v>290</v>
      </c>
      <c r="FBS55" s="1567"/>
      <c r="FBT55" s="1567"/>
      <c r="FBU55" s="1088" t="s">
        <v>289</v>
      </c>
      <c r="FBV55" s="1567" t="s">
        <v>290</v>
      </c>
      <c r="FBW55" s="1567"/>
      <c r="FBX55" s="1567"/>
      <c r="FBY55" s="1088" t="s">
        <v>289</v>
      </c>
      <c r="FBZ55" s="1567" t="s">
        <v>290</v>
      </c>
      <c r="FCA55" s="1567"/>
      <c r="FCB55" s="1567"/>
      <c r="FCC55" s="1088" t="s">
        <v>289</v>
      </c>
      <c r="FCD55" s="1567" t="s">
        <v>290</v>
      </c>
      <c r="FCE55" s="1567"/>
      <c r="FCF55" s="1567"/>
      <c r="FCG55" s="1088" t="s">
        <v>289</v>
      </c>
      <c r="FCH55" s="1567" t="s">
        <v>290</v>
      </c>
      <c r="FCI55" s="1567"/>
      <c r="FCJ55" s="1567"/>
      <c r="FCK55" s="1088" t="s">
        <v>289</v>
      </c>
      <c r="FCL55" s="1567" t="s">
        <v>290</v>
      </c>
      <c r="FCM55" s="1567"/>
      <c r="FCN55" s="1567"/>
      <c r="FCO55" s="1088" t="s">
        <v>289</v>
      </c>
      <c r="FCP55" s="1567" t="s">
        <v>290</v>
      </c>
      <c r="FCQ55" s="1567"/>
      <c r="FCR55" s="1567"/>
      <c r="FCS55" s="1088" t="s">
        <v>289</v>
      </c>
      <c r="FCT55" s="1567" t="s">
        <v>290</v>
      </c>
      <c r="FCU55" s="1567"/>
      <c r="FCV55" s="1567"/>
      <c r="FCW55" s="1088" t="s">
        <v>289</v>
      </c>
      <c r="FCX55" s="1567" t="s">
        <v>290</v>
      </c>
      <c r="FCY55" s="1567"/>
      <c r="FCZ55" s="1567"/>
      <c r="FDA55" s="1088" t="s">
        <v>289</v>
      </c>
      <c r="FDB55" s="1567" t="s">
        <v>290</v>
      </c>
      <c r="FDC55" s="1567"/>
      <c r="FDD55" s="1567"/>
      <c r="FDE55" s="1088" t="s">
        <v>289</v>
      </c>
      <c r="FDF55" s="1567" t="s">
        <v>290</v>
      </c>
      <c r="FDG55" s="1567"/>
      <c r="FDH55" s="1567"/>
      <c r="FDI55" s="1088" t="s">
        <v>289</v>
      </c>
      <c r="FDJ55" s="1567" t="s">
        <v>290</v>
      </c>
      <c r="FDK55" s="1567"/>
      <c r="FDL55" s="1567"/>
      <c r="FDM55" s="1088" t="s">
        <v>289</v>
      </c>
      <c r="FDN55" s="1567" t="s">
        <v>290</v>
      </c>
      <c r="FDO55" s="1567"/>
      <c r="FDP55" s="1567"/>
      <c r="FDQ55" s="1088" t="s">
        <v>289</v>
      </c>
      <c r="FDR55" s="1567" t="s">
        <v>290</v>
      </c>
      <c r="FDS55" s="1567"/>
      <c r="FDT55" s="1567"/>
      <c r="FDU55" s="1088" t="s">
        <v>289</v>
      </c>
      <c r="FDV55" s="1567" t="s">
        <v>290</v>
      </c>
      <c r="FDW55" s="1567"/>
      <c r="FDX55" s="1567"/>
      <c r="FDY55" s="1088" t="s">
        <v>289</v>
      </c>
      <c r="FDZ55" s="1567" t="s">
        <v>290</v>
      </c>
      <c r="FEA55" s="1567"/>
      <c r="FEB55" s="1567"/>
      <c r="FEC55" s="1088" t="s">
        <v>289</v>
      </c>
      <c r="FED55" s="1567" t="s">
        <v>290</v>
      </c>
      <c r="FEE55" s="1567"/>
      <c r="FEF55" s="1567"/>
      <c r="FEG55" s="1088" t="s">
        <v>289</v>
      </c>
      <c r="FEH55" s="1567" t="s">
        <v>290</v>
      </c>
      <c r="FEI55" s="1567"/>
      <c r="FEJ55" s="1567"/>
      <c r="FEK55" s="1088" t="s">
        <v>289</v>
      </c>
      <c r="FEL55" s="1567" t="s">
        <v>290</v>
      </c>
      <c r="FEM55" s="1567"/>
      <c r="FEN55" s="1567"/>
      <c r="FEO55" s="1088" t="s">
        <v>289</v>
      </c>
      <c r="FEP55" s="1567" t="s">
        <v>290</v>
      </c>
      <c r="FEQ55" s="1567"/>
      <c r="FER55" s="1567"/>
      <c r="FES55" s="1088" t="s">
        <v>289</v>
      </c>
      <c r="FET55" s="1567" t="s">
        <v>290</v>
      </c>
      <c r="FEU55" s="1567"/>
      <c r="FEV55" s="1567"/>
      <c r="FEW55" s="1088" t="s">
        <v>289</v>
      </c>
      <c r="FEX55" s="1567" t="s">
        <v>290</v>
      </c>
      <c r="FEY55" s="1567"/>
      <c r="FEZ55" s="1567"/>
      <c r="FFA55" s="1088" t="s">
        <v>289</v>
      </c>
      <c r="FFB55" s="1567" t="s">
        <v>290</v>
      </c>
      <c r="FFC55" s="1567"/>
      <c r="FFD55" s="1567"/>
      <c r="FFE55" s="1088" t="s">
        <v>289</v>
      </c>
      <c r="FFF55" s="1567" t="s">
        <v>290</v>
      </c>
      <c r="FFG55" s="1567"/>
      <c r="FFH55" s="1567"/>
      <c r="FFI55" s="1088" t="s">
        <v>289</v>
      </c>
      <c r="FFJ55" s="1567" t="s">
        <v>290</v>
      </c>
      <c r="FFK55" s="1567"/>
      <c r="FFL55" s="1567"/>
      <c r="FFM55" s="1088" t="s">
        <v>289</v>
      </c>
      <c r="FFN55" s="1567" t="s">
        <v>290</v>
      </c>
      <c r="FFO55" s="1567"/>
      <c r="FFP55" s="1567"/>
      <c r="FFQ55" s="1088" t="s">
        <v>289</v>
      </c>
      <c r="FFR55" s="1567" t="s">
        <v>290</v>
      </c>
      <c r="FFS55" s="1567"/>
      <c r="FFT55" s="1567"/>
      <c r="FFU55" s="1088" t="s">
        <v>289</v>
      </c>
      <c r="FFV55" s="1567" t="s">
        <v>290</v>
      </c>
      <c r="FFW55" s="1567"/>
      <c r="FFX55" s="1567"/>
      <c r="FFY55" s="1088" t="s">
        <v>289</v>
      </c>
      <c r="FFZ55" s="1567" t="s">
        <v>290</v>
      </c>
      <c r="FGA55" s="1567"/>
      <c r="FGB55" s="1567"/>
      <c r="FGC55" s="1088" t="s">
        <v>289</v>
      </c>
      <c r="FGD55" s="1567" t="s">
        <v>290</v>
      </c>
      <c r="FGE55" s="1567"/>
      <c r="FGF55" s="1567"/>
      <c r="FGG55" s="1088" t="s">
        <v>289</v>
      </c>
      <c r="FGH55" s="1567" t="s">
        <v>290</v>
      </c>
      <c r="FGI55" s="1567"/>
      <c r="FGJ55" s="1567"/>
      <c r="FGK55" s="1088" t="s">
        <v>289</v>
      </c>
      <c r="FGL55" s="1567" t="s">
        <v>290</v>
      </c>
      <c r="FGM55" s="1567"/>
      <c r="FGN55" s="1567"/>
      <c r="FGO55" s="1088" t="s">
        <v>289</v>
      </c>
      <c r="FGP55" s="1567" t="s">
        <v>290</v>
      </c>
      <c r="FGQ55" s="1567"/>
      <c r="FGR55" s="1567"/>
      <c r="FGS55" s="1088" t="s">
        <v>289</v>
      </c>
      <c r="FGT55" s="1567" t="s">
        <v>290</v>
      </c>
      <c r="FGU55" s="1567"/>
      <c r="FGV55" s="1567"/>
      <c r="FGW55" s="1088" t="s">
        <v>289</v>
      </c>
      <c r="FGX55" s="1567" t="s">
        <v>290</v>
      </c>
      <c r="FGY55" s="1567"/>
      <c r="FGZ55" s="1567"/>
      <c r="FHA55" s="1088" t="s">
        <v>289</v>
      </c>
      <c r="FHB55" s="1567" t="s">
        <v>290</v>
      </c>
      <c r="FHC55" s="1567"/>
      <c r="FHD55" s="1567"/>
      <c r="FHE55" s="1088" t="s">
        <v>289</v>
      </c>
      <c r="FHF55" s="1567" t="s">
        <v>290</v>
      </c>
      <c r="FHG55" s="1567"/>
      <c r="FHH55" s="1567"/>
      <c r="FHI55" s="1088" t="s">
        <v>289</v>
      </c>
      <c r="FHJ55" s="1567" t="s">
        <v>290</v>
      </c>
      <c r="FHK55" s="1567"/>
      <c r="FHL55" s="1567"/>
      <c r="FHM55" s="1088" t="s">
        <v>289</v>
      </c>
      <c r="FHN55" s="1567" t="s">
        <v>290</v>
      </c>
      <c r="FHO55" s="1567"/>
      <c r="FHP55" s="1567"/>
      <c r="FHQ55" s="1088" t="s">
        <v>289</v>
      </c>
      <c r="FHR55" s="1567" t="s">
        <v>290</v>
      </c>
      <c r="FHS55" s="1567"/>
      <c r="FHT55" s="1567"/>
      <c r="FHU55" s="1088" t="s">
        <v>289</v>
      </c>
      <c r="FHV55" s="1567" t="s">
        <v>290</v>
      </c>
      <c r="FHW55" s="1567"/>
      <c r="FHX55" s="1567"/>
      <c r="FHY55" s="1088" t="s">
        <v>289</v>
      </c>
      <c r="FHZ55" s="1567" t="s">
        <v>290</v>
      </c>
      <c r="FIA55" s="1567"/>
      <c r="FIB55" s="1567"/>
      <c r="FIC55" s="1088" t="s">
        <v>289</v>
      </c>
      <c r="FID55" s="1567" t="s">
        <v>290</v>
      </c>
      <c r="FIE55" s="1567"/>
      <c r="FIF55" s="1567"/>
      <c r="FIG55" s="1088" t="s">
        <v>289</v>
      </c>
      <c r="FIH55" s="1567" t="s">
        <v>290</v>
      </c>
      <c r="FII55" s="1567"/>
      <c r="FIJ55" s="1567"/>
      <c r="FIK55" s="1088" t="s">
        <v>289</v>
      </c>
      <c r="FIL55" s="1567" t="s">
        <v>290</v>
      </c>
      <c r="FIM55" s="1567"/>
      <c r="FIN55" s="1567"/>
      <c r="FIO55" s="1088" t="s">
        <v>289</v>
      </c>
      <c r="FIP55" s="1567" t="s">
        <v>290</v>
      </c>
      <c r="FIQ55" s="1567"/>
      <c r="FIR55" s="1567"/>
      <c r="FIS55" s="1088" t="s">
        <v>289</v>
      </c>
      <c r="FIT55" s="1567" t="s">
        <v>290</v>
      </c>
      <c r="FIU55" s="1567"/>
      <c r="FIV55" s="1567"/>
      <c r="FIW55" s="1088" t="s">
        <v>289</v>
      </c>
      <c r="FIX55" s="1567" t="s">
        <v>290</v>
      </c>
      <c r="FIY55" s="1567"/>
      <c r="FIZ55" s="1567"/>
      <c r="FJA55" s="1088" t="s">
        <v>289</v>
      </c>
      <c r="FJB55" s="1567" t="s">
        <v>290</v>
      </c>
      <c r="FJC55" s="1567"/>
      <c r="FJD55" s="1567"/>
      <c r="FJE55" s="1088" t="s">
        <v>289</v>
      </c>
      <c r="FJF55" s="1567" t="s">
        <v>290</v>
      </c>
      <c r="FJG55" s="1567"/>
      <c r="FJH55" s="1567"/>
      <c r="FJI55" s="1088" t="s">
        <v>289</v>
      </c>
      <c r="FJJ55" s="1567" t="s">
        <v>290</v>
      </c>
      <c r="FJK55" s="1567"/>
      <c r="FJL55" s="1567"/>
      <c r="FJM55" s="1088" t="s">
        <v>289</v>
      </c>
      <c r="FJN55" s="1567" t="s">
        <v>290</v>
      </c>
      <c r="FJO55" s="1567"/>
      <c r="FJP55" s="1567"/>
      <c r="FJQ55" s="1088" t="s">
        <v>289</v>
      </c>
      <c r="FJR55" s="1567" t="s">
        <v>290</v>
      </c>
      <c r="FJS55" s="1567"/>
      <c r="FJT55" s="1567"/>
      <c r="FJU55" s="1088" t="s">
        <v>289</v>
      </c>
      <c r="FJV55" s="1567" t="s">
        <v>290</v>
      </c>
      <c r="FJW55" s="1567"/>
      <c r="FJX55" s="1567"/>
      <c r="FJY55" s="1088" t="s">
        <v>289</v>
      </c>
      <c r="FJZ55" s="1567" t="s">
        <v>290</v>
      </c>
      <c r="FKA55" s="1567"/>
      <c r="FKB55" s="1567"/>
      <c r="FKC55" s="1088" t="s">
        <v>289</v>
      </c>
      <c r="FKD55" s="1567" t="s">
        <v>290</v>
      </c>
      <c r="FKE55" s="1567"/>
      <c r="FKF55" s="1567"/>
      <c r="FKG55" s="1088" t="s">
        <v>289</v>
      </c>
      <c r="FKH55" s="1567" t="s">
        <v>290</v>
      </c>
      <c r="FKI55" s="1567"/>
      <c r="FKJ55" s="1567"/>
      <c r="FKK55" s="1088" t="s">
        <v>289</v>
      </c>
      <c r="FKL55" s="1567" t="s">
        <v>290</v>
      </c>
      <c r="FKM55" s="1567"/>
      <c r="FKN55" s="1567"/>
      <c r="FKO55" s="1088" t="s">
        <v>289</v>
      </c>
      <c r="FKP55" s="1567" t="s">
        <v>290</v>
      </c>
      <c r="FKQ55" s="1567"/>
      <c r="FKR55" s="1567"/>
      <c r="FKS55" s="1088" t="s">
        <v>289</v>
      </c>
      <c r="FKT55" s="1567" t="s">
        <v>290</v>
      </c>
      <c r="FKU55" s="1567"/>
      <c r="FKV55" s="1567"/>
      <c r="FKW55" s="1088" t="s">
        <v>289</v>
      </c>
      <c r="FKX55" s="1567" t="s">
        <v>290</v>
      </c>
      <c r="FKY55" s="1567"/>
      <c r="FKZ55" s="1567"/>
      <c r="FLA55" s="1088" t="s">
        <v>289</v>
      </c>
      <c r="FLB55" s="1567" t="s">
        <v>290</v>
      </c>
      <c r="FLC55" s="1567"/>
      <c r="FLD55" s="1567"/>
      <c r="FLE55" s="1088" t="s">
        <v>289</v>
      </c>
      <c r="FLF55" s="1567" t="s">
        <v>290</v>
      </c>
      <c r="FLG55" s="1567"/>
      <c r="FLH55" s="1567"/>
      <c r="FLI55" s="1088" t="s">
        <v>289</v>
      </c>
      <c r="FLJ55" s="1567" t="s">
        <v>290</v>
      </c>
      <c r="FLK55" s="1567"/>
      <c r="FLL55" s="1567"/>
      <c r="FLM55" s="1088" t="s">
        <v>289</v>
      </c>
      <c r="FLN55" s="1567" t="s">
        <v>290</v>
      </c>
      <c r="FLO55" s="1567"/>
      <c r="FLP55" s="1567"/>
      <c r="FLQ55" s="1088" t="s">
        <v>289</v>
      </c>
      <c r="FLR55" s="1567" t="s">
        <v>290</v>
      </c>
      <c r="FLS55" s="1567"/>
      <c r="FLT55" s="1567"/>
      <c r="FLU55" s="1088" t="s">
        <v>289</v>
      </c>
      <c r="FLV55" s="1567" t="s">
        <v>290</v>
      </c>
      <c r="FLW55" s="1567"/>
      <c r="FLX55" s="1567"/>
      <c r="FLY55" s="1088" t="s">
        <v>289</v>
      </c>
      <c r="FLZ55" s="1567" t="s">
        <v>290</v>
      </c>
      <c r="FMA55" s="1567"/>
      <c r="FMB55" s="1567"/>
      <c r="FMC55" s="1088" t="s">
        <v>289</v>
      </c>
      <c r="FMD55" s="1567" t="s">
        <v>290</v>
      </c>
      <c r="FME55" s="1567"/>
      <c r="FMF55" s="1567"/>
      <c r="FMG55" s="1088" t="s">
        <v>289</v>
      </c>
      <c r="FMH55" s="1567" t="s">
        <v>290</v>
      </c>
      <c r="FMI55" s="1567"/>
      <c r="FMJ55" s="1567"/>
      <c r="FMK55" s="1088" t="s">
        <v>289</v>
      </c>
      <c r="FML55" s="1567" t="s">
        <v>290</v>
      </c>
      <c r="FMM55" s="1567"/>
      <c r="FMN55" s="1567"/>
      <c r="FMO55" s="1088" t="s">
        <v>289</v>
      </c>
      <c r="FMP55" s="1567" t="s">
        <v>290</v>
      </c>
      <c r="FMQ55" s="1567"/>
      <c r="FMR55" s="1567"/>
      <c r="FMS55" s="1088" t="s">
        <v>289</v>
      </c>
      <c r="FMT55" s="1567" t="s">
        <v>290</v>
      </c>
      <c r="FMU55" s="1567"/>
      <c r="FMV55" s="1567"/>
      <c r="FMW55" s="1088" t="s">
        <v>289</v>
      </c>
      <c r="FMX55" s="1567" t="s">
        <v>290</v>
      </c>
      <c r="FMY55" s="1567"/>
      <c r="FMZ55" s="1567"/>
      <c r="FNA55" s="1088" t="s">
        <v>289</v>
      </c>
      <c r="FNB55" s="1567" t="s">
        <v>290</v>
      </c>
      <c r="FNC55" s="1567"/>
      <c r="FND55" s="1567"/>
      <c r="FNE55" s="1088" t="s">
        <v>289</v>
      </c>
      <c r="FNF55" s="1567" t="s">
        <v>290</v>
      </c>
      <c r="FNG55" s="1567"/>
      <c r="FNH55" s="1567"/>
      <c r="FNI55" s="1088" t="s">
        <v>289</v>
      </c>
      <c r="FNJ55" s="1567" t="s">
        <v>290</v>
      </c>
      <c r="FNK55" s="1567"/>
      <c r="FNL55" s="1567"/>
      <c r="FNM55" s="1088" t="s">
        <v>289</v>
      </c>
      <c r="FNN55" s="1567" t="s">
        <v>290</v>
      </c>
      <c r="FNO55" s="1567"/>
      <c r="FNP55" s="1567"/>
      <c r="FNQ55" s="1088" t="s">
        <v>289</v>
      </c>
      <c r="FNR55" s="1567" t="s">
        <v>290</v>
      </c>
      <c r="FNS55" s="1567"/>
      <c r="FNT55" s="1567"/>
      <c r="FNU55" s="1088" t="s">
        <v>289</v>
      </c>
      <c r="FNV55" s="1567" t="s">
        <v>290</v>
      </c>
      <c r="FNW55" s="1567"/>
      <c r="FNX55" s="1567"/>
      <c r="FNY55" s="1088" t="s">
        <v>289</v>
      </c>
      <c r="FNZ55" s="1567" t="s">
        <v>290</v>
      </c>
      <c r="FOA55" s="1567"/>
      <c r="FOB55" s="1567"/>
      <c r="FOC55" s="1088" t="s">
        <v>289</v>
      </c>
      <c r="FOD55" s="1567" t="s">
        <v>290</v>
      </c>
      <c r="FOE55" s="1567"/>
      <c r="FOF55" s="1567"/>
      <c r="FOG55" s="1088" t="s">
        <v>289</v>
      </c>
      <c r="FOH55" s="1567" t="s">
        <v>290</v>
      </c>
      <c r="FOI55" s="1567"/>
      <c r="FOJ55" s="1567"/>
      <c r="FOK55" s="1088" t="s">
        <v>289</v>
      </c>
      <c r="FOL55" s="1567" t="s">
        <v>290</v>
      </c>
      <c r="FOM55" s="1567"/>
      <c r="FON55" s="1567"/>
      <c r="FOO55" s="1088" t="s">
        <v>289</v>
      </c>
      <c r="FOP55" s="1567" t="s">
        <v>290</v>
      </c>
      <c r="FOQ55" s="1567"/>
      <c r="FOR55" s="1567"/>
      <c r="FOS55" s="1088" t="s">
        <v>289</v>
      </c>
      <c r="FOT55" s="1567" t="s">
        <v>290</v>
      </c>
      <c r="FOU55" s="1567"/>
      <c r="FOV55" s="1567"/>
      <c r="FOW55" s="1088" t="s">
        <v>289</v>
      </c>
      <c r="FOX55" s="1567" t="s">
        <v>290</v>
      </c>
      <c r="FOY55" s="1567"/>
      <c r="FOZ55" s="1567"/>
      <c r="FPA55" s="1088" t="s">
        <v>289</v>
      </c>
      <c r="FPB55" s="1567" t="s">
        <v>290</v>
      </c>
      <c r="FPC55" s="1567"/>
      <c r="FPD55" s="1567"/>
      <c r="FPE55" s="1088" t="s">
        <v>289</v>
      </c>
      <c r="FPF55" s="1567" t="s">
        <v>290</v>
      </c>
      <c r="FPG55" s="1567"/>
      <c r="FPH55" s="1567"/>
      <c r="FPI55" s="1088" t="s">
        <v>289</v>
      </c>
      <c r="FPJ55" s="1567" t="s">
        <v>290</v>
      </c>
      <c r="FPK55" s="1567"/>
      <c r="FPL55" s="1567"/>
      <c r="FPM55" s="1088" t="s">
        <v>289</v>
      </c>
      <c r="FPN55" s="1567" t="s">
        <v>290</v>
      </c>
      <c r="FPO55" s="1567"/>
      <c r="FPP55" s="1567"/>
      <c r="FPQ55" s="1088" t="s">
        <v>289</v>
      </c>
      <c r="FPR55" s="1567" t="s">
        <v>290</v>
      </c>
      <c r="FPS55" s="1567"/>
      <c r="FPT55" s="1567"/>
      <c r="FPU55" s="1088" t="s">
        <v>289</v>
      </c>
      <c r="FPV55" s="1567" t="s">
        <v>290</v>
      </c>
      <c r="FPW55" s="1567"/>
      <c r="FPX55" s="1567"/>
      <c r="FPY55" s="1088" t="s">
        <v>289</v>
      </c>
      <c r="FPZ55" s="1567" t="s">
        <v>290</v>
      </c>
      <c r="FQA55" s="1567"/>
      <c r="FQB55" s="1567"/>
      <c r="FQC55" s="1088" t="s">
        <v>289</v>
      </c>
      <c r="FQD55" s="1567" t="s">
        <v>290</v>
      </c>
      <c r="FQE55" s="1567"/>
      <c r="FQF55" s="1567"/>
      <c r="FQG55" s="1088" t="s">
        <v>289</v>
      </c>
      <c r="FQH55" s="1567" t="s">
        <v>290</v>
      </c>
      <c r="FQI55" s="1567"/>
      <c r="FQJ55" s="1567"/>
      <c r="FQK55" s="1088" t="s">
        <v>289</v>
      </c>
      <c r="FQL55" s="1567" t="s">
        <v>290</v>
      </c>
      <c r="FQM55" s="1567"/>
      <c r="FQN55" s="1567"/>
      <c r="FQO55" s="1088" t="s">
        <v>289</v>
      </c>
      <c r="FQP55" s="1567" t="s">
        <v>290</v>
      </c>
      <c r="FQQ55" s="1567"/>
      <c r="FQR55" s="1567"/>
      <c r="FQS55" s="1088" t="s">
        <v>289</v>
      </c>
      <c r="FQT55" s="1567" t="s">
        <v>290</v>
      </c>
      <c r="FQU55" s="1567"/>
      <c r="FQV55" s="1567"/>
      <c r="FQW55" s="1088" t="s">
        <v>289</v>
      </c>
      <c r="FQX55" s="1567" t="s">
        <v>290</v>
      </c>
      <c r="FQY55" s="1567"/>
      <c r="FQZ55" s="1567"/>
      <c r="FRA55" s="1088" t="s">
        <v>289</v>
      </c>
      <c r="FRB55" s="1567" t="s">
        <v>290</v>
      </c>
      <c r="FRC55" s="1567"/>
      <c r="FRD55" s="1567"/>
      <c r="FRE55" s="1088" t="s">
        <v>289</v>
      </c>
      <c r="FRF55" s="1567" t="s">
        <v>290</v>
      </c>
      <c r="FRG55" s="1567"/>
      <c r="FRH55" s="1567"/>
      <c r="FRI55" s="1088" t="s">
        <v>289</v>
      </c>
      <c r="FRJ55" s="1567" t="s">
        <v>290</v>
      </c>
      <c r="FRK55" s="1567"/>
      <c r="FRL55" s="1567"/>
      <c r="FRM55" s="1088" t="s">
        <v>289</v>
      </c>
      <c r="FRN55" s="1567" t="s">
        <v>290</v>
      </c>
      <c r="FRO55" s="1567"/>
      <c r="FRP55" s="1567"/>
      <c r="FRQ55" s="1088" t="s">
        <v>289</v>
      </c>
      <c r="FRR55" s="1567" t="s">
        <v>290</v>
      </c>
      <c r="FRS55" s="1567"/>
      <c r="FRT55" s="1567"/>
      <c r="FRU55" s="1088" t="s">
        <v>289</v>
      </c>
      <c r="FRV55" s="1567" t="s">
        <v>290</v>
      </c>
      <c r="FRW55" s="1567"/>
      <c r="FRX55" s="1567"/>
      <c r="FRY55" s="1088" t="s">
        <v>289</v>
      </c>
      <c r="FRZ55" s="1567" t="s">
        <v>290</v>
      </c>
      <c r="FSA55" s="1567"/>
      <c r="FSB55" s="1567"/>
      <c r="FSC55" s="1088" t="s">
        <v>289</v>
      </c>
      <c r="FSD55" s="1567" t="s">
        <v>290</v>
      </c>
      <c r="FSE55" s="1567"/>
      <c r="FSF55" s="1567"/>
      <c r="FSG55" s="1088" t="s">
        <v>289</v>
      </c>
      <c r="FSH55" s="1567" t="s">
        <v>290</v>
      </c>
      <c r="FSI55" s="1567"/>
      <c r="FSJ55" s="1567"/>
      <c r="FSK55" s="1088" t="s">
        <v>289</v>
      </c>
      <c r="FSL55" s="1567" t="s">
        <v>290</v>
      </c>
      <c r="FSM55" s="1567"/>
      <c r="FSN55" s="1567"/>
      <c r="FSO55" s="1088" t="s">
        <v>289</v>
      </c>
      <c r="FSP55" s="1567" t="s">
        <v>290</v>
      </c>
      <c r="FSQ55" s="1567"/>
      <c r="FSR55" s="1567"/>
      <c r="FSS55" s="1088" t="s">
        <v>289</v>
      </c>
      <c r="FST55" s="1567" t="s">
        <v>290</v>
      </c>
      <c r="FSU55" s="1567"/>
      <c r="FSV55" s="1567"/>
      <c r="FSW55" s="1088" t="s">
        <v>289</v>
      </c>
      <c r="FSX55" s="1567" t="s">
        <v>290</v>
      </c>
      <c r="FSY55" s="1567"/>
      <c r="FSZ55" s="1567"/>
      <c r="FTA55" s="1088" t="s">
        <v>289</v>
      </c>
      <c r="FTB55" s="1567" t="s">
        <v>290</v>
      </c>
      <c r="FTC55" s="1567"/>
      <c r="FTD55" s="1567"/>
      <c r="FTE55" s="1088" t="s">
        <v>289</v>
      </c>
      <c r="FTF55" s="1567" t="s">
        <v>290</v>
      </c>
      <c r="FTG55" s="1567"/>
      <c r="FTH55" s="1567"/>
      <c r="FTI55" s="1088" t="s">
        <v>289</v>
      </c>
      <c r="FTJ55" s="1567" t="s">
        <v>290</v>
      </c>
      <c r="FTK55" s="1567"/>
      <c r="FTL55" s="1567"/>
      <c r="FTM55" s="1088" t="s">
        <v>289</v>
      </c>
      <c r="FTN55" s="1567" t="s">
        <v>290</v>
      </c>
      <c r="FTO55" s="1567"/>
      <c r="FTP55" s="1567"/>
      <c r="FTQ55" s="1088" t="s">
        <v>289</v>
      </c>
      <c r="FTR55" s="1567" t="s">
        <v>290</v>
      </c>
      <c r="FTS55" s="1567"/>
      <c r="FTT55" s="1567"/>
      <c r="FTU55" s="1088" t="s">
        <v>289</v>
      </c>
      <c r="FTV55" s="1567" t="s">
        <v>290</v>
      </c>
      <c r="FTW55" s="1567"/>
      <c r="FTX55" s="1567"/>
      <c r="FTY55" s="1088" t="s">
        <v>289</v>
      </c>
      <c r="FTZ55" s="1567" t="s">
        <v>290</v>
      </c>
      <c r="FUA55" s="1567"/>
      <c r="FUB55" s="1567"/>
      <c r="FUC55" s="1088" t="s">
        <v>289</v>
      </c>
      <c r="FUD55" s="1567" t="s">
        <v>290</v>
      </c>
      <c r="FUE55" s="1567"/>
      <c r="FUF55" s="1567"/>
      <c r="FUG55" s="1088" t="s">
        <v>289</v>
      </c>
      <c r="FUH55" s="1567" t="s">
        <v>290</v>
      </c>
      <c r="FUI55" s="1567"/>
      <c r="FUJ55" s="1567"/>
      <c r="FUK55" s="1088" t="s">
        <v>289</v>
      </c>
      <c r="FUL55" s="1567" t="s">
        <v>290</v>
      </c>
      <c r="FUM55" s="1567"/>
      <c r="FUN55" s="1567"/>
      <c r="FUO55" s="1088" t="s">
        <v>289</v>
      </c>
      <c r="FUP55" s="1567" t="s">
        <v>290</v>
      </c>
      <c r="FUQ55" s="1567"/>
      <c r="FUR55" s="1567"/>
      <c r="FUS55" s="1088" t="s">
        <v>289</v>
      </c>
      <c r="FUT55" s="1567" t="s">
        <v>290</v>
      </c>
      <c r="FUU55" s="1567"/>
      <c r="FUV55" s="1567"/>
      <c r="FUW55" s="1088" t="s">
        <v>289</v>
      </c>
      <c r="FUX55" s="1567" t="s">
        <v>290</v>
      </c>
      <c r="FUY55" s="1567"/>
      <c r="FUZ55" s="1567"/>
      <c r="FVA55" s="1088" t="s">
        <v>289</v>
      </c>
      <c r="FVB55" s="1567" t="s">
        <v>290</v>
      </c>
      <c r="FVC55" s="1567"/>
      <c r="FVD55" s="1567"/>
      <c r="FVE55" s="1088" t="s">
        <v>289</v>
      </c>
      <c r="FVF55" s="1567" t="s">
        <v>290</v>
      </c>
      <c r="FVG55" s="1567"/>
      <c r="FVH55" s="1567"/>
      <c r="FVI55" s="1088" t="s">
        <v>289</v>
      </c>
      <c r="FVJ55" s="1567" t="s">
        <v>290</v>
      </c>
      <c r="FVK55" s="1567"/>
      <c r="FVL55" s="1567"/>
      <c r="FVM55" s="1088" t="s">
        <v>289</v>
      </c>
      <c r="FVN55" s="1567" t="s">
        <v>290</v>
      </c>
      <c r="FVO55" s="1567"/>
      <c r="FVP55" s="1567"/>
      <c r="FVQ55" s="1088" t="s">
        <v>289</v>
      </c>
      <c r="FVR55" s="1567" t="s">
        <v>290</v>
      </c>
      <c r="FVS55" s="1567"/>
      <c r="FVT55" s="1567"/>
      <c r="FVU55" s="1088" t="s">
        <v>289</v>
      </c>
      <c r="FVV55" s="1567" t="s">
        <v>290</v>
      </c>
      <c r="FVW55" s="1567"/>
      <c r="FVX55" s="1567"/>
      <c r="FVY55" s="1088" t="s">
        <v>289</v>
      </c>
      <c r="FVZ55" s="1567" t="s">
        <v>290</v>
      </c>
      <c r="FWA55" s="1567"/>
      <c r="FWB55" s="1567"/>
      <c r="FWC55" s="1088" t="s">
        <v>289</v>
      </c>
      <c r="FWD55" s="1567" t="s">
        <v>290</v>
      </c>
      <c r="FWE55" s="1567"/>
      <c r="FWF55" s="1567"/>
      <c r="FWG55" s="1088" t="s">
        <v>289</v>
      </c>
      <c r="FWH55" s="1567" t="s">
        <v>290</v>
      </c>
      <c r="FWI55" s="1567"/>
      <c r="FWJ55" s="1567"/>
      <c r="FWK55" s="1088" t="s">
        <v>289</v>
      </c>
      <c r="FWL55" s="1567" t="s">
        <v>290</v>
      </c>
      <c r="FWM55" s="1567"/>
      <c r="FWN55" s="1567"/>
      <c r="FWO55" s="1088" t="s">
        <v>289</v>
      </c>
      <c r="FWP55" s="1567" t="s">
        <v>290</v>
      </c>
      <c r="FWQ55" s="1567"/>
      <c r="FWR55" s="1567"/>
      <c r="FWS55" s="1088" t="s">
        <v>289</v>
      </c>
      <c r="FWT55" s="1567" t="s">
        <v>290</v>
      </c>
      <c r="FWU55" s="1567"/>
      <c r="FWV55" s="1567"/>
      <c r="FWW55" s="1088" t="s">
        <v>289</v>
      </c>
      <c r="FWX55" s="1567" t="s">
        <v>290</v>
      </c>
      <c r="FWY55" s="1567"/>
      <c r="FWZ55" s="1567"/>
      <c r="FXA55" s="1088" t="s">
        <v>289</v>
      </c>
      <c r="FXB55" s="1567" t="s">
        <v>290</v>
      </c>
      <c r="FXC55" s="1567"/>
      <c r="FXD55" s="1567"/>
      <c r="FXE55" s="1088" t="s">
        <v>289</v>
      </c>
      <c r="FXF55" s="1567" t="s">
        <v>290</v>
      </c>
      <c r="FXG55" s="1567"/>
      <c r="FXH55" s="1567"/>
      <c r="FXI55" s="1088" t="s">
        <v>289</v>
      </c>
      <c r="FXJ55" s="1567" t="s">
        <v>290</v>
      </c>
      <c r="FXK55" s="1567"/>
      <c r="FXL55" s="1567"/>
      <c r="FXM55" s="1088" t="s">
        <v>289</v>
      </c>
      <c r="FXN55" s="1567" t="s">
        <v>290</v>
      </c>
      <c r="FXO55" s="1567"/>
      <c r="FXP55" s="1567"/>
      <c r="FXQ55" s="1088" t="s">
        <v>289</v>
      </c>
      <c r="FXR55" s="1567" t="s">
        <v>290</v>
      </c>
      <c r="FXS55" s="1567"/>
      <c r="FXT55" s="1567"/>
      <c r="FXU55" s="1088" t="s">
        <v>289</v>
      </c>
      <c r="FXV55" s="1567" t="s">
        <v>290</v>
      </c>
      <c r="FXW55" s="1567"/>
      <c r="FXX55" s="1567"/>
      <c r="FXY55" s="1088" t="s">
        <v>289</v>
      </c>
      <c r="FXZ55" s="1567" t="s">
        <v>290</v>
      </c>
      <c r="FYA55" s="1567"/>
      <c r="FYB55" s="1567"/>
      <c r="FYC55" s="1088" t="s">
        <v>289</v>
      </c>
      <c r="FYD55" s="1567" t="s">
        <v>290</v>
      </c>
      <c r="FYE55" s="1567"/>
      <c r="FYF55" s="1567"/>
      <c r="FYG55" s="1088" t="s">
        <v>289</v>
      </c>
      <c r="FYH55" s="1567" t="s">
        <v>290</v>
      </c>
      <c r="FYI55" s="1567"/>
      <c r="FYJ55" s="1567"/>
      <c r="FYK55" s="1088" t="s">
        <v>289</v>
      </c>
      <c r="FYL55" s="1567" t="s">
        <v>290</v>
      </c>
      <c r="FYM55" s="1567"/>
      <c r="FYN55" s="1567"/>
      <c r="FYO55" s="1088" t="s">
        <v>289</v>
      </c>
      <c r="FYP55" s="1567" t="s">
        <v>290</v>
      </c>
      <c r="FYQ55" s="1567"/>
      <c r="FYR55" s="1567"/>
      <c r="FYS55" s="1088" t="s">
        <v>289</v>
      </c>
      <c r="FYT55" s="1567" t="s">
        <v>290</v>
      </c>
      <c r="FYU55" s="1567"/>
      <c r="FYV55" s="1567"/>
      <c r="FYW55" s="1088" t="s">
        <v>289</v>
      </c>
      <c r="FYX55" s="1567" t="s">
        <v>290</v>
      </c>
      <c r="FYY55" s="1567"/>
      <c r="FYZ55" s="1567"/>
      <c r="FZA55" s="1088" t="s">
        <v>289</v>
      </c>
      <c r="FZB55" s="1567" t="s">
        <v>290</v>
      </c>
      <c r="FZC55" s="1567"/>
      <c r="FZD55" s="1567"/>
      <c r="FZE55" s="1088" t="s">
        <v>289</v>
      </c>
      <c r="FZF55" s="1567" t="s">
        <v>290</v>
      </c>
      <c r="FZG55" s="1567"/>
      <c r="FZH55" s="1567"/>
      <c r="FZI55" s="1088" t="s">
        <v>289</v>
      </c>
      <c r="FZJ55" s="1567" t="s">
        <v>290</v>
      </c>
      <c r="FZK55" s="1567"/>
      <c r="FZL55" s="1567"/>
      <c r="FZM55" s="1088" t="s">
        <v>289</v>
      </c>
      <c r="FZN55" s="1567" t="s">
        <v>290</v>
      </c>
      <c r="FZO55" s="1567"/>
      <c r="FZP55" s="1567"/>
      <c r="FZQ55" s="1088" t="s">
        <v>289</v>
      </c>
      <c r="FZR55" s="1567" t="s">
        <v>290</v>
      </c>
      <c r="FZS55" s="1567"/>
      <c r="FZT55" s="1567"/>
      <c r="FZU55" s="1088" t="s">
        <v>289</v>
      </c>
      <c r="FZV55" s="1567" t="s">
        <v>290</v>
      </c>
      <c r="FZW55" s="1567"/>
      <c r="FZX55" s="1567"/>
      <c r="FZY55" s="1088" t="s">
        <v>289</v>
      </c>
      <c r="FZZ55" s="1567" t="s">
        <v>290</v>
      </c>
      <c r="GAA55" s="1567"/>
      <c r="GAB55" s="1567"/>
      <c r="GAC55" s="1088" t="s">
        <v>289</v>
      </c>
      <c r="GAD55" s="1567" t="s">
        <v>290</v>
      </c>
      <c r="GAE55" s="1567"/>
      <c r="GAF55" s="1567"/>
      <c r="GAG55" s="1088" t="s">
        <v>289</v>
      </c>
      <c r="GAH55" s="1567" t="s">
        <v>290</v>
      </c>
      <c r="GAI55" s="1567"/>
      <c r="GAJ55" s="1567"/>
      <c r="GAK55" s="1088" t="s">
        <v>289</v>
      </c>
      <c r="GAL55" s="1567" t="s">
        <v>290</v>
      </c>
      <c r="GAM55" s="1567"/>
      <c r="GAN55" s="1567"/>
      <c r="GAO55" s="1088" t="s">
        <v>289</v>
      </c>
      <c r="GAP55" s="1567" t="s">
        <v>290</v>
      </c>
      <c r="GAQ55" s="1567"/>
      <c r="GAR55" s="1567"/>
      <c r="GAS55" s="1088" t="s">
        <v>289</v>
      </c>
      <c r="GAT55" s="1567" t="s">
        <v>290</v>
      </c>
      <c r="GAU55" s="1567"/>
      <c r="GAV55" s="1567"/>
      <c r="GAW55" s="1088" t="s">
        <v>289</v>
      </c>
      <c r="GAX55" s="1567" t="s">
        <v>290</v>
      </c>
      <c r="GAY55" s="1567"/>
      <c r="GAZ55" s="1567"/>
      <c r="GBA55" s="1088" t="s">
        <v>289</v>
      </c>
      <c r="GBB55" s="1567" t="s">
        <v>290</v>
      </c>
      <c r="GBC55" s="1567"/>
      <c r="GBD55" s="1567"/>
      <c r="GBE55" s="1088" t="s">
        <v>289</v>
      </c>
      <c r="GBF55" s="1567" t="s">
        <v>290</v>
      </c>
      <c r="GBG55" s="1567"/>
      <c r="GBH55" s="1567"/>
      <c r="GBI55" s="1088" t="s">
        <v>289</v>
      </c>
      <c r="GBJ55" s="1567" t="s">
        <v>290</v>
      </c>
      <c r="GBK55" s="1567"/>
      <c r="GBL55" s="1567"/>
      <c r="GBM55" s="1088" t="s">
        <v>289</v>
      </c>
      <c r="GBN55" s="1567" t="s">
        <v>290</v>
      </c>
      <c r="GBO55" s="1567"/>
      <c r="GBP55" s="1567"/>
      <c r="GBQ55" s="1088" t="s">
        <v>289</v>
      </c>
      <c r="GBR55" s="1567" t="s">
        <v>290</v>
      </c>
      <c r="GBS55" s="1567"/>
      <c r="GBT55" s="1567"/>
      <c r="GBU55" s="1088" t="s">
        <v>289</v>
      </c>
      <c r="GBV55" s="1567" t="s">
        <v>290</v>
      </c>
      <c r="GBW55" s="1567"/>
      <c r="GBX55" s="1567"/>
      <c r="GBY55" s="1088" t="s">
        <v>289</v>
      </c>
      <c r="GBZ55" s="1567" t="s">
        <v>290</v>
      </c>
      <c r="GCA55" s="1567"/>
      <c r="GCB55" s="1567"/>
      <c r="GCC55" s="1088" t="s">
        <v>289</v>
      </c>
      <c r="GCD55" s="1567" t="s">
        <v>290</v>
      </c>
      <c r="GCE55" s="1567"/>
      <c r="GCF55" s="1567"/>
      <c r="GCG55" s="1088" t="s">
        <v>289</v>
      </c>
      <c r="GCH55" s="1567" t="s">
        <v>290</v>
      </c>
      <c r="GCI55" s="1567"/>
      <c r="GCJ55" s="1567"/>
      <c r="GCK55" s="1088" t="s">
        <v>289</v>
      </c>
      <c r="GCL55" s="1567" t="s">
        <v>290</v>
      </c>
      <c r="GCM55" s="1567"/>
      <c r="GCN55" s="1567"/>
      <c r="GCO55" s="1088" t="s">
        <v>289</v>
      </c>
      <c r="GCP55" s="1567" t="s">
        <v>290</v>
      </c>
      <c r="GCQ55" s="1567"/>
      <c r="GCR55" s="1567"/>
      <c r="GCS55" s="1088" t="s">
        <v>289</v>
      </c>
      <c r="GCT55" s="1567" t="s">
        <v>290</v>
      </c>
      <c r="GCU55" s="1567"/>
      <c r="GCV55" s="1567"/>
      <c r="GCW55" s="1088" t="s">
        <v>289</v>
      </c>
      <c r="GCX55" s="1567" t="s">
        <v>290</v>
      </c>
      <c r="GCY55" s="1567"/>
      <c r="GCZ55" s="1567"/>
      <c r="GDA55" s="1088" t="s">
        <v>289</v>
      </c>
      <c r="GDB55" s="1567" t="s">
        <v>290</v>
      </c>
      <c r="GDC55" s="1567"/>
      <c r="GDD55" s="1567"/>
      <c r="GDE55" s="1088" t="s">
        <v>289</v>
      </c>
      <c r="GDF55" s="1567" t="s">
        <v>290</v>
      </c>
      <c r="GDG55" s="1567"/>
      <c r="GDH55" s="1567"/>
      <c r="GDI55" s="1088" t="s">
        <v>289</v>
      </c>
      <c r="GDJ55" s="1567" t="s">
        <v>290</v>
      </c>
      <c r="GDK55" s="1567"/>
      <c r="GDL55" s="1567"/>
      <c r="GDM55" s="1088" t="s">
        <v>289</v>
      </c>
      <c r="GDN55" s="1567" t="s">
        <v>290</v>
      </c>
      <c r="GDO55" s="1567"/>
      <c r="GDP55" s="1567"/>
      <c r="GDQ55" s="1088" t="s">
        <v>289</v>
      </c>
      <c r="GDR55" s="1567" t="s">
        <v>290</v>
      </c>
      <c r="GDS55" s="1567"/>
      <c r="GDT55" s="1567"/>
      <c r="GDU55" s="1088" t="s">
        <v>289</v>
      </c>
      <c r="GDV55" s="1567" t="s">
        <v>290</v>
      </c>
      <c r="GDW55" s="1567"/>
      <c r="GDX55" s="1567"/>
      <c r="GDY55" s="1088" t="s">
        <v>289</v>
      </c>
      <c r="GDZ55" s="1567" t="s">
        <v>290</v>
      </c>
      <c r="GEA55" s="1567"/>
      <c r="GEB55" s="1567"/>
      <c r="GEC55" s="1088" t="s">
        <v>289</v>
      </c>
      <c r="GED55" s="1567" t="s">
        <v>290</v>
      </c>
      <c r="GEE55" s="1567"/>
      <c r="GEF55" s="1567"/>
      <c r="GEG55" s="1088" t="s">
        <v>289</v>
      </c>
      <c r="GEH55" s="1567" t="s">
        <v>290</v>
      </c>
      <c r="GEI55" s="1567"/>
      <c r="GEJ55" s="1567"/>
      <c r="GEK55" s="1088" t="s">
        <v>289</v>
      </c>
      <c r="GEL55" s="1567" t="s">
        <v>290</v>
      </c>
      <c r="GEM55" s="1567"/>
      <c r="GEN55" s="1567"/>
      <c r="GEO55" s="1088" t="s">
        <v>289</v>
      </c>
      <c r="GEP55" s="1567" t="s">
        <v>290</v>
      </c>
      <c r="GEQ55" s="1567"/>
      <c r="GER55" s="1567"/>
      <c r="GES55" s="1088" t="s">
        <v>289</v>
      </c>
      <c r="GET55" s="1567" t="s">
        <v>290</v>
      </c>
      <c r="GEU55" s="1567"/>
      <c r="GEV55" s="1567"/>
      <c r="GEW55" s="1088" t="s">
        <v>289</v>
      </c>
      <c r="GEX55" s="1567" t="s">
        <v>290</v>
      </c>
      <c r="GEY55" s="1567"/>
      <c r="GEZ55" s="1567"/>
      <c r="GFA55" s="1088" t="s">
        <v>289</v>
      </c>
      <c r="GFB55" s="1567" t="s">
        <v>290</v>
      </c>
      <c r="GFC55" s="1567"/>
      <c r="GFD55" s="1567"/>
      <c r="GFE55" s="1088" t="s">
        <v>289</v>
      </c>
      <c r="GFF55" s="1567" t="s">
        <v>290</v>
      </c>
      <c r="GFG55" s="1567"/>
      <c r="GFH55" s="1567"/>
      <c r="GFI55" s="1088" t="s">
        <v>289</v>
      </c>
      <c r="GFJ55" s="1567" t="s">
        <v>290</v>
      </c>
      <c r="GFK55" s="1567"/>
      <c r="GFL55" s="1567"/>
      <c r="GFM55" s="1088" t="s">
        <v>289</v>
      </c>
      <c r="GFN55" s="1567" t="s">
        <v>290</v>
      </c>
      <c r="GFO55" s="1567"/>
      <c r="GFP55" s="1567"/>
      <c r="GFQ55" s="1088" t="s">
        <v>289</v>
      </c>
      <c r="GFR55" s="1567" t="s">
        <v>290</v>
      </c>
      <c r="GFS55" s="1567"/>
      <c r="GFT55" s="1567"/>
      <c r="GFU55" s="1088" t="s">
        <v>289</v>
      </c>
      <c r="GFV55" s="1567" t="s">
        <v>290</v>
      </c>
      <c r="GFW55" s="1567"/>
      <c r="GFX55" s="1567"/>
      <c r="GFY55" s="1088" t="s">
        <v>289</v>
      </c>
      <c r="GFZ55" s="1567" t="s">
        <v>290</v>
      </c>
      <c r="GGA55" s="1567"/>
      <c r="GGB55" s="1567"/>
      <c r="GGC55" s="1088" t="s">
        <v>289</v>
      </c>
      <c r="GGD55" s="1567" t="s">
        <v>290</v>
      </c>
      <c r="GGE55" s="1567"/>
      <c r="GGF55" s="1567"/>
      <c r="GGG55" s="1088" t="s">
        <v>289</v>
      </c>
      <c r="GGH55" s="1567" t="s">
        <v>290</v>
      </c>
      <c r="GGI55" s="1567"/>
      <c r="GGJ55" s="1567"/>
      <c r="GGK55" s="1088" t="s">
        <v>289</v>
      </c>
      <c r="GGL55" s="1567" t="s">
        <v>290</v>
      </c>
      <c r="GGM55" s="1567"/>
      <c r="GGN55" s="1567"/>
      <c r="GGO55" s="1088" t="s">
        <v>289</v>
      </c>
      <c r="GGP55" s="1567" t="s">
        <v>290</v>
      </c>
      <c r="GGQ55" s="1567"/>
      <c r="GGR55" s="1567"/>
      <c r="GGS55" s="1088" t="s">
        <v>289</v>
      </c>
      <c r="GGT55" s="1567" t="s">
        <v>290</v>
      </c>
      <c r="GGU55" s="1567"/>
      <c r="GGV55" s="1567"/>
      <c r="GGW55" s="1088" t="s">
        <v>289</v>
      </c>
      <c r="GGX55" s="1567" t="s">
        <v>290</v>
      </c>
      <c r="GGY55" s="1567"/>
      <c r="GGZ55" s="1567"/>
      <c r="GHA55" s="1088" t="s">
        <v>289</v>
      </c>
      <c r="GHB55" s="1567" t="s">
        <v>290</v>
      </c>
      <c r="GHC55" s="1567"/>
      <c r="GHD55" s="1567"/>
      <c r="GHE55" s="1088" t="s">
        <v>289</v>
      </c>
      <c r="GHF55" s="1567" t="s">
        <v>290</v>
      </c>
      <c r="GHG55" s="1567"/>
      <c r="GHH55" s="1567"/>
      <c r="GHI55" s="1088" t="s">
        <v>289</v>
      </c>
      <c r="GHJ55" s="1567" t="s">
        <v>290</v>
      </c>
      <c r="GHK55" s="1567"/>
      <c r="GHL55" s="1567"/>
      <c r="GHM55" s="1088" t="s">
        <v>289</v>
      </c>
      <c r="GHN55" s="1567" t="s">
        <v>290</v>
      </c>
      <c r="GHO55" s="1567"/>
      <c r="GHP55" s="1567"/>
      <c r="GHQ55" s="1088" t="s">
        <v>289</v>
      </c>
      <c r="GHR55" s="1567" t="s">
        <v>290</v>
      </c>
      <c r="GHS55" s="1567"/>
      <c r="GHT55" s="1567"/>
      <c r="GHU55" s="1088" t="s">
        <v>289</v>
      </c>
      <c r="GHV55" s="1567" t="s">
        <v>290</v>
      </c>
      <c r="GHW55" s="1567"/>
      <c r="GHX55" s="1567"/>
      <c r="GHY55" s="1088" t="s">
        <v>289</v>
      </c>
      <c r="GHZ55" s="1567" t="s">
        <v>290</v>
      </c>
      <c r="GIA55" s="1567"/>
      <c r="GIB55" s="1567"/>
      <c r="GIC55" s="1088" t="s">
        <v>289</v>
      </c>
      <c r="GID55" s="1567" t="s">
        <v>290</v>
      </c>
      <c r="GIE55" s="1567"/>
      <c r="GIF55" s="1567"/>
      <c r="GIG55" s="1088" t="s">
        <v>289</v>
      </c>
      <c r="GIH55" s="1567" t="s">
        <v>290</v>
      </c>
      <c r="GII55" s="1567"/>
      <c r="GIJ55" s="1567"/>
      <c r="GIK55" s="1088" t="s">
        <v>289</v>
      </c>
      <c r="GIL55" s="1567" t="s">
        <v>290</v>
      </c>
      <c r="GIM55" s="1567"/>
      <c r="GIN55" s="1567"/>
      <c r="GIO55" s="1088" t="s">
        <v>289</v>
      </c>
      <c r="GIP55" s="1567" t="s">
        <v>290</v>
      </c>
      <c r="GIQ55" s="1567"/>
      <c r="GIR55" s="1567"/>
      <c r="GIS55" s="1088" t="s">
        <v>289</v>
      </c>
      <c r="GIT55" s="1567" t="s">
        <v>290</v>
      </c>
      <c r="GIU55" s="1567"/>
      <c r="GIV55" s="1567"/>
      <c r="GIW55" s="1088" t="s">
        <v>289</v>
      </c>
      <c r="GIX55" s="1567" t="s">
        <v>290</v>
      </c>
      <c r="GIY55" s="1567"/>
      <c r="GIZ55" s="1567"/>
      <c r="GJA55" s="1088" t="s">
        <v>289</v>
      </c>
      <c r="GJB55" s="1567" t="s">
        <v>290</v>
      </c>
      <c r="GJC55" s="1567"/>
      <c r="GJD55" s="1567"/>
      <c r="GJE55" s="1088" t="s">
        <v>289</v>
      </c>
      <c r="GJF55" s="1567" t="s">
        <v>290</v>
      </c>
      <c r="GJG55" s="1567"/>
      <c r="GJH55" s="1567"/>
      <c r="GJI55" s="1088" t="s">
        <v>289</v>
      </c>
      <c r="GJJ55" s="1567" t="s">
        <v>290</v>
      </c>
      <c r="GJK55" s="1567"/>
      <c r="GJL55" s="1567"/>
      <c r="GJM55" s="1088" t="s">
        <v>289</v>
      </c>
      <c r="GJN55" s="1567" t="s">
        <v>290</v>
      </c>
      <c r="GJO55" s="1567"/>
      <c r="GJP55" s="1567"/>
      <c r="GJQ55" s="1088" t="s">
        <v>289</v>
      </c>
      <c r="GJR55" s="1567" t="s">
        <v>290</v>
      </c>
      <c r="GJS55" s="1567"/>
      <c r="GJT55" s="1567"/>
      <c r="GJU55" s="1088" t="s">
        <v>289</v>
      </c>
      <c r="GJV55" s="1567" t="s">
        <v>290</v>
      </c>
      <c r="GJW55" s="1567"/>
      <c r="GJX55" s="1567"/>
      <c r="GJY55" s="1088" t="s">
        <v>289</v>
      </c>
      <c r="GJZ55" s="1567" t="s">
        <v>290</v>
      </c>
      <c r="GKA55" s="1567"/>
      <c r="GKB55" s="1567"/>
      <c r="GKC55" s="1088" t="s">
        <v>289</v>
      </c>
      <c r="GKD55" s="1567" t="s">
        <v>290</v>
      </c>
      <c r="GKE55" s="1567"/>
      <c r="GKF55" s="1567"/>
      <c r="GKG55" s="1088" t="s">
        <v>289</v>
      </c>
      <c r="GKH55" s="1567" t="s">
        <v>290</v>
      </c>
      <c r="GKI55" s="1567"/>
      <c r="GKJ55" s="1567"/>
      <c r="GKK55" s="1088" t="s">
        <v>289</v>
      </c>
      <c r="GKL55" s="1567" t="s">
        <v>290</v>
      </c>
      <c r="GKM55" s="1567"/>
      <c r="GKN55" s="1567"/>
      <c r="GKO55" s="1088" t="s">
        <v>289</v>
      </c>
      <c r="GKP55" s="1567" t="s">
        <v>290</v>
      </c>
      <c r="GKQ55" s="1567"/>
      <c r="GKR55" s="1567"/>
      <c r="GKS55" s="1088" t="s">
        <v>289</v>
      </c>
      <c r="GKT55" s="1567" t="s">
        <v>290</v>
      </c>
      <c r="GKU55" s="1567"/>
      <c r="GKV55" s="1567"/>
      <c r="GKW55" s="1088" t="s">
        <v>289</v>
      </c>
      <c r="GKX55" s="1567" t="s">
        <v>290</v>
      </c>
      <c r="GKY55" s="1567"/>
      <c r="GKZ55" s="1567"/>
      <c r="GLA55" s="1088" t="s">
        <v>289</v>
      </c>
      <c r="GLB55" s="1567" t="s">
        <v>290</v>
      </c>
      <c r="GLC55" s="1567"/>
      <c r="GLD55" s="1567"/>
      <c r="GLE55" s="1088" t="s">
        <v>289</v>
      </c>
      <c r="GLF55" s="1567" t="s">
        <v>290</v>
      </c>
      <c r="GLG55" s="1567"/>
      <c r="GLH55" s="1567"/>
      <c r="GLI55" s="1088" t="s">
        <v>289</v>
      </c>
      <c r="GLJ55" s="1567" t="s">
        <v>290</v>
      </c>
      <c r="GLK55" s="1567"/>
      <c r="GLL55" s="1567"/>
      <c r="GLM55" s="1088" t="s">
        <v>289</v>
      </c>
      <c r="GLN55" s="1567" t="s">
        <v>290</v>
      </c>
      <c r="GLO55" s="1567"/>
      <c r="GLP55" s="1567"/>
      <c r="GLQ55" s="1088" t="s">
        <v>289</v>
      </c>
      <c r="GLR55" s="1567" t="s">
        <v>290</v>
      </c>
      <c r="GLS55" s="1567"/>
      <c r="GLT55" s="1567"/>
      <c r="GLU55" s="1088" t="s">
        <v>289</v>
      </c>
      <c r="GLV55" s="1567" t="s">
        <v>290</v>
      </c>
      <c r="GLW55" s="1567"/>
      <c r="GLX55" s="1567"/>
      <c r="GLY55" s="1088" t="s">
        <v>289</v>
      </c>
      <c r="GLZ55" s="1567" t="s">
        <v>290</v>
      </c>
      <c r="GMA55" s="1567"/>
      <c r="GMB55" s="1567"/>
      <c r="GMC55" s="1088" t="s">
        <v>289</v>
      </c>
      <c r="GMD55" s="1567" t="s">
        <v>290</v>
      </c>
      <c r="GME55" s="1567"/>
      <c r="GMF55" s="1567"/>
      <c r="GMG55" s="1088" t="s">
        <v>289</v>
      </c>
      <c r="GMH55" s="1567" t="s">
        <v>290</v>
      </c>
      <c r="GMI55" s="1567"/>
      <c r="GMJ55" s="1567"/>
      <c r="GMK55" s="1088" t="s">
        <v>289</v>
      </c>
      <c r="GML55" s="1567" t="s">
        <v>290</v>
      </c>
      <c r="GMM55" s="1567"/>
      <c r="GMN55" s="1567"/>
      <c r="GMO55" s="1088" t="s">
        <v>289</v>
      </c>
      <c r="GMP55" s="1567" t="s">
        <v>290</v>
      </c>
      <c r="GMQ55" s="1567"/>
      <c r="GMR55" s="1567"/>
      <c r="GMS55" s="1088" t="s">
        <v>289</v>
      </c>
      <c r="GMT55" s="1567" t="s">
        <v>290</v>
      </c>
      <c r="GMU55" s="1567"/>
      <c r="GMV55" s="1567"/>
      <c r="GMW55" s="1088" t="s">
        <v>289</v>
      </c>
      <c r="GMX55" s="1567" t="s">
        <v>290</v>
      </c>
      <c r="GMY55" s="1567"/>
      <c r="GMZ55" s="1567"/>
      <c r="GNA55" s="1088" t="s">
        <v>289</v>
      </c>
      <c r="GNB55" s="1567" t="s">
        <v>290</v>
      </c>
      <c r="GNC55" s="1567"/>
      <c r="GND55" s="1567"/>
      <c r="GNE55" s="1088" t="s">
        <v>289</v>
      </c>
      <c r="GNF55" s="1567" t="s">
        <v>290</v>
      </c>
      <c r="GNG55" s="1567"/>
      <c r="GNH55" s="1567"/>
      <c r="GNI55" s="1088" t="s">
        <v>289</v>
      </c>
      <c r="GNJ55" s="1567" t="s">
        <v>290</v>
      </c>
      <c r="GNK55" s="1567"/>
      <c r="GNL55" s="1567"/>
      <c r="GNM55" s="1088" t="s">
        <v>289</v>
      </c>
      <c r="GNN55" s="1567" t="s">
        <v>290</v>
      </c>
      <c r="GNO55" s="1567"/>
      <c r="GNP55" s="1567"/>
      <c r="GNQ55" s="1088" t="s">
        <v>289</v>
      </c>
      <c r="GNR55" s="1567" t="s">
        <v>290</v>
      </c>
      <c r="GNS55" s="1567"/>
      <c r="GNT55" s="1567"/>
      <c r="GNU55" s="1088" t="s">
        <v>289</v>
      </c>
      <c r="GNV55" s="1567" t="s">
        <v>290</v>
      </c>
      <c r="GNW55" s="1567"/>
      <c r="GNX55" s="1567"/>
      <c r="GNY55" s="1088" t="s">
        <v>289</v>
      </c>
      <c r="GNZ55" s="1567" t="s">
        <v>290</v>
      </c>
      <c r="GOA55" s="1567"/>
      <c r="GOB55" s="1567"/>
      <c r="GOC55" s="1088" t="s">
        <v>289</v>
      </c>
      <c r="GOD55" s="1567" t="s">
        <v>290</v>
      </c>
      <c r="GOE55" s="1567"/>
      <c r="GOF55" s="1567"/>
      <c r="GOG55" s="1088" t="s">
        <v>289</v>
      </c>
      <c r="GOH55" s="1567" t="s">
        <v>290</v>
      </c>
      <c r="GOI55" s="1567"/>
      <c r="GOJ55" s="1567"/>
      <c r="GOK55" s="1088" t="s">
        <v>289</v>
      </c>
      <c r="GOL55" s="1567" t="s">
        <v>290</v>
      </c>
      <c r="GOM55" s="1567"/>
      <c r="GON55" s="1567"/>
      <c r="GOO55" s="1088" t="s">
        <v>289</v>
      </c>
      <c r="GOP55" s="1567" t="s">
        <v>290</v>
      </c>
      <c r="GOQ55" s="1567"/>
      <c r="GOR55" s="1567"/>
      <c r="GOS55" s="1088" t="s">
        <v>289</v>
      </c>
      <c r="GOT55" s="1567" t="s">
        <v>290</v>
      </c>
      <c r="GOU55" s="1567"/>
      <c r="GOV55" s="1567"/>
      <c r="GOW55" s="1088" t="s">
        <v>289</v>
      </c>
      <c r="GOX55" s="1567" t="s">
        <v>290</v>
      </c>
      <c r="GOY55" s="1567"/>
      <c r="GOZ55" s="1567"/>
      <c r="GPA55" s="1088" t="s">
        <v>289</v>
      </c>
      <c r="GPB55" s="1567" t="s">
        <v>290</v>
      </c>
      <c r="GPC55" s="1567"/>
      <c r="GPD55" s="1567"/>
      <c r="GPE55" s="1088" t="s">
        <v>289</v>
      </c>
      <c r="GPF55" s="1567" t="s">
        <v>290</v>
      </c>
      <c r="GPG55" s="1567"/>
      <c r="GPH55" s="1567"/>
      <c r="GPI55" s="1088" t="s">
        <v>289</v>
      </c>
      <c r="GPJ55" s="1567" t="s">
        <v>290</v>
      </c>
      <c r="GPK55" s="1567"/>
      <c r="GPL55" s="1567"/>
      <c r="GPM55" s="1088" t="s">
        <v>289</v>
      </c>
      <c r="GPN55" s="1567" t="s">
        <v>290</v>
      </c>
      <c r="GPO55" s="1567"/>
      <c r="GPP55" s="1567"/>
      <c r="GPQ55" s="1088" t="s">
        <v>289</v>
      </c>
      <c r="GPR55" s="1567" t="s">
        <v>290</v>
      </c>
      <c r="GPS55" s="1567"/>
      <c r="GPT55" s="1567"/>
      <c r="GPU55" s="1088" t="s">
        <v>289</v>
      </c>
      <c r="GPV55" s="1567" t="s">
        <v>290</v>
      </c>
      <c r="GPW55" s="1567"/>
      <c r="GPX55" s="1567"/>
      <c r="GPY55" s="1088" t="s">
        <v>289</v>
      </c>
      <c r="GPZ55" s="1567" t="s">
        <v>290</v>
      </c>
      <c r="GQA55" s="1567"/>
      <c r="GQB55" s="1567"/>
      <c r="GQC55" s="1088" t="s">
        <v>289</v>
      </c>
      <c r="GQD55" s="1567" t="s">
        <v>290</v>
      </c>
      <c r="GQE55" s="1567"/>
      <c r="GQF55" s="1567"/>
      <c r="GQG55" s="1088" t="s">
        <v>289</v>
      </c>
      <c r="GQH55" s="1567" t="s">
        <v>290</v>
      </c>
      <c r="GQI55" s="1567"/>
      <c r="GQJ55" s="1567"/>
      <c r="GQK55" s="1088" t="s">
        <v>289</v>
      </c>
      <c r="GQL55" s="1567" t="s">
        <v>290</v>
      </c>
      <c r="GQM55" s="1567"/>
      <c r="GQN55" s="1567"/>
      <c r="GQO55" s="1088" t="s">
        <v>289</v>
      </c>
      <c r="GQP55" s="1567" t="s">
        <v>290</v>
      </c>
      <c r="GQQ55" s="1567"/>
      <c r="GQR55" s="1567"/>
      <c r="GQS55" s="1088" t="s">
        <v>289</v>
      </c>
      <c r="GQT55" s="1567" t="s">
        <v>290</v>
      </c>
      <c r="GQU55" s="1567"/>
      <c r="GQV55" s="1567"/>
      <c r="GQW55" s="1088" t="s">
        <v>289</v>
      </c>
      <c r="GQX55" s="1567" t="s">
        <v>290</v>
      </c>
      <c r="GQY55" s="1567"/>
      <c r="GQZ55" s="1567"/>
      <c r="GRA55" s="1088" t="s">
        <v>289</v>
      </c>
      <c r="GRB55" s="1567" t="s">
        <v>290</v>
      </c>
      <c r="GRC55" s="1567"/>
      <c r="GRD55" s="1567"/>
      <c r="GRE55" s="1088" t="s">
        <v>289</v>
      </c>
      <c r="GRF55" s="1567" t="s">
        <v>290</v>
      </c>
      <c r="GRG55" s="1567"/>
      <c r="GRH55" s="1567"/>
      <c r="GRI55" s="1088" t="s">
        <v>289</v>
      </c>
      <c r="GRJ55" s="1567" t="s">
        <v>290</v>
      </c>
      <c r="GRK55" s="1567"/>
      <c r="GRL55" s="1567"/>
      <c r="GRM55" s="1088" t="s">
        <v>289</v>
      </c>
      <c r="GRN55" s="1567" t="s">
        <v>290</v>
      </c>
      <c r="GRO55" s="1567"/>
      <c r="GRP55" s="1567"/>
      <c r="GRQ55" s="1088" t="s">
        <v>289</v>
      </c>
      <c r="GRR55" s="1567" t="s">
        <v>290</v>
      </c>
      <c r="GRS55" s="1567"/>
      <c r="GRT55" s="1567"/>
      <c r="GRU55" s="1088" t="s">
        <v>289</v>
      </c>
      <c r="GRV55" s="1567" t="s">
        <v>290</v>
      </c>
      <c r="GRW55" s="1567"/>
      <c r="GRX55" s="1567"/>
      <c r="GRY55" s="1088" t="s">
        <v>289</v>
      </c>
      <c r="GRZ55" s="1567" t="s">
        <v>290</v>
      </c>
      <c r="GSA55" s="1567"/>
      <c r="GSB55" s="1567"/>
      <c r="GSC55" s="1088" t="s">
        <v>289</v>
      </c>
      <c r="GSD55" s="1567" t="s">
        <v>290</v>
      </c>
      <c r="GSE55" s="1567"/>
      <c r="GSF55" s="1567"/>
      <c r="GSG55" s="1088" t="s">
        <v>289</v>
      </c>
      <c r="GSH55" s="1567" t="s">
        <v>290</v>
      </c>
      <c r="GSI55" s="1567"/>
      <c r="GSJ55" s="1567"/>
      <c r="GSK55" s="1088" t="s">
        <v>289</v>
      </c>
      <c r="GSL55" s="1567" t="s">
        <v>290</v>
      </c>
      <c r="GSM55" s="1567"/>
      <c r="GSN55" s="1567"/>
      <c r="GSO55" s="1088" t="s">
        <v>289</v>
      </c>
      <c r="GSP55" s="1567" t="s">
        <v>290</v>
      </c>
      <c r="GSQ55" s="1567"/>
      <c r="GSR55" s="1567"/>
      <c r="GSS55" s="1088" t="s">
        <v>289</v>
      </c>
      <c r="GST55" s="1567" t="s">
        <v>290</v>
      </c>
      <c r="GSU55" s="1567"/>
      <c r="GSV55" s="1567"/>
      <c r="GSW55" s="1088" t="s">
        <v>289</v>
      </c>
      <c r="GSX55" s="1567" t="s">
        <v>290</v>
      </c>
      <c r="GSY55" s="1567"/>
      <c r="GSZ55" s="1567"/>
      <c r="GTA55" s="1088" t="s">
        <v>289</v>
      </c>
      <c r="GTB55" s="1567" t="s">
        <v>290</v>
      </c>
      <c r="GTC55" s="1567"/>
      <c r="GTD55" s="1567"/>
      <c r="GTE55" s="1088" t="s">
        <v>289</v>
      </c>
      <c r="GTF55" s="1567" t="s">
        <v>290</v>
      </c>
      <c r="GTG55" s="1567"/>
      <c r="GTH55" s="1567"/>
      <c r="GTI55" s="1088" t="s">
        <v>289</v>
      </c>
      <c r="GTJ55" s="1567" t="s">
        <v>290</v>
      </c>
      <c r="GTK55" s="1567"/>
      <c r="GTL55" s="1567"/>
      <c r="GTM55" s="1088" t="s">
        <v>289</v>
      </c>
      <c r="GTN55" s="1567" t="s">
        <v>290</v>
      </c>
      <c r="GTO55" s="1567"/>
      <c r="GTP55" s="1567"/>
      <c r="GTQ55" s="1088" t="s">
        <v>289</v>
      </c>
      <c r="GTR55" s="1567" t="s">
        <v>290</v>
      </c>
      <c r="GTS55" s="1567"/>
      <c r="GTT55" s="1567"/>
      <c r="GTU55" s="1088" t="s">
        <v>289</v>
      </c>
      <c r="GTV55" s="1567" t="s">
        <v>290</v>
      </c>
      <c r="GTW55" s="1567"/>
      <c r="GTX55" s="1567"/>
      <c r="GTY55" s="1088" t="s">
        <v>289</v>
      </c>
      <c r="GTZ55" s="1567" t="s">
        <v>290</v>
      </c>
      <c r="GUA55" s="1567"/>
      <c r="GUB55" s="1567"/>
      <c r="GUC55" s="1088" t="s">
        <v>289</v>
      </c>
      <c r="GUD55" s="1567" t="s">
        <v>290</v>
      </c>
      <c r="GUE55" s="1567"/>
      <c r="GUF55" s="1567"/>
      <c r="GUG55" s="1088" t="s">
        <v>289</v>
      </c>
      <c r="GUH55" s="1567" t="s">
        <v>290</v>
      </c>
      <c r="GUI55" s="1567"/>
      <c r="GUJ55" s="1567"/>
      <c r="GUK55" s="1088" t="s">
        <v>289</v>
      </c>
      <c r="GUL55" s="1567" t="s">
        <v>290</v>
      </c>
      <c r="GUM55" s="1567"/>
      <c r="GUN55" s="1567"/>
      <c r="GUO55" s="1088" t="s">
        <v>289</v>
      </c>
      <c r="GUP55" s="1567" t="s">
        <v>290</v>
      </c>
      <c r="GUQ55" s="1567"/>
      <c r="GUR55" s="1567"/>
      <c r="GUS55" s="1088" t="s">
        <v>289</v>
      </c>
      <c r="GUT55" s="1567" t="s">
        <v>290</v>
      </c>
      <c r="GUU55" s="1567"/>
      <c r="GUV55" s="1567"/>
      <c r="GUW55" s="1088" t="s">
        <v>289</v>
      </c>
      <c r="GUX55" s="1567" t="s">
        <v>290</v>
      </c>
      <c r="GUY55" s="1567"/>
      <c r="GUZ55" s="1567"/>
      <c r="GVA55" s="1088" t="s">
        <v>289</v>
      </c>
      <c r="GVB55" s="1567" t="s">
        <v>290</v>
      </c>
      <c r="GVC55" s="1567"/>
      <c r="GVD55" s="1567"/>
      <c r="GVE55" s="1088" t="s">
        <v>289</v>
      </c>
      <c r="GVF55" s="1567" t="s">
        <v>290</v>
      </c>
      <c r="GVG55" s="1567"/>
      <c r="GVH55" s="1567"/>
      <c r="GVI55" s="1088" t="s">
        <v>289</v>
      </c>
      <c r="GVJ55" s="1567" t="s">
        <v>290</v>
      </c>
      <c r="GVK55" s="1567"/>
      <c r="GVL55" s="1567"/>
      <c r="GVM55" s="1088" t="s">
        <v>289</v>
      </c>
      <c r="GVN55" s="1567" t="s">
        <v>290</v>
      </c>
      <c r="GVO55" s="1567"/>
      <c r="GVP55" s="1567"/>
      <c r="GVQ55" s="1088" t="s">
        <v>289</v>
      </c>
      <c r="GVR55" s="1567" t="s">
        <v>290</v>
      </c>
      <c r="GVS55" s="1567"/>
      <c r="GVT55" s="1567"/>
      <c r="GVU55" s="1088" t="s">
        <v>289</v>
      </c>
      <c r="GVV55" s="1567" t="s">
        <v>290</v>
      </c>
      <c r="GVW55" s="1567"/>
      <c r="GVX55" s="1567"/>
      <c r="GVY55" s="1088" t="s">
        <v>289</v>
      </c>
      <c r="GVZ55" s="1567" t="s">
        <v>290</v>
      </c>
      <c r="GWA55" s="1567"/>
      <c r="GWB55" s="1567"/>
      <c r="GWC55" s="1088" t="s">
        <v>289</v>
      </c>
      <c r="GWD55" s="1567" t="s">
        <v>290</v>
      </c>
      <c r="GWE55" s="1567"/>
      <c r="GWF55" s="1567"/>
      <c r="GWG55" s="1088" t="s">
        <v>289</v>
      </c>
      <c r="GWH55" s="1567" t="s">
        <v>290</v>
      </c>
      <c r="GWI55" s="1567"/>
      <c r="GWJ55" s="1567"/>
      <c r="GWK55" s="1088" t="s">
        <v>289</v>
      </c>
      <c r="GWL55" s="1567" t="s">
        <v>290</v>
      </c>
      <c r="GWM55" s="1567"/>
      <c r="GWN55" s="1567"/>
      <c r="GWO55" s="1088" t="s">
        <v>289</v>
      </c>
      <c r="GWP55" s="1567" t="s">
        <v>290</v>
      </c>
      <c r="GWQ55" s="1567"/>
      <c r="GWR55" s="1567"/>
      <c r="GWS55" s="1088" t="s">
        <v>289</v>
      </c>
      <c r="GWT55" s="1567" t="s">
        <v>290</v>
      </c>
      <c r="GWU55" s="1567"/>
      <c r="GWV55" s="1567"/>
      <c r="GWW55" s="1088" t="s">
        <v>289</v>
      </c>
      <c r="GWX55" s="1567" t="s">
        <v>290</v>
      </c>
      <c r="GWY55" s="1567"/>
      <c r="GWZ55" s="1567"/>
      <c r="GXA55" s="1088" t="s">
        <v>289</v>
      </c>
      <c r="GXB55" s="1567" t="s">
        <v>290</v>
      </c>
      <c r="GXC55" s="1567"/>
      <c r="GXD55" s="1567"/>
      <c r="GXE55" s="1088" t="s">
        <v>289</v>
      </c>
      <c r="GXF55" s="1567" t="s">
        <v>290</v>
      </c>
      <c r="GXG55" s="1567"/>
      <c r="GXH55" s="1567"/>
      <c r="GXI55" s="1088" t="s">
        <v>289</v>
      </c>
      <c r="GXJ55" s="1567" t="s">
        <v>290</v>
      </c>
      <c r="GXK55" s="1567"/>
      <c r="GXL55" s="1567"/>
      <c r="GXM55" s="1088" t="s">
        <v>289</v>
      </c>
      <c r="GXN55" s="1567" t="s">
        <v>290</v>
      </c>
      <c r="GXO55" s="1567"/>
      <c r="GXP55" s="1567"/>
      <c r="GXQ55" s="1088" t="s">
        <v>289</v>
      </c>
      <c r="GXR55" s="1567" t="s">
        <v>290</v>
      </c>
      <c r="GXS55" s="1567"/>
      <c r="GXT55" s="1567"/>
      <c r="GXU55" s="1088" t="s">
        <v>289</v>
      </c>
      <c r="GXV55" s="1567" t="s">
        <v>290</v>
      </c>
      <c r="GXW55" s="1567"/>
      <c r="GXX55" s="1567"/>
      <c r="GXY55" s="1088" t="s">
        <v>289</v>
      </c>
      <c r="GXZ55" s="1567" t="s">
        <v>290</v>
      </c>
      <c r="GYA55" s="1567"/>
      <c r="GYB55" s="1567"/>
      <c r="GYC55" s="1088" t="s">
        <v>289</v>
      </c>
      <c r="GYD55" s="1567" t="s">
        <v>290</v>
      </c>
      <c r="GYE55" s="1567"/>
      <c r="GYF55" s="1567"/>
      <c r="GYG55" s="1088" t="s">
        <v>289</v>
      </c>
      <c r="GYH55" s="1567" t="s">
        <v>290</v>
      </c>
      <c r="GYI55" s="1567"/>
      <c r="GYJ55" s="1567"/>
      <c r="GYK55" s="1088" t="s">
        <v>289</v>
      </c>
      <c r="GYL55" s="1567" t="s">
        <v>290</v>
      </c>
      <c r="GYM55" s="1567"/>
      <c r="GYN55" s="1567"/>
      <c r="GYO55" s="1088" t="s">
        <v>289</v>
      </c>
      <c r="GYP55" s="1567" t="s">
        <v>290</v>
      </c>
      <c r="GYQ55" s="1567"/>
      <c r="GYR55" s="1567"/>
      <c r="GYS55" s="1088" t="s">
        <v>289</v>
      </c>
      <c r="GYT55" s="1567" t="s">
        <v>290</v>
      </c>
      <c r="GYU55" s="1567"/>
      <c r="GYV55" s="1567"/>
      <c r="GYW55" s="1088" t="s">
        <v>289</v>
      </c>
      <c r="GYX55" s="1567" t="s">
        <v>290</v>
      </c>
      <c r="GYY55" s="1567"/>
      <c r="GYZ55" s="1567"/>
      <c r="GZA55" s="1088" t="s">
        <v>289</v>
      </c>
      <c r="GZB55" s="1567" t="s">
        <v>290</v>
      </c>
      <c r="GZC55" s="1567"/>
      <c r="GZD55" s="1567"/>
      <c r="GZE55" s="1088" t="s">
        <v>289</v>
      </c>
      <c r="GZF55" s="1567" t="s">
        <v>290</v>
      </c>
      <c r="GZG55" s="1567"/>
      <c r="GZH55" s="1567"/>
      <c r="GZI55" s="1088" t="s">
        <v>289</v>
      </c>
      <c r="GZJ55" s="1567" t="s">
        <v>290</v>
      </c>
      <c r="GZK55" s="1567"/>
      <c r="GZL55" s="1567"/>
      <c r="GZM55" s="1088" t="s">
        <v>289</v>
      </c>
      <c r="GZN55" s="1567" t="s">
        <v>290</v>
      </c>
      <c r="GZO55" s="1567"/>
      <c r="GZP55" s="1567"/>
      <c r="GZQ55" s="1088" t="s">
        <v>289</v>
      </c>
      <c r="GZR55" s="1567" t="s">
        <v>290</v>
      </c>
      <c r="GZS55" s="1567"/>
      <c r="GZT55" s="1567"/>
      <c r="GZU55" s="1088" t="s">
        <v>289</v>
      </c>
      <c r="GZV55" s="1567" t="s">
        <v>290</v>
      </c>
      <c r="GZW55" s="1567"/>
      <c r="GZX55" s="1567"/>
      <c r="GZY55" s="1088" t="s">
        <v>289</v>
      </c>
      <c r="GZZ55" s="1567" t="s">
        <v>290</v>
      </c>
      <c r="HAA55" s="1567"/>
      <c r="HAB55" s="1567"/>
      <c r="HAC55" s="1088" t="s">
        <v>289</v>
      </c>
      <c r="HAD55" s="1567" t="s">
        <v>290</v>
      </c>
      <c r="HAE55" s="1567"/>
      <c r="HAF55" s="1567"/>
      <c r="HAG55" s="1088" t="s">
        <v>289</v>
      </c>
      <c r="HAH55" s="1567" t="s">
        <v>290</v>
      </c>
      <c r="HAI55" s="1567"/>
      <c r="HAJ55" s="1567"/>
      <c r="HAK55" s="1088" t="s">
        <v>289</v>
      </c>
      <c r="HAL55" s="1567" t="s">
        <v>290</v>
      </c>
      <c r="HAM55" s="1567"/>
      <c r="HAN55" s="1567"/>
      <c r="HAO55" s="1088" t="s">
        <v>289</v>
      </c>
      <c r="HAP55" s="1567" t="s">
        <v>290</v>
      </c>
      <c r="HAQ55" s="1567"/>
      <c r="HAR55" s="1567"/>
      <c r="HAS55" s="1088" t="s">
        <v>289</v>
      </c>
      <c r="HAT55" s="1567" t="s">
        <v>290</v>
      </c>
      <c r="HAU55" s="1567"/>
      <c r="HAV55" s="1567"/>
      <c r="HAW55" s="1088" t="s">
        <v>289</v>
      </c>
      <c r="HAX55" s="1567" t="s">
        <v>290</v>
      </c>
      <c r="HAY55" s="1567"/>
      <c r="HAZ55" s="1567"/>
      <c r="HBA55" s="1088" t="s">
        <v>289</v>
      </c>
      <c r="HBB55" s="1567" t="s">
        <v>290</v>
      </c>
      <c r="HBC55" s="1567"/>
      <c r="HBD55" s="1567"/>
      <c r="HBE55" s="1088" t="s">
        <v>289</v>
      </c>
      <c r="HBF55" s="1567" t="s">
        <v>290</v>
      </c>
      <c r="HBG55" s="1567"/>
      <c r="HBH55" s="1567"/>
      <c r="HBI55" s="1088" t="s">
        <v>289</v>
      </c>
      <c r="HBJ55" s="1567" t="s">
        <v>290</v>
      </c>
      <c r="HBK55" s="1567"/>
      <c r="HBL55" s="1567"/>
      <c r="HBM55" s="1088" t="s">
        <v>289</v>
      </c>
      <c r="HBN55" s="1567" t="s">
        <v>290</v>
      </c>
      <c r="HBO55" s="1567"/>
      <c r="HBP55" s="1567"/>
      <c r="HBQ55" s="1088" t="s">
        <v>289</v>
      </c>
      <c r="HBR55" s="1567" t="s">
        <v>290</v>
      </c>
      <c r="HBS55" s="1567"/>
      <c r="HBT55" s="1567"/>
      <c r="HBU55" s="1088" t="s">
        <v>289</v>
      </c>
      <c r="HBV55" s="1567" t="s">
        <v>290</v>
      </c>
      <c r="HBW55" s="1567"/>
      <c r="HBX55" s="1567"/>
      <c r="HBY55" s="1088" t="s">
        <v>289</v>
      </c>
      <c r="HBZ55" s="1567" t="s">
        <v>290</v>
      </c>
      <c r="HCA55" s="1567"/>
      <c r="HCB55" s="1567"/>
      <c r="HCC55" s="1088" t="s">
        <v>289</v>
      </c>
      <c r="HCD55" s="1567" t="s">
        <v>290</v>
      </c>
      <c r="HCE55" s="1567"/>
      <c r="HCF55" s="1567"/>
      <c r="HCG55" s="1088" t="s">
        <v>289</v>
      </c>
      <c r="HCH55" s="1567" t="s">
        <v>290</v>
      </c>
      <c r="HCI55" s="1567"/>
      <c r="HCJ55" s="1567"/>
      <c r="HCK55" s="1088" t="s">
        <v>289</v>
      </c>
      <c r="HCL55" s="1567" t="s">
        <v>290</v>
      </c>
      <c r="HCM55" s="1567"/>
      <c r="HCN55" s="1567"/>
      <c r="HCO55" s="1088" t="s">
        <v>289</v>
      </c>
      <c r="HCP55" s="1567" t="s">
        <v>290</v>
      </c>
      <c r="HCQ55" s="1567"/>
      <c r="HCR55" s="1567"/>
      <c r="HCS55" s="1088" t="s">
        <v>289</v>
      </c>
      <c r="HCT55" s="1567" t="s">
        <v>290</v>
      </c>
      <c r="HCU55" s="1567"/>
      <c r="HCV55" s="1567"/>
      <c r="HCW55" s="1088" t="s">
        <v>289</v>
      </c>
      <c r="HCX55" s="1567" t="s">
        <v>290</v>
      </c>
      <c r="HCY55" s="1567"/>
      <c r="HCZ55" s="1567"/>
      <c r="HDA55" s="1088" t="s">
        <v>289</v>
      </c>
      <c r="HDB55" s="1567" t="s">
        <v>290</v>
      </c>
      <c r="HDC55" s="1567"/>
      <c r="HDD55" s="1567"/>
      <c r="HDE55" s="1088" t="s">
        <v>289</v>
      </c>
      <c r="HDF55" s="1567" t="s">
        <v>290</v>
      </c>
      <c r="HDG55" s="1567"/>
      <c r="HDH55" s="1567"/>
      <c r="HDI55" s="1088" t="s">
        <v>289</v>
      </c>
      <c r="HDJ55" s="1567" t="s">
        <v>290</v>
      </c>
      <c r="HDK55" s="1567"/>
      <c r="HDL55" s="1567"/>
      <c r="HDM55" s="1088" t="s">
        <v>289</v>
      </c>
      <c r="HDN55" s="1567" t="s">
        <v>290</v>
      </c>
      <c r="HDO55" s="1567"/>
      <c r="HDP55" s="1567"/>
      <c r="HDQ55" s="1088" t="s">
        <v>289</v>
      </c>
      <c r="HDR55" s="1567" t="s">
        <v>290</v>
      </c>
      <c r="HDS55" s="1567"/>
      <c r="HDT55" s="1567"/>
      <c r="HDU55" s="1088" t="s">
        <v>289</v>
      </c>
      <c r="HDV55" s="1567" t="s">
        <v>290</v>
      </c>
      <c r="HDW55" s="1567"/>
      <c r="HDX55" s="1567"/>
      <c r="HDY55" s="1088" t="s">
        <v>289</v>
      </c>
      <c r="HDZ55" s="1567" t="s">
        <v>290</v>
      </c>
      <c r="HEA55" s="1567"/>
      <c r="HEB55" s="1567"/>
      <c r="HEC55" s="1088" t="s">
        <v>289</v>
      </c>
      <c r="HED55" s="1567" t="s">
        <v>290</v>
      </c>
      <c r="HEE55" s="1567"/>
      <c r="HEF55" s="1567"/>
      <c r="HEG55" s="1088" t="s">
        <v>289</v>
      </c>
      <c r="HEH55" s="1567" t="s">
        <v>290</v>
      </c>
      <c r="HEI55" s="1567"/>
      <c r="HEJ55" s="1567"/>
      <c r="HEK55" s="1088" t="s">
        <v>289</v>
      </c>
      <c r="HEL55" s="1567" t="s">
        <v>290</v>
      </c>
      <c r="HEM55" s="1567"/>
      <c r="HEN55" s="1567"/>
      <c r="HEO55" s="1088" t="s">
        <v>289</v>
      </c>
      <c r="HEP55" s="1567" t="s">
        <v>290</v>
      </c>
      <c r="HEQ55" s="1567"/>
      <c r="HER55" s="1567"/>
      <c r="HES55" s="1088" t="s">
        <v>289</v>
      </c>
      <c r="HET55" s="1567" t="s">
        <v>290</v>
      </c>
      <c r="HEU55" s="1567"/>
      <c r="HEV55" s="1567"/>
      <c r="HEW55" s="1088" t="s">
        <v>289</v>
      </c>
      <c r="HEX55" s="1567" t="s">
        <v>290</v>
      </c>
      <c r="HEY55" s="1567"/>
      <c r="HEZ55" s="1567"/>
      <c r="HFA55" s="1088" t="s">
        <v>289</v>
      </c>
      <c r="HFB55" s="1567" t="s">
        <v>290</v>
      </c>
      <c r="HFC55" s="1567"/>
      <c r="HFD55" s="1567"/>
      <c r="HFE55" s="1088" t="s">
        <v>289</v>
      </c>
      <c r="HFF55" s="1567" t="s">
        <v>290</v>
      </c>
      <c r="HFG55" s="1567"/>
      <c r="HFH55" s="1567"/>
      <c r="HFI55" s="1088" t="s">
        <v>289</v>
      </c>
      <c r="HFJ55" s="1567" t="s">
        <v>290</v>
      </c>
      <c r="HFK55" s="1567"/>
      <c r="HFL55" s="1567"/>
      <c r="HFM55" s="1088" t="s">
        <v>289</v>
      </c>
      <c r="HFN55" s="1567" t="s">
        <v>290</v>
      </c>
      <c r="HFO55" s="1567"/>
      <c r="HFP55" s="1567"/>
      <c r="HFQ55" s="1088" t="s">
        <v>289</v>
      </c>
      <c r="HFR55" s="1567" t="s">
        <v>290</v>
      </c>
      <c r="HFS55" s="1567"/>
      <c r="HFT55" s="1567"/>
      <c r="HFU55" s="1088" t="s">
        <v>289</v>
      </c>
      <c r="HFV55" s="1567" t="s">
        <v>290</v>
      </c>
      <c r="HFW55" s="1567"/>
      <c r="HFX55" s="1567"/>
      <c r="HFY55" s="1088" t="s">
        <v>289</v>
      </c>
      <c r="HFZ55" s="1567" t="s">
        <v>290</v>
      </c>
      <c r="HGA55" s="1567"/>
      <c r="HGB55" s="1567"/>
      <c r="HGC55" s="1088" t="s">
        <v>289</v>
      </c>
      <c r="HGD55" s="1567" t="s">
        <v>290</v>
      </c>
      <c r="HGE55" s="1567"/>
      <c r="HGF55" s="1567"/>
      <c r="HGG55" s="1088" t="s">
        <v>289</v>
      </c>
      <c r="HGH55" s="1567" t="s">
        <v>290</v>
      </c>
      <c r="HGI55" s="1567"/>
      <c r="HGJ55" s="1567"/>
      <c r="HGK55" s="1088" t="s">
        <v>289</v>
      </c>
      <c r="HGL55" s="1567" t="s">
        <v>290</v>
      </c>
      <c r="HGM55" s="1567"/>
      <c r="HGN55" s="1567"/>
      <c r="HGO55" s="1088" t="s">
        <v>289</v>
      </c>
      <c r="HGP55" s="1567" t="s">
        <v>290</v>
      </c>
      <c r="HGQ55" s="1567"/>
      <c r="HGR55" s="1567"/>
      <c r="HGS55" s="1088" t="s">
        <v>289</v>
      </c>
      <c r="HGT55" s="1567" t="s">
        <v>290</v>
      </c>
      <c r="HGU55" s="1567"/>
      <c r="HGV55" s="1567"/>
      <c r="HGW55" s="1088" t="s">
        <v>289</v>
      </c>
      <c r="HGX55" s="1567" t="s">
        <v>290</v>
      </c>
      <c r="HGY55" s="1567"/>
      <c r="HGZ55" s="1567"/>
      <c r="HHA55" s="1088" t="s">
        <v>289</v>
      </c>
      <c r="HHB55" s="1567" t="s">
        <v>290</v>
      </c>
      <c r="HHC55" s="1567"/>
      <c r="HHD55" s="1567"/>
      <c r="HHE55" s="1088" t="s">
        <v>289</v>
      </c>
      <c r="HHF55" s="1567" t="s">
        <v>290</v>
      </c>
      <c r="HHG55" s="1567"/>
      <c r="HHH55" s="1567"/>
      <c r="HHI55" s="1088" t="s">
        <v>289</v>
      </c>
      <c r="HHJ55" s="1567" t="s">
        <v>290</v>
      </c>
      <c r="HHK55" s="1567"/>
      <c r="HHL55" s="1567"/>
      <c r="HHM55" s="1088" t="s">
        <v>289</v>
      </c>
      <c r="HHN55" s="1567" t="s">
        <v>290</v>
      </c>
      <c r="HHO55" s="1567"/>
      <c r="HHP55" s="1567"/>
      <c r="HHQ55" s="1088" t="s">
        <v>289</v>
      </c>
      <c r="HHR55" s="1567" t="s">
        <v>290</v>
      </c>
      <c r="HHS55" s="1567"/>
      <c r="HHT55" s="1567"/>
      <c r="HHU55" s="1088" t="s">
        <v>289</v>
      </c>
      <c r="HHV55" s="1567" t="s">
        <v>290</v>
      </c>
      <c r="HHW55" s="1567"/>
      <c r="HHX55" s="1567"/>
      <c r="HHY55" s="1088" t="s">
        <v>289</v>
      </c>
      <c r="HHZ55" s="1567" t="s">
        <v>290</v>
      </c>
      <c r="HIA55" s="1567"/>
      <c r="HIB55" s="1567"/>
      <c r="HIC55" s="1088" t="s">
        <v>289</v>
      </c>
      <c r="HID55" s="1567" t="s">
        <v>290</v>
      </c>
      <c r="HIE55" s="1567"/>
      <c r="HIF55" s="1567"/>
      <c r="HIG55" s="1088" t="s">
        <v>289</v>
      </c>
      <c r="HIH55" s="1567" t="s">
        <v>290</v>
      </c>
      <c r="HII55" s="1567"/>
      <c r="HIJ55" s="1567"/>
      <c r="HIK55" s="1088" t="s">
        <v>289</v>
      </c>
      <c r="HIL55" s="1567" t="s">
        <v>290</v>
      </c>
      <c r="HIM55" s="1567"/>
      <c r="HIN55" s="1567"/>
      <c r="HIO55" s="1088" t="s">
        <v>289</v>
      </c>
      <c r="HIP55" s="1567" t="s">
        <v>290</v>
      </c>
      <c r="HIQ55" s="1567"/>
      <c r="HIR55" s="1567"/>
      <c r="HIS55" s="1088" t="s">
        <v>289</v>
      </c>
      <c r="HIT55" s="1567" t="s">
        <v>290</v>
      </c>
      <c r="HIU55" s="1567"/>
      <c r="HIV55" s="1567"/>
      <c r="HIW55" s="1088" t="s">
        <v>289</v>
      </c>
      <c r="HIX55" s="1567" t="s">
        <v>290</v>
      </c>
      <c r="HIY55" s="1567"/>
      <c r="HIZ55" s="1567"/>
      <c r="HJA55" s="1088" t="s">
        <v>289</v>
      </c>
      <c r="HJB55" s="1567" t="s">
        <v>290</v>
      </c>
      <c r="HJC55" s="1567"/>
      <c r="HJD55" s="1567"/>
      <c r="HJE55" s="1088" t="s">
        <v>289</v>
      </c>
      <c r="HJF55" s="1567" t="s">
        <v>290</v>
      </c>
      <c r="HJG55" s="1567"/>
      <c r="HJH55" s="1567"/>
      <c r="HJI55" s="1088" t="s">
        <v>289</v>
      </c>
      <c r="HJJ55" s="1567" t="s">
        <v>290</v>
      </c>
      <c r="HJK55" s="1567"/>
      <c r="HJL55" s="1567"/>
      <c r="HJM55" s="1088" t="s">
        <v>289</v>
      </c>
      <c r="HJN55" s="1567" t="s">
        <v>290</v>
      </c>
      <c r="HJO55" s="1567"/>
      <c r="HJP55" s="1567"/>
      <c r="HJQ55" s="1088" t="s">
        <v>289</v>
      </c>
      <c r="HJR55" s="1567" t="s">
        <v>290</v>
      </c>
      <c r="HJS55" s="1567"/>
      <c r="HJT55" s="1567"/>
      <c r="HJU55" s="1088" t="s">
        <v>289</v>
      </c>
      <c r="HJV55" s="1567" t="s">
        <v>290</v>
      </c>
      <c r="HJW55" s="1567"/>
      <c r="HJX55" s="1567"/>
      <c r="HJY55" s="1088" t="s">
        <v>289</v>
      </c>
      <c r="HJZ55" s="1567" t="s">
        <v>290</v>
      </c>
      <c r="HKA55" s="1567"/>
      <c r="HKB55" s="1567"/>
      <c r="HKC55" s="1088" t="s">
        <v>289</v>
      </c>
      <c r="HKD55" s="1567" t="s">
        <v>290</v>
      </c>
      <c r="HKE55" s="1567"/>
      <c r="HKF55" s="1567"/>
      <c r="HKG55" s="1088" t="s">
        <v>289</v>
      </c>
      <c r="HKH55" s="1567" t="s">
        <v>290</v>
      </c>
      <c r="HKI55" s="1567"/>
      <c r="HKJ55" s="1567"/>
      <c r="HKK55" s="1088" t="s">
        <v>289</v>
      </c>
      <c r="HKL55" s="1567" t="s">
        <v>290</v>
      </c>
      <c r="HKM55" s="1567"/>
      <c r="HKN55" s="1567"/>
      <c r="HKO55" s="1088" t="s">
        <v>289</v>
      </c>
      <c r="HKP55" s="1567" t="s">
        <v>290</v>
      </c>
      <c r="HKQ55" s="1567"/>
      <c r="HKR55" s="1567"/>
      <c r="HKS55" s="1088" t="s">
        <v>289</v>
      </c>
      <c r="HKT55" s="1567" t="s">
        <v>290</v>
      </c>
      <c r="HKU55" s="1567"/>
      <c r="HKV55" s="1567"/>
      <c r="HKW55" s="1088" t="s">
        <v>289</v>
      </c>
      <c r="HKX55" s="1567" t="s">
        <v>290</v>
      </c>
      <c r="HKY55" s="1567"/>
      <c r="HKZ55" s="1567"/>
      <c r="HLA55" s="1088" t="s">
        <v>289</v>
      </c>
      <c r="HLB55" s="1567" t="s">
        <v>290</v>
      </c>
      <c r="HLC55" s="1567"/>
      <c r="HLD55" s="1567"/>
      <c r="HLE55" s="1088" t="s">
        <v>289</v>
      </c>
      <c r="HLF55" s="1567" t="s">
        <v>290</v>
      </c>
      <c r="HLG55" s="1567"/>
      <c r="HLH55" s="1567"/>
      <c r="HLI55" s="1088" t="s">
        <v>289</v>
      </c>
      <c r="HLJ55" s="1567" t="s">
        <v>290</v>
      </c>
      <c r="HLK55" s="1567"/>
      <c r="HLL55" s="1567"/>
      <c r="HLM55" s="1088" t="s">
        <v>289</v>
      </c>
      <c r="HLN55" s="1567" t="s">
        <v>290</v>
      </c>
      <c r="HLO55" s="1567"/>
      <c r="HLP55" s="1567"/>
      <c r="HLQ55" s="1088" t="s">
        <v>289</v>
      </c>
      <c r="HLR55" s="1567" t="s">
        <v>290</v>
      </c>
      <c r="HLS55" s="1567"/>
      <c r="HLT55" s="1567"/>
      <c r="HLU55" s="1088" t="s">
        <v>289</v>
      </c>
      <c r="HLV55" s="1567" t="s">
        <v>290</v>
      </c>
      <c r="HLW55" s="1567"/>
      <c r="HLX55" s="1567"/>
      <c r="HLY55" s="1088" t="s">
        <v>289</v>
      </c>
      <c r="HLZ55" s="1567" t="s">
        <v>290</v>
      </c>
      <c r="HMA55" s="1567"/>
      <c r="HMB55" s="1567"/>
      <c r="HMC55" s="1088" t="s">
        <v>289</v>
      </c>
      <c r="HMD55" s="1567" t="s">
        <v>290</v>
      </c>
      <c r="HME55" s="1567"/>
      <c r="HMF55" s="1567"/>
      <c r="HMG55" s="1088" t="s">
        <v>289</v>
      </c>
      <c r="HMH55" s="1567" t="s">
        <v>290</v>
      </c>
      <c r="HMI55" s="1567"/>
      <c r="HMJ55" s="1567"/>
      <c r="HMK55" s="1088" t="s">
        <v>289</v>
      </c>
      <c r="HML55" s="1567" t="s">
        <v>290</v>
      </c>
      <c r="HMM55" s="1567"/>
      <c r="HMN55" s="1567"/>
      <c r="HMO55" s="1088" t="s">
        <v>289</v>
      </c>
      <c r="HMP55" s="1567" t="s">
        <v>290</v>
      </c>
      <c r="HMQ55" s="1567"/>
      <c r="HMR55" s="1567"/>
      <c r="HMS55" s="1088" t="s">
        <v>289</v>
      </c>
      <c r="HMT55" s="1567" t="s">
        <v>290</v>
      </c>
      <c r="HMU55" s="1567"/>
      <c r="HMV55" s="1567"/>
      <c r="HMW55" s="1088" t="s">
        <v>289</v>
      </c>
      <c r="HMX55" s="1567" t="s">
        <v>290</v>
      </c>
      <c r="HMY55" s="1567"/>
      <c r="HMZ55" s="1567"/>
      <c r="HNA55" s="1088" t="s">
        <v>289</v>
      </c>
      <c r="HNB55" s="1567" t="s">
        <v>290</v>
      </c>
      <c r="HNC55" s="1567"/>
      <c r="HND55" s="1567"/>
      <c r="HNE55" s="1088" t="s">
        <v>289</v>
      </c>
      <c r="HNF55" s="1567" t="s">
        <v>290</v>
      </c>
      <c r="HNG55" s="1567"/>
      <c r="HNH55" s="1567"/>
      <c r="HNI55" s="1088" t="s">
        <v>289</v>
      </c>
      <c r="HNJ55" s="1567" t="s">
        <v>290</v>
      </c>
      <c r="HNK55" s="1567"/>
      <c r="HNL55" s="1567"/>
      <c r="HNM55" s="1088" t="s">
        <v>289</v>
      </c>
      <c r="HNN55" s="1567" t="s">
        <v>290</v>
      </c>
      <c r="HNO55" s="1567"/>
      <c r="HNP55" s="1567"/>
      <c r="HNQ55" s="1088" t="s">
        <v>289</v>
      </c>
      <c r="HNR55" s="1567" t="s">
        <v>290</v>
      </c>
      <c r="HNS55" s="1567"/>
      <c r="HNT55" s="1567"/>
      <c r="HNU55" s="1088" t="s">
        <v>289</v>
      </c>
      <c r="HNV55" s="1567" t="s">
        <v>290</v>
      </c>
      <c r="HNW55" s="1567"/>
      <c r="HNX55" s="1567"/>
      <c r="HNY55" s="1088" t="s">
        <v>289</v>
      </c>
      <c r="HNZ55" s="1567" t="s">
        <v>290</v>
      </c>
      <c r="HOA55" s="1567"/>
      <c r="HOB55" s="1567"/>
      <c r="HOC55" s="1088" t="s">
        <v>289</v>
      </c>
      <c r="HOD55" s="1567" t="s">
        <v>290</v>
      </c>
      <c r="HOE55" s="1567"/>
      <c r="HOF55" s="1567"/>
      <c r="HOG55" s="1088" t="s">
        <v>289</v>
      </c>
      <c r="HOH55" s="1567" t="s">
        <v>290</v>
      </c>
      <c r="HOI55" s="1567"/>
      <c r="HOJ55" s="1567"/>
      <c r="HOK55" s="1088" t="s">
        <v>289</v>
      </c>
      <c r="HOL55" s="1567" t="s">
        <v>290</v>
      </c>
      <c r="HOM55" s="1567"/>
      <c r="HON55" s="1567"/>
      <c r="HOO55" s="1088" t="s">
        <v>289</v>
      </c>
      <c r="HOP55" s="1567" t="s">
        <v>290</v>
      </c>
      <c r="HOQ55" s="1567"/>
      <c r="HOR55" s="1567"/>
      <c r="HOS55" s="1088" t="s">
        <v>289</v>
      </c>
      <c r="HOT55" s="1567" t="s">
        <v>290</v>
      </c>
      <c r="HOU55" s="1567"/>
      <c r="HOV55" s="1567"/>
      <c r="HOW55" s="1088" t="s">
        <v>289</v>
      </c>
      <c r="HOX55" s="1567" t="s">
        <v>290</v>
      </c>
      <c r="HOY55" s="1567"/>
      <c r="HOZ55" s="1567"/>
      <c r="HPA55" s="1088" t="s">
        <v>289</v>
      </c>
      <c r="HPB55" s="1567" t="s">
        <v>290</v>
      </c>
      <c r="HPC55" s="1567"/>
      <c r="HPD55" s="1567"/>
      <c r="HPE55" s="1088" t="s">
        <v>289</v>
      </c>
      <c r="HPF55" s="1567" t="s">
        <v>290</v>
      </c>
      <c r="HPG55" s="1567"/>
      <c r="HPH55" s="1567"/>
      <c r="HPI55" s="1088" t="s">
        <v>289</v>
      </c>
      <c r="HPJ55" s="1567" t="s">
        <v>290</v>
      </c>
      <c r="HPK55" s="1567"/>
      <c r="HPL55" s="1567"/>
      <c r="HPM55" s="1088" t="s">
        <v>289</v>
      </c>
      <c r="HPN55" s="1567" t="s">
        <v>290</v>
      </c>
      <c r="HPO55" s="1567"/>
      <c r="HPP55" s="1567"/>
      <c r="HPQ55" s="1088" t="s">
        <v>289</v>
      </c>
      <c r="HPR55" s="1567" t="s">
        <v>290</v>
      </c>
      <c r="HPS55" s="1567"/>
      <c r="HPT55" s="1567"/>
      <c r="HPU55" s="1088" t="s">
        <v>289</v>
      </c>
      <c r="HPV55" s="1567" t="s">
        <v>290</v>
      </c>
      <c r="HPW55" s="1567"/>
      <c r="HPX55" s="1567"/>
      <c r="HPY55" s="1088" t="s">
        <v>289</v>
      </c>
      <c r="HPZ55" s="1567" t="s">
        <v>290</v>
      </c>
      <c r="HQA55" s="1567"/>
      <c r="HQB55" s="1567"/>
      <c r="HQC55" s="1088" t="s">
        <v>289</v>
      </c>
      <c r="HQD55" s="1567" t="s">
        <v>290</v>
      </c>
      <c r="HQE55" s="1567"/>
      <c r="HQF55" s="1567"/>
      <c r="HQG55" s="1088" t="s">
        <v>289</v>
      </c>
      <c r="HQH55" s="1567" t="s">
        <v>290</v>
      </c>
      <c r="HQI55" s="1567"/>
      <c r="HQJ55" s="1567"/>
      <c r="HQK55" s="1088" t="s">
        <v>289</v>
      </c>
      <c r="HQL55" s="1567" t="s">
        <v>290</v>
      </c>
      <c r="HQM55" s="1567"/>
      <c r="HQN55" s="1567"/>
      <c r="HQO55" s="1088" t="s">
        <v>289</v>
      </c>
      <c r="HQP55" s="1567" t="s">
        <v>290</v>
      </c>
      <c r="HQQ55" s="1567"/>
      <c r="HQR55" s="1567"/>
      <c r="HQS55" s="1088" t="s">
        <v>289</v>
      </c>
      <c r="HQT55" s="1567" t="s">
        <v>290</v>
      </c>
      <c r="HQU55" s="1567"/>
      <c r="HQV55" s="1567"/>
      <c r="HQW55" s="1088" t="s">
        <v>289</v>
      </c>
      <c r="HQX55" s="1567" t="s">
        <v>290</v>
      </c>
      <c r="HQY55" s="1567"/>
      <c r="HQZ55" s="1567"/>
      <c r="HRA55" s="1088" t="s">
        <v>289</v>
      </c>
      <c r="HRB55" s="1567" t="s">
        <v>290</v>
      </c>
      <c r="HRC55" s="1567"/>
      <c r="HRD55" s="1567"/>
      <c r="HRE55" s="1088" t="s">
        <v>289</v>
      </c>
      <c r="HRF55" s="1567" t="s">
        <v>290</v>
      </c>
      <c r="HRG55" s="1567"/>
      <c r="HRH55" s="1567"/>
      <c r="HRI55" s="1088" t="s">
        <v>289</v>
      </c>
      <c r="HRJ55" s="1567" t="s">
        <v>290</v>
      </c>
      <c r="HRK55" s="1567"/>
      <c r="HRL55" s="1567"/>
      <c r="HRM55" s="1088" t="s">
        <v>289</v>
      </c>
      <c r="HRN55" s="1567" t="s">
        <v>290</v>
      </c>
      <c r="HRO55" s="1567"/>
      <c r="HRP55" s="1567"/>
      <c r="HRQ55" s="1088" t="s">
        <v>289</v>
      </c>
      <c r="HRR55" s="1567" t="s">
        <v>290</v>
      </c>
      <c r="HRS55" s="1567"/>
      <c r="HRT55" s="1567"/>
      <c r="HRU55" s="1088" t="s">
        <v>289</v>
      </c>
      <c r="HRV55" s="1567" t="s">
        <v>290</v>
      </c>
      <c r="HRW55" s="1567"/>
      <c r="HRX55" s="1567"/>
      <c r="HRY55" s="1088" t="s">
        <v>289</v>
      </c>
      <c r="HRZ55" s="1567" t="s">
        <v>290</v>
      </c>
      <c r="HSA55" s="1567"/>
      <c r="HSB55" s="1567"/>
      <c r="HSC55" s="1088" t="s">
        <v>289</v>
      </c>
      <c r="HSD55" s="1567" t="s">
        <v>290</v>
      </c>
      <c r="HSE55" s="1567"/>
      <c r="HSF55" s="1567"/>
      <c r="HSG55" s="1088" t="s">
        <v>289</v>
      </c>
      <c r="HSH55" s="1567" t="s">
        <v>290</v>
      </c>
      <c r="HSI55" s="1567"/>
      <c r="HSJ55" s="1567"/>
      <c r="HSK55" s="1088" t="s">
        <v>289</v>
      </c>
      <c r="HSL55" s="1567" t="s">
        <v>290</v>
      </c>
      <c r="HSM55" s="1567"/>
      <c r="HSN55" s="1567"/>
      <c r="HSO55" s="1088" t="s">
        <v>289</v>
      </c>
      <c r="HSP55" s="1567" t="s">
        <v>290</v>
      </c>
      <c r="HSQ55" s="1567"/>
      <c r="HSR55" s="1567"/>
      <c r="HSS55" s="1088" t="s">
        <v>289</v>
      </c>
      <c r="HST55" s="1567" t="s">
        <v>290</v>
      </c>
      <c r="HSU55" s="1567"/>
      <c r="HSV55" s="1567"/>
      <c r="HSW55" s="1088" t="s">
        <v>289</v>
      </c>
      <c r="HSX55" s="1567" t="s">
        <v>290</v>
      </c>
      <c r="HSY55" s="1567"/>
      <c r="HSZ55" s="1567"/>
      <c r="HTA55" s="1088" t="s">
        <v>289</v>
      </c>
      <c r="HTB55" s="1567" t="s">
        <v>290</v>
      </c>
      <c r="HTC55" s="1567"/>
      <c r="HTD55" s="1567"/>
      <c r="HTE55" s="1088" t="s">
        <v>289</v>
      </c>
      <c r="HTF55" s="1567" t="s">
        <v>290</v>
      </c>
      <c r="HTG55" s="1567"/>
      <c r="HTH55" s="1567"/>
      <c r="HTI55" s="1088" t="s">
        <v>289</v>
      </c>
      <c r="HTJ55" s="1567" t="s">
        <v>290</v>
      </c>
      <c r="HTK55" s="1567"/>
      <c r="HTL55" s="1567"/>
      <c r="HTM55" s="1088" t="s">
        <v>289</v>
      </c>
      <c r="HTN55" s="1567" t="s">
        <v>290</v>
      </c>
      <c r="HTO55" s="1567"/>
      <c r="HTP55" s="1567"/>
      <c r="HTQ55" s="1088" t="s">
        <v>289</v>
      </c>
      <c r="HTR55" s="1567" t="s">
        <v>290</v>
      </c>
      <c r="HTS55" s="1567"/>
      <c r="HTT55" s="1567"/>
      <c r="HTU55" s="1088" t="s">
        <v>289</v>
      </c>
      <c r="HTV55" s="1567" t="s">
        <v>290</v>
      </c>
      <c r="HTW55" s="1567"/>
      <c r="HTX55" s="1567"/>
      <c r="HTY55" s="1088" t="s">
        <v>289</v>
      </c>
      <c r="HTZ55" s="1567" t="s">
        <v>290</v>
      </c>
      <c r="HUA55" s="1567"/>
      <c r="HUB55" s="1567"/>
      <c r="HUC55" s="1088" t="s">
        <v>289</v>
      </c>
      <c r="HUD55" s="1567" t="s">
        <v>290</v>
      </c>
      <c r="HUE55" s="1567"/>
      <c r="HUF55" s="1567"/>
      <c r="HUG55" s="1088" t="s">
        <v>289</v>
      </c>
      <c r="HUH55" s="1567" t="s">
        <v>290</v>
      </c>
      <c r="HUI55" s="1567"/>
      <c r="HUJ55" s="1567"/>
      <c r="HUK55" s="1088" t="s">
        <v>289</v>
      </c>
      <c r="HUL55" s="1567" t="s">
        <v>290</v>
      </c>
      <c r="HUM55" s="1567"/>
      <c r="HUN55" s="1567"/>
      <c r="HUO55" s="1088" t="s">
        <v>289</v>
      </c>
      <c r="HUP55" s="1567" t="s">
        <v>290</v>
      </c>
      <c r="HUQ55" s="1567"/>
      <c r="HUR55" s="1567"/>
      <c r="HUS55" s="1088" t="s">
        <v>289</v>
      </c>
      <c r="HUT55" s="1567" t="s">
        <v>290</v>
      </c>
      <c r="HUU55" s="1567"/>
      <c r="HUV55" s="1567"/>
      <c r="HUW55" s="1088" t="s">
        <v>289</v>
      </c>
      <c r="HUX55" s="1567" t="s">
        <v>290</v>
      </c>
      <c r="HUY55" s="1567"/>
      <c r="HUZ55" s="1567"/>
      <c r="HVA55" s="1088" t="s">
        <v>289</v>
      </c>
      <c r="HVB55" s="1567" t="s">
        <v>290</v>
      </c>
      <c r="HVC55" s="1567"/>
      <c r="HVD55" s="1567"/>
      <c r="HVE55" s="1088" t="s">
        <v>289</v>
      </c>
      <c r="HVF55" s="1567" t="s">
        <v>290</v>
      </c>
      <c r="HVG55" s="1567"/>
      <c r="HVH55" s="1567"/>
      <c r="HVI55" s="1088" t="s">
        <v>289</v>
      </c>
      <c r="HVJ55" s="1567" t="s">
        <v>290</v>
      </c>
      <c r="HVK55" s="1567"/>
      <c r="HVL55" s="1567"/>
      <c r="HVM55" s="1088" t="s">
        <v>289</v>
      </c>
      <c r="HVN55" s="1567" t="s">
        <v>290</v>
      </c>
      <c r="HVO55" s="1567"/>
      <c r="HVP55" s="1567"/>
      <c r="HVQ55" s="1088" t="s">
        <v>289</v>
      </c>
      <c r="HVR55" s="1567" t="s">
        <v>290</v>
      </c>
      <c r="HVS55" s="1567"/>
      <c r="HVT55" s="1567"/>
      <c r="HVU55" s="1088" t="s">
        <v>289</v>
      </c>
      <c r="HVV55" s="1567" t="s">
        <v>290</v>
      </c>
      <c r="HVW55" s="1567"/>
      <c r="HVX55" s="1567"/>
      <c r="HVY55" s="1088" t="s">
        <v>289</v>
      </c>
      <c r="HVZ55" s="1567" t="s">
        <v>290</v>
      </c>
      <c r="HWA55" s="1567"/>
      <c r="HWB55" s="1567"/>
      <c r="HWC55" s="1088" t="s">
        <v>289</v>
      </c>
      <c r="HWD55" s="1567" t="s">
        <v>290</v>
      </c>
      <c r="HWE55" s="1567"/>
      <c r="HWF55" s="1567"/>
      <c r="HWG55" s="1088" t="s">
        <v>289</v>
      </c>
      <c r="HWH55" s="1567" t="s">
        <v>290</v>
      </c>
      <c r="HWI55" s="1567"/>
      <c r="HWJ55" s="1567"/>
      <c r="HWK55" s="1088" t="s">
        <v>289</v>
      </c>
      <c r="HWL55" s="1567" t="s">
        <v>290</v>
      </c>
      <c r="HWM55" s="1567"/>
      <c r="HWN55" s="1567"/>
      <c r="HWO55" s="1088" t="s">
        <v>289</v>
      </c>
      <c r="HWP55" s="1567" t="s">
        <v>290</v>
      </c>
      <c r="HWQ55" s="1567"/>
      <c r="HWR55" s="1567"/>
      <c r="HWS55" s="1088" t="s">
        <v>289</v>
      </c>
      <c r="HWT55" s="1567" t="s">
        <v>290</v>
      </c>
      <c r="HWU55" s="1567"/>
      <c r="HWV55" s="1567"/>
      <c r="HWW55" s="1088" t="s">
        <v>289</v>
      </c>
      <c r="HWX55" s="1567" t="s">
        <v>290</v>
      </c>
      <c r="HWY55" s="1567"/>
      <c r="HWZ55" s="1567"/>
      <c r="HXA55" s="1088" t="s">
        <v>289</v>
      </c>
      <c r="HXB55" s="1567" t="s">
        <v>290</v>
      </c>
      <c r="HXC55" s="1567"/>
      <c r="HXD55" s="1567"/>
      <c r="HXE55" s="1088" t="s">
        <v>289</v>
      </c>
      <c r="HXF55" s="1567" t="s">
        <v>290</v>
      </c>
      <c r="HXG55" s="1567"/>
      <c r="HXH55" s="1567"/>
      <c r="HXI55" s="1088" t="s">
        <v>289</v>
      </c>
      <c r="HXJ55" s="1567" t="s">
        <v>290</v>
      </c>
      <c r="HXK55" s="1567"/>
      <c r="HXL55" s="1567"/>
      <c r="HXM55" s="1088" t="s">
        <v>289</v>
      </c>
      <c r="HXN55" s="1567" t="s">
        <v>290</v>
      </c>
      <c r="HXO55" s="1567"/>
      <c r="HXP55" s="1567"/>
      <c r="HXQ55" s="1088" t="s">
        <v>289</v>
      </c>
      <c r="HXR55" s="1567" t="s">
        <v>290</v>
      </c>
      <c r="HXS55" s="1567"/>
      <c r="HXT55" s="1567"/>
      <c r="HXU55" s="1088" t="s">
        <v>289</v>
      </c>
      <c r="HXV55" s="1567" t="s">
        <v>290</v>
      </c>
      <c r="HXW55" s="1567"/>
      <c r="HXX55" s="1567"/>
      <c r="HXY55" s="1088" t="s">
        <v>289</v>
      </c>
      <c r="HXZ55" s="1567" t="s">
        <v>290</v>
      </c>
      <c r="HYA55" s="1567"/>
      <c r="HYB55" s="1567"/>
      <c r="HYC55" s="1088" t="s">
        <v>289</v>
      </c>
      <c r="HYD55" s="1567" t="s">
        <v>290</v>
      </c>
      <c r="HYE55" s="1567"/>
      <c r="HYF55" s="1567"/>
      <c r="HYG55" s="1088" t="s">
        <v>289</v>
      </c>
      <c r="HYH55" s="1567" t="s">
        <v>290</v>
      </c>
      <c r="HYI55" s="1567"/>
      <c r="HYJ55" s="1567"/>
      <c r="HYK55" s="1088" t="s">
        <v>289</v>
      </c>
      <c r="HYL55" s="1567" t="s">
        <v>290</v>
      </c>
      <c r="HYM55" s="1567"/>
      <c r="HYN55" s="1567"/>
      <c r="HYO55" s="1088" t="s">
        <v>289</v>
      </c>
      <c r="HYP55" s="1567" t="s">
        <v>290</v>
      </c>
      <c r="HYQ55" s="1567"/>
      <c r="HYR55" s="1567"/>
      <c r="HYS55" s="1088" t="s">
        <v>289</v>
      </c>
      <c r="HYT55" s="1567" t="s">
        <v>290</v>
      </c>
      <c r="HYU55" s="1567"/>
      <c r="HYV55" s="1567"/>
      <c r="HYW55" s="1088" t="s">
        <v>289</v>
      </c>
      <c r="HYX55" s="1567" t="s">
        <v>290</v>
      </c>
      <c r="HYY55" s="1567"/>
      <c r="HYZ55" s="1567"/>
      <c r="HZA55" s="1088" t="s">
        <v>289</v>
      </c>
      <c r="HZB55" s="1567" t="s">
        <v>290</v>
      </c>
      <c r="HZC55" s="1567"/>
      <c r="HZD55" s="1567"/>
      <c r="HZE55" s="1088" t="s">
        <v>289</v>
      </c>
      <c r="HZF55" s="1567" t="s">
        <v>290</v>
      </c>
      <c r="HZG55" s="1567"/>
      <c r="HZH55" s="1567"/>
      <c r="HZI55" s="1088" t="s">
        <v>289</v>
      </c>
      <c r="HZJ55" s="1567" t="s">
        <v>290</v>
      </c>
      <c r="HZK55" s="1567"/>
      <c r="HZL55" s="1567"/>
      <c r="HZM55" s="1088" t="s">
        <v>289</v>
      </c>
      <c r="HZN55" s="1567" t="s">
        <v>290</v>
      </c>
      <c r="HZO55" s="1567"/>
      <c r="HZP55" s="1567"/>
      <c r="HZQ55" s="1088" t="s">
        <v>289</v>
      </c>
      <c r="HZR55" s="1567" t="s">
        <v>290</v>
      </c>
      <c r="HZS55" s="1567"/>
      <c r="HZT55" s="1567"/>
      <c r="HZU55" s="1088" t="s">
        <v>289</v>
      </c>
      <c r="HZV55" s="1567" t="s">
        <v>290</v>
      </c>
      <c r="HZW55" s="1567"/>
      <c r="HZX55" s="1567"/>
      <c r="HZY55" s="1088" t="s">
        <v>289</v>
      </c>
      <c r="HZZ55" s="1567" t="s">
        <v>290</v>
      </c>
      <c r="IAA55" s="1567"/>
      <c r="IAB55" s="1567"/>
      <c r="IAC55" s="1088" t="s">
        <v>289</v>
      </c>
      <c r="IAD55" s="1567" t="s">
        <v>290</v>
      </c>
      <c r="IAE55" s="1567"/>
      <c r="IAF55" s="1567"/>
      <c r="IAG55" s="1088" t="s">
        <v>289</v>
      </c>
      <c r="IAH55" s="1567" t="s">
        <v>290</v>
      </c>
      <c r="IAI55" s="1567"/>
      <c r="IAJ55" s="1567"/>
      <c r="IAK55" s="1088" t="s">
        <v>289</v>
      </c>
      <c r="IAL55" s="1567" t="s">
        <v>290</v>
      </c>
      <c r="IAM55" s="1567"/>
      <c r="IAN55" s="1567"/>
      <c r="IAO55" s="1088" t="s">
        <v>289</v>
      </c>
      <c r="IAP55" s="1567" t="s">
        <v>290</v>
      </c>
      <c r="IAQ55" s="1567"/>
      <c r="IAR55" s="1567"/>
      <c r="IAS55" s="1088" t="s">
        <v>289</v>
      </c>
      <c r="IAT55" s="1567" t="s">
        <v>290</v>
      </c>
      <c r="IAU55" s="1567"/>
      <c r="IAV55" s="1567"/>
      <c r="IAW55" s="1088" t="s">
        <v>289</v>
      </c>
      <c r="IAX55" s="1567" t="s">
        <v>290</v>
      </c>
      <c r="IAY55" s="1567"/>
      <c r="IAZ55" s="1567"/>
      <c r="IBA55" s="1088" t="s">
        <v>289</v>
      </c>
      <c r="IBB55" s="1567" t="s">
        <v>290</v>
      </c>
      <c r="IBC55" s="1567"/>
      <c r="IBD55" s="1567"/>
      <c r="IBE55" s="1088" t="s">
        <v>289</v>
      </c>
      <c r="IBF55" s="1567" t="s">
        <v>290</v>
      </c>
      <c r="IBG55" s="1567"/>
      <c r="IBH55" s="1567"/>
      <c r="IBI55" s="1088" t="s">
        <v>289</v>
      </c>
      <c r="IBJ55" s="1567" t="s">
        <v>290</v>
      </c>
      <c r="IBK55" s="1567"/>
      <c r="IBL55" s="1567"/>
      <c r="IBM55" s="1088" t="s">
        <v>289</v>
      </c>
      <c r="IBN55" s="1567" t="s">
        <v>290</v>
      </c>
      <c r="IBO55" s="1567"/>
      <c r="IBP55" s="1567"/>
      <c r="IBQ55" s="1088" t="s">
        <v>289</v>
      </c>
      <c r="IBR55" s="1567" t="s">
        <v>290</v>
      </c>
      <c r="IBS55" s="1567"/>
      <c r="IBT55" s="1567"/>
      <c r="IBU55" s="1088" t="s">
        <v>289</v>
      </c>
      <c r="IBV55" s="1567" t="s">
        <v>290</v>
      </c>
      <c r="IBW55" s="1567"/>
      <c r="IBX55" s="1567"/>
      <c r="IBY55" s="1088" t="s">
        <v>289</v>
      </c>
      <c r="IBZ55" s="1567" t="s">
        <v>290</v>
      </c>
      <c r="ICA55" s="1567"/>
      <c r="ICB55" s="1567"/>
      <c r="ICC55" s="1088" t="s">
        <v>289</v>
      </c>
      <c r="ICD55" s="1567" t="s">
        <v>290</v>
      </c>
      <c r="ICE55" s="1567"/>
      <c r="ICF55" s="1567"/>
      <c r="ICG55" s="1088" t="s">
        <v>289</v>
      </c>
      <c r="ICH55" s="1567" t="s">
        <v>290</v>
      </c>
      <c r="ICI55" s="1567"/>
      <c r="ICJ55" s="1567"/>
      <c r="ICK55" s="1088" t="s">
        <v>289</v>
      </c>
      <c r="ICL55" s="1567" t="s">
        <v>290</v>
      </c>
      <c r="ICM55" s="1567"/>
      <c r="ICN55" s="1567"/>
      <c r="ICO55" s="1088" t="s">
        <v>289</v>
      </c>
      <c r="ICP55" s="1567" t="s">
        <v>290</v>
      </c>
      <c r="ICQ55" s="1567"/>
      <c r="ICR55" s="1567"/>
      <c r="ICS55" s="1088" t="s">
        <v>289</v>
      </c>
      <c r="ICT55" s="1567" t="s">
        <v>290</v>
      </c>
      <c r="ICU55" s="1567"/>
      <c r="ICV55" s="1567"/>
      <c r="ICW55" s="1088" t="s">
        <v>289</v>
      </c>
      <c r="ICX55" s="1567" t="s">
        <v>290</v>
      </c>
      <c r="ICY55" s="1567"/>
      <c r="ICZ55" s="1567"/>
      <c r="IDA55" s="1088" t="s">
        <v>289</v>
      </c>
      <c r="IDB55" s="1567" t="s">
        <v>290</v>
      </c>
      <c r="IDC55" s="1567"/>
      <c r="IDD55" s="1567"/>
      <c r="IDE55" s="1088" t="s">
        <v>289</v>
      </c>
      <c r="IDF55" s="1567" t="s">
        <v>290</v>
      </c>
      <c r="IDG55" s="1567"/>
      <c r="IDH55" s="1567"/>
      <c r="IDI55" s="1088" t="s">
        <v>289</v>
      </c>
      <c r="IDJ55" s="1567" t="s">
        <v>290</v>
      </c>
      <c r="IDK55" s="1567"/>
      <c r="IDL55" s="1567"/>
      <c r="IDM55" s="1088" t="s">
        <v>289</v>
      </c>
      <c r="IDN55" s="1567" t="s">
        <v>290</v>
      </c>
      <c r="IDO55" s="1567"/>
      <c r="IDP55" s="1567"/>
      <c r="IDQ55" s="1088" t="s">
        <v>289</v>
      </c>
      <c r="IDR55" s="1567" t="s">
        <v>290</v>
      </c>
      <c r="IDS55" s="1567"/>
      <c r="IDT55" s="1567"/>
      <c r="IDU55" s="1088" t="s">
        <v>289</v>
      </c>
      <c r="IDV55" s="1567" t="s">
        <v>290</v>
      </c>
      <c r="IDW55" s="1567"/>
      <c r="IDX55" s="1567"/>
      <c r="IDY55" s="1088" t="s">
        <v>289</v>
      </c>
      <c r="IDZ55" s="1567" t="s">
        <v>290</v>
      </c>
      <c r="IEA55" s="1567"/>
      <c r="IEB55" s="1567"/>
      <c r="IEC55" s="1088" t="s">
        <v>289</v>
      </c>
      <c r="IED55" s="1567" t="s">
        <v>290</v>
      </c>
      <c r="IEE55" s="1567"/>
      <c r="IEF55" s="1567"/>
      <c r="IEG55" s="1088" t="s">
        <v>289</v>
      </c>
      <c r="IEH55" s="1567" t="s">
        <v>290</v>
      </c>
      <c r="IEI55" s="1567"/>
      <c r="IEJ55" s="1567"/>
      <c r="IEK55" s="1088" t="s">
        <v>289</v>
      </c>
      <c r="IEL55" s="1567" t="s">
        <v>290</v>
      </c>
      <c r="IEM55" s="1567"/>
      <c r="IEN55" s="1567"/>
      <c r="IEO55" s="1088" t="s">
        <v>289</v>
      </c>
      <c r="IEP55" s="1567" t="s">
        <v>290</v>
      </c>
      <c r="IEQ55" s="1567"/>
      <c r="IER55" s="1567"/>
      <c r="IES55" s="1088" t="s">
        <v>289</v>
      </c>
      <c r="IET55" s="1567" t="s">
        <v>290</v>
      </c>
      <c r="IEU55" s="1567"/>
      <c r="IEV55" s="1567"/>
      <c r="IEW55" s="1088" t="s">
        <v>289</v>
      </c>
      <c r="IEX55" s="1567" t="s">
        <v>290</v>
      </c>
      <c r="IEY55" s="1567"/>
      <c r="IEZ55" s="1567"/>
      <c r="IFA55" s="1088" t="s">
        <v>289</v>
      </c>
      <c r="IFB55" s="1567" t="s">
        <v>290</v>
      </c>
      <c r="IFC55" s="1567"/>
      <c r="IFD55" s="1567"/>
      <c r="IFE55" s="1088" t="s">
        <v>289</v>
      </c>
      <c r="IFF55" s="1567" t="s">
        <v>290</v>
      </c>
      <c r="IFG55" s="1567"/>
      <c r="IFH55" s="1567"/>
      <c r="IFI55" s="1088" t="s">
        <v>289</v>
      </c>
      <c r="IFJ55" s="1567" t="s">
        <v>290</v>
      </c>
      <c r="IFK55" s="1567"/>
      <c r="IFL55" s="1567"/>
      <c r="IFM55" s="1088" t="s">
        <v>289</v>
      </c>
      <c r="IFN55" s="1567" t="s">
        <v>290</v>
      </c>
      <c r="IFO55" s="1567"/>
      <c r="IFP55" s="1567"/>
      <c r="IFQ55" s="1088" t="s">
        <v>289</v>
      </c>
      <c r="IFR55" s="1567" t="s">
        <v>290</v>
      </c>
      <c r="IFS55" s="1567"/>
      <c r="IFT55" s="1567"/>
      <c r="IFU55" s="1088" t="s">
        <v>289</v>
      </c>
      <c r="IFV55" s="1567" t="s">
        <v>290</v>
      </c>
      <c r="IFW55" s="1567"/>
      <c r="IFX55" s="1567"/>
      <c r="IFY55" s="1088" t="s">
        <v>289</v>
      </c>
      <c r="IFZ55" s="1567" t="s">
        <v>290</v>
      </c>
      <c r="IGA55" s="1567"/>
      <c r="IGB55" s="1567"/>
      <c r="IGC55" s="1088" t="s">
        <v>289</v>
      </c>
      <c r="IGD55" s="1567" t="s">
        <v>290</v>
      </c>
      <c r="IGE55" s="1567"/>
      <c r="IGF55" s="1567"/>
      <c r="IGG55" s="1088" t="s">
        <v>289</v>
      </c>
      <c r="IGH55" s="1567" t="s">
        <v>290</v>
      </c>
      <c r="IGI55" s="1567"/>
      <c r="IGJ55" s="1567"/>
      <c r="IGK55" s="1088" t="s">
        <v>289</v>
      </c>
      <c r="IGL55" s="1567" t="s">
        <v>290</v>
      </c>
      <c r="IGM55" s="1567"/>
      <c r="IGN55" s="1567"/>
      <c r="IGO55" s="1088" t="s">
        <v>289</v>
      </c>
      <c r="IGP55" s="1567" t="s">
        <v>290</v>
      </c>
      <c r="IGQ55" s="1567"/>
      <c r="IGR55" s="1567"/>
      <c r="IGS55" s="1088" t="s">
        <v>289</v>
      </c>
      <c r="IGT55" s="1567" t="s">
        <v>290</v>
      </c>
      <c r="IGU55" s="1567"/>
      <c r="IGV55" s="1567"/>
      <c r="IGW55" s="1088" t="s">
        <v>289</v>
      </c>
      <c r="IGX55" s="1567" t="s">
        <v>290</v>
      </c>
      <c r="IGY55" s="1567"/>
      <c r="IGZ55" s="1567"/>
      <c r="IHA55" s="1088" t="s">
        <v>289</v>
      </c>
      <c r="IHB55" s="1567" t="s">
        <v>290</v>
      </c>
      <c r="IHC55" s="1567"/>
      <c r="IHD55" s="1567"/>
      <c r="IHE55" s="1088" t="s">
        <v>289</v>
      </c>
      <c r="IHF55" s="1567" t="s">
        <v>290</v>
      </c>
      <c r="IHG55" s="1567"/>
      <c r="IHH55" s="1567"/>
      <c r="IHI55" s="1088" t="s">
        <v>289</v>
      </c>
      <c r="IHJ55" s="1567" t="s">
        <v>290</v>
      </c>
      <c r="IHK55" s="1567"/>
      <c r="IHL55" s="1567"/>
      <c r="IHM55" s="1088" t="s">
        <v>289</v>
      </c>
      <c r="IHN55" s="1567" t="s">
        <v>290</v>
      </c>
      <c r="IHO55" s="1567"/>
      <c r="IHP55" s="1567"/>
      <c r="IHQ55" s="1088" t="s">
        <v>289</v>
      </c>
      <c r="IHR55" s="1567" t="s">
        <v>290</v>
      </c>
      <c r="IHS55" s="1567"/>
      <c r="IHT55" s="1567"/>
      <c r="IHU55" s="1088" t="s">
        <v>289</v>
      </c>
      <c r="IHV55" s="1567" t="s">
        <v>290</v>
      </c>
      <c r="IHW55" s="1567"/>
      <c r="IHX55" s="1567"/>
      <c r="IHY55" s="1088" t="s">
        <v>289</v>
      </c>
      <c r="IHZ55" s="1567" t="s">
        <v>290</v>
      </c>
      <c r="IIA55" s="1567"/>
      <c r="IIB55" s="1567"/>
      <c r="IIC55" s="1088" t="s">
        <v>289</v>
      </c>
      <c r="IID55" s="1567" t="s">
        <v>290</v>
      </c>
      <c r="IIE55" s="1567"/>
      <c r="IIF55" s="1567"/>
      <c r="IIG55" s="1088" t="s">
        <v>289</v>
      </c>
      <c r="IIH55" s="1567" t="s">
        <v>290</v>
      </c>
      <c r="III55" s="1567"/>
      <c r="IIJ55" s="1567"/>
      <c r="IIK55" s="1088" t="s">
        <v>289</v>
      </c>
      <c r="IIL55" s="1567" t="s">
        <v>290</v>
      </c>
      <c r="IIM55" s="1567"/>
      <c r="IIN55" s="1567"/>
      <c r="IIO55" s="1088" t="s">
        <v>289</v>
      </c>
      <c r="IIP55" s="1567" t="s">
        <v>290</v>
      </c>
      <c r="IIQ55" s="1567"/>
      <c r="IIR55" s="1567"/>
      <c r="IIS55" s="1088" t="s">
        <v>289</v>
      </c>
      <c r="IIT55" s="1567" t="s">
        <v>290</v>
      </c>
      <c r="IIU55" s="1567"/>
      <c r="IIV55" s="1567"/>
      <c r="IIW55" s="1088" t="s">
        <v>289</v>
      </c>
      <c r="IIX55" s="1567" t="s">
        <v>290</v>
      </c>
      <c r="IIY55" s="1567"/>
      <c r="IIZ55" s="1567"/>
      <c r="IJA55" s="1088" t="s">
        <v>289</v>
      </c>
      <c r="IJB55" s="1567" t="s">
        <v>290</v>
      </c>
      <c r="IJC55" s="1567"/>
      <c r="IJD55" s="1567"/>
      <c r="IJE55" s="1088" t="s">
        <v>289</v>
      </c>
      <c r="IJF55" s="1567" t="s">
        <v>290</v>
      </c>
      <c r="IJG55" s="1567"/>
      <c r="IJH55" s="1567"/>
      <c r="IJI55" s="1088" t="s">
        <v>289</v>
      </c>
      <c r="IJJ55" s="1567" t="s">
        <v>290</v>
      </c>
      <c r="IJK55" s="1567"/>
      <c r="IJL55" s="1567"/>
      <c r="IJM55" s="1088" t="s">
        <v>289</v>
      </c>
      <c r="IJN55" s="1567" t="s">
        <v>290</v>
      </c>
      <c r="IJO55" s="1567"/>
      <c r="IJP55" s="1567"/>
      <c r="IJQ55" s="1088" t="s">
        <v>289</v>
      </c>
      <c r="IJR55" s="1567" t="s">
        <v>290</v>
      </c>
      <c r="IJS55" s="1567"/>
      <c r="IJT55" s="1567"/>
      <c r="IJU55" s="1088" t="s">
        <v>289</v>
      </c>
      <c r="IJV55" s="1567" t="s">
        <v>290</v>
      </c>
      <c r="IJW55" s="1567"/>
      <c r="IJX55" s="1567"/>
      <c r="IJY55" s="1088" t="s">
        <v>289</v>
      </c>
      <c r="IJZ55" s="1567" t="s">
        <v>290</v>
      </c>
      <c r="IKA55" s="1567"/>
      <c r="IKB55" s="1567"/>
      <c r="IKC55" s="1088" t="s">
        <v>289</v>
      </c>
      <c r="IKD55" s="1567" t="s">
        <v>290</v>
      </c>
      <c r="IKE55" s="1567"/>
      <c r="IKF55" s="1567"/>
      <c r="IKG55" s="1088" t="s">
        <v>289</v>
      </c>
      <c r="IKH55" s="1567" t="s">
        <v>290</v>
      </c>
      <c r="IKI55" s="1567"/>
      <c r="IKJ55" s="1567"/>
      <c r="IKK55" s="1088" t="s">
        <v>289</v>
      </c>
      <c r="IKL55" s="1567" t="s">
        <v>290</v>
      </c>
      <c r="IKM55" s="1567"/>
      <c r="IKN55" s="1567"/>
      <c r="IKO55" s="1088" t="s">
        <v>289</v>
      </c>
      <c r="IKP55" s="1567" t="s">
        <v>290</v>
      </c>
      <c r="IKQ55" s="1567"/>
      <c r="IKR55" s="1567"/>
      <c r="IKS55" s="1088" t="s">
        <v>289</v>
      </c>
      <c r="IKT55" s="1567" t="s">
        <v>290</v>
      </c>
      <c r="IKU55" s="1567"/>
      <c r="IKV55" s="1567"/>
      <c r="IKW55" s="1088" t="s">
        <v>289</v>
      </c>
      <c r="IKX55" s="1567" t="s">
        <v>290</v>
      </c>
      <c r="IKY55" s="1567"/>
      <c r="IKZ55" s="1567"/>
      <c r="ILA55" s="1088" t="s">
        <v>289</v>
      </c>
      <c r="ILB55" s="1567" t="s">
        <v>290</v>
      </c>
      <c r="ILC55" s="1567"/>
      <c r="ILD55" s="1567"/>
      <c r="ILE55" s="1088" t="s">
        <v>289</v>
      </c>
      <c r="ILF55" s="1567" t="s">
        <v>290</v>
      </c>
      <c r="ILG55" s="1567"/>
      <c r="ILH55" s="1567"/>
      <c r="ILI55" s="1088" t="s">
        <v>289</v>
      </c>
      <c r="ILJ55" s="1567" t="s">
        <v>290</v>
      </c>
      <c r="ILK55" s="1567"/>
      <c r="ILL55" s="1567"/>
      <c r="ILM55" s="1088" t="s">
        <v>289</v>
      </c>
      <c r="ILN55" s="1567" t="s">
        <v>290</v>
      </c>
      <c r="ILO55" s="1567"/>
      <c r="ILP55" s="1567"/>
      <c r="ILQ55" s="1088" t="s">
        <v>289</v>
      </c>
      <c r="ILR55" s="1567" t="s">
        <v>290</v>
      </c>
      <c r="ILS55" s="1567"/>
      <c r="ILT55" s="1567"/>
      <c r="ILU55" s="1088" t="s">
        <v>289</v>
      </c>
      <c r="ILV55" s="1567" t="s">
        <v>290</v>
      </c>
      <c r="ILW55" s="1567"/>
      <c r="ILX55" s="1567"/>
      <c r="ILY55" s="1088" t="s">
        <v>289</v>
      </c>
      <c r="ILZ55" s="1567" t="s">
        <v>290</v>
      </c>
      <c r="IMA55" s="1567"/>
      <c r="IMB55" s="1567"/>
      <c r="IMC55" s="1088" t="s">
        <v>289</v>
      </c>
      <c r="IMD55" s="1567" t="s">
        <v>290</v>
      </c>
      <c r="IME55" s="1567"/>
      <c r="IMF55" s="1567"/>
      <c r="IMG55" s="1088" t="s">
        <v>289</v>
      </c>
      <c r="IMH55" s="1567" t="s">
        <v>290</v>
      </c>
      <c r="IMI55" s="1567"/>
      <c r="IMJ55" s="1567"/>
      <c r="IMK55" s="1088" t="s">
        <v>289</v>
      </c>
      <c r="IML55" s="1567" t="s">
        <v>290</v>
      </c>
      <c r="IMM55" s="1567"/>
      <c r="IMN55" s="1567"/>
      <c r="IMO55" s="1088" t="s">
        <v>289</v>
      </c>
      <c r="IMP55" s="1567" t="s">
        <v>290</v>
      </c>
      <c r="IMQ55" s="1567"/>
      <c r="IMR55" s="1567"/>
      <c r="IMS55" s="1088" t="s">
        <v>289</v>
      </c>
      <c r="IMT55" s="1567" t="s">
        <v>290</v>
      </c>
      <c r="IMU55" s="1567"/>
      <c r="IMV55" s="1567"/>
      <c r="IMW55" s="1088" t="s">
        <v>289</v>
      </c>
      <c r="IMX55" s="1567" t="s">
        <v>290</v>
      </c>
      <c r="IMY55" s="1567"/>
      <c r="IMZ55" s="1567"/>
      <c r="INA55" s="1088" t="s">
        <v>289</v>
      </c>
      <c r="INB55" s="1567" t="s">
        <v>290</v>
      </c>
      <c r="INC55" s="1567"/>
      <c r="IND55" s="1567"/>
      <c r="INE55" s="1088" t="s">
        <v>289</v>
      </c>
      <c r="INF55" s="1567" t="s">
        <v>290</v>
      </c>
      <c r="ING55" s="1567"/>
      <c r="INH55" s="1567"/>
      <c r="INI55" s="1088" t="s">
        <v>289</v>
      </c>
      <c r="INJ55" s="1567" t="s">
        <v>290</v>
      </c>
      <c r="INK55" s="1567"/>
      <c r="INL55" s="1567"/>
      <c r="INM55" s="1088" t="s">
        <v>289</v>
      </c>
      <c r="INN55" s="1567" t="s">
        <v>290</v>
      </c>
      <c r="INO55" s="1567"/>
      <c r="INP55" s="1567"/>
      <c r="INQ55" s="1088" t="s">
        <v>289</v>
      </c>
      <c r="INR55" s="1567" t="s">
        <v>290</v>
      </c>
      <c r="INS55" s="1567"/>
      <c r="INT55" s="1567"/>
      <c r="INU55" s="1088" t="s">
        <v>289</v>
      </c>
      <c r="INV55" s="1567" t="s">
        <v>290</v>
      </c>
      <c r="INW55" s="1567"/>
      <c r="INX55" s="1567"/>
      <c r="INY55" s="1088" t="s">
        <v>289</v>
      </c>
      <c r="INZ55" s="1567" t="s">
        <v>290</v>
      </c>
      <c r="IOA55" s="1567"/>
      <c r="IOB55" s="1567"/>
      <c r="IOC55" s="1088" t="s">
        <v>289</v>
      </c>
      <c r="IOD55" s="1567" t="s">
        <v>290</v>
      </c>
      <c r="IOE55" s="1567"/>
      <c r="IOF55" s="1567"/>
      <c r="IOG55" s="1088" t="s">
        <v>289</v>
      </c>
      <c r="IOH55" s="1567" t="s">
        <v>290</v>
      </c>
      <c r="IOI55" s="1567"/>
      <c r="IOJ55" s="1567"/>
      <c r="IOK55" s="1088" t="s">
        <v>289</v>
      </c>
      <c r="IOL55" s="1567" t="s">
        <v>290</v>
      </c>
      <c r="IOM55" s="1567"/>
      <c r="ION55" s="1567"/>
      <c r="IOO55" s="1088" t="s">
        <v>289</v>
      </c>
      <c r="IOP55" s="1567" t="s">
        <v>290</v>
      </c>
      <c r="IOQ55" s="1567"/>
      <c r="IOR55" s="1567"/>
      <c r="IOS55" s="1088" t="s">
        <v>289</v>
      </c>
      <c r="IOT55" s="1567" t="s">
        <v>290</v>
      </c>
      <c r="IOU55" s="1567"/>
      <c r="IOV55" s="1567"/>
      <c r="IOW55" s="1088" t="s">
        <v>289</v>
      </c>
      <c r="IOX55" s="1567" t="s">
        <v>290</v>
      </c>
      <c r="IOY55" s="1567"/>
      <c r="IOZ55" s="1567"/>
      <c r="IPA55" s="1088" t="s">
        <v>289</v>
      </c>
      <c r="IPB55" s="1567" t="s">
        <v>290</v>
      </c>
      <c r="IPC55" s="1567"/>
      <c r="IPD55" s="1567"/>
      <c r="IPE55" s="1088" t="s">
        <v>289</v>
      </c>
      <c r="IPF55" s="1567" t="s">
        <v>290</v>
      </c>
      <c r="IPG55" s="1567"/>
      <c r="IPH55" s="1567"/>
      <c r="IPI55" s="1088" t="s">
        <v>289</v>
      </c>
      <c r="IPJ55" s="1567" t="s">
        <v>290</v>
      </c>
      <c r="IPK55" s="1567"/>
      <c r="IPL55" s="1567"/>
      <c r="IPM55" s="1088" t="s">
        <v>289</v>
      </c>
      <c r="IPN55" s="1567" t="s">
        <v>290</v>
      </c>
      <c r="IPO55" s="1567"/>
      <c r="IPP55" s="1567"/>
      <c r="IPQ55" s="1088" t="s">
        <v>289</v>
      </c>
      <c r="IPR55" s="1567" t="s">
        <v>290</v>
      </c>
      <c r="IPS55" s="1567"/>
      <c r="IPT55" s="1567"/>
      <c r="IPU55" s="1088" t="s">
        <v>289</v>
      </c>
      <c r="IPV55" s="1567" t="s">
        <v>290</v>
      </c>
      <c r="IPW55" s="1567"/>
      <c r="IPX55" s="1567"/>
      <c r="IPY55" s="1088" t="s">
        <v>289</v>
      </c>
      <c r="IPZ55" s="1567" t="s">
        <v>290</v>
      </c>
      <c r="IQA55" s="1567"/>
      <c r="IQB55" s="1567"/>
      <c r="IQC55" s="1088" t="s">
        <v>289</v>
      </c>
      <c r="IQD55" s="1567" t="s">
        <v>290</v>
      </c>
      <c r="IQE55" s="1567"/>
      <c r="IQF55" s="1567"/>
      <c r="IQG55" s="1088" t="s">
        <v>289</v>
      </c>
      <c r="IQH55" s="1567" t="s">
        <v>290</v>
      </c>
      <c r="IQI55" s="1567"/>
      <c r="IQJ55" s="1567"/>
      <c r="IQK55" s="1088" t="s">
        <v>289</v>
      </c>
      <c r="IQL55" s="1567" t="s">
        <v>290</v>
      </c>
      <c r="IQM55" s="1567"/>
      <c r="IQN55" s="1567"/>
      <c r="IQO55" s="1088" t="s">
        <v>289</v>
      </c>
      <c r="IQP55" s="1567" t="s">
        <v>290</v>
      </c>
      <c r="IQQ55" s="1567"/>
      <c r="IQR55" s="1567"/>
      <c r="IQS55" s="1088" t="s">
        <v>289</v>
      </c>
      <c r="IQT55" s="1567" t="s">
        <v>290</v>
      </c>
      <c r="IQU55" s="1567"/>
      <c r="IQV55" s="1567"/>
      <c r="IQW55" s="1088" t="s">
        <v>289</v>
      </c>
      <c r="IQX55" s="1567" t="s">
        <v>290</v>
      </c>
      <c r="IQY55" s="1567"/>
      <c r="IQZ55" s="1567"/>
      <c r="IRA55" s="1088" t="s">
        <v>289</v>
      </c>
      <c r="IRB55" s="1567" t="s">
        <v>290</v>
      </c>
      <c r="IRC55" s="1567"/>
      <c r="IRD55" s="1567"/>
      <c r="IRE55" s="1088" t="s">
        <v>289</v>
      </c>
      <c r="IRF55" s="1567" t="s">
        <v>290</v>
      </c>
      <c r="IRG55" s="1567"/>
      <c r="IRH55" s="1567"/>
      <c r="IRI55" s="1088" t="s">
        <v>289</v>
      </c>
      <c r="IRJ55" s="1567" t="s">
        <v>290</v>
      </c>
      <c r="IRK55" s="1567"/>
      <c r="IRL55" s="1567"/>
      <c r="IRM55" s="1088" t="s">
        <v>289</v>
      </c>
      <c r="IRN55" s="1567" t="s">
        <v>290</v>
      </c>
      <c r="IRO55" s="1567"/>
      <c r="IRP55" s="1567"/>
      <c r="IRQ55" s="1088" t="s">
        <v>289</v>
      </c>
      <c r="IRR55" s="1567" t="s">
        <v>290</v>
      </c>
      <c r="IRS55" s="1567"/>
      <c r="IRT55" s="1567"/>
      <c r="IRU55" s="1088" t="s">
        <v>289</v>
      </c>
      <c r="IRV55" s="1567" t="s">
        <v>290</v>
      </c>
      <c r="IRW55" s="1567"/>
      <c r="IRX55" s="1567"/>
      <c r="IRY55" s="1088" t="s">
        <v>289</v>
      </c>
      <c r="IRZ55" s="1567" t="s">
        <v>290</v>
      </c>
      <c r="ISA55" s="1567"/>
      <c r="ISB55" s="1567"/>
      <c r="ISC55" s="1088" t="s">
        <v>289</v>
      </c>
      <c r="ISD55" s="1567" t="s">
        <v>290</v>
      </c>
      <c r="ISE55" s="1567"/>
      <c r="ISF55" s="1567"/>
      <c r="ISG55" s="1088" t="s">
        <v>289</v>
      </c>
      <c r="ISH55" s="1567" t="s">
        <v>290</v>
      </c>
      <c r="ISI55" s="1567"/>
      <c r="ISJ55" s="1567"/>
      <c r="ISK55" s="1088" t="s">
        <v>289</v>
      </c>
      <c r="ISL55" s="1567" t="s">
        <v>290</v>
      </c>
      <c r="ISM55" s="1567"/>
      <c r="ISN55" s="1567"/>
      <c r="ISO55" s="1088" t="s">
        <v>289</v>
      </c>
      <c r="ISP55" s="1567" t="s">
        <v>290</v>
      </c>
      <c r="ISQ55" s="1567"/>
      <c r="ISR55" s="1567"/>
      <c r="ISS55" s="1088" t="s">
        <v>289</v>
      </c>
      <c r="IST55" s="1567" t="s">
        <v>290</v>
      </c>
      <c r="ISU55" s="1567"/>
      <c r="ISV55" s="1567"/>
      <c r="ISW55" s="1088" t="s">
        <v>289</v>
      </c>
      <c r="ISX55" s="1567" t="s">
        <v>290</v>
      </c>
      <c r="ISY55" s="1567"/>
      <c r="ISZ55" s="1567"/>
      <c r="ITA55" s="1088" t="s">
        <v>289</v>
      </c>
      <c r="ITB55" s="1567" t="s">
        <v>290</v>
      </c>
      <c r="ITC55" s="1567"/>
      <c r="ITD55" s="1567"/>
      <c r="ITE55" s="1088" t="s">
        <v>289</v>
      </c>
      <c r="ITF55" s="1567" t="s">
        <v>290</v>
      </c>
      <c r="ITG55" s="1567"/>
      <c r="ITH55" s="1567"/>
      <c r="ITI55" s="1088" t="s">
        <v>289</v>
      </c>
      <c r="ITJ55" s="1567" t="s">
        <v>290</v>
      </c>
      <c r="ITK55" s="1567"/>
      <c r="ITL55" s="1567"/>
      <c r="ITM55" s="1088" t="s">
        <v>289</v>
      </c>
      <c r="ITN55" s="1567" t="s">
        <v>290</v>
      </c>
      <c r="ITO55" s="1567"/>
      <c r="ITP55" s="1567"/>
      <c r="ITQ55" s="1088" t="s">
        <v>289</v>
      </c>
      <c r="ITR55" s="1567" t="s">
        <v>290</v>
      </c>
      <c r="ITS55" s="1567"/>
      <c r="ITT55" s="1567"/>
      <c r="ITU55" s="1088" t="s">
        <v>289</v>
      </c>
      <c r="ITV55" s="1567" t="s">
        <v>290</v>
      </c>
      <c r="ITW55" s="1567"/>
      <c r="ITX55" s="1567"/>
      <c r="ITY55" s="1088" t="s">
        <v>289</v>
      </c>
      <c r="ITZ55" s="1567" t="s">
        <v>290</v>
      </c>
      <c r="IUA55" s="1567"/>
      <c r="IUB55" s="1567"/>
      <c r="IUC55" s="1088" t="s">
        <v>289</v>
      </c>
      <c r="IUD55" s="1567" t="s">
        <v>290</v>
      </c>
      <c r="IUE55" s="1567"/>
      <c r="IUF55" s="1567"/>
      <c r="IUG55" s="1088" t="s">
        <v>289</v>
      </c>
      <c r="IUH55" s="1567" t="s">
        <v>290</v>
      </c>
      <c r="IUI55" s="1567"/>
      <c r="IUJ55" s="1567"/>
      <c r="IUK55" s="1088" t="s">
        <v>289</v>
      </c>
      <c r="IUL55" s="1567" t="s">
        <v>290</v>
      </c>
      <c r="IUM55" s="1567"/>
      <c r="IUN55" s="1567"/>
      <c r="IUO55" s="1088" t="s">
        <v>289</v>
      </c>
      <c r="IUP55" s="1567" t="s">
        <v>290</v>
      </c>
      <c r="IUQ55" s="1567"/>
      <c r="IUR55" s="1567"/>
      <c r="IUS55" s="1088" t="s">
        <v>289</v>
      </c>
      <c r="IUT55" s="1567" t="s">
        <v>290</v>
      </c>
      <c r="IUU55" s="1567"/>
      <c r="IUV55" s="1567"/>
      <c r="IUW55" s="1088" t="s">
        <v>289</v>
      </c>
      <c r="IUX55" s="1567" t="s">
        <v>290</v>
      </c>
      <c r="IUY55" s="1567"/>
      <c r="IUZ55" s="1567"/>
      <c r="IVA55" s="1088" t="s">
        <v>289</v>
      </c>
      <c r="IVB55" s="1567" t="s">
        <v>290</v>
      </c>
      <c r="IVC55" s="1567"/>
      <c r="IVD55" s="1567"/>
      <c r="IVE55" s="1088" t="s">
        <v>289</v>
      </c>
      <c r="IVF55" s="1567" t="s">
        <v>290</v>
      </c>
      <c r="IVG55" s="1567"/>
      <c r="IVH55" s="1567"/>
      <c r="IVI55" s="1088" t="s">
        <v>289</v>
      </c>
      <c r="IVJ55" s="1567" t="s">
        <v>290</v>
      </c>
      <c r="IVK55" s="1567"/>
      <c r="IVL55" s="1567"/>
      <c r="IVM55" s="1088" t="s">
        <v>289</v>
      </c>
      <c r="IVN55" s="1567" t="s">
        <v>290</v>
      </c>
      <c r="IVO55" s="1567"/>
      <c r="IVP55" s="1567"/>
      <c r="IVQ55" s="1088" t="s">
        <v>289</v>
      </c>
      <c r="IVR55" s="1567" t="s">
        <v>290</v>
      </c>
      <c r="IVS55" s="1567"/>
      <c r="IVT55" s="1567"/>
      <c r="IVU55" s="1088" t="s">
        <v>289</v>
      </c>
      <c r="IVV55" s="1567" t="s">
        <v>290</v>
      </c>
      <c r="IVW55" s="1567"/>
      <c r="IVX55" s="1567"/>
      <c r="IVY55" s="1088" t="s">
        <v>289</v>
      </c>
      <c r="IVZ55" s="1567" t="s">
        <v>290</v>
      </c>
      <c r="IWA55" s="1567"/>
      <c r="IWB55" s="1567"/>
      <c r="IWC55" s="1088" t="s">
        <v>289</v>
      </c>
      <c r="IWD55" s="1567" t="s">
        <v>290</v>
      </c>
      <c r="IWE55" s="1567"/>
      <c r="IWF55" s="1567"/>
      <c r="IWG55" s="1088" t="s">
        <v>289</v>
      </c>
      <c r="IWH55" s="1567" t="s">
        <v>290</v>
      </c>
      <c r="IWI55" s="1567"/>
      <c r="IWJ55" s="1567"/>
      <c r="IWK55" s="1088" t="s">
        <v>289</v>
      </c>
      <c r="IWL55" s="1567" t="s">
        <v>290</v>
      </c>
      <c r="IWM55" s="1567"/>
      <c r="IWN55" s="1567"/>
      <c r="IWO55" s="1088" t="s">
        <v>289</v>
      </c>
      <c r="IWP55" s="1567" t="s">
        <v>290</v>
      </c>
      <c r="IWQ55" s="1567"/>
      <c r="IWR55" s="1567"/>
      <c r="IWS55" s="1088" t="s">
        <v>289</v>
      </c>
      <c r="IWT55" s="1567" t="s">
        <v>290</v>
      </c>
      <c r="IWU55" s="1567"/>
      <c r="IWV55" s="1567"/>
      <c r="IWW55" s="1088" t="s">
        <v>289</v>
      </c>
      <c r="IWX55" s="1567" t="s">
        <v>290</v>
      </c>
      <c r="IWY55" s="1567"/>
      <c r="IWZ55" s="1567"/>
      <c r="IXA55" s="1088" t="s">
        <v>289</v>
      </c>
      <c r="IXB55" s="1567" t="s">
        <v>290</v>
      </c>
      <c r="IXC55" s="1567"/>
      <c r="IXD55" s="1567"/>
      <c r="IXE55" s="1088" t="s">
        <v>289</v>
      </c>
      <c r="IXF55" s="1567" t="s">
        <v>290</v>
      </c>
      <c r="IXG55" s="1567"/>
      <c r="IXH55" s="1567"/>
      <c r="IXI55" s="1088" t="s">
        <v>289</v>
      </c>
      <c r="IXJ55" s="1567" t="s">
        <v>290</v>
      </c>
      <c r="IXK55" s="1567"/>
      <c r="IXL55" s="1567"/>
      <c r="IXM55" s="1088" t="s">
        <v>289</v>
      </c>
      <c r="IXN55" s="1567" t="s">
        <v>290</v>
      </c>
      <c r="IXO55" s="1567"/>
      <c r="IXP55" s="1567"/>
      <c r="IXQ55" s="1088" t="s">
        <v>289</v>
      </c>
      <c r="IXR55" s="1567" t="s">
        <v>290</v>
      </c>
      <c r="IXS55" s="1567"/>
      <c r="IXT55" s="1567"/>
      <c r="IXU55" s="1088" t="s">
        <v>289</v>
      </c>
      <c r="IXV55" s="1567" t="s">
        <v>290</v>
      </c>
      <c r="IXW55" s="1567"/>
      <c r="IXX55" s="1567"/>
      <c r="IXY55" s="1088" t="s">
        <v>289</v>
      </c>
      <c r="IXZ55" s="1567" t="s">
        <v>290</v>
      </c>
      <c r="IYA55" s="1567"/>
      <c r="IYB55" s="1567"/>
      <c r="IYC55" s="1088" t="s">
        <v>289</v>
      </c>
      <c r="IYD55" s="1567" t="s">
        <v>290</v>
      </c>
      <c r="IYE55" s="1567"/>
      <c r="IYF55" s="1567"/>
      <c r="IYG55" s="1088" t="s">
        <v>289</v>
      </c>
      <c r="IYH55" s="1567" t="s">
        <v>290</v>
      </c>
      <c r="IYI55" s="1567"/>
      <c r="IYJ55" s="1567"/>
      <c r="IYK55" s="1088" t="s">
        <v>289</v>
      </c>
      <c r="IYL55" s="1567" t="s">
        <v>290</v>
      </c>
      <c r="IYM55" s="1567"/>
      <c r="IYN55" s="1567"/>
      <c r="IYO55" s="1088" t="s">
        <v>289</v>
      </c>
      <c r="IYP55" s="1567" t="s">
        <v>290</v>
      </c>
      <c r="IYQ55" s="1567"/>
      <c r="IYR55" s="1567"/>
      <c r="IYS55" s="1088" t="s">
        <v>289</v>
      </c>
      <c r="IYT55" s="1567" t="s">
        <v>290</v>
      </c>
      <c r="IYU55" s="1567"/>
      <c r="IYV55" s="1567"/>
      <c r="IYW55" s="1088" t="s">
        <v>289</v>
      </c>
      <c r="IYX55" s="1567" t="s">
        <v>290</v>
      </c>
      <c r="IYY55" s="1567"/>
      <c r="IYZ55" s="1567"/>
      <c r="IZA55" s="1088" t="s">
        <v>289</v>
      </c>
      <c r="IZB55" s="1567" t="s">
        <v>290</v>
      </c>
      <c r="IZC55" s="1567"/>
      <c r="IZD55" s="1567"/>
      <c r="IZE55" s="1088" t="s">
        <v>289</v>
      </c>
      <c r="IZF55" s="1567" t="s">
        <v>290</v>
      </c>
      <c r="IZG55" s="1567"/>
      <c r="IZH55" s="1567"/>
      <c r="IZI55" s="1088" t="s">
        <v>289</v>
      </c>
      <c r="IZJ55" s="1567" t="s">
        <v>290</v>
      </c>
      <c r="IZK55" s="1567"/>
      <c r="IZL55" s="1567"/>
      <c r="IZM55" s="1088" t="s">
        <v>289</v>
      </c>
      <c r="IZN55" s="1567" t="s">
        <v>290</v>
      </c>
      <c r="IZO55" s="1567"/>
      <c r="IZP55" s="1567"/>
      <c r="IZQ55" s="1088" t="s">
        <v>289</v>
      </c>
      <c r="IZR55" s="1567" t="s">
        <v>290</v>
      </c>
      <c r="IZS55" s="1567"/>
      <c r="IZT55" s="1567"/>
      <c r="IZU55" s="1088" t="s">
        <v>289</v>
      </c>
      <c r="IZV55" s="1567" t="s">
        <v>290</v>
      </c>
      <c r="IZW55" s="1567"/>
      <c r="IZX55" s="1567"/>
      <c r="IZY55" s="1088" t="s">
        <v>289</v>
      </c>
      <c r="IZZ55" s="1567" t="s">
        <v>290</v>
      </c>
      <c r="JAA55" s="1567"/>
      <c r="JAB55" s="1567"/>
      <c r="JAC55" s="1088" t="s">
        <v>289</v>
      </c>
      <c r="JAD55" s="1567" t="s">
        <v>290</v>
      </c>
      <c r="JAE55" s="1567"/>
      <c r="JAF55" s="1567"/>
      <c r="JAG55" s="1088" t="s">
        <v>289</v>
      </c>
      <c r="JAH55" s="1567" t="s">
        <v>290</v>
      </c>
      <c r="JAI55" s="1567"/>
      <c r="JAJ55" s="1567"/>
      <c r="JAK55" s="1088" t="s">
        <v>289</v>
      </c>
      <c r="JAL55" s="1567" t="s">
        <v>290</v>
      </c>
      <c r="JAM55" s="1567"/>
      <c r="JAN55" s="1567"/>
      <c r="JAO55" s="1088" t="s">
        <v>289</v>
      </c>
      <c r="JAP55" s="1567" t="s">
        <v>290</v>
      </c>
      <c r="JAQ55" s="1567"/>
      <c r="JAR55" s="1567"/>
      <c r="JAS55" s="1088" t="s">
        <v>289</v>
      </c>
      <c r="JAT55" s="1567" t="s">
        <v>290</v>
      </c>
      <c r="JAU55" s="1567"/>
      <c r="JAV55" s="1567"/>
      <c r="JAW55" s="1088" t="s">
        <v>289</v>
      </c>
      <c r="JAX55" s="1567" t="s">
        <v>290</v>
      </c>
      <c r="JAY55" s="1567"/>
      <c r="JAZ55" s="1567"/>
      <c r="JBA55" s="1088" t="s">
        <v>289</v>
      </c>
      <c r="JBB55" s="1567" t="s">
        <v>290</v>
      </c>
      <c r="JBC55" s="1567"/>
      <c r="JBD55" s="1567"/>
      <c r="JBE55" s="1088" t="s">
        <v>289</v>
      </c>
      <c r="JBF55" s="1567" t="s">
        <v>290</v>
      </c>
      <c r="JBG55" s="1567"/>
      <c r="JBH55" s="1567"/>
      <c r="JBI55" s="1088" t="s">
        <v>289</v>
      </c>
      <c r="JBJ55" s="1567" t="s">
        <v>290</v>
      </c>
      <c r="JBK55" s="1567"/>
      <c r="JBL55" s="1567"/>
      <c r="JBM55" s="1088" t="s">
        <v>289</v>
      </c>
      <c r="JBN55" s="1567" t="s">
        <v>290</v>
      </c>
      <c r="JBO55" s="1567"/>
      <c r="JBP55" s="1567"/>
      <c r="JBQ55" s="1088" t="s">
        <v>289</v>
      </c>
      <c r="JBR55" s="1567" t="s">
        <v>290</v>
      </c>
      <c r="JBS55" s="1567"/>
      <c r="JBT55" s="1567"/>
      <c r="JBU55" s="1088" t="s">
        <v>289</v>
      </c>
      <c r="JBV55" s="1567" t="s">
        <v>290</v>
      </c>
      <c r="JBW55" s="1567"/>
      <c r="JBX55" s="1567"/>
      <c r="JBY55" s="1088" t="s">
        <v>289</v>
      </c>
      <c r="JBZ55" s="1567" t="s">
        <v>290</v>
      </c>
      <c r="JCA55" s="1567"/>
      <c r="JCB55" s="1567"/>
      <c r="JCC55" s="1088" t="s">
        <v>289</v>
      </c>
      <c r="JCD55" s="1567" t="s">
        <v>290</v>
      </c>
      <c r="JCE55" s="1567"/>
      <c r="JCF55" s="1567"/>
      <c r="JCG55" s="1088" t="s">
        <v>289</v>
      </c>
      <c r="JCH55" s="1567" t="s">
        <v>290</v>
      </c>
      <c r="JCI55" s="1567"/>
      <c r="JCJ55" s="1567"/>
      <c r="JCK55" s="1088" t="s">
        <v>289</v>
      </c>
      <c r="JCL55" s="1567" t="s">
        <v>290</v>
      </c>
      <c r="JCM55" s="1567"/>
      <c r="JCN55" s="1567"/>
      <c r="JCO55" s="1088" t="s">
        <v>289</v>
      </c>
      <c r="JCP55" s="1567" t="s">
        <v>290</v>
      </c>
      <c r="JCQ55" s="1567"/>
      <c r="JCR55" s="1567"/>
      <c r="JCS55" s="1088" t="s">
        <v>289</v>
      </c>
      <c r="JCT55" s="1567" t="s">
        <v>290</v>
      </c>
      <c r="JCU55" s="1567"/>
      <c r="JCV55" s="1567"/>
      <c r="JCW55" s="1088" t="s">
        <v>289</v>
      </c>
      <c r="JCX55" s="1567" t="s">
        <v>290</v>
      </c>
      <c r="JCY55" s="1567"/>
      <c r="JCZ55" s="1567"/>
      <c r="JDA55" s="1088" t="s">
        <v>289</v>
      </c>
      <c r="JDB55" s="1567" t="s">
        <v>290</v>
      </c>
      <c r="JDC55" s="1567"/>
      <c r="JDD55" s="1567"/>
      <c r="JDE55" s="1088" t="s">
        <v>289</v>
      </c>
      <c r="JDF55" s="1567" t="s">
        <v>290</v>
      </c>
      <c r="JDG55" s="1567"/>
      <c r="JDH55" s="1567"/>
      <c r="JDI55" s="1088" t="s">
        <v>289</v>
      </c>
      <c r="JDJ55" s="1567" t="s">
        <v>290</v>
      </c>
      <c r="JDK55" s="1567"/>
      <c r="JDL55" s="1567"/>
      <c r="JDM55" s="1088" t="s">
        <v>289</v>
      </c>
      <c r="JDN55" s="1567" t="s">
        <v>290</v>
      </c>
      <c r="JDO55" s="1567"/>
      <c r="JDP55" s="1567"/>
      <c r="JDQ55" s="1088" t="s">
        <v>289</v>
      </c>
      <c r="JDR55" s="1567" t="s">
        <v>290</v>
      </c>
      <c r="JDS55" s="1567"/>
      <c r="JDT55" s="1567"/>
      <c r="JDU55" s="1088" t="s">
        <v>289</v>
      </c>
      <c r="JDV55" s="1567" t="s">
        <v>290</v>
      </c>
      <c r="JDW55" s="1567"/>
      <c r="JDX55" s="1567"/>
      <c r="JDY55" s="1088" t="s">
        <v>289</v>
      </c>
      <c r="JDZ55" s="1567" t="s">
        <v>290</v>
      </c>
      <c r="JEA55" s="1567"/>
      <c r="JEB55" s="1567"/>
      <c r="JEC55" s="1088" t="s">
        <v>289</v>
      </c>
      <c r="JED55" s="1567" t="s">
        <v>290</v>
      </c>
      <c r="JEE55" s="1567"/>
      <c r="JEF55" s="1567"/>
      <c r="JEG55" s="1088" t="s">
        <v>289</v>
      </c>
      <c r="JEH55" s="1567" t="s">
        <v>290</v>
      </c>
      <c r="JEI55" s="1567"/>
      <c r="JEJ55" s="1567"/>
      <c r="JEK55" s="1088" t="s">
        <v>289</v>
      </c>
      <c r="JEL55" s="1567" t="s">
        <v>290</v>
      </c>
      <c r="JEM55" s="1567"/>
      <c r="JEN55" s="1567"/>
      <c r="JEO55" s="1088" t="s">
        <v>289</v>
      </c>
      <c r="JEP55" s="1567" t="s">
        <v>290</v>
      </c>
      <c r="JEQ55" s="1567"/>
      <c r="JER55" s="1567"/>
      <c r="JES55" s="1088" t="s">
        <v>289</v>
      </c>
      <c r="JET55" s="1567" t="s">
        <v>290</v>
      </c>
      <c r="JEU55" s="1567"/>
      <c r="JEV55" s="1567"/>
      <c r="JEW55" s="1088" t="s">
        <v>289</v>
      </c>
      <c r="JEX55" s="1567" t="s">
        <v>290</v>
      </c>
      <c r="JEY55" s="1567"/>
      <c r="JEZ55" s="1567"/>
      <c r="JFA55" s="1088" t="s">
        <v>289</v>
      </c>
      <c r="JFB55" s="1567" t="s">
        <v>290</v>
      </c>
      <c r="JFC55" s="1567"/>
      <c r="JFD55" s="1567"/>
      <c r="JFE55" s="1088" t="s">
        <v>289</v>
      </c>
      <c r="JFF55" s="1567" t="s">
        <v>290</v>
      </c>
      <c r="JFG55" s="1567"/>
      <c r="JFH55" s="1567"/>
      <c r="JFI55" s="1088" t="s">
        <v>289</v>
      </c>
      <c r="JFJ55" s="1567" t="s">
        <v>290</v>
      </c>
      <c r="JFK55" s="1567"/>
      <c r="JFL55" s="1567"/>
      <c r="JFM55" s="1088" t="s">
        <v>289</v>
      </c>
      <c r="JFN55" s="1567" t="s">
        <v>290</v>
      </c>
      <c r="JFO55" s="1567"/>
      <c r="JFP55" s="1567"/>
      <c r="JFQ55" s="1088" t="s">
        <v>289</v>
      </c>
      <c r="JFR55" s="1567" t="s">
        <v>290</v>
      </c>
      <c r="JFS55" s="1567"/>
      <c r="JFT55" s="1567"/>
      <c r="JFU55" s="1088" t="s">
        <v>289</v>
      </c>
      <c r="JFV55" s="1567" t="s">
        <v>290</v>
      </c>
      <c r="JFW55" s="1567"/>
      <c r="JFX55" s="1567"/>
      <c r="JFY55" s="1088" t="s">
        <v>289</v>
      </c>
      <c r="JFZ55" s="1567" t="s">
        <v>290</v>
      </c>
      <c r="JGA55" s="1567"/>
      <c r="JGB55" s="1567"/>
      <c r="JGC55" s="1088" t="s">
        <v>289</v>
      </c>
      <c r="JGD55" s="1567" t="s">
        <v>290</v>
      </c>
      <c r="JGE55" s="1567"/>
      <c r="JGF55" s="1567"/>
      <c r="JGG55" s="1088" t="s">
        <v>289</v>
      </c>
      <c r="JGH55" s="1567" t="s">
        <v>290</v>
      </c>
      <c r="JGI55" s="1567"/>
      <c r="JGJ55" s="1567"/>
      <c r="JGK55" s="1088" t="s">
        <v>289</v>
      </c>
      <c r="JGL55" s="1567" t="s">
        <v>290</v>
      </c>
      <c r="JGM55" s="1567"/>
      <c r="JGN55" s="1567"/>
      <c r="JGO55" s="1088" t="s">
        <v>289</v>
      </c>
      <c r="JGP55" s="1567" t="s">
        <v>290</v>
      </c>
      <c r="JGQ55" s="1567"/>
      <c r="JGR55" s="1567"/>
      <c r="JGS55" s="1088" t="s">
        <v>289</v>
      </c>
      <c r="JGT55" s="1567" t="s">
        <v>290</v>
      </c>
      <c r="JGU55" s="1567"/>
      <c r="JGV55" s="1567"/>
      <c r="JGW55" s="1088" t="s">
        <v>289</v>
      </c>
      <c r="JGX55" s="1567" t="s">
        <v>290</v>
      </c>
      <c r="JGY55" s="1567"/>
      <c r="JGZ55" s="1567"/>
      <c r="JHA55" s="1088" t="s">
        <v>289</v>
      </c>
      <c r="JHB55" s="1567" t="s">
        <v>290</v>
      </c>
      <c r="JHC55" s="1567"/>
      <c r="JHD55" s="1567"/>
      <c r="JHE55" s="1088" t="s">
        <v>289</v>
      </c>
      <c r="JHF55" s="1567" t="s">
        <v>290</v>
      </c>
      <c r="JHG55" s="1567"/>
      <c r="JHH55" s="1567"/>
      <c r="JHI55" s="1088" t="s">
        <v>289</v>
      </c>
      <c r="JHJ55" s="1567" t="s">
        <v>290</v>
      </c>
      <c r="JHK55" s="1567"/>
      <c r="JHL55" s="1567"/>
      <c r="JHM55" s="1088" t="s">
        <v>289</v>
      </c>
      <c r="JHN55" s="1567" t="s">
        <v>290</v>
      </c>
      <c r="JHO55" s="1567"/>
      <c r="JHP55" s="1567"/>
      <c r="JHQ55" s="1088" t="s">
        <v>289</v>
      </c>
      <c r="JHR55" s="1567" t="s">
        <v>290</v>
      </c>
      <c r="JHS55" s="1567"/>
      <c r="JHT55" s="1567"/>
      <c r="JHU55" s="1088" t="s">
        <v>289</v>
      </c>
      <c r="JHV55" s="1567" t="s">
        <v>290</v>
      </c>
      <c r="JHW55" s="1567"/>
      <c r="JHX55" s="1567"/>
      <c r="JHY55" s="1088" t="s">
        <v>289</v>
      </c>
      <c r="JHZ55" s="1567" t="s">
        <v>290</v>
      </c>
      <c r="JIA55" s="1567"/>
      <c r="JIB55" s="1567"/>
      <c r="JIC55" s="1088" t="s">
        <v>289</v>
      </c>
      <c r="JID55" s="1567" t="s">
        <v>290</v>
      </c>
      <c r="JIE55" s="1567"/>
      <c r="JIF55" s="1567"/>
      <c r="JIG55" s="1088" t="s">
        <v>289</v>
      </c>
      <c r="JIH55" s="1567" t="s">
        <v>290</v>
      </c>
      <c r="JII55" s="1567"/>
      <c r="JIJ55" s="1567"/>
      <c r="JIK55" s="1088" t="s">
        <v>289</v>
      </c>
      <c r="JIL55" s="1567" t="s">
        <v>290</v>
      </c>
      <c r="JIM55" s="1567"/>
      <c r="JIN55" s="1567"/>
      <c r="JIO55" s="1088" t="s">
        <v>289</v>
      </c>
      <c r="JIP55" s="1567" t="s">
        <v>290</v>
      </c>
      <c r="JIQ55" s="1567"/>
      <c r="JIR55" s="1567"/>
      <c r="JIS55" s="1088" t="s">
        <v>289</v>
      </c>
      <c r="JIT55" s="1567" t="s">
        <v>290</v>
      </c>
      <c r="JIU55" s="1567"/>
      <c r="JIV55" s="1567"/>
      <c r="JIW55" s="1088" t="s">
        <v>289</v>
      </c>
      <c r="JIX55" s="1567" t="s">
        <v>290</v>
      </c>
      <c r="JIY55" s="1567"/>
      <c r="JIZ55" s="1567"/>
      <c r="JJA55" s="1088" t="s">
        <v>289</v>
      </c>
      <c r="JJB55" s="1567" t="s">
        <v>290</v>
      </c>
      <c r="JJC55" s="1567"/>
      <c r="JJD55" s="1567"/>
      <c r="JJE55" s="1088" t="s">
        <v>289</v>
      </c>
      <c r="JJF55" s="1567" t="s">
        <v>290</v>
      </c>
      <c r="JJG55" s="1567"/>
      <c r="JJH55" s="1567"/>
      <c r="JJI55" s="1088" t="s">
        <v>289</v>
      </c>
      <c r="JJJ55" s="1567" t="s">
        <v>290</v>
      </c>
      <c r="JJK55" s="1567"/>
      <c r="JJL55" s="1567"/>
      <c r="JJM55" s="1088" t="s">
        <v>289</v>
      </c>
      <c r="JJN55" s="1567" t="s">
        <v>290</v>
      </c>
      <c r="JJO55" s="1567"/>
      <c r="JJP55" s="1567"/>
      <c r="JJQ55" s="1088" t="s">
        <v>289</v>
      </c>
      <c r="JJR55" s="1567" t="s">
        <v>290</v>
      </c>
      <c r="JJS55" s="1567"/>
      <c r="JJT55" s="1567"/>
      <c r="JJU55" s="1088" t="s">
        <v>289</v>
      </c>
      <c r="JJV55" s="1567" t="s">
        <v>290</v>
      </c>
      <c r="JJW55" s="1567"/>
      <c r="JJX55" s="1567"/>
      <c r="JJY55" s="1088" t="s">
        <v>289</v>
      </c>
      <c r="JJZ55" s="1567" t="s">
        <v>290</v>
      </c>
      <c r="JKA55" s="1567"/>
      <c r="JKB55" s="1567"/>
      <c r="JKC55" s="1088" t="s">
        <v>289</v>
      </c>
      <c r="JKD55" s="1567" t="s">
        <v>290</v>
      </c>
      <c r="JKE55" s="1567"/>
      <c r="JKF55" s="1567"/>
      <c r="JKG55" s="1088" t="s">
        <v>289</v>
      </c>
      <c r="JKH55" s="1567" t="s">
        <v>290</v>
      </c>
      <c r="JKI55" s="1567"/>
      <c r="JKJ55" s="1567"/>
      <c r="JKK55" s="1088" t="s">
        <v>289</v>
      </c>
      <c r="JKL55" s="1567" t="s">
        <v>290</v>
      </c>
      <c r="JKM55" s="1567"/>
      <c r="JKN55" s="1567"/>
      <c r="JKO55" s="1088" t="s">
        <v>289</v>
      </c>
      <c r="JKP55" s="1567" t="s">
        <v>290</v>
      </c>
      <c r="JKQ55" s="1567"/>
      <c r="JKR55" s="1567"/>
      <c r="JKS55" s="1088" t="s">
        <v>289</v>
      </c>
      <c r="JKT55" s="1567" t="s">
        <v>290</v>
      </c>
      <c r="JKU55" s="1567"/>
      <c r="JKV55" s="1567"/>
      <c r="JKW55" s="1088" t="s">
        <v>289</v>
      </c>
      <c r="JKX55" s="1567" t="s">
        <v>290</v>
      </c>
      <c r="JKY55" s="1567"/>
      <c r="JKZ55" s="1567"/>
      <c r="JLA55" s="1088" t="s">
        <v>289</v>
      </c>
      <c r="JLB55" s="1567" t="s">
        <v>290</v>
      </c>
      <c r="JLC55" s="1567"/>
      <c r="JLD55" s="1567"/>
      <c r="JLE55" s="1088" t="s">
        <v>289</v>
      </c>
      <c r="JLF55" s="1567" t="s">
        <v>290</v>
      </c>
      <c r="JLG55" s="1567"/>
      <c r="JLH55" s="1567"/>
      <c r="JLI55" s="1088" t="s">
        <v>289</v>
      </c>
      <c r="JLJ55" s="1567" t="s">
        <v>290</v>
      </c>
      <c r="JLK55" s="1567"/>
      <c r="JLL55" s="1567"/>
      <c r="JLM55" s="1088" t="s">
        <v>289</v>
      </c>
      <c r="JLN55" s="1567" t="s">
        <v>290</v>
      </c>
      <c r="JLO55" s="1567"/>
      <c r="JLP55" s="1567"/>
      <c r="JLQ55" s="1088" t="s">
        <v>289</v>
      </c>
      <c r="JLR55" s="1567" t="s">
        <v>290</v>
      </c>
      <c r="JLS55" s="1567"/>
      <c r="JLT55" s="1567"/>
      <c r="JLU55" s="1088" t="s">
        <v>289</v>
      </c>
      <c r="JLV55" s="1567" t="s">
        <v>290</v>
      </c>
      <c r="JLW55" s="1567"/>
      <c r="JLX55" s="1567"/>
      <c r="JLY55" s="1088" t="s">
        <v>289</v>
      </c>
      <c r="JLZ55" s="1567" t="s">
        <v>290</v>
      </c>
      <c r="JMA55" s="1567"/>
      <c r="JMB55" s="1567"/>
      <c r="JMC55" s="1088" t="s">
        <v>289</v>
      </c>
      <c r="JMD55" s="1567" t="s">
        <v>290</v>
      </c>
      <c r="JME55" s="1567"/>
      <c r="JMF55" s="1567"/>
      <c r="JMG55" s="1088" t="s">
        <v>289</v>
      </c>
      <c r="JMH55" s="1567" t="s">
        <v>290</v>
      </c>
      <c r="JMI55" s="1567"/>
      <c r="JMJ55" s="1567"/>
      <c r="JMK55" s="1088" t="s">
        <v>289</v>
      </c>
      <c r="JML55" s="1567" t="s">
        <v>290</v>
      </c>
      <c r="JMM55" s="1567"/>
      <c r="JMN55" s="1567"/>
      <c r="JMO55" s="1088" t="s">
        <v>289</v>
      </c>
      <c r="JMP55" s="1567" t="s">
        <v>290</v>
      </c>
      <c r="JMQ55" s="1567"/>
      <c r="JMR55" s="1567"/>
      <c r="JMS55" s="1088" t="s">
        <v>289</v>
      </c>
      <c r="JMT55" s="1567" t="s">
        <v>290</v>
      </c>
      <c r="JMU55" s="1567"/>
      <c r="JMV55" s="1567"/>
      <c r="JMW55" s="1088" t="s">
        <v>289</v>
      </c>
      <c r="JMX55" s="1567" t="s">
        <v>290</v>
      </c>
      <c r="JMY55" s="1567"/>
      <c r="JMZ55" s="1567"/>
      <c r="JNA55" s="1088" t="s">
        <v>289</v>
      </c>
      <c r="JNB55" s="1567" t="s">
        <v>290</v>
      </c>
      <c r="JNC55" s="1567"/>
      <c r="JND55" s="1567"/>
      <c r="JNE55" s="1088" t="s">
        <v>289</v>
      </c>
      <c r="JNF55" s="1567" t="s">
        <v>290</v>
      </c>
      <c r="JNG55" s="1567"/>
      <c r="JNH55" s="1567"/>
      <c r="JNI55" s="1088" t="s">
        <v>289</v>
      </c>
      <c r="JNJ55" s="1567" t="s">
        <v>290</v>
      </c>
      <c r="JNK55" s="1567"/>
      <c r="JNL55" s="1567"/>
      <c r="JNM55" s="1088" t="s">
        <v>289</v>
      </c>
      <c r="JNN55" s="1567" t="s">
        <v>290</v>
      </c>
      <c r="JNO55" s="1567"/>
      <c r="JNP55" s="1567"/>
      <c r="JNQ55" s="1088" t="s">
        <v>289</v>
      </c>
      <c r="JNR55" s="1567" t="s">
        <v>290</v>
      </c>
      <c r="JNS55" s="1567"/>
      <c r="JNT55" s="1567"/>
      <c r="JNU55" s="1088" t="s">
        <v>289</v>
      </c>
      <c r="JNV55" s="1567" t="s">
        <v>290</v>
      </c>
      <c r="JNW55" s="1567"/>
      <c r="JNX55" s="1567"/>
      <c r="JNY55" s="1088" t="s">
        <v>289</v>
      </c>
      <c r="JNZ55" s="1567" t="s">
        <v>290</v>
      </c>
      <c r="JOA55" s="1567"/>
      <c r="JOB55" s="1567"/>
      <c r="JOC55" s="1088" t="s">
        <v>289</v>
      </c>
      <c r="JOD55" s="1567" t="s">
        <v>290</v>
      </c>
      <c r="JOE55" s="1567"/>
      <c r="JOF55" s="1567"/>
      <c r="JOG55" s="1088" t="s">
        <v>289</v>
      </c>
      <c r="JOH55" s="1567" t="s">
        <v>290</v>
      </c>
      <c r="JOI55" s="1567"/>
      <c r="JOJ55" s="1567"/>
      <c r="JOK55" s="1088" t="s">
        <v>289</v>
      </c>
      <c r="JOL55" s="1567" t="s">
        <v>290</v>
      </c>
      <c r="JOM55" s="1567"/>
      <c r="JON55" s="1567"/>
      <c r="JOO55" s="1088" t="s">
        <v>289</v>
      </c>
      <c r="JOP55" s="1567" t="s">
        <v>290</v>
      </c>
      <c r="JOQ55" s="1567"/>
      <c r="JOR55" s="1567"/>
      <c r="JOS55" s="1088" t="s">
        <v>289</v>
      </c>
      <c r="JOT55" s="1567" t="s">
        <v>290</v>
      </c>
      <c r="JOU55" s="1567"/>
      <c r="JOV55" s="1567"/>
      <c r="JOW55" s="1088" t="s">
        <v>289</v>
      </c>
      <c r="JOX55" s="1567" t="s">
        <v>290</v>
      </c>
      <c r="JOY55" s="1567"/>
      <c r="JOZ55" s="1567"/>
      <c r="JPA55" s="1088" t="s">
        <v>289</v>
      </c>
      <c r="JPB55" s="1567" t="s">
        <v>290</v>
      </c>
      <c r="JPC55" s="1567"/>
      <c r="JPD55" s="1567"/>
      <c r="JPE55" s="1088" t="s">
        <v>289</v>
      </c>
      <c r="JPF55" s="1567" t="s">
        <v>290</v>
      </c>
      <c r="JPG55" s="1567"/>
      <c r="JPH55" s="1567"/>
      <c r="JPI55" s="1088" t="s">
        <v>289</v>
      </c>
      <c r="JPJ55" s="1567" t="s">
        <v>290</v>
      </c>
      <c r="JPK55" s="1567"/>
      <c r="JPL55" s="1567"/>
      <c r="JPM55" s="1088" t="s">
        <v>289</v>
      </c>
      <c r="JPN55" s="1567" t="s">
        <v>290</v>
      </c>
      <c r="JPO55" s="1567"/>
      <c r="JPP55" s="1567"/>
      <c r="JPQ55" s="1088" t="s">
        <v>289</v>
      </c>
      <c r="JPR55" s="1567" t="s">
        <v>290</v>
      </c>
      <c r="JPS55" s="1567"/>
      <c r="JPT55" s="1567"/>
      <c r="JPU55" s="1088" t="s">
        <v>289</v>
      </c>
      <c r="JPV55" s="1567" t="s">
        <v>290</v>
      </c>
      <c r="JPW55" s="1567"/>
      <c r="JPX55" s="1567"/>
      <c r="JPY55" s="1088" t="s">
        <v>289</v>
      </c>
      <c r="JPZ55" s="1567" t="s">
        <v>290</v>
      </c>
      <c r="JQA55" s="1567"/>
      <c r="JQB55" s="1567"/>
      <c r="JQC55" s="1088" t="s">
        <v>289</v>
      </c>
      <c r="JQD55" s="1567" t="s">
        <v>290</v>
      </c>
      <c r="JQE55" s="1567"/>
      <c r="JQF55" s="1567"/>
      <c r="JQG55" s="1088" t="s">
        <v>289</v>
      </c>
      <c r="JQH55" s="1567" t="s">
        <v>290</v>
      </c>
      <c r="JQI55" s="1567"/>
      <c r="JQJ55" s="1567"/>
      <c r="JQK55" s="1088" t="s">
        <v>289</v>
      </c>
      <c r="JQL55" s="1567" t="s">
        <v>290</v>
      </c>
      <c r="JQM55" s="1567"/>
      <c r="JQN55" s="1567"/>
      <c r="JQO55" s="1088" t="s">
        <v>289</v>
      </c>
      <c r="JQP55" s="1567" t="s">
        <v>290</v>
      </c>
      <c r="JQQ55" s="1567"/>
      <c r="JQR55" s="1567"/>
      <c r="JQS55" s="1088" t="s">
        <v>289</v>
      </c>
      <c r="JQT55" s="1567" t="s">
        <v>290</v>
      </c>
      <c r="JQU55" s="1567"/>
      <c r="JQV55" s="1567"/>
      <c r="JQW55" s="1088" t="s">
        <v>289</v>
      </c>
      <c r="JQX55" s="1567" t="s">
        <v>290</v>
      </c>
      <c r="JQY55" s="1567"/>
      <c r="JQZ55" s="1567"/>
      <c r="JRA55" s="1088" t="s">
        <v>289</v>
      </c>
      <c r="JRB55" s="1567" t="s">
        <v>290</v>
      </c>
      <c r="JRC55" s="1567"/>
      <c r="JRD55" s="1567"/>
      <c r="JRE55" s="1088" t="s">
        <v>289</v>
      </c>
      <c r="JRF55" s="1567" t="s">
        <v>290</v>
      </c>
      <c r="JRG55" s="1567"/>
      <c r="JRH55" s="1567"/>
      <c r="JRI55" s="1088" t="s">
        <v>289</v>
      </c>
      <c r="JRJ55" s="1567" t="s">
        <v>290</v>
      </c>
      <c r="JRK55" s="1567"/>
      <c r="JRL55" s="1567"/>
      <c r="JRM55" s="1088" t="s">
        <v>289</v>
      </c>
      <c r="JRN55" s="1567" t="s">
        <v>290</v>
      </c>
      <c r="JRO55" s="1567"/>
      <c r="JRP55" s="1567"/>
      <c r="JRQ55" s="1088" t="s">
        <v>289</v>
      </c>
      <c r="JRR55" s="1567" t="s">
        <v>290</v>
      </c>
      <c r="JRS55" s="1567"/>
      <c r="JRT55" s="1567"/>
      <c r="JRU55" s="1088" t="s">
        <v>289</v>
      </c>
      <c r="JRV55" s="1567" t="s">
        <v>290</v>
      </c>
      <c r="JRW55" s="1567"/>
      <c r="JRX55" s="1567"/>
      <c r="JRY55" s="1088" t="s">
        <v>289</v>
      </c>
      <c r="JRZ55" s="1567" t="s">
        <v>290</v>
      </c>
      <c r="JSA55" s="1567"/>
      <c r="JSB55" s="1567"/>
      <c r="JSC55" s="1088" t="s">
        <v>289</v>
      </c>
      <c r="JSD55" s="1567" t="s">
        <v>290</v>
      </c>
      <c r="JSE55" s="1567"/>
      <c r="JSF55" s="1567"/>
      <c r="JSG55" s="1088" t="s">
        <v>289</v>
      </c>
      <c r="JSH55" s="1567" t="s">
        <v>290</v>
      </c>
      <c r="JSI55" s="1567"/>
      <c r="JSJ55" s="1567"/>
      <c r="JSK55" s="1088" t="s">
        <v>289</v>
      </c>
      <c r="JSL55" s="1567" t="s">
        <v>290</v>
      </c>
      <c r="JSM55" s="1567"/>
      <c r="JSN55" s="1567"/>
      <c r="JSO55" s="1088" t="s">
        <v>289</v>
      </c>
      <c r="JSP55" s="1567" t="s">
        <v>290</v>
      </c>
      <c r="JSQ55" s="1567"/>
      <c r="JSR55" s="1567"/>
      <c r="JSS55" s="1088" t="s">
        <v>289</v>
      </c>
      <c r="JST55" s="1567" t="s">
        <v>290</v>
      </c>
      <c r="JSU55" s="1567"/>
      <c r="JSV55" s="1567"/>
      <c r="JSW55" s="1088" t="s">
        <v>289</v>
      </c>
      <c r="JSX55" s="1567" t="s">
        <v>290</v>
      </c>
      <c r="JSY55" s="1567"/>
      <c r="JSZ55" s="1567"/>
      <c r="JTA55" s="1088" t="s">
        <v>289</v>
      </c>
      <c r="JTB55" s="1567" t="s">
        <v>290</v>
      </c>
      <c r="JTC55" s="1567"/>
      <c r="JTD55" s="1567"/>
      <c r="JTE55" s="1088" t="s">
        <v>289</v>
      </c>
      <c r="JTF55" s="1567" t="s">
        <v>290</v>
      </c>
      <c r="JTG55" s="1567"/>
      <c r="JTH55" s="1567"/>
      <c r="JTI55" s="1088" t="s">
        <v>289</v>
      </c>
      <c r="JTJ55" s="1567" t="s">
        <v>290</v>
      </c>
      <c r="JTK55" s="1567"/>
      <c r="JTL55" s="1567"/>
      <c r="JTM55" s="1088" t="s">
        <v>289</v>
      </c>
      <c r="JTN55" s="1567" t="s">
        <v>290</v>
      </c>
      <c r="JTO55" s="1567"/>
      <c r="JTP55" s="1567"/>
      <c r="JTQ55" s="1088" t="s">
        <v>289</v>
      </c>
      <c r="JTR55" s="1567" t="s">
        <v>290</v>
      </c>
      <c r="JTS55" s="1567"/>
      <c r="JTT55" s="1567"/>
      <c r="JTU55" s="1088" t="s">
        <v>289</v>
      </c>
      <c r="JTV55" s="1567" t="s">
        <v>290</v>
      </c>
      <c r="JTW55" s="1567"/>
      <c r="JTX55" s="1567"/>
      <c r="JTY55" s="1088" t="s">
        <v>289</v>
      </c>
      <c r="JTZ55" s="1567" t="s">
        <v>290</v>
      </c>
      <c r="JUA55" s="1567"/>
      <c r="JUB55" s="1567"/>
      <c r="JUC55" s="1088" t="s">
        <v>289</v>
      </c>
      <c r="JUD55" s="1567" t="s">
        <v>290</v>
      </c>
      <c r="JUE55" s="1567"/>
      <c r="JUF55" s="1567"/>
      <c r="JUG55" s="1088" t="s">
        <v>289</v>
      </c>
      <c r="JUH55" s="1567" t="s">
        <v>290</v>
      </c>
      <c r="JUI55" s="1567"/>
      <c r="JUJ55" s="1567"/>
      <c r="JUK55" s="1088" t="s">
        <v>289</v>
      </c>
      <c r="JUL55" s="1567" t="s">
        <v>290</v>
      </c>
      <c r="JUM55" s="1567"/>
      <c r="JUN55" s="1567"/>
      <c r="JUO55" s="1088" t="s">
        <v>289</v>
      </c>
      <c r="JUP55" s="1567" t="s">
        <v>290</v>
      </c>
      <c r="JUQ55" s="1567"/>
      <c r="JUR55" s="1567"/>
      <c r="JUS55" s="1088" t="s">
        <v>289</v>
      </c>
      <c r="JUT55" s="1567" t="s">
        <v>290</v>
      </c>
      <c r="JUU55" s="1567"/>
      <c r="JUV55" s="1567"/>
      <c r="JUW55" s="1088" t="s">
        <v>289</v>
      </c>
      <c r="JUX55" s="1567" t="s">
        <v>290</v>
      </c>
      <c r="JUY55" s="1567"/>
      <c r="JUZ55" s="1567"/>
      <c r="JVA55" s="1088" t="s">
        <v>289</v>
      </c>
      <c r="JVB55" s="1567" t="s">
        <v>290</v>
      </c>
      <c r="JVC55" s="1567"/>
      <c r="JVD55" s="1567"/>
      <c r="JVE55" s="1088" t="s">
        <v>289</v>
      </c>
      <c r="JVF55" s="1567" t="s">
        <v>290</v>
      </c>
      <c r="JVG55" s="1567"/>
      <c r="JVH55" s="1567"/>
      <c r="JVI55" s="1088" t="s">
        <v>289</v>
      </c>
      <c r="JVJ55" s="1567" t="s">
        <v>290</v>
      </c>
      <c r="JVK55" s="1567"/>
      <c r="JVL55" s="1567"/>
      <c r="JVM55" s="1088" t="s">
        <v>289</v>
      </c>
      <c r="JVN55" s="1567" t="s">
        <v>290</v>
      </c>
      <c r="JVO55" s="1567"/>
      <c r="JVP55" s="1567"/>
      <c r="JVQ55" s="1088" t="s">
        <v>289</v>
      </c>
      <c r="JVR55" s="1567" t="s">
        <v>290</v>
      </c>
      <c r="JVS55" s="1567"/>
      <c r="JVT55" s="1567"/>
      <c r="JVU55" s="1088" t="s">
        <v>289</v>
      </c>
      <c r="JVV55" s="1567" t="s">
        <v>290</v>
      </c>
      <c r="JVW55" s="1567"/>
      <c r="JVX55" s="1567"/>
      <c r="JVY55" s="1088" t="s">
        <v>289</v>
      </c>
      <c r="JVZ55" s="1567" t="s">
        <v>290</v>
      </c>
      <c r="JWA55" s="1567"/>
      <c r="JWB55" s="1567"/>
      <c r="JWC55" s="1088" t="s">
        <v>289</v>
      </c>
      <c r="JWD55" s="1567" t="s">
        <v>290</v>
      </c>
      <c r="JWE55" s="1567"/>
      <c r="JWF55" s="1567"/>
      <c r="JWG55" s="1088" t="s">
        <v>289</v>
      </c>
      <c r="JWH55" s="1567" t="s">
        <v>290</v>
      </c>
      <c r="JWI55" s="1567"/>
      <c r="JWJ55" s="1567"/>
      <c r="JWK55" s="1088" t="s">
        <v>289</v>
      </c>
      <c r="JWL55" s="1567" t="s">
        <v>290</v>
      </c>
      <c r="JWM55" s="1567"/>
      <c r="JWN55" s="1567"/>
      <c r="JWO55" s="1088" t="s">
        <v>289</v>
      </c>
      <c r="JWP55" s="1567" t="s">
        <v>290</v>
      </c>
      <c r="JWQ55" s="1567"/>
      <c r="JWR55" s="1567"/>
      <c r="JWS55" s="1088" t="s">
        <v>289</v>
      </c>
      <c r="JWT55" s="1567" t="s">
        <v>290</v>
      </c>
      <c r="JWU55" s="1567"/>
      <c r="JWV55" s="1567"/>
      <c r="JWW55" s="1088" t="s">
        <v>289</v>
      </c>
      <c r="JWX55" s="1567" t="s">
        <v>290</v>
      </c>
      <c r="JWY55" s="1567"/>
      <c r="JWZ55" s="1567"/>
      <c r="JXA55" s="1088" t="s">
        <v>289</v>
      </c>
      <c r="JXB55" s="1567" t="s">
        <v>290</v>
      </c>
      <c r="JXC55" s="1567"/>
      <c r="JXD55" s="1567"/>
      <c r="JXE55" s="1088" t="s">
        <v>289</v>
      </c>
      <c r="JXF55" s="1567" t="s">
        <v>290</v>
      </c>
      <c r="JXG55" s="1567"/>
      <c r="JXH55" s="1567"/>
      <c r="JXI55" s="1088" t="s">
        <v>289</v>
      </c>
      <c r="JXJ55" s="1567" t="s">
        <v>290</v>
      </c>
      <c r="JXK55" s="1567"/>
      <c r="JXL55" s="1567"/>
      <c r="JXM55" s="1088" t="s">
        <v>289</v>
      </c>
      <c r="JXN55" s="1567" t="s">
        <v>290</v>
      </c>
      <c r="JXO55" s="1567"/>
      <c r="JXP55" s="1567"/>
      <c r="JXQ55" s="1088" t="s">
        <v>289</v>
      </c>
      <c r="JXR55" s="1567" t="s">
        <v>290</v>
      </c>
      <c r="JXS55" s="1567"/>
      <c r="JXT55" s="1567"/>
      <c r="JXU55" s="1088" t="s">
        <v>289</v>
      </c>
      <c r="JXV55" s="1567" t="s">
        <v>290</v>
      </c>
      <c r="JXW55" s="1567"/>
      <c r="JXX55" s="1567"/>
      <c r="JXY55" s="1088" t="s">
        <v>289</v>
      </c>
      <c r="JXZ55" s="1567" t="s">
        <v>290</v>
      </c>
      <c r="JYA55" s="1567"/>
      <c r="JYB55" s="1567"/>
      <c r="JYC55" s="1088" t="s">
        <v>289</v>
      </c>
      <c r="JYD55" s="1567" t="s">
        <v>290</v>
      </c>
      <c r="JYE55" s="1567"/>
      <c r="JYF55" s="1567"/>
      <c r="JYG55" s="1088" t="s">
        <v>289</v>
      </c>
      <c r="JYH55" s="1567" t="s">
        <v>290</v>
      </c>
      <c r="JYI55" s="1567"/>
      <c r="JYJ55" s="1567"/>
      <c r="JYK55" s="1088" t="s">
        <v>289</v>
      </c>
      <c r="JYL55" s="1567" t="s">
        <v>290</v>
      </c>
      <c r="JYM55" s="1567"/>
      <c r="JYN55" s="1567"/>
      <c r="JYO55" s="1088" t="s">
        <v>289</v>
      </c>
      <c r="JYP55" s="1567" t="s">
        <v>290</v>
      </c>
      <c r="JYQ55" s="1567"/>
      <c r="JYR55" s="1567"/>
      <c r="JYS55" s="1088" t="s">
        <v>289</v>
      </c>
      <c r="JYT55" s="1567" t="s">
        <v>290</v>
      </c>
      <c r="JYU55" s="1567"/>
      <c r="JYV55" s="1567"/>
      <c r="JYW55" s="1088" t="s">
        <v>289</v>
      </c>
      <c r="JYX55" s="1567" t="s">
        <v>290</v>
      </c>
      <c r="JYY55" s="1567"/>
      <c r="JYZ55" s="1567"/>
      <c r="JZA55" s="1088" t="s">
        <v>289</v>
      </c>
      <c r="JZB55" s="1567" t="s">
        <v>290</v>
      </c>
      <c r="JZC55" s="1567"/>
      <c r="JZD55" s="1567"/>
      <c r="JZE55" s="1088" t="s">
        <v>289</v>
      </c>
      <c r="JZF55" s="1567" t="s">
        <v>290</v>
      </c>
      <c r="JZG55" s="1567"/>
      <c r="JZH55" s="1567"/>
      <c r="JZI55" s="1088" t="s">
        <v>289</v>
      </c>
      <c r="JZJ55" s="1567" t="s">
        <v>290</v>
      </c>
      <c r="JZK55" s="1567"/>
      <c r="JZL55" s="1567"/>
      <c r="JZM55" s="1088" t="s">
        <v>289</v>
      </c>
      <c r="JZN55" s="1567" t="s">
        <v>290</v>
      </c>
      <c r="JZO55" s="1567"/>
      <c r="JZP55" s="1567"/>
      <c r="JZQ55" s="1088" t="s">
        <v>289</v>
      </c>
      <c r="JZR55" s="1567" t="s">
        <v>290</v>
      </c>
      <c r="JZS55" s="1567"/>
      <c r="JZT55" s="1567"/>
      <c r="JZU55" s="1088" t="s">
        <v>289</v>
      </c>
      <c r="JZV55" s="1567" t="s">
        <v>290</v>
      </c>
      <c r="JZW55" s="1567"/>
      <c r="JZX55" s="1567"/>
      <c r="JZY55" s="1088" t="s">
        <v>289</v>
      </c>
      <c r="JZZ55" s="1567" t="s">
        <v>290</v>
      </c>
      <c r="KAA55" s="1567"/>
      <c r="KAB55" s="1567"/>
      <c r="KAC55" s="1088" t="s">
        <v>289</v>
      </c>
      <c r="KAD55" s="1567" t="s">
        <v>290</v>
      </c>
      <c r="KAE55" s="1567"/>
      <c r="KAF55" s="1567"/>
      <c r="KAG55" s="1088" t="s">
        <v>289</v>
      </c>
      <c r="KAH55" s="1567" t="s">
        <v>290</v>
      </c>
      <c r="KAI55" s="1567"/>
      <c r="KAJ55" s="1567"/>
      <c r="KAK55" s="1088" t="s">
        <v>289</v>
      </c>
      <c r="KAL55" s="1567" t="s">
        <v>290</v>
      </c>
      <c r="KAM55" s="1567"/>
      <c r="KAN55" s="1567"/>
      <c r="KAO55" s="1088" t="s">
        <v>289</v>
      </c>
      <c r="KAP55" s="1567" t="s">
        <v>290</v>
      </c>
      <c r="KAQ55" s="1567"/>
      <c r="KAR55" s="1567"/>
      <c r="KAS55" s="1088" t="s">
        <v>289</v>
      </c>
      <c r="KAT55" s="1567" t="s">
        <v>290</v>
      </c>
      <c r="KAU55" s="1567"/>
      <c r="KAV55" s="1567"/>
      <c r="KAW55" s="1088" t="s">
        <v>289</v>
      </c>
      <c r="KAX55" s="1567" t="s">
        <v>290</v>
      </c>
      <c r="KAY55" s="1567"/>
      <c r="KAZ55" s="1567"/>
      <c r="KBA55" s="1088" t="s">
        <v>289</v>
      </c>
      <c r="KBB55" s="1567" t="s">
        <v>290</v>
      </c>
      <c r="KBC55" s="1567"/>
      <c r="KBD55" s="1567"/>
      <c r="KBE55" s="1088" t="s">
        <v>289</v>
      </c>
      <c r="KBF55" s="1567" t="s">
        <v>290</v>
      </c>
      <c r="KBG55" s="1567"/>
      <c r="KBH55" s="1567"/>
      <c r="KBI55" s="1088" t="s">
        <v>289</v>
      </c>
      <c r="KBJ55" s="1567" t="s">
        <v>290</v>
      </c>
      <c r="KBK55" s="1567"/>
      <c r="KBL55" s="1567"/>
      <c r="KBM55" s="1088" t="s">
        <v>289</v>
      </c>
      <c r="KBN55" s="1567" t="s">
        <v>290</v>
      </c>
      <c r="KBO55" s="1567"/>
      <c r="KBP55" s="1567"/>
      <c r="KBQ55" s="1088" t="s">
        <v>289</v>
      </c>
      <c r="KBR55" s="1567" t="s">
        <v>290</v>
      </c>
      <c r="KBS55" s="1567"/>
      <c r="KBT55" s="1567"/>
      <c r="KBU55" s="1088" t="s">
        <v>289</v>
      </c>
      <c r="KBV55" s="1567" t="s">
        <v>290</v>
      </c>
      <c r="KBW55" s="1567"/>
      <c r="KBX55" s="1567"/>
      <c r="KBY55" s="1088" t="s">
        <v>289</v>
      </c>
      <c r="KBZ55" s="1567" t="s">
        <v>290</v>
      </c>
      <c r="KCA55" s="1567"/>
      <c r="KCB55" s="1567"/>
      <c r="KCC55" s="1088" t="s">
        <v>289</v>
      </c>
      <c r="KCD55" s="1567" t="s">
        <v>290</v>
      </c>
      <c r="KCE55" s="1567"/>
      <c r="KCF55" s="1567"/>
      <c r="KCG55" s="1088" t="s">
        <v>289</v>
      </c>
      <c r="KCH55" s="1567" t="s">
        <v>290</v>
      </c>
      <c r="KCI55" s="1567"/>
      <c r="KCJ55" s="1567"/>
      <c r="KCK55" s="1088" t="s">
        <v>289</v>
      </c>
      <c r="KCL55" s="1567" t="s">
        <v>290</v>
      </c>
      <c r="KCM55" s="1567"/>
      <c r="KCN55" s="1567"/>
      <c r="KCO55" s="1088" t="s">
        <v>289</v>
      </c>
      <c r="KCP55" s="1567" t="s">
        <v>290</v>
      </c>
      <c r="KCQ55" s="1567"/>
      <c r="KCR55" s="1567"/>
      <c r="KCS55" s="1088" t="s">
        <v>289</v>
      </c>
      <c r="KCT55" s="1567" t="s">
        <v>290</v>
      </c>
      <c r="KCU55" s="1567"/>
      <c r="KCV55" s="1567"/>
      <c r="KCW55" s="1088" t="s">
        <v>289</v>
      </c>
      <c r="KCX55" s="1567" t="s">
        <v>290</v>
      </c>
      <c r="KCY55" s="1567"/>
      <c r="KCZ55" s="1567"/>
      <c r="KDA55" s="1088" t="s">
        <v>289</v>
      </c>
      <c r="KDB55" s="1567" t="s">
        <v>290</v>
      </c>
      <c r="KDC55" s="1567"/>
      <c r="KDD55" s="1567"/>
      <c r="KDE55" s="1088" t="s">
        <v>289</v>
      </c>
      <c r="KDF55" s="1567" t="s">
        <v>290</v>
      </c>
      <c r="KDG55" s="1567"/>
      <c r="KDH55" s="1567"/>
      <c r="KDI55" s="1088" t="s">
        <v>289</v>
      </c>
      <c r="KDJ55" s="1567" t="s">
        <v>290</v>
      </c>
      <c r="KDK55" s="1567"/>
      <c r="KDL55" s="1567"/>
      <c r="KDM55" s="1088" t="s">
        <v>289</v>
      </c>
      <c r="KDN55" s="1567" t="s">
        <v>290</v>
      </c>
      <c r="KDO55" s="1567"/>
      <c r="KDP55" s="1567"/>
      <c r="KDQ55" s="1088" t="s">
        <v>289</v>
      </c>
      <c r="KDR55" s="1567" t="s">
        <v>290</v>
      </c>
      <c r="KDS55" s="1567"/>
      <c r="KDT55" s="1567"/>
      <c r="KDU55" s="1088" t="s">
        <v>289</v>
      </c>
      <c r="KDV55" s="1567" t="s">
        <v>290</v>
      </c>
      <c r="KDW55" s="1567"/>
      <c r="KDX55" s="1567"/>
      <c r="KDY55" s="1088" t="s">
        <v>289</v>
      </c>
      <c r="KDZ55" s="1567" t="s">
        <v>290</v>
      </c>
      <c r="KEA55" s="1567"/>
      <c r="KEB55" s="1567"/>
      <c r="KEC55" s="1088" t="s">
        <v>289</v>
      </c>
      <c r="KED55" s="1567" t="s">
        <v>290</v>
      </c>
      <c r="KEE55" s="1567"/>
      <c r="KEF55" s="1567"/>
      <c r="KEG55" s="1088" t="s">
        <v>289</v>
      </c>
      <c r="KEH55" s="1567" t="s">
        <v>290</v>
      </c>
      <c r="KEI55" s="1567"/>
      <c r="KEJ55" s="1567"/>
      <c r="KEK55" s="1088" t="s">
        <v>289</v>
      </c>
      <c r="KEL55" s="1567" t="s">
        <v>290</v>
      </c>
      <c r="KEM55" s="1567"/>
      <c r="KEN55" s="1567"/>
      <c r="KEO55" s="1088" t="s">
        <v>289</v>
      </c>
      <c r="KEP55" s="1567" t="s">
        <v>290</v>
      </c>
      <c r="KEQ55" s="1567"/>
      <c r="KER55" s="1567"/>
      <c r="KES55" s="1088" t="s">
        <v>289</v>
      </c>
      <c r="KET55" s="1567" t="s">
        <v>290</v>
      </c>
      <c r="KEU55" s="1567"/>
      <c r="KEV55" s="1567"/>
      <c r="KEW55" s="1088" t="s">
        <v>289</v>
      </c>
      <c r="KEX55" s="1567" t="s">
        <v>290</v>
      </c>
      <c r="KEY55" s="1567"/>
      <c r="KEZ55" s="1567"/>
      <c r="KFA55" s="1088" t="s">
        <v>289</v>
      </c>
      <c r="KFB55" s="1567" t="s">
        <v>290</v>
      </c>
      <c r="KFC55" s="1567"/>
      <c r="KFD55" s="1567"/>
      <c r="KFE55" s="1088" t="s">
        <v>289</v>
      </c>
      <c r="KFF55" s="1567" t="s">
        <v>290</v>
      </c>
      <c r="KFG55" s="1567"/>
      <c r="KFH55" s="1567"/>
      <c r="KFI55" s="1088" t="s">
        <v>289</v>
      </c>
      <c r="KFJ55" s="1567" t="s">
        <v>290</v>
      </c>
      <c r="KFK55" s="1567"/>
      <c r="KFL55" s="1567"/>
      <c r="KFM55" s="1088" t="s">
        <v>289</v>
      </c>
      <c r="KFN55" s="1567" t="s">
        <v>290</v>
      </c>
      <c r="KFO55" s="1567"/>
      <c r="KFP55" s="1567"/>
      <c r="KFQ55" s="1088" t="s">
        <v>289</v>
      </c>
      <c r="KFR55" s="1567" t="s">
        <v>290</v>
      </c>
      <c r="KFS55" s="1567"/>
      <c r="KFT55" s="1567"/>
      <c r="KFU55" s="1088" t="s">
        <v>289</v>
      </c>
      <c r="KFV55" s="1567" t="s">
        <v>290</v>
      </c>
      <c r="KFW55" s="1567"/>
      <c r="KFX55" s="1567"/>
      <c r="KFY55" s="1088" t="s">
        <v>289</v>
      </c>
      <c r="KFZ55" s="1567" t="s">
        <v>290</v>
      </c>
      <c r="KGA55" s="1567"/>
      <c r="KGB55" s="1567"/>
      <c r="KGC55" s="1088" t="s">
        <v>289</v>
      </c>
      <c r="KGD55" s="1567" t="s">
        <v>290</v>
      </c>
      <c r="KGE55" s="1567"/>
      <c r="KGF55" s="1567"/>
      <c r="KGG55" s="1088" t="s">
        <v>289</v>
      </c>
      <c r="KGH55" s="1567" t="s">
        <v>290</v>
      </c>
      <c r="KGI55" s="1567"/>
      <c r="KGJ55" s="1567"/>
      <c r="KGK55" s="1088" t="s">
        <v>289</v>
      </c>
      <c r="KGL55" s="1567" t="s">
        <v>290</v>
      </c>
      <c r="KGM55" s="1567"/>
      <c r="KGN55" s="1567"/>
      <c r="KGO55" s="1088" t="s">
        <v>289</v>
      </c>
      <c r="KGP55" s="1567" t="s">
        <v>290</v>
      </c>
      <c r="KGQ55" s="1567"/>
      <c r="KGR55" s="1567"/>
      <c r="KGS55" s="1088" t="s">
        <v>289</v>
      </c>
      <c r="KGT55" s="1567" t="s">
        <v>290</v>
      </c>
      <c r="KGU55" s="1567"/>
      <c r="KGV55" s="1567"/>
      <c r="KGW55" s="1088" t="s">
        <v>289</v>
      </c>
      <c r="KGX55" s="1567" t="s">
        <v>290</v>
      </c>
      <c r="KGY55" s="1567"/>
      <c r="KGZ55" s="1567"/>
      <c r="KHA55" s="1088" t="s">
        <v>289</v>
      </c>
      <c r="KHB55" s="1567" t="s">
        <v>290</v>
      </c>
      <c r="KHC55" s="1567"/>
      <c r="KHD55" s="1567"/>
      <c r="KHE55" s="1088" t="s">
        <v>289</v>
      </c>
      <c r="KHF55" s="1567" t="s">
        <v>290</v>
      </c>
      <c r="KHG55" s="1567"/>
      <c r="KHH55" s="1567"/>
      <c r="KHI55" s="1088" t="s">
        <v>289</v>
      </c>
      <c r="KHJ55" s="1567" t="s">
        <v>290</v>
      </c>
      <c r="KHK55" s="1567"/>
      <c r="KHL55" s="1567"/>
      <c r="KHM55" s="1088" t="s">
        <v>289</v>
      </c>
      <c r="KHN55" s="1567" t="s">
        <v>290</v>
      </c>
      <c r="KHO55" s="1567"/>
      <c r="KHP55" s="1567"/>
      <c r="KHQ55" s="1088" t="s">
        <v>289</v>
      </c>
      <c r="KHR55" s="1567" t="s">
        <v>290</v>
      </c>
      <c r="KHS55" s="1567"/>
      <c r="KHT55" s="1567"/>
      <c r="KHU55" s="1088" t="s">
        <v>289</v>
      </c>
      <c r="KHV55" s="1567" t="s">
        <v>290</v>
      </c>
      <c r="KHW55" s="1567"/>
      <c r="KHX55" s="1567"/>
      <c r="KHY55" s="1088" t="s">
        <v>289</v>
      </c>
      <c r="KHZ55" s="1567" t="s">
        <v>290</v>
      </c>
      <c r="KIA55" s="1567"/>
      <c r="KIB55" s="1567"/>
      <c r="KIC55" s="1088" t="s">
        <v>289</v>
      </c>
      <c r="KID55" s="1567" t="s">
        <v>290</v>
      </c>
      <c r="KIE55" s="1567"/>
      <c r="KIF55" s="1567"/>
      <c r="KIG55" s="1088" t="s">
        <v>289</v>
      </c>
      <c r="KIH55" s="1567" t="s">
        <v>290</v>
      </c>
      <c r="KII55" s="1567"/>
      <c r="KIJ55" s="1567"/>
      <c r="KIK55" s="1088" t="s">
        <v>289</v>
      </c>
      <c r="KIL55" s="1567" t="s">
        <v>290</v>
      </c>
      <c r="KIM55" s="1567"/>
      <c r="KIN55" s="1567"/>
      <c r="KIO55" s="1088" t="s">
        <v>289</v>
      </c>
      <c r="KIP55" s="1567" t="s">
        <v>290</v>
      </c>
      <c r="KIQ55" s="1567"/>
      <c r="KIR55" s="1567"/>
      <c r="KIS55" s="1088" t="s">
        <v>289</v>
      </c>
      <c r="KIT55" s="1567" t="s">
        <v>290</v>
      </c>
      <c r="KIU55" s="1567"/>
      <c r="KIV55" s="1567"/>
      <c r="KIW55" s="1088" t="s">
        <v>289</v>
      </c>
      <c r="KIX55" s="1567" t="s">
        <v>290</v>
      </c>
      <c r="KIY55" s="1567"/>
      <c r="KIZ55" s="1567"/>
      <c r="KJA55" s="1088" t="s">
        <v>289</v>
      </c>
      <c r="KJB55" s="1567" t="s">
        <v>290</v>
      </c>
      <c r="KJC55" s="1567"/>
      <c r="KJD55" s="1567"/>
      <c r="KJE55" s="1088" t="s">
        <v>289</v>
      </c>
      <c r="KJF55" s="1567" t="s">
        <v>290</v>
      </c>
      <c r="KJG55" s="1567"/>
      <c r="KJH55" s="1567"/>
      <c r="KJI55" s="1088" t="s">
        <v>289</v>
      </c>
      <c r="KJJ55" s="1567" t="s">
        <v>290</v>
      </c>
      <c r="KJK55" s="1567"/>
      <c r="KJL55" s="1567"/>
      <c r="KJM55" s="1088" t="s">
        <v>289</v>
      </c>
      <c r="KJN55" s="1567" t="s">
        <v>290</v>
      </c>
      <c r="KJO55" s="1567"/>
      <c r="KJP55" s="1567"/>
      <c r="KJQ55" s="1088" t="s">
        <v>289</v>
      </c>
      <c r="KJR55" s="1567" t="s">
        <v>290</v>
      </c>
      <c r="KJS55" s="1567"/>
      <c r="KJT55" s="1567"/>
      <c r="KJU55" s="1088" t="s">
        <v>289</v>
      </c>
      <c r="KJV55" s="1567" t="s">
        <v>290</v>
      </c>
      <c r="KJW55" s="1567"/>
      <c r="KJX55" s="1567"/>
      <c r="KJY55" s="1088" t="s">
        <v>289</v>
      </c>
      <c r="KJZ55" s="1567" t="s">
        <v>290</v>
      </c>
      <c r="KKA55" s="1567"/>
      <c r="KKB55" s="1567"/>
      <c r="KKC55" s="1088" t="s">
        <v>289</v>
      </c>
      <c r="KKD55" s="1567" t="s">
        <v>290</v>
      </c>
      <c r="KKE55" s="1567"/>
      <c r="KKF55" s="1567"/>
      <c r="KKG55" s="1088" t="s">
        <v>289</v>
      </c>
      <c r="KKH55" s="1567" t="s">
        <v>290</v>
      </c>
      <c r="KKI55" s="1567"/>
      <c r="KKJ55" s="1567"/>
      <c r="KKK55" s="1088" t="s">
        <v>289</v>
      </c>
      <c r="KKL55" s="1567" t="s">
        <v>290</v>
      </c>
      <c r="KKM55" s="1567"/>
      <c r="KKN55" s="1567"/>
      <c r="KKO55" s="1088" t="s">
        <v>289</v>
      </c>
      <c r="KKP55" s="1567" t="s">
        <v>290</v>
      </c>
      <c r="KKQ55" s="1567"/>
      <c r="KKR55" s="1567"/>
      <c r="KKS55" s="1088" t="s">
        <v>289</v>
      </c>
      <c r="KKT55" s="1567" t="s">
        <v>290</v>
      </c>
      <c r="KKU55" s="1567"/>
      <c r="KKV55" s="1567"/>
      <c r="KKW55" s="1088" t="s">
        <v>289</v>
      </c>
      <c r="KKX55" s="1567" t="s">
        <v>290</v>
      </c>
      <c r="KKY55" s="1567"/>
      <c r="KKZ55" s="1567"/>
      <c r="KLA55" s="1088" t="s">
        <v>289</v>
      </c>
      <c r="KLB55" s="1567" t="s">
        <v>290</v>
      </c>
      <c r="KLC55" s="1567"/>
      <c r="KLD55" s="1567"/>
      <c r="KLE55" s="1088" t="s">
        <v>289</v>
      </c>
      <c r="KLF55" s="1567" t="s">
        <v>290</v>
      </c>
      <c r="KLG55" s="1567"/>
      <c r="KLH55" s="1567"/>
      <c r="KLI55" s="1088" t="s">
        <v>289</v>
      </c>
      <c r="KLJ55" s="1567" t="s">
        <v>290</v>
      </c>
      <c r="KLK55" s="1567"/>
      <c r="KLL55" s="1567"/>
      <c r="KLM55" s="1088" t="s">
        <v>289</v>
      </c>
      <c r="KLN55" s="1567" t="s">
        <v>290</v>
      </c>
      <c r="KLO55" s="1567"/>
      <c r="KLP55" s="1567"/>
      <c r="KLQ55" s="1088" t="s">
        <v>289</v>
      </c>
      <c r="KLR55" s="1567" t="s">
        <v>290</v>
      </c>
      <c r="KLS55" s="1567"/>
      <c r="KLT55" s="1567"/>
      <c r="KLU55" s="1088" t="s">
        <v>289</v>
      </c>
      <c r="KLV55" s="1567" t="s">
        <v>290</v>
      </c>
      <c r="KLW55" s="1567"/>
      <c r="KLX55" s="1567"/>
      <c r="KLY55" s="1088" t="s">
        <v>289</v>
      </c>
      <c r="KLZ55" s="1567" t="s">
        <v>290</v>
      </c>
      <c r="KMA55" s="1567"/>
      <c r="KMB55" s="1567"/>
      <c r="KMC55" s="1088" t="s">
        <v>289</v>
      </c>
      <c r="KMD55" s="1567" t="s">
        <v>290</v>
      </c>
      <c r="KME55" s="1567"/>
      <c r="KMF55" s="1567"/>
      <c r="KMG55" s="1088" t="s">
        <v>289</v>
      </c>
      <c r="KMH55" s="1567" t="s">
        <v>290</v>
      </c>
      <c r="KMI55" s="1567"/>
      <c r="KMJ55" s="1567"/>
      <c r="KMK55" s="1088" t="s">
        <v>289</v>
      </c>
      <c r="KML55" s="1567" t="s">
        <v>290</v>
      </c>
      <c r="KMM55" s="1567"/>
      <c r="KMN55" s="1567"/>
      <c r="KMO55" s="1088" t="s">
        <v>289</v>
      </c>
      <c r="KMP55" s="1567" t="s">
        <v>290</v>
      </c>
      <c r="KMQ55" s="1567"/>
      <c r="KMR55" s="1567"/>
      <c r="KMS55" s="1088" t="s">
        <v>289</v>
      </c>
      <c r="KMT55" s="1567" t="s">
        <v>290</v>
      </c>
      <c r="KMU55" s="1567"/>
      <c r="KMV55" s="1567"/>
      <c r="KMW55" s="1088" t="s">
        <v>289</v>
      </c>
      <c r="KMX55" s="1567" t="s">
        <v>290</v>
      </c>
      <c r="KMY55" s="1567"/>
      <c r="KMZ55" s="1567"/>
      <c r="KNA55" s="1088" t="s">
        <v>289</v>
      </c>
      <c r="KNB55" s="1567" t="s">
        <v>290</v>
      </c>
      <c r="KNC55" s="1567"/>
      <c r="KND55" s="1567"/>
      <c r="KNE55" s="1088" t="s">
        <v>289</v>
      </c>
      <c r="KNF55" s="1567" t="s">
        <v>290</v>
      </c>
      <c r="KNG55" s="1567"/>
      <c r="KNH55" s="1567"/>
      <c r="KNI55" s="1088" t="s">
        <v>289</v>
      </c>
      <c r="KNJ55" s="1567" t="s">
        <v>290</v>
      </c>
      <c r="KNK55" s="1567"/>
      <c r="KNL55" s="1567"/>
      <c r="KNM55" s="1088" t="s">
        <v>289</v>
      </c>
      <c r="KNN55" s="1567" t="s">
        <v>290</v>
      </c>
      <c r="KNO55" s="1567"/>
      <c r="KNP55" s="1567"/>
      <c r="KNQ55" s="1088" t="s">
        <v>289</v>
      </c>
      <c r="KNR55" s="1567" t="s">
        <v>290</v>
      </c>
      <c r="KNS55" s="1567"/>
      <c r="KNT55" s="1567"/>
      <c r="KNU55" s="1088" t="s">
        <v>289</v>
      </c>
      <c r="KNV55" s="1567" t="s">
        <v>290</v>
      </c>
      <c r="KNW55" s="1567"/>
      <c r="KNX55" s="1567"/>
      <c r="KNY55" s="1088" t="s">
        <v>289</v>
      </c>
      <c r="KNZ55" s="1567" t="s">
        <v>290</v>
      </c>
      <c r="KOA55" s="1567"/>
      <c r="KOB55" s="1567"/>
      <c r="KOC55" s="1088" t="s">
        <v>289</v>
      </c>
      <c r="KOD55" s="1567" t="s">
        <v>290</v>
      </c>
      <c r="KOE55" s="1567"/>
      <c r="KOF55" s="1567"/>
      <c r="KOG55" s="1088" t="s">
        <v>289</v>
      </c>
      <c r="KOH55" s="1567" t="s">
        <v>290</v>
      </c>
      <c r="KOI55" s="1567"/>
      <c r="KOJ55" s="1567"/>
      <c r="KOK55" s="1088" t="s">
        <v>289</v>
      </c>
      <c r="KOL55" s="1567" t="s">
        <v>290</v>
      </c>
      <c r="KOM55" s="1567"/>
      <c r="KON55" s="1567"/>
      <c r="KOO55" s="1088" t="s">
        <v>289</v>
      </c>
      <c r="KOP55" s="1567" t="s">
        <v>290</v>
      </c>
      <c r="KOQ55" s="1567"/>
      <c r="KOR55" s="1567"/>
      <c r="KOS55" s="1088" t="s">
        <v>289</v>
      </c>
      <c r="KOT55" s="1567" t="s">
        <v>290</v>
      </c>
      <c r="KOU55" s="1567"/>
      <c r="KOV55" s="1567"/>
      <c r="KOW55" s="1088" t="s">
        <v>289</v>
      </c>
      <c r="KOX55" s="1567" t="s">
        <v>290</v>
      </c>
      <c r="KOY55" s="1567"/>
      <c r="KOZ55" s="1567"/>
      <c r="KPA55" s="1088" t="s">
        <v>289</v>
      </c>
      <c r="KPB55" s="1567" t="s">
        <v>290</v>
      </c>
      <c r="KPC55" s="1567"/>
      <c r="KPD55" s="1567"/>
      <c r="KPE55" s="1088" t="s">
        <v>289</v>
      </c>
      <c r="KPF55" s="1567" t="s">
        <v>290</v>
      </c>
      <c r="KPG55" s="1567"/>
      <c r="KPH55" s="1567"/>
      <c r="KPI55" s="1088" t="s">
        <v>289</v>
      </c>
      <c r="KPJ55" s="1567" t="s">
        <v>290</v>
      </c>
      <c r="KPK55" s="1567"/>
      <c r="KPL55" s="1567"/>
      <c r="KPM55" s="1088" t="s">
        <v>289</v>
      </c>
      <c r="KPN55" s="1567" t="s">
        <v>290</v>
      </c>
      <c r="KPO55" s="1567"/>
      <c r="KPP55" s="1567"/>
      <c r="KPQ55" s="1088" t="s">
        <v>289</v>
      </c>
      <c r="KPR55" s="1567" t="s">
        <v>290</v>
      </c>
      <c r="KPS55" s="1567"/>
      <c r="KPT55" s="1567"/>
      <c r="KPU55" s="1088" t="s">
        <v>289</v>
      </c>
      <c r="KPV55" s="1567" t="s">
        <v>290</v>
      </c>
      <c r="KPW55" s="1567"/>
      <c r="KPX55" s="1567"/>
      <c r="KPY55" s="1088" t="s">
        <v>289</v>
      </c>
      <c r="KPZ55" s="1567" t="s">
        <v>290</v>
      </c>
      <c r="KQA55" s="1567"/>
      <c r="KQB55" s="1567"/>
      <c r="KQC55" s="1088" t="s">
        <v>289</v>
      </c>
      <c r="KQD55" s="1567" t="s">
        <v>290</v>
      </c>
      <c r="KQE55" s="1567"/>
      <c r="KQF55" s="1567"/>
      <c r="KQG55" s="1088" t="s">
        <v>289</v>
      </c>
      <c r="KQH55" s="1567" t="s">
        <v>290</v>
      </c>
      <c r="KQI55" s="1567"/>
      <c r="KQJ55" s="1567"/>
      <c r="KQK55" s="1088" t="s">
        <v>289</v>
      </c>
      <c r="KQL55" s="1567" t="s">
        <v>290</v>
      </c>
      <c r="KQM55" s="1567"/>
      <c r="KQN55" s="1567"/>
      <c r="KQO55" s="1088" t="s">
        <v>289</v>
      </c>
      <c r="KQP55" s="1567" t="s">
        <v>290</v>
      </c>
      <c r="KQQ55" s="1567"/>
      <c r="KQR55" s="1567"/>
      <c r="KQS55" s="1088" t="s">
        <v>289</v>
      </c>
      <c r="KQT55" s="1567" t="s">
        <v>290</v>
      </c>
      <c r="KQU55" s="1567"/>
      <c r="KQV55" s="1567"/>
      <c r="KQW55" s="1088" t="s">
        <v>289</v>
      </c>
      <c r="KQX55" s="1567" t="s">
        <v>290</v>
      </c>
      <c r="KQY55" s="1567"/>
      <c r="KQZ55" s="1567"/>
      <c r="KRA55" s="1088" t="s">
        <v>289</v>
      </c>
      <c r="KRB55" s="1567" t="s">
        <v>290</v>
      </c>
      <c r="KRC55" s="1567"/>
      <c r="KRD55" s="1567"/>
      <c r="KRE55" s="1088" t="s">
        <v>289</v>
      </c>
      <c r="KRF55" s="1567" t="s">
        <v>290</v>
      </c>
      <c r="KRG55" s="1567"/>
      <c r="KRH55" s="1567"/>
      <c r="KRI55" s="1088" t="s">
        <v>289</v>
      </c>
      <c r="KRJ55" s="1567" t="s">
        <v>290</v>
      </c>
      <c r="KRK55" s="1567"/>
      <c r="KRL55" s="1567"/>
      <c r="KRM55" s="1088" t="s">
        <v>289</v>
      </c>
      <c r="KRN55" s="1567" t="s">
        <v>290</v>
      </c>
      <c r="KRO55" s="1567"/>
      <c r="KRP55" s="1567"/>
      <c r="KRQ55" s="1088" t="s">
        <v>289</v>
      </c>
      <c r="KRR55" s="1567" t="s">
        <v>290</v>
      </c>
      <c r="KRS55" s="1567"/>
      <c r="KRT55" s="1567"/>
      <c r="KRU55" s="1088" t="s">
        <v>289</v>
      </c>
      <c r="KRV55" s="1567" t="s">
        <v>290</v>
      </c>
      <c r="KRW55" s="1567"/>
      <c r="KRX55" s="1567"/>
      <c r="KRY55" s="1088" t="s">
        <v>289</v>
      </c>
      <c r="KRZ55" s="1567" t="s">
        <v>290</v>
      </c>
      <c r="KSA55" s="1567"/>
      <c r="KSB55" s="1567"/>
      <c r="KSC55" s="1088" t="s">
        <v>289</v>
      </c>
      <c r="KSD55" s="1567" t="s">
        <v>290</v>
      </c>
      <c r="KSE55" s="1567"/>
      <c r="KSF55" s="1567"/>
      <c r="KSG55" s="1088" t="s">
        <v>289</v>
      </c>
      <c r="KSH55" s="1567" t="s">
        <v>290</v>
      </c>
      <c r="KSI55" s="1567"/>
      <c r="KSJ55" s="1567"/>
      <c r="KSK55" s="1088" t="s">
        <v>289</v>
      </c>
      <c r="KSL55" s="1567" t="s">
        <v>290</v>
      </c>
      <c r="KSM55" s="1567"/>
      <c r="KSN55" s="1567"/>
      <c r="KSO55" s="1088" t="s">
        <v>289</v>
      </c>
      <c r="KSP55" s="1567" t="s">
        <v>290</v>
      </c>
      <c r="KSQ55" s="1567"/>
      <c r="KSR55" s="1567"/>
      <c r="KSS55" s="1088" t="s">
        <v>289</v>
      </c>
      <c r="KST55" s="1567" t="s">
        <v>290</v>
      </c>
      <c r="KSU55" s="1567"/>
      <c r="KSV55" s="1567"/>
      <c r="KSW55" s="1088" t="s">
        <v>289</v>
      </c>
      <c r="KSX55" s="1567" t="s">
        <v>290</v>
      </c>
      <c r="KSY55" s="1567"/>
      <c r="KSZ55" s="1567"/>
      <c r="KTA55" s="1088" t="s">
        <v>289</v>
      </c>
      <c r="KTB55" s="1567" t="s">
        <v>290</v>
      </c>
      <c r="KTC55" s="1567"/>
      <c r="KTD55" s="1567"/>
      <c r="KTE55" s="1088" t="s">
        <v>289</v>
      </c>
      <c r="KTF55" s="1567" t="s">
        <v>290</v>
      </c>
      <c r="KTG55" s="1567"/>
      <c r="KTH55" s="1567"/>
      <c r="KTI55" s="1088" t="s">
        <v>289</v>
      </c>
      <c r="KTJ55" s="1567" t="s">
        <v>290</v>
      </c>
      <c r="KTK55" s="1567"/>
      <c r="KTL55" s="1567"/>
      <c r="KTM55" s="1088" t="s">
        <v>289</v>
      </c>
      <c r="KTN55" s="1567" t="s">
        <v>290</v>
      </c>
      <c r="KTO55" s="1567"/>
      <c r="KTP55" s="1567"/>
      <c r="KTQ55" s="1088" t="s">
        <v>289</v>
      </c>
      <c r="KTR55" s="1567" t="s">
        <v>290</v>
      </c>
      <c r="KTS55" s="1567"/>
      <c r="KTT55" s="1567"/>
      <c r="KTU55" s="1088" t="s">
        <v>289</v>
      </c>
      <c r="KTV55" s="1567" t="s">
        <v>290</v>
      </c>
      <c r="KTW55" s="1567"/>
      <c r="KTX55" s="1567"/>
      <c r="KTY55" s="1088" t="s">
        <v>289</v>
      </c>
      <c r="KTZ55" s="1567" t="s">
        <v>290</v>
      </c>
      <c r="KUA55" s="1567"/>
      <c r="KUB55" s="1567"/>
      <c r="KUC55" s="1088" t="s">
        <v>289</v>
      </c>
      <c r="KUD55" s="1567" t="s">
        <v>290</v>
      </c>
      <c r="KUE55" s="1567"/>
      <c r="KUF55" s="1567"/>
      <c r="KUG55" s="1088" t="s">
        <v>289</v>
      </c>
      <c r="KUH55" s="1567" t="s">
        <v>290</v>
      </c>
      <c r="KUI55" s="1567"/>
      <c r="KUJ55" s="1567"/>
      <c r="KUK55" s="1088" t="s">
        <v>289</v>
      </c>
      <c r="KUL55" s="1567" t="s">
        <v>290</v>
      </c>
      <c r="KUM55" s="1567"/>
      <c r="KUN55" s="1567"/>
      <c r="KUO55" s="1088" t="s">
        <v>289</v>
      </c>
      <c r="KUP55" s="1567" t="s">
        <v>290</v>
      </c>
      <c r="KUQ55" s="1567"/>
      <c r="KUR55" s="1567"/>
      <c r="KUS55" s="1088" t="s">
        <v>289</v>
      </c>
      <c r="KUT55" s="1567" t="s">
        <v>290</v>
      </c>
      <c r="KUU55" s="1567"/>
      <c r="KUV55" s="1567"/>
      <c r="KUW55" s="1088" t="s">
        <v>289</v>
      </c>
      <c r="KUX55" s="1567" t="s">
        <v>290</v>
      </c>
      <c r="KUY55" s="1567"/>
      <c r="KUZ55" s="1567"/>
      <c r="KVA55" s="1088" t="s">
        <v>289</v>
      </c>
      <c r="KVB55" s="1567" t="s">
        <v>290</v>
      </c>
      <c r="KVC55" s="1567"/>
      <c r="KVD55" s="1567"/>
      <c r="KVE55" s="1088" t="s">
        <v>289</v>
      </c>
      <c r="KVF55" s="1567" t="s">
        <v>290</v>
      </c>
      <c r="KVG55" s="1567"/>
      <c r="KVH55" s="1567"/>
      <c r="KVI55" s="1088" t="s">
        <v>289</v>
      </c>
      <c r="KVJ55" s="1567" t="s">
        <v>290</v>
      </c>
      <c r="KVK55" s="1567"/>
      <c r="KVL55" s="1567"/>
      <c r="KVM55" s="1088" t="s">
        <v>289</v>
      </c>
      <c r="KVN55" s="1567" t="s">
        <v>290</v>
      </c>
      <c r="KVO55" s="1567"/>
      <c r="KVP55" s="1567"/>
      <c r="KVQ55" s="1088" t="s">
        <v>289</v>
      </c>
      <c r="KVR55" s="1567" t="s">
        <v>290</v>
      </c>
      <c r="KVS55" s="1567"/>
      <c r="KVT55" s="1567"/>
      <c r="KVU55" s="1088" t="s">
        <v>289</v>
      </c>
      <c r="KVV55" s="1567" t="s">
        <v>290</v>
      </c>
      <c r="KVW55" s="1567"/>
      <c r="KVX55" s="1567"/>
      <c r="KVY55" s="1088" t="s">
        <v>289</v>
      </c>
      <c r="KVZ55" s="1567" t="s">
        <v>290</v>
      </c>
      <c r="KWA55" s="1567"/>
      <c r="KWB55" s="1567"/>
      <c r="KWC55" s="1088" t="s">
        <v>289</v>
      </c>
      <c r="KWD55" s="1567" t="s">
        <v>290</v>
      </c>
      <c r="KWE55" s="1567"/>
      <c r="KWF55" s="1567"/>
      <c r="KWG55" s="1088" t="s">
        <v>289</v>
      </c>
      <c r="KWH55" s="1567" t="s">
        <v>290</v>
      </c>
      <c r="KWI55" s="1567"/>
      <c r="KWJ55" s="1567"/>
      <c r="KWK55" s="1088" t="s">
        <v>289</v>
      </c>
      <c r="KWL55" s="1567" t="s">
        <v>290</v>
      </c>
      <c r="KWM55" s="1567"/>
      <c r="KWN55" s="1567"/>
      <c r="KWO55" s="1088" t="s">
        <v>289</v>
      </c>
      <c r="KWP55" s="1567" t="s">
        <v>290</v>
      </c>
      <c r="KWQ55" s="1567"/>
      <c r="KWR55" s="1567"/>
      <c r="KWS55" s="1088" t="s">
        <v>289</v>
      </c>
      <c r="KWT55" s="1567" t="s">
        <v>290</v>
      </c>
      <c r="KWU55" s="1567"/>
      <c r="KWV55" s="1567"/>
      <c r="KWW55" s="1088" t="s">
        <v>289</v>
      </c>
      <c r="KWX55" s="1567" t="s">
        <v>290</v>
      </c>
      <c r="KWY55" s="1567"/>
      <c r="KWZ55" s="1567"/>
      <c r="KXA55" s="1088" t="s">
        <v>289</v>
      </c>
      <c r="KXB55" s="1567" t="s">
        <v>290</v>
      </c>
      <c r="KXC55" s="1567"/>
      <c r="KXD55" s="1567"/>
      <c r="KXE55" s="1088" t="s">
        <v>289</v>
      </c>
      <c r="KXF55" s="1567" t="s">
        <v>290</v>
      </c>
      <c r="KXG55" s="1567"/>
      <c r="KXH55" s="1567"/>
      <c r="KXI55" s="1088" t="s">
        <v>289</v>
      </c>
      <c r="KXJ55" s="1567" t="s">
        <v>290</v>
      </c>
      <c r="KXK55" s="1567"/>
      <c r="KXL55" s="1567"/>
      <c r="KXM55" s="1088" t="s">
        <v>289</v>
      </c>
      <c r="KXN55" s="1567" t="s">
        <v>290</v>
      </c>
      <c r="KXO55" s="1567"/>
      <c r="KXP55" s="1567"/>
      <c r="KXQ55" s="1088" t="s">
        <v>289</v>
      </c>
      <c r="KXR55" s="1567" t="s">
        <v>290</v>
      </c>
      <c r="KXS55" s="1567"/>
      <c r="KXT55" s="1567"/>
      <c r="KXU55" s="1088" t="s">
        <v>289</v>
      </c>
      <c r="KXV55" s="1567" t="s">
        <v>290</v>
      </c>
      <c r="KXW55" s="1567"/>
      <c r="KXX55" s="1567"/>
      <c r="KXY55" s="1088" t="s">
        <v>289</v>
      </c>
      <c r="KXZ55" s="1567" t="s">
        <v>290</v>
      </c>
      <c r="KYA55" s="1567"/>
      <c r="KYB55" s="1567"/>
      <c r="KYC55" s="1088" t="s">
        <v>289</v>
      </c>
      <c r="KYD55" s="1567" t="s">
        <v>290</v>
      </c>
      <c r="KYE55" s="1567"/>
      <c r="KYF55" s="1567"/>
      <c r="KYG55" s="1088" t="s">
        <v>289</v>
      </c>
      <c r="KYH55" s="1567" t="s">
        <v>290</v>
      </c>
      <c r="KYI55" s="1567"/>
      <c r="KYJ55" s="1567"/>
      <c r="KYK55" s="1088" t="s">
        <v>289</v>
      </c>
      <c r="KYL55" s="1567" t="s">
        <v>290</v>
      </c>
      <c r="KYM55" s="1567"/>
      <c r="KYN55" s="1567"/>
      <c r="KYO55" s="1088" t="s">
        <v>289</v>
      </c>
      <c r="KYP55" s="1567" t="s">
        <v>290</v>
      </c>
      <c r="KYQ55" s="1567"/>
      <c r="KYR55" s="1567"/>
      <c r="KYS55" s="1088" t="s">
        <v>289</v>
      </c>
      <c r="KYT55" s="1567" t="s">
        <v>290</v>
      </c>
      <c r="KYU55" s="1567"/>
      <c r="KYV55" s="1567"/>
      <c r="KYW55" s="1088" t="s">
        <v>289</v>
      </c>
      <c r="KYX55" s="1567" t="s">
        <v>290</v>
      </c>
      <c r="KYY55" s="1567"/>
      <c r="KYZ55" s="1567"/>
      <c r="KZA55" s="1088" t="s">
        <v>289</v>
      </c>
      <c r="KZB55" s="1567" t="s">
        <v>290</v>
      </c>
      <c r="KZC55" s="1567"/>
      <c r="KZD55" s="1567"/>
      <c r="KZE55" s="1088" t="s">
        <v>289</v>
      </c>
      <c r="KZF55" s="1567" t="s">
        <v>290</v>
      </c>
      <c r="KZG55" s="1567"/>
      <c r="KZH55" s="1567"/>
      <c r="KZI55" s="1088" t="s">
        <v>289</v>
      </c>
      <c r="KZJ55" s="1567" t="s">
        <v>290</v>
      </c>
      <c r="KZK55" s="1567"/>
      <c r="KZL55" s="1567"/>
      <c r="KZM55" s="1088" t="s">
        <v>289</v>
      </c>
      <c r="KZN55" s="1567" t="s">
        <v>290</v>
      </c>
      <c r="KZO55" s="1567"/>
      <c r="KZP55" s="1567"/>
      <c r="KZQ55" s="1088" t="s">
        <v>289</v>
      </c>
      <c r="KZR55" s="1567" t="s">
        <v>290</v>
      </c>
      <c r="KZS55" s="1567"/>
      <c r="KZT55" s="1567"/>
      <c r="KZU55" s="1088" t="s">
        <v>289</v>
      </c>
      <c r="KZV55" s="1567" t="s">
        <v>290</v>
      </c>
      <c r="KZW55" s="1567"/>
      <c r="KZX55" s="1567"/>
      <c r="KZY55" s="1088" t="s">
        <v>289</v>
      </c>
      <c r="KZZ55" s="1567" t="s">
        <v>290</v>
      </c>
      <c r="LAA55" s="1567"/>
      <c r="LAB55" s="1567"/>
      <c r="LAC55" s="1088" t="s">
        <v>289</v>
      </c>
      <c r="LAD55" s="1567" t="s">
        <v>290</v>
      </c>
      <c r="LAE55" s="1567"/>
      <c r="LAF55" s="1567"/>
      <c r="LAG55" s="1088" t="s">
        <v>289</v>
      </c>
      <c r="LAH55" s="1567" t="s">
        <v>290</v>
      </c>
      <c r="LAI55" s="1567"/>
      <c r="LAJ55" s="1567"/>
      <c r="LAK55" s="1088" t="s">
        <v>289</v>
      </c>
      <c r="LAL55" s="1567" t="s">
        <v>290</v>
      </c>
      <c r="LAM55" s="1567"/>
      <c r="LAN55" s="1567"/>
      <c r="LAO55" s="1088" t="s">
        <v>289</v>
      </c>
      <c r="LAP55" s="1567" t="s">
        <v>290</v>
      </c>
      <c r="LAQ55" s="1567"/>
      <c r="LAR55" s="1567"/>
      <c r="LAS55" s="1088" t="s">
        <v>289</v>
      </c>
      <c r="LAT55" s="1567" t="s">
        <v>290</v>
      </c>
      <c r="LAU55" s="1567"/>
      <c r="LAV55" s="1567"/>
      <c r="LAW55" s="1088" t="s">
        <v>289</v>
      </c>
      <c r="LAX55" s="1567" t="s">
        <v>290</v>
      </c>
      <c r="LAY55" s="1567"/>
      <c r="LAZ55" s="1567"/>
      <c r="LBA55" s="1088" t="s">
        <v>289</v>
      </c>
      <c r="LBB55" s="1567" t="s">
        <v>290</v>
      </c>
      <c r="LBC55" s="1567"/>
      <c r="LBD55" s="1567"/>
      <c r="LBE55" s="1088" t="s">
        <v>289</v>
      </c>
      <c r="LBF55" s="1567" t="s">
        <v>290</v>
      </c>
      <c r="LBG55" s="1567"/>
      <c r="LBH55" s="1567"/>
      <c r="LBI55" s="1088" t="s">
        <v>289</v>
      </c>
      <c r="LBJ55" s="1567" t="s">
        <v>290</v>
      </c>
      <c r="LBK55" s="1567"/>
      <c r="LBL55" s="1567"/>
      <c r="LBM55" s="1088" t="s">
        <v>289</v>
      </c>
      <c r="LBN55" s="1567" t="s">
        <v>290</v>
      </c>
      <c r="LBO55" s="1567"/>
      <c r="LBP55" s="1567"/>
      <c r="LBQ55" s="1088" t="s">
        <v>289</v>
      </c>
      <c r="LBR55" s="1567" t="s">
        <v>290</v>
      </c>
      <c r="LBS55" s="1567"/>
      <c r="LBT55" s="1567"/>
      <c r="LBU55" s="1088" t="s">
        <v>289</v>
      </c>
      <c r="LBV55" s="1567" t="s">
        <v>290</v>
      </c>
      <c r="LBW55" s="1567"/>
      <c r="LBX55" s="1567"/>
      <c r="LBY55" s="1088" t="s">
        <v>289</v>
      </c>
      <c r="LBZ55" s="1567" t="s">
        <v>290</v>
      </c>
      <c r="LCA55" s="1567"/>
      <c r="LCB55" s="1567"/>
      <c r="LCC55" s="1088" t="s">
        <v>289</v>
      </c>
      <c r="LCD55" s="1567" t="s">
        <v>290</v>
      </c>
      <c r="LCE55" s="1567"/>
      <c r="LCF55" s="1567"/>
      <c r="LCG55" s="1088" t="s">
        <v>289</v>
      </c>
      <c r="LCH55" s="1567" t="s">
        <v>290</v>
      </c>
      <c r="LCI55" s="1567"/>
      <c r="LCJ55" s="1567"/>
      <c r="LCK55" s="1088" t="s">
        <v>289</v>
      </c>
      <c r="LCL55" s="1567" t="s">
        <v>290</v>
      </c>
      <c r="LCM55" s="1567"/>
      <c r="LCN55" s="1567"/>
      <c r="LCO55" s="1088" t="s">
        <v>289</v>
      </c>
      <c r="LCP55" s="1567" t="s">
        <v>290</v>
      </c>
      <c r="LCQ55" s="1567"/>
      <c r="LCR55" s="1567"/>
      <c r="LCS55" s="1088" t="s">
        <v>289</v>
      </c>
      <c r="LCT55" s="1567" t="s">
        <v>290</v>
      </c>
      <c r="LCU55" s="1567"/>
      <c r="LCV55" s="1567"/>
      <c r="LCW55" s="1088" t="s">
        <v>289</v>
      </c>
      <c r="LCX55" s="1567" t="s">
        <v>290</v>
      </c>
      <c r="LCY55" s="1567"/>
      <c r="LCZ55" s="1567"/>
      <c r="LDA55" s="1088" t="s">
        <v>289</v>
      </c>
      <c r="LDB55" s="1567" t="s">
        <v>290</v>
      </c>
      <c r="LDC55" s="1567"/>
      <c r="LDD55" s="1567"/>
      <c r="LDE55" s="1088" t="s">
        <v>289</v>
      </c>
      <c r="LDF55" s="1567" t="s">
        <v>290</v>
      </c>
      <c r="LDG55" s="1567"/>
      <c r="LDH55" s="1567"/>
      <c r="LDI55" s="1088" t="s">
        <v>289</v>
      </c>
      <c r="LDJ55" s="1567" t="s">
        <v>290</v>
      </c>
      <c r="LDK55" s="1567"/>
      <c r="LDL55" s="1567"/>
      <c r="LDM55" s="1088" t="s">
        <v>289</v>
      </c>
      <c r="LDN55" s="1567" t="s">
        <v>290</v>
      </c>
      <c r="LDO55" s="1567"/>
      <c r="LDP55" s="1567"/>
      <c r="LDQ55" s="1088" t="s">
        <v>289</v>
      </c>
      <c r="LDR55" s="1567" t="s">
        <v>290</v>
      </c>
      <c r="LDS55" s="1567"/>
      <c r="LDT55" s="1567"/>
      <c r="LDU55" s="1088" t="s">
        <v>289</v>
      </c>
      <c r="LDV55" s="1567" t="s">
        <v>290</v>
      </c>
      <c r="LDW55" s="1567"/>
      <c r="LDX55" s="1567"/>
      <c r="LDY55" s="1088" t="s">
        <v>289</v>
      </c>
      <c r="LDZ55" s="1567" t="s">
        <v>290</v>
      </c>
      <c r="LEA55" s="1567"/>
      <c r="LEB55" s="1567"/>
      <c r="LEC55" s="1088" t="s">
        <v>289</v>
      </c>
      <c r="LED55" s="1567" t="s">
        <v>290</v>
      </c>
      <c r="LEE55" s="1567"/>
      <c r="LEF55" s="1567"/>
      <c r="LEG55" s="1088" t="s">
        <v>289</v>
      </c>
      <c r="LEH55" s="1567" t="s">
        <v>290</v>
      </c>
      <c r="LEI55" s="1567"/>
      <c r="LEJ55" s="1567"/>
      <c r="LEK55" s="1088" t="s">
        <v>289</v>
      </c>
      <c r="LEL55" s="1567" t="s">
        <v>290</v>
      </c>
      <c r="LEM55" s="1567"/>
      <c r="LEN55" s="1567"/>
      <c r="LEO55" s="1088" t="s">
        <v>289</v>
      </c>
      <c r="LEP55" s="1567" t="s">
        <v>290</v>
      </c>
      <c r="LEQ55" s="1567"/>
      <c r="LER55" s="1567"/>
      <c r="LES55" s="1088" t="s">
        <v>289</v>
      </c>
      <c r="LET55" s="1567" t="s">
        <v>290</v>
      </c>
      <c r="LEU55" s="1567"/>
      <c r="LEV55" s="1567"/>
      <c r="LEW55" s="1088" t="s">
        <v>289</v>
      </c>
      <c r="LEX55" s="1567" t="s">
        <v>290</v>
      </c>
      <c r="LEY55" s="1567"/>
      <c r="LEZ55" s="1567"/>
      <c r="LFA55" s="1088" t="s">
        <v>289</v>
      </c>
      <c r="LFB55" s="1567" t="s">
        <v>290</v>
      </c>
      <c r="LFC55" s="1567"/>
      <c r="LFD55" s="1567"/>
      <c r="LFE55" s="1088" t="s">
        <v>289</v>
      </c>
      <c r="LFF55" s="1567" t="s">
        <v>290</v>
      </c>
      <c r="LFG55" s="1567"/>
      <c r="LFH55" s="1567"/>
      <c r="LFI55" s="1088" t="s">
        <v>289</v>
      </c>
      <c r="LFJ55" s="1567" t="s">
        <v>290</v>
      </c>
      <c r="LFK55" s="1567"/>
      <c r="LFL55" s="1567"/>
      <c r="LFM55" s="1088" t="s">
        <v>289</v>
      </c>
      <c r="LFN55" s="1567" t="s">
        <v>290</v>
      </c>
      <c r="LFO55" s="1567"/>
      <c r="LFP55" s="1567"/>
      <c r="LFQ55" s="1088" t="s">
        <v>289</v>
      </c>
      <c r="LFR55" s="1567" t="s">
        <v>290</v>
      </c>
      <c r="LFS55" s="1567"/>
      <c r="LFT55" s="1567"/>
      <c r="LFU55" s="1088" t="s">
        <v>289</v>
      </c>
      <c r="LFV55" s="1567" t="s">
        <v>290</v>
      </c>
      <c r="LFW55" s="1567"/>
      <c r="LFX55" s="1567"/>
      <c r="LFY55" s="1088" t="s">
        <v>289</v>
      </c>
      <c r="LFZ55" s="1567" t="s">
        <v>290</v>
      </c>
      <c r="LGA55" s="1567"/>
      <c r="LGB55" s="1567"/>
      <c r="LGC55" s="1088" t="s">
        <v>289</v>
      </c>
      <c r="LGD55" s="1567" t="s">
        <v>290</v>
      </c>
      <c r="LGE55" s="1567"/>
      <c r="LGF55" s="1567"/>
      <c r="LGG55" s="1088" t="s">
        <v>289</v>
      </c>
      <c r="LGH55" s="1567" t="s">
        <v>290</v>
      </c>
      <c r="LGI55" s="1567"/>
      <c r="LGJ55" s="1567"/>
      <c r="LGK55" s="1088" t="s">
        <v>289</v>
      </c>
      <c r="LGL55" s="1567" t="s">
        <v>290</v>
      </c>
      <c r="LGM55" s="1567"/>
      <c r="LGN55" s="1567"/>
      <c r="LGO55" s="1088" t="s">
        <v>289</v>
      </c>
      <c r="LGP55" s="1567" t="s">
        <v>290</v>
      </c>
      <c r="LGQ55" s="1567"/>
      <c r="LGR55" s="1567"/>
      <c r="LGS55" s="1088" t="s">
        <v>289</v>
      </c>
      <c r="LGT55" s="1567" t="s">
        <v>290</v>
      </c>
      <c r="LGU55" s="1567"/>
      <c r="LGV55" s="1567"/>
      <c r="LGW55" s="1088" t="s">
        <v>289</v>
      </c>
      <c r="LGX55" s="1567" t="s">
        <v>290</v>
      </c>
      <c r="LGY55" s="1567"/>
      <c r="LGZ55" s="1567"/>
      <c r="LHA55" s="1088" t="s">
        <v>289</v>
      </c>
      <c r="LHB55" s="1567" t="s">
        <v>290</v>
      </c>
      <c r="LHC55" s="1567"/>
      <c r="LHD55" s="1567"/>
      <c r="LHE55" s="1088" t="s">
        <v>289</v>
      </c>
      <c r="LHF55" s="1567" t="s">
        <v>290</v>
      </c>
      <c r="LHG55" s="1567"/>
      <c r="LHH55" s="1567"/>
      <c r="LHI55" s="1088" t="s">
        <v>289</v>
      </c>
      <c r="LHJ55" s="1567" t="s">
        <v>290</v>
      </c>
      <c r="LHK55" s="1567"/>
      <c r="LHL55" s="1567"/>
      <c r="LHM55" s="1088" t="s">
        <v>289</v>
      </c>
      <c r="LHN55" s="1567" t="s">
        <v>290</v>
      </c>
      <c r="LHO55" s="1567"/>
      <c r="LHP55" s="1567"/>
      <c r="LHQ55" s="1088" t="s">
        <v>289</v>
      </c>
      <c r="LHR55" s="1567" t="s">
        <v>290</v>
      </c>
      <c r="LHS55" s="1567"/>
      <c r="LHT55" s="1567"/>
      <c r="LHU55" s="1088" t="s">
        <v>289</v>
      </c>
      <c r="LHV55" s="1567" t="s">
        <v>290</v>
      </c>
      <c r="LHW55" s="1567"/>
      <c r="LHX55" s="1567"/>
      <c r="LHY55" s="1088" t="s">
        <v>289</v>
      </c>
      <c r="LHZ55" s="1567" t="s">
        <v>290</v>
      </c>
      <c r="LIA55" s="1567"/>
      <c r="LIB55" s="1567"/>
      <c r="LIC55" s="1088" t="s">
        <v>289</v>
      </c>
      <c r="LID55" s="1567" t="s">
        <v>290</v>
      </c>
      <c r="LIE55" s="1567"/>
      <c r="LIF55" s="1567"/>
      <c r="LIG55" s="1088" t="s">
        <v>289</v>
      </c>
      <c r="LIH55" s="1567" t="s">
        <v>290</v>
      </c>
      <c r="LII55" s="1567"/>
      <c r="LIJ55" s="1567"/>
      <c r="LIK55" s="1088" t="s">
        <v>289</v>
      </c>
      <c r="LIL55" s="1567" t="s">
        <v>290</v>
      </c>
      <c r="LIM55" s="1567"/>
      <c r="LIN55" s="1567"/>
      <c r="LIO55" s="1088" t="s">
        <v>289</v>
      </c>
      <c r="LIP55" s="1567" t="s">
        <v>290</v>
      </c>
      <c r="LIQ55" s="1567"/>
      <c r="LIR55" s="1567"/>
      <c r="LIS55" s="1088" t="s">
        <v>289</v>
      </c>
      <c r="LIT55" s="1567" t="s">
        <v>290</v>
      </c>
      <c r="LIU55" s="1567"/>
      <c r="LIV55" s="1567"/>
      <c r="LIW55" s="1088" t="s">
        <v>289</v>
      </c>
      <c r="LIX55" s="1567" t="s">
        <v>290</v>
      </c>
      <c r="LIY55" s="1567"/>
      <c r="LIZ55" s="1567"/>
      <c r="LJA55" s="1088" t="s">
        <v>289</v>
      </c>
      <c r="LJB55" s="1567" t="s">
        <v>290</v>
      </c>
      <c r="LJC55" s="1567"/>
      <c r="LJD55" s="1567"/>
      <c r="LJE55" s="1088" t="s">
        <v>289</v>
      </c>
      <c r="LJF55" s="1567" t="s">
        <v>290</v>
      </c>
      <c r="LJG55" s="1567"/>
      <c r="LJH55" s="1567"/>
      <c r="LJI55" s="1088" t="s">
        <v>289</v>
      </c>
      <c r="LJJ55" s="1567" t="s">
        <v>290</v>
      </c>
      <c r="LJK55" s="1567"/>
      <c r="LJL55" s="1567"/>
      <c r="LJM55" s="1088" t="s">
        <v>289</v>
      </c>
      <c r="LJN55" s="1567" t="s">
        <v>290</v>
      </c>
      <c r="LJO55" s="1567"/>
      <c r="LJP55" s="1567"/>
      <c r="LJQ55" s="1088" t="s">
        <v>289</v>
      </c>
      <c r="LJR55" s="1567" t="s">
        <v>290</v>
      </c>
      <c r="LJS55" s="1567"/>
      <c r="LJT55" s="1567"/>
      <c r="LJU55" s="1088" t="s">
        <v>289</v>
      </c>
      <c r="LJV55" s="1567" t="s">
        <v>290</v>
      </c>
      <c r="LJW55" s="1567"/>
      <c r="LJX55" s="1567"/>
      <c r="LJY55" s="1088" t="s">
        <v>289</v>
      </c>
      <c r="LJZ55" s="1567" t="s">
        <v>290</v>
      </c>
      <c r="LKA55" s="1567"/>
      <c r="LKB55" s="1567"/>
      <c r="LKC55" s="1088" t="s">
        <v>289</v>
      </c>
      <c r="LKD55" s="1567" t="s">
        <v>290</v>
      </c>
      <c r="LKE55" s="1567"/>
      <c r="LKF55" s="1567"/>
      <c r="LKG55" s="1088" t="s">
        <v>289</v>
      </c>
      <c r="LKH55" s="1567" t="s">
        <v>290</v>
      </c>
      <c r="LKI55" s="1567"/>
      <c r="LKJ55" s="1567"/>
      <c r="LKK55" s="1088" t="s">
        <v>289</v>
      </c>
      <c r="LKL55" s="1567" t="s">
        <v>290</v>
      </c>
      <c r="LKM55" s="1567"/>
      <c r="LKN55" s="1567"/>
      <c r="LKO55" s="1088" t="s">
        <v>289</v>
      </c>
      <c r="LKP55" s="1567" t="s">
        <v>290</v>
      </c>
      <c r="LKQ55" s="1567"/>
      <c r="LKR55" s="1567"/>
      <c r="LKS55" s="1088" t="s">
        <v>289</v>
      </c>
      <c r="LKT55" s="1567" t="s">
        <v>290</v>
      </c>
      <c r="LKU55" s="1567"/>
      <c r="LKV55" s="1567"/>
      <c r="LKW55" s="1088" t="s">
        <v>289</v>
      </c>
      <c r="LKX55" s="1567" t="s">
        <v>290</v>
      </c>
      <c r="LKY55" s="1567"/>
      <c r="LKZ55" s="1567"/>
      <c r="LLA55" s="1088" t="s">
        <v>289</v>
      </c>
      <c r="LLB55" s="1567" t="s">
        <v>290</v>
      </c>
      <c r="LLC55" s="1567"/>
      <c r="LLD55" s="1567"/>
      <c r="LLE55" s="1088" t="s">
        <v>289</v>
      </c>
      <c r="LLF55" s="1567" t="s">
        <v>290</v>
      </c>
      <c r="LLG55" s="1567"/>
      <c r="LLH55" s="1567"/>
      <c r="LLI55" s="1088" t="s">
        <v>289</v>
      </c>
      <c r="LLJ55" s="1567" t="s">
        <v>290</v>
      </c>
      <c r="LLK55" s="1567"/>
      <c r="LLL55" s="1567"/>
      <c r="LLM55" s="1088" t="s">
        <v>289</v>
      </c>
      <c r="LLN55" s="1567" t="s">
        <v>290</v>
      </c>
      <c r="LLO55" s="1567"/>
      <c r="LLP55" s="1567"/>
      <c r="LLQ55" s="1088" t="s">
        <v>289</v>
      </c>
      <c r="LLR55" s="1567" t="s">
        <v>290</v>
      </c>
      <c r="LLS55" s="1567"/>
      <c r="LLT55" s="1567"/>
      <c r="LLU55" s="1088" t="s">
        <v>289</v>
      </c>
      <c r="LLV55" s="1567" t="s">
        <v>290</v>
      </c>
      <c r="LLW55" s="1567"/>
      <c r="LLX55" s="1567"/>
      <c r="LLY55" s="1088" t="s">
        <v>289</v>
      </c>
      <c r="LLZ55" s="1567" t="s">
        <v>290</v>
      </c>
      <c r="LMA55" s="1567"/>
      <c r="LMB55" s="1567"/>
      <c r="LMC55" s="1088" t="s">
        <v>289</v>
      </c>
      <c r="LMD55" s="1567" t="s">
        <v>290</v>
      </c>
      <c r="LME55" s="1567"/>
      <c r="LMF55" s="1567"/>
      <c r="LMG55" s="1088" t="s">
        <v>289</v>
      </c>
      <c r="LMH55" s="1567" t="s">
        <v>290</v>
      </c>
      <c r="LMI55" s="1567"/>
      <c r="LMJ55" s="1567"/>
      <c r="LMK55" s="1088" t="s">
        <v>289</v>
      </c>
      <c r="LML55" s="1567" t="s">
        <v>290</v>
      </c>
      <c r="LMM55" s="1567"/>
      <c r="LMN55" s="1567"/>
      <c r="LMO55" s="1088" t="s">
        <v>289</v>
      </c>
      <c r="LMP55" s="1567" t="s">
        <v>290</v>
      </c>
      <c r="LMQ55" s="1567"/>
      <c r="LMR55" s="1567"/>
      <c r="LMS55" s="1088" t="s">
        <v>289</v>
      </c>
      <c r="LMT55" s="1567" t="s">
        <v>290</v>
      </c>
      <c r="LMU55" s="1567"/>
      <c r="LMV55" s="1567"/>
      <c r="LMW55" s="1088" t="s">
        <v>289</v>
      </c>
      <c r="LMX55" s="1567" t="s">
        <v>290</v>
      </c>
      <c r="LMY55" s="1567"/>
      <c r="LMZ55" s="1567"/>
      <c r="LNA55" s="1088" t="s">
        <v>289</v>
      </c>
      <c r="LNB55" s="1567" t="s">
        <v>290</v>
      </c>
      <c r="LNC55" s="1567"/>
      <c r="LND55" s="1567"/>
      <c r="LNE55" s="1088" t="s">
        <v>289</v>
      </c>
      <c r="LNF55" s="1567" t="s">
        <v>290</v>
      </c>
      <c r="LNG55" s="1567"/>
      <c r="LNH55" s="1567"/>
      <c r="LNI55" s="1088" t="s">
        <v>289</v>
      </c>
      <c r="LNJ55" s="1567" t="s">
        <v>290</v>
      </c>
      <c r="LNK55" s="1567"/>
      <c r="LNL55" s="1567"/>
      <c r="LNM55" s="1088" t="s">
        <v>289</v>
      </c>
      <c r="LNN55" s="1567" t="s">
        <v>290</v>
      </c>
      <c r="LNO55" s="1567"/>
      <c r="LNP55" s="1567"/>
      <c r="LNQ55" s="1088" t="s">
        <v>289</v>
      </c>
      <c r="LNR55" s="1567" t="s">
        <v>290</v>
      </c>
      <c r="LNS55" s="1567"/>
      <c r="LNT55" s="1567"/>
      <c r="LNU55" s="1088" t="s">
        <v>289</v>
      </c>
      <c r="LNV55" s="1567" t="s">
        <v>290</v>
      </c>
      <c r="LNW55" s="1567"/>
      <c r="LNX55" s="1567"/>
      <c r="LNY55" s="1088" t="s">
        <v>289</v>
      </c>
      <c r="LNZ55" s="1567" t="s">
        <v>290</v>
      </c>
      <c r="LOA55" s="1567"/>
      <c r="LOB55" s="1567"/>
      <c r="LOC55" s="1088" t="s">
        <v>289</v>
      </c>
      <c r="LOD55" s="1567" t="s">
        <v>290</v>
      </c>
      <c r="LOE55" s="1567"/>
      <c r="LOF55" s="1567"/>
      <c r="LOG55" s="1088" t="s">
        <v>289</v>
      </c>
      <c r="LOH55" s="1567" t="s">
        <v>290</v>
      </c>
      <c r="LOI55" s="1567"/>
      <c r="LOJ55" s="1567"/>
      <c r="LOK55" s="1088" t="s">
        <v>289</v>
      </c>
      <c r="LOL55" s="1567" t="s">
        <v>290</v>
      </c>
      <c r="LOM55" s="1567"/>
      <c r="LON55" s="1567"/>
      <c r="LOO55" s="1088" t="s">
        <v>289</v>
      </c>
      <c r="LOP55" s="1567" t="s">
        <v>290</v>
      </c>
      <c r="LOQ55" s="1567"/>
      <c r="LOR55" s="1567"/>
      <c r="LOS55" s="1088" t="s">
        <v>289</v>
      </c>
      <c r="LOT55" s="1567" t="s">
        <v>290</v>
      </c>
      <c r="LOU55" s="1567"/>
      <c r="LOV55" s="1567"/>
      <c r="LOW55" s="1088" t="s">
        <v>289</v>
      </c>
      <c r="LOX55" s="1567" t="s">
        <v>290</v>
      </c>
      <c r="LOY55" s="1567"/>
      <c r="LOZ55" s="1567"/>
      <c r="LPA55" s="1088" t="s">
        <v>289</v>
      </c>
      <c r="LPB55" s="1567" t="s">
        <v>290</v>
      </c>
      <c r="LPC55" s="1567"/>
      <c r="LPD55" s="1567"/>
      <c r="LPE55" s="1088" t="s">
        <v>289</v>
      </c>
      <c r="LPF55" s="1567" t="s">
        <v>290</v>
      </c>
      <c r="LPG55" s="1567"/>
      <c r="LPH55" s="1567"/>
      <c r="LPI55" s="1088" t="s">
        <v>289</v>
      </c>
      <c r="LPJ55" s="1567" t="s">
        <v>290</v>
      </c>
      <c r="LPK55" s="1567"/>
      <c r="LPL55" s="1567"/>
      <c r="LPM55" s="1088" t="s">
        <v>289</v>
      </c>
      <c r="LPN55" s="1567" t="s">
        <v>290</v>
      </c>
      <c r="LPO55" s="1567"/>
      <c r="LPP55" s="1567"/>
      <c r="LPQ55" s="1088" t="s">
        <v>289</v>
      </c>
      <c r="LPR55" s="1567" t="s">
        <v>290</v>
      </c>
      <c r="LPS55" s="1567"/>
      <c r="LPT55" s="1567"/>
      <c r="LPU55" s="1088" t="s">
        <v>289</v>
      </c>
      <c r="LPV55" s="1567" t="s">
        <v>290</v>
      </c>
      <c r="LPW55" s="1567"/>
      <c r="LPX55" s="1567"/>
      <c r="LPY55" s="1088" t="s">
        <v>289</v>
      </c>
      <c r="LPZ55" s="1567" t="s">
        <v>290</v>
      </c>
      <c r="LQA55" s="1567"/>
      <c r="LQB55" s="1567"/>
      <c r="LQC55" s="1088" t="s">
        <v>289</v>
      </c>
      <c r="LQD55" s="1567" t="s">
        <v>290</v>
      </c>
      <c r="LQE55" s="1567"/>
      <c r="LQF55" s="1567"/>
      <c r="LQG55" s="1088" t="s">
        <v>289</v>
      </c>
      <c r="LQH55" s="1567" t="s">
        <v>290</v>
      </c>
      <c r="LQI55" s="1567"/>
      <c r="LQJ55" s="1567"/>
      <c r="LQK55" s="1088" t="s">
        <v>289</v>
      </c>
      <c r="LQL55" s="1567" t="s">
        <v>290</v>
      </c>
      <c r="LQM55" s="1567"/>
      <c r="LQN55" s="1567"/>
      <c r="LQO55" s="1088" t="s">
        <v>289</v>
      </c>
      <c r="LQP55" s="1567" t="s">
        <v>290</v>
      </c>
      <c r="LQQ55" s="1567"/>
      <c r="LQR55" s="1567"/>
      <c r="LQS55" s="1088" t="s">
        <v>289</v>
      </c>
      <c r="LQT55" s="1567" t="s">
        <v>290</v>
      </c>
      <c r="LQU55" s="1567"/>
      <c r="LQV55" s="1567"/>
      <c r="LQW55" s="1088" t="s">
        <v>289</v>
      </c>
      <c r="LQX55" s="1567" t="s">
        <v>290</v>
      </c>
      <c r="LQY55" s="1567"/>
      <c r="LQZ55" s="1567"/>
      <c r="LRA55" s="1088" t="s">
        <v>289</v>
      </c>
      <c r="LRB55" s="1567" t="s">
        <v>290</v>
      </c>
      <c r="LRC55" s="1567"/>
      <c r="LRD55" s="1567"/>
      <c r="LRE55" s="1088" t="s">
        <v>289</v>
      </c>
      <c r="LRF55" s="1567" t="s">
        <v>290</v>
      </c>
      <c r="LRG55" s="1567"/>
      <c r="LRH55" s="1567"/>
      <c r="LRI55" s="1088" t="s">
        <v>289</v>
      </c>
      <c r="LRJ55" s="1567" t="s">
        <v>290</v>
      </c>
      <c r="LRK55" s="1567"/>
      <c r="LRL55" s="1567"/>
      <c r="LRM55" s="1088" t="s">
        <v>289</v>
      </c>
      <c r="LRN55" s="1567" t="s">
        <v>290</v>
      </c>
      <c r="LRO55" s="1567"/>
      <c r="LRP55" s="1567"/>
      <c r="LRQ55" s="1088" t="s">
        <v>289</v>
      </c>
      <c r="LRR55" s="1567" t="s">
        <v>290</v>
      </c>
      <c r="LRS55" s="1567"/>
      <c r="LRT55" s="1567"/>
      <c r="LRU55" s="1088" t="s">
        <v>289</v>
      </c>
      <c r="LRV55" s="1567" t="s">
        <v>290</v>
      </c>
      <c r="LRW55" s="1567"/>
      <c r="LRX55" s="1567"/>
      <c r="LRY55" s="1088" t="s">
        <v>289</v>
      </c>
      <c r="LRZ55" s="1567" t="s">
        <v>290</v>
      </c>
      <c r="LSA55" s="1567"/>
      <c r="LSB55" s="1567"/>
      <c r="LSC55" s="1088" t="s">
        <v>289</v>
      </c>
      <c r="LSD55" s="1567" t="s">
        <v>290</v>
      </c>
      <c r="LSE55" s="1567"/>
      <c r="LSF55" s="1567"/>
      <c r="LSG55" s="1088" t="s">
        <v>289</v>
      </c>
      <c r="LSH55" s="1567" t="s">
        <v>290</v>
      </c>
      <c r="LSI55" s="1567"/>
      <c r="LSJ55" s="1567"/>
      <c r="LSK55" s="1088" t="s">
        <v>289</v>
      </c>
      <c r="LSL55" s="1567" t="s">
        <v>290</v>
      </c>
      <c r="LSM55" s="1567"/>
      <c r="LSN55" s="1567"/>
      <c r="LSO55" s="1088" t="s">
        <v>289</v>
      </c>
      <c r="LSP55" s="1567" t="s">
        <v>290</v>
      </c>
      <c r="LSQ55" s="1567"/>
      <c r="LSR55" s="1567"/>
      <c r="LSS55" s="1088" t="s">
        <v>289</v>
      </c>
      <c r="LST55" s="1567" t="s">
        <v>290</v>
      </c>
      <c r="LSU55" s="1567"/>
      <c r="LSV55" s="1567"/>
      <c r="LSW55" s="1088" t="s">
        <v>289</v>
      </c>
      <c r="LSX55" s="1567" t="s">
        <v>290</v>
      </c>
      <c r="LSY55" s="1567"/>
      <c r="LSZ55" s="1567"/>
      <c r="LTA55" s="1088" t="s">
        <v>289</v>
      </c>
      <c r="LTB55" s="1567" t="s">
        <v>290</v>
      </c>
      <c r="LTC55" s="1567"/>
      <c r="LTD55" s="1567"/>
      <c r="LTE55" s="1088" t="s">
        <v>289</v>
      </c>
      <c r="LTF55" s="1567" t="s">
        <v>290</v>
      </c>
      <c r="LTG55" s="1567"/>
      <c r="LTH55" s="1567"/>
      <c r="LTI55" s="1088" t="s">
        <v>289</v>
      </c>
      <c r="LTJ55" s="1567" t="s">
        <v>290</v>
      </c>
      <c r="LTK55" s="1567"/>
      <c r="LTL55" s="1567"/>
      <c r="LTM55" s="1088" t="s">
        <v>289</v>
      </c>
      <c r="LTN55" s="1567" t="s">
        <v>290</v>
      </c>
      <c r="LTO55" s="1567"/>
      <c r="LTP55" s="1567"/>
      <c r="LTQ55" s="1088" t="s">
        <v>289</v>
      </c>
      <c r="LTR55" s="1567" t="s">
        <v>290</v>
      </c>
      <c r="LTS55" s="1567"/>
      <c r="LTT55" s="1567"/>
      <c r="LTU55" s="1088" t="s">
        <v>289</v>
      </c>
      <c r="LTV55" s="1567" t="s">
        <v>290</v>
      </c>
      <c r="LTW55" s="1567"/>
      <c r="LTX55" s="1567"/>
      <c r="LTY55" s="1088" t="s">
        <v>289</v>
      </c>
      <c r="LTZ55" s="1567" t="s">
        <v>290</v>
      </c>
      <c r="LUA55" s="1567"/>
      <c r="LUB55" s="1567"/>
      <c r="LUC55" s="1088" t="s">
        <v>289</v>
      </c>
      <c r="LUD55" s="1567" t="s">
        <v>290</v>
      </c>
      <c r="LUE55" s="1567"/>
      <c r="LUF55" s="1567"/>
      <c r="LUG55" s="1088" t="s">
        <v>289</v>
      </c>
      <c r="LUH55" s="1567" t="s">
        <v>290</v>
      </c>
      <c r="LUI55" s="1567"/>
      <c r="LUJ55" s="1567"/>
      <c r="LUK55" s="1088" t="s">
        <v>289</v>
      </c>
      <c r="LUL55" s="1567" t="s">
        <v>290</v>
      </c>
      <c r="LUM55" s="1567"/>
      <c r="LUN55" s="1567"/>
      <c r="LUO55" s="1088" t="s">
        <v>289</v>
      </c>
      <c r="LUP55" s="1567" t="s">
        <v>290</v>
      </c>
      <c r="LUQ55" s="1567"/>
      <c r="LUR55" s="1567"/>
      <c r="LUS55" s="1088" t="s">
        <v>289</v>
      </c>
      <c r="LUT55" s="1567" t="s">
        <v>290</v>
      </c>
      <c r="LUU55" s="1567"/>
      <c r="LUV55" s="1567"/>
      <c r="LUW55" s="1088" t="s">
        <v>289</v>
      </c>
      <c r="LUX55" s="1567" t="s">
        <v>290</v>
      </c>
      <c r="LUY55" s="1567"/>
      <c r="LUZ55" s="1567"/>
      <c r="LVA55" s="1088" t="s">
        <v>289</v>
      </c>
      <c r="LVB55" s="1567" t="s">
        <v>290</v>
      </c>
      <c r="LVC55" s="1567"/>
      <c r="LVD55" s="1567"/>
      <c r="LVE55" s="1088" t="s">
        <v>289</v>
      </c>
      <c r="LVF55" s="1567" t="s">
        <v>290</v>
      </c>
      <c r="LVG55" s="1567"/>
      <c r="LVH55" s="1567"/>
      <c r="LVI55" s="1088" t="s">
        <v>289</v>
      </c>
      <c r="LVJ55" s="1567" t="s">
        <v>290</v>
      </c>
      <c r="LVK55" s="1567"/>
      <c r="LVL55" s="1567"/>
      <c r="LVM55" s="1088" t="s">
        <v>289</v>
      </c>
      <c r="LVN55" s="1567" t="s">
        <v>290</v>
      </c>
      <c r="LVO55" s="1567"/>
      <c r="LVP55" s="1567"/>
      <c r="LVQ55" s="1088" t="s">
        <v>289</v>
      </c>
      <c r="LVR55" s="1567" t="s">
        <v>290</v>
      </c>
      <c r="LVS55" s="1567"/>
      <c r="LVT55" s="1567"/>
      <c r="LVU55" s="1088" t="s">
        <v>289</v>
      </c>
      <c r="LVV55" s="1567" t="s">
        <v>290</v>
      </c>
      <c r="LVW55" s="1567"/>
      <c r="LVX55" s="1567"/>
      <c r="LVY55" s="1088" t="s">
        <v>289</v>
      </c>
      <c r="LVZ55" s="1567" t="s">
        <v>290</v>
      </c>
      <c r="LWA55" s="1567"/>
      <c r="LWB55" s="1567"/>
      <c r="LWC55" s="1088" t="s">
        <v>289</v>
      </c>
      <c r="LWD55" s="1567" t="s">
        <v>290</v>
      </c>
      <c r="LWE55" s="1567"/>
      <c r="LWF55" s="1567"/>
      <c r="LWG55" s="1088" t="s">
        <v>289</v>
      </c>
      <c r="LWH55" s="1567" t="s">
        <v>290</v>
      </c>
      <c r="LWI55" s="1567"/>
      <c r="LWJ55" s="1567"/>
      <c r="LWK55" s="1088" t="s">
        <v>289</v>
      </c>
      <c r="LWL55" s="1567" t="s">
        <v>290</v>
      </c>
      <c r="LWM55" s="1567"/>
      <c r="LWN55" s="1567"/>
      <c r="LWO55" s="1088" t="s">
        <v>289</v>
      </c>
      <c r="LWP55" s="1567" t="s">
        <v>290</v>
      </c>
      <c r="LWQ55" s="1567"/>
      <c r="LWR55" s="1567"/>
      <c r="LWS55" s="1088" t="s">
        <v>289</v>
      </c>
      <c r="LWT55" s="1567" t="s">
        <v>290</v>
      </c>
      <c r="LWU55" s="1567"/>
      <c r="LWV55" s="1567"/>
      <c r="LWW55" s="1088" t="s">
        <v>289</v>
      </c>
      <c r="LWX55" s="1567" t="s">
        <v>290</v>
      </c>
      <c r="LWY55" s="1567"/>
      <c r="LWZ55" s="1567"/>
      <c r="LXA55" s="1088" t="s">
        <v>289</v>
      </c>
      <c r="LXB55" s="1567" t="s">
        <v>290</v>
      </c>
      <c r="LXC55" s="1567"/>
      <c r="LXD55" s="1567"/>
      <c r="LXE55" s="1088" t="s">
        <v>289</v>
      </c>
      <c r="LXF55" s="1567" t="s">
        <v>290</v>
      </c>
      <c r="LXG55" s="1567"/>
      <c r="LXH55" s="1567"/>
      <c r="LXI55" s="1088" t="s">
        <v>289</v>
      </c>
      <c r="LXJ55" s="1567" t="s">
        <v>290</v>
      </c>
      <c r="LXK55" s="1567"/>
      <c r="LXL55" s="1567"/>
      <c r="LXM55" s="1088" t="s">
        <v>289</v>
      </c>
      <c r="LXN55" s="1567" t="s">
        <v>290</v>
      </c>
      <c r="LXO55" s="1567"/>
      <c r="LXP55" s="1567"/>
      <c r="LXQ55" s="1088" t="s">
        <v>289</v>
      </c>
      <c r="LXR55" s="1567" t="s">
        <v>290</v>
      </c>
      <c r="LXS55" s="1567"/>
      <c r="LXT55" s="1567"/>
      <c r="LXU55" s="1088" t="s">
        <v>289</v>
      </c>
      <c r="LXV55" s="1567" t="s">
        <v>290</v>
      </c>
      <c r="LXW55" s="1567"/>
      <c r="LXX55" s="1567"/>
      <c r="LXY55" s="1088" t="s">
        <v>289</v>
      </c>
      <c r="LXZ55" s="1567" t="s">
        <v>290</v>
      </c>
      <c r="LYA55" s="1567"/>
      <c r="LYB55" s="1567"/>
      <c r="LYC55" s="1088" t="s">
        <v>289</v>
      </c>
      <c r="LYD55" s="1567" t="s">
        <v>290</v>
      </c>
      <c r="LYE55" s="1567"/>
      <c r="LYF55" s="1567"/>
      <c r="LYG55" s="1088" t="s">
        <v>289</v>
      </c>
      <c r="LYH55" s="1567" t="s">
        <v>290</v>
      </c>
      <c r="LYI55" s="1567"/>
      <c r="LYJ55" s="1567"/>
      <c r="LYK55" s="1088" t="s">
        <v>289</v>
      </c>
      <c r="LYL55" s="1567" t="s">
        <v>290</v>
      </c>
      <c r="LYM55" s="1567"/>
      <c r="LYN55" s="1567"/>
      <c r="LYO55" s="1088" t="s">
        <v>289</v>
      </c>
      <c r="LYP55" s="1567" t="s">
        <v>290</v>
      </c>
      <c r="LYQ55" s="1567"/>
      <c r="LYR55" s="1567"/>
      <c r="LYS55" s="1088" t="s">
        <v>289</v>
      </c>
      <c r="LYT55" s="1567" t="s">
        <v>290</v>
      </c>
      <c r="LYU55" s="1567"/>
      <c r="LYV55" s="1567"/>
      <c r="LYW55" s="1088" t="s">
        <v>289</v>
      </c>
      <c r="LYX55" s="1567" t="s">
        <v>290</v>
      </c>
      <c r="LYY55" s="1567"/>
      <c r="LYZ55" s="1567"/>
      <c r="LZA55" s="1088" t="s">
        <v>289</v>
      </c>
      <c r="LZB55" s="1567" t="s">
        <v>290</v>
      </c>
      <c r="LZC55" s="1567"/>
      <c r="LZD55" s="1567"/>
      <c r="LZE55" s="1088" t="s">
        <v>289</v>
      </c>
      <c r="LZF55" s="1567" t="s">
        <v>290</v>
      </c>
      <c r="LZG55" s="1567"/>
      <c r="LZH55" s="1567"/>
      <c r="LZI55" s="1088" t="s">
        <v>289</v>
      </c>
      <c r="LZJ55" s="1567" t="s">
        <v>290</v>
      </c>
      <c r="LZK55" s="1567"/>
      <c r="LZL55" s="1567"/>
      <c r="LZM55" s="1088" t="s">
        <v>289</v>
      </c>
      <c r="LZN55" s="1567" t="s">
        <v>290</v>
      </c>
      <c r="LZO55" s="1567"/>
      <c r="LZP55" s="1567"/>
      <c r="LZQ55" s="1088" t="s">
        <v>289</v>
      </c>
      <c r="LZR55" s="1567" t="s">
        <v>290</v>
      </c>
      <c r="LZS55" s="1567"/>
      <c r="LZT55" s="1567"/>
      <c r="LZU55" s="1088" t="s">
        <v>289</v>
      </c>
      <c r="LZV55" s="1567" t="s">
        <v>290</v>
      </c>
      <c r="LZW55" s="1567"/>
      <c r="LZX55" s="1567"/>
      <c r="LZY55" s="1088" t="s">
        <v>289</v>
      </c>
      <c r="LZZ55" s="1567" t="s">
        <v>290</v>
      </c>
      <c r="MAA55" s="1567"/>
      <c r="MAB55" s="1567"/>
      <c r="MAC55" s="1088" t="s">
        <v>289</v>
      </c>
      <c r="MAD55" s="1567" t="s">
        <v>290</v>
      </c>
      <c r="MAE55" s="1567"/>
      <c r="MAF55" s="1567"/>
      <c r="MAG55" s="1088" t="s">
        <v>289</v>
      </c>
      <c r="MAH55" s="1567" t="s">
        <v>290</v>
      </c>
      <c r="MAI55" s="1567"/>
      <c r="MAJ55" s="1567"/>
      <c r="MAK55" s="1088" t="s">
        <v>289</v>
      </c>
      <c r="MAL55" s="1567" t="s">
        <v>290</v>
      </c>
      <c r="MAM55" s="1567"/>
      <c r="MAN55" s="1567"/>
      <c r="MAO55" s="1088" t="s">
        <v>289</v>
      </c>
      <c r="MAP55" s="1567" t="s">
        <v>290</v>
      </c>
      <c r="MAQ55" s="1567"/>
      <c r="MAR55" s="1567"/>
      <c r="MAS55" s="1088" t="s">
        <v>289</v>
      </c>
      <c r="MAT55" s="1567" t="s">
        <v>290</v>
      </c>
      <c r="MAU55" s="1567"/>
      <c r="MAV55" s="1567"/>
      <c r="MAW55" s="1088" t="s">
        <v>289</v>
      </c>
      <c r="MAX55" s="1567" t="s">
        <v>290</v>
      </c>
      <c r="MAY55" s="1567"/>
      <c r="MAZ55" s="1567"/>
      <c r="MBA55" s="1088" t="s">
        <v>289</v>
      </c>
      <c r="MBB55" s="1567" t="s">
        <v>290</v>
      </c>
      <c r="MBC55" s="1567"/>
      <c r="MBD55" s="1567"/>
      <c r="MBE55" s="1088" t="s">
        <v>289</v>
      </c>
      <c r="MBF55" s="1567" t="s">
        <v>290</v>
      </c>
      <c r="MBG55" s="1567"/>
      <c r="MBH55" s="1567"/>
      <c r="MBI55" s="1088" t="s">
        <v>289</v>
      </c>
      <c r="MBJ55" s="1567" t="s">
        <v>290</v>
      </c>
      <c r="MBK55" s="1567"/>
      <c r="MBL55" s="1567"/>
      <c r="MBM55" s="1088" t="s">
        <v>289</v>
      </c>
      <c r="MBN55" s="1567" t="s">
        <v>290</v>
      </c>
      <c r="MBO55" s="1567"/>
      <c r="MBP55" s="1567"/>
      <c r="MBQ55" s="1088" t="s">
        <v>289</v>
      </c>
      <c r="MBR55" s="1567" t="s">
        <v>290</v>
      </c>
      <c r="MBS55" s="1567"/>
      <c r="MBT55" s="1567"/>
      <c r="MBU55" s="1088" t="s">
        <v>289</v>
      </c>
      <c r="MBV55" s="1567" t="s">
        <v>290</v>
      </c>
      <c r="MBW55" s="1567"/>
      <c r="MBX55" s="1567"/>
      <c r="MBY55" s="1088" t="s">
        <v>289</v>
      </c>
      <c r="MBZ55" s="1567" t="s">
        <v>290</v>
      </c>
      <c r="MCA55" s="1567"/>
      <c r="MCB55" s="1567"/>
      <c r="MCC55" s="1088" t="s">
        <v>289</v>
      </c>
      <c r="MCD55" s="1567" t="s">
        <v>290</v>
      </c>
      <c r="MCE55" s="1567"/>
      <c r="MCF55" s="1567"/>
      <c r="MCG55" s="1088" t="s">
        <v>289</v>
      </c>
      <c r="MCH55" s="1567" t="s">
        <v>290</v>
      </c>
      <c r="MCI55" s="1567"/>
      <c r="MCJ55" s="1567"/>
      <c r="MCK55" s="1088" t="s">
        <v>289</v>
      </c>
      <c r="MCL55" s="1567" t="s">
        <v>290</v>
      </c>
      <c r="MCM55" s="1567"/>
      <c r="MCN55" s="1567"/>
      <c r="MCO55" s="1088" t="s">
        <v>289</v>
      </c>
      <c r="MCP55" s="1567" t="s">
        <v>290</v>
      </c>
      <c r="MCQ55" s="1567"/>
      <c r="MCR55" s="1567"/>
      <c r="MCS55" s="1088" t="s">
        <v>289</v>
      </c>
      <c r="MCT55" s="1567" t="s">
        <v>290</v>
      </c>
      <c r="MCU55" s="1567"/>
      <c r="MCV55" s="1567"/>
      <c r="MCW55" s="1088" t="s">
        <v>289</v>
      </c>
      <c r="MCX55" s="1567" t="s">
        <v>290</v>
      </c>
      <c r="MCY55" s="1567"/>
      <c r="MCZ55" s="1567"/>
      <c r="MDA55" s="1088" t="s">
        <v>289</v>
      </c>
      <c r="MDB55" s="1567" t="s">
        <v>290</v>
      </c>
      <c r="MDC55" s="1567"/>
      <c r="MDD55" s="1567"/>
      <c r="MDE55" s="1088" t="s">
        <v>289</v>
      </c>
      <c r="MDF55" s="1567" t="s">
        <v>290</v>
      </c>
      <c r="MDG55" s="1567"/>
      <c r="MDH55" s="1567"/>
      <c r="MDI55" s="1088" t="s">
        <v>289</v>
      </c>
      <c r="MDJ55" s="1567" t="s">
        <v>290</v>
      </c>
      <c r="MDK55" s="1567"/>
      <c r="MDL55" s="1567"/>
      <c r="MDM55" s="1088" t="s">
        <v>289</v>
      </c>
      <c r="MDN55" s="1567" t="s">
        <v>290</v>
      </c>
      <c r="MDO55" s="1567"/>
      <c r="MDP55" s="1567"/>
      <c r="MDQ55" s="1088" t="s">
        <v>289</v>
      </c>
      <c r="MDR55" s="1567" t="s">
        <v>290</v>
      </c>
      <c r="MDS55" s="1567"/>
      <c r="MDT55" s="1567"/>
      <c r="MDU55" s="1088" t="s">
        <v>289</v>
      </c>
      <c r="MDV55" s="1567" t="s">
        <v>290</v>
      </c>
      <c r="MDW55" s="1567"/>
      <c r="MDX55" s="1567"/>
      <c r="MDY55" s="1088" t="s">
        <v>289</v>
      </c>
      <c r="MDZ55" s="1567" t="s">
        <v>290</v>
      </c>
      <c r="MEA55" s="1567"/>
      <c r="MEB55" s="1567"/>
      <c r="MEC55" s="1088" t="s">
        <v>289</v>
      </c>
      <c r="MED55" s="1567" t="s">
        <v>290</v>
      </c>
      <c r="MEE55" s="1567"/>
      <c r="MEF55" s="1567"/>
      <c r="MEG55" s="1088" t="s">
        <v>289</v>
      </c>
      <c r="MEH55" s="1567" t="s">
        <v>290</v>
      </c>
      <c r="MEI55" s="1567"/>
      <c r="MEJ55" s="1567"/>
      <c r="MEK55" s="1088" t="s">
        <v>289</v>
      </c>
      <c r="MEL55" s="1567" t="s">
        <v>290</v>
      </c>
      <c r="MEM55" s="1567"/>
      <c r="MEN55" s="1567"/>
      <c r="MEO55" s="1088" t="s">
        <v>289</v>
      </c>
      <c r="MEP55" s="1567" t="s">
        <v>290</v>
      </c>
      <c r="MEQ55" s="1567"/>
      <c r="MER55" s="1567"/>
      <c r="MES55" s="1088" t="s">
        <v>289</v>
      </c>
      <c r="MET55" s="1567" t="s">
        <v>290</v>
      </c>
      <c r="MEU55" s="1567"/>
      <c r="MEV55" s="1567"/>
      <c r="MEW55" s="1088" t="s">
        <v>289</v>
      </c>
      <c r="MEX55" s="1567" t="s">
        <v>290</v>
      </c>
      <c r="MEY55" s="1567"/>
      <c r="MEZ55" s="1567"/>
      <c r="MFA55" s="1088" t="s">
        <v>289</v>
      </c>
      <c r="MFB55" s="1567" t="s">
        <v>290</v>
      </c>
      <c r="MFC55" s="1567"/>
      <c r="MFD55" s="1567"/>
      <c r="MFE55" s="1088" t="s">
        <v>289</v>
      </c>
      <c r="MFF55" s="1567" t="s">
        <v>290</v>
      </c>
      <c r="MFG55" s="1567"/>
      <c r="MFH55" s="1567"/>
      <c r="MFI55" s="1088" t="s">
        <v>289</v>
      </c>
      <c r="MFJ55" s="1567" t="s">
        <v>290</v>
      </c>
      <c r="MFK55" s="1567"/>
      <c r="MFL55" s="1567"/>
      <c r="MFM55" s="1088" t="s">
        <v>289</v>
      </c>
      <c r="MFN55" s="1567" t="s">
        <v>290</v>
      </c>
      <c r="MFO55" s="1567"/>
      <c r="MFP55" s="1567"/>
      <c r="MFQ55" s="1088" t="s">
        <v>289</v>
      </c>
      <c r="MFR55" s="1567" t="s">
        <v>290</v>
      </c>
      <c r="MFS55" s="1567"/>
      <c r="MFT55" s="1567"/>
      <c r="MFU55" s="1088" t="s">
        <v>289</v>
      </c>
      <c r="MFV55" s="1567" t="s">
        <v>290</v>
      </c>
      <c r="MFW55" s="1567"/>
      <c r="MFX55" s="1567"/>
      <c r="MFY55" s="1088" t="s">
        <v>289</v>
      </c>
      <c r="MFZ55" s="1567" t="s">
        <v>290</v>
      </c>
      <c r="MGA55" s="1567"/>
      <c r="MGB55" s="1567"/>
      <c r="MGC55" s="1088" t="s">
        <v>289</v>
      </c>
      <c r="MGD55" s="1567" t="s">
        <v>290</v>
      </c>
      <c r="MGE55" s="1567"/>
      <c r="MGF55" s="1567"/>
      <c r="MGG55" s="1088" t="s">
        <v>289</v>
      </c>
      <c r="MGH55" s="1567" t="s">
        <v>290</v>
      </c>
      <c r="MGI55" s="1567"/>
      <c r="MGJ55" s="1567"/>
      <c r="MGK55" s="1088" t="s">
        <v>289</v>
      </c>
      <c r="MGL55" s="1567" t="s">
        <v>290</v>
      </c>
      <c r="MGM55" s="1567"/>
      <c r="MGN55" s="1567"/>
      <c r="MGO55" s="1088" t="s">
        <v>289</v>
      </c>
      <c r="MGP55" s="1567" t="s">
        <v>290</v>
      </c>
      <c r="MGQ55" s="1567"/>
      <c r="MGR55" s="1567"/>
      <c r="MGS55" s="1088" t="s">
        <v>289</v>
      </c>
      <c r="MGT55" s="1567" t="s">
        <v>290</v>
      </c>
      <c r="MGU55" s="1567"/>
      <c r="MGV55" s="1567"/>
      <c r="MGW55" s="1088" t="s">
        <v>289</v>
      </c>
      <c r="MGX55" s="1567" t="s">
        <v>290</v>
      </c>
      <c r="MGY55" s="1567"/>
      <c r="MGZ55" s="1567"/>
      <c r="MHA55" s="1088" t="s">
        <v>289</v>
      </c>
      <c r="MHB55" s="1567" t="s">
        <v>290</v>
      </c>
      <c r="MHC55" s="1567"/>
      <c r="MHD55" s="1567"/>
      <c r="MHE55" s="1088" t="s">
        <v>289</v>
      </c>
      <c r="MHF55" s="1567" t="s">
        <v>290</v>
      </c>
      <c r="MHG55" s="1567"/>
      <c r="MHH55" s="1567"/>
      <c r="MHI55" s="1088" t="s">
        <v>289</v>
      </c>
      <c r="MHJ55" s="1567" t="s">
        <v>290</v>
      </c>
      <c r="MHK55" s="1567"/>
      <c r="MHL55" s="1567"/>
      <c r="MHM55" s="1088" t="s">
        <v>289</v>
      </c>
      <c r="MHN55" s="1567" t="s">
        <v>290</v>
      </c>
      <c r="MHO55" s="1567"/>
      <c r="MHP55" s="1567"/>
      <c r="MHQ55" s="1088" t="s">
        <v>289</v>
      </c>
      <c r="MHR55" s="1567" t="s">
        <v>290</v>
      </c>
      <c r="MHS55" s="1567"/>
      <c r="MHT55" s="1567"/>
      <c r="MHU55" s="1088" t="s">
        <v>289</v>
      </c>
      <c r="MHV55" s="1567" t="s">
        <v>290</v>
      </c>
      <c r="MHW55" s="1567"/>
      <c r="MHX55" s="1567"/>
      <c r="MHY55" s="1088" t="s">
        <v>289</v>
      </c>
      <c r="MHZ55" s="1567" t="s">
        <v>290</v>
      </c>
      <c r="MIA55" s="1567"/>
      <c r="MIB55" s="1567"/>
      <c r="MIC55" s="1088" t="s">
        <v>289</v>
      </c>
      <c r="MID55" s="1567" t="s">
        <v>290</v>
      </c>
      <c r="MIE55" s="1567"/>
      <c r="MIF55" s="1567"/>
      <c r="MIG55" s="1088" t="s">
        <v>289</v>
      </c>
      <c r="MIH55" s="1567" t="s">
        <v>290</v>
      </c>
      <c r="MII55" s="1567"/>
      <c r="MIJ55" s="1567"/>
      <c r="MIK55" s="1088" t="s">
        <v>289</v>
      </c>
      <c r="MIL55" s="1567" t="s">
        <v>290</v>
      </c>
      <c r="MIM55" s="1567"/>
      <c r="MIN55" s="1567"/>
      <c r="MIO55" s="1088" t="s">
        <v>289</v>
      </c>
      <c r="MIP55" s="1567" t="s">
        <v>290</v>
      </c>
      <c r="MIQ55" s="1567"/>
      <c r="MIR55" s="1567"/>
      <c r="MIS55" s="1088" t="s">
        <v>289</v>
      </c>
      <c r="MIT55" s="1567" t="s">
        <v>290</v>
      </c>
      <c r="MIU55" s="1567"/>
      <c r="MIV55" s="1567"/>
      <c r="MIW55" s="1088" t="s">
        <v>289</v>
      </c>
      <c r="MIX55" s="1567" t="s">
        <v>290</v>
      </c>
      <c r="MIY55" s="1567"/>
      <c r="MIZ55" s="1567"/>
      <c r="MJA55" s="1088" t="s">
        <v>289</v>
      </c>
      <c r="MJB55" s="1567" t="s">
        <v>290</v>
      </c>
      <c r="MJC55" s="1567"/>
      <c r="MJD55" s="1567"/>
      <c r="MJE55" s="1088" t="s">
        <v>289</v>
      </c>
      <c r="MJF55" s="1567" t="s">
        <v>290</v>
      </c>
      <c r="MJG55" s="1567"/>
      <c r="MJH55" s="1567"/>
      <c r="MJI55" s="1088" t="s">
        <v>289</v>
      </c>
      <c r="MJJ55" s="1567" t="s">
        <v>290</v>
      </c>
      <c r="MJK55" s="1567"/>
      <c r="MJL55" s="1567"/>
      <c r="MJM55" s="1088" t="s">
        <v>289</v>
      </c>
      <c r="MJN55" s="1567" t="s">
        <v>290</v>
      </c>
      <c r="MJO55" s="1567"/>
      <c r="MJP55" s="1567"/>
      <c r="MJQ55" s="1088" t="s">
        <v>289</v>
      </c>
      <c r="MJR55" s="1567" t="s">
        <v>290</v>
      </c>
      <c r="MJS55" s="1567"/>
      <c r="MJT55" s="1567"/>
      <c r="MJU55" s="1088" t="s">
        <v>289</v>
      </c>
      <c r="MJV55" s="1567" t="s">
        <v>290</v>
      </c>
      <c r="MJW55" s="1567"/>
      <c r="MJX55" s="1567"/>
      <c r="MJY55" s="1088" t="s">
        <v>289</v>
      </c>
      <c r="MJZ55" s="1567" t="s">
        <v>290</v>
      </c>
      <c r="MKA55" s="1567"/>
      <c r="MKB55" s="1567"/>
      <c r="MKC55" s="1088" t="s">
        <v>289</v>
      </c>
      <c r="MKD55" s="1567" t="s">
        <v>290</v>
      </c>
      <c r="MKE55" s="1567"/>
      <c r="MKF55" s="1567"/>
      <c r="MKG55" s="1088" t="s">
        <v>289</v>
      </c>
      <c r="MKH55" s="1567" t="s">
        <v>290</v>
      </c>
      <c r="MKI55" s="1567"/>
      <c r="MKJ55" s="1567"/>
      <c r="MKK55" s="1088" t="s">
        <v>289</v>
      </c>
      <c r="MKL55" s="1567" t="s">
        <v>290</v>
      </c>
      <c r="MKM55" s="1567"/>
      <c r="MKN55" s="1567"/>
      <c r="MKO55" s="1088" t="s">
        <v>289</v>
      </c>
      <c r="MKP55" s="1567" t="s">
        <v>290</v>
      </c>
      <c r="MKQ55" s="1567"/>
      <c r="MKR55" s="1567"/>
      <c r="MKS55" s="1088" t="s">
        <v>289</v>
      </c>
      <c r="MKT55" s="1567" t="s">
        <v>290</v>
      </c>
      <c r="MKU55" s="1567"/>
      <c r="MKV55" s="1567"/>
      <c r="MKW55" s="1088" t="s">
        <v>289</v>
      </c>
      <c r="MKX55" s="1567" t="s">
        <v>290</v>
      </c>
      <c r="MKY55" s="1567"/>
      <c r="MKZ55" s="1567"/>
      <c r="MLA55" s="1088" t="s">
        <v>289</v>
      </c>
      <c r="MLB55" s="1567" t="s">
        <v>290</v>
      </c>
      <c r="MLC55" s="1567"/>
      <c r="MLD55" s="1567"/>
      <c r="MLE55" s="1088" t="s">
        <v>289</v>
      </c>
      <c r="MLF55" s="1567" t="s">
        <v>290</v>
      </c>
      <c r="MLG55" s="1567"/>
      <c r="MLH55" s="1567"/>
      <c r="MLI55" s="1088" t="s">
        <v>289</v>
      </c>
      <c r="MLJ55" s="1567" t="s">
        <v>290</v>
      </c>
      <c r="MLK55" s="1567"/>
      <c r="MLL55" s="1567"/>
      <c r="MLM55" s="1088" t="s">
        <v>289</v>
      </c>
      <c r="MLN55" s="1567" t="s">
        <v>290</v>
      </c>
      <c r="MLO55" s="1567"/>
      <c r="MLP55" s="1567"/>
      <c r="MLQ55" s="1088" t="s">
        <v>289</v>
      </c>
      <c r="MLR55" s="1567" t="s">
        <v>290</v>
      </c>
      <c r="MLS55" s="1567"/>
      <c r="MLT55" s="1567"/>
      <c r="MLU55" s="1088" t="s">
        <v>289</v>
      </c>
      <c r="MLV55" s="1567" t="s">
        <v>290</v>
      </c>
      <c r="MLW55" s="1567"/>
      <c r="MLX55" s="1567"/>
      <c r="MLY55" s="1088" t="s">
        <v>289</v>
      </c>
      <c r="MLZ55" s="1567" t="s">
        <v>290</v>
      </c>
      <c r="MMA55" s="1567"/>
      <c r="MMB55" s="1567"/>
      <c r="MMC55" s="1088" t="s">
        <v>289</v>
      </c>
      <c r="MMD55" s="1567" t="s">
        <v>290</v>
      </c>
      <c r="MME55" s="1567"/>
      <c r="MMF55" s="1567"/>
      <c r="MMG55" s="1088" t="s">
        <v>289</v>
      </c>
      <c r="MMH55" s="1567" t="s">
        <v>290</v>
      </c>
      <c r="MMI55" s="1567"/>
      <c r="MMJ55" s="1567"/>
      <c r="MMK55" s="1088" t="s">
        <v>289</v>
      </c>
      <c r="MML55" s="1567" t="s">
        <v>290</v>
      </c>
      <c r="MMM55" s="1567"/>
      <c r="MMN55" s="1567"/>
      <c r="MMO55" s="1088" t="s">
        <v>289</v>
      </c>
      <c r="MMP55" s="1567" t="s">
        <v>290</v>
      </c>
      <c r="MMQ55" s="1567"/>
      <c r="MMR55" s="1567"/>
      <c r="MMS55" s="1088" t="s">
        <v>289</v>
      </c>
      <c r="MMT55" s="1567" t="s">
        <v>290</v>
      </c>
      <c r="MMU55" s="1567"/>
      <c r="MMV55" s="1567"/>
      <c r="MMW55" s="1088" t="s">
        <v>289</v>
      </c>
      <c r="MMX55" s="1567" t="s">
        <v>290</v>
      </c>
      <c r="MMY55" s="1567"/>
      <c r="MMZ55" s="1567"/>
      <c r="MNA55" s="1088" t="s">
        <v>289</v>
      </c>
      <c r="MNB55" s="1567" t="s">
        <v>290</v>
      </c>
      <c r="MNC55" s="1567"/>
      <c r="MND55" s="1567"/>
      <c r="MNE55" s="1088" t="s">
        <v>289</v>
      </c>
      <c r="MNF55" s="1567" t="s">
        <v>290</v>
      </c>
      <c r="MNG55" s="1567"/>
      <c r="MNH55" s="1567"/>
      <c r="MNI55" s="1088" t="s">
        <v>289</v>
      </c>
      <c r="MNJ55" s="1567" t="s">
        <v>290</v>
      </c>
      <c r="MNK55" s="1567"/>
      <c r="MNL55" s="1567"/>
      <c r="MNM55" s="1088" t="s">
        <v>289</v>
      </c>
      <c r="MNN55" s="1567" t="s">
        <v>290</v>
      </c>
      <c r="MNO55" s="1567"/>
      <c r="MNP55" s="1567"/>
      <c r="MNQ55" s="1088" t="s">
        <v>289</v>
      </c>
      <c r="MNR55" s="1567" t="s">
        <v>290</v>
      </c>
      <c r="MNS55" s="1567"/>
      <c r="MNT55" s="1567"/>
      <c r="MNU55" s="1088" t="s">
        <v>289</v>
      </c>
      <c r="MNV55" s="1567" t="s">
        <v>290</v>
      </c>
      <c r="MNW55" s="1567"/>
      <c r="MNX55" s="1567"/>
      <c r="MNY55" s="1088" t="s">
        <v>289</v>
      </c>
      <c r="MNZ55" s="1567" t="s">
        <v>290</v>
      </c>
      <c r="MOA55" s="1567"/>
      <c r="MOB55" s="1567"/>
      <c r="MOC55" s="1088" t="s">
        <v>289</v>
      </c>
      <c r="MOD55" s="1567" t="s">
        <v>290</v>
      </c>
      <c r="MOE55" s="1567"/>
      <c r="MOF55" s="1567"/>
      <c r="MOG55" s="1088" t="s">
        <v>289</v>
      </c>
      <c r="MOH55" s="1567" t="s">
        <v>290</v>
      </c>
      <c r="MOI55" s="1567"/>
      <c r="MOJ55" s="1567"/>
      <c r="MOK55" s="1088" t="s">
        <v>289</v>
      </c>
      <c r="MOL55" s="1567" t="s">
        <v>290</v>
      </c>
      <c r="MOM55" s="1567"/>
      <c r="MON55" s="1567"/>
      <c r="MOO55" s="1088" t="s">
        <v>289</v>
      </c>
      <c r="MOP55" s="1567" t="s">
        <v>290</v>
      </c>
      <c r="MOQ55" s="1567"/>
      <c r="MOR55" s="1567"/>
      <c r="MOS55" s="1088" t="s">
        <v>289</v>
      </c>
      <c r="MOT55" s="1567" t="s">
        <v>290</v>
      </c>
      <c r="MOU55" s="1567"/>
      <c r="MOV55" s="1567"/>
      <c r="MOW55" s="1088" t="s">
        <v>289</v>
      </c>
      <c r="MOX55" s="1567" t="s">
        <v>290</v>
      </c>
      <c r="MOY55" s="1567"/>
      <c r="MOZ55" s="1567"/>
      <c r="MPA55" s="1088" t="s">
        <v>289</v>
      </c>
      <c r="MPB55" s="1567" t="s">
        <v>290</v>
      </c>
      <c r="MPC55" s="1567"/>
      <c r="MPD55" s="1567"/>
      <c r="MPE55" s="1088" t="s">
        <v>289</v>
      </c>
      <c r="MPF55" s="1567" t="s">
        <v>290</v>
      </c>
      <c r="MPG55" s="1567"/>
      <c r="MPH55" s="1567"/>
      <c r="MPI55" s="1088" t="s">
        <v>289</v>
      </c>
      <c r="MPJ55" s="1567" t="s">
        <v>290</v>
      </c>
      <c r="MPK55" s="1567"/>
      <c r="MPL55" s="1567"/>
      <c r="MPM55" s="1088" t="s">
        <v>289</v>
      </c>
      <c r="MPN55" s="1567" t="s">
        <v>290</v>
      </c>
      <c r="MPO55" s="1567"/>
      <c r="MPP55" s="1567"/>
      <c r="MPQ55" s="1088" t="s">
        <v>289</v>
      </c>
      <c r="MPR55" s="1567" t="s">
        <v>290</v>
      </c>
      <c r="MPS55" s="1567"/>
      <c r="MPT55" s="1567"/>
      <c r="MPU55" s="1088" t="s">
        <v>289</v>
      </c>
      <c r="MPV55" s="1567" t="s">
        <v>290</v>
      </c>
      <c r="MPW55" s="1567"/>
      <c r="MPX55" s="1567"/>
      <c r="MPY55" s="1088" t="s">
        <v>289</v>
      </c>
      <c r="MPZ55" s="1567" t="s">
        <v>290</v>
      </c>
      <c r="MQA55" s="1567"/>
      <c r="MQB55" s="1567"/>
      <c r="MQC55" s="1088" t="s">
        <v>289</v>
      </c>
      <c r="MQD55" s="1567" t="s">
        <v>290</v>
      </c>
      <c r="MQE55" s="1567"/>
      <c r="MQF55" s="1567"/>
      <c r="MQG55" s="1088" t="s">
        <v>289</v>
      </c>
      <c r="MQH55" s="1567" t="s">
        <v>290</v>
      </c>
      <c r="MQI55" s="1567"/>
      <c r="MQJ55" s="1567"/>
      <c r="MQK55" s="1088" t="s">
        <v>289</v>
      </c>
      <c r="MQL55" s="1567" t="s">
        <v>290</v>
      </c>
      <c r="MQM55" s="1567"/>
      <c r="MQN55" s="1567"/>
      <c r="MQO55" s="1088" t="s">
        <v>289</v>
      </c>
      <c r="MQP55" s="1567" t="s">
        <v>290</v>
      </c>
      <c r="MQQ55" s="1567"/>
      <c r="MQR55" s="1567"/>
      <c r="MQS55" s="1088" t="s">
        <v>289</v>
      </c>
      <c r="MQT55" s="1567" t="s">
        <v>290</v>
      </c>
      <c r="MQU55" s="1567"/>
      <c r="MQV55" s="1567"/>
      <c r="MQW55" s="1088" t="s">
        <v>289</v>
      </c>
      <c r="MQX55" s="1567" t="s">
        <v>290</v>
      </c>
      <c r="MQY55" s="1567"/>
      <c r="MQZ55" s="1567"/>
      <c r="MRA55" s="1088" t="s">
        <v>289</v>
      </c>
      <c r="MRB55" s="1567" t="s">
        <v>290</v>
      </c>
      <c r="MRC55" s="1567"/>
      <c r="MRD55" s="1567"/>
      <c r="MRE55" s="1088" t="s">
        <v>289</v>
      </c>
      <c r="MRF55" s="1567" t="s">
        <v>290</v>
      </c>
      <c r="MRG55" s="1567"/>
      <c r="MRH55" s="1567"/>
      <c r="MRI55" s="1088" t="s">
        <v>289</v>
      </c>
      <c r="MRJ55" s="1567" t="s">
        <v>290</v>
      </c>
      <c r="MRK55" s="1567"/>
      <c r="MRL55" s="1567"/>
      <c r="MRM55" s="1088" t="s">
        <v>289</v>
      </c>
      <c r="MRN55" s="1567" t="s">
        <v>290</v>
      </c>
      <c r="MRO55" s="1567"/>
      <c r="MRP55" s="1567"/>
      <c r="MRQ55" s="1088" t="s">
        <v>289</v>
      </c>
      <c r="MRR55" s="1567" t="s">
        <v>290</v>
      </c>
      <c r="MRS55" s="1567"/>
      <c r="MRT55" s="1567"/>
      <c r="MRU55" s="1088" t="s">
        <v>289</v>
      </c>
      <c r="MRV55" s="1567" t="s">
        <v>290</v>
      </c>
      <c r="MRW55" s="1567"/>
      <c r="MRX55" s="1567"/>
      <c r="MRY55" s="1088" t="s">
        <v>289</v>
      </c>
      <c r="MRZ55" s="1567" t="s">
        <v>290</v>
      </c>
      <c r="MSA55" s="1567"/>
      <c r="MSB55" s="1567"/>
      <c r="MSC55" s="1088" t="s">
        <v>289</v>
      </c>
      <c r="MSD55" s="1567" t="s">
        <v>290</v>
      </c>
      <c r="MSE55" s="1567"/>
      <c r="MSF55" s="1567"/>
      <c r="MSG55" s="1088" t="s">
        <v>289</v>
      </c>
      <c r="MSH55" s="1567" t="s">
        <v>290</v>
      </c>
      <c r="MSI55" s="1567"/>
      <c r="MSJ55" s="1567"/>
      <c r="MSK55" s="1088" t="s">
        <v>289</v>
      </c>
      <c r="MSL55" s="1567" t="s">
        <v>290</v>
      </c>
      <c r="MSM55" s="1567"/>
      <c r="MSN55" s="1567"/>
      <c r="MSO55" s="1088" t="s">
        <v>289</v>
      </c>
      <c r="MSP55" s="1567" t="s">
        <v>290</v>
      </c>
      <c r="MSQ55" s="1567"/>
      <c r="MSR55" s="1567"/>
      <c r="MSS55" s="1088" t="s">
        <v>289</v>
      </c>
      <c r="MST55" s="1567" t="s">
        <v>290</v>
      </c>
      <c r="MSU55" s="1567"/>
      <c r="MSV55" s="1567"/>
      <c r="MSW55" s="1088" t="s">
        <v>289</v>
      </c>
      <c r="MSX55" s="1567" t="s">
        <v>290</v>
      </c>
      <c r="MSY55" s="1567"/>
      <c r="MSZ55" s="1567"/>
      <c r="MTA55" s="1088" t="s">
        <v>289</v>
      </c>
      <c r="MTB55" s="1567" t="s">
        <v>290</v>
      </c>
      <c r="MTC55" s="1567"/>
      <c r="MTD55" s="1567"/>
      <c r="MTE55" s="1088" t="s">
        <v>289</v>
      </c>
      <c r="MTF55" s="1567" t="s">
        <v>290</v>
      </c>
      <c r="MTG55" s="1567"/>
      <c r="MTH55" s="1567"/>
      <c r="MTI55" s="1088" t="s">
        <v>289</v>
      </c>
      <c r="MTJ55" s="1567" t="s">
        <v>290</v>
      </c>
      <c r="MTK55" s="1567"/>
      <c r="MTL55" s="1567"/>
      <c r="MTM55" s="1088" t="s">
        <v>289</v>
      </c>
      <c r="MTN55" s="1567" t="s">
        <v>290</v>
      </c>
      <c r="MTO55" s="1567"/>
      <c r="MTP55" s="1567"/>
      <c r="MTQ55" s="1088" t="s">
        <v>289</v>
      </c>
      <c r="MTR55" s="1567" t="s">
        <v>290</v>
      </c>
      <c r="MTS55" s="1567"/>
      <c r="MTT55" s="1567"/>
      <c r="MTU55" s="1088" t="s">
        <v>289</v>
      </c>
      <c r="MTV55" s="1567" t="s">
        <v>290</v>
      </c>
      <c r="MTW55" s="1567"/>
      <c r="MTX55" s="1567"/>
      <c r="MTY55" s="1088" t="s">
        <v>289</v>
      </c>
      <c r="MTZ55" s="1567" t="s">
        <v>290</v>
      </c>
      <c r="MUA55" s="1567"/>
      <c r="MUB55" s="1567"/>
      <c r="MUC55" s="1088" t="s">
        <v>289</v>
      </c>
      <c r="MUD55" s="1567" t="s">
        <v>290</v>
      </c>
      <c r="MUE55" s="1567"/>
      <c r="MUF55" s="1567"/>
      <c r="MUG55" s="1088" t="s">
        <v>289</v>
      </c>
      <c r="MUH55" s="1567" t="s">
        <v>290</v>
      </c>
      <c r="MUI55" s="1567"/>
      <c r="MUJ55" s="1567"/>
      <c r="MUK55" s="1088" t="s">
        <v>289</v>
      </c>
      <c r="MUL55" s="1567" t="s">
        <v>290</v>
      </c>
      <c r="MUM55" s="1567"/>
      <c r="MUN55" s="1567"/>
      <c r="MUO55" s="1088" t="s">
        <v>289</v>
      </c>
      <c r="MUP55" s="1567" t="s">
        <v>290</v>
      </c>
      <c r="MUQ55" s="1567"/>
      <c r="MUR55" s="1567"/>
      <c r="MUS55" s="1088" t="s">
        <v>289</v>
      </c>
      <c r="MUT55" s="1567" t="s">
        <v>290</v>
      </c>
      <c r="MUU55" s="1567"/>
      <c r="MUV55" s="1567"/>
      <c r="MUW55" s="1088" t="s">
        <v>289</v>
      </c>
      <c r="MUX55" s="1567" t="s">
        <v>290</v>
      </c>
      <c r="MUY55" s="1567"/>
      <c r="MUZ55" s="1567"/>
      <c r="MVA55" s="1088" t="s">
        <v>289</v>
      </c>
      <c r="MVB55" s="1567" t="s">
        <v>290</v>
      </c>
      <c r="MVC55" s="1567"/>
      <c r="MVD55" s="1567"/>
      <c r="MVE55" s="1088" t="s">
        <v>289</v>
      </c>
      <c r="MVF55" s="1567" t="s">
        <v>290</v>
      </c>
      <c r="MVG55" s="1567"/>
      <c r="MVH55" s="1567"/>
      <c r="MVI55" s="1088" t="s">
        <v>289</v>
      </c>
      <c r="MVJ55" s="1567" t="s">
        <v>290</v>
      </c>
      <c r="MVK55" s="1567"/>
      <c r="MVL55" s="1567"/>
      <c r="MVM55" s="1088" t="s">
        <v>289</v>
      </c>
      <c r="MVN55" s="1567" t="s">
        <v>290</v>
      </c>
      <c r="MVO55" s="1567"/>
      <c r="MVP55" s="1567"/>
      <c r="MVQ55" s="1088" t="s">
        <v>289</v>
      </c>
      <c r="MVR55" s="1567" t="s">
        <v>290</v>
      </c>
      <c r="MVS55" s="1567"/>
      <c r="MVT55" s="1567"/>
      <c r="MVU55" s="1088" t="s">
        <v>289</v>
      </c>
      <c r="MVV55" s="1567" t="s">
        <v>290</v>
      </c>
      <c r="MVW55" s="1567"/>
      <c r="MVX55" s="1567"/>
      <c r="MVY55" s="1088" t="s">
        <v>289</v>
      </c>
      <c r="MVZ55" s="1567" t="s">
        <v>290</v>
      </c>
      <c r="MWA55" s="1567"/>
      <c r="MWB55" s="1567"/>
      <c r="MWC55" s="1088" t="s">
        <v>289</v>
      </c>
      <c r="MWD55" s="1567" t="s">
        <v>290</v>
      </c>
      <c r="MWE55" s="1567"/>
      <c r="MWF55" s="1567"/>
      <c r="MWG55" s="1088" t="s">
        <v>289</v>
      </c>
      <c r="MWH55" s="1567" t="s">
        <v>290</v>
      </c>
      <c r="MWI55" s="1567"/>
      <c r="MWJ55" s="1567"/>
      <c r="MWK55" s="1088" t="s">
        <v>289</v>
      </c>
      <c r="MWL55" s="1567" t="s">
        <v>290</v>
      </c>
      <c r="MWM55" s="1567"/>
      <c r="MWN55" s="1567"/>
      <c r="MWO55" s="1088" t="s">
        <v>289</v>
      </c>
      <c r="MWP55" s="1567" t="s">
        <v>290</v>
      </c>
      <c r="MWQ55" s="1567"/>
      <c r="MWR55" s="1567"/>
      <c r="MWS55" s="1088" t="s">
        <v>289</v>
      </c>
      <c r="MWT55" s="1567" t="s">
        <v>290</v>
      </c>
      <c r="MWU55" s="1567"/>
      <c r="MWV55" s="1567"/>
      <c r="MWW55" s="1088" t="s">
        <v>289</v>
      </c>
      <c r="MWX55" s="1567" t="s">
        <v>290</v>
      </c>
      <c r="MWY55" s="1567"/>
      <c r="MWZ55" s="1567"/>
      <c r="MXA55" s="1088" t="s">
        <v>289</v>
      </c>
      <c r="MXB55" s="1567" t="s">
        <v>290</v>
      </c>
      <c r="MXC55" s="1567"/>
      <c r="MXD55" s="1567"/>
      <c r="MXE55" s="1088" t="s">
        <v>289</v>
      </c>
      <c r="MXF55" s="1567" t="s">
        <v>290</v>
      </c>
      <c r="MXG55" s="1567"/>
      <c r="MXH55" s="1567"/>
      <c r="MXI55" s="1088" t="s">
        <v>289</v>
      </c>
      <c r="MXJ55" s="1567" t="s">
        <v>290</v>
      </c>
      <c r="MXK55" s="1567"/>
      <c r="MXL55" s="1567"/>
      <c r="MXM55" s="1088" t="s">
        <v>289</v>
      </c>
      <c r="MXN55" s="1567" t="s">
        <v>290</v>
      </c>
      <c r="MXO55" s="1567"/>
      <c r="MXP55" s="1567"/>
      <c r="MXQ55" s="1088" t="s">
        <v>289</v>
      </c>
      <c r="MXR55" s="1567" t="s">
        <v>290</v>
      </c>
      <c r="MXS55" s="1567"/>
      <c r="MXT55" s="1567"/>
      <c r="MXU55" s="1088" t="s">
        <v>289</v>
      </c>
      <c r="MXV55" s="1567" t="s">
        <v>290</v>
      </c>
      <c r="MXW55" s="1567"/>
      <c r="MXX55" s="1567"/>
      <c r="MXY55" s="1088" t="s">
        <v>289</v>
      </c>
      <c r="MXZ55" s="1567" t="s">
        <v>290</v>
      </c>
      <c r="MYA55" s="1567"/>
      <c r="MYB55" s="1567"/>
      <c r="MYC55" s="1088" t="s">
        <v>289</v>
      </c>
      <c r="MYD55" s="1567" t="s">
        <v>290</v>
      </c>
      <c r="MYE55" s="1567"/>
      <c r="MYF55" s="1567"/>
      <c r="MYG55" s="1088" t="s">
        <v>289</v>
      </c>
      <c r="MYH55" s="1567" t="s">
        <v>290</v>
      </c>
      <c r="MYI55" s="1567"/>
      <c r="MYJ55" s="1567"/>
      <c r="MYK55" s="1088" t="s">
        <v>289</v>
      </c>
      <c r="MYL55" s="1567" t="s">
        <v>290</v>
      </c>
      <c r="MYM55" s="1567"/>
      <c r="MYN55" s="1567"/>
      <c r="MYO55" s="1088" t="s">
        <v>289</v>
      </c>
      <c r="MYP55" s="1567" t="s">
        <v>290</v>
      </c>
      <c r="MYQ55" s="1567"/>
      <c r="MYR55" s="1567"/>
      <c r="MYS55" s="1088" t="s">
        <v>289</v>
      </c>
      <c r="MYT55" s="1567" t="s">
        <v>290</v>
      </c>
      <c r="MYU55" s="1567"/>
      <c r="MYV55" s="1567"/>
      <c r="MYW55" s="1088" t="s">
        <v>289</v>
      </c>
      <c r="MYX55" s="1567" t="s">
        <v>290</v>
      </c>
      <c r="MYY55" s="1567"/>
      <c r="MYZ55" s="1567"/>
      <c r="MZA55" s="1088" t="s">
        <v>289</v>
      </c>
      <c r="MZB55" s="1567" t="s">
        <v>290</v>
      </c>
      <c r="MZC55" s="1567"/>
      <c r="MZD55" s="1567"/>
      <c r="MZE55" s="1088" t="s">
        <v>289</v>
      </c>
      <c r="MZF55" s="1567" t="s">
        <v>290</v>
      </c>
      <c r="MZG55" s="1567"/>
      <c r="MZH55" s="1567"/>
      <c r="MZI55" s="1088" t="s">
        <v>289</v>
      </c>
      <c r="MZJ55" s="1567" t="s">
        <v>290</v>
      </c>
      <c r="MZK55" s="1567"/>
      <c r="MZL55" s="1567"/>
      <c r="MZM55" s="1088" t="s">
        <v>289</v>
      </c>
      <c r="MZN55" s="1567" t="s">
        <v>290</v>
      </c>
      <c r="MZO55" s="1567"/>
      <c r="MZP55" s="1567"/>
      <c r="MZQ55" s="1088" t="s">
        <v>289</v>
      </c>
      <c r="MZR55" s="1567" t="s">
        <v>290</v>
      </c>
      <c r="MZS55" s="1567"/>
      <c r="MZT55" s="1567"/>
      <c r="MZU55" s="1088" t="s">
        <v>289</v>
      </c>
      <c r="MZV55" s="1567" t="s">
        <v>290</v>
      </c>
      <c r="MZW55" s="1567"/>
      <c r="MZX55" s="1567"/>
      <c r="MZY55" s="1088" t="s">
        <v>289</v>
      </c>
      <c r="MZZ55" s="1567" t="s">
        <v>290</v>
      </c>
      <c r="NAA55" s="1567"/>
      <c r="NAB55" s="1567"/>
      <c r="NAC55" s="1088" t="s">
        <v>289</v>
      </c>
      <c r="NAD55" s="1567" t="s">
        <v>290</v>
      </c>
      <c r="NAE55" s="1567"/>
      <c r="NAF55" s="1567"/>
      <c r="NAG55" s="1088" t="s">
        <v>289</v>
      </c>
      <c r="NAH55" s="1567" t="s">
        <v>290</v>
      </c>
      <c r="NAI55" s="1567"/>
      <c r="NAJ55" s="1567"/>
      <c r="NAK55" s="1088" t="s">
        <v>289</v>
      </c>
      <c r="NAL55" s="1567" t="s">
        <v>290</v>
      </c>
      <c r="NAM55" s="1567"/>
      <c r="NAN55" s="1567"/>
      <c r="NAO55" s="1088" t="s">
        <v>289</v>
      </c>
      <c r="NAP55" s="1567" t="s">
        <v>290</v>
      </c>
      <c r="NAQ55" s="1567"/>
      <c r="NAR55" s="1567"/>
      <c r="NAS55" s="1088" t="s">
        <v>289</v>
      </c>
      <c r="NAT55" s="1567" t="s">
        <v>290</v>
      </c>
      <c r="NAU55" s="1567"/>
      <c r="NAV55" s="1567"/>
      <c r="NAW55" s="1088" t="s">
        <v>289</v>
      </c>
      <c r="NAX55" s="1567" t="s">
        <v>290</v>
      </c>
      <c r="NAY55" s="1567"/>
      <c r="NAZ55" s="1567"/>
      <c r="NBA55" s="1088" t="s">
        <v>289</v>
      </c>
      <c r="NBB55" s="1567" t="s">
        <v>290</v>
      </c>
      <c r="NBC55" s="1567"/>
      <c r="NBD55" s="1567"/>
      <c r="NBE55" s="1088" t="s">
        <v>289</v>
      </c>
      <c r="NBF55" s="1567" t="s">
        <v>290</v>
      </c>
      <c r="NBG55" s="1567"/>
      <c r="NBH55" s="1567"/>
      <c r="NBI55" s="1088" t="s">
        <v>289</v>
      </c>
      <c r="NBJ55" s="1567" t="s">
        <v>290</v>
      </c>
      <c r="NBK55" s="1567"/>
      <c r="NBL55" s="1567"/>
      <c r="NBM55" s="1088" t="s">
        <v>289</v>
      </c>
      <c r="NBN55" s="1567" t="s">
        <v>290</v>
      </c>
      <c r="NBO55" s="1567"/>
      <c r="NBP55" s="1567"/>
      <c r="NBQ55" s="1088" t="s">
        <v>289</v>
      </c>
      <c r="NBR55" s="1567" t="s">
        <v>290</v>
      </c>
      <c r="NBS55" s="1567"/>
      <c r="NBT55" s="1567"/>
      <c r="NBU55" s="1088" t="s">
        <v>289</v>
      </c>
      <c r="NBV55" s="1567" t="s">
        <v>290</v>
      </c>
      <c r="NBW55" s="1567"/>
      <c r="NBX55" s="1567"/>
      <c r="NBY55" s="1088" t="s">
        <v>289</v>
      </c>
      <c r="NBZ55" s="1567" t="s">
        <v>290</v>
      </c>
      <c r="NCA55" s="1567"/>
      <c r="NCB55" s="1567"/>
      <c r="NCC55" s="1088" t="s">
        <v>289</v>
      </c>
      <c r="NCD55" s="1567" t="s">
        <v>290</v>
      </c>
      <c r="NCE55" s="1567"/>
      <c r="NCF55" s="1567"/>
      <c r="NCG55" s="1088" t="s">
        <v>289</v>
      </c>
      <c r="NCH55" s="1567" t="s">
        <v>290</v>
      </c>
      <c r="NCI55" s="1567"/>
      <c r="NCJ55" s="1567"/>
      <c r="NCK55" s="1088" t="s">
        <v>289</v>
      </c>
      <c r="NCL55" s="1567" t="s">
        <v>290</v>
      </c>
      <c r="NCM55" s="1567"/>
      <c r="NCN55" s="1567"/>
      <c r="NCO55" s="1088" t="s">
        <v>289</v>
      </c>
      <c r="NCP55" s="1567" t="s">
        <v>290</v>
      </c>
      <c r="NCQ55" s="1567"/>
      <c r="NCR55" s="1567"/>
      <c r="NCS55" s="1088" t="s">
        <v>289</v>
      </c>
      <c r="NCT55" s="1567" t="s">
        <v>290</v>
      </c>
      <c r="NCU55" s="1567"/>
      <c r="NCV55" s="1567"/>
      <c r="NCW55" s="1088" t="s">
        <v>289</v>
      </c>
      <c r="NCX55" s="1567" t="s">
        <v>290</v>
      </c>
      <c r="NCY55" s="1567"/>
      <c r="NCZ55" s="1567"/>
      <c r="NDA55" s="1088" t="s">
        <v>289</v>
      </c>
      <c r="NDB55" s="1567" t="s">
        <v>290</v>
      </c>
      <c r="NDC55" s="1567"/>
      <c r="NDD55" s="1567"/>
      <c r="NDE55" s="1088" t="s">
        <v>289</v>
      </c>
      <c r="NDF55" s="1567" t="s">
        <v>290</v>
      </c>
      <c r="NDG55" s="1567"/>
      <c r="NDH55" s="1567"/>
      <c r="NDI55" s="1088" t="s">
        <v>289</v>
      </c>
      <c r="NDJ55" s="1567" t="s">
        <v>290</v>
      </c>
      <c r="NDK55" s="1567"/>
      <c r="NDL55" s="1567"/>
      <c r="NDM55" s="1088" t="s">
        <v>289</v>
      </c>
      <c r="NDN55" s="1567" t="s">
        <v>290</v>
      </c>
      <c r="NDO55" s="1567"/>
      <c r="NDP55" s="1567"/>
      <c r="NDQ55" s="1088" t="s">
        <v>289</v>
      </c>
      <c r="NDR55" s="1567" t="s">
        <v>290</v>
      </c>
      <c r="NDS55" s="1567"/>
      <c r="NDT55" s="1567"/>
      <c r="NDU55" s="1088" t="s">
        <v>289</v>
      </c>
      <c r="NDV55" s="1567" t="s">
        <v>290</v>
      </c>
      <c r="NDW55" s="1567"/>
      <c r="NDX55" s="1567"/>
      <c r="NDY55" s="1088" t="s">
        <v>289</v>
      </c>
      <c r="NDZ55" s="1567" t="s">
        <v>290</v>
      </c>
      <c r="NEA55" s="1567"/>
      <c r="NEB55" s="1567"/>
      <c r="NEC55" s="1088" t="s">
        <v>289</v>
      </c>
      <c r="NED55" s="1567" t="s">
        <v>290</v>
      </c>
      <c r="NEE55" s="1567"/>
      <c r="NEF55" s="1567"/>
      <c r="NEG55" s="1088" t="s">
        <v>289</v>
      </c>
      <c r="NEH55" s="1567" t="s">
        <v>290</v>
      </c>
      <c r="NEI55" s="1567"/>
      <c r="NEJ55" s="1567"/>
      <c r="NEK55" s="1088" t="s">
        <v>289</v>
      </c>
      <c r="NEL55" s="1567" t="s">
        <v>290</v>
      </c>
      <c r="NEM55" s="1567"/>
      <c r="NEN55" s="1567"/>
      <c r="NEO55" s="1088" t="s">
        <v>289</v>
      </c>
      <c r="NEP55" s="1567" t="s">
        <v>290</v>
      </c>
      <c r="NEQ55" s="1567"/>
      <c r="NER55" s="1567"/>
      <c r="NES55" s="1088" t="s">
        <v>289</v>
      </c>
      <c r="NET55" s="1567" t="s">
        <v>290</v>
      </c>
      <c r="NEU55" s="1567"/>
      <c r="NEV55" s="1567"/>
      <c r="NEW55" s="1088" t="s">
        <v>289</v>
      </c>
      <c r="NEX55" s="1567" t="s">
        <v>290</v>
      </c>
      <c r="NEY55" s="1567"/>
      <c r="NEZ55" s="1567"/>
      <c r="NFA55" s="1088" t="s">
        <v>289</v>
      </c>
      <c r="NFB55" s="1567" t="s">
        <v>290</v>
      </c>
      <c r="NFC55" s="1567"/>
      <c r="NFD55" s="1567"/>
      <c r="NFE55" s="1088" t="s">
        <v>289</v>
      </c>
      <c r="NFF55" s="1567" t="s">
        <v>290</v>
      </c>
      <c r="NFG55" s="1567"/>
      <c r="NFH55" s="1567"/>
      <c r="NFI55" s="1088" t="s">
        <v>289</v>
      </c>
      <c r="NFJ55" s="1567" t="s">
        <v>290</v>
      </c>
      <c r="NFK55" s="1567"/>
      <c r="NFL55" s="1567"/>
      <c r="NFM55" s="1088" t="s">
        <v>289</v>
      </c>
      <c r="NFN55" s="1567" t="s">
        <v>290</v>
      </c>
      <c r="NFO55" s="1567"/>
      <c r="NFP55" s="1567"/>
      <c r="NFQ55" s="1088" t="s">
        <v>289</v>
      </c>
      <c r="NFR55" s="1567" t="s">
        <v>290</v>
      </c>
      <c r="NFS55" s="1567"/>
      <c r="NFT55" s="1567"/>
      <c r="NFU55" s="1088" t="s">
        <v>289</v>
      </c>
      <c r="NFV55" s="1567" t="s">
        <v>290</v>
      </c>
      <c r="NFW55" s="1567"/>
      <c r="NFX55" s="1567"/>
      <c r="NFY55" s="1088" t="s">
        <v>289</v>
      </c>
      <c r="NFZ55" s="1567" t="s">
        <v>290</v>
      </c>
      <c r="NGA55" s="1567"/>
      <c r="NGB55" s="1567"/>
      <c r="NGC55" s="1088" t="s">
        <v>289</v>
      </c>
      <c r="NGD55" s="1567" t="s">
        <v>290</v>
      </c>
      <c r="NGE55" s="1567"/>
      <c r="NGF55" s="1567"/>
      <c r="NGG55" s="1088" t="s">
        <v>289</v>
      </c>
      <c r="NGH55" s="1567" t="s">
        <v>290</v>
      </c>
      <c r="NGI55" s="1567"/>
      <c r="NGJ55" s="1567"/>
      <c r="NGK55" s="1088" t="s">
        <v>289</v>
      </c>
      <c r="NGL55" s="1567" t="s">
        <v>290</v>
      </c>
      <c r="NGM55" s="1567"/>
      <c r="NGN55" s="1567"/>
      <c r="NGO55" s="1088" t="s">
        <v>289</v>
      </c>
      <c r="NGP55" s="1567" t="s">
        <v>290</v>
      </c>
      <c r="NGQ55" s="1567"/>
      <c r="NGR55" s="1567"/>
      <c r="NGS55" s="1088" t="s">
        <v>289</v>
      </c>
      <c r="NGT55" s="1567" t="s">
        <v>290</v>
      </c>
      <c r="NGU55" s="1567"/>
      <c r="NGV55" s="1567"/>
      <c r="NGW55" s="1088" t="s">
        <v>289</v>
      </c>
      <c r="NGX55" s="1567" t="s">
        <v>290</v>
      </c>
      <c r="NGY55" s="1567"/>
      <c r="NGZ55" s="1567"/>
      <c r="NHA55" s="1088" t="s">
        <v>289</v>
      </c>
      <c r="NHB55" s="1567" t="s">
        <v>290</v>
      </c>
      <c r="NHC55" s="1567"/>
      <c r="NHD55" s="1567"/>
      <c r="NHE55" s="1088" t="s">
        <v>289</v>
      </c>
      <c r="NHF55" s="1567" t="s">
        <v>290</v>
      </c>
      <c r="NHG55" s="1567"/>
      <c r="NHH55" s="1567"/>
      <c r="NHI55" s="1088" t="s">
        <v>289</v>
      </c>
      <c r="NHJ55" s="1567" t="s">
        <v>290</v>
      </c>
      <c r="NHK55" s="1567"/>
      <c r="NHL55" s="1567"/>
      <c r="NHM55" s="1088" t="s">
        <v>289</v>
      </c>
      <c r="NHN55" s="1567" t="s">
        <v>290</v>
      </c>
      <c r="NHO55" s="1567"/>
      <c r="NHP55" s="1567"/>
      <c r="NHQ55" s="1088" t="s">
        <v>289</v>
      </c>
      <c r="NHR55" s="1567" t="s">
        <v>290</v>
      </c>
      <c r="NHS55" s="1567"/>
      <c r="NHT55" s="1567"/>
      <c r="NHU55" s="1088" t="s">
        <v>289</v>
      </c>
      <c r="NHV55" s="1567" t="s">
        <v>290</v>
      </c>
      <c r="NHW55" s="1567"/>
      <c r="NHX55" s="1567"/>
      <c r="NHY55" s="1088" t="s">
        <v>289</v>
      </c>
      <c r="NHZ55" s="1567" t="s">
        <v>290</v>
      </c>
      <c r="NIA55" s="1567"/>
      <c r="NIB55" s="1567"/>
      <c r="NIC55" s="1088" t="s">
        <v>289</v>
      </c>
      <c r="NID55" s="1567" t="s">
        <v>290</v>
      </c>
      <c r="NIE55" s="1567"/>
      <c r="NIF55" s="1567"/>
      <c r="NIG55" s="1088" t="s">
        <v>289</v>
      </c>
      <c r="NIH55" s="1567" t="s">
        <v>290</v>
      </c>
      <c r="NII55" s="1567"/>
      <c r="NIJ55" s="1567"/>
      <c r="NIK55" s="1088" t="s">
        <v>289</v>
      </c>
      <c r="NIL55" s="1567" t="s">
        <v>290</v>
      </c>
      <c r="NIM55" s="1567"/>
      <c r="NIN55" s="1567"/>
      <c r="NIO55" s="1088" t="s">
        <v>289</v>
      </c>
      <c r="NIP55" s="1567" t="s">
        <v>290</v>
      </c>
      <c r="NIQ55" s="1567"/>
      <c r="NIR55" s="1567"/>
      <c r="NIS55" s="1088" t="s">
        <v>289</v>
      </c>
      <c r="NIT55" s="1567" t="s">
        <v>290</v>
      </c>
      <c r="NIU55" s="1567"/>
      <c r="NIV55" s="1567"/>
      <c r="NIW55" s="1088" t="s">
        <v>289</v>
      </c>
      <c r="NIX55" s="1567" t="s">
        <v>290</v>
      </c>
      <c r="NIY55" s="1567"/>
      <c r="NIZ55" s="1567"/>
      <c r="NJA55" s="1088" t="s">
        <v>289</v>
      </c>
      <c r="NJB55" s="1567" t="s">
        <v>290</v>
      </c>
      <c r="NJC55" s="1567"/>
      <c r="NJD55" s="1567"/>
      <c r="NJE55" s="1088" t="s">
        <v>289</v>
      </c>
      <c r="NJF55" s="1567" t="s">
        <v>290</v>
      </c>
      <c r="NJG55" s="1567"/>
      <c r="NJH55" s="1567"/>
      <c r="NJI55" s="1088" t="s">
        <v>289</v>
      </c>
      <c r="NJJ55" s="1567" t="s">
        <v>290</v>
      </c>
      <c r="NJK55" s="1567"/>
      <c r="NJL55" s="1567"/>
      <c r="NJM55" s="1088" t="s">
        <v>289</v>
      </c>
      <c r="NJN55" s="1567" t="s">
        <v>290</v>
      </c>
      <c r="NJO55" s="1567"/>
      <c r="NJP55" s="1567"/>
      <c r="NJQ55" s="1088" t="s">
        <v>289</v>
      </c>
      <c r="NJR55" s="1567" t="s">
        <v>290</v>
      </c>
      <c r="NJS55" s="1567"/>
      <c r="NJT55" s="1567"/>
      <c r="NJU55" s="1088" t="s">
        <v>289</v>
      </c>
      <c r="NJV55" s="1567" t="s">
        <v>290</v>
      </c>
      <c r="NJW55" s="1567"/>
      <c r="NJX55" s="1567"/>
      <c r="NJY55" s="1088" t="s">
        <v>289</v>
      </c>
      <c r="NJZ55" s="1567" t="s">
        <v>290</v>
      </c>
      <c r="NKA55" s="1567"/>
      <c r="NKB55" s="1567"/>
      <c r="NKC55" s="1088" t="s">
        <v>289</v>
      </c>
      <c r="NKD55" s="1567" t="s">
        <v>290</v>
      </c>
      <c r="NKE55" s="1567"/>
      <c r="NKF55" s="1567"/>
      <c r="NKG55" s="1088" t="s">
        <v>289</v>
      </c>
      <c r="NKH55" s="1567" t="s">
        <v>290</v>
      </c>
      <c r="NKI55" s="1567"/>
      <c r="NKJ55" s="1567"/>
      <c r="NKK55" s="1088" t="s">
        <v>289</v>
      </c>
      <c r="NKL55" s="1567" t="s">
        <v>290</v>
      </c>
      <c r="NKM55" s="1567"/>
      <c r="NKN55" s="1567"/>
      <c r="NKO55" s="1088" t="s">
        <v>289</v>
      </c>
      <c r="NKP55" s="1567" t="s">
        <v>290</v>
      </c>
      <c r="NKQ55" s="1567"/>
      <c r="NKR55" s="1567"/>
      <c r="NKS55" s="1088" t="s">
        <v>289</v>
      </c>
      <c r="NKT55" s="1567" t="s">
        <v>290</v>
      </c>
      <c r="NKU55" s="1567"/>
      <c r="NKV55" s="1567"/>
      <c r="NKW55" s="1088" t="s">
        <v>289</v>
      </c>
      <c r="NKX55" s="1567" t="s">
        <v>290</v>
      </c>
      <c r="NKY55" s="1567"/>
      <c r="NKZ55" s="1567"/>
      <c r="NLA55" s="1088" t="s">
        <v>289</v>
      </c>
      <c r="NLB55" s="1567" t="s">
        <v>290</v>
      </c>
      <c r="NLC55" s="1567"/>
      <c r="NLD55" s="1567"/>
      <c r="NLE55" s="1088" t="s">
        <v>289</v>
      </c>
      <c r="NLF55" s="1567" t="s">
        <v>290</v>
      </c>
      <c r="NLG55" s="1567"/>
      <c r="NLH55" s="1567"/>
      <c r="NLI55" s="1088" t="s">
        <v>289</v>
      </c>
      <c r="NLJ55" s="1567" t="s">
        <v>290</v>
      </c>
      <c r="NLK55" s="1567"/>
      <c r="NLL55" s="1567"/>
      <c r="NLM55" s="1088" t="s">
        <v>289</v>
      </c>
      <c r="NLN55" s="1567" t="s">
        <v>290</v>
      </c>
      <c r="NLO55" s="1567"/>
      <c r="NLP55" s="1567"/>
      <c r="NLQ55" s="1088" t="s">
        <v>289</v>
      </c>
      <c r="NLR55" s="1567" t="s">
        <v>290</v>
      </c>
      <c r="NLS55" s="1567"/>
      <c r="NLT55" s="1567"/>
      <c r="NLU55" s="1088" t="s">
        <v>289</v>
      </c>
      <c r="NLV55" s="1567" t="s">
        <v>290</v>
      </c>
      <c r="NLW55" s="1567"/>
      <c r="NLX55" s="1567"/>
      <c r="NLY55" s="1088" t="s">
        <v>289</v>
      </c>
      <c r="NLZ55" s="1567" t="s">
        <v>290</v>
      </c>
      <c r="NMA55" s="1567"/>
      <c r="NMB55" s="1567"/>
      <c r="NMC55" s="1088" t="s">
        <v>289</v>
      </c>
      <c r="NMD55" s="1567" t="s">
        <v>290</v>
      </c>
      <c r="NME55" s="1567"/>
      <c r="NMF55" s="1567"/>
      <c r="NMG55" s="1088" t="s">
        <v>289</v>
      </c>
      <c r="NMH55" s="1567" t="s">
        <v>290</v>
      </c>
      <c r="NMI55" s="1567"/>
      <c r="NMJ55" s="1567"/>
      <c r="NMK55" s="1088" t="s">
        <v>289</v>
      </c>
      <c r="NML55" s="1567" t="s">
        <v>290</v>
      </c>
      <c r="NMM55" s="1567"/>
      <c r="NMN55" s="1567"/>
      <c r="NMO55" s="1088" t="s">
        <v>289</v>
      </c>
      <c r="NMP55" s="1567" t="s">
        <v>290</v>
      </c>
      <c r="NMQ55" s="1567"/>
      <c r="NMR55" s="1567"/>
      <c r="NMS55" s="1088" t="s">
        <v>289</v>
      </c>
      <c r="NMT55" s="1567" t="s">
        <v>290</v>
      </c>
      <c r="NMU55" s="1567"/>
      <c r="NMV55" s="1567"/>
      <c r="NMW55" s="1088" t="s">
        <v>289</v>
      </c>
      <c r="NMX55" s="1567" t="s">
        <v>290</v>
      </c>
      <c r="NMY55" s="1567"/>
      <c r="NMZ55" s="1567"/>
      <c r="NNA55" s="1088" t="s">
        <v>289</v>
      </c>
      <c r="NNB55" s="1567" t="s">
        <v>290</v>
      </c>
      <c r="NNC55" s="1567"/>
      <c r="NND55" s="1567"/>
      <c r="NNE55" s="1088" t="s">
        <v>289</v>
      </c>
      <c r="NNF55" s="1567" t="s">
        <v>290</v>
      </c>
      <c r="NNG55" s="1567"/>
      <c r="NNH55" s="1567"/>
      <c r="NNI55" s="1088" t="s">
        <v>289</v>
      </c>
      <c r="NNJ55" s="1567" t="s">
        <v>290</v>
      </c>
      <c r="NNK55" s="1567"/>
      <c r="NNL55" s="1567"/>
      <c r="NNM55" s="1088" t="s">
        <v>289</v>
      </c>
      <c r="NNN55" s="1567" t="s">
        <v>290</v>
      </c>
      <c r="NNO55" s="1567"/>
      <c r="NNP55" s="1567"/>
      <c r="NNQ55" s="1088" t="s">
        <v>289</v>
      </c>
      <c r="NNR55" s="1567" t="s">
        <v>290</v>
      </c>
      <c r="NNS55" s="1567"/>
      <c r="NNT55" s="1567"/>
      <c r="NNU55" s="1088" t="s">
        <v>289</v>
      </c>
      <c r="NNV55" s="1567" t="s">
        <v>290</v>
      </c>
      <c r="NNW55" s="1567"/>
      <c r="NNX55" s="1567"/>
      <c r="NNY55" s="1088" t="s">
        <v>289</v>
      </c>
      <c r="NNZ55" s="1567" t="s">
        <v>290</v>
      </c>
      <c r="NOA55" s="1567"/>
      <c r="NOB55" s="1567"/>
      <c r="NOC55" s="1088" t="s">
        <v>289</v>
      </c>
      <c r="NOD55" s="1567" t="s">
        <v>290</v>
      </c>
      <c r="NOE55" s="1567"/>
      <c r="NOF55" s="1567"/>
      <c r="NOG55" s="1088" t="s">
        <v>289</v>
      </c>
      <c r="NOH55" s="1567" t="s">
        <v>290</v>
      </c>
      <c r="NOI55" s="1567"/>
      <c r="NOJ55" s="1567"/>
      <c r="NOK55" s="1088" t="s">
        <v>289</v>
      </c>
      <c r="NOL55" s="1567" t="s">
        <v>290</v>
      </c>
      <c r="NOM55" s="1567"/>
      <c r="NON55" s="1567"/>
      <c r="NOO55" s="1088" t="s">
        <v>289</v>
      </c>
      <c r="NOP55" s="1567" t="s">
        <v>290</v>
      </c>
      <c r="NOQ55" s="1567"/>
      <c r="NOR55" s="1567"/>
      <c r="NOS55" s="1088" t="s">
        <v>289</v>
      </c>
      <c r="NOT55" s="1567" t="s">
        <v>290</v>
      </c>
      <c r="NOU55" s="1567"/>
      <c r="NOV55" s="1567"/>
      <c r="NOW55" s="1088" t="s">
        <v>289</v>
      </c>
      <c r="NOX55" s="1567" t="s">
        <v>290</v>
      </c>
      <c r="NOY55" s="1567"/>
      <c r="NOZ55" s="1567"/>
      <c r="NPA55" s="1088" t="s">
        <v>289</v>
      </c>
      <c r="NPB55" s="1567" t="s">
        <v>290</v>
      </c>
      <c r="NPC55" s="1567"/>
      <c r="NPD55" s="1567"/>
      <c r="NPE55" s="1088" t="s">
        <v>289</v>
      </c>
      <c r="NPF55" s="1567" t="s">
        <v>290</v>
      </c>
      <c r="NPG55" s="1567"/>
      <c r="NPH55" s="1567"/>
      <c r="NPI55" s="1088" t="s">
        <v>289</v>
      </c>
      <c r="NPJ55" s="1567" t="s">
        <v>290</v>
      </c>
      <c r="NPK55" s="1567"/>
      <c r="NPL55" s="1567"/>
      <c r="NPM55" s="1088" t="s">
        <v>289</v>
      </c>
      <c r="NPN55" s="1567" t="s">
        <v>290</v>
      </c>
      <c r="NPO55" s="1567"/>
      <c r="NPP55" s="1567"/>
      <c r="NPQ55" s="1088" t="s">
        <v>289</v>
      </c>
      <c r="NPR55" s="1567" t="s">
        <v>290</v>
      </c>
      <c r="NPS55" s="1567"/>
      <c r="NPT55" s="1567"/>
      <c r="NPU55" s="1088" t="s">
        <v>289</v>
      </c>
      <c r="NPV55" s="1567" t="s">
        <v>290</v>
      </c>
      <c r="NPW55" s="1567"/>
      <c r="NPX55" s="1567"/>
      <c r="NPY55" s="1088" t="s">
        <v>289</v>
      </c>
      <c r="NPZ55" s="1567" t="s">
        <v>290</v>
      </c>
      <c r="NQA55" s="1567"/>
      <c r="NQB55" s="1567"/>
      <c r="NQC55" s="1088" t="s">
        <v>289</v>
      </c>
      <c r="NQD55" s="1567" t="s">
        <v>290</v>
      </c>
      <c r="NQE55" s="1567"/>
      <c r="NQF55" s="1567"/>
      <c r="NQG55" s="1088" t="s">
        <v>289</v>
      </c>
      <c r="NQH55" s="1567" t="s">
        <v>290</v>
      </c>
      <c r="NQI55" s="1567"/>
      <c r="NQJ55" s="1567"/>
      <c r="NQK55" s="1088" t="s">
        <v>289</v>
      </c>
      <c r="NQL55" s="1567" t="s">
        <v>290</v>
      </c>
      <c r="NQM55" s="1567"/>
      <c r="NQN55" s="1567"/>
      <c r="NQO55" s="1088" t="s">
        <v>289</v>
      </c>
      <c r="NQP55" s="1567" t="s">
        <v>290</v>
      </c>
      <c r="NQQ55" s="1567"/>
      <c r="NQR55" s="1567"/>
      <c r="NQS55" s="1088" t="s">
        <v>289</v>
      </c>
      <c r="NQT55" s="1567" t="s">
        <v>290</v>
      </c>
      <c r="NQU55" s="1567"/>
      <c r="NQV55" s="1567"/>
      <c r="NQW55" s="1088" t="s">
        <v>289</v>
      </c>
      <c r="NQX55" s="1567" t="s">
        <v>290</v>
      </c>
      <c r="NQY55" s="1567"/>
      <c r="NQZ55" s="1567"/>
      <c r="NRA55" s="1088" t="s">
        <v>289</v>
      </c>
      <c r="NRB55" s="1567" t="s">
        <v>290</v>
      </c>
      <c r="NRC55" s="1567"/>
      <c r="NRD55" s="1567"/>
      <c r="NRE55" s="1088" t="s">
        <v>289</v>
      </c>
      <c r="NRF55" s="1567" t="s">
        <v>290</v>
      </c>
      <c r="NRG55" s="1567"/>
      <c r="NRH55" s="1567"/>
      <c r="NRI55" s="1088" t="s">
        <v>289</v>
      </c>
      <c r="NRJ55" s="1567" t="s">
        <v>290</v>
      </c>
      <c r="NRK55" s="1567"/>
      <c r="NRL55" s="1567"/>
      <c r="NRM55" s="1088" t="s">
        <v>289</v>
      </c>
      <c r="NRN55" s="1567" t="s">
        <v>290</v>
      </c>
      <c r="NRO55" s="1567"/>
      <c r="NRP55" s="1567"/>
      <c r="NRQ55" s="1088" t="s">
        <v>289</v>
      </c>
      <c r="NRR55" s="1567" t="s">
        <v>290</v>
      </c>
      <c r="NRS55" s="1567"/>
      <c r="NRT55" s="1567"/>
      <c r="NRU55" s="1088" t="s">
        <v>289</v>
      </c>
      <c r="NRV55" s="1567" t="s">
        <v>290</v>
      </c>
      <c r="NRW55" s="1567"/>
      <c r="NRX55" s="1567"/>
      <c r="NRY55" s="1088" t="s">
        <v>289</v>
      </c>
      <c r="NRZ55" s="1567" t="s">
        <v>290</v>
      </c>
      <c r="NSA55" s="1567"/>
      <c r="NSB55" s="1567"/>
      <c r="NSC55" s="1088" t="s">
        <v>289</v>
      </c>
      <c r="NSD55" s="1567" t="s">
        <v>290</v>
      </c>
      <c r="NSE55" s="1567"/>
      <c r="NSF55" s="1567"/>
      <c r="NSG55" s="1088" t="s">
        <v>289</v>
      </c>
      <c r="NSH55" s="1567" t="s">
        <v>290</v>
      </c>
      <c r="NSI55" s="1567"/>
      <c r="NSJ55" s="1567"/>
      <c r="NSK55" s="1088" t="s">
        <v>289</v>
      </c>
      <c r="NSL55" s="1567" t="s">
        <v>290</v>
      </c>
      <c r="NSM55" s="1567"/>
      <c r="NSN55" s="1567"/>
      <c r="NSO55" s="1088" t="s">
        <v>289</v>
      </c>
      <c r="NSP55" s="1567" t="s">
        <v>290</v>
      </c>
      <c r="NSQ55" s="1567"/>
      <c r="NSR55" s="1567"/>
      <c r="NSS55" s="1088" t="s">
        <v>289</v>
      </c>
      <c r="NST55" s="1567" t="s">
        <v>290</v>
      </c>
      <c r="NSU55" s="1567"/>
      <c r="NSV55" s="1567"/>
      <c r="NSW55" s="1088" t="s">
        <v>289</v>
      </c>
      <c r="NSX55" s="1567" t="s">
        <v>290</v>
      </c>
      <c r="NSY55" s="1567"/>
      <c r="NSZ55" s="1567"/>
      <c r="NTA55" s="1088" t="s">
        <v>289</v>
      </c>
      <c r="NTB55" s="1567" t="s">
        <v>290</v>
      </c>
      <c r="NTC55" s="1567"/>
      <c r="NTD55" s="1567"/>
      <c r="NTE55" s="1088" t="s">
        <v>289</v>
      </c>
      <c r="NTF55" s="1567" t="s">
        <v>290</v>
      </c>
      <c r="NTG55" s="1567"/>
      <c r="NTH55" s="1567"/>
      <c r="NTI55" s="1088" t="s">
        <v>289</v>
      </c>
      <c r="NTJ55" s="1567" t="s">
        <v>290</v>
      </c>
      <c r="NTK55" s="1567"/>
      <c r="NTL55" s="1567"/>
      <c r="NTM55" s="1088" t="s">
        <v>289</v>
      </c>
      <c r="NTN55" s="1567" t="s">
        <v>290</v>
      </c>
      <c r="NTO55" s="1567"/>
      <c r="NTP55" s="1567"/>
      <c r="NTQ55" s="1088" t="s">
        <v>289</v>
      </c>
      <c r="NTR55" s="1567" t="s">
        <v>290</v>
      </c>
      <c r="NTS55" s="1567"/>
      <c r="NTT55" s="1567"/>
      <c r="NTU55" s="1088" t="s">
        <v>289</v>
      </c>
      <c r="NTV55" s="1567" t="s">
        <v>290</v>
      </c>
      <c r="NTW55" s="1567"/>
      <c r="NTX55" s="1567"/>
      <c r="NTY55" s="1088" t="s">
        <v>289</v>
      </c>
      <c r="NTZ55" s="1567" t="s">
        <v>290</v>
      </c>
      <c r="NUA55" s="1567"/>
      <c r="NUB55" s="1567"/>
      <c r="NUC55" s="1088" t="s">
        <v>289</v>
      </c>
      <c r="NUD55" s="1567" t="s">
        <v>290</v>
      </c>
      <c r="NUE55" s="1567"/>
      <c r="NUF55" s="1567"/>
      <c r="NUG55" s="1088" t="s">
        <v>289</v>
      </c>
      <c r="NUH55" s="1567" t="s">
        <v>290</v>
      </c>
      <c r="NUI55" s="1567"/>
      <c r="NUJ55" s="1567"/>
      <c r="NUK55" s="1088" t="s">
        <v>289</v>
      </c>
      <c r="NUL55" s="1567" t="s">
        <v>290</v>
      </c>
      <c r="NUM55" s="1567"/>
      <c r="NUN55" s="1567"/>
      <c r="NUO55" s="1088" t="s">
        <v>289</v>
      </c>
      <c r="NUP55" s="1567" t="s">
        <v>290</v>
      </c>
      <c r="NUQ55" s="1567"/>
      <c r="NUR55" s="1567"/>
      <c r="NUS55" s="1088" t="s">
        <v>289</v>
      </c>
      <c r="NUT55" s="1567" t="s">
        <v>290</v>
      </c>
      <c r="NUU55" s="1567"/>
      <c r="NUV55" s="1567"/>
      <c r="NUW55" s="1088" t="s">
        <v>289</v>
      </c>
      <c r="NUX55" s="1567" t="s">
        <v>290</v>
      </c>
      <c r="NUY55" s="1567"/>
      <c r="NUZ55" s="1567"/>
      <c r="NVA55" s="1088" t="s">
        <v>289</v>
      </c>
      <c r="NVB55" s="1567" t="s">
        <v>290</v>
      </c>
      <c r="NVC55" s="1567"/>
      <c r="NVD55" s="1567"/>
      <c r="NVE55" s="1088" t="s">
        <v>289</v>
      </c>
      <c r="NVF55" s="1567" t="s">
        <v>290</v>
      </c>
      <c r="NVG55" s="1567"/>
      <c r="NVH55" s="1567"/>
      <c r="NVI55" s="1088" t="s">
        <v>289</v>
      </c>
      <c r="NVJ55" s="1567" t="s">
        <v>290</v>
      </c>
      <c r="NVK55" s="1567"/>
      <c r="NVL55" s="1567"/>
      <c r="NVM55" s="1088" t="s">
        <v>289</v>
      </c>
      <c r="NVN55" s="1567" t="s">
        <v>290</v>
      </c>
      <c r="NVO55" s="1567"/>
      <c r="NVP55" s="1567"/>
      <c r="NVQ55" s="1088" t="s">
        <v>289</v>
      </c>
      <c r="NVR55" s="1567" t="s">
        <v>290</v>
      </c>
      <c r="NVS55" s="1567"/>
      <c r="NVT55" s="1567"/>
      <c r="NVU55" s="1088" t="s">
        <v>289</v>
      </c>
      <c r="NVV55" s="1567" t="s">
        <v>290</v>
      </c>
      <c r="NVW55" s="1567"/>
      <c r="NVX55" s="1567"/>
      <c r="NVY55" s="1088" t="s">
        <v>289</v>
      </c>
      <c r="NVZ55" s="1567" t="s">
        <v>290</v>
      </c>
      <c r="NWA55" s="1567"/>
      <c r="NWB55" s="1567"/>
      <c r="NWC55" s="1088" t="s">
        <v>289</v>
      </c>
      <c r="NWD55" s="1567" t="s">
        <v>290</v>
      </c>
      <c r="NWE55" s="1567"/>
      <c r="NWF55" s="1567"/>
      <c r="NWG55" s="1088" t="s">
        <v>289</v>
      </c>
      <c r="NWH55" s="1567" t="s">
        <v>290</v>
      </c>
      <c r="NWI55" s="1567"/>
      <c r="NWJ55" s="1567"/>
      <c r="NWK55" s="1088" t="s">
        <v>289</v>
      </c>
      <c r="NWL55" s="1567" t="s">
        <v>290</v>
      </c>
      <c r="NWM55" s="1567"/>
      <c r="NWN55" s="1567"/>
      <c r="NWO55" s="1088" t="s">
        <v>289</v>
      </c>
      <c r="NWP55" s="1567" t="s">
        <v>290</v>
      </c>
      <c r="NWQ55" s="1567"/>
      <c r="NWR55" s="1567"/>
      <c r="NWS55" s="1088" t="s">
        <v>289</v>
      </c>
      <c r="NWT55" s="1567" t="s">
        <v>290</v>
      </c>
      <c r="NWU55" s="1567"/>
      <c r="NWV55" s="1567"/>
      <c r="NWW55" s="1088" t="s">
        <v>289</v>
      </c>
      <c r="NWX55" s="1567" t="s">
        <v>290</v>
      </c>
      <c r="NWY55" s="1567"/>
      <c r="NWZ55" s="1567"/>
      <c r="NXA55" s="1088" t="s">
        <v>289</v>
      </c>
      <c r="NXB55" s="1567" t="s">
        <v>290</v>
      </c>
      <c r="NXC55" s="1567"/>
      <c r="NXD55" s="1567"/>
      <c r="NXE55" s="1088" t="s">
        <v>289</v>
      </c>
      <c r="NXF55" s="1567" t="s">
        <v>290</v>
      </c>
      <c r="NXG55" s="1567"/>
      <c r="NXH55" s="1567"/>
      <c r="NXI55" s="1088" t="s">
        <v>289</v>
      </c>
      <c r="NXJ55" s="1567" t="s">
        <v>290</v>
      </c>
      <c r="NXK55" s="1567"/>
      <c r="NXL55" s="1567"/>
      <c r="NXM55" s="1088" t="s">
        <v>289</v>
      </c>
      <c r="NXN55" s="1567" t="s">
        <v>290</v>
      </c>
      <c r="NXO55" s="1567"/>
      <c r="NXP55" s="1567"/>
      <c r="NXQ55" s="1088" t="s">
        <v>289</v>
      </c>
      <c r="NXR55" s="1567" t="s">
        <v>290</v>
      </c>
      <c r="NXS55" s="1567"/>
      <c r="NXT55" s="1567"/>
      <c r="NXU55" s="1088" t="s">
        <v>289</v>
      </c>
      <c r="NXV55" s="1567" t="s">
        <v>290</v>
      </c>
      <c r="NXW55" s="1567"/>
      <c r="NXX55" s="1567"/>
      <c r="NXY55" s="1088" t="s">
        <v>289</v>
      </c>
      <c r="NXZ55" s="1567" t="s">
        <v>290</v>
      </c>
      <c r="NYA55" s="1567"/>
      <c r="NYB55" s="1567"/>
      <c r="NYC55" s="1088" t="s">
        <v>289</v>
      </c>
      <c r="NYD55" s="1567" t="s">
        <v>290</v>
      </c>
      <c r="NYE55" s="1567"/>
      <c r="NYF55" s="1567"/>
      <c r="NYG55" s="1088" t="s">
        <v>289</v>
      </c>
      <c r="NYH55" s="1567" t="s">
        <v>290</v>
      </c>
      <c r="NYI55" s="1567"/>
      <c r="NYJ55" s="1567"/>
      <c r="NYK55" s="1088" t="s">
        <v>289</v>
      </c>
      <c r="NYL55" s="1567" t="s">
        <v>290</v>
      </c>
      <c r="NYM55" s="1567"/>
      <c r="NYN55" s="1567"/>
      <c r="NYO55" s="1088" t="s">
        <v>289</v>
      </c>
      <c r="NYP55" s="1567" t="s">
        <v>290</v>
      </c>
      <c r="NYQ55" s="1567"/>
      <c r="NYR55" s="1567"/>
      <c r="NYS55" s="1088" t="s">
        <v>289</v>
      </c>
      <c r="NYT55" s="1567" t="s">
        <v>290</v>
      </c>
      <c r="NYU55" s="1567"/>
      <c r="NYV55" s="1567"/>
      <c r="NYW55" s="1088" t="s">
        <v>289</v>
      </c>
      <c r="NYX55" s="1567" t="s">
        <v>290</v>
      </c>
      <c r="NYY55" s="1567"/>
      <c r="NYZ55" s="1567"/>
      <c r="NZA55" s="1088" t="s">
        <v>289</v>
      </c>
      <c r="NZB55" s="1567" t="s">
        <v>290</v>
      </c>
      <c r="NZC55" s="1567"/>
      <c r="NZD55" s="1567"/>
      <c r="NZE55" s="1088" t="s">
        <v>289</v>
      </c>
      <c r="NZF55" s="1567" t="s">
        <v>290</v>
      </c>
      <c r="NZG55" s="1567"/>
      <c r="NZH55" s="1567"/>
      <c r="NZI55" s="1088" t="s">
        <v>289</v>
      </c>
      <c r="NZJ55" s="1567" t="s">
        <v>290</v>
      </c>
      <c r="NZK55" s="1567"/>
      <c r="NZL55" s="1567"/>
      <c r="NZM55" s="1088" t="s">
        <v>289</v>
      </c>
      <c r="NZN55" s="1567" t="s">
        <v>290</v>
      </c>
      <c r="NZO55" s="1567"/>
      <c r="NZP55" s="1567"/>
      <c r="NZQ55" s="1088" t="s">
        <v>289</v>
      </c>
      <c r="NZR55" s="1567" t="s">
        <v>290</v>
      </c>
      <c r="NZS55" s="1567"/>
      <c r="NZT55" s="1567"/>
      <c r="NZU55" s="1088" t="s">
        <v>289</v>
      </c>
      <c r="NZV55" s="1567" t="s">
        <v>290</v>
      </c>
      <c r="NZW55" s="1567"/>
      <c r="NZX55" s="1567"/>
      <c r="NZY55" s="1088" t="s">
        <v>289</v>
      </c>
      <c r="NZZ55" s="1567" t="s">
        <v>290</v>
      </c>
      <c r="OAA55" s="1567"/>
      <c r="OAB55" s="1567"/>
      <c r="OAC55" s="1088" t="s">
        <v>289</v>
      </c>
      <c r="OAD55" s="1567" t="s">
        <v>290</v>
      </c>
      <c r="OAE55" s="1567"/>
      <c r="OAF55" s="1567"/>
      <c r="OAG55" s="1088" t="s">
        <v>289</v>
      </c>
      <c r="OAH55" s="1567" t="s">
        <v>290</v>
      </c>
      <c r="OAI55" s="1567"/>
      <c r="OAJ55" s="1567"/>
      <c r="OAK55" s="1088" t="s">
        <v>289</v>
      </c>
      <c r="OAL55" s="1567" t="s">
        <v>290</v>
      </c>
      <c r="OAM55" s="1567"/>
      <c r="OAN55" s="1567"/>
      <c r="OAO55" s="1088" t="s">
        <v>289</v>
      </c>
      <c r="OAP55" s="1567" t="s">
        <v>290</v>
      </c>
      <c r="OAQ55" s="1567"/>
      <c r="OAR55" s="1567"/>
      <c r="OAS55" s="1088" t="s">
        <v>289</v>
      </c>
      <c r="OAT55" s="1567" t="s">
        <v>290</v>
      </c>
      <c r="OAU55" s="1567"/>
      <c r="OAV55" s="1567"/>
      <c r="OAW55" s="1088" t="s">
        <v>289</v>
      </c>
      <c r="OAX55" s="1567" t="s">
        <v>290</v>
      </c>
      <c r="OAY55" s="1567"/>
      <c r="OAZ55" s="1567"/>
      <c r="OBA55" s="1088" t="s">
        <v>289</v>
      </c>
      <c r="OBB55" s="1567" t="s">
        <v>290</v>
      </c>
      <c r="OBC55" s="1567"/>
      <c r="OBD55" s="1567"/>
      <c r="OBE55" s="1088" t="s">
        <v>289</v>
      </c>
      <c r="OBF55" s="1567" t="s">
        <v>290</v>
      </c>
      <c r="OBG55" s="1567"/>
      <c r="OBH55" s="1567"/>
      <c r="OBI55" s="1088" t="s">
        <v>289</v>
      </c>
      <c r="OBJ55" s="1567" t="s">
        <v>290</v>
      </c>
      <c r="OBK55" s="1567"/>
      <c r="OBL55" s="1567"/>
      <c r="OBM55" s="1088" t="s">
        <v>289</v>
      </c>
      <c r="OBN55" s="1567" t="s">
        <v>290</v>
      </c>
      <c r="OBO55" s="1567"/>
      <c r="OBP55" s="1567"/>
      <c r="OBQ55" s="1088" t="s">
        <v>289</v>
      </c>
      <c r="OBR55" s="1567" t="s">
        <v>290</v>
      </c>
      <c r="OBS55" s="1567"/>
      <c r="OBT55" s="1567"/>
      <c r="OBU55" s="1088" t="s">
        <v>289</v>
      </c>
      <c r="OBV55" s="1567" t="s">
        <v>290</v>
      </c>
      <c r="OBW55" s="1567"/>
      <c r="OBX55" s="1567"/>
      <c r="OBY55" s="1088" t="s">
        <v>289</v>
      </c>
      <c r="OBZ55" s="1567" t="s">
        <v>290</v>
      </c>
      <c r="OCA55" s="1567"/>
      <c r="OCB55" s="1567"/>
      <c r="OCC55" s="1088" t="s">
        <v>289</v>
      </c>
      <c r="OCD55" s="1567" t="s">
        <v>290</v>
      </c>
      <c r="OCE55" s="1567"/>
      <c r="OCF55" s="1567"/>
      <c r="OCG55" s="1088" t="s">
        <v>289</v>
      </c>
      <c r="OCH55" s="1567" t="s">
        <v>290</v>
      </c>
      <c r="OCI55" s="1567"/>
      <c r="OCJ55" s="1567"/>
      <c r="OCK55" s="1088" t="s">
        <v>289</v>
      </c>
      <c r="OCL55" s="1567" t="s">
        <v>290</v>
      </c>
      <c r="OCM55" s="1567"/>
      <c r="OCN55" s="1567"/>
      <c r="OCO55" s="1088" t="s">
        <v>289</v>
      </c>
      <c r="OCP55" s="1567" t="s">
        <v>290</v>
      </c>
      <c r="OCQ55" s="1567"/>
      <c r="OCR55" s="1567"/>
      <c r="OCS55" s="1088" t="s">
        <v>289</v>
      </c>
      <c r="OCT55" s="1567" t="s">
        <v>290</v>
      </c>
      <c r="OCU55" s="1567"/>
      <c r="OCV55" s="1567"/>
      <c r="OCW55" s="1088" t="s">
        <v>289</v>
      </c>
      <c r="OCX55" s="1567" t="s">
        <v>290</v>
      </c>
      <c r="OCY55" s="1567"/>
      <c r="OCZ55" s="1567"/>
      <c r="ODA55" s="1088" t="s">
        <v>289</v>
      </c>
      <c r="ODB55" s="1567" t="s">
        <v>290</v>
      </c>
      <c r="ODC55" s="1567"/>
      <c r="ODD55" s="1567"/>
      <c r="ODE55" s="1088" t="s">
        <v>289</v>
      </c>
      <c r="ODF55" s="1567" t="s">
        <v>290</v>
      </c>
      <c r="ODG55" s="1567"/>
      <c r="ODH55" s="1567"/>
      <c r="ODI55" s="1088" t="s">
        <v>289</v>
      </c>
      <c r="ODJ55" s="1567" t="s">
        <v>290</v>
      </c>
      <c r="ODK55" s="1567"/>
      <c r="ODL55" s="1567"/>
      <c r="ODM55" s="1088" t="s">
        <v>289</v>
      </c>
      <c r="ODN55" s="1567" t="s">
        <v>290</v>
      </c>
      <c r="ODO55" s="1567"/>
      <c r="ODP55" s="1567"/>
      <c r="ODQ55" s="1088" t="s">
        <v>289</v>
      </c>
      <c r="ODR55" s="1567" t="s">
        <v>290</v>
      </c>
      <c r="ODS55" s="1567"/>
      <c r="ODT55" s="1567"/>
      <c r="ODU55" s="1088" t="s">
        <v>289</v>
      </c>
      <c r="ODV55" s="1567" t="s">
        <v>290</v>
      </c>
      <c r="ODW55" s="1567"/>
      <c r="ODX55" s="1567"/>
      <c r="ODY55" s="1088" t="s">
        <v>289</v>
      </c>
      <c r="ODZ55" s="1567" t="s">
        <v>290</v>
      </c>
      <c r="OEA55" s="1567"/>
      <c r="OEB55" s="1567"/>
      <c r="OEC55" s="1088" t="s">
        <v>289</v>
      </c>
      <c r="OED55" s="1567" t="s">
        <v>290</v>
      </c>
      <c r="OEE55" s="1567"/>
      <c r="OEF55" s="1567"/>
      <c r="OEG55" s="1088" t="s">
        <v>289</v>
      </c>
      <c r="OEH55" s="1567" t="s">
        <v>290</v>
      </c>
      <c r="OEI55" s="1567"/>
      <c r="OEJ55" s="1567"/>
      <c r="OEK55" s="1088" t="s">
        <v>289</v>
      </c>
      <c r="OEL55" s="1567" t="s">
        <v>290</v>
      </c>
      <c r="OEM55" s="1567"/>
      <c r="OEN55" s="1567"/>
      <c r="OEO55" s="1088" t="s">
        <v>289</v>
      </c>
      <c r="OEP55" s="1567" t="s">
        <v>290</v>
      </c>
      <c r="OEQ55" s="1567"/>
      <c r="OER55" s="1567"/>
      <c r="OES55" s="1088" t="s">
        <v>289</v>
      </c>
      <c r="OET55" s="1567" t="s">
        <v>290</v>
      </c>
      <c r="OEU55" s="1567"/>
      <c r="OEV55" s="1567"/>
      <c r="OEW55" s="1088" t="s">
        <v>289</v>
      </c>
      <c r="OEX55" s="1567" t="s">
        <v>290</v>
      </c>
      <c r="OEY55" s="1567"/>
      <c r="OEZ55" s="1567"/>
      <c r="OFA55" s="1088" t="s">
        <v>289</v>
      </c>
      <c r="OFB55" s="1567" t="s">
        <v>290</v>
      </c>
      <c r="OFC55" s="1567"/>
      <c r="OFD55" s="1567"/>
      <c r="OFE55" s="1088" t="s">
        <v>289</v>
      </c>
      <c r="OFF55" s="1567" t="s">
        <v>290</v>
      </c>
      <c r="OFG55" s="1567"/>
      <c r="OFH55" s="1567"/>
      <c r="OFI55" s="1088" t="s">
        <v>289</v>
      </c>
      <c r="OFJ55" s="1567" t="s">
        <v>290</v>
      </c>
      <c r="OFK55" s="1567"/>
      <c r="OFL55" s="1567"/>
      <c r="OFM55" s="1088" t="s">
        <v>289</v>
      </c>
      <c r="OFN55" s="1567" t="s">
        <v>290</v>
      </c>
      <c r="OFO55" s="1567"/>
      <c r="OFP55" s="1567"/>
      <c r="OFQ55" s="1088" t="s">
        <v>289</v>
      </c>
      <c r="OFR55" s="1567" t="s">
        <v>290</v>
      </c>
      <c r="OFS55" s="1567"/>
      <c r="OFT55" s="1567"/>
      <c r="OFU55" s="1088" t="s">
        <v>289</v>
      </c>
      <c r="OFV55" s="1567" t="s">
        <v>290</v>
      </c>
      <c r="OFW55" s="1567"/>
      <c r="OFX55" s="1567"/>
      <c r="OFY55" s="1088" t="s">
        <v>289</v>
      </c>
      <c r="OFZ55" s="1567" t="s">
        <v>290</v>
      </c>
      <c r="OGA55" s="1567"/>
      <c r="OGB55" s="1567"/>
      <c r="OGC55" s="1088" t="s">
        <v>289</v>
      </c>
      <c r="OGD55" s="1567" t="s">
        <v>290</v>
      </c>
      <c r="OGE55" s="1567"/>
      <c r="OGF55" s="1567"/>
      <c r="OGG55" s="1088" t="s">
        <v>289</v>
      </c>
      <c r="OGH55" s="1567" t="s">
        <v>290</v>
      </c>
      <c r="OGI55" s="1567"/>
      <c r="OGJ55" s="1567"/>
      <c r="OGK55" s="1088" t="s">
        <v>289</v>
      </c>
      <c r="OGL55" s="1567" t="s">
        <v>290</v>
      </c>
      <c r="OGM55" s="1567"/>
      <c r="OGN55" s="1567"/>
      <c r="OGO55" s="1088" t="s">
        <v>289</v>
      </c>
      <c r="OGP55" s="1567" t="s">
        <v>290</v>
      </c>
      <c r="OGQ55" s="1567"/>
      <c r="OGR55" s="1567"/>
      <c r="OGS55" s="1088" t="s">
        <v>289</v>
      </c>
      <c r="OGT55" s="1567" t="s">
        <v>290</v>
      </c>
      <c r="OGU55" s="1567"/>
      <c r="OGV55" s="1567"/>
      <c r="OGW55" s="1088" t="s">
        <v>289</v>
      </c>
      <c r="OGX55" s="1567" t="s">
        <v>290</v>
      </c>
      <c r="OGY55" s="1567"/>
      <c r="OGZ55" s="1567"/>
      <c r="OHA55" s="1088" t="s">
        <v>289</v>
      </c>
      <c r="OHB55" s="1567" t="s">
        <v>290</v>
      </c>
      <c r="OHC55" s="1567"/>
      <c r="OHD55" s="1567"/>
      <c r="OHE55" s="1088" t="s">
        <v>289</v>
      </c>
      <c r="OHF55" s="1567" t="s">
        <v>290</v>
      </c>
      <c r="OHG55" s="1567"/>
      <c r="OHH55" s="1567"/>
      <c r="OHI55" s="1088" t="s">
        <v>289</v>
      </c>
      <c r="OHJ55" s="1567" t="s">
        <v>290</v>
      </c>
      <c r="OHK55" s="1567"/>
      <c r="OHL55" s="1567"/>
      <c r="OHM55" s="1088" t="s">
        <v>289</v>
      </c>
      <c r="OHN55" s="1567" t="s">
        <v>290</v>
      </c>
      <c r="OHO55" s="1567"/>
      <c r="OHP55" s="1567"/>
      <c r="OHQ55" s="1088" t="s">
        <v>289</v>
      </c>
      <c r="OHR55" s="1567" t="s">
        <v>290</v>
      </c>
      <c r="OHS55" s="1567"/>
      <c r="OHT55" s="1567"/>
      <c r="OHU55" s="1088" t="s">
        <v>289</v>
      </c>
      <c r="OHV55" s="1567" t="s">
        <v>290</v>
      </c>
      <c r="OHW55" s="1567"/>
      <c r="OHX55" s="1567"/>
      <c r="OHY55" s="1088" t="s">
        <v>289</v>
      </c>
      <c r="OHZ55" s="1567" t="s">
        <v>290</v>
      </c>
      <c r="OIA55" s="1567"/>
      <c r="OIB55" s="1567"/>
      <c r="OIC55" s="1088" t="s">
        <v>289</v>
      </c>
      <c r="OID55" s="1567" t="s">
        <v>290</v>
      </c>
      <c r="OIE55" s="1567"/>
      <c r="OIF55" s="1567"/>
      <c r="OIG55" s="1088" t="s">
        <v>289</v>
      </c>
      <c r="OIH55" s="1567" t="s">
        <v>290</v>
      </c>
      <c r="OII55" s="1567"/>
      <c r="OIJ55" s="1567"/>
      <c r="OIK55" s="1088" t="s">
        <v>289</v>
      </c>
      <c r="OIL55" s="1567" t="s">
        <v>290</v>
      </c>
      <c r="OIM55" s="1567"/>
      <c r="OIN55" s="1567"/>
      <c r="OIO55" s="1088" t="s">
        <v>289</v>
      </c>
      <c r="OIP55" s="1567" t="s">
        <v>290</v>
      </c>
      <c r="OIQ55" s="1567"/>
      <c r="OIR55" s="1567"/>
      <c r="OIS55" s="1088" t="s">
        <v>289</v>
      </c>
      <c r="OIT55" s="1567" t="s">
        <v>290</v>
      </c>
      <c r="OIU55" s="1567"/>
      <c r="OIV55" s="1567"/>
      <c r="OIW55" s="1088" t="s">
        <v>289</v>
      </c>
      <c r="OIX55" s="1567" t="s">
        <v>290</v>
      </c>
      <c r="OIY55" s="1567"/>
      <c r="OIZ55" s="1567"/>
      <c r="OJA55" s="1088" t="s">
        <v>289</v>
      </c>
      <c r="OJB55" s="1567" t="s">
        <v>290</v>
      </c>
      <c r="OJC55" s="1567"/>
      <c r="OJD55" s="1567"/>
      <c r="OJE55" s="1088" t="s">
        <v>289</v>
      </c>
      <c r="OJF55" s="1567" t="s">
        <v>290</v>
      </c>
      <c r="OJG55" s="1567"/>
      <c r="OJH55" s="1567"/>
      <c r="OJI55" s="1088" t="s">
        <v>289</v>
      </c>
      <c r="OJJ55" s="1567" t="s">
        <v>290</v>
      </c>
      <c r="OJK55" s="1567"/>
      <c r="OJL55" s="1567"/>
      <c r="OJM55" s="1088" t="s">
        <v>289</v>
      </c>
      <c r="OJN55" s="1567" t="s">
        <v>290</v>
      </c>
      <c r="OJO55" s="1567"/>
      <c r="OJP55" s="1567"/>
      <c r="OJQ55" s="1088" t="s">
        <v>289</v>
      </c>
      <c r="OJR55" s="1567" t="s">
        <v>290</v>
      </c>
      <c r="OJS55" s="1567"/>
      <c r="OJT55" s="1567"/>
      <c r="OJU55" s="1088" t="s">
        <v>289</v>
      </c>
      <c r="OJV55" s="1567" t="s">
        <v>290</v>
      </c>
      <c r="OJW55" s="1567"/>
      <c r="OJX55" s="1567"/>
      <c r="OJY55" s="1088" t="s">
        <v>289</v>
      </c>
      <c r="OJZ55" s="1567" t="s">
        <v>290</v>
      </c>
      <c r="OKA55" s="1567"/>
      <c r="OKB55" s="1567"/>
      <c r="OKC55" s="1088" t="s">
        <v>289</v>
      </c>
      <c r="OKD55" s="1567" t="s">
        <v>290</v>
      </c>
      <c r="OKE55" s="1567"/>
      <c r="OKF55" s="1567"/>
      <c r="OKG55" s="1088" t="s">
        <v>289</v>
      </c>
      <c r="OKH55" s="1567" t="s">
        <v>290</v>
      </c>
      <c r="OKI55" s="1567"/>
      <c r="OKJ55" s="1567"/>
      <c r="OKK55" s="1088" t="s">
        <v>289</v>
      </c>
      <c r="OKL55" s="1567" t="s">
        <v>290</v>
      </c>
      <c r="OKM55" s="1567"/>
      <c r="OKN55" s="1567"/>
      <c r="OKO55" s="1088" t="s">
        <v>289</v>
      </c>
      <c r="OKP55" s="1567" t="s">
        <v>290</v>
      </c>
      <c r="OKQ55" s="1567"/>
      <c r="OKR55" s="1567"/>
      <c r="OKS55" s="1088" t="s">
        <v>289</v>
      </c>
      <c r="OKT55" s="1567" t="s">
        <v>290</v>
      </c>
      <c r="OKU55" s="1567"/>
      <c r="OKV55" s="1567"/>
      <c r="OKW55" s="1088" t="s">
        <v>289</v>
      </c>
      <c r="OKX55" s="1567" t="s">
        <v>290</v>
      </c>
      <c r="OKY55" s="1567"/>
      <c r="OKZ55" s="1567"/>
      <c r="OLA55" s="1088" t="s">
        <v>289</v>
      </c>
      <c r="OLB55" s="1567" t="s">
        <v>290</v>
      </c>
      <c r="OLC55" s="1567"/>
      <c r="OLD55" s="1567"/>
      <c r="OLE55" s="1088" t="s">
        <v>289</v>
      </c>
      <c r="OLF55" s="1567" t="s">
        <v>290</v>
      </c>
      <c r="OLG55" s="1567"/>
      <c r="OLH55" s="1567"/>
      <c r="OLI55" s="1088" t="s">
        <v>289</v>
      </c>
      <c r="OLJ55" s="1567" t="s">
        <v>290</v>
      </c>
      <c r="OLK55" s="1567"/>
      <c r="OLL55" s="1567"/>
      <c r="OLM55" s="1088" t="s">
        <v>289</v>
      </c>
      <c r="OLN55" s="1567" t="s">
        <v>290</v>
      </c>
      <c r="OLO55" s="1567"/>
      <c r="OLP55" s="1567"/>
      <c r="OLQ55" s="1088" t="s">
        <v>289</v>
      </c>
      <c r="OLR55" s="1567" t="s">
        <v>290</v>
      </c>
      <c r="OLS55" s="1567"/>
      <c r="OLT55" s="1567"/>
      <c r="OLU55" s="1088" t="s">
        <v>289</v>
      </c>
      <c r="OLV55" s="1567" t="s">
        <v>290</v>
      </c>
      <c r="OLW55" s="1567"/>
      <c r="OLX55" s="1567"/>
      <c r="OLY55" s="1088" t="s">
        <v>289</v>
      </c>
      <c r="OLZ55" s="1567" t="s">
        <v>290</v>
      </c>
      <c r="OMA55" s="1567"/>
      <c r="OMB55" s="1567"/>
      <c r="OMC55" s="1088" t="s">
        <v>289</v>
      </c>
      <c r="OMD55" s="1567" t="s">
        <v>290</v>
      </c>
      <c r="OME55" s="1567"/>
      <c r="OMF55" s="1567"/>
      <c r="OMG55" s="1088" t="s">
        <v>289</v>
      </c>
      <c r="OMH55" s="1567" t="s">
        <v>290</v>
      </c>
      <c r="OMI55" s="1567"/>
      <c r="OMJ55" s="1567"/>
      <c r="OMK55" s="1088" t="s">
        <v>289</v>
      </c>
      <c r="OML55" s="1567" t="s">
        <v>290</v>
      </c>
      <c r="OMM55" s="1567"/>
      <c r="OMN55" s="1567"/>
      <c r="OMO55" s="1088" t="s">
        <v>289</v>
      </c>
      <c r="OMP55" s="1567" t="s">
        <v>290</v>
      </c>
      <c r="OMQ55" s="1567"/>
      <c r="OMR55" s="1567"/>
      <c r="OMS55" s="1088" t="s">
        <v>289</v>
      </c>
      <c r="OMT55" s="1567" t="s">
        <v>290</v>
      </c>
      <c r="OMU55" s="1567"/>
      <c r="OMV55" s="1567"/>
      <c r="OMW55" s="1088" t="s">
        <v>289</v>
      </c>
      <c r="OMX55" s="1567" t="s">
        <v>290</v>
      </c>
      <c r="OMY55" s="1567"/>
      <c r="OMZ55" s="1567"/>
      <c r="ONA55" s="1088" t="s">
        <v>289</v>
      </c>
      <c r="ONB55" s="1567" t="s">
        <v>290</v>
      </c>
      <c r="ONC55" s="1567"/>
      <c r="OND55" s="1567"/>
      <c r="ONE55" s="1088" t="s">
        <v>289</v>
      </c>
      <c r="ONF55" s="1567" t="s">
        <v>290</v>
      </c>
      <c r="ONG55" s="1567"/>
      <c r="ONH55" s="1567"/>
      <c r="ONI55" s="1088" t="s">
        <v>289</v>
      </c>
      <c r="ONJ55" s="1567" t="s">
        <v>290</v>
      </c>
      <c r="ONK55" s="1567"/>
      <c r="ONL55" s="1567"/>
      <c r="ONM55" s="1088" t="s">
        <v>289</v>
      </c>
      <c r="ONN55" s="1567" t="s">
        <v>290</v>
      </c>
      <c r="ONO55" s="1567"/>
      <c r="ONP55" s="1567"/>
      <c r="ONQ55" s="1088" t="s">
        <v>289</v>
      </c>
      <c r="ONR55" s="1567" t="s">
        <v>290</v>
      </c>
      <c r="ONS55" s="1567"/>
      <c r="ONT55" s="1567"/>
      <c r="ONU55" s="1088" t="s">
        <v>289</v>
      </c>
      <c r="ONV55" s="1567" t="s">
        <v>290</v>
      </c>
      <c r="ONW55" s="1567"/>
      <c r="ONX55" s="1567"/>
      <c r="ONY55" s="1088" t="s">
        <v>289</v>
      </c>
      <c r="ONZ55" s="1567" t="s">
        <v>290</v>
      </c>
      <c r="OOA55" s="1567"/>
      <c r="OOB55" s="1567"/>
      <c r="OOC55" s="1088" t="s">
        <v>289</v>
      </c>
      <c r="OOD55" s="1567" t="s">
        <v>290</v>
      </c>
      <c r="OOE55" s="1567"/>
      <c r="OOF55" s="1567"/>
      <c r="OOG55" s="1088" t="s">
        <v>289</v>
      </c>
      <c r="OOH55" s="1567" t="s">
        <v>290</v>
      </c>
      <c r="OOI55" s="1567"/>
      <c r="OOJ55" s="1567"/>
      <c r="OOK55" s="1088" t="s">
        <v>289</v>
      </c>
      <c r="OOL55" s="1567" t="s">
        <v>290</v>
      </c>
      <c r="OOM55" s="1567"/>
      <c r="OON55" s="1567"/>
      <c r="OOO55" s="1088" t="s">
        <v>289</v>
      </c>
      <c r="OOP55" s="1567" t="s">
        <v>290</v>
      </c>
      <c r="OOQ55" s="1567"/>
      <c r="OOR55" s="1567"/>
      <c r="OOS55" s="1088" t="s">
        <v>289</v>
      </c>
      <c r="OOT55" s="1567" t="s">
        <v>290</v>
      </c>
      <c r="OOU55" s="1567"/>
      <c r="OOV55" s="1567"/>
      <c r="OOW55" s="1088" t="s">
        <v>289</v>
      </c>
      <c r="OOX55" s="1567" t="s">
        <v>290</v>
      </c>
      <c r="OOY55" s="1567"/>
      <c r="OOZ55" s="1567"/>
      <c r="OPA55" s="1088" t="s">
        <v>289</v>
      </c>
      <c r="OPB55" s="1567" t="s">
        <v>290</v>
      </c>
      <c r="OPC55" s="1567"/>
      <c r="OPD55" s="1567"/>
      <c r="OPE55" s="1088" t="s">
        <v>289</v>
      </c>
      <c r="OPF55" s="1567" t="s">
        <v>290</v>
      </c>
      <c r="OPG55" s="1567"/>
      <c r="OPH55" s="1567"/>
      <c r="OPI55" s="1088" t="s">
        <v>289</v>
      </c>
      <c r="OPJ55" s="1567" t="s">
        <v>290</v>
      </c>
      <c r="OPK55" s="1567"/>
      <c r="OPL55" s="1567"/>
      <c r="OPM55" s="1088" t="s">
        <v>289</v>
      </c>
      <c r="OPN55" s="1567" t="s">
        <v>290</v>
      </c>
      <c r="OPO55" s="1567"/>
      <c r="OPP55" s="1567"/>
      <c r="OPQ55" s="1088" t="s">
        <v>289</v>
      </c>
      <c r="OPR55" s="1567" t="s">
        <v>290</v>
      </c>
      <c r="OPS55" s="1567"/>
      <c r="OPT55" s="1567"/>
      <c r="OPU55" s="1088" t="s">
        <v>289</v>
      </c>
      <c r="OPV55" s="1567" t="s">
        <v>290</v>
      </c>
      <c r="OPW55" s="1567"/>
      <c r="OPX55" s="1567"/>
      <c r="OPY55" s="1088" t="s">
        <v>289</v>
      </c>
      <c r="OPZ55" s="1567" t="s">
        <v>290</v>
      </c>
      <c r="OQA55" s="1567"/>
      <c r="OQB55" s="1567"/>
      <c r="OQC55" s="1088" t="s">
        <v>289</v>
      </c>
      <c r="OQD55" s="1567" t="s">
        <v>290</v>
      </c>
      <c r="OQE55" s="1567"/>
      <c r="OQF55" s="1567"/>
      <c r="OQG55" s="1088" t="s">
        <v>289</v>
      </c>
      <c r="OQH55" s="1567" t="s">
        <v>290</v>
      </c>
      <c r="OQI55" s="1567"/>
      <c r="OQJ55" s="1567"/>
      <c r="OQK55" s="1088" t="s">
        <v>289</v>
      </c>
      <c r="OQL55" s="1567" t="s">
        <v>290</v>
      </c>
      <c r="OQM55" s="1567"/>
      <c r="OQN55" s="1567"/>
      <c r="OQO55" s="1088" t="s">
        <v>289</v>
      </c>
      <c r="OQP55" s="1567" t="s">
        <v>290</v>
      </c>
      <c r="OQQ55" s="1567"/>
      <c r="OQR55" s="1567"/>
      <c r="OQS55" s="1088" t="s">
        <v>289</v>
      </c>
      <c r="OQT55" s="1567" t="s">
        <v>290</v>
      </c>
      <c r="OQU55" s="1567"/>
      <c r="OQV55" s="1567"/>
      <c r="OQW55" s="1088" t="s">
        <v>289</v>
      </c>
      <c r="OQX55" s="1567" t="s">
        <v>290</v>
      </c>
      <c r="OQY55" s="1567"/>
      <c r="OQZ55" s="1567"/>
      <c r="ORA55" s="1088" t="s">
        <v>289</v>
      </c>
      <c r="ORB55" s="1567" t="s">
        <v>290</v>
      </c>
      <c r="ORC55" s="1567"/>
      <c r="ORD55" s="1567"/>
      <c r="ORE55" s="1088" t="s">
        <v>289</v>
      </c>
      <c r="ORF55" s="1567" t="s">
        <v>290</v>
      </c>
      <c r="ORG55" s="1567"/>
      <c r="ORH55" s="1567"/>
      <c r="ORI55" s="1088" t="s">
        <v>289</v>
      </c>
      <c r="ORJ55" s="1567" t="s">
        <v>290</v>
      </c>
      <c r="ORK55" s="1567"/>
      <c r="ORL55" s="1567"/>
      <c r="ORM55" s="1088" t="s">
        <v>289</v>
      </c>
      <c r="ORN55" s="1567" t="s">
        <v>290</v>
      </c>
      <c r="ORO55" s="1567"/>
      <c r="ORP55" s="1567"/>
      <c r="ORQ55" s="1088" t="s">
        <v>289</v>
      </c>
      <c r="ORR55" s="1567" t="s">
        <v>290</v>
      </c>
      <c r="ORS55" s="1567"/>
      <c r="ORT55" s="1567"/>
      <c r="ORU55" s="1088" t="s">
        <v>289</v>
      </c>
      <c r="ORV55" s="1567" t="s">
        <v>290</v>
      </c>
      <c r="ORW55" s="1567"/>
      <c r="ORX55" s="1567"/>
      <c r="ORY55" s="1088" t="s">
        <v>289</v>
      </c>
      <c r="ORZ55" s="1567" t="s">
        <v>290</v>
      </c>
      <c r="OSA55" s="1567"/>
      <c r="OSB55" s="1567"/>
      <c r="OSC55" s="1088" t="s">
        <v>289</v>
      </c>
      <c r="OSD55" s="1567" t="s">
        <v>290</v>
      </c>
      <c r="OSE55" s="1567"/>
      <c r="OSF55" s="1567"/>
      <c r="OSG55" s="1088" t="s">
        <v>289</v>
      </c>
      <c r="OSH55" s="1567" t="s">
        <v>290</v>
      </c>
      <c r="OSI55" s="1567"/>
      <c r="OSJ55" s="1567"/>
      <c r="OSK55" s="1088" t="s">
        <v>289</v>
      </c>
      <c r="OSL55" s="1567" t="s">
        <v>290</v>
      </c>
      <c r="OSM55" s="1567"/>
      <c r="OSN55" s="1567"/>
      <c r="OSO55" s="1088" t="s">
        <v>289</v>
      </c>
      <c r="OSP55" s="1567" t="s">
        <v>290</v>
      </c>
      <c r="OSQ55" s="1567"/>
      <c r="OSR55" s="1567"/>
      <c r="OSS55" s="1088" t="s">
        <v>289</v>
      </c>
      <c r="OST55" s="1567" t="s">
        <v>290</v>
      </c>
      <c r="OSU55" s="1567"/>
      <c r="OSV55" s="1567"/>
      <c r="OSW55" s="1088" t="s">
        <v>289</v>
      </c>
      <c r="OSX55" s="1567" t="s">
        <v>290</v>
      </c>
      <c r="OSY55" s="1567"/>
      <c r="OSZ55" s="1567"/>
      <c r="OTA55" s="1088" t="s">
        <v>289</v>
      </c>
      <c r="OTB55" s="1567" t="s">
        <v>290</v>
      </c>
      <c r="OTC55" s="1567"/>
      <c r="OTD55" s="1567"/>
      <c r="OTE55" s="1088" t="s">
        <v>289</v>
      </c>
      <c r="OTF55" s="1567" t="s">
        <v>290</v>
      </c>
      <c r="OTG55" s="1567"/>
      <c r="OTH55" s="1567"/>
      <c r="OTI55" s="1088" t="s">
        <v>289</v>
      </c>
      <c r="OTJ55" s="1567" t="s">
        <v>290</v>
      </c>
      <c r="OTK55" s="1567"/>
      <c r="OTL55" s="1567"/>
      <c r="OTM55" s="1088" t="s">
        <v>289</v>
      </c>
      <c r="OTN55" s="1567" t="s">
        <v>290</v>
      </c>
      <c r="OTO55" s="1567"/>
      <c r="OTP55" s="1567"/>
      <c r="OTQ55" s="1088" t="s">
        <v>289</v>
      </c>
      <c r="OTR55" s="1567" t="s">
        <v>290</v>
      </c>
      <c r="OTS55" s="1567"/>
      <c r="OTT55" s="1567"/>
      <c r="OTU55" s="1088" t="s">
        <v>289</v>
      </c>
      <c r="OTV55" s="1567" t="s">
        <v>290</v>
      </c>
      <c r="OTW55" s="1567"/>
      <c r="OTX55" s="1567"/>
      <c r="OTY55" s="1088" t="s">
        <v>289</v>
      </c>
      <c r="OTZ55" s="1567" t="s">
        <v>290</v>
      </c>
      <c r="OUA55" s="1567"/>
      <c r="OUB55" s="1567"/>
      <c r="OUC55" s="1088" t="s">
        <v>289</v>
      </c>
      <c r="OUD55" s="1567" t="s">
        <v>290</v>
      </c>
      <c r="OUE55" s="1567"/>
      <c r="OUF55" s="1567"/>
      <c r="OUG55" s="1088" t="s">
        <v>289</v>
      </c>
      <c r="OUH55" s="1567" t="s">
        <v>290</v>
      </c>
      <c r="OUI55" s="1567"/>
      <c r="OUJ55" s="1567"/>
      <c r="OUK55" s="1088" t="s">
        <v>289</v>
      </c>
      <c r="OUL55" s="1567" t="s">
        <v>290</v>
      </c>
      <c r="OUM55" s="1567"/>
      <c r="OUN55" s="1567"/>
      <c r="OUO55" s="1088" t="s">
        <v>289</v>
      </c>
      <c r="OUP55" s="1567" t="s">
        <v>290</v>
      </c>
      <c r="OUQ55" s="1567"/>
      <c r="OUR55" s="1567"/>
      <c r="OUS55" s="1088" t="s">
        <v>289</v>
      </c>
      <c r="OUT55" s="1567" t="s">
        <v>290</v>
      </c>
      <c r="OUU55" s="1567"/>
      <c r="OUV55" s="1567"/>
      <c r="OUW55" s="1088" t="s">
        <v>289</v>
      </c>
      <c r="OUX55" s="1567" t="s">
        <v>290</v>
      </c>
      <c r="OUY55" s="1567"/>
      <c r="OUZ55" s="1567"/>
      <c r="OVA55" s="1088" t="s">
        <v>289</v>
      </c>
      <c r="OVB55" s="1567" t="s">
        <v>290</v>
      </c>
      <c r="OVC55" s="1567"/>
      <c r="OVD55" s="1567"/>
      <c r="OVE55" s="1088" t="s">
        <v>289</v>
      </c>
      <c r="OVF55" s="1567" t="s">
        <v>290</v>
      </c>
      <c r="OVG55" s="1567"/>
      <c r="OVH55" s="1567"/>
      <c r="OVI55" s="1088" t="s">
        <v>289</v>
      </c>
      <c r="OVJ55" s="1567" t="s">
        <v>290</v>
      </c>
      <c r="OVK55" s="1567"/>
      <c r="OVL55" s="1567"/>
      <c r="OVM55" s="1088" t="s">
        <v>289</v>
      </c>
      <c r="OVN55" s="1567" t="s">
        <v>290</v>
      </c>
      <c r="OVO55" s="1567"/>
      <c r="OVP55" s="1567"/>
      <c r="OVQ55" s="1088" t="s">
        <v>289</v>
      </c>
      <c r="OVR55" s="1567" t="s">
        <v>290</v>
      </c>
      <c r="OVS55" s="1567"/>
      <c r="OVT55" s="1567"/>
      <c r="OVU55" s="1088" t="s">
        <v>289</v>
      </c>
      <c r="OVV55" s="1567" t="s">
        <v>290</v>
      </c>
      <c r="OVW55" s="1567"/>
      <c r="OVX55" s="1567"/>
      <c r="OVY55" s="1088" t="s">
        <v>289</v>
      </c>
      <c r="OVZ55" s="1567" t="s">
        <v>290</v>
      </c>
      <c r="OWA55" s="1567"/>
      <c r="OWB55" s="1567"/>
      <c r="OWC55" s="1088" t="s">
        <v>289</v>
      </c>
      <c r="OWD55" s="1567" t="s">
        <v>290</v>
      </c>
      <c r="OWE55" s="1567"/>
      <c r="OWF55" s="1567"/>
      <c r="OWG55" s="1088" t="s">
        <v>289</v>
      </c>
      <c r="OWH55" s="1567" t="s">
        <v>290</v>
      </c>
      <c r="OWI55" s="1567"/>
      <c r="OWJ55" s="1567"/>
      <c r="OWK55" s="1088" t="s">
        <v>289</v>
      </c>
      <c r="OWL55" s="1567" t="s">
        <v>290</v>
      </c>
      <c r="OWM55" s="1567"/>
      <c r="OWN55" s="1567"/>
      <c r="OWO55" s="1088" t="s">
        <v>289</v>
      </c>
      <c r="OWP55" s="1567" t="s">
        <v>290</v>
      </c>
      <c r="OWQ55" s="1567"/>
      <c r="OWR55" s="1567"/>
      <c r="OWS55" s="1088" t="s">
        <v>289</v>
      </c>
      <c r="OWT55" s="1567" t="s">
        <v>290</v>
      </c>
      <c r="OWU55" s="1567"/>
      <c r="OWV55" s="1567"/>
      <c r="OWW55" s="1088" t="s">
        <v>289</v>
      </c>
      <c r="OWX55" s="1567" t="s">
        <v>290</v>
      </c>
      <c r="OWY55" s="1567"/>
      <c r="OWZ55" s="1567"/>
      <c r="OXA55" s="1088" t="s">
        <v>289</v>
      </c>
      <c r="OXB55" s="1567" t="s">
        <v>290</v>
      </c>
      <c r="OXC55" s="1567"/>
      <c r="OXD55" s="1567"/>
      <c r="OXE55" s="1088" t="s">
        <v>289</v>
      </c>
      <c r="OXF55" s="1567" t="s">
        <v>290</v>
      </c>
      <c r="OXG55" s="1567"/>
      <c r="OXH55" s="1567"/>
      <c r="OXI55" s="1088" t="s">
        <v>289</v>
      </c>
      <c r="OXJ55" s="1567" t="s">
        <v>290</v>
      </c>
      <c r="OXK55" s="1567"/>
      <c r="OXL55" s="1567"/>
      <c r="OXM55" s="1088" t="s">
        <v>289</v>
      </c>
      <c r="OXN55" s="1567" t="s">
        <v>290</v>
      </c>
      <c r="OXO55" s="1567"/>
      <c r="OXP55" s="1567"/>
      <c r="OXQ55" s="1088" t="s">
        <v>289</v>
      </c>
      <c r="OXR55" s="1567" t="s">
        <v>290</v>
      </c>
      <c r="OXS55" s="1567"/>
      <c r="OXT55" s="1567"/>
      <c r="OXU55" s="1088" t="s">
        <v>289</v>
      </c>
      <c r="OXV55" s="1567" t="s">
        <v>290</v>
      </c>
      <c r="OXW55" s="1567"/>
      <c r="OXX55" s="1567"/>
      <c r="OXY55" s="1088" t="s">
        <v>289</v>
      </c>
      <c r="OXZ55" s="1567" t="s">
        <v>290</v>
      </c>
      <c r="OYA55" s="1567"/>
      <c r="OYB55" s="1567"/>
      <c r="OYC55" s="1088" t="s">
        <v>289</v>
      </c>
      <c r="OYD55" s="1567" t="s">
        <v>290</v>
      </c>
      <c r="OYE55" s="1567"/>
      <c r="OYF55" s="1567"/>
      <c r="OYG55" s="1088" t="s">
        <v>289</v>
      </c>
      <c r="OYH55" s="1567" t="s">
        <v>290</v>
      </c>
      <c r="OYI55" s="1567"/>
      <c r="OYJ55" s="1567"/>
      <c r="OYK55" s="1088" t="s">
        <v>289</v>
      </c>
      <c r="OYL55" s="1567" t="s">
        <v>290</v>
      </c>
      <c r="OYM55" s="1567"/>
      <c r="OYN55" s="1567"/>
      <c r="OYO55" s="1088" t="s">
        <v>289</v>
      </c>
      <c r="OYP55" s="1567" t="s">
        <v>290</v>
      </c>
      <c r="OYQ55" s="1567"/>
      <c r="OYR55" s="1567"/>
      <c r="OYS55" s="1088" t="s">
        <v>289</v>
      </c>
      <c r="OYT55" s="1567" t="s">
        <v>290</v>
      </c>
      <c r="OYU55" s="1567"/>
      <c r="OYV55" s="1567"/>
      <c r="OYW55" s="1088" t="s">
        <v>289</v>
      </c>
      <c r="OYX55" s="1567" t="s">
        <v>290</v>
      </c>
      <c r="OYY55" s="1567"/>
      <c r="OYZ55" s="1567"/>
      <c r="OZA55" s="1088" t="s">
        <v>289</v>
      </c>
      <c r="OZB55" s="1567" t="s">
        <v>290</v>
      </c>
      <c r="OZC55" s="1567"/>
      <c r="OZD55" s="1567"/>
      <c r="OZE55" s="1088" t="s">
        <v>289</v>
      </c>
      <c r="OZF55" s="1567" t="s">
        <v>290</v>
      </c>
      <c r="OZG55" s="1567"/>
      <c r="OZH55" s="1567"/>
      <c r="OZI55" s="1088" t="s">
        <v>289</v>
      </c>
      <c r="OZJ55" s="1567" t="s">
        <v>290</v>
      </c>
      <c r="OZK55" s="1567"/>
      <c r="OZL55" s="1567"/>
      <c r="OZM55" s="1088" t="s">
        <v>289</v>
      </c>
      <c r="OZN55" s="1567" t="s">
        <v>290</v>
      </c>
      <c r="OZO55" s="1567"/>
      <c r="OZP55" s="1567"/>
      <c r="OZQ55" s="1088" t="s">
        <v>289</v>
      </c>
      <c r="OZR55" s="1567" t="s">
        <v>290</v>
      </c>
      <c r="OZS55" s="1567"/>
      <c r="OZT55" s="1567"/>
      <c r="OZU55" s="1088" t="s">
        <v>289</v>
      </c>
      <c r="OZV55" s="1567" t="s">
        <v>290</v>
      </c>
      <c r="OZW55" s="1567"/>
      <c r="OZX55" s="1567"/>
      <c r="OZY55" s="1088" t="s">
        <v>289</v>
      </c>
      <c r="OZZ55" s="1567" t="s">
        <v>290</v>
      </c>
      <c r="PAA55" s="1567"/>
      <c r="PAB55" s="1567"/>
      <c r="PAC55" s="1088" t="s">
        <v>289</v>
      </c>
      <c r="PAD55" s="1567" t="s">
        <v>290</v>
      </c>
      <c r="PAE55" s="1567"/>
      <c r="PAF55" s="1567"/>
      <c r="PAG55" s="1088" t="s">
        <v>289</v>
      </c>
      <c r="PAH55" s="1567" t="s">
        <v>290</v>
      </c>
      <c r="PAI55" s="1567"/>
      <c r="PAJ55" s="1567"/>
      <c r="PAK55" s="1088" t="s">
        <v>289</v>
      </c>
      <c r="PAL55" s="1567" t="s">
        <v>290</v>
      </c>
      <c r="PAM55" s="1567"/>
      <c r="PAN55" s="1567"/>
      <c r="PAO55" s="1088" t="s">
        <v>289</v>
      </c>
      <c r="PAP55" s="1567" t="s">
        <v>290</v>
      </c>
      <c r="PAQ55" s="1567"/>
      <c r="PAR55" s="1567"/>
      <c r="PAS55" s="1088" t="s">
        <v>289</v>
      </c>
      <c r="PAT55" s="1567" t="s">
        <v>290</v>
      </c>
      <c r="PAU55" s="1567"/>
      <c r="PAV55" s="1567"/>
      <c r="PAW55" s="1088" t="s">
        <v>289</v>
      </c>
      <c r="PAX55" s="1567" t="s">
        <v>290</v>
      </c>
      <c r="PAY55" s="1567"/>
      <c r="PAZ55" s="1567"/>
      <c r="PBA55" s="1088" t="s">
        <v>289</v>
      </c>
      <c r="PBB55" s="1567" t="s">
        <v>290</v>
      </c>
      <c r="PBC55" s="1567"/>
      <c r="PBD55" s="1567"/>
      <c r="PBE55" s="1088" t="s">
        <v>289</v>
      </c>
      <c r="PBF55" s="1567" t="s">
        <v>290</v>
      </c>
      <c r="PBG55" s="1567"/>
      <c r="PBH55" s="1567"/>
      <c r="PBI55" s="1088" t="s">
        <v>289</v>
      </c>
      <c r="PBJ55" s="1567" t="s">
        <v>290</v>
      </c>
      <c r="PBK55" s="1567"/>
      <c r="PBL55" s="1567"/>
      <c r="PBM55" s="1088" t="s">
        <v>289</v>
      </c>
      <c r="PBN55" s="1567" t="s">
        <v>290</v>
      </c>
      <c r="PBO55" s="1567"/>
      <c r="PBP55" s="1567"/>
      <c r="PBQ55" s="1088" t="s">
        <v>289</v>
      </c>
      <c r="PBR55" s="1567" t="s">
        <v>290</v>
      </c>
      <c r="PBS55" s="1567"/>
      <c r="PBT55" s="1567"/>
      <c r="PBU55" s="1088" t="s">
        <v>289</v>
      </c>
      <c r="PBV55" s="1567" t="s">
        <v>290</v>
      </c>
      <c r="PBW55" s="1567"/>
      <c r="PBX55" s="1567"/>
      <c r="PBY55" s="1088" t="s">
        <v>289</v>
      </c>
      <c r="PBZ55" s="1567" t="s">
        <v>290</v>
      </c>
      <c r="PCA55" s="1567"/>
      <c r="PCB55" s="1567"/>
      <c r="PCC55" s="1088" t="s">
        <v>289</v>
      </c>
      <c r="PCD55" s="1567" t="s">
        <v>290</v>
      </c>
      <c r="PCE55" s="1567"/>
      <c r="PCF55" s="1567"/>
      <c r="PCG55" s="1088" t="s">
        <v>289</v>
      </c>
      <c r="PCH55" s="1567" t="s">
        <v>290</v>
      </c>
      <c r="PCI55" s="1567"/>
      <c r="PCJ55" s="1567"/>
      <c r="PCK55" s="1088" t="s">
        <v>289</v>
      </c>
      <c r="PCL55" s="1567" t="s">
        <v>290</v>
      </c>
      <c r="PCM55" s="1567"/>
      <c r="PCN55" s="1567"/>
      <c r="PCO55" s="1088" t="s">
        <v>289</v>
      </c>
      <c r="PCP55" s="1567" t="s">
        <v>290</v>
      </c>
      <c r="PCQ55" s="1567"/>
      <c r="PCR55" s="1567"/>
      <c r="PCS55" s="1088" t="s">
        <v>289</v>
      </c>
      <c r="PCT55" s="1567" t="s">
        <v>290</v>
      </c>
      <c r="PCU55" s="1567"/>
      <c r="PCV55" s="1567"/>
      <c r="PCW55" s="1088" t="s">
        <v>289</v>
      </c>
      <c r="PCX55" s="1567" t="s">
        <v>290</v>
      </c>
      <c r="PCY55" s="1567"/>
      <c r="PCZ55" s="1567"/>
      <c r="PDA55" s="1088" t="s">
        <v>289</v>
      </c>
      <c r="PDB55" s="1567" t="s">
        <v>290</v>
      </c>
      <c r="PDC55" s="1567"/>
      <c r="PDD55" s="1567"/>
      <c r="PDE55" s="1088" t="s">
        <v>289</v>
      </c>
      <c r="PDF55" s="1567" t="s">
        <v>290</v>
      </c>
      <c r="PDG55" s="1567"/>
      <c r="PDH55" s="1567"/>
      <c r="PDI55" s="1088" t="s">
        <v>289</v>
      </c>
      <c r="PDJ55" s="1567" t="s">
        <v>290</v>
      </c>
      <c r="PDK55" s="1567"/>
      <c r="PDL55" s="1567"/>
      <c r="PDM55" s="1088" t="s">
        <v>289</v>
      </c>
      <c r="PDN55" s="1567" t="s">
        <v>290</v>
      </c>
      <c r="PDO55" s="1567"/>
      <c r="PDP55" s="1567"/>
      <c r="PDQ55" s="1088" t="s">
        <v>289</v>
      </c>
      <c r="PDR55" s="1567" t="s">
        <v>290</v>
      </c>
      <c r="PDS55" s="1567"/>
      <c r="PDT55" s="1567"/>
      <c r="PDU55" s="1088" t="s">
        <v>289</v>
      </c>
      <c r="PDV55" s="1567" t="s">
        <v>290</v>
      </c>
      <c r="PDW55" s="1567"/>
      <c r="PDX55" s="1567"/>
      <c r="PDY55" s="1088" t="s">
        <v>289</v>
      </c>
      <c r="PDZ55" s="1567" t="s">
        <v>290</v>
      </c>
      <c r="PEA55" s="1567"/>
      <c r="PEB55" s="1567"/>
      <c r="PEC55" s="1088" t="s">
        <v>289</v>
      </c>
      <c r="PED55" s="1567" t="s">
        <v>290</v>
      </c>
      <c r="PEE55" s="1567"/>
      <c r="PEF55" s="1567"/>
      <c r="PEG55" s="1088" t="s">
        <v>289</v>
      </c>
      <c r="PEH55" s="1567" t="s">
        <v>290</v>
      </c>
      <c r="PEI55" s="1567"/>
      <c r="PEJ55" s="1567"/>
      <c r="PEK55" s="1088" t="s">
        <v>289</v>
      </c>
      <c r="PEL55" s="1567" t="s">
        <v>290</v>
      </c>
      <c r="PEM55" s="1567"/>
      <c r="PEN55" s="1567"/>
      <c r="PEO55" s="1088" t="s">
        <v>289</v>
      </c>
      <c r="PEP55" s="1567" t="s">
        <v>290</v>
      </c>
      <c r="PEQ55" s="1567"/>
      <c r="PER55" s="1567"/>
      <c r="PES55" s="1088" t="s">
        <v>289</v>
      </c>
      <c r="PET55" s="1567" t="s">
        <v>290</v>
      </c>
      <c r="PEU55" s="1567"/>
      <c r="PEV55" s="1567"/>
      <c r="PEW55" s="1088" t="s">
        <v>289</v>
      </c>
      <c r="PEX55" s="1567" t="s">
        <v>290</v>
      </c>
      <c r="PEY55" s="1567"/>
      <c r="PEZ55" s="1567"/>
      <c r="PFA55" s="1088" t="s">
        <v>289</v>
      </c>
      <c r="PFB55" s="1567" t="s">
        <v>290</v>
      </c>
      <c r="PFC55" s="1567"/>
      <c r="PFD55" s="1567"/>
      <c r="PFE55" s="1088" t="s">
        <v>289</v>
      </c>
      <c r="PFF55" s="1567" t="s">
        <v>290</v>
      </c>
      <c r="PFG55" s="1567"/>
      <c r="PFH55" s="1567"/>
      <c r="PFI55" s="1088" t="s">
        <v>289</v>
      </c>
      <c r="PFJ55" s="1567" t="s">
        <v>290</v>
      </c>
      <c r="PFK55" s="1567"/>
      <c r="PFL55" s="1567"/>
      <c r="PFM55" s="1088" t="s">
        <v>289</v>
      </c>
      <c r="PFN55" s="1567" t="s">
        <v>290</v>
      </c>
      <c r="PFO55" s="1567"/>
      <c r="PFP55" s="1567"/>
      <c r="PFQ55" s="1088" t="s">
        <v>289</v>
      </c>
      <c r="PFR55" s="1567" t="s">
        <v>290</v>
      </c>
      <c r="PFS55" s="1567"/>
      <c r="PFT55" s="1567"/>
      <c r="PFU55" s="1088" t="s">
        <v>289</v>
      </c>
      <c r="PFV55" s="1567" t="s">
        <v>290</v>
      </c>
      <c r="PFW55" s="1567"/>
      <c r="PFX55" s="1567"/>
      <c r="PFY55" s="1088" t="s">
        <v>289</v>
      </c>
      <c r="PFZ55" s="1567" t="s">
        <v>290</v>
      </c>
      <c r="PGA55" s="1567"/>
      <c r="PGB55" s="1567"/>
      <c r="PGC55" s="1088" t="s">
        <v>289</v>
      </c>
      <c r="PGD55" s="1567" t="s">
        <v>290</v>
      </c>
      <c r="PGE55" s="1567"/>
      <c r="PGF55" s="1567"/>
      <c r="PGG55" s="1088" t="s">
        <v>289</v>
      </c>
      <c r="PGH55" s="1567" t="s">
        <v>290</v>
      </c>
      <c r="PGI55" s="1567"/>
      <c r="PGJ55" s="1567"/>
      <c r="PGK55" s="1088" t="s">
        <v>289</v>
      </c>
      <c r="PGL55" s="1567" t="s">
        <v>290</v>
      </c>
      <c r="PGM55" s="1567"/>
      <c r="PGN55" s="1567"/>
      <c r="PGO55" s="1088" t="s">
        <v>289</v>
      </c>
      <c r="PGP55" s="1567" t="s">
        <v>290</v>
      </c>
      <c r="PGQ55" s="1567"/>
      <c r="PGR55" s="1567"/>
      <c r="PGS55" s="1088" t="s">
        <v>289</v>
      </c>
      <c r="PGT55" s="1567" t="s">
        <v>290</v>
      </c>
      <c r="PGU55" s="1567"/>
      <c r="PGV55" s="1567"/>
      <c r="PGW55" s="1088" t="s">
        <v>289</v>
      </c>
      <c r="PGX55" s="1567" t="s">
        <v>290</v>
      </c>
      <c r="PGY55" s="1567"/>
      <c r="PGZ55" s="1567"/>
      <c r="PHA55" s="1088" t="s">
        <v>289</v>
      </c>
      <c r="PHB55" s="1567" t="s">
        <v>290</v>
      </c>
      <c r="PHC55" s="1567"/>
      <c r="PHD55" s="1567"/>
      <c r="PHE55" s="1088" t="s">
        <v>289</v>
      </c>
      <c r="PHF55" s="1567" t="s">
        <v>290</v>
      </c>
      <c r="PHG55" s="1567"/>
      <c r="PHH55" s="1567"/>
      <c r="PHI55" s="1088" t="s">
        <v>289</v>
      </c>
      <c r="PHJ55" s="1567" t="s">
        <v>290</v>
      </c>
      <c r="PHK55" s="1567"/>
      <c r="PHL55" s="1567"/>
      <c r="PHM55" s="1088" t="s">
        <v>289</v>
      </c>
      <c r="PHN55" s="1567" t="s">
        <v>290</v>
      </c>
      <c r="PHO55" s="1567"/>
      <c r="PHP55" s="1567"/>
      <c r="PHQ55" s="1088" t="s">
        <v>289</v>
      </c>
      <c r="PHR55" s="1567" t="s">
        <v>290</v>
      </c>
      <c r="PHS55" s="1567"/>
      <c r="PHT55" s="1567"/>
      <c r="PHU55" s="1088" t="s">
        <v>289</v>
      </c>
      <c r="PHV55" s="1567" t="s">
        <v>290</v>
      </c>
      <c r="PHW55" s="1567"/>
      <c r="PHX55" s="1567"/>
      <c r="PHY55" s="1088" t="s">
        <v>289</v>
      </c>
      <c r="PHZ55" s="1567" t="s">
        <v>290</v>
      </c>
      <c r="PIA55" s="1567"/>
      <c r="PIB55" s="1567"/>
      <c r="PIC55" s="1088" t="s">
        <v>289</v>
      </c>
      <c r="PID55" s="1567" t="s">
        <v>290</v>
      </c>
      <c r="PIE55" s="1567"/>
      <c r="PIF55" s="1567"/>
      <c r="PIG55" s="1088" t="s">
        <v>289</v>
      </c>
      <c r="PIH55" s="1567" t="s">
        <v>290</v>
      </c>
      <c r="PII55" s="1567"/>
      <c r="PIJ55" s="1567"/>
      <c r="PIK55" s="1088" t="s">
        <v>289</v>
      </c>
      <c r="PIL55" s="1567" t="s">
        <v>290</v>
      </c>
      <c r="PIM55" s="1567"/>
      <c r="PIN55" s="1567"/>
      <c r="PIO55" s="1088" t="s">
        <v>289</v>
      </c>
      <c r="PIP55" s="1567" t="s">
        <v>290</v>
      </c>
      <c r="PIQ55" s="1567"/>
      <c r="PIR55" s="1567"/>
      <c r="PIS55" s="1088" t="s">
        <v>289</v>
      </c>
      <c r="PIT55" s="1567" t="s">
        <v>290</v>
      </c>
      <c r="PIU55" s="1567"/>
      <c r="PIV55" s="1567"/>
      <c r="PIW55" s="1088" t="s">
        <v>289</v>
      </c>
      <c r="PIX55" s="1567" t="s">
        <v>290</v>
      </c>
      <c r="PIY55" s="1567"/>
      <c r="PIZ55" s="1567"/>
      <c r="PJA55" s="1088" t="s">
        <v>289</v>
      </c>
      <c r="PJB55" s="1567" t="s">
        <v>290</v>
      </c>
      <c r="PJC55" s="1567"/>
      <c r="PJD55" s="1567"/>
      <c r="PJE55" s="1088" t="s">
        <v>289</v>
      </c>
      <c r="PJF55" s="1567" t="s">
        <v>290</v>
      </c>
      <c r="PJG55" s="1567"/>
      <c r="PJH55" s="1567"/>
      <c r="PJI55" s="1088" t="s">
        <v>289</v>
      </c>
      <c r="PJJ55" s="1567" t="s">
        <v>290</v>
      </c>
      <c r="PJK55" s="1567"/>
      <c r="PJL55" s="1567"/>
      <c r="PJM55" s="1088" t="s">
        <v>289</v>
      </c>
      <c r="PJN55" s="1567" t="s">
        <v>290</v>
      </c>
      <c r="PJO55" s="1567"/>
      <c r="PJP55" s="1567"/>
      <c r="PJQ55" s="1088" t="s">
        <v>289</v>
      </c>
      <c r="PJR55" s="1567" t="s">
        <v>290</v>
      </c>
      <c r="PJS55" s="1567"/>
      <c r="PJT55" s="1567"/>
      <c r="PJU55" s="1088" t="s">
        <v>289</v>
      </c>
      <c r="PJV55" s="1567" t="s">
        <v>290</v>
      </c>
      <c r="PJW55" s="1567"/>
      <c r="PJX55" s="1567"/>
      <c r="PJY55" s="1088" t="s">
        <v>289</v>
      </c>
      <c r="PJZ55" s="1567" t="s">
        <v>290</v>
      </c>
      <c r="PKA55" s="1567"/>
      <c r="PKB55" s="1567"/>
      <c r="PKC55" s="1088" t="s">
        <v>289</v>
      </c>
      <c r="PKD55" s="1567" t="s">
        <v>290</v>
      </c>
      <c r="PKE55" s="1567"/>
      <c r="PKF55" s="1567"/>
      <c r="PKG55" s="1088" t="s">
        <v>289</v>
      </c>
      <c r="PKH55" s="1567" t="s">
        <v>290</v>
      </c>
      <c r="PKI55" s="1567"/>
      <c r="PKJ55" s="1567"/>
      <c r="PKK55" s="1088" t="s">
        <v>289</v>
      </c>
      <c r="PKL55" s="1567" t="s">
        <v>290</v>
      </c>
      <c r="PKM55" s="1567"/>
      <c r="PKN55" s="1567"/>
      <c r="PKO55" s="1088" t="s">
        <v>289</v>
      </c>
      <c r="PKP55" s="1567" t="s">
        <v>290</v>
      </c>
      <c r="PKQ55" s="1567"/>
      <c r="PKR55" s="1567"/>
      <c r="PKS55" s="1088" t="s">
        <v>289</v>
      </c>
      <c r="PKT55" s="1567" t="s">
        <v>290</v>
      </c>
      <c r="PKU55" s="1567"/>
      <c r="PKV55" s="1567"/>
      <c r="PKW55" s="1088" t="s">
        <v>289</v>
      </c>
      <c r="PKX55" s="1567" t="s">
        <v>290</v>
      </c>
      <c r="PKY55" s="1567"/>
      <c r="PKZ55" s="1567"/>
      <c r="PLA55" s="1088" t="s">
        <v>289</v>
      </c>
      <c r="PLB55" s="1567" t="s">
        <v>290</v>
      </c>
      <c r="PLC55" s="1567"/>
      <c r="PLD55" s="1567"/>
      <c r="PLE55" s="1088" t="s">
        <v>289</v>
      </c>
      <c r="PLF55" s="1567" t="s">
        <v>290</v>
      </c>
      <c r="PLG55" s="1567"/>
      <c r="PLH55" s="1567"/>
      <c r="PLI55" s="1088" t="s">
        <v>289</v>
      </c>
      <c r="PLJ55" s="1567" t="s">
        <v>290</v>
      </c>
      <c r="PLK55" s="1567"/>
      <c r="PLL55" s="1567"/>
      <c r="PLM55" s="1088" t="s">
        <v>289</v>
      </c>
      <c r="PLN55" s="1567" t="s">
        <v>290</v>
      </c>
      <c r="PLO55" s="1567"/>
      <c r="PLP55" s="1567"/>
      <c r="PLQ55" s="1088" t="s">
        <v>289</v>
      </c>
      <c r="PLR55" s="1567" t="s">
        <v>290</v>
      </c>
      <c r="PLS55" s="1567"/>
      <c r="PLT55" s="1567"/>
      <c r="PLU55" s="1088" t="s">
        <v>289</v>
      </c>
      <c r="PLV55" s="1567" t="s">
        <v>290</v>
      </c>
      <c r="PLW55" s="1567"/>
      <c r="PLX55" s="1567"/>
      <c r="PLY55" s="1088" t="s">
        <v>289</v>
      </c>
      <c r="PLZ55" s="1567" t="s">
        <v>290</v>
      </c>
      <c r="PMA55" s="1567"/>
      <c r="PMB55" s="1567"/>
      <c r="PMC55" s="1088" t="s">
        <v>289</v>
      </c>
      <c r="PMD55" s="1567" t="s">
        <v>290</v>
      </c>
      <c r="PME55" s="1567"/>
      <c r="PMF55" s="1567"/>
      <c r="PMG55" s="1088" t="s">
        <v>289</v>
      </c>
      <c r="PMH55" s="1567" t="s">
        <v>290</v>
      </c>
      <c r="PMI55" s="1567"/>
      <c r="PMJ55" s="1567"/>
      <c r="PMK55" s="1088" t="s">
        <v>289</v>
      </c>
      <c r="PML55" s="1567" t="s">
        <v>290</v>
      </c>
      <c r="PMM55" s="1567"/>
      <c r="PMN55" s="1567"/>
      <c r="PMO55" s="1088" t="s">
        <v>289</v>
      </c>
      <c r="PMP55" s="1567" t="s">
        <v>290</v>
      </c>
      <c r="PMQ55" s="1567"/>
      <c r="PMR55" s="1567"/>
      <c r="PMS55" s="1088" t="s">
        <v>289</v>
      </c>
      <c r="PMT55" s="1567" t="s">
        <v>290</v>
      </c>
      <c r="PMU55" s="1567"/>
      <c r="PMV55" s="1567"/>
      <c r="PMW55" s="1088" t="s">
        <v>289</v>
      </c>
      <c r="PMX55" s="1567" t="s">
        <v>290</v>
      </c>
      <c r="PMY55" s="1567"/>
      <c r="PMZ55" s="1567"/>
      <c r="PNA55" s="1088" t="s">
        <v>289</v>
      </c>
      <c r="PNB55" s="1567" t="s">
        <v>290</v>
      </c>
      <c r="PNC55" s="1567"/>
      <c r="PND55" s="1567"/>
      <c r="PNE55" s="1088" t="s">
        <v>289</v>
      </c>
      <c r="PNF55" s="1567" t="s">
        <v>290</v>
      </c>
      <c r="PNG55" s="1567"/>
      <c r="PNH55" s="1567"/>
      <c r="PNI55" s="1088" t="s">
        <v>289</v>
      </c>
      <c r="PNJ55" s="1567" t="s">
        <v>290</v>
      </c>
      <c r="PNK55" s="1567"/>
      <c r="PNL55" s="1567"/>
      <c r="PNM55" s="1088" t="s">
        <v>289</v>
      </c>
      <c r="PNN55" s="1567" t="s">
        <v>290</v>
      </c>
      <c r="PNO55" s="1567"/>
      <c r="PNP55" s="1567"/>
      <c r="PNQ55" s="1088" t="s">
        <v>289</v>
      </c>
      <c r="PNR55" s="1567" t="s">
        <v>290</v>
      </c>
      <c r="PNS55" s="1567"/>
      <c r="PNT55" s="1567"/>
      <c r="PNU55" s="1088" t="s">
        <v>289</v>
      </c>
      <c r="PNV55" s="1567" t="s">
        <v>290</v>
      </c>
      <c r="PNW55" s="1567"/>
      <c r="PNX55" s="1567"/>
      <c r="PNY55" s="1088" t="s">
        <v>289</v>
      </c>
      <c r="PNZ55" s="1567" t="s">
        <v>290</v>
      </c>
      <c r="POA55" s="1567"/>
      <c r="POB55" s="1567"/>
      <c r="POC55" s="1088" t="s">
        <v>289</v>
      </c>
      <c r="POD55" s="1567" t="s">
        <v>290</v>
      </c>
      <c r="POE55" s="1567"/>
      <c r="POF55" s="1567"/>
      <c r="POG55" s="1088" t="s">
        <v>289</v>
      </c>
      <c r="POH55" s="1567" t="s">
        <v>290</v>
      </c>
      <c r="POI55" s="1567"/>
      <c r="POJ55" s="1567"/>
      <c r="POK55" s="1088" t="s">
        <v>289</v>
      </c>
      <c r="POL55" s="1567" t="s">
        <v>290</v>
      </c>
      <c r="POM55" s="1567"/>
      <c r="PON55" s="1567"/>
      <c r="POO55" s="1088" t="s">
        <v>289</v>
      </c>
      <c r="POP55" s="1567" t="s">
        <v>290</v>
      </c>
      <c r="POQ55" s="1567"/>
      <c r="POR55" s="1567"/>
      <c r="POS55" s="1088" t="s">
        <v>289</v>
      </c>
      <c r="POT55" s="1567" t="s">
        <v>290</v>
      </c>
      <c r="POU55" s="1567"/>
      <c r="POV55" s="1567"/>
      <c r="POW55" s="1088" t="s">
        <v>289</v>
      </c>
      <c r="POX55" s="1567" t="s">
        <v>290</v>
      </c>
      <c r="POY55" s="1567"/>
      <c r="POZ55" s="1567"/>
      <c r="PPA55" s="1088" t="s">
        <v>289</v>
      </c>
      <c r="PPB55" s="1567" t="s">
        <v>290</v>
      </c>
      <c r="PPC55" s="1567"/>
      <c r="PPD55" s="1567"/>
      <c r="PPE55" s="1088" t="s">
        <v>289</v>
      </c>
      <c r="PPF55" s="1567" t="s">
        <v>290</v>
      </c>
      <c r="PPG55" s="1567"/>
      <c r="PPH55" s="1567"/>
      <c r="PPI55" s="1088" t="s">
        <v>289</v>
      </c>
      <c r="PPJ55" s="1567" t="s">
        <v>290</v>
      </c>
      <c r="PPK55" s="1567"/>
      <c r="PPL55" s="1567"/>
      <c r="PPM55" s="1088" t="s">
        <v>289</v>
      </c>
      <c r="PPN55" s="1567" t="s">
        <v>290</v>
      </c>
      <c r="PPO55" s="1567"/>
      <c r="PPP55" s="1567"/>
      <c r="PPQ55" s="1088" t="s">
        <v>289</v>
      </c>
      <c r="PPR55" s="1567" t="s">
        <v>290</v>
      </c>
      <c r="PPS55" s="1567"/>
      <c r="PPT55" s="1567"/>
      <c r="PPU55" s="1088" t="s">
        <v>289</v>
      </c>
      <c r="PPV55" s="1567" t="s">
        <v>290</v>
      </c>
      <c r="PPW55" s="1567"/>
      <c r="PPX55" s="1567"/>
      <c r="PPY55" s="1088" t="s">
        <v>289</v>
      </c>
      <c r="PPZ55" s="1567" t="s">
        <v>290</v>
      </c>
      <c r="PQA55" s="1567"/>
      <c r="PQB55" s="1567"/>
      <c r="PQC55" s="1088" t="s">
        <v>289</v>
      </c>
      <c r="PQD55" s="1567" t="s">
        <v>290</v>
      </c>
      <c r="PQE55" s="1567"/>
      <c r="PQF55" s="1567"/>
      <c r="PQG55" s="1088" t="s">
        <v>289</v>
      </c>
      <c r="PQH55" s="1567" t="s">
        <v>290</v>
      </c>
      <c r="PQI55" s="1567"/>
      <c r="PQJ55" s="1567"/>
      <c r="PQK55" s="1088" t="s">
        <v>289</v>
      </c>
      <c r="PQL55" s="1567" t="s">
        <v>290</v>
      </c>
      <c r="PQM55" s="1567"/>
      <c r="PQN55" s="1567"/>
      <c r="PQO55" s="1088" t="s">
        <v>289</v>
      </c>
      <c r="PQP55" s="1567" t="s">
        <v>290</v>
      </c>
      <c r="PQQ55" s="1567"/>
      <c r="PQR55" s="1567"/>
      <c r="PQS55" s="1088" t="s">
        <v>289</v>
      </c>
      <c r="PQT55" s="1567" t="s">
        <v>290</v>
      </c>
      <c r="PQU55" s="1567"/>
      <c r="PQV55" s="1567"/>
      <c r="PQW55" s="1088" t="s">
        <v>289</v>
      </c>
      <c r="PQX55" s="1567" t="s">
        <v>290</v>
      </c>
      <c r="PQY55" s="1567"/>
      <c r="PQZ55" s="1567"/>
      <c r="PRA55" s="1088" t="s">
        <v>289</v>
      </c>
      <c r="PRB55" s="1567" t="s">
        <v>290</v>
      </c>
      <c r="PRC55" s="1567"/>
      <c r="PRD55" s="1567"/>
      <c r="PRE55" s="1088" t="s">
        <v>289</v>
      </c>
      <c r="PRF55" s="1567" t="s">
        <v>290</v>
      </c>
      <c r="PRG55" s="1567"/>
      <c r="PRH55" s="1567"/>
      <c r="PRI55" s="1088" t="s">
        <v>289</v>
      </c>
      <c r="PRJ55" s="1567" t="s">
        <v>290</v>
      </c>
      <c r="PRK55" s="1567"/>
      <c r="PRL55" s="1567"/>
      <c r="PRM55" s="1088" t="s">
        <v>289</v>
      </c>
      <c r="PRN55" s="1567" t="s">
        <v>290</v>
      </c>
      <c r="PRO55" s="1567"/>
      <c r="PRP55" s="1567"/>
      <c r="PRQ55" s="1088" t="s">
        <v>289</v>
      </c>
      <c r="PRR55" s="1567" t="s">
        <v>290</v>
      </c>
      <c r="PRS55" s="1567"/>
      <c r="PRT55" s="1567"/>
      <c r="PRU55" s="1088" t="s">
        <v>289</v>
      </c>
      <c r="PRV55" s="1567" t="s">
        <v>290</v>
      </c>
      <c r="PRW55" s="1567"/>
      <c r="PRX55" s="1567"/>
      <c r="PRY55" s="1088" t="s">
        <v>289</v>
      </c>
      <c r="PRZ55" s="1567" t="s">
        <v>290</v>
      </c>
      <c r="PSA55" s="1567"/>
      <c r="PSB55" s="1567"/>
      <c r="PSC55" s="1088" t="s">
        <v>289</v>
      </c>
      <c r="PSD55" s="1567" t="s">
        <v>290</v>
      </c>
      <c r="PSE55" s="1567"/>
      <c r="PSF55" s="1567"/>
      <c r="PSG55" s="1088" t="s">
        <v>289</v>
      </c>
      <c r="PSH55" s="1567" t="s">
        <v>290</v>
      </c>
      <c r="PSI55" s="1567"/>
      <c r="PSJ55" s="1567"/>
      <c r="PSK55" s="1088" t="s">
        <v>289</v>
      </c>
      <c r="PSL55" s="1567" t="s">
        <v>290</v>
      </c>
      <c r="PSM55" s="1567"/>
      <c r="PSN55" s="1567"/>
      <c r="PSO55" s="1088" t="s">
        <v>289</v>
      </c>
      <c r="PSP55" s="1567" t="s">
        <v>290</v>
      </c>
      <c r="PSQ55" s="1567"/>
      <c r="PSR55" s="1567"/>
      <c r="PSS55" s="1088" t="s">
        <v>289</v>
      </c>
      <c r="PST55" s="1567" t="s">
        <v>290</v>
      </c>
      <c r="PSU55" s="1567"/>
      <c r="PSV55" s="1567"/>
      <c r="PSW55" s="1088" t="s">
        <v>289</v>
      </c>
      <c r="PSX55" s="1567" t="s">
        <v>290</v>
      </c>
      <c r="PSY55" s="1567"/>
      <c r="PSZ55" s="1567"/>
      <c r="PTA55" s="1088" t="s">
        <v>289</v>
      </c>
      <c r="PTB55" s="1567" t="s">
        <v>290</v>
      </c>
      <c r="PTC55" s="1567"/>
      <c r="PTD55" s="1567"/>
      <c r="PTE55" s="1088" t="s">
        <v>289</v>
      </c>
      <c r="PTF55" s="1567" t="s">
        <v>290</v>
      </c>
      <c r="PTG55" s="1567"/>
      <c r="PTH55" s="1567"/>
      <c r="PTI55" s="1088" t="s">
        <v>289</v>
      </c>
      <c r="PTJ55" s="1567" t="s">
        <v>290</v>
      </c>
      <c r="PTK55" s="1567"/>
      <c r="PTL55" s="1567"/>
      <c r="PTM55" s="1088" t="s">
        <v>289</v>
      </c>
      <c r="PTN55" s="1567" t="s">
        <v>290</v>
      </c>
      <c r="PTO55" s="1567"/>
      <c r="PTP55" s="1567"/>
      <c r="PTQ55" s="1088" t="s">
        <v>289</v>
      </c>
      <c r="PTR55" s="1567" t="s">
        <v>290</v>
      </c>
      <c r="PTS55" s="1567"/>
      <c r="PTT55" s="1567"/>
      <c r="PTU55" s="1088" t="s">
        <v>289</v>
      </c>
      <c r="PTV55" s="1567" t="s">
        <v>290</v>
      </c>
      <c r="PTW55" s="1567"/>
      <c r="PTX55" s="1567"/>
      <c r="PTY55" s="1088" t="s">
        <v>289</v>
      </c>
      <c r="PTZ55" s="1567" t="s">
        <v>290</v>
      </c>
      <c r="PUA55" s="1567"/>
      <c r="PUB55" s="1567"/>
      <c r="PUC55" s="1088" t="s">
        <v>289</v>
      </c>
      <c r="PUD55" s="1567" t="s">
        <v>290</v>
      </c>
      <c r="PUE55" s="1567"/>
      <c r="PUF55" s="1567"/>
      <c r="PUG55" s="1088" t="s">
        <v>289</v>
      </c>
      <c r="PUH55" s="1567" t="s">
        <v>290</v>
      </c>
      <c r="PUI55" s="1567"/>
      <c r="PUJ55" s="1567"/>
      <c r="PUK55" s="1088" t="s">
        <v>289</v>
      </c>
      <c r="PUL55" s="1567" t="s">
        <v>290</v>
      </c>
      <c r="PUM55" s="1567"/>
      <c r="PUN55" s="1567"/>
      <c r="PUO55" s="1088" t="s">
        <v>289</v>
      </c>
      <c r="PUP55" s="1567" t="s">
        <v>290</v>
      </c>
      <c r="PUQ55" s="1567"/>
      <c r="PUR55" s="1567"/>
      <c r="PUS55" s="1088" t="s">
        <v>289</v>
      </c>
      <c r="PUT55" s="1567" t="s">
        <v>290</v>
      </c>
      <c r="PUU55" s="1567"/>
      <c r="PUV55" s="1567"/>
      <c r="PUW55" s="1088" t="s">
        <v>289</v>
      </c>
      <c r="PUX55" s="1567" t="s">
        <v>290</v>
      </c>
      <c r="PUY55" s="1567"/>
      <c r="PUZ55" s="1567"/>
      <c r="PVA55" s="1088" t="s">
        <v>289</v>
      </c>
      <c r="PVB55" s="1567" t="s">
        <v>290</v>
      </c>
      <c r="PVC55" s="1567"/>
      <c r="PVD55" s="1567"/>
      <c r="PVE55" s="1088" t="s">
        <v>289</v>
      </c>
      <c r="PVF55" s="1567" t="s">
        <v>290</v>
      </c>
      <c r="PVG55" s="1567"/>
      <c r="PVH55" s="1567"/>
      <c r="PVI55" s="1088" t="s">
        <v>289</v>
      </c>
      <c r="PVJ55" s="1567" t="s">
        <v>290</v>
      </c>
      <c r="PVK55" s="1567"/>
      <c r="PVL55" s="1567"/>
      <c r="PVM55" s="1088" t="s">
        <v>289</v>
      </c>
      <c r="PVN55" s="1567" t="s">
        <v>290</v>
      </c>
      <c r="PVO55" s="1567"/>
      <c r="PVP55" s="1567"/>
      <c r="PVQ55" s="1088" t="s">
        <v>289</v>
      </c>
      <c r="PVR55" s="1567" t="s">
        <v>290</v>
      </c>
      <c r="PVS55" s="1567"/>
      <c r="PVT55" s="1567"/>
      <c r="PVU55" s="1088" t="s">
        <v>289</v>
      </c>
      <c r="PVV55" s="1567" t="s">
        <v>290</v>
      </c>
      <c r="PVW55" s="1567"/>
      <c r="PVX55" s="1567"/>
      <c r="PVY55" s="1088" t="s">
        <v>289</v>
      </c>
      <c r="PVZ55" s="1567" t="s">
        <v>290</v>
      </c>
      <c r="PWA55" s="1567"/>
      <c r="PWB55" s="1567"/>
      <c r="PWC55" s="1088" t="s">
        <v>289</v>
      </c>
      <c r="PWD55" s="1567" t="s">
        <v>290</v>
      </c>
      <c r="PWE55" s="1567"/>
      <c r="PWF55" s="1567"/>
      <c r="PWG55" s="1088" t="s">
        <v>289</v>
      </c>
      <c r="PWH55" s="1567" t="s">
        <v>290</v>
      </c>
      <c r="PWI55" s="1567"/>
      <c r="PWJ55" s="1567"/>
      <c r="PWK55" s="1088" t="s">
        <v>289</v>
      </c>
      <c r="PWL55" s="1567" t="s">
        <v>290</v>
      </c>
      <c r="PWM55" s="1567"/>
      <c r="PWN55" s="1567"/>
      <c r="PWO55" s="1088" t="s">
        <v>289</v>
      </c>
      <c r="PWP55" s="1567" t="s">
        <v>290</v>
      </c>
      <c r="PWQ55" s="1567"/>
      <c r="PWR55" s="1567"/>
      <c r="PWS55" s="1088" t="s">
        <v>289</v>
      </c>
      <c r="PWT55" s="1567" t="s">
        <v>290</v>
      </c>
      <c r="PWU55" s="1567"/>
      <c r="PWV55" s="1567"/>
      <c r="PWW55" s="1088" t="s">
        <v>289</v>
      </c>
      <c r="PWX55" s="1567" t="s">
        <v>290</v>
      </c>
      <c r="PWY55" s="1567"/>
      <c r="PWZ55" s="1567"/>
      <c r="PXA55" s="1088" t="s">
        <v>289</v>
      </c>
      <c r="PXB55" s="1567" t="s">
        <v>290</v>
      </c>
      <c r="PXC55" s="1567"/>
      <c r="PXD55" s="1567"/>
      <c r="PXE55" s="1088" t="s">
        <v>289</v>
      </c>
      <c r="PXF55" s="1567" t="s">
        <v>290</v>
      </c>
      <c r="PXG55" s="1567"/>
      <c r="PXH55" s="1567"/>
      <c r="PXI55" s="1088" t="s">
        <v>289</v>
      </c>
      <c r="PXJ55" s="1567" t="s">
        <v>290</v>
      </c>
      <c r="PXK55" s="1567"/>
      <c r="PXL55" s="1567"/>
      <c r="PXM55" s="1088" t="s">
        <v>289</v>
      </c>
      <c r="PXN55" s="1567" t="s">
        <v>290</v>
      </c>
      <c r="PXO55" s="1567"/>
      <c r="PXP55" s="1567"/>
      <c r="PXQ55" s="1088" t="s">
        <v>289</v>
      </c>
      <c r="PXR55" s="1567" t="s">
        <v>290</v>
      </c>
      <c r="PXS55" s="1567"/>
      <c r="PXT55" s="1567"/>
      <c r="PXU55" s="1088" t="s">
        <v>289</v>
      </c>
      <c r="PXV55" s="1567" t="s">
        <v>290</v>
      </c>
      <c r="PXW55" s="1567"/>
      <c r="PXX55" s="1567"/>
      <c r="PXY55" s="1088" t="s">
        <v>289</v>
      </c>
      <c r="PXZ55" s="1567" t="s">
        <v>290</v>
      </c>
      <c r="PYA55" s="1567"/>
      <c r="PYB55" s="1567"/>
      <c r="PYC55" s="1088" t="s">
        <v>289</v>
      </c>
      <c r="PYD55" s="1567" t="s">
        <v>290</v>
      </c>
      <c r="PYE55" s="1567"/>
      <c r="PYF55" s="1567"/>
      <c r="PYG55" s="1088" t="s">
        <v>289</v>
      </c>
      <c r="PYH55" s="1567" t="s">
        <v>290</v>
      </c>
      <c r="PYI55" s="1567"/>
      <c r="PYJ55" s="1567"/>
      <c r="PYK55" s="1088" t="s">
        <v>289</v>
      </c>
      <c r="PYL55" s="1567" t="s">
        <v>290</v>
      </c>
      <c r="PYM55" s="1567"/>
      <c r="PYN55" s="1567"/>
      <c r="PYO55" s="1088" t="s">
        <v>289</v>
      </c>
      <c r="PYP55" s="1567" t="s">
        <v>290</v>
      </c>
      <c r="PYQ55" s="1567"/>
      <c r="PYR55" s="1567"/>
      <c r="PYS55" s="1088" t="s">
        <v>289</v>
      </c>
      <c r="PYT55" s="1567" t="s">
        <v>290</v>
      </c>
      <c r="PYU55" s="1567"/>
      <c r="PYV55" s="1567"/>
      <c r="PYW55" s="1088" t="s">
        <v>289</v>
      </c>
      <c r="PYX55" s="1567" t="s">
        <v>290</v>
      </c>
      <c r="PYY55" s="1567"/>
      <c r="PYZ55" s="1567"/>
      <c r="PZA55" s="1088" t="s">
        <v>289</v>
      </c>
      <c r="PZB55" s="1567" t="s">
        <v>290</v>
      </c>
      <c r="PZC55" s="1567"/>
      <c r="PZD55" s="1567"/>
      <c r="PZE55" s="1088" t="s">
        <v>289</v>
      </c>
      <c r="PZF55" s="1567" t="s">
        <v>290</v>
      </c>
      <c r="PZG55" s="1567"/>
      <c r="PZH55" s="1567"/>
      <c r="PZI55" s="1088" t="s">
        <v>289</v>
      </c>
      <c r="PZJ55" s="1567" t="s">
        <v>290</v>
      </c>
      <c r="PZK55" s="1567"/>
      <c r="PZL55" s="1567"/>
      <c r="PZM55" s="1088" t="s">
        <v>289</v>
      </c>
      <c r="PZN55" s="1567" t="s">
        <v>290</v>
      </c>
      <c r="PZO55" s="1567"/>
      <c r="PZP55" s="1567"/>
      <c r="PZQ55" s="1088" t="s">
        <v>289</v>
      </c>
      <c r="PZR55" s="1567" t="s">
        <v>290</v>
      </c>
      <c r="PZS55" s="1567"/>
      <c r="PZT55" s="1567"/>
      <c r="PZU55" s="1088" t="s">
        <v>289</v>
      </c>
      <c r="PZV55" s="1567" t="s">
        <v>290</v>
      </c>
      <c r="PZW55" s="1567"/>
      <c r="PZX55" s="1567"/>
      <c r="PZY55" s="1088" t="s">
        <v>289</v>
      </c>
      <c r="PZZ55" s="1567" t="s">
        <v>290</v>
      </c>
      <c r="QAA55" s="1567"/>
      <c r="QAB55" s="1567"/>
      <c r="QAC55" s="1088" t="s">
        <v>289</v>
      </c>
      <c r="QAD55" s="1567" t="s">
        <v>290</v>
      </c>
      <c r="QAE55" s="1567"/>
      <c r="QAF55" s="1567"/>
      <c r="QAG55" s="1088" t="s">
        <v>289</v>
      </c>
      <c r="QAH55" s="1567" t="s">
        <v>290</v>
      </c>
      <c r="QAI55" s="1567"/>
      <c r="QAJ55" s="1567"/>
      <c r="QAK55" s="1088" t="s">
        <v>289</v>
      </c>
      <c r="QAL55" s="1567" t="s">
        <v>290</v>
      </c>
      <c r="QAM55" s="1567"/>
      <c r="QAN55" s="1567"/>
      <c r="QAO55" s="1088" t="s">
        <v>289</v>
      </c>
      <c r="QAP55" s="1567" t="s">
        <v>290</v>
      </c>
      <c r="QAQ55" s="1567"/>
      <c r="QAR55" s="1567"/>
      <c r="QAS55" s="1088" t="s">
        <v>289</v>
      </c>
      <c r="QAT55" s="1567" t="s">
        <v>290</v>
      </c>
      <c r="QAU55" s="1567"/>
      <c r="QAV55" s="1567"/>
      <c r="QAW55" s="1088" t="s">
        <v>289</v>
      </c>
      <c r="QAX55" s="1567" t="s">
        <v>290</v>
      </c>
      <c r="QAY55" s="1567"/>
      <c r="QAZ55" s="1567"/>
      <c r="QBA55" s="1088" t="s">
        <v>289</v>
      </c>
      <c r="QBB55" s="1567" t="s">
        <v>290</v>
      </c>
      <c r="QBC55" s="1567"/>
      <c r="QBD55" s="1567"/>
      <c r="QBE55" s="1088" t="s">
        <v>289</v>
      </c>
      <c r="QBF55" s="1567" t="s">
        <v>290</v>
      </c>
      <c r="QBG55" s="1567"/>
      <c r="QBH55" s="1567"/>
      <c r="QBI55" s="1088" t="s">
        <v>289</v>
      </c>
      <c r="QBJ55" s="1567" t="s">
        <v>290</v>
      </c>
      <c r="QBK55" s="1567"/>
      <c r="QBL55" s="1567"/>
      <c r="QBM55" s="1088" t="s">
        <v>289</v>
      </c>
      <c r="QBN55" s="1567" t="s">
        <v>290</v>
      </c>
      <c r="QBO55" s="1567"/>
      <c r="QBP55" s="1567"/>
      <c r="QBQ55" s="1088" t="s">
        <v>289</v>
      </c>
      <c r="QBR55" s="1567" t="s">
        <v>290</v>
      </c>
      <c r="QBS55" s="1567"/>
      <c r="QBT55" s="1567"/>
      <c r="QBU55" s="1088" t="s">
        <v>289</v>
      </c>
      <c r="QBV55" s="1567" t="s">
        <v>290</v>
      </c>
      <c r="QBW55" s="1567"/>
      <c r="QBX55" s="1567"/>
      <c r="QBY55" s="1088" t="s">
        <v>289</v>
      </c>
      <c r="QBZ55" s="1567" t="s">
        <v>290</v>
      </c>
      <c r="QCA55" s="1567"/>
      <c r="QCB55" s="1567"/>
      <c r="QCC55" s="1088" t="s">
        <v>289</v>
      </c>
      <c r="QCD55" s="1567" t="s">
        <v>290</v>
      </c>
      <c r="QCE55" s="1567"/>
      <c r="QCF55" s="1567"/>
      <c r="QCG55" s="1088" t="s">
        <v>289</v>
      </c>
      <c r="QCH55" s="1567" t="s">
        <v>290</v>
      </c>
      <c r="QCI55" s="1567"/>
      <c r="QCJ55" s="1567"/>
      <c r="QCK55" s="1088" t="s">
        <v>289</v>
      </c>
      <c r="QCL55" s="1567" t="s">
        <v>290</v>
      </c>
      <c r="QCM55" s="1567"/>
      <c r="QCN55" s="1567"/>
      <c r="QCO55" s="1088" t="s">
        <v>289</v>
      </c>
      <c r="QCP55" s="1567" t="s">
        <v>290</v>
      </c>
      <c r="QCQ55" s="1567"/>
      <c r="QCR55" s="1567"/>
      <c r="QCS55" s="1088" t="s">
        <v>289</v>
      </c>
      <c r="QCT55" s="1567" t="s">
        <v>290</v>
      </c>
      <c r="QCU55" s="1567"/>
      <c r="QCV55" s="1567"/>
      <c r="QCW55" s="1088" t="s">
        <v>289</v>
      </c>
      <c r="QCX55" s="1567" t="s">
        <v>290</v>
      </c>
      <c r="QCY55" s="1567"/>
      <c r="QCZ55" s="1567"/>
      <c r="QDA55" s="1088" t="s">
        <v>289</v>
      </c>
      <c r="QDB55" s="1567" t="s">
        <v>290</v>
      </c>
      <c r="QDC55" s="1567"/>
      <c r="QDD55" s="1567"/>
      <c r="QDE55" s="1088" t="s">
        <v>289</v>
      </c>
      <c r="QDF55" s="1567" t="s">
        <v>290</v>
      </c>
      <c r="QDG55" s="1567"/>
      <c r="QDH55" s="1567"/>
      <c r="QDI55" s="1088" t="s">
        <v>289</v>
      </c>
      <c r="QDJ55" s="1567" t="s">
        <v>290</v>
      </c>
      <c r="QDK55" s="1567"/>
      <c r="QDL55" s="1567"/>
      <c r="QDM55" s="1088" t="s">
        <v>289</v>
      </c>
      <c r="QDN55" s="1567" t="s">
        <v>290</v>
      </c>
      <c r="QDO55" s="1567"/>
      <c r="QDP55" s="1567"/>
      <c r="QDQ55" s="1088" t="s">
        <v>289</v>
      </c>
      <c r="QDR55" s="1567" t="s">
        <v>290</v>
      </c>
      <c r="QDS55" s="1567"/>
      <c r="QDT55" s="1567"/>
      <c r="QDU55" s="1088" t="s">
        <v>289</v>
      </c>
      <c r="QDV55" s="1567" t="s">
        <v>290</v>
      </c>
      <c r="QDW55" s="1567"/>
      <c r="QDX55" s="1567"/>
      <c r="QDY55" s="1088" t="s">
        <v>289</v>
      </c>
      <c r="QDZ55" s="1567" t="s">
        <v>290</v>
      </c>
      <c r="QEA55" s="1567"/>
      <c r="QEB55" s="1567"/>
      <c r="QEC55" s="1088" t="s">
        <v>289</v>
      </c>
      <c r="QED55" s="1567" t="s">
        <v>290</v>
      </c>
      <c r="QEE55" s="1567"/>
      <c r="QEF55" s="1567"/>
      <c r="QEG55" s="1088" t="s">
        <v>289</v>
      </c>
      <c r="QEH55" s="1567" t="s">
        <v>290</v>
      </c>
      <c r="QEI55" s="1567"/>
      <c r="QEJ55" s="1567"/>
      <c r="QEK55" s="1088" t="s">
        <v>289</v>
      </c>
      <c r="QEL55" s="1567" t="s">
        <v>290</v>
      </c>
      <c r="QEM55" s="1567"/>
      <c r="QEN55" s="1567"/>
      <c r="QEO55" s="1088" t="s">
        <v>289</v>
      </c>
      <c r="QEP55" s="1567" t="s">
        <v>290</v>
      </c>
      <c r="QEQ55" s="1567"/>
      <c r="QER55" s="1567"/>
      <c r="QES55" s="1088" t="s">
        <v>289</v>
      </c>
      <c r="QET55" s="1567" t="s">
        <v>290</v>
      </c>
      <c r="QEU55" s="1567"/>
      <c r="QEV55" s="1567"/>
      <c r="QEW55" s="1088" t="s">
        <v>289</v>
      </c>
      <c r="QEX55" s="1567" t="s">
        <v>290</v>
      </c>
      <c r="QEY55" s="1567"/>
      <c r="QEZ55" s="1567"/>
      <c r="QFA55" s="1088" t="s">
        <v>289</v>
      </c>
      <c r="QFB55" s="1567" t="s">
        <v>290</v>
      </c>
      <c r="QFC55" s="1567"/>
      <c r="QFD55" s="1567"/>
      <c r="QFE55" s="1088" t="s">
        <v>289</v>
      </c>
      <c r="QFF55" s="1567" t="s">
        <v>290</v>
      </c>
      <c r="QFG55" s="1567"/>
      <c r="QFH55" s="1567"/>
      <c r="QFI55" s="1088" t="s">
        <v>289</v>
      </c>
      <c r="QFJ55" s="1567" t="s">
        <v>290</v>
      </c>
      <c r="QFK55" s="1567"/>
      <c r="QFL55" s="1567"/>
      <c r="QFM55" s="1088" t="s">
        <v>289</v>
      </c>
      <c r="QFN55" s="1567" t="s">
        <v>290</v>
      </c>
      <c r="QFO55" s="1567"/>
      <c r="QFP55" s="1567"/>
      <c r="QFQ55" s="1088" t="s">
        <v>289</v>
      </c>
      <c r="QFR55" s="1567" t="s">
        <v>290</v>
      </c>
      <c r="QFS55" s="1567"/>
      <c r="QFT55" s="1567"/>
      <c r="QFU55" s="1088" t="s">
        <v>289</v>
      </c>
      <c r="QFV55" s="1567" t="s">
        <v>290</v>
      </c>
      <c r="QFW55" s="1567"/>
      <c r="QFX55" s="1567"/>
      <c r="QFY55" s="1088" t="s">
        <v>289</v>
      </c>
      <c r="QFZ55" s="1567" t="s">
        <v>290</v>
      </c>
      <c r="QGA55" s="1567"/>
      <c r="QGB55" s="1567"/>
      <c r="QGC55" s="1088" t="s">
        <v>289</v>
      </c>
      <c r="QGD55" s="1567" t="s">
        <v>290</v>
      </c>
      <c r="QGE55" s="1567"/>
      <c r="QGF55" s="1567"/>
      <c r="QGG55" s="1088" t="s">
        <v>289</v>
      </c>
      <c r="QGH55" s="1567" t="s">
        <v>290</v>
      </c>
      <c r="QGI55" s="1567"/>
      <c r="QGJ55" s="1567"/>
      <c r="QGK55" s="1088" t="s">
        <v>289</v>
      </c>
      <c r="QGL55" s="1567" t="s">
        <v>290</v>
      </c>
      <c r="QGM55" s="1567"/>
      <c r="QGN55" s="1567"/>
      <c r="QGO55" s="1088" t="s">
        <v>289</v>
      </c>
      <c r="QGP55" s="1567" t="s">
        <v>290</v>
      </c>
      <c r="QGQ55" s="1567"/>
      <c r="QGR55" s="1567"/>
      <c r="QGS55" s="1088" t="s">
        <v>289</v>
      </c>
      <c r="QGT55" s="1567" t="s">
        <v>290</v>
      </c>
      <c r="QGU55" s="1567"/>
      <c r="QGV55" s="1567"/>
      <c r="QGW55" s="1088" t="s">
        <v>289</v>
      </c>
      <c r="QGX55" s="1567" t="s">
        <v>290</v>
      </c>
      <c r="QGY55" s="1567"/>
      <c r="QGZ55" s="1567"/>
      <c r="QHA55" s="1088" t="s">
        <v>289</v>
      </c>
      <c r="QHB55" s="1567" t="s">
        <v>290</v>
      </c>
      <c r="QHC55" s="1567"/>
      <c r="QHD55" s="1567"/>
      <c r="QHE55" s="1088" t="s">
        <v>289</v>
      </c>
      <c r="QHF55" s="1567" t="s">
        <v>290</v>
      </c>
      <c r="QHG55" s="1567"/>
      <c r="QHH55" s="1567"/>
      <c r="QHI55" s="1088" t="s">
        <v>289</v>
      </c>
      <c r="QHJ55" s="1567" t="s">
        <v>290</v>
      </c>
      <c r="QHK55" s="1567"/>
      <c r="QHL55" s="1567"/>
      <c r="QHM55" s="1088" t="s">
        <v>289</v>
      </c>
      <c r="QHN55" s="1567" t="s">
        <v>290</v>
      </c>
      <c r="QHO55" s="1567"/>
      <c r="QHP55" s="1567"/>
      <c r="QHQ55" s="1088" t="s">
        <v>289</v>
      </c>
      <c r="QHR55" s="1567" t="s">
        <v>290</v>
      </c>
      <c r="QHS55" s="1567"/>
      <c r="QHT55" s="1567"/>
      <c r="QHU55" s="1088" t="s">
        <v>289</v>
      </c>
      <c r="QHV55" s="1567" t="s">
        <v>290</v>
      </c>
      <c r="QHW55" s="1567"/>
      <c r="QHX55" s="1567"/>
      <c r="QHY55" s="1088" t="s">
        <v>289</v>
      </c>
      <c r="QHZ55" s="1567" t="s">
        <v>290</v>
      </c>
      <c r="QIA55" s="1567"/>
      <c r="QIB55" s="1567"/>
      <c r="QIC55" s="1088" t="s">
        <v>289</v>
      </c>
      <c r="QID55" s="1567" t="s">
        <v>290</v>
      </c>
      <c r="QIE55" s="1567"/>
      <c r="QIF55" s="1567"/>
      <c r="QIG55" s="1088" t="s">
        <v>289</v>
      </c>
      <c r="QIH55" s="1567" t="s">
        <v>290</v>
      </c>
      <c r="QII55" s="1567"/>
      <c r="QIJ55" s="1567"/>
      <c r="QIK55" s="1088" t="s">
        <v>289</v>
      </c>
      <c r="QIL55" s="1567" t="s">
        <v>290</v>
      </c>
      <c r="QIM55" s="1567"/>
      <c r="QIN55" s="1567"/>
      <c r="QIO55" s="1088" t="s">
        <v>289</v>
      </c>
      <c r="QIP55" s="1567" t="s">
        <v>290</v>
      </c>
      <c r="QIQ55" s="1567"/>
      <c r="QIR55" s="1567"/>
      <c r="QIS55" s="1088" t="s">
        <v>289</v>
      </c>
      <c r="QIT55" s="1567" t="s">
        <v>290</v>
      </c>
      <c r="QIU55" s="1567"/>
      <c r="QIV55" s="1567"/>
      <c r="QIW55" s="1088" t="s">
        <v>289</v>
      </c>
      <c r="QIX55" s="1567" t="s">
        <v>290</v>
      </c>
      <c r="QIY55" s="1567"/>
      <c r="QIZ55" s="1567"/>
      <c r="QJA55" s="1088" t="s">
        <v>289</v>
      </c>
      <c r="QJB55" s="1567" t="s">
        <v>290</v>
      </c>
      <c r="QJC55" s="1567"/>
      <c r="QJD55" s="1567"/>
      <c r="QJE55" s="1088" t="s">
        <v>289</v>
      </c>
      <c r="QJF55" s="1567" t="s">
        <v>290</v>
      </c>
      <c r="QJG55" s="1567"/>
      <c r="QJH55" s="1567"/>
      <c r="QJI55" s="1088" t="s">
        <v>289</v>
      </c>
      <c r="QJJ55" s="1567" t="s">
        <v>290</v>
      </c>
      <c r="QJK55" s="1567"/>
      <c r="QJL55" s="1567"/>
      <c r="QJM55" s="1088" t="s">
        <v>289</v>
      </c>
      <c r="QJN55" s="1567" t="s">
        <v>290</v>
      </c>
      <c r="QJO55" s="1567"/>
      <c r="QJP55" s="1567"/>
      <c r="QJQ55" s="1088" t="s">
        <v>289</v>
      </c>
      <c r="QJR55" s="1567" t="s">
        <v>290</v>
      </c>
      <c r="QJS55" s="1567"/>
      <c r="QJT55" s="1567"/>
      <c r="QJU55" s="1088" t="s">
        <v>289</v>
      </c>
      <c r="QJV55" s="1567" t="s">
        <v>290</v>
      </c>
      <c r="QJW55" s="1567"/>
      <c r="QJX55" s="1567"/>
      <c r="QJY55" s="1088" t="s">
        <v>289</v>
      </c>
      <c r="QJZ55" s="1567" t="s">
        <v>290</v>
      </c>
      <c r="QKA55" s="1567"/>
      <c r="QKB55" s="1567"/>
      <c r="QKC55" s="1088" t="s">
        <v>289</v>
      </c>
      <c r="QKD55" s="1567" t="s">
        <v>290</v>
      </c>
      <c r="QKE55" s="1567"/>
      <c r="QKF55" s="1567"/>
      <c r="QKG55" s="1088" t="s">
        <v>289</v>
      </c>
      <c r="QKH55" s="1567" t="s">
        <v>290</v>
      </c>
      <c r="QKI55" s="1567"/>
      <c r="QKJ55" s="1567"/>
      <c r="QKK55" s="1088" t="s">
        <v>289</v>
      </c>
      <c r="QKL55" s="1567" t="s">
        <v>290</v>
      </c>
      <c r="QKM55" s="1567"/>
      <c r="QKN55" s="1567"/>
      <c r="QKO55" s="1088" t="s">
        <v>289</v>
      </c>
      <c r="QKP55" s="1567" t="s">
        <v>290</v>
      </c>
      <c r="QKQ55" s="1567"/>
      <c r="QKR55" s="1567"/>
      <c r="QKS55" s="1088" t="s">
        <v>289</v>
      </c>
      <c r="QKT55" s="1567" t="s">
        <v>290</v>
      </c>
      <c r="QKU55" s="1567"/>
      <c r="QKV55" s="1567"/>
      <c r="QKW55" s="1088" t="s">
        <v>289</v>
      </c>
      <c r="QKX55" s="1567" t="s">
        <v>290</v>
      </c>
      <c r="QKY55" s="1567"/>
      <c r="QKZ55" s="1567"/>
      <c r="QLA55" s="1088" t="s">
        <v>289</v>
      </c>
      <c r="QLB55" s="1567" t="s">
        <v>290</v>
      </c>
      <c r="QLC55" s="1567"/>
      <c r="QLD55" s="1567"/>
      <c r="QLE55" s="1088" t="s">
        <v>289</v>
      </c>
      <c r="QLF55" s="1567" t="s">
        <v>290</v>
      </c>
      <c r="QLG55" s="1567"/>
      <c r="QLH55" s="1567"/>
      <c r="QLI55" s="1088" t="s">
        <v>289</v>
      </c>
      <c r="QLJ55" s="1567" t="s">
        <v>290</v>
      </c>
      <c r="QLK55" s="1567"/>
      <c r="QLL55" s="1567"/>
      <c r="QLM55" s="1088" t="s">
        <v>289</v>
      </c>
      <c r="QLN55" s="1567" t="s">
        <v>290</v>
      </c>
      <c r="QLO55" s="1567"/>
      <c r="QLP55" s="1567"/>
      <c r="QLQ55" s="1088" t="s">
        <v>289</v>
      </c>
      <c r="QLR55" s="1567" t="s">
        <v>290</v>
      </c>
      <c r="QLS55" s="1567"/>
      <c r="QLT55" s="1567"/>
      <c r="QLU55" s="1088" t="s">
        <v>289</v>
      </c>
      <c r="QLV55" s="1567" t="s">
        <v>290</v>
      </c>
      <c r="QLW55" s="1567"/>
      <c r="QLX55" s="1567"/>
      <c r="QLY55" s="1088" t="s">
        <v>289</v>
      </c>
      <c r="QLZ55" s="1567" t="s">
        <v>290</v>
      </c>
      <c r="QMA55" s="1567"/>
      <c r="QMB55" s="1567"/>
      <c r="QMC55" s="1088" t="s">
        <v>289</v>
      </c>
      <c r="QMD55" s="1567" t="s">
        <v>290</v>
      </c>
      <c r="QME55" s="1567"/>
      <c r="QMF55" s="1567"/>
      <c r="QMG55" s="1088" t="s">
        <v>289</v>
      </c>
      <c r="QMH55" s="1567" t="s">
        <v>290</v>
      </c>
      <c r="QMI55" s="1567"/>
      <c r="QMJ55" s="1567"/>
      <c r="QMK55" s="1088" t="s">
        <v>289</v>
      </c>
      <c r="QML55" s="1567" t="s">
        <v>290</v>
      </c>
      <c r="QMM55" s="1567"/>
      <c r="QMN55" s="1567"/>
      <c r="QMO55" s="1088" t="s">
        <v>289</v>
      </c>
      <c r="QMP55" s="1567" t="s">
        <v>290</v>
      </c>
      <c r="QMQ55" s="1567"/>
      <c r="QMR55" s="1567"/>
      <c r="QMS55" s="1088" t="s">
        <v>289</v>
      </c>
      <c r="QMT55" s="1567" t="s">
        <v>290</v>
      </c>
      <c r="QMU55" s="1567"/>
      <c r="QMV55" s="1567"/>
      <c r="QMW55" s="1088" t="s">
        <v>289</v>
      </c>
      <c r="QMX55" s="1567" t="s">
        <v>290</v>
      </c>
      <c r="QMY55" s="1567"/>
      <c r="QMZ55" s="1567"/>
      <c r="QNA55" s="1088" t="s">
        <v>289</v>
      </c>
      <c r="QNB55" s="1567" t="s">
        <v>290</v>
      </c>
      <c r="QNC55" s="1567"/>
      <c r="QND55" s="1567"/>
      <c r="QNE55" s="1088" t="s">
        <v>289</v>
      </c>
      <c r="QNF55" s="1567" t="s">
        <v>290</v>
      </c>
      <c r="QNG55" s="1567"/>
      <c r="QNH55" s="1567"/>
      <c r="QNI55" s="1088" t="s">
        <v>289</v>
      </c>
      <c r="QNJ55" s="1567" t="s">
        <v>290</v>
      </c>
      <c r="QNK55" s="1567"/>
      <c r="QNL55" s="1567"/>
      <c r="QNM55" s="1088" t="s">
        <v>289</v>
      </c>
      <c r="QNN55" s="1567" t="s">
        <v>290</v>
      </c>
      <c r="QNO55" s="1567"/>
      <c r="QNP55" s="1567"/>
      <c r="QNQ55" s="1088" t="s">
        <v>289</v>
      </c>
      <c r="QNR55" s="1567" t="s">
        <v>290</v>
      </c>
      <c r="QNS55" s="1567"/>
      <c r="QNT55" s="1567"/>
      <c r="QNU55" s="1088" t="s">
        <v>289</v>
      </c>
      <c r="QNV55" s="1567" t="s">
        <v>290</v>
      </c>
      <c r="QNW55" s="1567"/>
      <c r="QNX55" s="1567"/>
      <c r="QNY55" s="1088" t="s">
        <v>289</v>
      </c>
      <c r="QNZ55" s="1567" t="s">
        <v>290</v>
      </c>
      <c r="QOA55" s="1567"/>
      <c r="QOB55" s="1567"/>
      <c r="QOC55" s="1088" t="s">
        <v>289</v>
      </c>
      <c r="QOD55" s="1567" t="s">
        <v>290</v>
      </c>
      <c r="QOE55" s="1567"/>
      <c r="QOF55" s="1567"/>
      <c r="QOG55" s="1088" t="s">
        <v>289</v>
      </c>
      <c r="QOH55" s="1567" t="s">
        <v>290</v>
      </c>
      <c r="QOI55" s="1567"/>
      <c r="QOJ55" s="1567"/>
      <c r="QOK55" s="1088" t="s">
        <v>289</v>
      </c>
      <c r="QOL55" s="1567" t="s">
        <v>290</v>
      </c>
      <c r="QOM55" s="1567"/>
      <c r="QON55" s="1567"/>
      <c r="QOO55" s="1088" t="s">
        <v>289</v>
      </c>
      <c r="QOP55" s="1567" t="s">
        <v>290</v>
      </c>
      <c r="QOQ55" s="1567"/>
      <c r="QOR55" s="1567"/>
      <c r="QOS55" s="1088" t="s">
        <v>289</v>
      </c>
      <c r="QOT55" s="1567" t="s">
        <v>290</v>
      </c>
      <c r="QOU55" s="1567"/>
      <c r="QOV55" s="1567"/>
      <c r="QOW55" s="1088" t="s">
        <v>289</v>
      </c>
      <c r="QOX55" s="1567" t="s">
        <v>290</v>
      </c>
      <c r="QOY55" s="1567"/>
      <c r="QOZ55" s="1567"/>
      <c r="QPA55" s="1088" t="s">
        <v>289</v>
      </c>
      <c r="QPB55" s="1567" t="s">
        <v>290</v>
      </c>
      <c r="QPC55" s="1567"/>
      <c r="QPD55" s="1567"/>
      <c r="QPE55" s="1088" t="s">
        <v>289</v>
      </c>
      <c r="QPF55" s="1567" t="s">
        <v>290</v>
      </c>
      <c r="QPG55" s="1567"/>
      <c r="QPH55" s="1567"/>
      <c r="QPI55" s="1088" t="s">
        <v>289</v>
      </c>
      <c r="QPJ55" s="1567" t="s">
        <v>290</v>
      </c>
      <c r="QPK55" s="1567"/>
      <c r="QPL55" s="1567"/>
      <c r="QPM55" s="1088" t="s">
        <v>289</v>
      </c>
      <c r="QPN55" s="1567" t="s">
        <v>290</v>
      </c>
      <c r="QPO55" s="1567"/>
      <c r="QPP55" s="1567"/>
      <c r="QPQ55" s="1088" t="s">
        <v>289</v>
      </c>
      <c r="QPR55" s="1567" t="s">
        <v>290</v>
      </c>
      <c r="QPS55" s="1567"/>
      <c r="QPT55" s="1567"/>
      <c r="QPU55" s="1088" t="s">
        <v>289</v>
      </c>
      <c r="QPV55" s="1567" t="s">
        <v>290</v>
      </c>
      <c r="QPW55" s="1567"/>
      <c r="QPX55" s="1567"/>
      <c r="QPY55" s="1088" t="s">
        <v>289</v>
      </c>
      <c r="QPZ55" s="1567" t="s">
        <v>290</v>
      </c>
      <c r="QQA55" s="1567"/>
      <c r="QQB55" s="1567"/>
      <c r="QQC55" s="1088" t="s">
        <v>289</v>
      </c>
      <c r="QQD55" s="1567" t="s">
        <v>290</v>
      </c>
      <c r="QQE55" s="1567"/>
      <c r="QQF55" s="1567"/>
      <c r="QQG55" s="1088" t="s">
        <v>289</v>
      </c>
      <c r="QQH55" s="1567" t="s">
        <v>290</v>
      </c>
      <c r="QQI55" s="1567"/>
      <c r="QQJ55" s="1567"/>
      <c r="QQK55" s="1088" t="s">
        <v>289</v>
      </c>
      <c r="QQL55" s="1567" t="s">
        <v>290</v>
      </c>
      <c r="QQM55" s="1567"/>
      <c r="QQN55" s="1567"/>
      <c r="QQO55" s="1088" t="s">
        <v>289</v>
      </c>
      <c r="QQP55" s="1567" t="s">
        <v>290</v>
      </c>
      <c r="QQQ55" s="1567"/>
      <c r="QQR55" s="1567"/>
      <c r="QQS55" s="1088" t="s">
        <v>289</v>
      </c>
      <c r="QQT55" s="1567" t="s">
        <v>290</v>
      </c>
      <c r="QQU55" s="1567"/>
      <c r="QQV55" s="1567"/>
      <c r="QQW55" s="1088" t="s">
        <v>289</v>
      </c>
      <c r="QQX55" s="1567" t="s">
        <v>290</v>
      </c>
      <c r="QQY55" s="1567"/>
      <c r="QQZ55" s="1567"/>
      <c r="QRA55" s="1088" t="s">
        <v>289</v>
      </c>
      <c r="QRB55" s="1567" t="s">
        <v>290</v>
      </c>
      <c r="QRC55" s="1567"/>
      <c r="QRD55" s="1567"/>
      <c r="QRE55" s="1088" t="s">
        <v>289</v>
      </c>
      <c r="QRF55" s="1567" t="s">
        <v>290</v>
      </c>
      <c r="QRG55" s="1567"/>
      <c r="QRH55" s="1567"/>
      <c r="QRI55" s="1088" t="s">
        <v>289</v>
      </c>
      <c r="QRJ55" s="1567" t="s">
        <v>290</v>
      </c>
      <c r="QRK55" s="1567"/>
      <c r="QRL55" s="1567"/>
      <c r="QRM55" s="1088" t="s">
        <v>289</v>
      </c>
      <c r="QRN55" s="1567" t="s">
        <v>290</v>
      </c>
      <c r="QRO55" s="1567"/>
      <c r="QRP55" s="1567"/>
      <c r="QRQ55" s="1088" t="s">
        <v>289</v>
      </c>
      <c r="QRR55" s="1567" t="s">
        <v>290</v>
      </c>
      <c r="QRS55" s="1567"/>
      <c r="QRT55" s="1567"/>
      <c r="QRU55" s="1088" t="s">
        <v>289</v>
      </c>
      <c r="QRV55" s="1567" t="s">
        <v>290</v>
      </c>
      <c r="QRW55" s="1567"/>
      <c r="QRX55" s="1567"/>
      <c r="QRY55" s="1088" t="s">
        <v>289</v>
      </c>
      <c r="QRZ55" s="1567" t="s">
        <v>290</v>
      </c>
      <c r="QSA55" s="1567"/>
      <c r="QSB55" s="1567"/>
      <c r="QSC55" s="1088" t="s">
        <v>289</v>
      </c>
      <c r="QSD55" s="1567" t="s">
        <v>290</v>
      </c>
      <c r="QSE55" s="1567"/>
      <c r="QSF55" s="1567"/>
      <c r="QSG55" s="1088" t="s">
        <v>289</v>
      </c>
      <c r="QSH55" s="1567" t="s">
        <v>290</v>
      </c>
      <c r="QSI55" s="1567"/>
      <c r="QSJ55" s="1567"/>
      <c r="QSK55" s="1088" t="s">
        <v>289</v>
      </c>
      <c r="QSL55" s="1567" t="s">
        <v>290</v>
      </c>
      <c r="QSM55" s="1567"/>
      <c r="QSN55" s="1567"/>
      <c r="QSO55" s="1088" t="s">
        <v>289</v>
      </c>
      <c r="QSP55" s="1567" t="s">
        <v>290</v>
      </c>
      <c r="QSQ55" s="1567"/>
      <c r="QSR55" s="1567"/>
      <c r="QSS55" s="1088" t="s">
        <v>289</v>
      </c>
      <c r="QST55" s="1567" t="s">
        <v>290</v>
      </c>
      <c r="QSU55" s="1567"/>
      <c r="QSV55" s="1567"/>
      <c r="QSW55" s="1088" t="s">
        <v>289</v>
      </c>
      <c r="QSX55" s="1567" t="s">
        <v>290</v>
      </c>
      <c r="QSY55" s="1567"/>
      <c r="QSZ55" s="1567"/>
      <c r="QTA55" s="1088" t="s">
        <v>289</v>
      </c>
      <c r="QTB55" s="1567" t="s">
        <v>290</v>
      </c>
      <c r="QTC55" s="1567"/>
      <c r="QTD55" s="1567"/>
      <c r="QTE55" s="1088" t="s">
        <v>289</v>
      </c>
      <c r="QTF55" s="1567" t="s">
        <v>290</v>
      </c>
      <c r="QTG55" s="1567"/>
      <c r="QTH55" s="1567"/>
      <c r="QTI55" s="1088" t="s">
        <v>289</v>
      </c>
      <c r="QTJ55" s="1567" t="s">
        <v>290</v>
      </c>
      <c r="QTK55" s="1567"/>
      <c r="QTL55" s="1567"/>
      <c r="QTM55" s="1088" t="s">
        <v>289</v>
      </c>
      <c r="QTN55" s="1567" t="s">
        <v>290</v>
      </c>
      <c r="QTO55" s="1567"/>
      <c r="QTP55" s="1567"/>
      <c r="QTQ55" s="1088" t="s">
        <v>289</v>
      </c>
      <c r="QTR55" s="1567" t="s">
        <v>290</v>
      </c>
      <c r="QTS55" s="1567"/>
      <c r="QTT55" s="1567"/>
      <c r="QTU55" s="1088" t="s">
        <v>289</v>
      </c>
      <c r="QTV55" s="1567" t="s">
        <v>290</v>
      </c>
      <c r="QTW55" s="1567"/>
      <c r="QTX55" s="1567"/>
      <c r="QTY55" s="1088" t="s">
        <v>289</v>
      </c>
      <c r="QTZ55" s="1567" t="s">
        <v>290</v>
      </c>
      <c r="QUA55" s="1567"/>
      <c r="QUB55" s="1567"/>
      <c r="QUC55" s="1088" t="s">
        <v>289</v>
      </c>
      <c r="QUD55" s="1567" t="s">
        <v>290</v>
      </c>
      <c r="QUE55" s="1567"/>
      <c r="QUF55" s="1567"/>
      <c r="QUG55" s="1088" t="s">
        <v>289</v>
      </c>
      <c r="QUH55" s="1567" t="s">
        <v>290</v>
      </c>
      <c r="QUI55" s="1567"/>
      <c r="QUJ55" s="1567"/>
      <c r="QUK55" s="1088" t="s">
        <v>289</v>
      </c>
      <c r="QUL55" s="1567" t="s">
        <v>290</v>
      </c>
      <c r="QUM55" s="1567"/>
      <c r="QUN55" s="1567"/>
      <c r="QUO55" s="1088" t="s">
        <v>289</v>
      </c>
      <c r="QUP55" s="1567" t="s">
        <v>290</v>
      </c>
      <c r="QUQ55" s="1567"/>
      <c r="QUR55" s="1567"/>
      <c r="QUS55" s="1088" t="s">
        <v>289</v>
      </c>
      <c r="QUT55" s="1567" t="s">
        <v>290</v>
      </c>
      <c r="QUU55" s="1567"/>
      <c r="QUV55" s="1567"/>
      <c r="QUW55" s="1088" t="s">
        <v>289</v>
      </c>
      <c r="QUX55" s="1567" t="s">
        <v>290</v>
      </c>
      <c r="QUY55" s="1567"/>
      <c r="QUZ55" s="1567"/>
      <c r="QVA55" s="1088" t="s">
        <v>289</v>
      </c>
      <c r="QVB55" s="1567" t="s">
        <v>290</v>
      </c>
      <c r="QVC55" s="1567"/>
      <c r="QVD55" s="1567"/>
      <c r="QVE55" s="1088" t="s">
        <v>289</v>
      </c>
      <c r="QVF55" s="1567" t="s">
        <v>290</v>
      </c>
      <c r="QVG55" s="1567"/>
      <c r="QVH55" s="1567"/>
      <c r="QVI55" s="1088" t="s">
        <v>289</v>
      </c>
      <c r="QVJ55" s="1567" t="s">
        <v>290</v>
      </c>
      <c r="QVK55" s="1567"/>
      <c r="QVL55" s="1567"/>
      <c r="QVM55" s="1088" t="s">
        <v>289</v>
      </c>
      <c r="QVN55" s="1567" t="s">
        <v>290</v>
      </c>
      <c r="QVO55" s="1567"/>
      <c r="QVP55" s="1567"/>
      <c r="QVQ55" s="1088" t="s">
        <v>289</v>
      </c>
      <c r="QVR55" s="1567" t="s">
        <v>290</v>
      </c>
      <c r="QVS55" s="1567"/>
      <c r="QVT55" s="1567"/>
      <c r="QVU55" s="1088" t="s">
        <v>289</v>
      </c>
      <c r="QVV55" s="1567" t="s">
        <v>290</v>
      </c>
      <c r="QVW55" s="1567"/>
      <c r="QVX55" s="1567"/>
      <c r="QVY55" s="1088" t="s">
        <v>289</v>
      </c>
      <c r="QVZ55" s="1567" t="s">
        <v>290</v>
      </c>
      <c r="QWA55" s="1567"/>
      <c r="QWB55" s="1567"/>
      <c r="QWC55" s="1088" t="s">
        <v>289</v>
      </c>
      <c r="QWD55" s="1567" t="s">
        <v>290</v>
      </c>
      <c r="QWE55" s="1567"/>
      <c r="QWF55" s="1567"/>
      <c r="QWG55" s="1088" t="s">
        <v>289</v>
      </c>
      <c r="QWH55" s="1567" t="s">
        <v>290</v>
      </c>
      <c r="QWI55" s="1567"/>
      <c r="QWJ55" s="1567"/>
      <c r="QWK55" s="1088" t="s">
        <v>289</v>
      </c>
      <c r="QWL55" s="1567" t="s">
        <v>290</v>
      </c>
      <c r="QWM55" s="1567"/>
      <c r="QWN55" s="1567"/>
      <c r="QWO55" s="1088" t="s">
        <v>289</v>
      </c>
      <c r="QWP55" s="1567" t="s">
        <v>290</v>
      </c>
      <c r="QWQ55" s="1567"/>
      <c r="QWR55" s="1567"/>
      <c r="QWS55" s="1088" t="s">
        <v>289</v>
      </c>
      <c r="QWT55" s="1567" t="s">
        <v>290</v>
      </c>
      <c r="QWU55" s="1567"/>
      <c r="QWV55" s="1567"/>
      <c r="QWW55" s="1088" t="s">
        <v>289</v>
      </c>
      <c r="QWX55" s="1567" t="s">
        <v>290</v>
      </c>
      <c r="QWY55" s="1567"/>
      <c r="QWZ55" s="1567"/>
      <c r="QXA55" s="1088" t="s">
        <v>289</v>
      </c>
      <c r="QXB55" s="1567" t="s">
        <v>290</v>
      </c>
      <c r="QXC55" s="1567"/>
      <c r="QXD55" s="1567"/>
      <c r="QXE55" s="1088" t="s">
        <v>289</v>
      </c>
      <c r="QXF55" s="1567" t="s">
        <v>290</v>
      </c>
      <c r="QXG55" s="1567"/>
      <c r="QXH55" s="1567"/>
      <c r="QXI55" s="1088" t="s">
        <v>289</v>
      </c>
      <c r="QXJ55" s="1567" t="s">
        <v>290</v>
      </c>
      <c r="QXK55" s="1567"/>
      <c r="QXL55" s="1567"/>
      <c r="QXM55" s="1088" t="s">
        <v>289</v>
      </c>
      <c r="QXN55" s="1567" t="s">
        <v>290</v>
      </c>
      <c r="QXO55" s="1567"/>
      <c r="QXP55" s="1567"/>
      <c r="QXQ55" s="1088" t="s">
        <v>289</v>
      </c>
      <c r="QXR55" s="1567" t="s">
        <v>290</v>
      </c>
      <c r="QXS55" s="1567"/>
      <c r="QXT55" s="1567"/>
      <c r="QXU55" s="1088" t="s">
        <v>289</v>
      </c>
      <c r="QXV55" s="1567" t="s">
        <v>290</v>
      </c>
      <c r="QXW55" s="1567"/>
      <c r="QXX55" s="1567"/>
      <c r="QXY55" s="1088" t="s">
        <v>289</v>
      </c>
      <c r="QXZ55" s="1567" t="s">
        <v>290</v>
      </c>
      <c r="QYA55" s="1567"/>
      <c r="QYB55" s="1567"/>
      <c r="QYC55" s="1088" t="s">
        <v>289</v>
      </c>
      <c r="QYD55" s="1567" t="s">
        <v>290</v>
      </c>
      <c r="QYE55" s="1567"/>
      <c r="QYF55" s="1567"/>
      <c r="QYG55" s="1088" t="s">
        <v>289</v>
      </c>
      <c r="QYH55" s="1567" t="s">
        <v>290</v>
      </c>
      <c r="QYI55" s="1567"/>
      <c r="QYJ55" s="1567"/>
      <c r="QYK55" s="1088" t="s">
        <v>289</v>
      </c>
      <c r="QYL55" s="1567" t="s">
        <v>290</v>
      </c>
      <c r="QYM55" s="1567"/>
      <c r="QYN55" s="1567"/>
      <c r="QYO55" s="1088" t="s">
        <v>289</v>
      </c>
      <c r="QYP55" s="1567" t="s">
        <v>290</v>
      </c>
      <c r="QYQ55" s="1567"/>
      <c r="QYR55" s="1567"/>
      <c r="QYS55" s="1088" t="s">
        <v>289</v>
      </c>
      <c r="QYT55" s="1567" t="s">
        <v>290</v>
      </c>
      <c r="QYU55" s="1567"/>
      <c r="QYV55" s="1567"/>
      <c r="QYW55" s="1088" t="s">
        <v>289</v>
      </c>
      <c r="QYX55" s="1567" t="s">
        <v>290</v>
      </c>
      <c r="QYY55" s="1567"/>
      <c r="QYZ55" s="1567"/>
      <c r="QZA55" s="1088" t="s">
        <v>289</v>
      </c>
      <c r="QZB55" s="1567" t="s">
        <v>290</v>
      </c>
      <c r="QZC55" s="1567"/>
      <c r="QZD55" s="1567"/>
      <c r="QZE55" s="1088" t="s">
        <v>289</v>
      </c>
      <c r="QZF55" s="1567" t="s">
        <v>290</v>
      </c>
      <c r="QZG55" s="1567"/>
      <c r="QZH55" s="1567"/>
      <c r="QZI55" s="1088" t="s">
        <v>289</v>
      </c>
      <c r="QZJ55" s="1567" t="s">
        <v>290</v>
      </c>
      <c r="QZK55" s="1567"/>
      <c r="QZL55" s="1567"/>
      <c r="QZM55" s="1088" t="s">
        <v>289</v>
      </c>
      <c r="QZN55" s="1567" t="s">
        <v>290</v>
      </c>
      <c r="QZO55" s="1567"/>
      <c r="QZP55" s="1567"/>
      <c r="QZQ55" s="1088" t="s">
        <v>289</v>
      </c>
      <c r="QZR55" s="1567" t="s">
        <v>290</v>
      </c>
      <c r="QZS55" s="1567"/>
      <c r="QZT55" s="1567"/>
      <c r="QZU55" s="1088" t="s">
        <v>289</v>
      </c>
      <c r="QZV55" s="1567" t="s">
        <v>290</v>
      </c>
      <c r="QZW55" s="1567"/>
      <c r="QZX55" s="1567"/>
      <c r="QZY55" s="1088" t="s">
        <v>289</v>
      </c>
      <c r="QZZ55" s="1567" t="s">
        <v>290</v>
      </c>
      <c r="RAA55" s="1567"/>
      <c r="RAB55" s="1567"/>
      <c r="RAC55" s="1088" t="s">
        <v>289</v>
      </c>
      <c r="RAD55" s="1567" t="s">
        <v>290</v>
      </c>
      <c r="RAE55" s="1567"/>
      <c r="RAF55" s="1567"/>
      <c r="RAG55" s="1088" t="s">
        <v>289</v>
      </c>
      <c r="RAH55" s="1567" t="s">
        <v>290</v>
      </c>
      <c r="RAI55" s="1567"/>
      <c r="RAJ55" s="1567"/>
      <c r="RAK55" s="1088" t="s">
        <v>289</v>
      </c>
      <c r="RAL55" s="1567" t="s">
        <v>290</v>
      </c>
      <c r="RAM55" s="1567"/>
      <c r="RAN55" s="1567"/>
      <c r="RAO55" s="1088" t="s">
        <v>289</v>
      </c>
      <c r="RAP55" s="1567" t="s">
        <v>290</v>
      </c>
      <c r="RAQ55" s="1567"/>
      <c r="RAR55" s="1567"/>
      <c r="RAS55" s="1088" t="s">
        <v>289</v>
      </c>
      <c r="RAT55" s="1567" t="s">
        <v>290</v>
      </c>
      <c r="RAU55" s="1567"/>
      <c r="RAV55" s="1567"/>
      <c r="RAW55" s="1088" t="s">
        <v>289</v>
      </c>
      <c r="RAX55" s="1567" t="s">
        <v>290</v>
      </c>
      <c r="RAY55" s="1567"/>
      <c r="RAZ55" s="1567"/>
      <c r="RBA55" s="1088" t="s">
        <v>289</v>
      </c>
      <c r="RBB55" s="1567" t="s">
        <v>290</v>
      </c>
      <c r="RBC55" s="1567"/>
      <c r="RBD55" s="1567"/>
      <c r="RBE55" s="1088" t="s">
        <v>289</v>
      </c>
      <c r="RBF55" s="1567" t="s">
        <v>290</v>
      </c>
      <c r="RBG55" s="1567"/>
      <c r="RBH55" s="1567"/>
      <c r="RBI55" s="1088" t="s">
        <v>289</v>
      </c>
      <c r="RBJ55" s="1567" t="s">
        <v>290</v>
      </c>
      <c r="RBK55" s="1567"/>
      <c r="RBL55" s="1567"/>
      <c r="RBM55" s="1088" t="s">
        <v>289</v>
      </c>
      <c r="RBN55" s="1567" t="s">
        <v>290</v>
      </c>
      <c r="RBO55" s="1567"/>
      <c r="RBP55" s="1567"/>
      <c r="RBQ55" s="1088" t="s">
        <v>289</v>
      </c>
      <c r="RBR55" s="1567" t="s">
        <v>290</v>
      </c>
      <c r="RBS55" s="1567"/>
      <c r="RBT55" s="1567"/>
      <c r="RBU55" s="1088" t="s">
        <v>289</v>
      </c>
      <c r="RBV55" s="1567" t="s">
        <v>290</v>
      </c>
      <c r="RBW55" s="1567"/>
      <c r="RBX55" s="1567"/>
      <c r="RBY55" s="1088" t="s">
        <v>289</v>
      </c>
      <c r="RBZ55" s="1567" t="s">
        <v>290</v>
      </c>
      <c r="RCA55" s="1567"/>
      <c r="RCB55" s="1567"/>
      <c r="RCC55" s="1088" t="s">
        <v>289</v>
      </c>
      <c r="RCD55" s="1567" t="s">
        <v>290</v>
      </c>
      <c r="RCE55" s="1567"/>
      <c r="RCF55" s="1567"/>
      <c r="RCG55" s="1088" t="s">
        <v>289</v>
      </c>
      <c r="RCH55" s="1567" t="s">
        <v>290</v>
      </c>
      <c r="RCI55" s="1567"/>
      <c r="RCJ55" s="1567"/>
      <c r="RCK55" s="1088" t="s">
        <v>289</v>
      </c>
      <c r="RCL55" s="1567" t="s">
        <v>290</v>
      </c>
      <c r="RCM55" s="1567"/>
      <c r="RCN55" s="1567"/>
      <c r="RCO55" s="1088" t="s">
        <v>289</v>
      </c>
      <c r="RCP55" s="1567" t="s">
        <v>290</v>
      </c>
      <c r="RCQ55" s="1567"/>
      <c r="RCR55" s="1567"/>
      <c r="RCS55" s="1088" t="s">
        <v>289</v>
      </c>
      <c r="RCT55" s="1567" t="s">
        <v>290</v>
      </c>
      <c r="RCU55" s="1567"/>
      <c r="RCV55" s="1567"/>
      <c r="RCW55" s="1088" t="s">
        <v>289</v>
      </c>
      <c r="RCX55" s="1567" t="s">
        <v>290</v>
      </c>
      <c r="RCY55" s="1567"/>
      <c r="RCZ55" s="1567"/>
      <c r="RDA55" s="1088" t="s">
        <v>289</v>
      </c>
      <c r="RDB55" s="1567" t="s">
        <v>290</v>
      </c>
      <c r="RDC55" s="1567"/>
      <c r="RDD55" s="1567"/>
      <c r="RDE55" s="1088" t="s">
        <v>289</v>
      </c>
      <c r="RDF55" s="1567" t="s">
        <v>290</v>
      </c>
      <c r="RDG55" s="1567"/>
      <c r="RDH55" s="1567"/>
      <c r="RDI55" s="1088" t="s">
        <v>289</v>
      </c>
      <c r="RDJ55" s="1567" t="s">
        <v>290</v>
      </c>
      <c r="RDK55" s="1567"/>
      <c r="RDL55" s="1567"/>
      <c r="RDM55" s="1088" t="s">
        <v>289</v>
      </c>
      <c r="RDN55" s="1567" t="s">
        <v>290</v>
      </c>
      <c r="RDO55" s="1567"/>
      <c r="RDP55" s="1567"/>
      <c r="RDQ55" s="1088" t="s">
        <v>289</v>
      </c>
      <c r="RDR55" s="1567" t="s">
        <v>290</v>
      </c>
      <c r="RDS55" s="1567"/>
      <c r="RDT55" s="1567"/>
      <c r="RDU55" s="1088" t="s">
        <v>289</v>
      </c>
      <c r="RDV55" s="1567" t="s">
        <v>290</v>
      </c>
      <c r="RDW55" s="1567"/>
      <c r="RDX55" s="1567"/>
      <c r="RDY55" s="1088" t="s">
        <v>289</v>
      </c>
      <c r="RDZ55" s="1567" t="s">
        <v>290</v>
      </c>
      <c r="REA55" s="1567"/>
      <c r="REB55" s="1567"/>
      <c r="REC55" s="1088" t="s">
        <v>289</v>
      </c>
      <c r="RED55" s="1567" t="s">
        <v>290</v>
      </c>
      <c r="REE55" s="1567"/>
      <c r="REF55" s="1567"/>
      <c r="REG55" s="1088" t="s">
        <v>289</v>
      </c>
      <c r="REH55" s="1567" t="s">
        <v>290</v>
      </c>
      <c r="REI55" s="1567"/>
      <c r="REJ55" s="1567"/>
      <c r="REK55" s="1088" t="s">
        <v>289</v>
      </c>
      <c r="REL55" s="1567" t="s">
        <v>290</v>
      </c>
      <c r="REM55" s="1567"/>
      <c r="REN55" s="1567"/>
      <c r="REO55" s="1088" t="s">
        <v>289</v>
      </c>
      <c r="REP55" s="1567" t="s">
        <v>290</v>
      </c>
      <c r="REQ55" s="1567"/>
      <c r="RER55" s="1567"/>
      <c r="RES55" s="1088" t="s">
        <v>289</v>
      </c>
      <c r="RET55" s="1567" t="s">
        <v>290</v>
      </c>
      <c r="REU55" s="1567"/>
      <c r="REV55" s="1567"/>
      <c r="REW55" s="1088" t="s">
        <v>289</v>
      </c>
      <c r="REX55" s="1567" t="s">
        <v>290</v>
      </c>
      <c r="REY55" s="1567"/>
      <c r="REZ55" s="1567"/>
      <c r="RFA55" s="1088" t="s">
        <v>289</v>
      </c>
      <c r="RFB55" s="1567" t="s">
        <v>290</v>
      </c>
      <c r="RFC55" s="1567"/>
      <c r="RFD55" s="1567"/>
      <c r="RFE55" s="1088" t="s">
        <v>289</v>
      </c>
      <c r="RFF55" s="1567" t="s">
        <v>290</v>
      </c>
      <c r="RFG55" s="1567"/>
      <c r="RFH55" s="1567"/>
      <c r="RFI55" s="1088" t="s">
        <v>289</v>
      </c>
      <c r="RFJ55" s="1567" t="s">
        <v>290</v>
      </c>
      <c r="RFK55" s="1567"/>
      <c r="RFL55" s="1567"/>
      <c r="RFM55" s="1088" t="s">
        <v>289</v>
      </c>
      <c r="RFN55" s="1567" t="s">
        <v>290</v>
      </c>
      <c r="RFO55" s="1567"/>
      <c r="RFP55" s="1567"/>
      <c r="RFQ55" s="1088" t="s">
        <v>289</v>
      </c>
      <c r="RFR55" s="1567" t="s">
        <v>290</v>
      </c>
      <c r="RFS55" s="1567"/>
      <c r="RFT55" s="1567"/>
      <c r="RFU55" s="1088" t="s">
        <v>289</v>
      </c>
      <c r="RFV55" s="1567" t="s">
        <v>290</v>
      </c>
      <c r="RFW55" s="1567"/>
      <c r="RFX55" s="1567"/>
      <c r="RFY55" s="1088" t="s">
        <v>289</v>
      </c>
      <c r="RFZ55" s="1567" t="s">
        <v>290</v>
      </c>
      <c r="RGA55" s="1567"/>
      <c r="RGB55" s="1567"/>
      <c r="RGC55" s="1088" t="s">
        <v>289</v>
      </c>
      <c r="RGD55" s="1567" t="s">
        <v>290</v>
      </c>
      <c r="RGE55" s="1567"/>
      <c r="RGF55" s="1567"/>
      <c r="RGG55" s="1088" t="s">
        <v>289</v>
      </c>
      <c r="RGH55" s="1567" t="s">
        <v>290</v>
      </c>
      <c r="RGI55" s="1567"/>
      <c r="RGJ55" s="1567"/>
      <c r="RGK55" s="1088" t="s">
        <v>289</v>
      </c>
      <c r="RGL55" s="1567" t="s">
        <v>290</v>
      </c>
      <c r="RGM55" s="1567"/>
      <c r="RGN55" s="1567"/>
      <c r="RGO55" s="1088" t="s">
        <v>289</v>
      </c>
      <c r="RGP55" s="1567" t="s">
        <v>290</v>
      </c>
      <c r="RGQ55" s="1567"/>
      <c r="RGR55" s="1567"/>
      <c r="RGS55" s="1088" t="s">
        <v>289</v>
      </c>
      <c r="RGT55" s="1567" t="s">
        <v>290</v>
      </c>
      <c r="RGU55" s="1567"/>
      <c r="RGV55" s="1567"/>
      <c r="RGW55" s="1088" t="s">
        <v>289</v>
      </c>
      <c r="RGX55" s="1567" t="s">
        <v>290</v>
      </c>
      <c r="RGY55" s="1567"/>
      <c r="RGZ55" s="1567"/>
      <c r="RHA55" s="1088" t="s">
        <v>289</v>
      </c>
      <c r="RHB55" s="1567" t="s">
        <v>290</v>
      </c>
      <c r="RHC55" s="1567"/>
      <c r="RHD55" s="1567"/>
      <c r="RHE55" s="1088" t="s">
        <v>289</v>
      </c>
      <c r="RHF55" s="1567" t="s">
        <v>290</v>
      </c>
      <c r="RHG55" s="1567"/>
      <c r="RHH55" s="1567"/>
      <c r="RHI55" s="1088" t="s">
        <v>289</v>
      </c>
      <c r="RHJ55" s="1567" t="s">
        <v>290</v>
      </c>
      <c r="RHK55" s="1567"/>
      <c r="RHL55" s="1567"/>
      <c r="RHM55" s="1088" t="s">
        <v>289</v>
      </c>
      <c r="RHN55" s="1567" t="s">
        <v>290</v>
      </c>
      <c r="RHO55" s="1567"/>
      <c r="RHP55" s="1567"/>
      <c r="RHQ55" s="1088" t="s">
        <v>289</v>
      </c>
      <c r="RHR55" s="1567" t="s">
        <v>290</v>
      </c>
      <c r="RHS55" s="1567"/>
      <c r="RHT55" s="1567"/>
      <c r="RHU55" s="1088" t="s">
        <v>289</v>
      </c>
      <c r="RHV55" s="1567" t="s">
        <v>290</v>
      </c>
      <c r="RHW55" s="1567"/>
      <c r="RHX55" s="1567"/>
      <c r="RHY55" s="1088" t="s">
        <v>289</v>
      </c>
      <c r="RHZ55" s="1567" t="s">
        <v>290</v>
      </c>
      <c r="RIA55" s="1567"/>
      <c r="RIB55" s="1567"/>
      <c r="RIC55" s="1088" t="s">
        <v>289</v>
      </c>
      <c r="RID55" s="1567" t="s">
        <v>290</v>
      </c>
      <c r="RIE55" s="1567"/>
      <c r="RIF55" s="1567"/>
      <c r="RIG55" s="1088" t="s">
        <v>289</v>
      </c>
      <c r="RIH55" s="1567" t="s">
        <v>290</v>
      </c>
      <c r="RII55" s="1567"/>
      <c r="RIJ55" s="1567"/>
      <c r="RIK55" s="1088" t="s">
        <v>289</v>
      </c>
      <c r="RIL55" s="1567" t="s">
        <v>290</v>
      </c>
      <c r="RIM55" s="1567"/>
      <c r="RIN55" s="1567"/>
      <c r="RIO55" s="1088" t="s">
        <v>289</v>
      </c>
      <c r="RIP55" s="1567" t="s">
        <v>290</v>
      </c>
      <c r="RIQ55" s="1567"/>
      <c r="RIR55" s="1567"/>
      <c r="RIS55" s="1088" t="s">
        <v>289</v>
      </c>
      <c r="RIT55" s="1567" t="s">
        <v>290</v>
      </c>
      <c r="RIU55" s="1567"/>
      <c r="RIV55" s="1567"/>
      <c r="RIW55" s="1088" t="s">
        <v>289</v>
      </c>
      <c r="RIX55" s="1567" t="s">
        <v>290</v>
      </c>
      <c r="RIY55" s="1567"/>
      <c r="RIZ55" s="1567"/>
      <c r="RJA55" s="1088" t="s">
        <v>289</v>
      </c>
      <c r="RJB55" s="1567" t="s">
        <v>290</v>
      </c>
      <c r="RJC55" s="1567"/>
      <c r="RJD55" s="1567"/>
      <c r="RJE55" s="1088" t="s">
        <v>289</v>
      </c>
      <c r="RJF55" s="1567" t="s">
        <v>290</v>
      </c>
      <c r="RJG55" s="1567"/>
      <c r="RJH55" s="1567"/>
      <c r="RJI55" s="1088" t="s">
        <v>289</v>
      </c>
      <c r="RJJ55" s="1567" t="s">
        <v>290</v>
      </c>
      <c r="RJK55" s="1567"/>
      <c r="RJL55" s="1567"/>
      <c r="RJM55" s="1088" t="s">
        <v>289</v>
      </c>
      <c r="RJN55" s="1567" t="s">
        <v>290</v>
      </c>
      <c r="RJO55" s="1567"/>
      <c r="RJP55" s="1567"/>
      <c r="RJQ55" s="1088" t="s">
        <v>289</v>
      </c>
      <c r="RJR55" s="1567" t="s">
        <v>290</v>
      </c>
      <c r="RJS55" s="1567"/>
      <c r="RJT55" s="1567"/>
      <c r="RJU55" s="1088" t="s">
        <v>289</v>
      </c>
      <c r="RJV55" s="1567" t="s">
        <v>290</v>
      </c>
      <c r="RJW55" s="1567"/>
      <c r="RJX55" s="1567"/>
      <c r="RJY55" s="1088" t="s">
        <v>289</v>
      </c>
      <c r="RJZ55" s="1567" t="s">
        <v>290</v>
      </c>
      <c r="RKA55" s="1567"/>
      <c r="RKB55" s="1567"/>
      <c r="RKC55" s="1088" t="s">
        <v>289</v>
      </c>
      <c r="RKD55" s="1567" t="s">
        <v>290</v>
      </c>
      <c r="RKE55" s="1567"/>
      <c r="RKF55" s="1567"/>
      <c r="RKG55" s="1088" t="s">
        <v>289</v>
      </c>
      <c r="RKH55" s="1567" t="s">
        <v>290</v>
      </c>
      <c r="RKI55" s="1567"/>
      <c r="RKJ55" s="1567"/>
      <c r="RKK55" s="1088" t="s">
        <v>289</v>
      </c>
      <c r="RKL55" s="1567" t="s">
        <v>290</v>
      </c>
      <c r="RKM55" s="1567"/>
      <c r="RKN55" s="1567"/>
      <c r="RKO55" s="1088" t="s">
        <v>289</v>
      </c>
      <c r="RKP55" s="1567" t="s">
        <v>290</v>
      </c>
      <c r="RKQ55" s="1567"/>
      <c r="RKR55" s="1567"/>
      <c r="RKS55" s="1088" t="s">
        <v>289</v>
      </c>
      <c r="RKT55" s="1567" t="s">
        <v>290</v>
      </c>
      <c r="RKU55" s="1567"/>
      <c r="RKV55" s="1567"/>
      <c r="RKW55" s="1088" t="s">
        <v>289</v>
      </c>
      <c r="RKX55" s="1567" t="s">
        <v>290</v>
      </c>
      <c r="RKY55" s="1567"/>
      <c r="RKZ55" s="1567"/>
      <c r="RLA55" s="1088" t="s">
        <v>289</v>
      </c>
      <c r="RLB55" s="1567" t="s">
        <v>290</v>
      </c>
      <c r="RLC55" s="1567"/>
      <c r="RLD55" s="1567"/>
      <c r="RLE55" s="1088" t="s">
        <v>289</v>
      </c>
      <c r="RLF55" s="1567" t="s">
        <v>290</v>
      </c>
      <c r="RLG55" s="1567"/>
      <c r="RLH55" s="1567"/>
      <c r="RLI55" s="1088" t="s">
        <v>289</v>
      </c>
      <c r="RLJ55" s="1567" t="s">
        <v>290</v>
      </c>
      <c r="RLK55" s="1567"/>
      <c r="RLL55" s="1567"/>
      <c r="RLM55" s="1088" t="s">
        <v>289</v>
      </c>
      <c r="RLN55" s="1567" t="s">
        <v>290</v>
      </c>
      <c r="RLO55" s="1567"/>
      <c r="RLP55" s="1567"/>
      <c r="RLQ55" s="1088" t="s">
        <v>289</v>
      </c>
      <c r="RLR55" s="1567" t="s">
        <v>290</v>
      </c>
      <c r="RLS55" s="1567"/>
      <c r="RLT55" s="1567"/>
      <c r="RLU55" s="1088" t="s">
        <v>289</v>
      </c>
      <c r="RLV55" s="1567" t="s">
        <v>290</v>
      </c>
      <c r="RLW55" s="1567"/>
      <c r="RLX55" s="1567"/>
      <c r="RLY55" s="1088" t="s">
        <v>289</v>
      </c>
      <c r="RLZ55" s="1567" t="s">
        <v>290</v>
      </c>
      <c r="RMA55" s="1567"/>
      <c r="RMB55" s="1567"/>
      <c r="RMC55" s="1088" t="s">
        <v>289</v>
      </c>
      <c r="RMD55" s="1567" t="s">
        <v>290</v>
      </c>
      <c r="RME55" s="1567"/>
      <c r="RMF55" s="1567"/>
      <c r="RMG55" s="1088" t="s">
        <v>289</v>
      </c>
      <c r="RMH55" s="1567" t="s">
        <v>290</v>
      </c>
      <c r="RMI55" s="1567"/>
      <c r="RMJ55" s="1567"/>
      <c r="RMK55" s="1088" t="s">
        <v>289</v>
      </c>
      <c r="RML55" s="1567" t="s">
        <v>290</v>
      </c>
      <c r="RMM55" s="1567"/>
      <c r="RMN55" s="1567"/>
      <c r="RMO55" s="1088" t="s">
        <v>289</v>
      </c>
      <c r="RMP55" s="1567" t="s">
        <v>290</v>
      </c>
      <c r="RMQ55" s="1567"/>
      <c r="RMR55" s="1567"/>
      <c r="RMS55" s="1088" t="s">
        <v>289</v>
      </c>
      <c r="RMT55" s="1567" t="s">
        <v>290</v>
      </c>
      <c r="RMU55" s="1567"/>
      <c r="RMV55" s="1567"/>
      <c r="RMW55" s="1088" t="s">
        <v>289</v>
      </c>
      <c r="RMX55" s="1567" t="s">
        <v>290</v>
      </c>
      <c r="RMY55" s="1567"/>
      <c r="RMZ55" s="1567"/>
      <c r="RNA55" s="1088" t="s">
        <v>289</v>
      </c>
      <c r="RNB55" s="1567" t="s">
        <v>290</v>
      </c>
      <c r="RNC55" s="1567"/>
      <c r="RND55" s="1567"/>
      <c r="RNE55" s="1088" t="s">
        <v>289</v>
      </c>
      <c r="RNF55" s="1567" t="s">
        <v>290</v>
      </c>
      <c r="RNG55" s="1567"/>
      <c r="RNH55" s="1567"/>
      <c r="RNI55" s="1088" t="s">
        <v>289</v>
      </c>
      <c r="RNJ55" s="1567" t="s">
        <v>290</v>
      </c>
      <c r="RNK55" s="1567"/>
      <c r="RNL55" s="1567"/>
      <c r="RNM55" s="1088" t="s">
        <v>289</v>
      </c>
      <c r="RNN55" s="1567" t="s">
        <v>290</v>
      </c>
      <c r="RNO55" s="1567"/>
      <c r="RNP55" s="1567"/>
      <c r="RNQ55" s="1088" t="s">
        <v>289</v>
      </c>
      <c r="RNR55" s="1567" t="s">
        <v>290</v>
      </c>
      <c r="RNS55" s="1567"/>
      <c r="RNT55" s="1567"/>
      <c r="RNU55" s="1088" t="s">
        <v>289</v>
      </c>
      <c r="RNV55" s="1567" t="s">
        <v>290</v>
      </c>
      <c r="RNW55" s="1567"/>
      <c r="RNX55" s="1567"/>
      <c r="RNY55" s="1088" t="s">
        <v>289</v>
      </c>
      <c r="RNZ55" s="1567" t="s">
        <v>290</v>
      </c>
      <c r="ROA55" s="1567"/>
      <c r="ROB55" s="1567"/>
      <c r="ROC55" s="1088" t="s">
        <v>289</v>
      </c>
      <c r="ROD55" s="1567" t="s">
        <v>290</v>
      </c>
      <c r="ROE55" s="1567"/>
      <c r="ROF55" s="1567"/>
      <c r="ROG55" s="1088" t="s">
        <v>289</v>
      </c>
      <c r="ROH55" s="1567" t="s">
        <v>290</v>
      </c>
      <c r="ROI55" s="1567"/>
      <c r="ROJ55" s="1567"/>
      <c r="ROK55" s="1088" t="s">
        <v>289</v>
      </c>
      <c r="ROL55" s="1567" t="s">
        <v>290</v>
      </c>
      <c r="ROM55" s="1567"/>
      <c r="RON55" s="1567"/>
      <c r="ROO55" s="1088" t="s">
        <v>289</v>
      </c>
      <c r="ROP55" s="1567" t="s">
        <v>290</v>
      </c>
      <c r="ROQ55" s="1567"/>
      <c r="ROR55" s="1567"/>
      <c r="ROS55" s="1088" t="s">
        <v>289</v>
      </c>
      <c r="ROT55" s="1567" t="s">
        <v>290</v>
      </c>
      <c r="ROU55" s="1567"/>
      <c r="ROV55" s="1567"/>
      <c r="ROW55" s="1088" t="s">
        <v>289</v>
      </c>
      <c r="ROX55" s="1567" t="s">
        <v>290</v>
      </c>
      <c r="ROY55" s="1567"/>
      <c r="ROZ55" s="1567"/>
      <c r="RPA55" s="1088" t="s">
        <v>289</v>
      </c>
      <c r="RPB55" s="1567" t="s">
        <v>290</v>
      </c>
      <c r="RPC55" s="1567"/>
      <c r="RPD55" s="1567"/>
      <c r="RPE55" s="1088" t="s">
        <v>289</v>
      </c>
      <c r="RPF55" s="1567" t="s">
        <v>290</v>
      </c>
      <c r="RPG55" s="1567"/>
      <c r="RPH55" s="1567"/>
      <c r="RPI55" s="1088" t="s">
        <v>289</v>
      </c>
      <c r="RPJ55" s="1567" t="s">
        <v>290</v>
      </c>
      <c r="RPK55" s="1567"/>
      <c r="RPL55" s="1567"/>
      <c r="RPM55" s="1088" t="s">
        <v>289</v>
      </c>
      <c r="RPN55" s="1567" t="s">
        <v>290</v>
      </c>
      <c r="RPO55" s="1567"/>
      <c r="RPP55" s="1567"/>
      <c r="RPQ55" s="1088" t="s">
        <v>289</v>
      </c>
      <c r="RPR55" s="1567" t="s">
        <v>290</v>
      </c>
      <c r="RPS55" s="1567"/>
      <c r="RPT55" s="1567"/>
      <c r="RPU55" s="1088" t="s">
        <v>289</v>
      </c>
      <c r="RPV55" s="1567" t="s">
        <v>290</v>
      </c>
      <c r="RPW55" s="1567"/>
      <c r="RPX55" s="1567"/>
      <c r="RPY55" s="1088" t="s">
        <v>289</v>
      </c>
      <c r="RPZ55" s="1567" t="s">
        <v>290</v>
      </c>
      <c r="RQA55" s="1567"/>
      <c r="RQB55" s="1567"/>
      <c r="RQC55" s="1088" t="s">
        <v>289</v>
      </c>
      <c r="RQD55" s="1567" t="s">
        <v>290</v>
      </c>
      <c r="RQE55" s="1567"/>
      <c r="RQF55" s="1567"/>
      <c r="RQG55" s="1088" t="s">
        <v>289</v>
      </c>
      <c r="RQH55" s="1567" t="s">
        <v>290</v>
      </c>
      <c r="RQI55" s="1567"/>
      <c r="RQJ55" s="1567"/>
      <c r="RQK55" s="1088" t="s">
        <v>289</v>
      </c>
      <c r="RQL55" s="1567" t="s">
        <v>290</v>
      </c>
      <c r="RQM55" s="1567"/>
      <c r="RQN55" s="1567"/>
      <c r="RQO55" s="1088" t="s">
        <v>289</v>
      </c>
      <c r="RQP55" s="1567" t="s">
        <v>290</v>
      </c>
      <c r="RQQ55" s="1567"/>
      <c r="RQR55" s="1567"/>
      <c r="RQS55" s="1088" t="s">
        <v>289</v>
      </c>
      <c r="RQT55" s="1567" t="s">
        <v>290</v>
      </c>
      <c r="RQU55" s="1567"/>
      <c r="RQV55" s="1567"/>
      <c r="RQW55" s="1088" t="s">
        <v>289</v>
      </c>
      <c r="RQX55" s="1567" t="s">
        <v>290</v>
      </c>
      <c r="RQY55" s="1567"/>
      <c r="RQZ55" s="1567"/>
      <c r="RRA55" s="1088" t="s">
        <v>289</v>
      </c>
      <c r="RRB55" s="1567" t="s">
        <v>290</v>
      </c>
      <c r="RRC55" s="1567"/>
      <c r="RRD55" s="1567"/>
      <c r="RRE55" s="1088" t="s">
        <v>289</v>
      </c>
      <c r="RRF55" s="1567" t="s">
        <v>290</v>
      </c>
      <c r="RRG55" s="1567"/>
      <c r="RRH55" s="1567"/>
      <c r="RRI55" s="1088" t="s">
        <v>289</v>
      </c>
      <c r="RRJ55" s="1567" t="s">
        <v>290</v>
      </c>
      <c r="RRK55" s="1567"/>
      <c r="RRL55" s="1567"/>
      <c r="RRM55" s="1088" t="s">
        <v>289</v>
      </c>
      <c r="RRN55" s="1567" t="s">
        <v>290</v>
      </c>
      <c r="RRO55" s="1567"/>
      <c r="RRP55" s="1567"/>
      <c r="RRQ55" s="1088" t="s">
        <v>289</v>
      </c>
      <c r="RRR55" s="1567" t="s">
        <v>290</v>
      </c>
      <c r="RRS55" s="1567"/>
      <c r="RRT55" s="1567"/>
      <c r="RRU55" s="1088" t="s">
        <v>289</v>
      </c>
      <c r="RRV55" s="1567" t="s">
        <v>290</v>
      </c>
      <c r="RRW55" s="1567"/>
      <c r="RRX55" s="1567"/>
      <c r="RRY55" s="1088" t="s">
        <v>289</v>
      </c>
      <c r="RRZ55" s="1567" t="s">
        <v>290</v>
      </c>
      <c r="RSA55" s="1567"/>
      <c r="RSB55" s="1567"/>
      <c r="RSC55" s="1088" t="s">
        <v>289</v>
      </c>
      <c r="RSD55" s="1567" t="s">
        <v>290</v>
      </c>
      <c r="RSE55" s="1567"/>
      <c r="RSF55" s="1567"/>
      <c r="RSG55" s="1088" t="s">
        <v>289</v>
      </c>
      <c r="RSH55" s="1567" t="s">
        <v>290</v>
      </c>
      <c r="RSI55" s="1567"/>
      <c r="RSJ55" s="1567"/>
      <c r="RSK55" s="1088" t="s">
        <v>289</v>
      </c>
      <c r="RSL55" s="1567" t="s">
        <v>290</v>
      </c>
      <c r="RSM55" s="1567"/>
      <c r="RSN55" s="1567"/>
      <c r="RSO55" s="1088" t="s">
        <v>289</v>
      </c>
      <c r="RSP55" s="1567" t="s">
        <v>290</v>
      </c>
      <c r="RSQ55" s="1567"/>
      <c r="RSR55" s="1567"/>
      <c r="RSS55" s="1088" t="s">
        <v>289</v>
      </c>
      <c r="RST55" s="1567" t="s">
        <v>290</v>
      </c>
      <c r="RSU55" s="1567"/>
      <c r="RSV55" s="1567"/>
      <c r="RSW55" s="1088" t="s">
        <v>289</v>
      </c>
      <c r="RSX55" s="1567" t="s">
        <v>290</v>
      </c>
      <c r="RSY55" s="1567"/>
      <c r="RSZ55" s="1567"/>
      <c r="RTA55" s="1088" t="s">
        <v>289</v>
      </c>
      <c r="RTB55" s="1567" t="s">
        <v>290</v>
      </c>
      <c r="RTC55" s="1567"/>
      <c r="RTD55" s="1567"/>
      <c r="RTE55" s="1088" t="s">
        <v>289</v>
      </c>
      <c r="RTF55" s="1567" t="s">
        <v>290</v>
      </c>
      <c r="RTG55" s="1567"/>
      <c r="RTH55" s="1567"/>
      <c r="RTI55" s="1088" t="s">
        <v>289</v>
      </c>
      <c r="RTJ55" s="1567" t="s">
        <v>290</v>
      </c>
      <c r="RTK55" s="1567"/>
      <c r="RTL55" s="1567"/>
      <c r="RTM55" s="1088" t="s">
        <v>289</v>
      </c>
      <c r="RTN55" s="1567" t="s">
        <v>290</v>
      </c>
      <c r="RTO55" s="1567"/>
      <c r="RTP55" s="1567"/>
      <c r="RTQ55" s="1088" t="s">
        <v>289</v>
      </c>
      <c r="RTR55" s="1567" t="s">
        <v>290</v>
      </c>
      <c r="RTS55" s="1567"/>
      <c r="RTT55" s="1567"/>
      <c r="RTU55" s="1088" t="s">
        <v>289</v>
      </c>
      <c r="RTV55" s="1567" t="s">
        <v>290</v>
      </c>
      <c r="RTW55" s="1567"/>
      <c r="RTX55" s="1567"/>
      <c r="RTY55" s="1088" t="s">
        <v>289</v>
      </c>
      <c r="RTZ55" s="1567" t="s">
        <v>290</v>
      </c>
      <c r="RUA55" s="1567"/>
      <c r="RUB55" s="1567"/>
      <c r="RUC55" s="1088" t="s">
        <v>289</v>
      </c>
      <c r="RUD55" s="1567" t="s">
        <v>290</v>
      </c>
      <c r="RUE55" s="1567"/>
      <c r="RUF55" s="1567"/>
      <c r="RUG55" s="1088" t="s">
        <v>289</v>
      </c>
      <c r="RUH55" s="1567" t="s">
        <v>290</v>
      </c>
      <c r="RUI55" s="1567"/>
      <c r="RUJ55" s="1567"/>
      <c r="RUK55" s="1088" t="s">
        <v>289</v>
      </c>
      <c r="RUL55" s="1567" t="s">
        <v>290</v>
      </c>
      <c r="RUM55" s="1567"/>
      <c r="RUN55" s="1567"/>
      <c r="RUO55" s="1088" t="s">
        <v>289</v>
      </c>
      <c r="RUP55" s="1567" t="s">
        <v>290</v>
      </c>
      <c r="RUQ55" s="1567"/>
      <c r="RUR55" s="1567"/>
      <c r="RUS55" s="1088" t="s">
        <v>289</v>
      </c>
      <c r="RUT55" s="1567" t="s">
        <v>290</v>
      </c>
      <c r="RUU55" s="1567"/>
      <c r="RUV55" s="1567"/>
      <c r="RUW55" s="1088" t="s">
        <v>289</v>
      </c>
      <c r="RUX55" s="1567" t="s">
        <v>290</v>
      </c>
      <c r="RUY55" s="1567"/>
      <c r="RUZ55" s="1567"/>
      <c r="RVA55" s="1088" t="s">
        <v>289</v>
      </c>
      <c r="RVB55" s="1567" t="s">
        <v>290</v>
      </c>
      <c r="RVC55" s="1567"/>
      <c r="RVD55" s="1567"/>
      <c r="RVE55" s="1088" t="s">
        <v>289</v>
      </c>
      <c r="RVF55" s="1567" t="s">
        <v>290</v>
      </c>
      <c r="RVG55" s="1567"/>
      <c r="RVH55" s="1567"/>
      <c r="RVI55" s="1088" t="s">
        <v>289</v>
      </c>
      <c r="RVJ55" s="1567" t="s">
        <v>290</v>
      </c>
      <c r="RVK55" s="1567"/>
      <c r="RVL55" s="1567"/>
      <c r="RVM55" s="1088" t="s">
        <v>289</v>
      </c>
      <c r="RVN55" s="1567" t="s">
        <v>290</v>
      </c>
      <c r="RVO55" s="1567"/>
      <c r="RVP55" s="1567"/>
      <c r="RVQ55" s="1088" t="s">
        <v>289</v>
      </c>
      <c r="RVR55" s="1567" t="s">
        <v>290</v>
      </c>
      <c r="RVS55" s="1567"/>
      <c r="RVT55" s="1567"/>
      <c r="RVU55" s="1088" t="s">
        <v>289</v>
      </c>
      <c r="RVV55" s="1567" t="s">
        <v>290</v>
      </c>
      <c r="RVW55" s="1567"/>
      <c r="RVX55" s="1567"/>
      <c r="RVY55" s="1088" t="s">
        <v>289</v>
      </c>
      <c r="RVZ55" s="1567" t="s">
        <v>290</v>
      </c>
      <c r="RWA55" s="1567"/>
      <c r="RWB55" s="1567"/>
      <c r="RWC55" s="1088" t="s">
        <v>289</v>
      </c>
      <c r="RWD55" s="1567" t="s">
        <v>290</v>
      </c>
      <c r="RWE55" s="1567"/>
      <c r="RWF55" s="1567"/>
      <c r="RWG55" s="1088" t="s">
        <v>289</v>
      </c>
      <c r="RWH55" s="1567" t="s">
        <v>290</v>
      </c>
      <c r="RWI55" s="1567"/>
      <c r="RWJ55" s="1567"/>
      <c r="RWK55" s="1088" t="s">
        <v>289</v>
      </c>
      <c r="RWL55" s="1567" t="s">
        <v>290</v>
      </c>
      <c r="RWM55" s="1567"/>
      <c r="RWN55" s="1567"/>
      <c r="RWO55" s="1088" t="s">
        <v>289</v>
      </c>
      <c r="RWP55" s="1567" t="s">
        <v>290</v>
      </c>
      <c r="RWQ55" s="1567"/>
      <c r="RWR55" s="1567"/>
      <c r="RWS55" s="1088" t="s">
        <v>289</v>
      </c>
      <c r="RWT55" s="1567" t="s">
        <v>290</v>
      </c>
      <c r="RWU55" s="1567"/>
      <c r="RWV55" s="1567"/>
      <c r="RWW55" s="1088" t="s">
        <v>289</v>
      </c>
      <c r="RWX55" s="1567" t="s">
        <v>290</v>
      </c>
      <c r="RWY55" s="1567"/>
      <c r="RWZ55" s="1567"/>
      <c r="RXA55" s="1088" t="s">
        <v>289</v>
      </c>
      <c r="RXB55" s="1567" t="s">
        <v>290</v>
      </c>
      <c r="RXC55" s="1567"/>
      <c r="RXD55" s="1567"/>
      <c r="RXE55" s="1088" t="s">
        <v>289</v>
      </c>
      <c r="RXF55" s="1567" t="s">
        <v>290</v>
      </c>
      <c r="RXG55" s="1567"/>
      <c r="RXH55" s="1567"/>
      <c r="RXI55" s="1088" t="s">
        <v>289</v>
      </c>
      <c r="RXJ55" s="1567" t="s">
        <v>290</v>
      </c>
      <c r="RXK55" s="1567"/>
      <c r="RXL55" s="1567"/>
      <c r="RXM55" s="1088" t="s">
        <v>289</v>
      </c>
      <c r="RXN55" s="1567" t="s">
        <v>290</v>
      </c>
      <c r="RXO55" s="1567"/>
      <c r="RXP55" s="1567"/>
      <c r="RXQ55" s="1088" t="s">
        <v>289</v>
      </c>
      <c r="RXR55" s="1567" t="s">
        <v>290</v>
      </c>
      <c r="RXS55" s="1567"/>
      <c r="RXT55" s="1567"/>
      <c r="RXU55" s="1088" t="s">
        <v>289</v>
      </c>
      <c r="RXV55" s="1567" t="s">
        <v>290</v>
      </c>
      <c r="RXW55" s="1567"/>
      <c r="RXX55" s="1567"/>
      <c r="RXY55" s="1088" t="s">
        <v>289</v>
      </c>
      <c r="RXZ55" s="1567" t="s">
        <v>290</v>
      </c>
      <c r="RYA55" s="1567"/>
      <c r="RYB55" s="1567"/>
      <c r="RYC55" s="1088" t="s">
        <v>289</v>
      </c>
      <c r="RYD55" s="1567" t="s">
        <v>290</v>
      </c>
      <c r="RYE55" s="1567"/>
      <c r="RYF55" s="1567"/>
      <c r="RYG55" s="1088" t="s">
        <v>289</v>
      </c>
      <c r="RYH55" s="1567" t="s">
        <v>290</v>
      </c>
      <c r="RYI55" s="1567"/>
      <c r="RYJ55" s="1567"/>
      <c r="RYK55" s="1088" t="s">
        <v>289</v>
      </c>
      <c r="RYL55" s="1567" t="s">
        <v>290</v>
      </c>
      <c r="RYM55" s="1567"/>
      <c r="RYN55" s="1567"/>
      <c r="RYO55" s="1088" t="s">
        <v>289</v>
      </c>
      <c r="RYP55" s="1567" t="s">
        <v>290</v>
      </c>
      <c r="RYQ55" s="1567"/>
      <c r="RYR55" s="1567"/>
      <c r="RYS55" s="1088" t="s">
        <v>289</v>
      </c>
      <c r="RYT55" s="1567" t="s">
        <v>290</v>
      </c>
      <c r="RYU55" s="1567"/>
      <c r="RYV55" s="1567"/>
      <c r="RYW55" s="1088" t="s">
        <v>289</v>
      </c>
      <c r="RYX55" s="1567" t="s">
        <v>290</v>
      </c>
      <c r="RYY55" s="1567"/>
      <c r="RYZ55" s="1567"/>
      <c r="RZA55" s="1088" t="s">
        <v>289</v>
      </c>
      <c r="RZB55" s="1567" t="s">
        <v>290</v>
      </c>
      <c r="RZC55" s="1567"/>
      <c r="RZD55" s="1567"/>
      <c r="RZE55" s="1088" t="s">
        <v>289</v>
      </c>
      <c r="RZF55" s="1567" t="s">
        <v>290</v>
      </c>
      <c r="RZG55" s="1567"/>
      <c r="RZH55" s="1567"/>
      <c r="RZI55" s="1088" t="s">
        <v>289</v>
      </c>
      <c r="RZJ55" s="1567" t="s">
        <v>290</v>
      </c>
      <c r="RZK55" s="1567"/>
      <c r="RZL55" s="1567"/>
      <c r="RZM55" s="1088" t="s">
        <v>289</v>
      </c>
      <c r="RZN55" s="1567" t="s">
        <v>290</v>
      </c>
      <c r="RZO55" s="1567"/>
      <c r="RZP55" s="1567"/>
      <c r="RZQ55" s="1088" t="s">
        <v>289</v>
      </c>
      <c r="RZR55" s="1567" t="s">
        <v>290</v>
      </c>
      <c r="RZS55" s="1567"/>
      <c r="RZT55" s="1567"/>
      <c r="RZU55" s="1088" t="s">
        <v>289</v>
      </c>
      <c r="RZV55" s="1567" t="s">
        <v>290</v>
      </c>
      <c r="RZW55" s="1567"/>
      <c r="RZX55" s="1567"/>
      <c r="RZY55" s="1088" t="s">
        <v>289</v>
      </c>
      <c r="RZZ55" s="1567" t="s">
        <v>290</v>
      </c>
      <c r="SAA55" s="1567"/>
      <c r="SAB55" s="1567"/>
      <c r="SAC55" s="1088" t="s">
        <v>289</v>
      </c>
      <c r="SAD55" s="1567" t="s">
        <v>290</v>
      </c>
      <c r="SAE55" s="1567"/>
      <c r="SAF55" s="1567"/>
      <c r="SAG55" s="1088" t="s">
        <v>289</v>
      </c>
      <c r="SAH55" s="1567" t="s">
        <v>290</v>
      </c>
      <c r="SAI55" s="1567"/>
      <c r="SAJ55" s="1567"/>
      <c r="SAK55" s="1088" t="s">
        <v>289</v>
      </c>
      <c r="SAL55" s="1567" t="s">
        <v>290</v>
      </c>
      <c r="SAM55" s="1567"/>
      <c r="SAN55" s="1567"/>
      <c r="SAO55" s="1088" t="s">
        <v>289</v>
      </c>
      <c r="SAP55" s="1567" t="s">
        <v>290</v>
      </c>
      <c r="SAQ55" s="1567"/>
      <c r="SAR55" s="1567"/>
      <c r="SAS55" s="1088" t="s">
        <v>289</v>
      </c>
      <c r="SAT55" s="1567" t="s">
        <v>290</v>
      </c>
      <c r="SAU55" s="1567"/>
      <c r="SAV55" s="1567"/>
      <c r="SAW55" s="1088" t="s">
        <v>289</v>
      </c>
      <c r="SAX55" s="1567" t="s">
        <v>290</v>
      </c>
      <c r="SAY55" s="1567"/>
      <c r="SAZ55" s="1567"/>
      <c r="SBA55" s="1088" t="s">
        <v>289</v>
      </c>
      <c r="SBB55" s="1567" t="s">
        <v>290</v>
      </c>
      <c r="SBC55" s="1567"/>
      <c r="SBD55" s="1567"/>
      <c r="SBE55" s="1088" t="s">
        <v>289</v>
      </c>
      <c r="SBF55" s="1567" t="s">
        <v>290</v>
      </c>
      <c r="SBG55" s="1567"/>
      <c r="SBH55" s="1567"/>
      <c r="SBI55" s="1088" t="s">
        <v>289</v>
      </c>
      <c r="SBJ55" s="1567" t="s">
        <v>290</v>
      </c>
      <c r="SBK55" s="1567"/>
      <c r="SBL55" s="1567"/>
      <c r="SBM55" s="1088" t="s">
        <v>289</v>
      </c>
      <c r="SBN55" s="1567" t="s">
        <v>290</v>
      </c>
      <c r="SBO55" s="1567"/>
      <c r="SBP55" s="1567"/>
      <c r="SBQ55" s="1088" t="s">
        <v>289</v>
      </c>
      <c r="SBR55" s="1567" t="s">
        <v>290</v>
      </c>
      <c r="SBS55" s="1567"/>
      <c r="SBT55" s="1567"/>
      <c r="SBU55" s="1088" t="s">
        <v>289</v>
      </c>
      <c r="SBV55" s="1567" t="s">
        <v>290</v>
      </c>
      <c r="SBW55" s="1567"/>
      <c r="SBX55" s="1567"/>
      <c r="SBY55" s="1088" t="s">
        <v>289</v>
      </c>
      <c r="SBZ55" s="1567" t="s">
        <v>290</v>
      </c>
      <c r="SCA55" s="1567"/>
      <c r="SCB55" s="1567"/>
      <c r="SCC55" s="1088" t="s">
        <v>289</v>
      </c>
      <c r="SCD55" s="1567" t="s">
        <v>290</v>
      </c>
      <c r="SCE55" s="1567"/>
      <c r="SCF55" s="1567"/>
      <c r="SCG55" s="1088" t="s">
        <v>289</v>
      </c>
      <c r="SCH55" s="1567" t="s">
        <v>290</v>
      </c>
      <c r="SCI55" s="1567"/>
      <c r="SCJ55" s="1567"/>
      <c r="SCK55" s="1088" t="s">
        <v>289</v>
      </c>
      <c r="SCL55" s="1567" t="s">
        <v>290</v>
      </c>
      <c r="SCM55" s="1567"/>
      <c r="SCN55" s="1567"/>
      <c r="SCO55" s="1088" t="s">
        <v>289</v>
      </c>
      <c r="SCP55" s="1567" t="s">
        <v>290</v>
      </c>
      <c r="SCQ55" s="1567"/>
      <c r="SCR55" s="1567"/>
      <c r="SCS55" s="1088" t="s">
        <v>289</v>
      </c>
      <c r="SCT55" s="1567" t="s">
        <v>290</v>
      </c>
      <c r="SCU55" s="1567"/>
      <c r="SCV55" s="1567"/>
      <c r="SCW55" s="1088" t="s">
        <v>289</v>
      </c>
      <c r="SCX55" s="1567" t="s">
        <v>290</v>
      </c>
      <c r="SCY55" s="1567"/>
      <c r="SCZ55" s="1567"/>
      <c r="SDA55" s="1088" t="s">
        <v>289</v>
      </c>
      <c r="SDB55" s="1567" t="s">
        <v>290</v>
      </c>
      <c r="SDC55" s="1567"/>
      <c r="SDD55" s="1567"/>
      <c r="SDE55" s="1088" t="s">
        <v>289</v>
      </c>
      <c r="SDF55" s="1567" t="s">
        <v>290</v>
      </c>
      <c r="SDG55" s="1567"/>
      <c r="SDH55" s="1567"/>
      <c r="SDI55" s="1088" t="s">
        <v>289</v>
      </c>
      <c r="SDJ55" s="1567" t="s">
        <v>290</v>
      </c>
      <c r="SDK55" s="1567"/>
      <c r="SDL55" s="1567"/>
      <c r="SDM55" s="1088" t="s">
        <v>289</v>
      </c>
      <c r="SDN55" s="1567" t="s">
        <v>290</v>
      </c>
      <c r="SDO55" s="1567"/>
      <c r="SDP55" s="1567"/>
      <c r="SDQ55" s="1088" t="s">
        <v>289</v>
      </c>
      <c r="SDR55" s="1567" t="s">
        <v>290</v>
      </c>
      <c r="SDS55" s="1567"/>
      <c r="SDT55" s="1567"/>
      <c r="SDU55" s="1088" t="s">
        <v>289</v>
      </c>
      <c r="SDV55" s="1567" t="s">
        <v>290</v>
      </c>
      <c r="SDW55" s="1567"/>
      <c r="SDX55" s="1567"/>
      <c r="SDY55" s="1088" t="s">
        <v>289</v>
      </c>
      <c r="SDZ55" s="1567" t="s">
        <v>290</v>
      </c>
      <c r="SEA55" s="1567"/>
      <c r="SEB55" s="1567"/>
      <c r="SEC55" s="1088" t="s">
        <v>289</v>
      </c>
      <c r="SED55" s="1567" t="s">
        <v>290</v>
      </c>
      <c r="SEE55" s="1567"/>
      <c r="SEF55" s="1567"/>
      <c r="SEG55" s="1088" t="s">
        <v>289</v>
      </c>
      <c r="SEH55" s="1567" t="s">
        <v>290</v>
      </c>
      <c r="SEI55" s="1567"/>
      <c r="SEJ55" s="1567"/>
      <c r="SEK55" s="1088" t="s">
        <v>289</v>
      </c>
      <c r="SEL55" s="1567" t="s">
        <v>290</v>
      </c>
      <c r="SEM55" s="1567"/>
      <c r="SEN55" s="1567"/>
      <c r="SEO55" s="1088" t="s">
        <v>289</v>
      </c>
      <c r="SEP55" s="1567" t="s">
        <v>290</v>
      </c>
      <c r="SEQ55" s="1567"/>
      <c r="SER55" s="1567"/>
      <c r="SES55" s="1088" t="s">
        <v>289</v>
      </c>
      <c r="SET55" s="1567" t="s">
        <v>290</v>
      </c>
      <c r="SEU55" s="1567"/>
      <c r="SEV55" s="1567"/>
      <c r="SEW55" s="1088" t="s">
        <v>289</v>
      </c>
      <c r="SEX55" s="1567" t="s">
        <v>290</v>
      </c>
      <c r="SEY55" s="1567"/>
      <c r="SEZ55" s="1567"/>
      <c r="SFA55" s="1088" t="s">
        <v>289</v>
      </c>
      <c r="SFB55" s="1567" t="s">
        <v>290</v>
      </c>
      <c r="SFC55" s="1567"/>
      <c r="SFD55" s="1567"/>
      <c r="SFE55" s="1088" t="s">
        <v>289</v>
      </c>
      <c r="SFF55" s="1567" t="s">
        <v>290</v>
      </c>
      <c r="SFG55" s="1567"/>
      <c r="SFH55" s="1567"/>
      <c r="SFI55" s="1088" t="s">
        <v>289</v>
      </c>
      <c r="SFJ55" s="1567" t="s">
        <v>290</v>
      </c>
      <c r="SFK55" s="1567"/>
      <c r="SFL55" s="1567"/>
      <c r="SFM55" s="1088" t="s">
        <v>289</v>
      </c>
      <c r="SFN55" s="1567" t="s">
        <v>290</v>
      </c>
      <c r="SFO55" s="1567"/>
      <c r="SFP55" s="1567"/>
      <c r="SFQ55" s="1088" t="s">
        <v>289</v>
      </c>
      <c r="SFR55" s="1567" t="s">
        <v>290</v>
      </c>
      <c r="SFS55" s="1567"/>
      <c r="SFT55" s="1567"/>
      <c r="SFU55" s="1088" t="s">
        <v>289</v>
      </c>
      <c r="SFV55" s="1567" t="s">
        <v>290</v>
      </c>
      <c r="SFW55" s="1567"/>
      <c r="SFX55" s="1567"/>
      <c r="SFY55" s="1088" t="s">
        <v>289</v>
      </c>
      <c r="SFZ55" s="1567" t="s">
        <v>290</v>
      </c>
      <c r="SGA55" s="1567"/>
      <c r="SGB55" s="1567"/>
      <c r="SGC55" s="1088" t="s">
        <v>289</v>
      </c>
      <c r="SGD55" s="1567" t="s">
        <v>290</v>
      </c>
      <c r="SGE55" s="1567"/>
      <c r="SGF55" s="1567"/>
      <c r="SGG55" s="1088" t="s">
        <v>289</v>
      </c>
      <c r="SGH55" s="1567" t="s">
        <v>290</v>
      </c>
      <c r="SGI55" s="1567"/>
      <c r="SGJ55" s="1567"/>
      <c r="SGK55" s="1088" t="s">
        <v>289</v>
      </c>
      <c r="SGL55" s="1567" t="s">
        <v>290</v>
      </c>
      <c r="SGM55" s="1567"/>
      <c r="SGN55" s="1567"/>
      <c r="SGO55" s="1088" t="s">
        <v>289</v>
      </c>
      <c r="SGP55" s="1567" t="s">
        <v>290</v>
      </c>
      <c r="SGQ55" s="1567"/>
      <c r="SGR55" s="1567"/>
      <c r="SGS55" s="1088" t="s">
        <v>289</v>
      </c>
      <c r="SGT55" s="1567" t="s">
        <v>290</v>
      </c>
      <c r="SGU55" s="1567"/>
      <c r="SGV55" s="1567"/>
      <c r="SGW55" s="1088" t="s">
        <v>289</v>
      </c>
      <c r="SGX55" s="1567" t="s">
        <v>290</v>
      </c>
      <c r="SGY55" s="1567"/>
      <c r="SGZ55" s="1567"/>
      <c r="SHA55" s="1088" t="s">
        <v>289</v>
      </c>
      <c r="SHB55" s="1567" t="s">
        <v>290</v>
      </c>
      <c r="SHC55" s="1567"/>
      <c r="SHD55" s="1567"/>
      <c r="SHE55" s="1088" t="s">
        <v>289</v>
      </c>
      <c r="SHF55" s="1567" t="s">
        <v>290</v>
      </c>
      <c r="SHG55" s="1567"/>
      <c r="SHH55" s="1567"/>
      <c r="SHI55" s="1088" t="s">
        <v>289</v>
      </c>
      <c r="SHJ55" s="1567" t="s">
        <v>290</v>
      </c>
      <c r="SHK55" s="1567"/>
      <c r="SHL55" s="1567"/>
      <c r="SHM55" s="1088" t="s">
        <v>289</v>
      </c>
      <c r="SHN55" s="1567" t="s">
        <v>290</v>
      </c>
      <c r="SHO55" s="1567"/>
      <c r="SHP55" s="1567"/>
      <c r="SHQ55" s="1088" t="s">
        <v>289</v>
      </c>
      <c r="SHR55" s="1567" t="s">
        <v>290</v>
      </c>
      <c r="SHS55" s="1567"/>
      <c r="SHT55" s="1567"/>
      <c r="SHU55" s="1088" t="s">
        <v>289</v>
      </c>
      <c r="SHV55" s="1567" t="s">
        <v>290</v>
      </c>
      <c r="SHW55" s="1567"/>
      <c r="SHX55" s="1567"/>
      <c r="SHY55" s="1088" t="s">
        <v>289</v>
      </c>
      <c r="SHZ55" s="1567" t="s">
        <v>290</v>
      </c>
      <c r="SIA55" s="1567"/>
      <c r="SIB55" s="1567"/>
      <c r="SIC55" s="1088" t="s">
        <v>289</v>
      </c>
      <c r="SID55" s="1567" t="s">
        <v>290</v>
      </c>
      <c r="SIE55" s="1567"/>
      <c r="SIF55" s="1567"/>
      <c r="SIG55" s="1088" t="s">
        <v>289</v>
      </c>
      <c r="SIH55" s="1567" t="s">
        <v>290</v>
      </c>
      <c r="SII55" s="1567"/>
      <c r="SIJ55" s="1567"/>
      <c r="SIK55" s="1088" t="s">
        <v>289</v>
      </c>
      <c r="SIL55" s="1567" t="s">
        <v>290</v>
      </c>
      <c r="SIM55" s="1567"/>
      <c r="SIN55" s="1567"/>
      <c r="SIO55" s="1088" t="s">
        <v>289</v>
      </c>
      <c r="SIP55" s="1567" t="s">
        <v>290</v>
      </c>
      <c r="SIQ55" s="1567"/>
      <c r="SIR55" s="1567"/>
      <c r="SIS55" s="1088" t="s">
        <v>289</v>
      </c>
      <c r="SIT55" s="1567" t="s">
        <v>290</v>
      </c>
      <c r="SIU55" s="1567"/>
      <c r="SIV55" s="1567"/>
      <c r="SIW55" s="1088" t="s">
        <v>289</v>
      </c>
      <c r="SIX55" s="1567" t="s">
        <v>290</v>
      </c>
      <c r="SIY55" s="1567"/>
      <c r="SIZ55" s="1567"/>
      <c r="SJA55" s="1088" t="s">
        <v>289</v>
      </c>
      <c r="SJB55" s="1567" t="s">
        <v>290</v>
      </c>
      <c r="SJC55" s="1567"/>
      <c r="SJD55" s="1567"/>
      <c r="SJE55" s="1088" t="s">
        <v>289</v>
      </c>
      <c r="SJF55" s="1567" t="s">
        <v>290</v>
      </c>
      <c r="SJG55" s="1567"/>
      <c r="SJH55" s="1567"/>
      <c r="SJI55" s="1088" t="s">
        <v>289</v>
      </c>
      <c r="SJJ55" s="1567" t="s">
        <v>290</v>
      </c>
      <c r="SJK55" s="1567"/>
      <c r="SJL55" s="1567"/>
      <c r="SJM55" s="1088" t="s">
        <v>289</v>
      </c>
      <c r="SJN55" s="1567" t="s">
        <v>290</v>
      </c>
      <c r="SJO55" s="1567"/>
      <c r="SJP55" s="1567"/>
      <c r="SJQ55" s="1088" t="s">
        <v>289</v>
      </c>
      <c r="SJR55" s="1567" t="s">
        <v>290</v>
      </c>
      <c r="SJS55" s="1567"/>
      <c r="SJT55" s="1567"/>
      <c r="SJU55" s="1088" t="s">
        <v>289</v>
      </c>
      <c r="SJV55" s="1567" t="s">
        <v>290</v>
      </c>
      <c r="SJW55" s="1567"/>
      <c r="SJX55" s="1567"/>
      <c r="SJY55" s="1088" t="s">
        <v>289</v>
      </c>
      <c r="SJZ55" s="1567" t="s">
        <v>290</v>
      </c>
      <c r="SKA55" s="1567"/>
      <c r="SKB55" s="1567"/>
      <c r="SKC55" s="1088" t="s">
        <v>289</v>
      </c>
      <c r="SKD55" s="1567" t="s">
        <v>290</v>
      </c>
      <c r="SKE55" s="1567"/>
      <c r="SKF55" s="1567"/>
      <c r="SKG55" s="1088" t="s">
        <v>289</v>
      </c>
      <c r="SKH55" s="1567" t="s">
        <v>290</v>
      </c>
      <c r="SKI55" s="1567"/>
      <c r="SKJ55" s="1567"/>
      <c r="SKK55" s="1088" t="s">
        <v>289</v>
      </c>
      <c r="SKL55" s="1567" t="s">
        <v>290</v>
      </c>
      <c r="SKM55" s="1567"/>
      <c r="SKN55" s="1567"/>
      <c r="SKO55" s="1088" t="s">
        <v>289</v>
      </c>
      <c r="SKP55" s="1567" t="s">
        <v>290</v>
      </c>
      <c r="SKQ55" s="1567"/>
      <c r="SKR55" s="1567"/>
      <c r="SKS55" s="1088" t="s">
        <v>289</v>
      </c>
      <c r="SKT55" s="1567" t="s">
        <v>290</v>
      </c>
      <c r="SKU55" s="1567"/>
      <c r="SKV55" s="1567"/>
      <c r="SKW55" s="1088" t="s">
        <v>289</v>
      </c>
      <c r="SKX55" s="1567" t="s">
        <v>290</v>
      </c>
      <c r="SKY55" s="1567"/>
      <c r="SKZ55" s="1567"/>
      <c r="SLA55" s="1088" t="s">
        <v>289</v>
      </c>
      <c r="SLB55" s="1567" t="s">
        <v>290</v>
      </c>
      <c r="SLC55" s="1567"/>
      <c r="SLD55" s="1567"/>
      <c r="SLE55" s="1088" t="s">
        <v>289</v>
      </c>
      <c r="SLF55" s="1567" t="s">
        <v>290</v>
      </c>
      <c r="SLG55" s="1567"/>
      <c r="SLH55" s="1567"/>
      <c r="SLI55" s="1088" t="s">
        <v>289</v>
      </c>
      <c r="SLJ55" s="1567" t="s">
        <v>290</v>
      </c>
      <c r="SLK55" s="1567"/>
      <c r="SLL55" s="1567"/>
      <c r="SLM55" s="1088" t="s">
        <v>289</v>
      </c>
      <c r="SLN55" s="1567" t="s">
        <v>290</v>
      </c>
      <c r="SLO55" s="1567"/>
      <c r="SLP55" s="1567"/>
      <c r="SLQ55" s="1088" t="s">
        <v>289</v>
      </c>
      <c r="SLR55" s="1567" t="s">
        <v>290</v>
      </c>
      <c r="SLS55" s="1567"/>
      <c r="SLT55" s="1567"/>
      <c r="SLU55" s="1088" t="s">
        <v>289</v>
      </c>
      <c r="SLV55" s="1567" t="s">
        <v>290</v>
      </c>
      <c r="SLW55" s="1567"/>
      <c r="SLX55" s="1567"/>
      <c r="SLY55" s="1088" t="s">
        <v>289</v>
      </c>
      <c r="SLZ55" s="1567" t="s">
        <v>290</v>
      </c>
      <c r="SMA55" s="1567"/>
      <c r="SMB55" s="1567"/>
      <c r="SMC55" s="1088" t="s">
        <v>289</v>
      </c>
      <c r="SMD55" s="1567" t="s">
        <v>290</v>
      </c>
      <c r="SME55" s="1567"/>
      <c r="SMF55" s="1567"/>
      <c r="SMG55" s="1088" t="s">
        <v>289</v>
      </c>
      <c r="SMH55" s="1567" t="s">
        <v>290</v>
      </c>
      <c r="SMI55" s="1567"/>
      <c r="SMJ55" s="1567"/>
      <c r="SMK55" s="1088" t="s">
        <v>289</v>
      </c>
      <c r="SML55" s="1567" t="s">
        <v>290</v>
      </c>
      <c r="SMM55" s="1567"/>
      <c r="SMN55" s="1567"/>
      <c r="SMO55" s="1088" t="s">
        <v>289</v>
      </c>
      <c r="SMP55" s="1567" t="s">
        <v>290</v>
      </c>
      <c r="SMQ55" s="1567"/>
      <c r="SMR55" s="1567"/>
      <c r="SMS55" s="1088" t="s">
        <v>289</v>
      </c>
      <c r="SMT55" s="1567" t="s">
        <v>290</v>
      </c>
      <c r="SMU55" s="1567"/>
      <c r="SMV55" s="1567"/>
      <c r="SMW55" s="1088" t="s">
        <v>289</v>
      </c>
      <c r="SMX55" s="1567" t="s">
        <v>290</v>
      </c>
      <c r="SMY55" s="1567"/>
      <c r="SMZ55" s="1567"/>
      <c r="SNA55" s="1088" t="s">
        <v>289</v>
      </c>
      <c r="SNB55" s="1567" t="s">
        <v>290</v>
      </c>
      <c r="SNC55" s="1567"/>
      <c r="SND55" s="1567"/>
      <c r="SNE55" s="1088" t="s">
        <v>289</v>
      </c>
      <c r="SNF55" s="1567" t="s">
        <v>290</v>
      </c>
      <c r="SNG55" s="1567"/>
      <c r="SNH55" s="1567"/>
      <c r="SNI55" s="1088" t="s">
        <v>289</v>
      </c>
      <c r="SNJ55" s="1567" t="s">
        <v>290</v>
      </c>
      <c r="SNK55" s="1567"/>
      <c r="SNL55" s="1567"/>
      <c r="SNM55" s="1088" t="s">
        <v>289</v>
      </c>
      <c r="SNN55" s="1567" t="s">
        <v>290</v>
      </c>
      <c r="SNO55" s="1567"/>
      <c r="SNP55" s="1567"/>
      <c r="SNQ55" s="1088" t="s">
        <v>289</v>
      </c>
      <c r="SNR55" s="1567" t="s">
        <v>290</v>
      </c>
      <c r="SNS55" s="1567"/>
      <c r="SNT55" s="1567"/>
      <c r="SNU55" s="1088" t="s">
        <v>289</v>
      </c>
      <c r="SNV55" s="1567" t="s">
        <v>290</v>
      </c>
      <c r="SNW55" s="1567"/>
      <c r="SNX55" s="1567"/>
      <c r="SNY55" s="1088" t="s">
        <v>289</v>
      </c>
      <c r="SNZ55" s="1567" t="s">
        <v>290</v>
      </c>
      <c r="SOA55" s="1567"/>
      <c r="SOB55" s="1567"/>
      <c r="SOC55" s="1088" t="s">
        <v>289</v>
      </c>
      <c r="SOD55" s="1567" t="s">
        <v>290</v>
      </c>
      <c r="SOE55" s="1567"/>
      <c r="SOF55" s="1567"/>
      <c r="SOG55" s="1088" t="s">
        <v>289</v>
      </c>
      <c r="SOH55" s="1567" t="s">
        <v>290</v>
      </c>
      <c r="SOI55" s="1567"/>
      <c r="SOJ55" s="1567"/>
      <c r="SOK55" s="1088" t="s">
        <v>289</v>
      </c>
      <c r="SOL55" s="1567" t="s">
        <v>290</v>
      </c>
      <c r="SOM55" s="1567"/>
      <c r="SON55" s="1567"/>
      <c r="SOO55" s="1088" t="s">
        <v>289</v>
      </c>
      <c r="SOP55" s="1567" t="s">
        <v>290</v>
      </c>
      <c r="SOQ55" s="1567"/>
      <c r="SOR55" s="1567"/>
      <c r="SOS55" s="1088" t="s">
        <v>289</v>
      </c>
      <c r="SOT55" s="1567" t="s">
        <v>290</v>
      </c>
      <c r="SOU55" s="1567"/>
      <c r="SOV55" s="1567"/>
      <c r="SOW55" s="1088" t="s">
        <v>289</v>
      </c>
      <c r="SOX55" s="1567" t="s">
        <v>290</v>
      </c>
      <c r="SOY55" s="1567"/>
      <c r="SOZ55" s="1567"/>
      <c r="SPA55" s="1088" t="s">
        <v>289</v>
      </c>
      <c r="SPB55" s="1567" t="s">
        <v>290</v>
      </c>
      <c r="SPC55" s="1567"/>
      <c r="SPD55" s="1567"/>
      <c r="SPE55" s="1088" t="s">
        <v>289</v>
      </c>
      <c r="SPF55" s="1567" t="s">
        <v>290</v>
      </c>
      <c r="SPG55" s="1567"/>
      <c r="SPH55" s="1567"/>
      <c r="SPI55" s="1088" t="s">
        <v>289</v>
      </c>
      <c r="SPJ55" s="1567" t="s">
        <v>290</v>
      </c>
      <c r="SPK55" s="1567"/>
      <c r="SPL55" s="1567"/>
      <c r="SPM55" s="1088" t="s">
        <v>289</v>
      </c>
      <c r="SPN55" s="1567" t="s">
        <v>290</v>
      </c>
      <c r="SPO55" s="1567"/>
      <c r="SPP55" s="1567"/>
      <c r="SPQ55" s="1088" t="s">
        <v>289</v>
      </c>
      <c r="SPR55" s="1567" t="s">
        <v>290</v>
      </c>
      <c r="SPS55" s="1567"/>
      <c r="SPT55" s="1567"/>
      <c r="SPU55" s="1088" t="s">
        <v>289</v>
      </c>
      <c r="SPV55" s="1567" t="s">
        <v>290</v>
      </c>
      <c r="SPW55" s="1567"/>
      <c r="SPX55" s="1567"/>
      <c r="SPY55" s="1088" t="s">
        <v>289</v>
      </c>
      <c r="SPZ55" s="1567" t="s">
        <v>290</v>
      </c>
      <c r="SQA55" s="1567"/>
      <c r="SQB55" s="1567"/>
      <c r="SQC55" s="1088" t="s">
        <v>289</v>
      </c>
      <c r="SQD55" s="1567" t="s">
        <v>290</v>
      </c>
      <c r="SQE55" s="1567"/>
      <c r="SQF55" s="1567"/>
      <c r="SQG55" s="1088" t="s">
        <v>289</v>
      </c>
      <c r="SQH55" s="1567" t="s">
        <v>290</v>
      </c>
      <c r="SQI55" s="1567"/>
      <c r="SQJ55" s="1567"/>
      <c r="SQK55" s="1088" t="s">
        <v>289</v>
      </c>
      <c r="SQL55" s="1567" t="s">
        <v>290</v>
      </c>
      <c r="SQM55" s="1567"/>
      <c r="SQN55" s="1567"/>
      <c r="SQO55" s="1088" t="s">
        <v>289</v>
      </c>
      <c r="SQP55" s="1567" t="s">
        <v>290</v>
      </c>
      <c r="SQQ55" s="1567"/>
      <c r="SQR55" s="1567"/>
      <c r="SQS55" s="1088" t="s">
        <v>289</v>
      </c>
      <c r="SQT55" s="1567" t="s">
        <v>290</v>
      </c>
      <c r="SQU55" s="1567"/>
      <c r="SQV55" s="1567"/>
      <c r="SQW55" s="1088" t="s">
        <v>289</v>
      </c>
      <c r="SQX55" s="1567" t="s">
        <v>290</v>
      </c>
      <c r="SQY55" s="1567"/>
      <c r="SQZ55" s="1567"/>
      <c r="SRA55" s="1088" t="s">
        <v>289</v>
      </c>
      <c r="SRB55" s="1567" t="s">
        <v>290</v>
      </c>
      <c r="SRC55" s="1567"/>
      <c r="SRD55" s="1567"/>
      <c r="SRE55" s="1088" t="s">
        <v>289</v>
      </c>
      <c r="SRF55" s="1567" t="s">
        <v>290</v>
      </c>
      <c r="SRG55" s="1567"/>
      <c r="SRH55" s="1567"/>
      <c r="SRI55" s="1088" t="s">
        <v>289</v>
      </c>
      <c r="SRJ55" s="1567" t="s">
        <v>290</v>
      </c>
      <c r="SRK55" s="1567"/>
      <c r="SRL55" s="1567"/>
      <c r="SRM55" s="1088" t="s">
        <v>289</v>
      </c>
      <c r="SRN55" s="1567" t="s">
        <v>290</v>
      </c>
      <c r="SRO55" s="1567"/>
      <c r="SRP55" s="1567"/>
      <c r="SRQ55" s="1088" t="s">
        <v>289</v>
      </c>
      <c r="SRR55" s="1567" t="s">
        <v>290</v>
      </c>
      <c r="SRS55" s="1567"/>
      <c r="SRT55" s="1567"/>
      <c r="SRU55" s="1088" t="s">
        <v>289</v>
      </c>
      <c r="SRV55" s="1567" t="s">
        <v>290</v>
      </c>
      <c r="SRW55" s="1567"/>
      <c r="SRX55" s="1567"/>
      <c r="SRY55" s="1088" t="s">
        <v>289</v>
      </c>
      <c r="SRZ55" s="1567" t="s">
        <v>290</v>
      </c>
      <c r="SSA55" s="1567"/>
      <c r="SSB55" s="1567"/>
      <c r="SSC55" s="1088" t="s">
        <v>289</v>
      </c>
      <c r="SSD55" s="1567" t="s">
        <v>290</v>
      </c>
      <c r="SSE55" s="1567"/>
      <c r="SSF55" s="1567"/>
      <c r="SSG55" s="1088" t="s">
        <v>289</v>
      </c>
      <c r="SSH55" s="1567" t="s">
        <v>290</v>
      </c>
      <c r="SSI55" s="1567"/>
      <c r="SSJ55" s="1567"/>
      <c r="SSK55" s="1088" t="s">
        <v>289</v>
      </c>
      <c r="SSL55" s="1567" t="s">
        <v>290</v>
      </c>
      <c r="SSM55" s="1567"/>
      <c r="SSN55" s="1567"/>
      <c r="SSO55" s="1088" t="s">
        <v>289</v>
      </c>
      <c r="SSP55" s="1567" t="s">
        <v>290</v>
      </c>
      <c r="SSQ55" s="1567"/>
      <c r="SSR55" s="1567"/>
      <c r="SSS55" s="1088" t="s">
        <v>289</v>
      </c>
      <c r="SST55" s="1567" t="s">
        <v>290</v>
      </c>
      <c r="SSU55" s="1567"/>
      <c r="SSV55" s="1567"/>
      <c r="SSW55" s="1088" t="s">
        <v>289</v>
      </c>
      <c r="SSX55" s="1567" t="s">
        <v>290</v>
      </c>
      <c r="SSY55" s="1567"/>
      <c r="SSZ55" s="1567"/>
      <c r="STA55" s="1088" t="s">
        <v>289</v>
      </c>
      <c r="STB55" s="1567" t="s">
        <v>290</v>
      </c>
      <c r="STC55" s="1567"/>
      <c r="STD55" s="1567"/>
      <c r="STE55" s="1088" t="s">
        <v>289</v>
      </c>
      <c r="STF55" s="1567" t="s">
        <v>290</v>
      </c>
      <c r="STG55" s="1567"/>
      <c r="STH55" s="1567"/>
      <c r="STI55" s="1088" t="s">
        <v>289</v>
      </c>
      <c r="STJ55" s="1567" t="s">
        <v>290</v>
      </c>
      <c r="STK55" s="1567"/>
      <c r="STL55" s="1567"/>
      <c r="STM55" s="1088" t="s">
        <v>289</v>
      </c>
      <c r="STN55" s="1567" t="s">
        <v>290</v>
      </c>
      <c r="STO55" s="1567"/>
      <c r="STP55" s="1567"/>
      <c r="STQ55" s="1088" t="s">
        <v>289</v>
      </c>
      <c r="STR55" s="1567" t="s">
        <v>290</v>
      </c>
      <c r="STS55" s="1567"/>
      <c r="STT55" s="1567"/>
      <c r="STU55" s="1088" t="s">
        <v>289</v>
      </c>
      <c r="STV55" s="1567" t="s">
        <v>290</v>
      </c>
      <c r="STW55" s="1567"/>
      <c r="STX55" s="1567"/>
      <c r="STY55" s="1088" t="s">
        <v>289</v>
      </c>
      <c r="STZ55" s="1567" t="s">
        <v>290</v>
      </c>
      <c r="SUA55" s="1567"/>
      <c r="SUB55" s="1567"/>
      <c r="SUC55" s="1088" t="s">
        <v>289</v>
      </c>
      <c r="SUD55" s="1567" t="s">
        <v>290</v>
      </c>
      <c r="SUE55" s="1567"/>
      <c r="SUF55" s="1567"/>
      <c r="SUG55" s="1088" t="s">
        <v>289</v>
      </c>
      <c r="SUH55" s="1567" t="s">
        <v>290</v>
      </c>
      <c r="SUI55" s="1567"/>
      <c r="SUJ55" s="1567"/>
      <c r="SUK55" s="1088" t="s">
        <v>289</v>
      </c>
      <c r="SUL55" s="1567" t="s">
        <v>290</v>
      </c>
      <c r="SUM55" s="1567"/>
      <c r="SUN55" s="1567"/>
      <c r="SUO55" s="1088" t="s">
        <v>289</v>
      </c>
      <c r="SUP55" s="1567" t="s">
        <v>290</v>
      </c>
      <c r="SUQ55" s="1567"/>
      <c r="SUR55" s="1567"/>
      <c r="SUS55" s="1088" t="s">
        <v>289</v>
      </c>
      <c r="SUT55" s="1567" t="s">
        <v>290</v>
      </c>
      <c r="SUU55" s="1567"/>
      <c r="SUV55" s="1567"/>
      <c r="SUW55" s="1088" t="s">
        <v>289</v>
      </c>
      <c r="SUX55" s="1567" t="s">
        <v>290</v>
      </c>
      <c r="SUY55" s="1567"/>
      <c r="SUZ55" s="1567"/>
      <c r="SVA55" s="1088" t="s">
        <v>289</v>
      </c>
      <c r="SVB55" s="1567" t="s">
        <v>290</v>
      </c>
      <c r="SVC55" s="1567"/>
      <c r="SVD55" s="1567"/>
      <c r="SVE55" s="1088" t="s">
        <v>289</v>
      </c>
      <c r="SVF55" s="1567" t="s">
        <v>290</v>
      </c>
      <c r="SVG55" s="1567"/>
      <c r="SVH55" s="1567"/>
      <c r="SVI55" s="1088" t="s">
        <v>289</v>
      </c>
      <c r="SVJ55" s="1567" t="s">
        <v>290</v>
      </c>
      <c r="SVK55" s="1567"/>
      <c r="SVL55" s="1567"/>
      <c r="SVM55" s="1088" t="s">
        <v>289</v>
      </c>
      <c r="SVN55" s="1567" t="s">
        <v>290</v>
      </c>
      <c r="SVO55" s="1567"/>
      <c r="SVP55" s="1567"/>
      <c r="SVQ55" s="1088" t="s">
        <v>289</v>
      </c>
      <c r="SVR55" s="1567" t="s">
        <v>290</v>
      </c>
      <c r="SVS55" s="1567"/>
      <c r="SVT55" s="1567"/>
      <c r="SVU55" s="1088" t="s">
        <v>289</v>
      </c>
      <c r="SVV55" s="1567" t="s">
        <v>290</v>
      </c>
      <c r="SVW55" s="1567"/>
      <c r="SVX55" s="1567"/>
      <c r="SVY55" s="1088" t="s">
        <v>289</v>
      </c>
      <c r="SVZ55" s="1567" t="s">
        <v>290</v>
      </c>
      <c r="SWA55" s="1567"/>
      <c r="SWB55" s="1567"/>
      <c r="SWC55" s="1088" t="s">
        <v>289</v>
      </c>
      <c r="SWD55" s="1567" t="s">
        <v>290</v>
      </c>
      <c r="SWE55" s="1567"/>
      <c r="SWF55" s="1567"/>
      <c r="SWG55" s="1088" t="s">
        <v>289</v>
      </c>
      <c r="SWH55" s="1567" t="s">
        <v>290</v>
      </c>
      <c r="SWI55" s="1567"/>
      <c r="SWJ55" s="1567"/>
      <c r="SWK55" s="1088" t="s">
        <v>289</v>
      </c>
      <c r="SWL55" s="1567" t="s">
        <v>290</v>
      </c>
      <c r="SWM55" s="1567"/>
      <c r="SWN55" s="1567"/>
      <c r="SWO55" s="1088" t="s">
        <v>289</v>
      </c>
      <c r="SWP55" s="1567" t="s">
        <v>290</v>
      </c>
      <c r="SWQ55" s="1567"/>
      <c r="SWR55" s="1567"/>
      <c r="SWS55" s="1088" t="s">
        <v>289</v>
      </c>
      <c r="SWT55" s="1567" t="s">
        <v>290</v>
      </c>
      <c r="SWU55" s="1567"/>
      <c r="SWV55" s="1567"/>
      <c r="SWW55" s="1088" t="s">
        <v>289</v>
      </c>
      <c r="SWX55" s="1567" t="s">
        <v>290</v>
      </c>
      <c r="SWY55" s="1567"/>
      <c r="SWZ55" s="1567"/>
      <c r="SXA55" s="1088" t="s">
        <v>289</v>
      </c>
      <c r="SXB55" s="1567" t="s">
        <v>290</v>
      </c>
      <c r="SXC55" s="1567"/>
      <c r="SXD55" s="1567"/>
      <c r="SXE55" s="1088" t="s">
        <v>289</v>
      </c>
      <c r="SXF55" s="1567" t="s">
        <v>290</v>
      </c>
      <c r="SXG55" s="1567"/>
      <c r="SXH55" s="1567"/>
      <c r="SXI55" s="1088" t="s">
        <v>289</v>
      </c>
      <c r="SXJ55" s="1567" t="s">
        <v>290</v>
      </c>
      <c r="SXK55" s="1567"/>
      <c r="SXL55" s="1567"/>
      <c r="SXM55" s="1088" t="s">
        <v>289</v>
      </c>
      <c r="SXN55" s="1567" t="s">
        <v>290</v>
      </c>
      <c r="SXO55" s="1567"/>
      <c r="SXP55" s="1567"/>
      <c r="SXQ55" s="1088" t="s">
        <v>289</v>
      </c>
      <c r="SXR55" s="1567" t="s">
        <v>290</v>
      </c>
      <c r="SXS55" s="1567"/>
      <c r="SXT55" s="1567"/>
      <c r="SXU55" s="1088" t="s">
        <v>289</v>
      </c>
      <c r="SXV55" s="1567" t="s">
        <v>290</v>
      </c>
      <c r="SXW55" s="1567"/>
      <c r="SXX55" s="1567"/>
      <c r="SXY55" s="1088" t="s">
        <v>289</v>
      </c>
      <c r="SXZ55" s="1567" t="s">
        <v>290</v>
      </c>
      <c r="SYA55" s="1567"/>
      <c r="SYB55" s="1567"/>
      <c r="SYC55" s="1088" t="s">
        <v>289</v>
      </c>
      <c r="SYD55" s="1567" t="s">
        <v>290</v>
      </c>
      <c r="SYE55" s="1567"/>
      <c r="SYF55" s="1567"/>
      <c r="SYG55" s="1088" t="s">
        <v>289</v>
      </c>
      <c r="SYH55" s="1567" t="s">
        <v>290</v>
      </c>
      <c r="SYI55" s="1567"/>
      <c r="SYJ55" s="1567"/>
      <c r="SYK55" s="1088" t="s">
        <v>289</v>
      </c>
      <c r="SYL55" s="1567" t="s">
        <v>290</v>
      </c>
      <c r="SYM55" s="1567"/>
      <c r="SYN55" s="1567"/>
      <c r="SYO55" s="1088" t="s">
        <v>289</v>
      </c>
      <c r="SYP55" s="1567" t="s">
        <v>290</v>
      </c>
      <c r="SYQ55" s="1567"/>
      <c r="SYR55" s="1567"/>
      <c r="SYS55" s="1088" t="s">
        <v>289</v>
      </c>
      <c r="SYT55" s="1567" t="s">
        <v>290</v>
      </c>
      <c r="SYU55" s="1567"/>
      <c r="SYV55" s="1567"/>
      <c r="SYW55" s="1088" t="s">
        <v>289</v>
      </c>
      <c r="SYX55" s="1567" t="s">
        <v>290</v>
      </c>
      <c r="SYY55" s="1567"/>
      <c r="SYZ55" s="1567"/>
      <c r="SZA55" s="1088" t="s">
        <v>289</v>
      </c>
      <c r="SZB55" s="1567" t="s">
        <v>290</v>
      </c>
      <c r="SZC55" s="1567"/>
      <c r="SZD55" s="1567"/>
      <c r="SZE55" s="1088" t="s">
        <v>289</v>
      </c>
      <c r="SZF55" s="1567" t="s">
        <v>290</v>
      </c>
      <c r="SZG55" s="1567"/>
      <c r="SZH55" s="1567"/>
      <c r="SZI55" s="1088" t="s">
        <v>289</v>
      </c>
      <c r="SZJ55" s="1567" t="s">
        <v>290</v>
      </c>
      <c r="SZK55" s="1567"/>
      <c r="SZL55" s="1567"/>
      <c r="SZM55" s="1088" t="s">
        <v>289</v>
      </c>
      <c r="SZN55" s="1567" t="s">
        <v>290</v>
      </c>
      <c r="SZO55" s="1567"/>
      <c r="SZP55" s="1567"/>
      <c r="SZQ55" s="1088" t="s">
        <v>289</v>
      </c>
      <c r="SZR55" s="1567" t="s">
        <v>290</v>
      </c>
      <c r="SZS55" s="1567"/>
      <c r="SZT55" s="1567"/>
      <c r="SZU55" s="1088" t="s">
        <v>289</v>
      </c>
      <c r="SZV55" s="1567" t="s">
        <v>290</v>
      </c>
      <c r="SZW55" s="1567"/>
      <c r="SZX55" s="1567"/>
      <c r="SZY55" s="1088" t="s">
        <v>289</v>
      </c>
      <c r="SZZ55" s="1567" t="s">
        <v>290</v>
      </c>
      <c r="TAA55" s="1567"/>
      <c r="TAB55" s="1567"/>
      <c r="TAC55" s="1088" t="s">
        <v>289</v>
      </c>
      <c r="TAD55" s="1567" t="s">
        <v>290</v>
      </c>
      <c r="TAE55" s="1567"/>
      <c r="TAF55" s="1567"/>
      <c r="TAG55" s="1088" t="s">
        <v>289</v>
      </c>
      <c r="TAH55" s="1567" t="s">
        <v>290</v>
      </c>
      <c r="TAI55" s="1567"/>
      <c r="TAJ55" s="1567"/>
      <c r="TAK55" s="1088" t="s">
        <v>289</v>
      </c>
      <c r="TAL55" s="1567" t="s">
        <v>290</v>
      </c>
      <c r="TAM55" s="1567"/>
      <c r="TAN55" s="1567"/>
      <c r="TAO55" s="1088" t="s">
        <v>289</v>
      </c>
      <c r="TAP55" s="1567" t="s">
        <v>290</v>
      </c>
      <c r="TAQ55" s="1567"/>
      <c r="TAR55" s="1567"/>
      <c r="TAS55" s="1088" t="s">
        <v>289</v>
      </c>
      <c r="TAT55" s="1567" t="s">
        <v>290</v>
      </c>
      <c r="TAU55" s="1567"/>
      <c r="TAV55" s="1567"/>
      <c r="TAW55" s="1088" t="s">
        <v>289</v>
      </c>
      <c r="TAX55" s="1567" t="s">
        <v>290</v>
      </c>
      <c r="TAY55" s="1567"/>
      <c r="TAZ55" s="1567"/>
      <c r="TBA55" s="1088" t="s">
        <v>289</v>
      </c>
      <c r="TBB55" s="1567" t="s">
        <v>290</v>
      </c>
      <c r="TBC55" s="1567"/>
      <c r="TBD55" s="1567"/>
      <c r="TBE55" s="1088" t="s">
        <v>289</v>
      </c>
      <c r="TBF55" s="1567" t="s">
        <v>290</v>
      </c>
      <c r="TBG55" s="1567"/>
      <c r="TBH55" s="1567"/>
      <c r="TBI55" s="1088" t="s">
        <v>289</v>
      </c>
      <c r="TBJ55" s="1567" t="s">
        <v>290</v>
      </c>
      <c r="TBK55" s="1567"/>
      <c r="TBL55" s="1567"/>
      <c r="TBM55" s="1088" t="s">
        <v>289</v>
      </c>
      <c r="TBN55" s="1567" t="s">
        <v>290</v>
      </c>
      <c r="TBO55" s="1567"/>
      <c r="TBP55" s="1567"/>
      <c r="TBQ55" s="1088" t="s">
        <v>289</v>
      </c>
      <c r="TBR55" s="1567" t="s">
        <v>290</v>
      </c>
      <c r="TBS55" s="1567"/>
      <c r="TBT55" s="1567"/>
      <c r="TBU55" s="1088" t="s">
        <v>289</v>
      </c>
      <c r="TBV55" s="1567" t="s">
        <v>290</v>
      </c>
      <c r="TBW55" s="1567"/>
      <c r="TBX55" s="1567"/>
      <c r="TBY55" s="1088" t="s">
        <v>289</v>
      </c>
      <c r="TBZ55" s="1567" t="s">
        <v>290</v>
      </c>
      <c r="TCA55" s="1567"/>
      <c r="TCB55" s="1567"/>
      <c r="TCC55" s="1088" t="s">
        <v>289</v>
      </c>
      <c r="TCD55" s="1567" t="s">
        <v>290</v>
      </c>
      <c r="TCE55" s="1567"/>
      <c r="TCF55" s="1567"/>
      <c r="TCG55" s="1088" t="s">
        <v>289</v>
      </c>
      <c r="TCH55" s="1567" t="s">
        <v>290</v>
      </c>
      <c r="TCI55" s="1567"/>
      <c r="TCJ55" s="1567"/>
      <c r="TCK55" s="1088" t="s">
        <v>289</v>
      </c>
      <c r="TCL55" s="1567" t="s">
        <v>290</v>
      </c>
      <c r="TCM55" s="1567"/>
      <c r="TCN55" s="1567"/>
      <c r="TCO55" s="1088" t="s">
        <v>289</v>
      </c>
      <c r="TCP55" s="1567" t="s">
        <v>290</v>
      </c>
      <c r="TCQ55" s="1567"/>
      <c r="TCR55" s="1567"/>
      <c r="TCS55" s="1088" t="s">
        <v>289</v>
      </c>
      <c r="TCT55" s="1567" t="s">
        <v>290</v>
      </c>
      <c r="TCU55" s="1567"/>
      <c r="TCV55" s="1567"/>
      <c r="TCW55" s="1088" t="s">
        <v>289</v>
      </c>
      <c r="TCX55" s="1567" t="s">
        <v>290</v>
      </c>
      <c r="TCY55" s="1567"/>
      <c r="TCZ55" s="1567"/>
      <c r="TDA55" s="1088" t="s">
        <v>289</v>
      </c>
      <c r="TDB55" s="1567" t="s">
        <v>290</v>
      </c>
      <c r="TDC55" s="1567"/>
      <c r="TDD55" s="1567"/>
      <c r="TDE55" s="1088" t="s">
        <v>289</v>
      </c>
      <c r="TDF55" s="1567" t="s">
        <v>290</v>
      </c>
      <c r="TDG55" s="1567"/>
      <c r="TDH55" s="1567"/>
      <c r="TDI55" s="1088" t="s">
        <v>289</v>
      </c>
      <c r="TDJ55" s="1567" t="s">
        <v>290</v>
      </c>
      <c r="TDK55" s="1567"/>
      <c r="TDL55" s="1567"/>
      <c r="TDM55" s="1088" t="s">
        <v>289</v>
      </c>
      <c r="TDN55" s="1567" t="s">
        <v>290</v>
      </c>
      <c r="TDO55" s="1567"/>
      <c r="TDP55" s="1567"/>
      <c r="TDQ55" s="1088" t="s">
        <v>289</v>
      </c>
      <c r="TDR55" s="1567" t="s">
        <v>290</v>
      </c>
      <c r="TDS55" s="1567"/>
      <c r="TDT55" s="1567"/>
      <c r="TDU55" s="1088" t="s">
        <v>289</v>
      </c>
      <c r="TDV55" s="1567" t="s">
        <v>290</v>
      </c>
      <c r="TDW55" s="1567"/>
      <c r="TDX55" s="1567"/>
      <c r="TDY55" s="1088" t="s">
        <v>289</v>
      </c>
      <c r="TDZ55" s="1567" t="s">
        <v>290</v>
      </c>
      <c r="TEA55" s="1567"/>
      <c r="TEB55" s="1567"/>
      <c r="TEC55" s="1088" t="s">
        <v>289</v>
      </c>
      <c r="TED55" s="1567" t="s">
        <v>290</v>
      </c>
      <c r="TEE55" s="1567"/>
      <c r="TEF55" s="1567"/>
      <c r="TEG55" s="1088" t="s">
        <v>289</v>
      </c>
      <c r="TEH55" s="1567" t="s">
        <v>290</v>
      </c>
      <c r="TEI55" s="1567"/>
      <c r="TEJ55" s="1567"/>
      <c r="TEK55" s="1088" t="s">
        <v>289</v>
      </c>
      <c r="TEL55" s="1567" t="s">
        <v>290</v>
      </c>
      <c r="TEM55" s="1567"/>
      <c r="TEN55" s="1567"/>
      <c r="TEO55" s="1088" t="s">
        <v>289</v>
      </c>
      <c r="TEP55" s="1567" t="s">
        <v>290</v>
      </c>
      <c r="TEQ55" s="1567"/>
      <c r="TER55" s="1567"/>
      <c r="TES55" s="1088" t="s">
        <v>289</v>
      </c>
      <c r="TET55" s="1567" t="s">
        <v>290</v>
      </c>
      <c r="TEU55" s="1567"/>
      <c r="TEV55" s="1567"/>
      <c r="TEW55" s="1088" t="s">
        <v>289</v>
      </c>
      <c r="TEX55" s="1567" t="s">
        <v>290</v>
      </c>
      <c r="TEY55" s="1567"/>
      <c r="TEZ55" s="1567"/>
      <c r="TFA55" s="1088" t="s">
        <v>289</v>
      </c>
      <c r="TFB55" s="1567" t="s">
        <v>290</v>
      </c>
      <c r="TFC55" s="1567"/>
      <c r="TFD55" s="1567"/>
      <c r="TFE55" s="1088" t="s">
        <v>289</v>
      </c>
      <c r="TFF55" s="1567" t="s">
        <v>290</v>
      </c>
      <c r="TFG55" s="1567"/>
      <c r="TFH55" s="1567"/>
      <c r="TFI55" s="1088" t="s">
        <v>289</v>
      </c>
      <c r="TFJ55" s="1567" t="s">
        <v>290</v>
      </c>
      <c r="TFK55" s="1567"/>
      <c r="TFL55" s="1567"/>
      <c r="TFM55" s="1088" t="s">
        <v>289</v>
      </c>
      <c r="TFN55" s="1567" t="s">
        <v>290</v>
      </c>
      <c r="TFO55" s="1567"/>
      <c r="TFP55" s="1567"/>
      <c r="TFQ55" s="1088" t="s">
        <v>289</v>
      </c>
      <c r="TFR55" s="1567" t="s">
        <v>290</v>
      </c>
      <c r="TFS55" s="1567"/>
      <c r="TFT55" s="1567"/>
      <c r="TFU55" s="1088" t="s">
        <v>289</v>
      </c>
      <c r="TFV55" s="1567" t="s">
        <v>290</v>
      </c>
      <c r="TFW55" s="1567"/>
      <c r="TFX55" s="1567"/>
      <c r="TFY55" s="1088" t="s">
        <v>289</v>
      </c>
      <c r="TFZ55" s="1567" t="s">
        <v>290</v>
      </c>
      <c r="TGA55" s="1567"/>
      <c r="TGB55" s="1567"/>
      <c r="TGC55" s="1088" t="s">
        <v>289</v>
      </c>
      <c r="TGD55" s="1567" t="s">
        <v>290</v>
      </c>
      <c r="TGE55" s="1567"/>
      <c r="TGF55" s="1567"/>
      <c r="TGG55" s="1088" t="s">
        <v>289</v>
      </c>
      <c r="TGH55" s="1567" t="s">
        <v>290</v>
      </c>
      <c r="TGI55" s="1567"/>
      <c r="TGJ55" s="1567"/>
      <c r="TGK55" s="1088" t="s">
        <v>289</v>
      </c>
      <c r="TGL55" s="1567" t="s">
        <v>290</v>
      </c>
      <c r="TGM55" s="1567"/>
      <c r="TGN55" s="1567"/>
      <c r="TGO55" s="1088" t="s">
        <v>289</v>
      </c>
      <c r="TGP55" s="1567" t="s">
        <v>290</v>
      </c>
      <c r="TGQ55" s="1567"/>
      <c r="TGR55" s="1567"/>
      <c r="TGS55" s="1088" t="s">
        <v>289</v>
      </c>
      <c r="TGT55" s="1567" t="s">
        <v>290</v>
      </c>
      <c r="TGU55" s="1567"/>
      <c r="TGV55" s="1567"/>
      <c r="TGW55" s="1088" t="s">
        <v>289</v>
      </c>
      <c r="TGX55" s="1567" t="s">
        <v>290</v>
      </c>
      <c r="TGY55" s="1567"/>
      <c r="TGZ55" s="1567"/>
      <c r="THA55" s="1088" t="s">
        <v>289</v>
      </c>
      <c r="THB55" s="1567" t="s">
        <v>290</v>
      </c>
      <c r="THC55" s="1567"/>
      <c r="THD55" s="1567"/>
      <c r="THE55" s="1088" t="s">
        <v>289</v>
      </c>
      <c r="THF55" s="1567" t="s">
        <v>290</v>
      </c>
      <c r="THG55" s="1567"/>
      <c r="THH55" s="1567"/>
      <c r="THI55" s="1088" t="s">
        <v>289</v>
      </c>
      <c r="THJ55" s="1567" t="s">
        <v>290</v>
      </c>
      <c r="THK55" s="1567"/>
      <c r="THL55" s="1567"/>
      <c r="THM55" s="1088" t="s">
        <v>289</v>
      </c>
      <c r="THN55" s="1567" t="s">
        <v>290</v>
      </c>
      <c r="THO55" s="1567"/>
      <c r="THP55" s="1567"/>
      <c r="THQ55" s="1088" t="s">
        <v>289</v>
      </c>
      <c r="THR55" s="1567" t="s">
        <v>290</v>
      </c>
      <c r="THS55" s="1567"/>
      <c r="THT55" s="1567"/>
      <c r="THU55" s="1088" t="s">
        <v>289</v>
      </c>
      <c r="THV55" s="1567" t="s">
        <v>290</v>
      </c>
      <c r="THW55" s="1567"/>
      <c r="THX55" s="1567"/>
      <c r="THY55" s="1088" t="s">
        <v>289</v>
      </c>
      <c r="THZ55" s="1567" t="s">
        <v>290</v>
      </c>
      <c r="TIA55" s="1567"/>
      <c r="TIB55" s="1567"/>
      <c r="TIC55" s="1088" t="s">
        <v>289</v>
      </c>
      <c r="TID55" s="1567" t="s">
        <v>290</v>
      </c>
      <c r="TIE55" s="1567"/>
      <c r="TIF55" s="1567"/>
      <c r="TIG55" s="1088" t="s">
        <v>289</v>
      </c>
      <c r="TIH55" s="1567" t="s">
        <v>290</v>
      </c>
      <c r="TII55" s="1567"/>
      <c r="TIJ55" s="1567"/>
      <c r="TIK55" s="1088" t="s">
        <v>289</v>
      </c>
      <c r="TIL55" s="1567" t="s">
        <v>290</v>
      </c>
      <c r="TIM55" s="1567"/>
      <c r="TIN55" s="1567"/>
      <c r="TIO55" s="1088" t="s">
        <v>289</v>
      </c>
      <c r="TIP55" s="1567" t="s">
        <v>290</v>
      </c>
      <c r="TIQ55" s="1567"/>
      <c r="TIR55" s="1567"/>
      <c r="TIS55" s="1088" t="s">
        <v>289</v>
      </c>
      <c r="TIT55" s="1567" t="s">
        <v>290</v>
      </c>
      <c r="TIU55" s="1567"/>
      <c r="TIV55" s="1567"/>
      <c r="TIW55" s="1088" t="s">
        <v>289</v>
      </c>
      <c r="TIX55" s="1567" t="s">
        <v>290</v>
      </c>
      <c r="TIY55" s="1567"/>
      <c r="TIZ55" s="1567"/>
      <c r="TJA55" s="1088" t="s">
        <v>289</v>
      </c>
      <c r="TJB55" s="1567" t="s">
        <v>290</v>
      </c>
      <c r="TJC55" s="1567"/>
      <c r="TJD55" s="1567"/>
      <c r="TJE55" s="1088" t="s">
        <v>289</v>
      </c>
      <c r="TJF55" s="1567" t="s">
        <v>290</v>
      </c>
      <c r="TJG55" s="1567"/>
      <c r="TJH55" s="1567"/>
      <c r="TJI55" s="1088" t="s">
        <v>289</v>
      </c>
      <c r="TJJ55" s="1567" t="s">
        <v>290</v>
      </c>
      <c r="TJK55" s="1567"/>
      <c r="TJL55" s="1567"/>
      <c r="TJM55" s="1088" t="s">
        <v>289</v>
      </c>
      <c r="TJN55" s="1567" t="s">
        <v>290</v>
      </c>
      <c r="TJO55" s="1567"/>
      <c r="TJP55" s="1567"/>
      <c r="TJQ55" s="1088" t="s">
        <v>289</v>
      </c>
      <c r="TJR55" s="1567" t="s">
        <v>290</v>
      </c>
      <c r="TJS55" s="1567"/>
      <c r="TJT55" s="1567"/>
      <c r="TJU55" s="1088" t="s">
        <v>289</v>
      </c>
      <c r="TJV55" s="1567" t="s">
        <v>290</v>
      </c>
      <c r="TJW55" s="1567"/>
      <c r="TJX55" s="1567"/>
      <c r="TJY55" s="1088" t="s">
        <v>289</v>
      </c>
      <c r="TJZ55" s="1567" t="s">
        <v>290</v>
      </c>
      <c r="TKA55" s="1567"/>
      <c r="TKB55" s="1567"/>
      <c r="TKC55" s="1088" t="s">
        <v>289</v>
      </c>
      <c r="TKD55" s="1567" t="s">
        <v>290</v>
      </c>
      <c r="TKE55" s="1567"/>
      <c r="TKF55" s="1567"/>
      <c r="TKG55" s="1088" t="s">
        <v>289</v>
      </c>
      <c r="TKH55" s="1567" t="s">
        <v>290</v>
      </c>
      <c r="TKI55" s="1567"/>
      <c r="TKJ55" s="1567"/>
      <c r="TKK55" s="1088" t="s">
        <v>289</v>
      </c>
      <c r="TKL55" s="1567" t="s">
        <v>290</v>
      </c>
      <c r="TKM55" s="1567"/>
      <c r="TKN55" s="1567"/>
      <c r="TKO55" s="1088" t="s">
        <v>289</v>
      </c>
      <c r="TKP55" s="1567" t="s">
        <v>290</v>
      </c>
      <c r="TKQ55" s="1567"/>
      <c r="TKR55" s="1567"/>
      <c r="TKS55" s="1088" t="s">
        <v>289</v>
      </c>
      <c r="TKT55" s="1567" t="s">
        <v>290</v>
      </c>
      <c r="TKU55" s="1567"/>
      <c r="TKV55" s="1567"/>
      <c r="TKW55" s="1088" t="s">
        <v>289</v>
      </c>
      <c r="TKX55" s="1567" t="s">
        <v>290</v>
      </c>
      <c r="TKY55" s="1567"/>
      <c r="TKZ55" s="1567"/>
      <c r="TLA55" s="1088" t="s">
        <v>289</v>
      </c>
      <c r="TLB55" s="1567" t="s">
        <v>290</v>
      </c>
      <c r="TLC55" s="1567"/>
      <c r="TLD55" s="1567"/>
      <c r="TLE55" s="1088" t="s">
        <v>289</v>
      </c>
      <c r="TLF55" s="1567" t="s">
        <v>290</v>
      </c>
      <c r="TLG55" s="1567"/>
      <c r="TLH55" s="1567"/>
      <c r="TLI55" s="1088" t="s">
        <v>289</v>
      </c>
      <c r="TLJ55" s="1567" t="s">
        <v>290</v>
      </c>
      <c r="TLK55" s="1567"/>
      <c r="TLL55" s="1567"/>
      <c r="TLM55" s="1088" t="s">
        <v>289</v>
      </c>
      <c r="TLN55" s="1567" t="s">
        <v>290</v>
      </c>
      <c r="TLO55" s="1567"/>
      <c r="TLP55" s="1567"/>
      <c r="TLQ55" s="1088" t="s">
        <v>289</v>
      </c>
      <c r="TLR55" s="1567" t="s">
        <v>290</v>
      </c>
      <c r="TLS55" s="1567"/>
      <c r="TLT55" s="1567"/>
      <c r="TLU55" s="1088" t="s">
        <v>289</v>
      </c>
      <c r="TLV55" s="1567" t="s">
        <v>290</v>
      </c>
      <c r="TLW55" s="1567"/>
      <c r="TLX55" s="1567"/>
      <c r="TLY55" s="1088" t="s">
        <v>289</v>
      </c>
      <c r="TLZ55" s="1567" t="s">
        <v>290</v>
      </c>
      <c r="TMA55" s="1567"/>
      <c r="TMB55" s="1567"/>
      <c r="TMC55" s="1088" t="s">
        <v>289</v>
      </c>
      <c r="TMD55" s="1567" t="s">
        <v>290</v>
      </c>
      <c r="TME55" s="1567"/>
      <c r="TMF55" s="1567"/>
      <c r="TMG55" s="1088" t="s">
        <v>289</v>
      </c>
      <c r="TMH55" s="1567" t="s">
        <v>290</v>
      </c>
      <c r="TMI55" s="1567"/>
      <c r="TMJ55" s="1567"/>
      <c r="TMK55" s="1088" t="s">
        <v>289</v>
      </c>
      <c r="TML55" s="1567" t="s">
        <v>290</v>
      </c>
      <c r="TMM55" s="1567"/>
      <c r="TMN55" s="1567"/>
      <c r="TMO55" s="1088" t="s">
        <v>289</v>
      </c>
      <c r="TMP55" s="1567" t="s">
        <v>290</v>
      </c>
      <c r="TMQ55" s="1567"/>
      <c r="TMR55" s="1567"/>
      <c r="TMS55" s="1088" t="s">
        <v>289</v>
      </c>
      <c r="TMT55" s="1567" t="s">
        <v>290</v>
      </c>
      <c r="TMU55" s="1567"/>
      <c r="TMV55" s="1567"/>
      <c r="TMW55" s="1088" t="s">
        <v>289</v>
      </c>
      <c r="TMX55" s="1567" t="s">
        <v>290</v>
      </c>
      <c r="TMY55" s="1567"/>
      <c r="TMZ55" s="1567"/>
      <c r="TNA55" s="1088" t="s">
        <v>289</v>
      </c>
      <c r="TNB55" s="1567" t="s">
        <v>290</v>
      </c>
      <c r="TNC55" s="1567"/>
      <c r="TND55" s="1567"/>
      <c r="TNE55" s="1088" t="s">
        <v>289</v>
      </c>
      <c r="TNF55" s="1567" t="s">
        <v>290</v>
      </c>
      <c r="TNG55" s="1567"/>
      <c r="TNH55" s="1567"/>
      <c r="TNI55" s="1088" t="s">
        <v>289</v>
      </c>
      <c r="TNJ55" s="1567" t="s">
        <v>290</v>
      </c>
      <c r="TNK55" s="1567"/>
      <c r="TNL55" s="1567"/>
      <c r="TNM55" s="1088" t="s">
        <v>289</v>
      </c>
      <c r="TNN55" s="1567" t="s">
        <v>290</v>
      </c>
      <c r="TNO55" s="1567"/>
      <c r="TNP55" s="1567"/>
      <c r="TNQ55" s="1088" t="s">
        <v>289</v>
      </c>
      <c r="TNR55" s="1567" t="s">
        <v>290</v>
      </c>
      <c r="TNS55" s="1567"/>
      <c r="TNT55" s="1567"/>
      <c r="TNU55" s="1088" t="s">
        <v>289</v>
      </c>
      <c r="TNV55" s="1567" t="s">
        <v>290</v>
      </c>
      <c r="TNW55" s="1567"/>
      <c r="TNX55" s="1567"/>
      <c r="TNY55" s="1088" t="s">
        <v>289</v>
      </c>
      <c r="TNZ55" s="1567" t="s">
        <v>290</v>
      </c>
      <c r="TOA55" s="1567"/>
      <c r="TOB55" s="1567"/>
      <c r="TOC55" s="1088" t="s">
        <v>289</v>
      </c>
      <c r="TOD55" s="1567" t="s">
        <v>290</v>
      </c>
      <c r="TOE55" s="1567"/>
      <c r="TOF55" s="1567"/>
      <c r="TOG55" s="1088" t="s">
        <v>289</v>
      </c>
      <c r="TOH55" s="1567" t="s">
        <v>290</v>
      </c>
      <c r="TOI55" s="1567"/>
      <c r="TOJ55" s="1567"/>
      <c r="TOK55" s="1088" t="s">
        <v>289</v>
      </c>
      <c r="TOL55" s="1567" t="s">
        <v>290</v>
      </c>
      <c r="TOM55" s="1567"/>
      <c r="TON55" s="1567"/>
      <c r="TOO55" s="1088" t="s">
        <v>289</v>
      </c>
      <c r="TOP55" s="1567" t="s">
        <v>290</v>
      </c>
      <c r="TOQ55" s="1567"/>
      <c r="TOR55" s="1567"/>
      <c r="TOS55" s="1088" t="s">
        <v>289</v>
      </c>
      <c r="TOT55" s="1567" t="s">
        <v>290</v>
      </c>
      <c r="TOU55" s="1567"/>
      <c r="TOV55" s="1567"/>
      <c r="TOW55" s="1088" t="s">
        <v>289</v>
      </c>
      <c r="TOX55" s="1567" t="s">
        <v>290</v>
      </c>
      <c r="TOY55" s="1567"/>
      <c r="TOZ55" s="1567"/>
      <c r="TPA55" s="1088" t="s">
        <v>289</v>
      </c>
      <c r="TPB55" s="1567" t="s">
        <v>290</v>
      </c>
      <c r="TPC55" s="1567"/>
      <c r="TPD55" s="1567"/>
      <c r="TPE55" s="1088" t="s">
        <v>289</v>
      </c>
      <c r="TPF55" s="1567" t="s">
        <v>290</v>
      </c>
      <c r="TPG55" s="1567"/>
      <c r="TPH55" s="1567"/>
      <c r="TPI55" s="1088" t="s">
        <v>289</v>
      </c>
      <c r="TPJ55" s="1567" t="s">
        <v>290</v>
      </c>
      <c r="TPK55" s="1567"/>
      <c r="TPL55" s="1567"/>
      <c r="TPM55" s="1088" t="s">
        <v>289</v>
      </c>
      <c r="TPN55" s="1567" t="s">
        <v>290</v>
      </c>
      <c r="TPO55" s="1567"/>
      <c r="TPP55" s="1567"/>
      <c r="TPQ55" s="1088" t="s">
        <v>289</v>
      </c>
      <c r="TPR55" s="1567" t="s">
        <v>290</v>
      </c>
      <c r="TPS55" s="1567"/>
      <c r="TPT55" s="1567"/>
      <c r="TPU55" s="1088" t="s">
        <v>289</v>
      </c>
      <c r="TPV55" s="1567" t="s">
        <v>290</v>
      </c>
      <c r="TPW55" s="1567"/>
      <c r="TPX55" s="1567"/>
      <c r="TPY55" s="1088" t="s">
        <v>289</v>
      </c>
      <c r="TPZ55" s="1567" t="s">
        <v>290</v>
      </c>
      <c r="TQA55" s="1567"/>
      <c r="TQB55" s="1567"/>
      <c r="TQC55" s="1088" t="s">
        <v>289</v>
      </c>
      <c r="TQD55" s="1567" t="s">
        <v>290</v>
      </c>
      <c r="TQE55" s="1567"/>
      <c r="TQF55" s="1567"/>
      <c r="TQG55" s="1088" t="s">
        <v>289</v>
      </c>
      <c r="TQH55" s="1567" t="s">
        <v>290</v>
      </c>
      <c r="TQI55" s="1567"/>
      <c r="TQJ55" s="1567"/>
      <c r="TQK55" s="1088" t="s">
        <v>289</v>
      </c>
      <c r="TQL55" s="1567" t="s">
        <v>290</v>
      </c>
      <c r="TQM55" s="1567"/>
      <c r="TQN55" s="1567"/>
      <c r="TQO55" s="1088" t="s">
        <v>289</v>
      </c>
      <c r="TQP55" s="1567" t="s">
        <v>290</v>
      </c>
      <c r="TQQ55" s="1567"/>
      <c r="TQR55" s="1567"/>
      <c r="TQS55" s="1088" t="s">
        <v>289</v>
      </c>
      <c r="TQT55" s="1567" t="s">
        <v>290</v>
      </c>
      <c r="TQU55" s="1567"/>
      <c r="TQV55" s="1567"/>
      <c r="TQW55" s="1088" t="s">
        <v>289</v>
      </c>
      <c r="TQX55" s="1567" t="s">
        <v>290</v>
      </c>
      <c r="TQY55" s="1567"/>
      <c r="TQZ55" s="1567"/>
      <c r="TRA55" s="1088" t="s">
        <v>289</v>
      </c>
      <c r="TRB55" s="1567" t="s">
        <v>290</v>
      </c>
      <c r="TRC55" s="1567"/>
      <c r="TRD55" s="1567"/>
      <c r="TRE55" s="1088" t="s">
        <v>289</v>
      </c>
      <c r="TRF55" s="1567" t="s">
        <v>290</v>
      </c>
      <c r="TRG55" s="1567"/>
      <c r="TRH55" s="1567"/>
      <c r="TRI55" s="1088" t="s">
        <v>289</v>
      </c>
      <c r="TRJ55" s="1567" t="s">
        <v>290</v>
      </c>
      <c r="TRK55" s="1567"/>
      <c r="TRL55" s="1567"/>
      <c r="TRM55" s="1088" t="s">
        <v>289</v>
      </c>
      <c r="TRN55" s="1567" t="s">
        <v>290</v>
      </c>
      <c r="TRO55" s="1567"/>
      <c r="TRP55" s="1567"/>
      <c r="TRQ55" s="1088" t="s">
        <v>289</v>
      </c>
      <c r="TRR55" s="1567" t="s">
        <v>290</v>
      </c>
      <c r="TRS55" s="1567"/>
      <c r="TRT55" s="1567"/>
      <c r="TRU55" s="1088" t="s">
        <v>289</v>
      </c>
      <c r="TRV55" s="1567" t="s">
        <v>290</v>
      </c>
      <c r="TRW55" s="1567"/>
      <c r="TRX55" s="1567"/>
      <c r="TRY55" s="1088" t="s">
        <v>289</v>
      </c>
      <c r="TRZ55" s="1567" t="s">
        <v>290</v>
      </c>
      <c r="TSA55" s="1567"/>
      <c r="TSB55" s="1567"/>
      <c r="TSC55" s="1088" t="s">
        <v>289</v>
      </c>
      <c r="TSD55" s="1567" t="s">
        <v>290</v>
      </c>
      <c r="TSE55" s="1567"/>
      <c r="TSF55" s="1567"/>
      <c r="TSG55" s="1088" t="s">
        <v>289</v>
      </c>
      <c r="TSH55" s="1567" t="s">
        <v>290</v>
      </c>
      <c r="TSI55" s="1567"/>
      <c r="TSJ55" s="1567"/>
      <c r="TSK55" s="1088" t="s">
        <v>289</v>
      </c>
      <c r="TSL55" s="1567" t="s">
        <v>290</v>
      </c>
      <c r="TSM55" s="1567"/>
      <c r="TSN55" s="1567"/>
      <c r="TSO55" s="1088" t="s">
        <v>289</v>
      </c>
      <c r="TSP55" s="1567" t="s">
        <v>290</v>
      </c>
      <c r="TSQ55" s="1567"/>
      <c r="TSR55" s="1567"/>
      <c r="TSS55" s="1088" t="s">
        <v>289</v>
      </c>
      <c r="TST55" s="1567" t="s">
        <v>290</v>
      </c>
      <c r="TSU55" s="1567"/>
      <c r="TSV55" s="1567"/>
      <c r="TSW55" s="1088" t="s">
        <v>289</v>
      </c>
      <c r="TSX55" s="1567" t="s">
        <v>290</v>
      </c>
      <c r="TSY55" s="1567"/>
      <c r="TSZ55" s="1567"/>
      <c r="TTA55" s="1088" t="s">
        <v>289</v>
      </c>
      <c r="TTB55" s="1567" t="s">
        <v>290</v>
      </c>
      <c r="TTC55" s="1567"/>
      <c r="TTD55" s="1567"/>
      <c r="TTE55" s="1088" t="s">
        <v>289</v>
      </c>
      <c r="TTF55" s="1567" t="s">
        <v>290</v>
      </c>
      <c r="TTG55" s="1567"/>
      <c r="TTH55" s="1567"/>
      <c r="TTI55" s="1088" t="s">
        <v>289</v>
      </c>
      <c r="TTJ55" s="1567" t="s">
        <v>290</v>
      </c>
      <c r="TTK55" s="1567"/>
      <c r="TTL55" s="1567"/>
      <c r="TTM55" s="1088" t="s">
        <v>289</v>
      </c>
      <c r="TTN55" s="1567" t="s">
        <v>290</v>
      </c>
      <c r="TTO55" s="1567"/>
      <c r="TTP55" s="1567"/>
      <c r="TTQ55" s="1088" t="s">
        <v>289</v>
      </c>
      <c r="TTR55" s="1567" t="s">
        <v>290</v>
      </c>
      <c r="TTS55" s="1567"/>
      <c r="TTT55" s="1567"/>
      <c r="TTU55" s="1088" t="s">
        <v>289</v>
      </c>
      <c r="TTV55" s="1567" t="s">
        <v>290</v>
      </c>
      <c r="TTW55" s="1567"/>
      <c r="TTX55" s="1567"/>
      <c r="TTY55" s="1088" t="s">
        <v>289</v>
      </c>
      <c r="TTZ55" s="1567" t="s">
        <v>290</v>
      </c>
      <c r="TUA55" s="1567"/>
      <c r="TUB55" s="1567"/>
      <c r="TUC55" s="1088" t="s">
        <v>289</v>
      </c>
      <c r="TUD55" s="1567" t="s">
        <v>290</v>
      </c>
      <c r="TUE55" s="1567"/>
      <c r="TUF55" s="1567"/>
      <c r="TUG55" s="1088" t="s">
        <v>289</v>
      </c>
      <c r="TUH55" s="1567" t="s">
        <v>290</v>
      </c>
      <c r="TUI55" s="1567"/>
      <c r="TUJ55" s="1567"/>
      <c r="TUK55" s="1088" t="s">
        <v>289</v>
      </c>
      <c r="TUL55" s="1567" t="s">
        <v>290</v>
      </c>
      <c r="TUM55" s="1567"/>
      <c r="TUN55" s="1567"/>
      <c r="TUO55" s="1088" t="s">
        <v>289</v>
      </c>
      <c r="TUP55" s="1567" t="s">
        <v>290</v>
      </c>
      <c r="TUQ55" s="1567"/>
      <c r="TUR55" s="1567"/>
      <c r="TUS55" s="1088" t="s">
        <v>289</v>
      </c>
      <c r="TUT55" s="1567" t="s">
        <v>290</v>
      </c>
      <c r="TUU55" s="1567"/>
      <c r="TUV55" s="1567"/>
      <c r="TUW55" s="1088" t="s">
        <v>289</v>
      </c>
      <c r="TUX55" s="1567" t="s">
        <v>290</v>
      </c>
      <c r="TUY55" s="1567"/>
      <c r="TUZ55" s="1567"/>
      <c r="TVA55" s="1088" t="s">
        <v>289</v>
      </c>
      <c r="TVB55" s="1567" t="s">
        <v>290</v>
      </c>
      <c r="TVC55" s="1567"/>
      <c r="TVD55" s="1567"/>
      <c r="TVE55" s="1088" t="s">
        <v>289</v>
      </c>
      <c r="TVF55" s="1567" t="s">
        <v>290</v>
      </c>
      <c r="TVG55" s="1567"/>
      <c r="TVH55" s="1567"/>
      <c r="TVI55" s="1088" t="s">
        <v>289</v>
      </c>
      <c r="TVJ55" s="1567" t="s">
        <v>290</v>
      </c>
      <c r="TVK55" s="1567"/>
      <c r="TVL55" s="1567"/>
      <c r="TVM55" s="1088" t="s">
        <v>289</v>
      </c>
      <c r="TVN55" s="1567" t="s">
        <v>290</v>
      </c>
      <c r="TVO55" s="1567"/>
      <c r="TVP55" s="1567"/>
      <c r="TVQ55" s="1088" t="s">
        <v>289</v>
      </c>
      <c r="TVR55" s="1567" t="s">
        <v>290</v>
      </c>
      <c r="TVS55" s="1567"/>
      <c r="TVT55" s="1567"/>
      <c r="TVU55" s="1088" t="s">
        <v>289</v>
      </c>
      <c r="TVV55" s="1567" t="s">
        <v>290</v>
      </c>
      <c r="TVW55" s="1567"/>
      <c r="TVX55" s="1567"/>
      <c r="TVY55" s="1088" t="s">
        <v>289</v>
      </c>
      <c r="TVZ55" s="1567" t="s">
        <v>290</v>
      </c>
      <c r="TWA55" s="1567"/>
      <c r="TWB55" s="1567"/>
      <c r="TWC55" s="1088" t="s">
        <v>289</v>
      </c>
      <c r="TWD55" s="1567" t="s">
        <v>290</v>
      </c>
      <c r="TWE55" s="1567"/>
      <c r="TWF55" s="1567"/>
      <c r="TWG55" s="1088" t="s">
        <v>289</v>
      </c>
      <c r="TWH55" s="1567" t="s">
        <v>290</v>
      </c>
      <c r="TWI55" s="1567"/>
      <c r="TWJ55" s="1567"/>
      <c r="TWK55" s="1088" t="s">
        <v>289</v>
      </c>
      <c r="TWL55" s="1567" t="s">
        <v>290</v>
      </c>
      <c r="TWM55" s="1567"/>
      <c r="TWN55" s="1567"/>
      <c r="TWO55" s="1088" t="s">
        <v>289</v>
      </c>
      <c r="TWP55" s="1567" t="s">
        <v>290</v>
      </c>
      <c r="TWQ55" s="1567"/>
      <c r="TWR55" s="1567"/>
      <c r="TWS55" s="1088" t="s">
        <v>289</v>
      </c>
      <c r="TWT55" s="1567" t="s">
        <v>290</v>
      </c>
      <c r="TWU55" s="1567"/>
      <c r="TWV55" s="1567"/>
      <c r="TWW55" s="1088" t="s">
        <v>289</v>
      </c>
      <c r="TWX55" s="1567" t="s">
        <v>290</v>
      </c>
      <c r="TWY55" s="1567"/>
      <c r="TWZ55" s="1567"/>
      <c r="TXA55" s="1088" t="s">
        <v>289</v>
      </c>
      <c r="TXB55" s="1567" t="s">
        <v>290</v>
      </c>
      <c r="TXC55" s="1567"/>
      <c r="TXD55" s="1567"/>
      <c r="TXE55" s="1088" t="s">
        <v>289</v>
      </c>
      <c r="TXF55" s="1567" t="s">
        <v>290</v>
      </c>
      <c r="TXG55" s="1567"/>
      <c r="TXH55" s="1567"/>
      <c r="TXI55" s="1088" t="s">
        <v>289</v>
      </c>
      <c r="TXJ55" s="1567" t="s">
        <v>290</v>
      </c>
      <c r="TXK55" s="1567"/>
      <c r="TXL55" s="1567"/>
      <c r="TXM55" s="1088" t="s">
        <v>289</v>
      </c>
      <c r="TXN55" s="1567" t="s">
        <v>290</v>
      </c>
      <c r="TXO55" s="1567"/>
      <c r="TXP55" s="1567"/>
      <c r="TXQ55" s="1088" t="s">
        <v>289</v>
      </c>
      <c r="TXR55" s="1567" t="s">
        <v>290</v>
      </c>
      <c r="TXS55" s="1567"/>
      <c r="TXT55" s="1567"/>
      <c r="TXU55" s="1088" t="s">
        <v>289</v>
      </c>
      <c r="TXV55" s="1567" t="s">
        <v>290</v>
      </c>
      <c r="TXW55" s="1567"/>
      <c r="TXX55" s="1567"/>
      <c r="TXY55" s="1088" t="s">
        <v>289</v>
      </c>
      <c r="TXZ55" s="1567" t="s">
        <v>290</v>
      </c>
      <c r="TYA55" s="1567"/>
      <c r="TYB55" s="1567"/>
      <c r="TYC55" s="1088" t="s">
        <v>289</v>
      </c>
      <c r="TYD55" s="1567" t="s">
        <v>290</v>
      </c>
      <c r="TYE55" s="1567"/>
      <c r="TYF55" s="1567"/>
      <c r="TYG55" s="1088" t="s">
        <v>289</v>
      </c>
      <c r="TYH55" s="1567" t="s">
        <v>290</v>
      </c>
      <c r="TYI55" s="1567"/>
      <c r="TYJ55" s="1567"/>
      <c r="TYK55" s="1088" t="s">
        <v>289</v>
      </c>
      <c r="TYL55" s="1567" t="s">
        <v>290</v>
      </c>
      <c r="TYM55" s="1567"/>
      <c r="TYN55" s="1567"/>
      <c r="TYO55" s="1088" t="s">
        <v>289</v>
      </c>
      <c r="TYP55" s="1567" t="s">
        <v>290</v>
      </c>
      <c r="TYQ55" s="1567"/>
      <c r="TYR55" s="1567"/>
      <c r="TYS55" s="1088" t="s">
        <v>289</v>
      </c>
      <c r="TYT55" s="1567" t="s">
        <v>290</v>
      </c>
      <c r="TYU55" s="1567"/>
      <c r="TYV55" s="1567"/>
      <c r="TYW55" s="1088" t="s">
        <v>289</v>
      </c>
      <c r="TYX55" s="1567" t="s">
        <v>290</v>
      </c>
      <c r="TYY55" s="1567"/>
      <c r="TYZ55" s="1567"/>
      <c r="TZA55" s="1088" t="s">
        <v>289</v>
      </c>
      <c r="TZB55" s="1567" t="s">
        <v>290</v>
      </c>
      <c r="TZC55" s="1567"/>
      <c r="TZD55" s="1567"/>
      <c r="TZE55" s="1088" t="s">
        <v>289</v>
      </c>
      <c r="TZF55" s="1567" t="s">
        <v>290</v>
      </c>
      <c r="TZG55" s="1567"/>
      <c r="TZH55" s="1567"/>
      <c r="TZI55" s="1088" t="s">
        <v>289</v>
      </c>
      <c r="TZJ55" s="1567" t="s">
        <v>290</v>
      </c>
      <c r="TZK55" s="1567"/>
      <c r="TZL55" s="1567"/>
      <c r="TZM55" s="1088" t="s">
        <v>289</v>
      </c>
      <c r="TZN55" s="1567" t="s">
        <v>290</v>
      </c>
      <c r="TZO55" s="1567"/>
      <c r="TZP55" s="1567"/>
      <c r="TZQ55" s="1088" t="s">
        <v>289</v>
      </c>
      <c r="TZR55" s="1567" t="s">
        <v>290</v>
      </c>
      <c r="TZS55" s="1567"/>
      <c r="TZT55" s="1567"/>
      <c r="TZU55" s="1088" t="s">
        <v>289</v>
      </c>
      <c r="TZV55" s="1567" t="s">
        <v>290</v>
      </c>
      <c r="TZW55" s="1567"/>
      <c r="TZX55" s="1567"/>
      <c r="TZY55" s="1088" t="s">
        <v>289</v>
      </c>
      <c r="TZZ55" s="1567" t="s">
        <v>290</v>
      </c>
      <c r="UAA55" s="1567"/>
      <c r="UAB55" s="1567"/>
      <c r="UAC55" s="1088" t="s">
        <v>289</v>
      </c>
      <c r="UAD55" s="1567" t="s">
        <v>290</v>
      </c>
      <c r="UAE55" s="1567"/>
      <c r="UAF55" s="1567"/>
      <c r="UAG55" s="1088" t="s">
        <v>289</v>
      </c>
      <c r="UAH55" s="1567" t="s">
        <v>290</v>
      </c>
      <c r="UAI55" s="1567"/>
      <c r="UAJ55" s="1567"/>
      <c r="UAK55" s="1088" t="s">
        <v>289</v>
      </c>
      <c r="UAL55" s="1567" t="s">
        <v>290</v>
      </c>
      <c r="UAM55" s="1567"/>
      <c r="UAN55" s="1567"/>
      <c r="UAO55" s="1088" t="s">
        <v>289</v>
      </c>
      <c r="UAP55" s="1567" t="s">
        <v>290</v>
      </c>
      <c r="UAQ55" s="1567"/>
      <c r="UAR55" s="1567"/>
      <c r="UAS55" s="1088" t="s">
        <v>289</v>
      </c>
      <c r="UAT55" s="1567" t="s">
        <v>290</v>
      </c>
      <c r="UAU55" s="1567"/>
      <c r="UAV55" s="1567"/>
      <c r="UAW55" s="1088" t="s">
        <v>289</v>
      </c>
      <c r="UAX55" s="1567" t="s">
        <v>290</v>
      </c>
      <c r="UAY55" s="1567"/>
      <c r="UAZ55" s="1567"/>
      <c r="UBA55" s="1088" t="s">
        <v>289</v>
      </c>
      <c r="UBB55" s="1567" t="s">
        <v>290</v>
      </c>
      <c r="UBC55" s="1567"/>
      <c r="UBD55" s="1567"/>
      <c r="UBE55" s="1088" t="s">
        <v>289</v>
      </c>
      <c r="UBF55" s="1567" t="s">
        <v>290</v>
      </c>
      <c r="UBG55" s="1567"/>
      <c r="UBH55" s="1567"/>
      <c r="UBI55" s="1088" t="s">
        <v>289</v>
      </c>
      <c r="UBJ55" s="1567" t="s">
        <v>290</v>
      </c>
      <c r="UBK55" s="1567"/>
      <c r="UBL55" s="1567"/>
      <c r="UBM55" s="1088" t="s">
        <v>289</v>
      </c>
      <c r="UBN55" s="1567" t="s">
        <v>290</v>
      </c>
      <c r="UBO55" s="1567"/>
      <c r="UBP55" s="1567"/>
      <c r="UBQ55" s="1088" t="s">
        <v>289</v>
      </c>
      <c r="UBR55" s="1567" t="s">
        <v>290</v>
      </c>
      <c r="UBS55" s="1567"/>
      <c r="UBT55" s="1567"/>
      <c r="UBU55" s="1088" t="s">
        <v>289</v>
      </c>
      <c r="UBV55" s="1567" t="s">
        <v>290</v>
      </c>
      <c r="UBW55" s="1567"/>
      <c r="UBX55" s="1567"/>
      <c r="UBY55" s="1088" t="s">
        <v>289</v>
      </c>
      <c r="UBZ55" s="1567" t="s">
        <v>290</v>
      </c>
      <c r="UCA55" s="1567"/>
      <c r="UCB55" s="1567"/>
      <c r="UCC55" s="1088" t="s">
        <v>289</v>
      </c>
      <c r="UCD55" s="1567" t="s">
        <v>290</v>
      </c>
      <c r="UCE55" s="1567"/>
      <c r="UCF55" s="1567"/>
      <c r="UCG55" s="1088" t="s">
        <v>289</v>
      </c>
      <c r="UCH55" s="1567" t="s">
        <v>290</v>
      </c>
      <c r="UCI55" s="1567"/>
      <c r="UCJ55" s="1567"/>
      <c r="UCK55" s="1088" t="s">
        <v>289</v>
      </c>
      <c r="UCL55" s="1567" t="s">
        <v>290</v>
      </c>
      <c r="UCM55" s="1567"/>
      <c r="UCN55" s="1567"/>
      <c r="UCO55" s="1088" t="s">
        <v>289</v>
      </c>
      <c r="UCP55" s="1567" t="s">
        <v>290</v>
      </c>
      <c r="UCQ55" s="1567"/>
      <c r="UCR55" s="1567"/>
      <c r="UCS55" s="1088" t="s">
        <v>289</v>
      </c>
      <c r="UCT55" s="1567" t="s">
        <v>290</v>
      </c>
      <c r="UCU55" s="1567"/>
      <c r="UCV55" s="1567"/>
      <c r="UCW55" s="1088" t="s">
        <v>289</v>
      </c>
      <c r="UCX55" s="1567" t="s">
        <v>290</v>
      </c>
      <c r="UCY55" s="1567"/>
      <c r="UCZ55" s="1567"/>
      <c r="UDA55" s="1088" t="s">
        <v>289</v>
      </c>
      <c r="UDB55" s="1567" t="s">
        <v>290</v>
      </c>
      <c r="UDC55" s="1567"/>
      <c r="UDD55" s="1567"/>
      <c r="UDE55" s="1088" t="s">
        <v>289</v>
      </c>
      <c r="UDF55" s="1567" t="s">
        <v>290</v>
      </c>
      <c r="UDG55" s="1567"/>
      <c r="UDH55" s="1567"/>
      <c r="UDI55" s="1088" t="s">
        <v>289</v>
      </c>
      <c r="UDJ55" s="1567" t="s">
        <v>290</v>
      </c>
      <c r="UDK55" s="1567"/>
      <c r="UDL55" s="1567"/>
      <c r="UDM55" s="1088" t="s">
        <v>289</v>
      </c>
      <c r="UDN55" s="1567" t="s">
        <v>290</v>
      </c>
      <c r="UDO55" s="1567"/>
      <c r="UDP55" s="1567"/>
      <c r="UDQ55" s="1088" t="s">
        <v>289</v>
      </c>
      <c r="UDR55" s="1567" t="s">
        <v>290</v>
      </c>
      <c r="UDS55" s="1567"/>
      <c r="UDT55" s="1567"/>
      <c r="UDU55" s="1088" t="s">
        <v>289</v>
      </c>
      <c r="UDV55" s="1567" t="s">
        <v>290</v>
      </c>
      <c r="UDW55" s="1567"/>
      <c r="UDX55" s="1567"/>
      <c r="UDY55" s="1088" t="s">
        <v>289</v>
      </c>
      <c r="UDZ55" s="1567" t="s">
        <v>290</v>
      </c>
      <c r="UEA55" s="1567"/>
      <c r="UEB55" s="1567"/>
      <c r="UEC55" s="1088" t="s">
        <v>289</v>
      </c>
      <c r="UED55" s="1567" t="s">
        <v>290</v>
      </c>
      <c r="UEE55" s="1567"/>
      <c r="UEF55" s="1567"/>
      <c r="UEG55" s="1088" t="s">
        <v>289</v>
      </c>
      <c r="UEH55" s="1567" t="s">
        <v>290</v>
      </c>
      <c r="UEI55" s="1567"/>
      <c r="UEJ55" s="1567"/>
      <c r="UEK55" s="1088" t="s">
        <v>289</v>
      </c>
      <c r="UEL55" s="1567" t="s">
        <v>290</v>
      </c>
      <c r="UEM55" s="1567"/>
      <c r="UEN55" s="1567"/>
      <c r="UEO55" s="1088" t="s">
        <v>289</v>
      </c>
      <c r="UEP55" s="1567" t="s">
        <v>290</v>
      </c>
      <c r="UEQ55" s="1567"/>
      <c r="UER55" s="1567"/>
      <c r="UES55" s="1088" t="s">
        <v>289</v>
      </c>
      <c r="UET55" s="1567" t="s">
        <v>290</v>
      </c>
      <c r="UEU55" s="1567"/>
      <c r="UEV55" s="1567"/>
      <c r="UEW55" s="1088" t="s">
        <v>289</v>
      </c>
      <c r="UEX55" s="1567" t="s">
        <v>290</v>
      </c>
      <c r="UEY55" s="1567"/>
      <c r="UEZ55" s="1567"/>
      <c r="UFA55" s="1088" t="s">
        <v>289</v>
      </c>
      <c r="UFB55" s="1567" t="s">
        <v>290</v>
      </c>
      <c r="UFC55" s="1567"/>
      <c r="UFD55" s="1567"/>
      <c r="UFE55" s="1088" t="s">
        <v>289</v>
      </c>
      <c r="UFF55" s="1567" t="s">
        <v>290</v>
      </c>
      <c r="UFG55" s="1567"/>
      <c r="UFH55" s="1567"/>
      <c r="UFI55" s="1088" t="s">
        <v>289</v>
      </c>
      <c r="UFJ55" s="1567" t="s">
        <v>290</v>
      </c>
      <c r="UFK55" s="1567"/>
      <c r="UFL55" s="1567"/>
      <c r="UFM55" s="1088" t="s">
        <v>289</v>
      </c>
      <c r="UFN55" s="1567" t="s">
        <v>290</v>
      </c>
      <c r="UFO55" s="1567"/>
      <c r="UFP55" s="1567"/>
      <c r="UFQ55" s="1088" t="s">
        <v>289</v>
      </c>
      <c r="UFR55" s="1567" t="s">
        <v>290</v>
      </c>
      <c r="UFS55" s="1567"/>
      <c r="UFT55" s="1567"/>
      <c r="UFU55" s="1088" t="s">
        <v>289</v>
      </c>
      <c r="UFV55" s="1567" t="s">
        <v>290</v>
      </c>
      <c r="UFW55" s="1567"/>
      <c r="UFX55" s="1567"/>
      <c r="UFY55" s="1088" t="s">
        <v>289</v>
      </c>
      <c r="UFZ55" s="1567" t="s">
        <v>290</v>
      </c>
      <c r="UGA55" s="1567"/>
      <c r="UGB55" s="1567"/>
      <c r="UGC55" s="1088" t="s">
        <v>289</v>
      </c>
      <c r="UGD55" s="1567" t="s">
        <v>290</v>
      </c>
      <c r="UGE55" s="1567"/>
      <c r="UGF55" s="1567"/>
      <c r="UGG55" s="1088" t="s">
        <v>289</v>
      </c>
      <c r="UGH55" s="1567" t="s">
        <v>290</v>
      </c>
      <c r="UGI55" s="1567"/>
      <c r="UGJ55" s="1567"/>
      <c r="UGK55" s="1088" t="s">
        <v>289</v>
      </c>
      <c r="UGL55" s="1567" t="s">
        <v>290</v>
      </c>
      <c r="UGM55" s="1567"/>
      <c r="UGN55" s="1567"/>
      <c r="UGO55" s="1088" t="s">
        <v>289</v>
      </c>
      <c r="UGP55" s="1567" t="s">
        <v>290</v>
      </c>
      <c r="UGQ55" s="1567"/>
      <c r="UGR55" s="1567"/>
      <c r="UGS55" s="1088" t="s">
        <v>289</v>
      </c>
      <c r="UGT55" s="1567" t="s">
        <v>290</v>
      </c>
      <c r="UGU55" s="1567"/>
      <c r="UGV55" s="1567"/>
      <c r="UGW55" s="1088" t="s">
        <v>289</v>
      </c>
      <c r="UGX55" s="1567" t="s">
        <v>290</v>
      </c>
      <c r="UGY55" s="1567"/>
      <c r="UGZ55" s="1567"/>
      <c r="UHA55" s="1088" t="s">
        <v>289</v>
      </c>
      <c r="UHB55" s="1567" t="s">
        <v>290</v>
      </c>
      <c r="UHC55" s="1567"/>
      <c r="UHD55" s="1567"/>
      <c r="UHE55" s="1088" t="s">
        <v>289</v>
      </c>
      <c r="UHF55" s="1567" t="s">
        <v>290</v>
      </c>
      <c r="UHG55" s="1567"/>
      <c r="UHH55" s="1567"/>
      <c r="UHI55" s="1088" t="s">
        <v>289</v>
      </c>
      <c r="UHJ55" s="1567" t="s">
        <v>290</v>
      </c>
      <c r="UHK55" s="1567"/>
      <c r="UHL55" s="1567"/>
      <c r="UHM55" s="1088" t="s">
        <v>289</v>
      </c>
      <c r="UHN55" s="1567" t="s">
        <v>290</v>
      </c>
      <c r="UHO55" s="1567"/>
      <c r="UHP55" s="1567"/>
      <c r="UHQ55" s="1088" t="s">
        <v>289</v>
      </c>
      <c r="UHR55" s="1567" t="s">
        <v>290</v>
      </c>
      <c r="UHS55" s="1567"/>
      <c r="UHT55" s="1567"/>
      <c r="UHU55" s="1088" t="s">
        <v>289</v>
      </c>
      <c r="UHV55" s="1567" t="s">
        <v>290</v>
      </c>
      <c r="UHW55" s="1567"/>
      <c r="UHX55" s="1567"/>
      <c r="UHY55" s="1088" t="s">
        <v>289</v>
      </c>
      <c r="UHZ55" s="1567" t="s">
        <v>290</v>
      </c>
      <c r="UIA55" s="1567"/>
      <c r="UIB55" s="1567"/>
      <c r="UIC55" s="1088" t="s">
        <v>289</v>
      </c>
      <c r="UID55" s="1567" t="s">
        <v>290</v>
      </c>
      <c r="UIE55" s="1567"/>
      <c r="UIF55" s="1567"/>
      <c r="UIG55" s="1088" t="s">
        <v>289</v>
      </c>
      <c r="UIH55" s="1567" t="s">
        <v>290</v>
      </c>
      <c r="UII55" s="1567"/>
      <c r="UIJ55" s="1567"/>
      <c r="UIK55" s="1088" t="s">
        <v>289</v>
      </c>
      <c r="UIL55" s="1567" t="s">
        <v>290</v>
      </c>
      <c r="UIM55" s="1567"/>
      <c r="UIN55" s="1567"/>
      <c r="UIO55" s="1088" t="s">
        <v>289</v>
      </c>
      <c r="UIP55" s="1567" t="s">
        <v>290</v>
      </c>
      <c r="UIQ55" s="1567"/>
      <c r="UIR55" s="1567"/>
      <c r="UIS55" s="1088" t="s">
        <v>289</v>
      </c>
      <c r="UIT55" s="1567" t="s">
        <v>290</v>
      </c>
      <c r="UIU55" s="1567"/>
      <c r="UIV55" s="1567"/>
      <c r="UIW55" s="1088" t="s">
        <v>289</v>
      </c>
      <c r="UIX55" s="1567" t="s">
        <v>290</v>
      </c>
      <c r="UIY55" s="1567"/>
      <c r="UIZ55" s="1567"/>
      <c r="UJA55" s="1088" t="s">
        <v>289</v>
      </c>
      <c r="UJB55" s="1567" t="s">
        <v>290</v>
      </c>
      <c r="UJC55" s="1567"/>
      <c r="UJD55" s="1567"/>
      <c r="UJE55" s="1088" t="s">
        <v>289</v>
      </c>
      <c r="UJF55" s="1567" t="s">
        <v>290</v>
      </c>
      <c r="UJG55" s="1567"/>
      <c r="UJH55" s="1567"/>
      <c r="UJI55" s="1088" t="s">
        <v>289</v>
      </c>
      <c r="UJJ55" s="1567" t="s">
        <v>290</v>
      </c>
      <c r="UJK55" s="1567"/>
      <c r="UJL55" s="1567"/>
      <c r="UJM55" s="1088" t="s">
        <v>289</v>
      </c>
      <c r="UJN55" s="1567" t="s">
        <v>290</v>
      </c>
      <c r="UJO55" s="1567"/>
      <c r="UJP55" s="1567"/>
      <c r="UJQ55" s="1088" t="s">
        <v>289</v>
      </c>
      <c r="UJR55" s="1567" t="s">
        <v>290</v>
      </c>
      <c r="UJS55" s="1567"/>
      <c r="UJT55" s="1567"/>
      <c r="UJU55" s="1088" t="s">
        <v>289</v>
      </c>
      <c r="UJV55" s="1567" t="s">
        <v>290</v>
      </c>
      <c r="UJW55" s="1567"/>
      <c r="UJX55" s="1567"/>
      <c r="UJY55" s="1088" t="s">
        <v>289</v>
      </c>
      <c r="UJZ55" s="1567" t="s">
        <v>290</v>
      </c>
      <c r="UKA55" s="1567"/>
      <c r="UKB55" s="1567"/>
      <c r="UKC55" s="1088" t="s">
        <v>289</v>
      </c>
      <c r="UKD55" s="1567" t="s">
        <v>290</v>
      </c>
      <c r="UKE55" s="1567"/>
      <c r="UKF55" s="1567"/>
      <c r="UKG55" s="1088" t="s">
        <v>289</v>
      </c>
      <c r="UKH55" s="1567" t="s">
        <v>290</v>
      </c>
      <c r="UKI55" s="1567"/>
      <c r="UKJ55" s="1567"/>
      <c r="UKK55" s="1088" t="s">
        <v>289</v>
      </c>
      <c r="UKL55" s="1567" t="s">
        <v>290</v>
      </c>
      <c r="UKM55" s="1567"/>
      <c r="UKN55" s="1567"/>
      <c r="UKO55" s="1088" t="s">
        <v>289</v>
      </c>
      <c r="UKP55" s="1567" t="s">
        <v>290</v>
      </c>
      <c r="UKQ55" s="1567"/>
      <c r="UKR55" s="1567"/>
      <c r="UKS55" s="1088" t="s">
        <v>289</v>
      </c>
      <c r="UKT55" s="1567" t="s">
        <v>290</v>
      </c>
      <c r="UKU55" s="1567"/>
      <c r="UKV55" s="1567"/>
      <c r="UKW55" s="1088" t="s">
        <v>289</v>
      </c>
      <c r="UKX55" s="1567" t="s">
        <v>290</v>
      </c>
      <c r="UKY55" s="1567"/>
      <c r="UKZ55" s="1567"/>
      <c r="ULA55" s="1088" t="s">
        <v>289</v>
      </c>
      <c r="ULB55" s="1567" t="s">
        <v>290</v>
      </c>
      <c r="ULC55" s="1567"/>
      <c r="ULD55" s="1567"/>
      <c r="ULE55" s="1088" t="s">
        <v>289</v>
      </c>
      <c r="ULF55" s="1567" t="s">
        <v>290</v>
      </c>
      <c r="ULG55" s="1567"/>
      <c r="ULH55" s="1567"/>
      <c r="ULI55" s="1088" t="s">
        <v>289</v>
      </c>
      <c r="ULJ55" s="1567" t="s">
        <v>290</v>
      </c>
      <c r="ULK55" s="1567"/>
      <c r="ULL55" s="1567"/>
      <c r="ULM55" s="1088" t="s">
        <v>289</v>
      </c>
      <c r="ULN55" s="1567" t="s">
        <v>290</v>
      </c>
      <c r="ULO55" s="1567"/>
      <c r="ULP55" s="1567"/>
      <c r="ULQ55" s="1088" t="s">
        <v>289</v>
      </c>
      <c r="ULR55" s="1567" t="s">
        <v>290</v>
      </c>
      <c r="ULS55" s="1567"/>
      <c r="ULT55" s="1567"/>
      <c r="ULU55" s="1088" t="s">
        <v>289</v>
      </c>
      <c r="ULV55" s="1567" t="s">
        <v>290</v>
      </c>
      <c r="ULW55" s="1567"/>
      <c r="ULX55" s="1567"/>
      <c r="ULY55" s="1088" t="s">
        <v>289</v>
      </c>
      <c r="ULZ55" s="1567" t="s">
        <v>290</v>
      </c>
      <c r="UMA55" s="1567"/>
      <c r="UMB55" s="1567"/>
      <c r="UMC55" s="1088" t="s">
        <v>289</v>
      </c>
      <c r="UMD55" s="1567" t="s">
        <v>290</v>
      </c>
      <c r="UME55" s="1567"/>
      <c r="UMF55" s="1567"/>
      <c r="UMG55" s="1088" t="s">
        <v>289</v>
      </c>
      <c r="UMH55" s="1567" t="s">
        <v>290</v>
      </c>
      <c r="UMI55" s="1567"/>
      <c r="UMJ55" s="1567"/>
      <c r="UMK55" s="1088" t="s">
        <v>289</v>
      </c>
      <c r="UML55" s="1567" t="s">
        <v>290</v>
      </c>
      <c r="UMM55" s="1567"/>
      <c r="UMN55" s="1567"/>
      <c r="UMO55" s="1088" t="s">
        <v>289</v>
      </c>
      <c r="UMP55" s="1567" t="s">
        <v>290</v>
      </c>
      <c r="UMQ55" s="1567"/>
      <c r="UMR55" s="1567"/>
      <c r="UMS55" s="1088" t="s">
        <v>289</v>
      </c>
      <c r="UMT55" s="1567" t="s">
        <v>290</v>
      </c>
      <c r="UMU55" s="1567"/>
      <c r="UMV55" s="1567"/>
      <c r="UMW55" s="1088" t="s">
        <v>289</v>
      </c>
      <c r="UMX55" s="1567" t="s">
        <v>290</v>
      </c>
      <c r="UMY55" s="1567"/>
      <c r="UMZ55" s="1567"/>
      <c r="UNA55" s="1088" t="s">
        <v>289</v>
      </c>
      <c r="UNB55" s="1567" t="s">
        <v>290</v>
      </c>
      <c r="UNC55" s="1567"/>
      <c r="UND55" s="1567"/>
      <c r="UNE55" s="1088" t="s">
        <v>289</v>
      </c>
      <c r="UNF55" s="1567" t="s">
        <v>290</v>
      </c>
      <c r="UNG55" s="1567"/>
      <c r="UNH55" s="1567"/>
      <c r="UNI55" s="1088" t="s">
        <v>289</v>
      </c>
      <c r="UNJ55" s="1567" t="s">
        <v>290</v>
      </c>
      <c r="UNK55" s="1567"/>
      <c r="UNL55" s="1567"/>
      <c r="UNM55" s="1088" t="s">
        <v>289</v>
      </c>
      <c r="UNN55" s="1567" t="s">
        <v>290</v>
      </c>
      <c r="UNO55" s="1567"/>
      <c r="UNP55" s="1567"/>
      <c r="UNQ55" s="1088" t="s">
        <v>289</v>
      </c>
      <c r="UNR55" s="1567" t="s">
        <v>290</v>
      </c>
      <c r="UNS55" s="1567"/>
      <c r="UNT55" s="1567"/>
      <c r="UNU55" s="1088" t="s">
        <v>289</v>
      </c>
      <c r="UNV55" s="1567" t="s">
        <v>290</v>
      </c>
      <c r="UNW55" s="1567"/>
      <c r="UNX55" s="1567"/>
      <c r="UNY55" s="1088" t="s">
        <v>289</v>
      </c>
      <c r="UNZ55" s="1567" t="s">
        <v>290</v>
      </c>
      <c r="UOA55" s="1567"/>
      <c r="UOB55" s="1567"/>
      <c r="UOC55" s="1088" t="s">
        <v>289</v>
      </c>
      <c r="UOD55" s="1567" t="s">
        <v>290</v>
      </c>
      <c r="UOE55" s="1567"/>
      <c r="UOF55" s="1567"/>
      <c r="UOG55" s="1088" t="s">
        <v>289</v>
      </c>
      <c r="UOH55" s="1567" t="s">
        <v>290</v>
      </c>
      <c r="UOI55" s="1567"/>
      <c r="UOJ55" s="1567"/>
      <c r="UOK55" s="1088" t="s">
        <v>289</v>
      </c>
      <c r="UOL55" s="1567" t="s">
        <v>290</v>
      </c>
      <c r="UOM55" s="1567"/>
      <c r="UON55" s="1567"/>
      <c r="UOO55" s="1088" t="s">
        <v>289</v>
      </c>
      <c r="UOP55" s="1567" t="s">
        <v>290</v>
      </c>
      <c r="UOQ55" s="1567"/>
      <c r="UOR55" s="1567"/>
      <c r="UOS55" s="1088" t="s">
        <v>289</v>
      </c>
      <c r="UOT55" s="1567" t="s">
        <v>290</v>
      </c>
      <c r="UOU55" s="1567"/>
      <c r="UOV55" s="1567"/>
      <c r="UOW55" s="1088" t="s">
        <v>289</v>
      </c>
      <c r="UOX55" s="1567" t="s">
        <v>290</v>
      </c>
      <c r="UOY55" s="1567"/>
      <c r="UOZ55" s="1567"/>
      <c r="UPA55" s="1088" t="s">
        <v>289</v>
      </c>
      <c r="UPB55" s="1567" t="s">
        <v>290</v>
      </c>
      <c r="UPC55" s="1567"/>
      <c r="UPD55" s="1567"/>
      <c r="UPE55" s="1088" t="s">
        <v>289</v>
      </c>
      <c r="UPF55" s="1567" t="s">
        <v>290</v>
      </c>
      <c r="UPG55" s="1567"/>
      <c r="UPH55" s="1567"/>
      <c r="UPI55" s="1088" t="s">
        <v>289</v>
      </c>
      <c r="UPJ55" s="1567" t="s">
        <v>290</v>
      </c>
      <c r="UPK55" s="1567"/>
      <c r="UPL55" s="1567"/>
      <c r="UPM55" s="1088" t="s">
        <v>289</v>
      </c>
      <c r="UPN55" s="1567" t="s">
        <v>290</v>
      </c>
      <c r="UPO55" s="1567"/>
      <c r="UPP55" s="1567"/>
      <c r="UPQ55" s="1088" t="s">
        <v>289</v>
      </c>
      <c r="UPR55" s="1567" t="s">
        <v>290</v>
      </c>
      <c r="UPS55" s="1567"/>
      <c r="UPT55" s="1567"/>
      <c r="UPU55" s="1088" t="s">
        <v>289</v>
      </c>
      <c r="UPV55" s="1567" t="s">
        <v>290</v>
      </c>
      <c r="UPW55" s="1567"/>
      <c r="UPX55" s="1567"/>
      <c r="UPY55" s="1088" t="s">
        <v>289</v>
      </c>
      <c r="UPZ55" s="1567" t="s">
        <v>290</v>
      </c>
      <c r="UQA55" s="1567"/>
      <c r="UQB55" s="1567"/>
      <c r="UQC55" s="1088" t="s">
        <v>289</v>
      </c>
      <c r="UQD55" s="1567" t="s">
        <v>290</v>
      </c>
      <c r="UQE55" s="1567"/>
      <c r="UQF55" s="1567"/>
      <c r="UQG55" s="1088" t="s">
        <v>289</v>
      </c>
      <c r="UQH55" s="1567" t="s">
        <v>290</v>
      </c>
      <c r="UQI55" s="1567"/>
      <c r="UQJ55" s="1567"/>
      <c r="UQK55" s="1088" t="s">
        <v>289</v>
      </c>
      <c r="UQL55" s="1567" t="s">
        <v>290</v>
      </c>
      <c r="UQM55" s="1567"/>
      <c r="UQN55" s="1567"/>
      <c r="UQO55" s="1088" t="s">
        <v>289</v>
      </c>
      <c r="UQP55" s="1567" t="s">
        <v>290</v>
      </c>
      <c r="UQQ55" s="1567"/>
      <c r="UQR55" s="1567"/>
      <c r="UQS55" s="1088" t="s">
        <v>289</v>
      </c>
      <c r="UQT55" s="1567" t="s">
        <v>290</v>
      </c>
      <c r="UQU55" s="1567"/>
      <c r="UQV55" s="1567"/>
      <c r="UQW55" s="1088" t="s">
        <v>289</v>
      </c>
      <c r="UQX55" s="1567" t="s">
        <v>290</v>
      </c>
      <c r="UQY55" s="1567"/>
      <c r="UQZ55" s="1567"/>
      <c r="URA55" s="1088" t="s">
        <v>289</v>
      </c>
      <c r="URB55" s="1567" t="s">
        <v>290</v>
      </c>
      <c r="URC55" s="1567"/>
      <c r="URD55" s="1567"/>
      <c r="URE55" s="1088" t="s">
        <v>289</v>
      </c>
      <c r="URF55" s="1567" t="s">
        <v>290</v>
      </c>
      <c r="URG55" s="1567"/>
      <c r="URH55" s="1567"/>
      <c r="URI55" s="1088" t="s">
        <v>289</v>
      </c>
      <c r="URJ55" s="1567" t="s">
        <v>290</v>
      </c>
      <c r="URK55" s="1567"/>
      <c r="URL55" s="1567"/>
      <c r="URM55" s="1088" t="s">
        <v>289</v>
      </c>
      <c r="URN55" s="1567" t="s">
        <v>290</v>
      </c>
      <c r="URO55" s="1567"/>
      <c r="URP55" s="1567"/>
      <c r="URQ55" s="1088" t="s">
        <v>289</v>
      </c>
      <c r="URR55" s="1567" t="s">
        <v>290</v>
      </c>
      <c r="URS55" s="1567"/>
      <c r="URT55" s="1567"/>
      <c r="URU55" s="1088" t="s">
        <v>289</v>
      </c>
      <c r="URV55" s="1567" t="s">
        <v>290</v>
      </c>
      <c r="URW55" s="1567"/>
      <c r="URX55" s="1567"/>
      <c r="URY55" s="1088" t="s">
        <v>289</v>
      </c>
      <c r="URZ55" s="1567" t="s">
        <v>290</v>
      </c>
      <c r="USA55" s="1567"/>
      <c r="USB55" s="1567"/>
      <c r="USC55" s="1088" t="s">
        <v>289</v>
      </c>
      <c r="USD55" s="1567" t="s">
        <v>290</v>
      </c>
      <c r="USE55" s="1567"/>
      <c r="USF55" s="1567"/>
      <c r="USG55" s="1088" t="s">
        <v>289</v>
      </c>
      <c r="USH55" s="1567" t="s">
        <v>290</v>
      </c>
      <c r="USI55" s="1567"/>
      <c r="USJ55" s="1567"/>
      <c r="USK55" s="1088" t="s">
        <v>289</v>
      </c>
      <c r="USL55" s="1567" t="s">
        <v>290</v>
      </c>
      <c r="USM55" s="1567"/>
      <c r="USN55" s="1567"/>
      <c r="USO55" s="1088" t="s">
        <v>289</v>
      </c>
      <c r="USP55" s="1567" t="s">
        <v>290</v>
      </c>
      <c r="USQ55" s="1567"/>
      <c r="USR55" s="1567"/>
      <c r="USS55" s="1088" t="s">
        <v>289</v>
      </c>
      <c r="UST55" s="1567" t="s">
        <v>290</v>
      </c>
      <c r="USU55" s="1567"/>
      <c r="USV55" s="1567"/>
      <c r="USW55" s="1088" t="s">
        <v>289</v>
      </c>
      <c r="USX55" s="1567" t="s">
        <v>290</v>
      </c>
      <c r="USY55" s="1567"/>
      <c r="USZ55" s="1567"/>
      <c r="UTA55" s="1088" t="s">
        <v>289</v>
      </c>
      <c r="UTB55" s="1567" t="s">
        <v>290</v>
      </c>
      <c r="UTC55" s="1567"/>
      <c r="UTD55" s="1567"/>
      <c r="UTE55" s="1088" t="s">
        <v>289</v>
      </c>
      <c r="UTF55" s="1567" t="s">
        <v>290</v>
      </c>
      <c r="UTG55" s="1567"/>
      <c r="UTH55" s="1567"/>
      <c r="UTI55" s="1088" t="s">
        <v>289</v>
      </c>
      <c r="UTJ55" s="1567" t="s">
        <v>290</v>
      </c>
      <c r="UTK55" s="1567"/>
      <c r="UTL55" s="1567"/>
      <c r="UTM55" s="1088" t="s">
        <v>289</v>
      </c>
      <c r="UTN55" s="1567" t="s">
        <v>290</v>
      </c>
      <c r="UTO55" s="1567"/>
      <c r="UTP55" s="1567"/>
      <c r="UTQ55" s="1088" t="s">
        <v>289</v>
      </c>
      <c r="UTR55" s="1567" t="s">
        <v>290</v>
      </c>
      <c r="UTS55" s="1567"/>
      <c r="UTT55" s="1567"/>
      <c r="UTU55" s="1088" t="s">
        <v>289</v>
      </c>
      <c r="UTV55" s="1567" t="s">
        <v>290</v>
      </c>
      <c r="UTW55" s="1567"/>
      <c r="UTX55" s="1567"/>
      <c r="UTY55" s="1088" t="s">
        <v>289</v>
      </c>
      <c r="UTZ55" s="1567" t="s">
        <v>290</v>
      </c>
      <c r="UUA55" s="1567"/>
      <c r="UUB55" s="1567"/>
      <c r="UUC55" s="1088" t="s">
        <v>289</v>
      </c>
      <c r="UUD55" s="1567" t="s">
        <v>290</v>
      </c>
      <c r="UUE55" s="1567"/>
      <c r="UUF55" s="1567"/>
      <c r="UUG55" s="1088" t="s">
        <v>289</v>
      </c>
      <c r="UUH55" s="1567" t="s">
        <v>290</v>
      </c>
      <c r="UUI55" s="1567"/>
      <c r="UUJ55" s="1567"/>
      <c r="UUK55" s="1088" t="s">
        <v>289</v>
      </c>
      <c r="UUL55" s="1567" t="s">
        <v>290</v>
      </c>
      <c r="UUM55" s="1567"/>
      <c r="UUN55" s="1567"/>
      <c r="UUO55" s="1088" t="s">
        <v>289</v>
      </c>
      <c r="UUP55" s="1567" t="s">
        <v>290</v>
      </c>
      <c r="UUQ55" s="1567"/>
      <c r="UUR55" s="1567"/>
      <c r="UUS55" s="1088" t="s">
        <v>289</v>
      </c>
      <c r="UUT55" s="1567" t="s">
        <v>290</v>
      </c>
      <c r="UUU55" s="1567"/>
      <c r="UUV55" s="1567"/>
      <c r="UUW55" s="1088" t="s">
        <v>289</v>
      </c>
      <c r="UUX55" s="1567" t="s">
        <v>290</v>
      </c>
      <c r="UUY55" s="1567"/>
      <c r="UUZ55" s="1567"/>
      <c r="UVA55" s="1088" t="s">
        <v>289</v>
      </c>
      <c r="UVB55" s="1567" t="s">
        <v>290</v>
      </c>
      <c r="UVC55" s="1567"/>
      <c r="UVD55" s="1567"/>
      <c r="UVE55" s="1088" t="s">
        <v>289</v>
      </c>
      <c r="UVF55" s="1567" t="s">
        <v>290</v>
      </c>
      <c r="UVG55" s="1567"/>
      <c r="UVH55" s="1567"/>
      <c r="UVI55" s="1088" t="s">
        <v>289</v>
      </c>
      <c r="UVJ55" s="1567" t="s">
        <v>290</v>
      </c>
      <c r="UVK55" s="1567"/>
      <c r="UVL55" s="1567"/>
      <c r="UVM55" s="1088" t="s">
        <v>289</v>
      </c>
      <c r="UVN55" s="1567" t="s">
        <v>290</v>
      </c>
      <c r="UVO55" s="1567"/>
      <c r="UVP55" s="1567"/>
      <c r="UVQ55" s="1088" t="s">
        <v>289</v>
      </c>
      <c r="UVR55" s="1567" t="s">
        <v>290</v>
      </c>
      <c r="UVS55" s="1567"/>
      <c r="UVT55" s="1567"/>
      <c r="UVU55" s="1088" t="s">
        <v>289</v>
      </c>
      <c r="UVV55" s="1567" t="s">
        <v>290</v>
      </c>
      <c r="UVW55" s="1567"/>
      <c r="UVX55" s="1567"/>
      <c r="UVY55" s="1088" t="s">
        <v>289</v>
      </c>
      <c r="UVZ55" s="1567" t="s">
        <v>290</v>
      </c>
      <c r="UWA55" s="1567"/>
      <c r="UWB55" s="1567"/>
      <c r="UWC55" s="1088" t="s">
        <v>289</v>
      </c>
      <c r="UWD55" s="1567" t="s">
        <v>290</v>
      </c>
      <c r="UWE55" s="1567"/>
      <c r="UWF55" s="1567"/>
      <c r="UWG55" s="1088" t="s">
        <v>289</v>
      </c>
      <c r="UWH55" s="1567" t="s">
        <v>290</v>
      </c>
      <c r="UWI55" s="1567"/>
      <c r="UWJ55" s="1567"/>
      <c r="UWK55" s="1088" t="s">
        <v>289</v>
      </c>
      <c r="UWL55" s="1567" t="s">
        <v>290</v>
      </c>
      <c r="UWM55" s="1567"/>
      <c r="UWN55" s="1567"/>
      <c r="UWO55" s="1088" t="s">
        <v>289</v>
      </c>
      <c r="UWP55" s="1567" t="s">
        <v>290</v>
      </c>
      <c r="UWQ55" s="1567"/>
      <c r="UWR55" s="1567"/>
      <c r="UWS55" s="1088" t="s">
        <v>289</v>
      </c>
      <c r="UWT55" s="1567" t="s">
        <v>290</v>
      </c>
      <c r="UWU55" s="1567"/>
      <c r="UWV55" s="1567"/>
      <c r="UWW55" s="1088" t="s">
        <v>289</v>
      </c>
      <c r="UWX55" s="1567" t="s">
        <v>290</v>
      </c>
      <c r="UWY55" s="1567"/>
      <c r="UWZ55" s="1567"/>
      <c r="UXA55" s="1088" t="s">
        <v>289</v>
      </c>
      <c r="UXB55" s="1567" t="s">
        <v>290</v>
      </c>
      <c r="UXC55" s="1567"/>
      <c r="UXD55" s="1567"/>
      <c r="UXE55" s="1088" t="s">
        <v>289</v>
      </c>
      <c r="UXF55" s="1567" t="s">
        <v>290</v>
      </c>
      <c r="UXG55" s="1567"/>
      <c r="UXH55" s="1567"/>
      <c r="UXI55" s="1088" t="s">
        <v>289</v>
      </c>
      <c r="UXJ55" s="1567" t="s">
        <v>290</v>
      </c>
      <c r="UXK55" s="1567"/>
      <c r="UXL55" s="1567"/>
      <c r="UXM55" s="1088" t="s">
        <v>289</v>
      </c>
      <c r="UXN55" s="1567" t="s">
        <v>290</v>
      </c>
      <c r="UXO55" s="1567"/>
      <c r="UXP55" s="1567"/>
      <c r="UXQ55" s="1088" t="s">
        <v>289</v>
      </c>
      <c r="UXR55" s="1567" t="s">
        <v>290</v>
      </c>
      <c r="UXS55" s="1567"/>
      <c r="UXT55" s="1567"/>
      <c r="UXU55" s="1088" t="s">
        <v>289</v>
      </c>
      <c r="UXV55" s="1567" t="s">
        <v>290</v>
      </c>
      <c r="UXW55" s="1567"/>
      <c r="UXX55" s="1567"/>
      <c r="UXY55" s="1088" t="s">
        <v>289</v>
      </c>
      <c r="UXZ55" s="1567" t="s">
        <v>290</v>
      </c>
      <c r="UYA55" s="1567"/>
      <c r="UYB55" s="1567"/>
      <c r="UYC55" s="1088" t="s">
        <v>289</v>
      </c>
      <c r="UYD55" s="1567" t="s">
        <v>290</v>
      </c>
      <c r="UYE55" s="1567"/>
      <c r="UYF55" s="1567"/>
      <c r="UYG55" s="1088" t="s">
        <v>289</v>
      </c>
      <c r="UYH55" s="1567" t="s">
        <v>290</v>
      </c>
      <c r="UYI55" s="1567"/>
      <c r="UYJ55" s="1567"/>
      <c r="UYK55" s="1088" t="s">
        <v>289</v>
      </c>
      <c r="UYL55" s="1567" t="s">
        <v>290</v>
      </c>
      <c r="UYM55" s="1567"/>
      <c r="UYN55" s="1567"/>
      <c r="UYO55" s="1088" t="s">
        <v>289</v>
      </c>
      <c r="UYP55" s="1567" t="s">
        <v>290</v>
      </c>
      <c r="UYQ55" s="1567"/>
      <c r="UYR55" s="1567"/>
      <c r="UYS55" s="1088" t="s">
        <v>289</v>
      </c>
      <c r="UYT55" s="1567" t="s">
        <v>290</v>
      </c>
      <c r="UYU55" s="1567"/>
      <c r="UYV55" s="1567"/>
      <c r="UYW55" s="1088" t="s">
        <v>289</v>
      </c>
      <c r="UYX55" s="1567" t="s">
        <v>290</v>
      </c>
      <c r="UYY55" s="1567"/>
      <c r="UYZ55" s="1567"/>
      <c r="UZA55" s="1088" t="s">
        <v>289</v>
      </c>
      <c r="UZB55" s="1567" t="s">
        <v>290</v>
      </c>
      <c r="UZC55" s="1567"/>
      <c r="UZD55" s="1567"/>
      <c r="UZE55" s="1088" t="s">
        <v>289</v>
      </c>
      <c r="UZF55" s="1567" t="s">
        <v>290</v>
      </c>
      <c r="UZG55" s="1567"/>
      <c r="UZH55" s="1567"/>
      <c r="UZI55" s="1088" t="s">
        <v>289</v>
      </c>
      <c r="UZJ55" s="1567" t="s">
        <v>290</v>
      </c>
      <c r="UZK55" s="1567"/>
      <c r="UZL55" s="1567"/>
      <c r="UZM55" s="1088" t="s">
        <v>289</v>
      </c>
      <c r="UZN55" s="1567" t="s">
        <v>290</v>
      </c>
      <c r="UZO55" s="1567"/>
      <c r="UZP55" s="1567"/>
      <c r="UZQ55" s="1088" t="s">
        <v>289</v>
      </c>
      <c r="UZR55" s="1567" t="s">
        <v>290</v>
      </c>
      <c r="UZS55" s="1567"/>
      <c r="UZT55" s="1567"/>
      <c r="UZU55" s="1088" t="s">
        <v>289</v>
      </c>
      <c r="UZV55" s="1567" t="s">
        <v>290</v>
      </c>
      <c r="UZW55" s="1567"/>
      <c r="UZX55" s="1567"/>
      <c r="UZY55" s="1088" t="s">
        <v>289</v>
      </c>
      <c r="UZZ55" s="1567" t="s">
        <v>290</v>
      </c>
      <c r="VAA55" s="1567"/>
      <c r="VAB55" s="1567"/>
      <c r="VAC55" s="1088" t="s">
        <v>289</v>
      </c>
      <c r="VAD55" s="1567" t="s">
        <v>290</v>
      </c>
      <c r="VAE55" s="1567"/>
      <c r="VAF55" s="1567"/>
      <c r="VAG55" s="1088" t="s">
        <v>289</v>
      </c>
      <c r="VAH55" s="1567" t="s">
        <v>290</v>
      </c>
      <c r="VAI55" s="1567"/>
      <c r="VAJ55" s="1567"/>
      <c r="VAK55" s="1088" t="s">
        <v>289</v>
      </c>
      <c r="VAL55" s="1567" t="s">
        <v>290</v>
      </c>
      <c r="VAM55" s="1567"/>
      <c r="VAN55" s="1567"/>
      <c r="VAO55" s="1088" t="s">
        <v>289</v>
      </c>
      <c r="VAP55" s="1567" t="s">
        <v>290</v>
      </c>
      <c r="VAQ55" s="1567"/>
      <c r="VAR55" s="1567"/>
      <c r="VAS55" s="1088" t="s">
        <v>289</v>
      </c>
      <c r="VAT55" s="1567" t="s">
        <v>290</v>
      </c>
      <c r="VAU55" s="1567"/>
      <c r="VAV55" s="1567"/>
      <c r="VAW55" s="1088" t="s">
        <v>289</v>
      </c>
      <c r="VAX55" s="1567" t="s">
        <v>290</v>
      </c>
      <c r="VAY55" s="1567"/>
      <c r="VAZ55" s="1567"/>
      <c r="VBA55" s="1088" t="s">
        <v>289</v>
      </c>
      <c r="VBB55" s="1567" t="s">
        <v>290</v>
      </c>
      <c r="VBC55" s="1567"/>
      <c r="VBD55" s="1567"/>
      <c r="VBE55" s="1088" t="s">
        <v>289</v>
      </c>
      <c r="VBF55" s="1567" t="s">
        <v>290</v>
      </c>
      <c r="VBG55" s="1567"/>
      <c r="VBH55" s="1567"/>
      <c r="VBI55" s="1088" t="s">
        <v>289</v>
      </c>
      <c r="VBJ55" s="1567" t="s">
        <v>290</v>
      </c>
      <c r="VBK55" s="1567"/>
      <c r="VBL55" s="1567"/>
      <c r="VBM55" s="1088" t="s">
        <v>289</v>
      </c>
      <c r="VBN55" s="1567" t="s">
        <v>290</v>
      </c>
      <c r="VBO55" s="1567"/>
      <c r="VBP55" s="1567"/>
      <c r="VBQ55" s="1088" t="s">
        <v>289</v>
      </c>
      <c r="VBR55" s="1567" t="s">
        <v>290</v>
      </c>
      <c r="VBS55" s="1567"/>
      <c r="VBT55" s="1567"/>
      <c r="VBU55" s="1088" t="s">
        <v>289</v>
      </c>
      <c r="VBV55" s="1567" t="s">
        <v>290</v>
      </c>
      <c r="VBW55" s="1567"/>
      <c r="VBX55" s="1567"/>
      <c r="VBY55" s="1088" t="s">
        <v>289</v>
      </c>
      <c r="VBZ55" s="1567" t="s">
        <v>290</v>
      </c>
      <c r="VCA55" s="1567"/>
      <c r="VCB55" s="1567"/>
      <c r="VCC55" s="1088" t="s">
        <v>289</v>
      </c>
      <c r="VCD55" s="1567" t="s">
        <v>290</v>
      </c>
      <c r="VCE55" s="1567"/>
      <c r="VCF55" s="1567"/>
      <c r="VCG55" s="1088" t="s">
        <v>289</v>
      </c>
      <c r="VCH55" s="1567" t="s">
        <v>290</v>
      </c>
      <c r="VCI55" s="1567"/>
      <c r="VCJ55" s="1567"/>
      <c r="VCK55" s="1088" t="s">
        <v>289</v>
      </c>
      <c r="VCL55" s="1567" t="s">
        <v>290</v>
      </c>
      <c r="VCM55" s="1567"/>
      <c r="VCN55" s="1567"/>
      <c r="VCO55" s="1088" t="s">
        <v>289</v>
      </c>
      <c r="VCP55" s="1567" t="s">
        <v>290</v>
      </c>
      <c r="VCQ55" s="1567"/>
      <c r="VCR55" s="1567"/>
      <c r="VCS55" s="1088" t="s">
        <v>289</v>
      </c>
      <c r="VCT55" s="1567" t="s">
        <v>290</v>
      </c>
      <c r="VCU55" s="1567"/>
      <c r="VCV55" s="1567"/>
      <c r="VCW55" s="1088" t="s">
        <v>289</v>
      </c>
      <c r="VCX55" s="1567" t="s">
        <v>290</v>
      </c>
      <c r="VCY55" s="1567"/>
      <c r="VCZ55" s="1567"/>
      <c r="VDA55" s="1088" t="s">
        <v>289</v>
      </c>
      <c r="VDB55" s="1567" t="s">
        <v>290</v>
      </c>
      <c r="VDC55" s="1567"/>
      <c r="VDD55" s="1567"/>
      <c r="VDE55" s="1088" t="s">
        <v>289</v>
      </c>
      <c r="VDF55" s="1567" t="s">
        <v>290</v>
      </c>
      <c r="VDG55" s="1567"/>
      <c r="VDH55" s="1567"/>
      <c r="VDI55" s="1088" t="s">
        <v>289</v>
      </c>
      <c r="VDJ55" s="1567" t="s">
        <v>290</v>
      </c>
      <c r="VDK55" s="1567"/>
      <c r="VDL55" s="1567"/>
      <c r="VDM55" s="1088" t="s">
        <v>289</v>
      </c>
      <c r="VDN55" s="1567" t="s">
        <v>290</v>
      </c>
      <c r="VDO55" s="1567"/>
      <c r="VDP55" s="1567"/>
      <c r="VDQ55" s="1088" t="s">
        <v>289</v>
      </c>
      <c r="VDR55" s="1567" t="s">
        <v>290</v>
      </c>
      <c r="VDS55" s="1567"/>
      <c r="VDT55" s="1567"/>
      <c r="VDU55" s="1088" t="s">
        <v>289</v>
      </c>
      <c r="VDV55" s="1567" t="s">
        <v>290</v>
      </c>
      <c r="VDW55" s="1567"/>
      <c r="VDX55" s="1567"/>
      <c r="VDY55" s="1088" t="s">
        <v>289</v>
      </c>
      <c r="VDZ55" s="1567" t="s">
        <v>290</v>
      </c>
      <c r="VEA55" s="1567"/>
      <c r="VEB55" s="1567"/>
      <c r="VEC55" s="1088" t="s">
        <v>289</v>
      </c>
      <c r="VED55" s="1567" t="s">
        <v>290</v>
      </c>
      <c r="VEE55" s="1567"/>
      <c r="VEF55" s="1567"/>
      <c r="VEG55" s="1088" t="s">
        <v>289</v>
      </c>
      <c r="VEH55" s="1567" t="s">
        <v>290</v>
      </c>
      <c r="VEI55" s="1567"/>
      <c r="VEJ55" s="1567"/>
      <c r="VEK55" s="1088" t="s">
        <v>289</v>
      </c>
      <c r="VEL55" s="1567" t="s">
        <v>290</v>
      </c>
      <c r="VEM55" s="1567"/>
      <c r="VEN55" s="1567"/>
      <c r="VEO55" s="1088" t="s">
        <v>289</v>
      </c>
      <c r="VEP55" s="1567" t="s">
        <v>290</v>
      </c>
      <c r="VEQ55" s="1567"/>
      <c r="VER55" s="1567"/>
      <c r="VES55" s="1088" t="s">
        <v>289</v>
      </c>
      <c r="VET55" s="1567" t="s">
        <v>290</v>
      </c>
      <c r="VEU55" s="1567"/>
      <c r="VEV55" s="1567"/>
      <c r="VEW55" s="1088" t="s">
        <v>289</v>
      </c>
      <c r="VEX55" s="1567" t="s">
        <v>290</v>
      </c>
      <c r="VEY55" s="1567"/>
      <c r="VEZ55" s="1567"/>
      <c r="VFA55" s="1088" t="s">
        <v>289</v>
      </c>
      <c r="VFB55" s="1567" t="s">
        <v>290</v>
      </c>
      <c r="VFC55" s="1567"/>
      <c r="VFD55" s="1567"/>
      <c r="VFE55" s="1088" t="s">
        <v>289</v>
      </c>
      <c r="VFF55" s="1567" t="s">
        <v>290</v>
      </c>
      <c r="VFG55" s="1567"/>
      <c r="VFH55" s="1567"/>
      <c r="VFI55" s="1088" t="s">
        <v>289</v>
      </c>
      <c r="VFJ55" s="1567" t="s">
        <v>290</v>
      </c>
      <c r="VFK55" s="1567"/>
      <c r="VFL55" s="1567"/>
      <c r="VFM55" s="1088" t="s">
        <v>289</v>
      </c>
      <c r="VFN55" s="1567" t="s">
        <v>290</v>
      </c>
      <c r="VFO55" s="1567"/>
      <c r="VFP55" s="1567"/>
      <c r="VFQ55" s="1088" t="s">
        <v>289</v>
      </c>
      <c r="VFR55" s="1567" t="s">
        <v>290</v>
      </c>
      <c r="VFS55" s="1567"/>
      <c r="VFT55" s="1567"/>
      <c r="VFU55" s="1088" t="s">
        <v>289</v>
      </c>
      <c r="VFV55" s="1567" t="s">
        <v>290</v>
      </c>
      <c r="VFW55" s="1567"/>
      <c r="VFX55" s="1567"/>
      <c r="VFY55" s="1088" t="s">
        <v>289</v>
      </c>
      <c r="VFZ55" s="1567" t="s">
        <v>290</v>
      </c>
      <c r="VGA55" s="1567"/>
      <c r="VGB55" s="1567"/>
      <c r="VGC55" s="1088" t="s">
        <v>289</v>
      </c>
      <c r="VGD55" s="1567" t="s">
        <v>290</v>
      </c>
      <c r="VGE55" s="1567"/>
      <c r="VGF55" s="1567"/>
      <c r="VGG55" s="1088" t="s">
        <v>289</v>
      </c>
      <c r="VGH55" s="1567" t="s">
        <v>290</v>
      </c>
      <c r="VGI55" s="1567"/>
      <c r="VGJ55" s="1567"/>
      <c r="VGK55" s="1088" t="s">
        <v>289</v>
      </c>
      <c r="VGL55" s="1567" t="s">
        <v>290</v>
      </c>
      <c r="VGM55" s="1567"/>
      <c r="VGN55" s="1567"/>
      <c r="VGO55" s="1088" t="s">
        <v>289</v>
      </c>
      <c r="VGP55" s="1567" t="s">
        <v>290</v>
      </c>
      <c r="VGQ55" s="1567"/>
      <c r="VGR55" s="1567"/>
      <c r="VGS55" s="1088" t="s">
        <v>289</v>
      </c>
      <c r="VGT55" s="1567" t="s">
        <v>290</v>
      </c>
      <c r="VGU55" s="1567"/>
      <c r="VGV55" s="1567"/>
      <c r="VGW55" s="1088" t="s">
        <v>289</v>
      </c>
      <c r="VGX55" s="1567" t="s">
        <v>290</v>
      </c>
      <c r="VGY55" s="1567"/>
      <c r="VGZ55" s="1567"/>
      <c r="VHA55" s="1088" t="s">
        <v>289</v>
      </c>
      <c r="VHB55" s="1567" t="s">
        <v>290</v>
      </c>
      <c r="VHC55" s="1567"/>
      <c r="VHD55" s="1567"/>
      <c r="VHE55" s="1088" t="s">
        <v>289</v>
      </c>
      <c r="VHF55" s="1567" t="s">
        <v>290</v>
      </c>
      <c r="VHG55" s="1567"/>
      <c r="VHH55" s="1567"/>
      <c r="VHI55" s="1088" t="s">
        <v>289</v>
      </c>
      <c r="VHJ55" s="1567" t="s">
        <v>290</v>
      </c>
      <c r="VHK55" s="1567"/>
      <c r="VHL55" s="1567"/>
      <c r="VHM55" s="1088" t="s">
        <v>289</v>
      </c>
      <c r="VHN55" s="1567" t="s">
        <v>290</v>
      </c>
      <c r="VHO55" s="1567"/>
      <c r="VHP55" s="1567"/>
      <c r="VHQ55" s="1088" t="s">
        <v>289</v>
      </c>
      <c r="VHR55" s="1567" t="s">
        <v>290</v>
      </c>
      <c r="VHS55" s="1567"/>
      <c r="VHT55" s="1567"/>
      <c r="VHU55" s="1088" t="s">
        <v>289</v>
      </c>
      <c r="VHV55" s="1567" t="s">
        <v>290</v>
      </c>
      <c r="VHW55" s="1567"/>
      <c r="VHX55" s="1567"/>
      <c r="VHY55" s="1088" t="s">
        <v>289</v>
      </c>
      <c r="VHZ55" s="1567" t="s">
        <v>290</v>
      </c>
      <c r="VIA55" s="1567"/>
      <c r="VIB55" s="1567"/>
      <c r="VIC55" s="1088" t="s">
        <v>289</v>
      </c>
      <c r="VID55" s="1567" t="s">
        <v>290</v>
      </c>
      <c r="VIE55" s="1567"/>
      <c r="VIF55" s="1567"/>
      <c r="VIG55" s="1088" t="s">
        <v>289</v>
      </c>
      <c r="VIH55" s="1567" t="s">
        <v>290</v>
      </c>
      <c r="VII55" s="1567"/>
      <c r="VIJ55" s="1567"/>
      <c r="VIK55" s="1088" t="s">
        <v>289</v>
      </c>
      <c r="VIL55" s="1567" t="s">
        <v>290</v>
      </c>
      <c r="VIM55" s="1567"/>
      <c r="VIN55" s="1567"/>
      <c r="VIO55" s="1088" t="s">
        <v>289</v>
      </c>
      <c r="VIP55" s="1567" t="s">
        <v>290</v>
      </c>
      <c r="VIQ55" s="1567"/>
      <c r="VIR55" s="1567"/>
      <c r="VIS55" s="1088" t="s">
        <v>289</v>
      </c>
      <c r="VIT55" s="1567" t="s">
        <v>290</v>
      </c>
      <c r="VIU55" s="1567"/>
      <c r="VIV55" s="1567"/>
      <c r="VIW55" s="1088" t="s">
        <v>289</v>
      </c>
      <c r="VIX55" s="1567" t="s">
        <v>290</v>
      </c>
      <c r="VIY55" s="1567"/>
      <c r="VIZ55" s="1567"/>
      <c r="VJA55" s="1088" t="s">
        <v>289</v>
      </c>
      <c r="VJB55" s="1567" t="s">
        <v>290</v>
      </c>
      <c r="VJC55" s="1567"/>
      <c r="VJD55" s="1567"/>
      <c r="VJE55" s="1088" t="s">
        <v>289</v>
      </c>
      <c r="VJF55" s="1567" t="s">
        <v>290</v>
      </c>
      <c r="VJG55" s="1567"/>
      <c r="VJH55" s="1567"/>
      <c r="VJI55" s="1088" t="s">
        <v>289</v>
      </c>
      <c r="VJJ55" s="1567" t="s">
        <v>290</v>
      </c>
      <c r="VJK55" s="1567"/>
      <c r="VJL55" s="1567"/>
      <c r="VJM55" s="1088" t="s">
        <v>289</v>
      </c>
      <c r="VJN55" s="1567" t="s">
        <v>290</v>
      </c>
      <c r="VJO55" s="1567"/>
      <c r="VJP55" s="1567"/>
      <c r="VJQ55" s="1088" t="s">
        <v>289</v>
      </c>
      <c r="VJR55" s="1567" t="s">
        <v>290</v>
      </c>
      <c r="VJS55" s="1567"/>
      <c r="VJT55" s="1567"/>
      <c r="VJU55" s="1088" t="s">
        <v>289</v>
      </c>
      <c r="VJV55" s="1567" t="s">
        <v>290</v>
      </c>
      <c r="VJW55" s="1567"/>
      <c r="VJX55" s="1567"/>
      <c r="VJY55" s="1088" t="s">
        <v>289</v>
      </c>
      <c r="VJZ55" s="1567" t="s">
        <v>290</v>
      </c>
      <c r="VKA55" s="1567"/>
      <c r="VKB55" s="1567"/>
      <c r="VKC55" s="1088" t="s">
        <v>289</v>
      </c>
      <c r="VKD55" s="1567" t="s">
        <v>290</v>
      </c>
      <c r="VKE55" s="1567"/>
      <c r="VKF55" s="1567"/>
      <c r="VKG55" s="1088" t="s">
        <v>289</v>
      </c>
      <c r="VKH55" s="1567" t="s">
        <v>290</v>
      </c>
      <c r="VKI55" s="1567"/>
      <c r="VKJ55" s="1567"/>
      <c r="VKK55" s="1088" t="s">
        <v>289</v>
      </c>
      <c r="VKL55" s="1567" t="s">
        <v>290</v>
      </c>
      <c r="VKM55" s="1567"/>
      <c r="VKN55" s="1567"/>
      <c r="VKO55" s="1088" t="s">
        <v>289</v>
      </c>
      <c r="VKP55" s="1567" t="s">
        <v>290</v>
      </c>
      <c r="VKQ55" s="1567"/>
      <c r="VKR55" s="1567"/>
      <c r="VKS55" s="1088" t="s">
        <v>289</v>
      </c>
      <c r="VKT55" s="1567" t="s">
        <v>290</v>
      </c>
      <c r="VKU55" s="1567"/>
      <c r="VKV55" s="1567"/>
      <c r="VKW55" s="1088" t="s">
        <v>289</v>
      </c>
      <c r="VKX55" s="1567" t="s">
        <v>290</v>
      </c>
      <c r="VKY55" s="1567"/>
      <c r="VKZ55" s="1567"/>
      <c r="VLA55" s="1088" t="s">
        <v>289</v>
      </c>
      <c r="VLB55" s="1567" t="s">
        <v>290</v>
      </c>
      <c r="VLC55" s="1567"/>
      <c r="VLD55" s="1567"/>
      <c r="VLE55" s="1088" t="s">
        <v>289</v>
      </c>
      <c r="VLF55" s="1567" t="s">
        <v>290</v>
      </c>
      <c r="VLG55" s="1567"/>
      <c r="VLH55" s="1567"/>
      <c r="VLI55" s="1088" t="s">
        <v>289</v>
      </c>
      <c r="VLJ55" s="1567" t="s">
        <v>290</v>
      </c>
      <c r="VLK55" s="1567"/>
      <c r="VLL55" s="1567"/>
      <c r="VLM55" s="1088" t="s">
        <v>289</v>
      </c>
      <c r="VLN55" s="1567" t="s">
        <v>290</v>
      </c>
      <c r="VLO55" s="1567"/>
      <c r="VLP55" s="1567"/>
      <c r="VLQ55" s="1088" t="s">
        <v>289</v>
      </c>
      <c r="VLR55" s="1567" t="s">
        <v>290</v>
      </c>
      <c r="VLS55" s="1567"/>
      <c r="VLT55" s="1567"/>
      <c r="VLU55" s="1088" t="s">
        <v>289</v>
      </c>
      <c r="VLV55" s="1567" t="s">
        <v>290</v>
      </c>
      <c r="VLW55" s="1567"/>
      <c r="VLX55" s="1567"/>
      <c r="VLY55" s="1088" t="s">
        <v>289</v>
      </c>
      <c r="VLZ55" s="1567" t="s">
        <v>290</v>
      </c>
      <c r="VMA55" s="1567"/>
      <c r="VMB55" s="1567"/>
      <c r="VMC55" s="1088" t="s">
        <v>289</v>
      </c>
      <c r="VMD55" s="1567" t="s">
        <v>290</v>
      </c>
      <c r="VME55" s="1567"/>
      <c r="VMF55" s="1567"/>
      <c r="VMG55" s="1088" t="s">
        <v>289</v>
      </c>
      <c r="VMH55" s="1567" t="s">
        <v>290</v>
      </c>
      <c r="VMI55" s="1567"/>
      <c r="VMJ55" s="1567"/>
      <c r="VMK55" s="1088" t="s">
        <v>289</v>
      </c>
      <c r="VML55" s="1567" t="s">
        <v>290</v>
      </c>
      <c r="VMM55" s="1567"/>
      <c r="VMN55" s="1567"/>
      <c r="VMO55" s="1088" t="s">
        <v>289</v>
      </c>
      <c r="VMP55" s="1567" t="s">
        <v>290</v>
      </c>
      <c r="VMQ55" s="1567"/>
      <c r="VMR55" s="1567"/>
      <c r="VMS55" s="1088" t="s">
        <v>289</v>
      </c>
      <c r="VMT55" s="1567" t="s">
        <v>290</v>
      </c>
      <c r="VMU55" s="1567"/>
      <c r="VMV55" s="1567"/>
      <c r="VMW55" s="1088" t="s">
        <v>289</v>
      </c>
      <c r="VMX55" s="1567" t="s">
        <v>290</v>
      </c>
      <c r="VMY55" s="1567"/>
      <c r="VMZ55" s="1567"/>
      <c r="VNA55" s="1088" t="s">
        <v>289</v>
      </c>
      <c r="VNB55" s="1567" t="s">
        <v>290</v>
      </c>
      <c r="VNC55" s="1567"/>
      <c r="VND55" s="1567"/>
      <c r="VNE55" s="1088" t="s">
        <v>289</v>
      </c>
      <c r="VNF55" s="1567" t="s">
        <v>290</v>
      </c>
      <c r="VNG55" s="1567"/>
      <c r="VNH55" s="1567"/>
      <c r="VNI55" s="1088" t="s">
        <v>289</v>
      </c>
      <c r="VNJ55" s="1567" t="s">
        <v>290</v>
      </c>
      <c r="VNK55" s="1567"/>
      <c r="VNL55" s="1567"/>
      <c r="VNM55" s="1088" t="s">
        <v>289</v>
      </c>
      <c r="VNN55" s="1567" t="s">
        <v>290</v>
      </c>
      <c r="VNO55" s="1567"/>
      <c r="VNP55" s="1567"/>
      <c r="VNQ55" s="1088" t="s">
        <v>289</v>
      </c>
      <c r="VNR55" s="1567" t="s">
        <v>290</v>
      </c>
      <c r="VNS55" s="1567"/>
      <c r="VNT55" s="1567"/>
      <c r="VNU55" s="1088" t="s">
        <v>289</v>
      </c>
      <c r="VNV55" s="1567" t="s">
        <v>290</v>
      </c>
      <c r="VNW55" s="1567"/>
      <c r="VNX55" s="1567"/>
      <c r="VNY55" s="1088" t="s">
        <v>289</v>
      </c>
      <c r="VNZ55" s="1567" t="s">
        <v>290</v>
      </c>
      <c r="VOA55" s="1567"/>
      <c r="VOB55" s="1567"/>
      <c r="VOC55" s="1088" t="s">
        <v>289</v>
      </c>
      <c r="VOD55" s="1567" t="s">
        <v>290</v>
      </c>
      <c r="VOE55" s="1567"/>
      <c r="VOF55" s="1567"/>
      <c r="VOG55" s="1088" t="s">
        <v>289</v>
      </c>
      <c r="VOH55" s="1567" t="s">
        <v>290</v>
      </c>
      <c r="VOI55" s="1567"/>
      <c r="VOJ55" s="1567"/>
      <c r="VOK55" s="1088" t="s">
        <v>289</v>
      </c>
      <c r="VOL55" s="1567" t="s">
        <v>290</v>
      </c>
      <c r="VOM55" s="1567"/>
      <c r="VON55" s="1567"/>
      <c r="VOO55" s="1088" t="s">
        <v>289</v>
      </c>
      <c r="VOP55" s="1567" t="s">
        <v>290</v>
      </c>
      <c r="VOQ55" s="1567"/>
      <c r="VOR55" s="1567"/>
      <c r="VOS55" s="1088" t="s">
        <v>289</v>
      </c>
      <c r="VOT55" s="1567" t="s">
        <v>290</v>
      </c>
      <c r="VOU55" s="1567"/>
      <c r="VOV55" s="1567"/>
      <c r="VOW55" s="1088" t="s">
        <v>289</v>
      </c>
      <c r="VOX55" s="1567" t="s">
        <v>290</v>
      </c>
      <c r="VOY55" s="1567"/>
      <c r="VOZ55" s="1567"/>
      <c r="VPA55" s="1088" t="s">
        <v>289</v>
      </c>
      <c r="VPB55" s="1567" t="s">
        <v>290</v>
      </c>
      <c r="VPC55" s="1567"/>
      <c r="VPD55" s="1567"/>
      <c r="VPE55" s="1088" t="s">
        <v>289</v>
      </c>
      <c r="VPF55" s="1567" t="s">
        <v>290</v>
      </c>
      <c r="VPG55" s="1567"/>
      <c r="VPH55" s="1567"/>
      <c r="VPI55" s="1088" t="s">
        <v>289</v>
      </c>
      <c r="VPJ55" s="1567" t="s">
        <v>290</v>
      </c>
      <c r="VPK55" s="1567"/>
      <c r="VPL55" s="1567"/>
      <c r="VPM55" s="1088" t="s">
        <v>289</v>
      </c>
      <c r="VPN55" s="1567" t="s">
        <v>290</v>
      </c>
      <c r="VPO55" s="1567"/>
      <c r="VPP55" s="1567"/>
      <c r="VPQ55" s="1088" t="s">
        <v>289</v>
      </c>
      <c r="VPR55" s="1567" t="s">
        <v>290</v>
      </c>
      <c r="VPS55" s="1567"/>
      <c r="VPT55" s="1567"/>
      <c r="VPU55" s="1088" t="s">
        <v>289</v>
      </c>
      <c r="VPV55" s="1567" t="s">
        <v>290</v>
      </c>
      <c r="VPW55" s="1567"/>
      <c r="VPX55" s="1567"/>
      <c r="VPY55" s="1088" t="s">
        <v>289</v>
      </c>
      <c r="VPZ55" s="1567" t="s">
        <v>290</v>
      </c>
      <c r="VQA55" s="1567"/>
      <c r="VQB55" s="1567"/>
      <c r="VQC55" s="1088" t="s">
        <v>289</v>
      </c>
      <c r="VQD55" s="1567" t="s">
        <v>290</v>
      </c>
      <c r="VQE55" s="1567"/>
      <c r="VQF55" s="1567"/>
      <c r="VQG55" s="1088" t="s">
        <v>289</v>
      </c>
      <c r="VQH55" s="1567" t="s">
        <v>290</v>
      </c>
      <c r="VQI55" s="1567"/>
      <c r="VQJ55" s="1567"/>
      <c r="VQK55" s="1088" t="s">
        <v>289</v>
      </c>
      <c r="VQL55" s="1567" t="s">
        <v>290</v>
      </c>
      <c r="VQM55" s="1567"/>
      <c r="VQN55" s="1567"/>
      <c r="VQO55" s="1088" t="s">
        <v>289</v>
      </c>
      <c r="VQP55" s="1567" t="s">
        <v>290</v>
      </c>
      <c r="VQQ55" s="1567"/>
      <c r="VQR55" s="1567"/>
      <c r="VQS55" s="1088" t="s">
        <v>289</v>
      </c>
      <c r="VQT55" s="1567" t="s">
        <v>290</v>
      </c>
      <c r="VQU55" s="1567"/>
      <c r="VQV55" s="1567"/>
      <c r="VQW55" s="1088" t="s">
        <v>289</v>
      </c>
      <c r="VQX55" s="1567" t="s">
        <v>290</v>
      </c>
      <c r="VQY55" s="1567"/>
      <c r="VQZ55" s="1567"/>
      <c r="VRA55" s="1088" t="s">
        <v>289</v>
      </c>
      <c r="VRB55" s="1567" t="s">
        <v>290</v>
      </c>
      <c r="VRC55" s="1567"/>
      <c r="VRD55" s="1567"/>
      <c r="VRE55" s="1088" t="s">
        <v>289</v>
      </c>
      <c r="VRF55" s="1567" t="s">
        <v>290</v>
      </c>
      <c r="VRG55" s="1567"/>
      <c r="VRH55" s="1567"/>
      <c r="VRI55" s="1088" t="s">
        <v>289</v>
      </c>
      <c r="VRJ55" s="1567" t="s">
        <v>290</v>
      </c>
      <c r="VRK55" s="1567"/>
      <c r="VRL55" s="1567"/>
      <c r="VRM55" s="1088" t="s">
        <v>289</v>
      </c>
      <c r="VRN55" s="1567" t="s">
        <v>290</v>
      </c>
      <c r="VRO55" s="1567"/>
      <c r="VRP55" s="1567"/>
      <c r="VRQ55" s="1088" t="s">
        <v>289</v>
      </c>
      <c r="VRR55" s="1567" t="s">
        <v>290</v>
      </c>
      <c r="VRS55" s="1567"/>
      <c r="VRT55" s="1567"/>
      <c r="VRU55" s="1088" t="s">
        <v>289</v>
      </c>
      <c r="VRV55" s="1567" t="s">
        <v>290</v>
      </c>
      <c r="VRW55" s="1567"/>
      <c r="VRX55" s="1567"/>
      <c r="VRY55" s="1088" t="s">
        <v>289</v>
      </c>
      <c r="VRZ55" s="1567" t="s">
        <v>290</v>
      </c>
      <c r="VSA55" s="1567"/>
      <c r="VSB55" s="1567"/>
      <c r="VSC55" s="1088" t="s">
        <v>289</v>
      </c>
      <c r="VSD55" s="1567" t="s">
        <v>290</v>
      </c>
      <c r="VSE55" s="1567"/>
      <c r="VSF55" s="1567"/>
      <c r="VSG55" s="1088" t="s">
        <v>289</v>
      </c>
      <c r="VSH55" s="1567" t="s">
        <v>290</v>
      </c>
      <c r="VSI55" s="1567"/>
      <c r="VSJ55" s="1567"/>
      <c r="VSK55" s="1088" t="s">
        <v>289</v>
      </c>
      <c r="VSL55" s="1567" t="s">
        <v>290</v>
      </c>
      <c r="VSM55" s="1567"/>
      <c r="VSN55" s="1567"/>
      <c r="VSO55" s="1088" t="s">
        <v>289</v>
      </c>
      <c r="VSP55" s="1567" t="s">
        <v>290</v>
      </c>
      <c r="VSQ55" s="1567"/>
      <c r="VSR55" s="1567"/>
      <c r="VSS55" s="1088" t="s">
        <v>289</v>
      </c>
      <c r="VST55" s="1567" t="s">
        <v>290</v>
      </c>
      <c r="VSU55" s="1567"/>
      <c r="VSV55" s="1567"/>
      <c r="VSW55" s="1088" t="s">
        <v>289</v>
      </c>
      <c r="VSX55" s="1567" t="s">
        <v>290</v>
      </c>
      <c r="VSY55" s="1567"/>
      <c r="VSZ55" s="1567"/>
      <c r="VTA55" s="1088" t="s">
        <v>289</v>
      </c>
      <c r="VTB55" s="1567" t="s">
        <v>290</v>
      </c>
      <c r="VTC55" s="1567"/>
      <c r="VTD55" s="1567"/>
      <c r="VTE55" s="1088" t="s">
        <v>289</v>
      </c>
      <c r="VTF55" s="1567" t="s">
        <v>290</v>
      </c>
      <c r="VTG55" s="1567"/>
      <c r="VTH55" s="1567"/>
      <c r="VTI55" s="1088" t="s">
        <v>289</v>
      </c>
      <c r="VTJ55" s="1567" t="s">
        <v>290</v>
      </c>
      <c r="VTK55" s="1567"/>
      <c r="VTL55" s="1567"/>
      <c r="VTM55" s="1088" t="s">
        <v>289</v>
      </c>
      <c r="VTN55" s="1567" t="s">
        <v>290</v>
      </c>
      <c r="VTO55" s="1567"/>
      <c r="VTP55" s="1567"/>
      <c r="VTQ55" s="1088" t="s">
        <v>289</v>
      </c>
      <c r="VTR55" s="1567" t="s">
        <v>290</v>
      </c>
      <c r="VTS55" s="1567"/>
      <c r="VTT55" s="1567"/>
      <c r="VTU55" s="1088" t="s">
        <v>289</v>
      </c>
      <c r="VTV55" s="1567" t="s">
        <v>290</v>
      </c>
      <c r="VTW55" s="1567"/>
      <c r="VTX55" s="1567"/>
      <c r="VTY55" s="1088" t="s">
        <v>289</v>
      </c>
      <c r="VTZ55" s="1567" t="s">
        <v>290</v>
      </c>
      <c r="VUA55" s="1567"/>
      <c r="VUB55" s="1567"/>
      <c r="VUC55" s="1088" t="s">
        <v>289</v>
      </c>
      <c r="VUD55" s="1567" t="s">
        <v>290</v>
      </c>
      <c r="VUE55" s="1567"/>
      <c r="VUF55" s="1567"/>
      <c r="VUG55" s="1088" t="s">
        <v>289</v>
      </c>
      <c r="VUH55" s="1567" t="s">
        <v>290</v>
      </c>
      <c r="VUI55" s="1567"/>
      <c r="VUJ55" s="1567"/>
      <c r="VUK55" s="1088" t="s">
        <v>289</v>
      </c>
      <c r="VUL55" s="1567" t="s">
        <v>290</v>
      </c>
      <c r="VUM55" s="1567"/>
      <c r="VUN55" s="1567"/>
      <c r="VUO55" s="1088" t="s">
        <v>289</v>
      </c>
      <c r="VUP55" s="1567" t="s">
        <v>290</v>
      </c>
      <c r="VUQ55" s="1567"/>
      <c r="VUR55" s="1567"/>
      <c r="VUS55" s="1088" t="s">
        <v>289</v>
      </c>
      <c r="VUT55" s="1567" t="s">
        <v>290</v>
      </c>
      <c r="VUU55" s="1567"/>
      <c r="VUV55" s="1567"/>
      <c r="VUW55" s="1088" t="s">
        <v>289</v>
      </c>
      <c r="VUX55" s="1567" t="s">
        <v>290</v>
      </c>
      <c r="VUY55" s="1567"/>
      <c r="VUZ55" s="1567"/>
      <c r="VVA55" s="1088" t="s">
        <v>289</v>
      </c>
      <c r="VVB55" s="1567" t="s">
        <v>290</v>
      </c>
      <c r="VVC55" s="1567"/>
      <c r="VVD55" s="1567"/>
      <c r="VVE55" s="1088" t="s">
        <v>289</v>
      </c>
      <c r="VVF55" s="1567" t="s">
        <v>290</v>
      </c>
      <c r="VVG55" s="1567"/>
      <c r="VVH55" s="1567"/>
      <c r="VVI55" s="1088" t="s">
        <v>289</v>
      </c>
      <c r="VVJ55" s="1567" t="s">
        <v>290</v>
      </c>
      <c r="VVK55" s="1567"/>
      <c r="VVL55" s="1567"/>
      <c r="VVM55" s="1088" t="s">
        <v>289</v>
      </c>
      <c r="VVN55" s="1567" t="s">
        <v>290</v>
      </c>
      <c r="VVO55" s="1567"/>
      <c r="VVP55" s="1567"/>
      <c r="VVQ55" s="1088" t="s">
        <v>289</v>
      </c>
      <c r="VVR55" s="1567" t="s">
        <v>290</v>
      </c>
      <c r="VVS55" s="1567"/>
      <c r="VVT55" s="1567"/>
      <c r="VVU55" s="1088" t="s">
        <v>289</v>
      </c>
      <c r="VVV55" s="1567" t="s">
        <v>290</v>
      </c>
      <c r="VVW55" s="1567"/>
      <c r="VVX55" s="1567"/>
      <c r="VVY55" s="1088" t="s">
        <v>289</v>
      </c>
      <c r="VVZ55" s="1567" t="s">
        <v>290</v>
      </c>
      <c r="VWA55" s="1567"/>
      <c r="VWB55" s="1567"/>
      <c r="VWC55" s="1088" t="s">
        <v>289</v>
      </c>
      <c r="VWD55" s="1567" t="s">
        <v>290</v>
      </c>
      <c r="VWE55" s="1567"/>
      <c r="VWF55" s="1567"/>
      <c r="VWG55" s="1088" t="s">
        <v>289</v>
      </c>
      <c r="VWH55" s="1567" t="s">
        <v>290</v>
      </c>
      <c r="VWI55" s="1567"/>
      <c r="VWJ55" s="1567"/>
      <c r="VWK55" s="1088" t="s">
        <v>289</v>
      </c>
      <c r="VWL55" s="1567" t="s">
        <v>290</v>
      </c>
      <c r="VWM55" s="1567"/>
      <c r="VWN55" s="1567"/>
      <c r="VWO55" s="1088" t="s">
        <v>289</v>
      </c>
      <c r="VWP55" s="1567" t="s">
        <v>290</v>
      </c>
      <c r="VWQ55" s="1567"/>
      <c r="VWR55" s="1567"/>
      <c r="VWS55" s="1088" t="s">
        <v>289</v>
      </c>
      <c r="VWT55" s="1567" t="s">
        <v>290</v>
      </c>
      <c r="VWU55" s="1567"/>
      <c r="VWV55" s="1567"/>
      <c r="VWW55" s="1088" t="s">
        <v>289</v>
      </c>
      <c r="VWX55" s="1567" t="s">
        <v>290</v>
      </c>
      <c r="VWY55" s="1567"/>
      <c r="VWZ55" s="1567"/>
      <c r="VXA55" s="1088" t="s">
        <v>289</v>
      </c>
      <c r="VXB55" s="1567" t="s">
        <v>290</v>
      </c>
      <c r="VXC55" s="1567"/>
      <c r="VXD55" s="1567"/>
      <c r="VXE55" s="1088" t="s">
        <v>289</v>
      </c>
      <c r="VXF55" s="1567" t="s">
        <v>290</v>
      </c>
      <c r="VXG55" s="1567"/>
      <c r="VXH55" s="1567"/>
      <c r="VXI55" s="1088" t="s">
        <v>289</v>
      </c>
      <c r="VXJ55" s="1567" t="s">
        <v>290</v>
      </c>
      <c r="VXK55" s="1567"/>
      <c r="VXL55" s="1567"/>
      <c r="VXM55" s="1088" t="s">
        <v>289</v>
      </c>
      <c r="VXN55" s="1567" t="s">
        <v>290</v>
      </c>
      <c r="VXO55" s="1567"/>
      <c r="VXP55" s="1567"/>
      <c r="VXQ55" s="1088" t="s">
        <v>289</v>
      </c>
      <c r="VXR55" s="1567" t="s">
        <v>290</v>
      </c>
      <c r="VXS55" s="1567"/>
      <c r="VXT55" s="1567"/>
      <c r="VXU55" s="1088" t="s">
        <v>289</v>
      </c>
      <c r="VXV55" s="1567" t="s">
        <v>290</v>
      </c>
      <c r="VXW55" s="1567"/>
      <c r="VXX55" s="1567"/>
      <c r="VXY55" s="1088" t="s">
        <v>289</v>
      </c>
      <c r="VXZ55" s="1567" t="s">
        <v>290</v>
      </c>
      <c r="VYA55" s="1567"/>
      <c r="VYB55" s="1567"/>
      <c r="VYC55" s="1088" t="s">
        <v>289</v>
      </c>
      <c r="VYD55" s="1567" t="s">
        <v>290</v>
      </c>
      <c r="VYE55" s="1567"/>
      <c r="VYF55" s="1567"/>
      <c r="VYG55" s="1088" t="s">
        <v>289</v>
      </c>
      <c r="VYH55" s="1567" t="s">
        <v>290</v>
      </c>
      <c r="VYI55" s="1567"/>
      <c r="VYJ55" s="1567"/>
      <c r="VYK55" s="1088" t="s">
        <v>289</v>
      </c>
      <c r="VYL55" s="1567" t="s">
        <v>290</v>
      </c>
      <c r="VYM55" s="1567"/>
      <c r="VYN55" s="1567"/>
      <c r="VYO55" s="1088" t="s">
        <v>289</v>
      </c>
      <c r="VYP55" s="1567" t="s">
        <v>290</v>
      </c>
      <c r="VYQ55" s="1567"/>
      <c r="VYR55" s="1567"/>
      <c r="VYS55" s="1088" t="s">
        <v>289</v>
      </c>
      <c r="VYT55" s="1567" t="s">
        <v>290</v>
      </c>
      <c r="VYU55" s="1567"/>
      <c r="VYV55" s="1567"/>
      <c r="VYW55" s="1088" t="s">
        <v>289</v>
      </c>
      <c r="VYX55" s="1567" t="s">
        <v>290</v>
      </c>
      <c r="VYY55" s="1567"/>
      <c r="VYZ55" s="1567"/>
      <c r="VZA55" s="1088" t="s">
        <v>289</v>
      </c>
      <c r="VZB55" s="1567" t="s">
        <v>290</v>
      </c>
      <c r="VZC55" s="1567"/>
      <c r="VZD55" s="1567"/>
      <c r="VZE55" s="1088" t="s">
        <v>289</v>
      </c>
      <c r="VZF55" s="1567" t="s">
        <v>290</v>
      </c>
      <c r="VZG55" s="1567"/>
      <c r="VZH55" s="1567"/>
      <c r="VZI55" s="1088" t="s">
        <v>289</v>
      </c>
      <c r="VZJ55" s="1567" t="s">
        <v>290</v>
      </c>
      <c r="VZK55" s="1567"/>
      <c r="VZL55" s="1567"/>
      <c r="VZM55" s="1088" t="s">
        <v>289</v>
      </c>
      <c r="VZN55" s="1567" t="s">
        <v>290</v>
      </c>
      <c r="VZO55" s="1567"/>
      <c r="VZP55" s="1567"/>
      <c r="VZQ55" s="1088" t="s">
        <v>289</v>
      </c>
      <c r="VZR55" s="1567" t="s">
        <v>290</v>
      </c>
      <c r="VZS55" s="1567"/>
      <c r="VZT55" s="1567"/>
      <c r="VZU55" s="1088" t="s">
        <v>289</v>
      </c>
      <c r="VZV55" s="1567" t="s">
        <v>290</v>
      </c>
      <c r="VZW55" s="1567"/>
      <c r="VZX55" s="1567"/>
      <c r="VZY55" s="1088" t="s">
        <v>289</v>
      </c>
      <c r="VZZ55" s="1567" t="s">
        <v>290</v>
      </c>
      <c r="WAA55" s="1567"/>
      <c r="WAB55" s="1567"/>
      <c r="WAC55" s="1088" t="s">
        <v>289</v>
      </c>
      <c r="WAD55" s="1567" t="s">
        <v>290</v>
      </c>
      <c r="WAE55" s="1567"/>
      <c r="WAF55" s="1567"/>
      <c r="WAG55" s="1088" t="s">
        <v>289</v>
      </c>
      <c r="WAH55" s="1567" t="s">
        <v>290</v>
      </c>
      <c r="WAI55" s="1567"/>
      <c r="WAJ55" s="1567"/>
      <c r="WAK55" s="1088" t="s">
        <v>289</v>
      </c>
      <c r="WAL55" s="1567" t="s">
        <v>290</v>
      </c>
      <c r="WAM55" s="1567"/>
      <c r="WAN55" s="1567"/>
      <c r="WAO55" s="1088" t="s">
        <v>289</v>
      </c>
      <c r="WAP55" s="1567" t="s">
        <v>290</v>
      </c>
      <c r="WAQ55" s="1567"/>
      <c r="WAR55" s="1567"/>
      <c r="WAS55" s="1088" t="s">
        <v>289</v>
      </c>
      <c r="WAT55" s="1567" t="s">
        <v>290</v>
      </c>
      <c r="WAU55" s="1567"/>
      <c r="WAV55" s="1567"/>
      <c r="WAW55" s="1088" t="s">
        <v>289</v>
      </c>
      <c r="WAX55" s="1567" t="s">
        <v>290</v>
      </c>
      <c r="WAY55" s="1567"/>
      <c r="WAZ55" s="1567"/>
      <c r="WBA55" s="1088" t="s">
        <v>289</v>
      </c>
      <c r="WBB55" s="1567" t="s">
        <v>290</v>
      </c>
      <c r="WBC55" s="1567"/>
      <c r="WBD55" s="1567"/>
      <c r="WBE55" s="1088" t="s">
        <v>289</v>
      </c>
      <c r="WBF55" s="1567" t="s">
        <v>290</v>
      </c>
      <c r="WBG55" s="1567"/>
      <c r="WBH55" s="1567"/>
      <c r="WBI55" s="1088" t="s">
        <v>289</v>
      </c>
      <c r="WBJ55" s="1567" t="s">
        <v>290</v>
      </c>
      <c r="WBK55" s="1567"/>
      <c r="WBL55" s="1567"/>
      <c r="WBM55" s="1088" t="s">
        <v>289</v>
      </c>
      <c r="WBN55" s="1567" t="s">
        <v>290</v>
      </c>
      <c r="WBO55" s="1567"/>
      <c r="WBP55" s="1567"/>
      <c r="WBQ55" s="1088" t="s">
        <v>289</v>
      </c>
      <c r="WBR55" s="1567" t="s">
        <v>290</v>
      </c>
      <c r="WBS55" s="1567"/>
      <c r="WBT55" s="1567"/>
      <c r="WBU55" s="1088" t="s">
        <v>289</v>
      </c>
      <c r="WBV55" s="1567" t="s">
        <v>290</v>
      </c>
      <c r="WBW55" s="1567"/>
      <c r="WBX55" s="1567"/>
      <c r="WBY55" s="1088" t="s">
        <v>289</v>
      </c>
      <c r="WBZ55" s="1567" t="s">
        <v>290</v>
      </c>
      <c r="WCA55" s="1567"/>
      <c r="WCB55" s="1567"/>
      <c r="WCC55" s="1088" t="s">
        <v>289</v>
      </c>
      <c r="WCD55" s="1567" t="s">
        <v>290</v>
      </c>
      <c r="WCE55" s="1567"/>
      <c r="WCF55" s="1567"/>
      <c r="WCG55" s="1088" t="s">
        <v>289</v>
      </c>
      <c r="WCH55" s="1567" t="s">
        <v>290</v>
      </c>
      <c r="WCI55" s="1567"/>
      <c r="WCJ55" s="1567"/>
      <c r="WCK55" s="1088" t="s">
        <v>289</v>
      </c>
      <c r="WCL55" s="1567" t="s">
        <v>290</v>
      </c>
      <c r="WCM55" s="1567"/>
      <c r="WCN55" s="1567"/>
      <c r="WCO55" s="1088" t="s">
        <v>289</v>
      </c>
      <c r="WCP55" s="1567" t="s">
        <v>290</v>
      </c>
      <c r="WCQ55" s="1567"/>
      <c r="WCR55" s="1567"/>
      <c r="WCS55" s="1088" t="s">
        <v>289</v>
      </c>
      <c r="WCT55" s="1567" t="s">
        <v>290</v>
      </c>
      <c r="WCU55" s="1567"/>
      <c r="WCV55" s="1567"/>
      <c r="WCW55" s="1088" t="s">
        <v>289</v>
      </c>
      <c r="WCX55" s="1567" t="s">
        <v>290</v>
      </c>
      <c r="WCY55" s="1567"/>
      <c r="WCZ55" s="1567"/>
      <c r="WDA55" s="1088" t="s">
        <v>289</v>
      </c>
      <c r="WDB55" s="1567" t="s">
        <v>290</v>
      </c>
      <c r="WDC55" s="1567"/>
      <c r="WDD55" s="1567"/>
      <c r="WDE55" s="1088" t="s">
        <v>289</v>
      </c>
      <c r="WDF55" s="1567" t="s">
        <v>290</v>
      </c>
      <c r="WDG55" s="1567"/>
      <c r="WDH55" s="1567"/>
      <c r="WDI55" s="1088" t="s">
        <v>289</v>
      </c>
      <c r="WDJ55" s="1567" t="s">
        <v>290</v>
      </c>
      <c r="WDK55" s="1567"/>
      <c r="WDL55" s="1567"/>
      <c r="WDM55" s="1088" t="s">
        <v>289</v>
      </c>
      <c r="WDN55" s="1567" t="s">
        <v>290</v>
      </c>
      <c r="WDO55" s="1567"/>
      <c r="WDP55" s="1567"/>
      <c r="WDQ55" s="1088" t="s">
        <v>289</v>
      </c>
      <c r="WDR55" s="1567" t="s">
        <v>290</v>
      </c>
      <c r="WDS55" s="1567"/>
      <c r="WDT55" s="1567"/>
      <c r="WDU55" s="1088" t="s">
        <v>289</v>
      </c>
      <c r="WDV55" s="1567" t="s">
        <v>290</v>
      </c>
      <c r="WDW55" s="1567"/>
      <c r="WDX55" s="1567"/>
      <c r="WDY55" s="1088" t="s">
        <v>289</v>
      </c>
      <c r="WDZ55" s="1567" t="s">
        <v>290</v>
      </c>
      <c r="WEA55" s="1567"/>
      <c r="WEB55" s="1567"/>
      <c r="WEC55" s="1088" t="s">
        <v>289</v>
      </c>
      <c r="WED55" s="1567" t="s">
        <v>290</v>
      </c>
      <c r="WEE55" s="1567"/>
      <c r="WEF55" s="1567"/>
      <c r="WEG55" s="1088" t="s">
        <v>289</v>
      </c>
      <c r="WEH55" s="1567" t="s">
        <v>290</v>
      </c>
      <c r="WEI55" s="1567"/>
      <c r="WEJ55" s="1567"/>
      <c r="WEK55" s="1088" t="s">
        <v>289</v>
      </c>
      <c r="WEL55" s="1567" t="s">
        <v>290</v>
      </c>
      <c r="WEM55" s="1567"/>
      <c r="WEN55" s="1567"/>
      <c r="WEO55" s="1088" t="s">
        <v>289</v>
      </c>
      <c r="WEP55" s="1567" t="s">
        <v>290</v>
      </c>
      <c r="WEQ55" s="1567"/>
      <c r="WER55" s="1567"/>
      <c r="WES55" s="1088" t="s">
        <v>289</v>
      </c>
      <c r="WET55" s="1567" t="s">
        <v>290</v>
      </c>
      <c r="WEU55" s="1567"/>
      <c r="WEV55" s="1567"/>
      <c r="WEW55" s="1088" t="s">
        <v>289</v>
      </c>
      <c r="WEX55" s="1567" t="s">
        <v>290</v>
      </c>
      <c r="WEY55" s="1567"/>
      <c r="WEZ55" s="1567"/>
      <c r="WFA55" s="1088" t="s">
        <v>289</v>
      </c>
      <c r="WFB55" s="1567" t="s">
        <v>290</v>
      </c>
      <c r="WFC55" s="1567"/>
      <c r="WFD55" s="1567"/>
      <c r="WFE55" s="1088" t="s">
        <v>289</v>
      </c>
      <c r="WFF55" s="1567" t="s">
        <v>290</v>
      </c>
      <c r="WFG55" s="1567"/>
      <c r="WFH55" s="1567"/>
      <c r="WFI55" s="1088" t="s">
        <v>289</v>
      </c>
      <c r="WFJ55" s="1567" t="s">
        <v>290</v>
      </c>
      <c r="WFK55" s="1567"/>
      <c r="WFL55" s="1567"/>
      <c r="WFM55" s="1088" t="s">
        <v>289</v>
      </c>
      <c r="WFN55" s="1567" t="s">
        <v>290</v>
      </c>
      <c r="WFO55" s="1567"/>
      <c r="WFP55" s="1567"/>
      <c r="WFQ55" s="1088" t="s">
        <v>289</v>
      </c>
      <c r="WFR55" s="1567" t="s">
        <v>290</v>
      </c>
      <c r="WFS55" s="1567"/>
      <c r="WFT55" s="1567"/>
      <c r="WFU55" s="1088" t="s">
        <v>289</v>
      </c>
      <c r="WFV55" s="1567" t="s">
        <v>290</v>
      </c>
      <c r="WFW55" s="1567"/>
      <c r="WFX55" s="1567"/>
      <c r="WFY55" s="1088" t="s">
        <v>289</v>
      </c>
      <c r="WFZ55" s="1567" t="s">
        <v>290</v>
      </c>
      <c r="WGA55" s="1567"/>
      <c r="WGB55" s="1567"/>
      <c r="WGC55" s="1088" t="s">
        <v>289</v>
      </c>
      <c r="WGD55" s="1567" t="s">
        <v>290</v>
      </c>
      <c r="WGE55" s="1567"/>
      <c r="WGF55" s="1567"/>
      <c r="WGG55" s="1088" t="s">
        <v>289</v>
      </c>
      <c r="WGH55" s="1567" t="s">
        <v>290</v>
      </c>
      <c r="WGI55" s="1567"/>
      <c r="WGJ55" s="1567"/>
      <c r="WGK55" s="1088" t="s">
        <v>289</v>
      </c>
      <c r="WGL55" s="1567" t="s">
        <v>290</v>
      </c>
      <c r="WGM55" s="1567"/>
      <c r="WGN55" s="1567"/>
      <c r="WGO55" s="1088" t="s">
        <v>289</v>
      </c>
      <c r="WGP55" s="1567" t="s">
        <v>290</v>
      </c>
      <c r="WGQ55" s="1567"/>
      <c r="WGR55" s="1567"/>
      <c r="WGS55" s="1088" t="s">
        <v>289</v>
      </c>
      <c r="WGT55" s="1567" t="s">
        <v>290</v>
      </c>
      <c r="WGU55" s="1567"/>
      <c r="WGV55" s="1567"/>
      <c r="WGW55" s="1088" t="s">
        <v>289</v>
      </c>
      <c r="WGX55" s="1567" t="s">
        <v>290</v>
      </c>
      <c r="WGY55" s="1567"/>
      <c r="WGZ55" s="1567"/>
      <c r="WHA55" s="1088" t="s">
        <v>289</v>
      </c>
      <c r="WHB55" s="1567" t="s">
        <v>290</v>
      </c>
      <c r="WHC55" s="1567"/>
      <c r="WHD55" s="1567"/>
      <c r="WHE55" s="1088" t="s">
        <v>289</v>
      </c>
      <c r="WHF55" s="1567" t="s">
        <v>290</v>
      </c>
      <c r="WHG55" s="1567"/>
      <c r="WHH55" s="1567"/>
      <c r="WHI55" s="1088" t="s">
        <v>289</v>
      </c>
      <c r="WHJ55" s="1567" t="s">
        <v>290</v>
      </c>
      <c r="WHK55" s="1567"/>
      <c r="WHL55" s="1567"/>
      <c r="WHM55" s="1088" t="s">
        <v>289</v>
      </c>
      <c r="WHN55" s="1567" t="s">
        <v>290</v>
      </c>
      <c r="WHO55" s="1567"/>
      <c r="WHP55" s="1567"/>
      <c r="WHQ55" s="1088" t="s">
        <v>289</v>
      </c>
      <c r="WHR55" s="1567" t="s">
        <v>290</v>
      </c>
      <c r="WHS55" s="1567"/>
      <c r="WHT55" s="1567"/>
      <c r="WHU55" s="1088" t="s">
        <v>289</v>
      </c>
      <c r="WHV55" s="1567" t="s">
        <v>290</v>
      </c>
      <c r="WHW55" s="1567"/>
      <c r="WHX55" s="1567"/>
      <c r="WHY55" s="1088" t="s">
        <v>289</v>
      </c>
      <c r="WHZ55" s="1567" t="s">
        <v>290</v>
      </c>
      <c r="WIA55" s="1567"/>
      <c r="WIB55" s="1567"/>
      <c r="WIC55" s="1088" t="s">
        <v>289</v>
      </c>
      <c r="WID55" s="1567" t="s">
        <v>290</v>
      </c>
      <c r="WIE55" s="1567"/>
      <c r="WIF55" s="1567"/>
      <c r="WIG55" s="1088" t="s">
        <v>289</v>
      </c>
      <c r="WIH55" s="1567" t="s">
        <v>290</v>
      </c>
      <c r="WII55" s="1567"/>
      <c r="WIJ55" s="1567"/>
      <c r="WIK55" s="1088" t="s">
        <v>289</v>
      </c>
      <c r="WIL55" s="1567" t="s">
        <v>290</v>
      </c>
      <c r="WIM55" s="1567"/>
      <c r="WIN55" s="1567"/>
      <c r="WIO55" s="1088" t="s">
        <v>289</v>
      </c>
      <c r="WIP55" s="1567" t="s">
        <v>290</v>
      </c>
      <c r="WIQ55" s="1567"/>
      <c r="WIR55" s="1567"/>
      <c r="WIS55" s="1088" t="s">
        <v>289</v>
      </c>
      <c r="WIT55" s="1567" t="s">
        <v>290</v>
      </c>
      <c r="WIU55" s="1567"/>
      <c r="WIV55" s="1567"/>
      <c r="WIW55" s="1088" t="s">
        <v>289</v>
      </c>
      <c r="WIX55" s="1567" t="s">
        <v>290</v>
      </c>
      <c r="WIY55" s="1567"/>
      <c r="WIZ55" s="1567"/>
      <c r="WJA55" s="1088" t="s">
        <v>289</v>
      </c>
      <c r="WJB55" s="1567" t="s">
        <v>290</v>
      </c>
      <c r="WJC55" s="1567"/>
      <c r="WJD55" s="1567"/>
      <c r="WJE55" s="1088" t="s">
        <v>289</v>
      </c>
      <c r="WJF55" s="1567" t="s">
        <v>290</v>
      </c>
      <c r="WJG55" s="1567"/>
      <c r="WJH55" s="1567"/>
      <c r="WJI55" s="1088" t="s">
        <v>289</v>
      </c>
      <c r="WJJ55" s="1567" t="s">
        <v>290</v>
      </c>
      <c r="WJK55" s="1567"/>
      <c r="WJL55" s="1567"/>
      <c r="WJM55" s="1088" t="s">
        <v>289</v>
      </c>
      <c r="WJN55" s="1567" t="s">
        <v>290</v>
      </c>
      <c r="WJO55" s="1567"/>
      <c r="WJP55" s="1567"/>
      <c r="WJQ55" s="1088" t="s">
        <v>289</v>
      </c>
      <c r="WJR55" s="1567" t="s">
        <v>290</v>
      </c>
      <c r="WJS55" s="1567"/>
      <c r="WJT55" s="1567"/>
      <c r="WJU55" s="1088" t="s">
        <v>289</v>
      </c>
      <c r="WJV55" s="1567" t="s">
        <v>290</v>
      </c>
      <c r="WJW55" s="1567"/>
      <c r="WJX55" s="1567"/>
      <c r="WJY55" s="1088" t="s">
        <v>289</v>
      </c>
      <c r="WJZ55" s="1567" t="s">
        <v>290</v>
      </c>
      <c r="WKA55" s="1567"/>
      <c r="WKB55" s="1567"/>
      <c r="WKC55" s="1088" t="s">
        <v>289</v>
      </c>
      <c r="WKD55" s="1567" t="s">
        <v>290</v>
      </c>
      <c r="WKE55" s="1567"/>
      <c r="WKF55" s="1567"/>
      <c r="WKG55" s="1088" t="s">
        <v>289</v>
      </c>
      <c r="WKH55" s="1567" t="s">
        <v>290</v>
      </c>
      <c r="WKI55" s="1567"/>
      <c r="WKJ55" s="1567"/>
      <c r="WKK55" s="1088" t="s">
        <v>289</v>
      </c>
      <c r="WKL55" s="1567" t="s">
        <v>290</v>
      </c>
      <c r="WKM55" s="1567"/>
      <c r="WKN55" s="1567"/>
      <c r="WKO55" s="1088" t="s">
        <v>289</v>
      </c>
      <c r="WKP55" s="1567" t="s">
        <v>290</v>
      </c>
      <c r="WKQ55" s="1567"/>
      <c r="WKR55" s="1567"/>
      <c r="WKS55" s="1088" t="s">
        <v>289</v>
      </c>
      <c r="WKT55" s="1567" t="s">
        <v>290</v>
      </c>
      <c r="WKU55" s="1567"/>
      <c r="WKV55" s="1567"/>
      <c r="WKW55" s="1088" t="s">
        <v>289</v>
      </c>
      <c r="WKX55" s="1567" t="s">
        <v>290</v>
      </c>
      <c r="WKY55" s="1567"/>
      <c r="WKZ55" s="1567"/>
      <c r="WLA55" s="1088" t="s">
        <v>289</v>
      </c>
      <c r="WLB55" s="1567" t="s">
        <v>290</v>
      </c>
      <c r="WLC55" s="1567"/>
      <c r="WLD55" s="1567"/>
      <c r="WLE55" s="1088" t="s">
        <v>289</v>
      </c>
      <c r="WLF55" s="1567" t="s">
        <v>290</v>
      </c>
      <c r="WLG55" s="1567"/>
      <c r="WLH55" s="1567"/>
      <c r="WLI55" s="1088" t="s">
        <v>289</v>
      </c>
      <c r="WLJ55" s="1567" t="s">
        <v>290</v>
      </c>
      <c r="WLK55" s="1567"/>
      <c r="WLL55" s="1567"/>
      <c r="WLM55" s="1088" t="s">
        <v>289</v>
      </c>
      <c r="WLN55" s="1567" t="s">
        <v>290</v>
      </c>
      <c r="WLO55" s="1567"/>
      <c r="WLP55" s="1567"/>
      <c r="WLQ55" s="1088" t="s">
        <v>289</v>
      </c>
      <c r="WLR55" s="1567" t="s">
        <v>290</v>
      </c>
      <c r="WLS55" s="1567"/>
      <c r="WLT55" s="1567"/>
      <c r="WLU55" s="1088" t="s">
        <v>289</v>
      </c>
      <c r="WLV55" s="1567" t="s">
        <v>290</v>
      </c>
      <c r="WLW55" s="1567"/>
      <c r="WLX55" s="1567"/>
      <c r="WLY55" s="1088" t="s">
        <v>289</v>
      </c>
      <c r="WLZ55" s="1567" t="s">
        <v>290</v>
      </c>
      <c r="WMA55" s="1567"/>
      <c r="WMB55" s="1567"/>
      <c r="WMC55" s="1088" t="s">
        <v>289</v>
      </c>
      <c r="WMD55" s="1567" t="s">
        <v>290</v>
      </c>
      <c r="WME55" s="1567"/>
      <c r="WMF55" s="1567"/>
      <c r="WMG55" s="1088" t="s">
        <v>289</v>
      </c>
      <c r="WMH55" s="1567" t="s">
        <v>290</v>
      </c>
      <c r="WMI55" s="1567"/>
      <c r="WMJ55" s="1567"/>
      <c r="WMK55" s="1088" t="s">
        <v>289</v>
      </c>
      <c r="WML55" s="1567" t="s">
        <v>290</v>
      </c>
      <c r="WMM55" s="1567"/>
      <c r="WMN55" s="1567"/>
      <c r="WMO55" s="1088" t="s">
        <v>289</v>
      </c>
      <c r="WMP55" s="1567" t="s">
        <v>290</v>
      </c>
      <c r="WMQ55" s="1567"/>
      <c r="WMR55" s="1567"/>
      <c r="WMS55" s="1088" t="s">
        <v>289</v>
      </c>
      <c r="WMT55" s="1567" t="s">
        <v>290</v>
      </c>
      <c r="WMU55" s="1567"/>
      <c r="WMV55" s="1567"/>
      <c r="WMW55" s="1088" t="s">
        <v>289</v>
      </c>
      <c r="WMX55" s="1567" t="s">
        <v>290</v>
      </c>
      <c r="WMY55" s="1567"/>
      <c r="WMZ55" s="1567"/>
      <c r="WNA55" s="1088" t="s">
        <v>289</v>
      </c>
      <c r="WNB55" s="1567" t="s">
        <v>290</v>
      </c>
      <c r="WNC55" s="1567"/>
      <c r="WND55" s="1567"/>
      <c r="WNE55" s="1088" t="s">
        <v>289</v>
      </c>
      <c r="WNF55" s="1567" t="s">
        <v>290</v>
      </c>
      <c r="WNG55" s="1567"/>
      <c r="WNH55" s="1567"/>
      <c r="WNI55" s="1088" t="s">
        <v>289</v>
      </c>
      <c r="WNJ55" s="1567" t="s">
        <v>290</v>
      </c>
      <c r="WNK55" s="1567"/>
      <c r="WNL55" s="1567"/>
      <c r="WNM55" s="1088" t="s">
        <v>289</v>
      </c>
      <c r="WNN55" s="1567" t="s">
        <v>290</v>
      </c>
      <c r="WNO55" s="1567"/>
      <c r="WNP55" s="1567"/>
      <c r="WNQ55" s="1088" t="s">
        <v>289</v>
      </c>
      <c r="WNR55" s="1567" t="s">
        <v>290</v>
      </c>
      <c r="WNS55" s="1567"/>
      <c r="WNT55" s="1567"/>
      <c r="WNU55" s="1088" t="s">
        <v>289</v>
      </c>
      <c r="WNV55" s="1567" t="s">
        <v>290</v>
      </c>
      <c r="WNW55" s="1567"/>
      <c r="WNX55" s="1567"/>
      <c r="WNY55" s="1088" t="s">
        <v>289</v>
      </c>
      <c r="WNZ55" s="1567" t="s">
        <v>290</v>
      </c>
      <c r="WOA55" s="1567"/>
      <c r="WOB55" s="1567"/>
      <c r="WOC55" s="1088" t="s">
        <v>289</v>
      </c>
      <c r="WOD55" s="1567" t="s">
        <v>290</v>
      </c>
      <c r="WOE55" s="1567"/>
      <c r="WOF55" s="1567"/>
      <c r="WOG55" s="1088" t="s">
        <v>289</v>
      </c>
      <c r="WOH55" s="1567" t="s">
        <v>290</v>
      </c>
      <c r="WOI55" s="1567"/>
      <c r="WOJ55" s="1567"/>
      <c r="WOK55" s="1088" t="s">
        <v>289</v>
      </c>
      <c r="WOL55" s="1567" t="s">
        <v>290</v>
      </c>
      <c r="WOM55" s="1567"/>
      <c r="WON55" s="1567"/>
      <c r="WOO55" s="1088" t="s">
        <v>289</v>
      </c>
      <c r="WOP55" s="1567" t="s">
        <v>290</v>
      </c>
      <c r="WOQ55" s="1567"/>
      <c r="WOR55" s="1567"/>
      <c r="WOS55" s="1088" t="s">
        <v>289</v>
      </c>
      <c r="WOT55" s="1567" t="s">
        <v>290</v>
      </c>
      <c r="WOU55" s="1567"/>
      <c r="WOV55" s="1567"/>
      <c r="WOW55" s="1088" t="s">
        <v>289</v>
      </c>
      <c r="WOX55" s="1567" t="s">
        <v>290</v>
      </c>
      <c r="WOY55" s="1567"/>
      <c r="WOZ55" s="1567"/>
      <c r="WPA55" s="1088" t="s">
        <v>289</v>
      </c>
      <c r="WPB55" s="1567" t="s">
        <v>290</v>
      </c>
      <c r="WPC55" s="1567"/>
      <c r="WPD55" s="1567"/>
      <c r="WPE55" s="1088" t="s">
        <v>289</v>
      </c>
      <c r="WPF55" s="1567" t="s">
        <v>290</v>
      </c>
      <c r="WPG55" s="1567"/>
      <c r="WPH55" s="1567"/>
      <c r="WPI55" s="1088" t="s">
        <v>289</v>
      </c>
      <c r="WPJ55" s="1567" t="s">
        <v>290</v>
      </c>
      <c r="WPK55" s="1567"/>
      <c r="WPL55" s="1567"/>
      <c r="WPM55" s="1088" t="s">
        <v>289</v>
      </c>
      <c r="WPN55" s="1567" t="s">
        <v>290</v>
      </c>
      <c r="WPO55" s="1567"/>
      <c r="WPP55" s="1567"/>
      <c r="WPQ55" s="1088" t="s">
        <v>289</v>
      </c>
      <c r="WPR55" s="1567" t="s">
        <v>290</v>
      </c>
      <c r="WPS55" s="1567"/>
      <c r="WPT55" s="1567"/>
      <c r="WPU55" s="1088" t="s">
        <v>289</v>
      </c>
      <c r="WPV55" s="1567" t="s">
        <v>290</v>
      </c>
      <c r="WPW55" s="1567"/>
      <c r="WPX55" s="1567"/>
      <c r="WPY55" s="1088" t="s">
        <v>289</v>
      </c>
      <c r="WPZ55" s="1567" t="s">
        <v>290</v>
      </c>
      <c r="WQA55" s="1567"/>
      <c r="WQB55" s="1567"/>
      <c r="WQC55" s="1088" t="s">
        <v>289</v>
      </c>
      <c r="WQD55" s="1567" t="s">
        <v>290</v>
      </c>
      <c r="WQE55" s="1567"/>
      <c r="WQF55" s="1567"/>
      <c r="WQG55" s="1088" t="s">
        <v>289</v>
      </c>
      <c r="WQH55" s="1567" t="s">
        <v>290</v>
      </c>
      <c r="WQI55" s="1567"/>
      <c r="WQJ55" s="1567"/>
      <c r="WQK55" s="1088" t="s">
        <v>289</v>
      </c>
      <c r="WQL55" s="1567" t="s">
        <v>290</v>
      </c>
      <c r="WQM55" s="1567"/>
      <c r="WQN55" s="1567"/>
      <c r="WQO55" s="1088" t="s">
        <v>289</v>
      </c>
      <c r="WQP55" s="1567" t="s">
        <v>290</v>
      </c>
      <c r="WQQ55" s="1567"/>
      <c r="WQR55" s="1567"/>
      <c r="WQS55" s="1088" t="s">
        <v>289</v>
      </c>
      <c r="WQT55" s="1567" t="s">
        <v>290</v>
      </c>
      <c r="WQU55" s="1567"/>
      <c r="WQV55" s="1567"/>
      <c r="WQW55" s="1088" t="s">
        <v>289</v>
      </c>
      <c r="WQX55" s="1567" t="s">
        <v>290</v>
      </c>
      <c r="WQY55" s="1567"/>
      <c r="WQZ55" s="1567"/>
      <c r="WRA55" s="1088" t="s">
        <v>289</v>
      </c>
      <c r="WRB55" s="1567" t="s">
        <v>290</v>
      </c>
      <c r="WRC55" s="1567"/>
      <c r="WRD55" s="1567"/>
      <c r="WRE55" s="1088" t="s">
        <v>289</v>
      </c>
      <c r="WRF55" s="1567" t="s">
        <v>290</v>
      </c>
      <c r="WRG55" s="1567"/>
      <c r="WRH55" s="1567"/>
      <c r="WRI55" s="1088" t="s">
        <v>289</v>
      </c>
      <c r="WRJ55" s="1567" t="s">
        <v>290</v>
      </c>
      <c r="WRK55" s="1567"/>
      <c r="WRL55" s="1567"/>
      <c r="WRM55" s="1088" t="s">
        <v>289</v>
      </c>
      <c r="WRN55" s="1567" t="s">
        <v>290</v>
      </c>
      <c r="WRO55" s="1567"/>
      <c r="WRP55" s="1567"/>
      <c r="WRQ55" s="1088" t="s">
        <v>289</v>
      </c>
      <c r="WRR55" s="1567" t="s">
        <v>290</v>
      </c>
      <c r="WRS55" s="1567"/>
      <c r="WRT55" s="1567"/>
      <c r="WRU55" s="1088" t="s">
        <v>289</v>
      </c>
      <c r="WRV55" s="1567" t="s">
        <v>290</v>
      </c>
      <c r="WRW55" s="1567"/>
      <c r="WRX55" s="1567"/>
      <c r="WRY55" s="1088" t="s">
        <v>289</v>
      </c>
      <c r="WRZ55" s="1567" t="s">
        <v>290</v>
      </c>
      <c r="WSA55" s="1567"/>
      <c r="WSB55" s="1567"/>
      <c r="WSC55" s="1088" t="s">
        <v>289</v>
      </c>
      <c r="WSD55" s="1567" t="s">
        <v>290</v>
      </c>
      <c r="WSE55" s="1567"/>
      <c r="WSF55" s="1567"/>
      <c r="WSG55" s="1088" t="s">
        <v>289</v>
      </c>
      <c r="WSH55" s="1567" t="s">
        <v>290</v>
      </c>
      <c r="WSI55" s="1567"/>
      <c r="WSJ55" s="1567"/>
      <c r="WSK55" s="1088" t="s">
        <v>289</v>
      </c>
      <c r="WSL55" s="1567" t="s">
        <v>290</v>
      </c>
      <c r="WSM55" s="1567"/>
      <c r="WSN55" s="1567"/>
      <c r="WSO55" s="1088" t="s">
        <v>289</v>
      </c>
      <c r="WSP55" s="1567" t="s">
        <v>290</v>
      </c>
      <c r="WSQ55" s="1567"/>
      <c r="WSR55" s="1567"/>
      <c r="WSS55" s="1088" t="s">
        <v>289</v>
      </c>
      <c r="WST55" s="1567" t="s">
        <v>290</v>
      </c>
      <c r="WSU55" s="1567"/>
      <c r="WSV55" s="1567"/>
      <c r="WSW55" s="1088" t="s">
        <v>289</v>
      </c>
      <c r="WSX55" s="1567" t="s">
        <v>290</v>
      </c>
      <c r="WSY55" s="1567"/>
      <c r="WSZ55" s="1567"/>
      <c r="WTA55" s="1088" t="s">
        <v>289</v>
      </c>
      <c r="WTB55" s="1567" t="s">
        <v>290</v>
      </c>
      <c r="WTC55" s="1567"/>
      <c r="WTD55" s="1567"/>
      <c r="WTE55" s="1088" t="s">
        <v>289</v>
      </c>
      <c r="WTF55" s="1567" t="s">
        <v>290</v>
      </c>
      <c r="WTG55" s="1567"/>
      <c r="WTH55" s="1567"/>
      <c r="WTI55" s="1088" t="s">
        <v>289</v>
      </c>
      <c r="WTJ55" s="1567" t="s">
        <v>290</v>
      </c>
      <c r="WTK55" s="1567"/>
      <c r="WTL55" s="1567"/>
      <c r="WTM55" s="1088" t="s">
        <v>289</v>
      </c>
      <c r="WTN55" s="1567" t="s">
        <v>290</v>
      </c>
      <c r="WTO55" s="1567"/>
      <c r="WTP55" s="1567"/>
      <c r="WTQ55" s="1088" t="s">
        <v>289</v>
      </c>
      <c r="WTR55" s="1567" t="s">
        <v>290</v>
      </c>
      <c r="WTS55" s="1567"/>
      <c r="WTT55" s="1567"/>
      <c r="WTU55" s="1088" t="s">
        <v>289</v>
      </c>
      <c r="WTV55" s="1567" t="s">
        <v>290</v>
      </c>
      <c r="WTW55" s="1567"/>
      <c r="WTX55" s="1567"/>
      <c r="WTY55" s="1088" t="s">
        <v>289</v>
      </c>
      <c r="WTZ55" s="1567" t="s">
        <v>290</v>
      </c>
      <c r="WUA55" s="1567"/>
      <c r="WUB55" s="1567"/>
      <c r="WUC55" s="1088" t="s">
        <v>289</v>
      </c>
      <c r="WUD55" s="1567" t="s">
        <v>290</v>
      </c>
      <c r="WUE55" s="1567"/>
      <c r="WUF55" s="1567"/>
      <c r="WUG55" s="1088" t="s">
        <v>289</v>
      </c>
      <c r="WUH55" s="1567" t="s">
        <v>290</v>
      </c>
      <c r="WUI55" s="1567"/>
      <c r="WUJ55" s="1567"/>
      <c r="WUK55" s="1088" t="s">
        <v>289</v>
      </c>
      <c r="WUL55" s="1567" t="s">
        <v>290</v>
      </c>
      <c r="WUM55" s="1567"/>
      <c r="WUN55" s="1567"/>
      <c r="WUO55" s="1088" t="s">
        <v>289</v>
      </c>
      <c r="WUP55" s="1567" t="s">
        <v>290</v>
      </c>
      <c r="WUQ55" s="1567"/>
      <c r="WUR55" s="1567"/>
      <c r="WUS55" s="1088" t="s">
        <v>289</v>
      </c>
      <c r="WUT55" s="1567" t="s">
        <v>290</v>
      </c>
      <c r="WUU55" s="1567"/>
      <c r="WUV55" s="1567"/>
      <c r="WUW55" s="1088" t="s">
        <v>289</v>
      </c>
      <c r="WUX55" s="1567" t="s">
        <v>290</v>
      </c>
      <c r="WUY55" s="1567"/>
      <c r="WUZ55" s="1567"/>
      <c r="WVA55" s="1088" t="s">
        <v>289</v>
      </c>
      <c r="WVB55" s="1567" t="s">
        <v>290</v>
      </c>
      <c r="WVC55" s="1567"/>
      <c r="WVD55" s="1567"/>
      <c r="WVE55" s="1088" t="s">
        <v>289</v>
      </c>
      <c r="WVF55" s="1567" t="s">
        <v>290</v>
      </c>
      <c r="WVG55" s="1567"/>
      <c r="WVH55" s="1567"/>
      <c r="WVI55" s="1088" t="s">
        <v>289</v>
      </c>
      <c r="WVJ55" s="1567" t="s">
        <v>290</v>
      </c>
      <c r="WVK55" s="1567"/>
      <c r="WVL55" s="1567"/>
      <c r="WVM55" s="1088" t="s">
        <v>289</v>
      </c>
      <c r="WVN55" s="1567" t="s">
        <v>290</v>
      </c>
      <c r="WVO55" s="1567"/>
      <c r="WVP55" s="1567"/>
      <c r="WVQ55" s="1088" t="s">
        <v>289</v>
      </c>
      <c r="WVR55" s="1567" t="s">
        <v>290</v>
      </c>
      <c r="WVS55" s="1567"/>
      <c r="WVT55" s="1567"/>
      <c r="WVU55" s="1088" t="s">
        <v>289</v>
      </c>
      <c r="WVV55" s="1567" t="s">
        <v>290</v>
      </c>
      <c r="WVW55" s="1567"/>
      <c r="WVX55" s="1567"/>
      <c r="WVY55" s="1088" t="s">
        <v>289</v>
      </c>
      <c r="WVZ55" s="1567" t="s">
        <v>290</v>
      </c>
      <c r="WWA55" s="1567"/>
      <c r="WWB55" s="1567"/>
      <c r="WWC55" s="1088" t="s">
        <v>289</v>
      </c>
      <c r="WWD55" s="1567" t="s">
        <v>290</v>
      </c>
      <c r="WWE55" s="1567"/>
      <c r="WWF55" s="1567"/>
      <c r="WWG55" s="1088" t="s">
        <v>289</v>
      </c>
      <c r="WWH55" s="1567" t="s">
        <v>290</v>
      </c>
      <c r="WWI55" s="1567"/>
      <c r="WWJ55" s="1567"/>
      <c r="WWK55" s="1088" t="s">
        <v>289</v>
      </c>
      <c r="WWL55" s="1567" t="s">
        <v>290</v>
      </c>
      <c r="WWM55" s="1567"/>
      <c r="WWN55" s="1567"/>
      <c r="WWO55" s="1088" t="s">
        <v>289</v>
      </c>
      <c r="WWP55" s="1567" t="s">
        <v>290</v>
      </c>
      <c r="WWQ55" s="1567"/>
      <c r="WWR55" s="1567"/>
      <c r="WWS55" s="1088" t="s">
        <v>289</v>
      </c>
      <c r="WWT55" s="1567" t="s">
        <v>290</v>
      </c>
      <c r="WWU55" s="1567"/>
      <c r="WWV55" s="1567"/>
      <c r="WWW55" s="1088" t="s">
        <v>289</v>
      </c>
      <c r="WWX55" s="1567" t="s">
        <v>290</v>
      </c>
      <c r="WWY55" s="1567"/>
      <c r="WWZ55" s="1567"/>
      <c r="WXA55" s="1088" t="s">
        <v>289</v>
      </c>
      <c r="WXB55" s="1567" t="s">
        <v>290</v>
      </c>
      <c r="WXC55" s="1567"/>
      <c r="WXD55" s="1567"/>
      <c r="WXE55" s="1088" t="s">
        <v>289</v>
      </c>
      <c r="WXF55" s="1567" t="s">
        <v>290</v>
      </c>
      <c r="WXG55" s="1567"/>
      <c r="WXH55" s="1567"/>
      <c r="WXI55" s="1088" t="s">
        <v>289</v>
      </c>
      <c r="WXJ55" s="1567" t="s">
        <v>290</v>
      </c>
      <c r="WXK55" s="1567"/>
      <c r="WXL55" s="1567"/>
      <c r="WXM55" s="1088" t="s">
        <v>289</v>
      </c>
      <c r="WXN55" s="1567" t="s">
        <v>290</v>
      </c>
      <c r="WXO55" s="1567"/>
      <c r="WXP55" s="1567"/>
      <c r="WXQ55" s="1088" t="s">
        <v>289</v>
      </c>
      <c r="WXR55" s="1567" t="s">
        <v>290</v>
      </c>
      <c r="WXS55" s="1567"/>
      <c r="WXT55" s="1567"/>
      <c r="WXU55" s="1088" t="s">
        <v>289</v>
      </c>
      <c r="WXV55" s="1567" t="s">
        <v>290</v>
      </c>
      <c r="WXW55" s="1567"/>
      <c r="WXX55" s="1567"/>
      <c r="WXY55" s="1088" t="s">
        <v>289</v>
      </c>
      <c r="WXZ55" s="1567" t="s">
        <v>290</v>
      </c>
      <c r="WYA55" s="1567"/>
      <c r="WYB55" s="1567"/>
      <c r="WYC55" s="1088" t="s">
        <v>289</v>
      </c>
      <c r="WYD55" s="1567" t="s">
        <v>290</v>
      </c>
      <c r="WYE55" s="1567"/>
      <c r="WYF55" s="1567"/>
      <c r="WYG55" s="1088" t="s">
        <v>289</v>
      </c>
      <c r="WYH55" s="1567" t="s">
        <v>290</v>
      </c>
      <c r="WYI55" s="1567"/>
      <c r="WYJ55" s="1567"/>
      <c r="WYK55" s="1088" t="s">
        <v>289</v>
      </c>
      <c r="WYL55" s="1567" t="s">
        <v>290</v>
      </c>
      <c r="WYM55" s="1567"/>
      <c r="WYN55" s="1567"/>
      <c r="WYO55" s="1088" t="s">
        <v>289</v>
      </c>
      <c r="WYP55" s="1567" t="s">
        <v>290</v>
      </c>
      <c r="WYQ55" s="1567"/>
      <c r="WYR55" s="1567"/>
      <c r="WYS55" s="1088" t="s">
        <v>289</v>
      </c>
      <c r="WYT55" s="1567" t="s">
        <v>290</v>
      </c>
      <c r="WYU55" s="1567"/>
      <c r="WYV55" s="1567"/>
      <c r="WYW55" s="1088" t="s">
        <v>289</v>
      </c>
      <c r="WYX55" s="1567" t="s">
        <v>290</v>
      </c>
      <c r="WYY55" s="1567"/>
      <c r="WYZ55" s="1567"/>
      <c r="WZA55" s="1088" t="s">
        <v>289</v>
      </c>
      <c r="WZB55" s="1567" t="s">
        <v>290</v>
      </c>
      <c r="WZC55" s="1567"/>
      <c r="WZD55" s="1567"/>
      <c r="WZE55" s="1088" t="s">
        <v>289</v>
      </c>
      <c r="WZF55" s="1567" t="s">
        <v>290</v>
      </c>
      <c r="WZG55" s="1567"/>
      <c r="WZH55" s="1567"/>
      <c r="WZI55" s="1088" t="s">
        <v>289</v>
      </c>
      <c r="WZJ55" s="1567" t="s">
        <v>290</v>
      </c>
      <c r="WZK55" s="1567"/>
      <c r="WZL55" s="1567"/>
      <c r="WZM55" s="1088" t="s">
        <v>289</v>
      </c>
      <c r="WZN55" s="1567" t="s">
        <v>290</v>
      </c>
      <c r="WZO55" s="1567"/>
      <c r="WZP55" s="1567"/>
      <c r="WZQ55" s="1088" t="s">
        <v>289</v>
      </c>
      <c r="WZR55" s="1567" t="s">
        <v>290</v>
      </c>
      <c r="WZS55" s="1567"/>
      <c r="WZT55" s="1567"/>
      <c r="WZU55" s="1088" t="s">
        <v>289</v>
      </c>
      <c r="WZV55" s="1567" t="s">
        <v>290</v>
      </c>
      <c r="WZW55" s="1567"/>
      <c r="WZX55" s="1567"/>
      <c r="WZY55" s="1088" t="s">
        <v>289</v>
      </c>
      <c r="WZZ55" s="1567" t="s">
        <v>290</v>
      </c>
      <c r="XAA55" s="1567"/>
      <c r="XAB55" s="1567"/>
      <c r="XAC55" s="1088" t="s">
        <v>289</v>
      </c>
      <c r="XAD55" s="1567" t="s">
        <v>290</v>
      </c>
      <c r="XAE55" s="1567"/>
      <c r="XAF55" s="1567"/>
      <c r="XAG55" s="1088" t="s">
        <v>289</v>
      </c>
      <c r="XAH55" s="1567" t="s">
        <v>290</v>
      </c>
      <c r="XAI55" s="1567"/>
      <c r="XAJ55" s="1567"/>
      <c r="XAK55" s="1088" t="s">
        <v>289</v>
      </c>
      <c r="XAL55" s="1567" t="s">
        <v>290</v>
      </c>
      <c r="XAM55" s="1567"/>
      <c r="XAN55" s="1567"/>
      <c r="XAO55" s="1088" t="s">
        <v>289</v>
      </c>
      <c r="XAP55" s="1567" t="s">
        <v>290</v>
      </c>
      <c r="XAQ55" s="1567"/>
      <c r="XAR55" s="1567"/>
      <c r="XAS55" s="1088" t="s">
        <v>289</v>
      </c>
      <c r="XAT55" s="1567" t="s">
        <v>290</v>
      </c>
      <c r="XAU55" s="1567"/>
      <c r="XAV55" s="1567"/>
      <c r="XAW55" s="1088" t="s">
        <v>289</v>
      </c>
      <c r="XAX55" s="1567" t="s">
        <v>290</v>
      </c>
      <c r="XAY55" s="1567"/>
      <c r="XAZ55" s="1567"/>
      <c r="XBA55" s="1088" t="s">
        <v>289</v>
      </c>
      <c r="XBB55" s="1567" t="s">
        <v>290</v>
      </c>
      <c r="XBC55" s="1567"/>
      <c r="XBD55" s="1567"/>
      <c r="XBE55" s="1088" t="s">
        <v>289</v>
      </c>
      <c r="XBF55" s="1567" t="s">
        <v>290</v>
      </c>
      <c r="XBG55" s="1567"/>
      <c r="XBH55" s="1567"/>
      <c r="XBI55" s="1088" t="s">
        <v>289</v>
      </c>
      <c r="XBJ55" s="1567" t="s">
        <v>290</v>
      </c>
      <c r="XBK55" s="1567"/>
      <c r="XBL55" s="1567"/>
      <c r="XBM55" s="1088" t="s">
        <v>289</v>
      </c>
      <c r="XBN55" s="1567" t="s">
        <v>290</v>
      </c>
      <c r="XBO55" s="1567"/>
      <c r="XBP55" s="1567"/>
      <c r="XBQ55" s="1088" t="s">
        <v>289</v>
      </c>
      <c r="XBR55" s="1567" t="s">
        <v>290</v>
      </c>
      <c r="XBS55" s="1567"/>
      <c r="XBT55" s="1567"/>
      <c r="XBU55" s="1088" t="s">
        <v>289</v>
      </c>
      <c r="XBV55" s="1567" t="s">
        <v>290</v>
      </c>
      <c r="XBW55" s="1567"/>
      <c r="XBX55" s="1567"/>
      <c r="XBY55" s="1088" t="s">
        <v>289</v>
      </c>
      <c r="XBZ55" s="1567" t="s">
        <v>290</v>
      </c>
      <c r="XCA55" s="1567"/>
      <c r="XCB55" s="1567"/>
      <c r="XCC55" s="1088" t="s">
        <v>289</v>
      </c>
      <c r="XCD55" s="1567" t="s">
        <v>290</v>
      </c>
      <c r="XCE55" s="1567"/>
      <c r="XCF55" s="1567"/>
      <c r="XCG55" s="1088" t="s">
        <v>289</v>
      </c>
      <c r="XCH55" s="1567" t="s">
        <v>290</v>
      </c>
      <c r="XCI55" s="1567"/>
      <c r="XCJ55" s="1567"/>
      <c r="XCK55" s="1088" t="s">
        <v>289</v>
      </c>
      <c r="XCL55" s="1567" t="s">
        <v>290</v>
      </c>
      <c r="XCM55" s="1567"/>
      <c r="XCN55" s="1567"/>
      <c r="XCO55" s="1088" t="s">
        <v>289</v>
      </c>
      <c r="XCP55" s="1567" t="s">
        <v>290</v>
      </c>
      <c r="XCQ55" s="1567"/>
      <c r="XCR55" s="1567"/>
      <c r="XCS55" s="1088" t="s">
        <v>289</v>
      </c>
      <c r="XCT55" s="1567" t="s">
        <v>290</v>
      </c>
      <c r="XCU55" s="1567"/>
      <c r="XCV55" s="1567"/>
      <c r="XCW55" s="1088" t="s">
        <v>289</v>
      </c>
      <c r="XCX55" s="1567" t="s">
        <v>290</v>
      </c>
      <c r="XCY55" s="1567"/>
      <c r="XCZ55" s="1567"/>
      <c r="XDA55" s="1088" t="s">
        <v>289</v>
      </c>
      <c r="XDB55" s="1567" t="s">
        <v>290</v>
      </c>
      <c r="XDC55" s="1567"/>
      <c r="XDD55" s="1567"/>
      <c r="XDE55" s="1088" t="s">
        <v>289</v>
      </c>
      <c r="XDF55" s="1567" t="s">
        <v>290</v>
      </c>
      <c r="XDG55" s="1567"/>
      <c r="XDH55" s="1567"/>
      <c r="XDI55" s="1088" t="s">
        <v>289</v>
      </c>
      <c r="XDJ55" s="1567" t="s">
        <v>290</v>
      </c>
      <c r="XDK55" s="1567"/>
      <c r="XDL55" s="1567"/>
      <c r="XDM55" s="1088" t="s">
        <v>289</v>
      </c>
      <c r="XDN55" s="1567" t="s">
        <v>290</v>
      </c>
      <c r="XDO55" s="1567"/>
      <c r="XDP55" s="1567"/>
      <c r="XDQ55" s="1088" t="s">
        <v>289</v>
      </c>
      <c r="XDR55" s="1567" t="s">
        <v>290</v>
      </c>
      <c r="XDS55" s="1567"/>
      <c r="XDT55" s="1567"/>
      <c r="XDU55" s="1088" t="s">
        <v>289</v>
      </c>
      <c r="XDV55" s="1567" t="s">
        <v>290</v>
      </c>
      <c r="XDW55" s="1567"/>
      <c r="XDX55" s="1567"/>
      <c r="XDY55" s="1088" t="s">
        <v>289</v>
      </c>
      <c r="XDZ55" s="1567" t="s">
        <v>290</v>
      </c>
      <c r="XEA55" s="1567"/>
      <c r="XEB55" s="1567"/>
      <c r="XEC55" s="1088" t="s">
        <v>289</v>
      </c>
      <c r="XED55" s="1567" t="s">
        <v>290</v>
      </c>
      <c r="XEE55" s="1567"/>
      <c r="XEF55" s="1567"/>
      <c r="XEG55" s="1088" t="s">
        <v>289</v>
      </c>
      <c r="XEH55" s="1567" t="s">
        <v>290</v>
      </c>
      <c r="XEI55" s="1567"/>
      <c r="XEJ55" s="1567"/>
      <c r="XEK55" s="1088" t="s">
        <v>289</v>
      </c>
      <c r="XEL55" s="1567" t="s">
        <v>290</v>
      </c>
      <c r="XEM55" s="1567"/>
      <c r="XEN55" s="1567"/>
      <c r="XEO55" s="1088" t="s">
        <v>289</v>
      </c>
      <c r="XEP55" s="1567" t="s">
        <v>290</v>
      </c>
      <c r="XEQ55" s="1567"/>
      <c r="XER55" s="1567"/>
      <c r="XES55" s="1088" t="s">
        <v>289</v>
      </c>
      <c r="XET55" s="1567" t="s">
        <v>290</v>
      </c>
      <c r="XEU55" s="1567"/>
      <c r="XEV55" s="1567"/>
      <c r="XEW55" s="1088" t="s">
        <v>289</v>
      </c>
      <c r="XEX55" s="1567" t="s">
        <v>290</v>
      </c>
      <c r="XEY55" s="1567"/>
      <c r="XEZ55" s="1567"/>
      <c r="XFA55" s="1088" t="s">
        <v>289</v>
      </c>
      <c r="XFB55" s="1567" t="s">
        <v>290</v>
      </c>
      <c r="XFC55" s="1567"/>
      <c r="XFD55" s="1567"/>
    </row>
    <row r="56" spans="1:16384" s="1335" customFormat="1" ht="20.149999999999999" customHeight="1" x14ac:dyDescent="0.3">
      <c r="A56" s="1335" t="s">
        <v>299</v>
      </c>
      <c r="B56" s="1567" t="s">
        <v>300</v>
      </c>
      <c r="C56" s="1567"/>
      <c r="D56" s="1567"/>
    </row>
    <row r="57" spans="1:16384" s="76" customFormat="1" ht="113.15" customHeight="1" x14ac:dyDescent="0.3">
      <c r="A57" s="75" t="s">
        <v>200</v>
      </c>
      <c r="B57" s="1567" t="s">
        <v>211</v>
      </c>
      <c r="C57" s="1567"/>
      <c r="D57" s="1567"/>
    </row>
    <row r="58" spans="1:16384" s="1428" customFormat="1" ht="17.55" customHeight="1" x14ac:dyDescent="0.3">
      <c r="A58" s="1427" t="s">
        <v>324</v>
      </c>
      <c r="B58" s="1567" t="s">
        <v>327</v>
      </c>
      <c r="C58" s="1567"/>
      <c r="D58" s="1567"/>
    </row>
    <row r="59" spans="1:16384" s="1428" customFormat="1" ht="33.299999999999997" customHeight="1" x14ac:dyDescent="0.3">
      <c r="A59" s="1427" t="s">
        <v>328</v>
      </c>
      <c r="B59" s="1567" t="s">
        <v>326</v>
      </c>
      <c r="C59" s="1567"/>
      <c r="D59" s="1567"/>
    </row>
    <row r="60" spans="1:16384" s="551" customFormat="1" ht="15.75" customHeight="1" x14ac:dyDescent="0.3">
      <c r="A60" s="75" t="s">
        <v>244</v>
      </c>
      <c r="B60" s="1588" t="s">
        <v>325</v>
      </c>
      <c r="C60" s="1588"/>
      <c r="D60" s="1588"/>
    </row>
    <row r="61" spans="1:16384" s="1338" customFormat="1" ht="15.75" customHeight="1" x14ac:dyDescent="0.3">
      <c r="A61" s="1337" t="s">
        <v>301</v>
      </c>
      <c r="B61" s="1567" t="s">
        <v>302</v>
      </c>
      <c r="C61" s="1567"/>
      <c r="D61" s="1567"/>
    </row>
    <row r="62" spans="1:16384" s="551" customFormat="1" ht="15.75" customHeight="1" x14ac:dyDescent="0.3">
      <c r="A62" s="546" t="s">
        <v>245</v>
      </c>
      <c r="B62" s="1567" t="s">
        <v>246</v>
      </c>
      <c r="C62" s="1567"/>
      <c r="D62" s="1567"/>
    </row>
    <row r="63" spans="1:16384" s="76" customFormat="1" ht="20.149999999999999" customHeight="1" x14ac:dyDescent="0.3">
      <c r="A63" s="75" t="s">
        <v>222</v>
      </c>
      <c r="B63" s="1567" t="s">
        <v>223</v>
      </c>
      <c r="C63" s="1567"/>
      <c r="D63" s="1567"/>
    </row>
    <row r="64" spans="1:16384" s="1340" customFormat="1" ht="20.149999999999999" customHeight="1" x14ac:dyDescent="0.3">
      <c r="A64" s="1339" t="s">
        <v>303</v>
      </c>
      <c r="B64" s="1567" t="s">
        <v>304</v>
      </c>
      <c r="C64" s="1567"/>
      <c r="D64" s="1567"/>
    </row>
    <row r="65" spans="1:4" s="1397" customFormat="1" ht="20.149999999999999" customHeight="1" x14ac:dyDescent="0.3">
      <c r="A65" s="1396" t="s">
        <v>322</v>
      </c>
      <c r="B65" s="1567" t="s">
        <v>323</v>
      </c>
      <c r="C65" s="1567"/>
      <c r="D65" s="1567"/>
    </row>
    <row r="66" spans="1:4" s="1342" customFormat="1" ht="81.7" customHeight="1" x14ac:dyDescent="0.3">
      <c r="A66" s="1341" t="s">
        <v>306</v>
      </c>
      <c r="B66" s="1567" t="s">
        <v>310</v>
      </c>
      <c r="C66" s="1567"/>
      <c r="D66" s="1567"/>
    </row>
    <row r="67" spans="1:4" s="551" customFormat="1" ht="20.149999999999999" customHeight="1" x14ac:dyDescent="0.3">
      <c r="A67" s="550" t="s">
        <v>270</v>
      </c>
      <c r="B67" s="1567" t="s">
        <v>271</v>
      </c>
      <c r="C67" s="1567"/>
      <c r="D67" s="1567"/>
    </row>
    <row r="68" spans="1:4" s="76" customFormat="1" ht="20.149999999999999" customHeight="1" x14ac:dyDescent="0.3">
      <c r="A68" s="76" t="s">
        <v>272</v>
      </c>
      <c r="B68" s="76" t="s">
        <v>273</v>
      </c>
    </row>
    <row r="69" spans="1:4" s="549" customFormat="1" ht="20.149999999999999" customHeight="1" x14ac:dyDescent="0.3"/>
    <row r="70" spans="1:4" s="549" customFormat="1" ht="20.149999999999999" customHeight="1" x14ac:dyDescent="0.3">
      <c r="A70" s="546"/>
      <c r="B70" s="546"/>
      <c r="C70" s="546"/>
    </row>
    <row r="71" spans="1:4" s="549" customFormat="1" ht="20.149999999999999" customHeight="1" x14ac:dyDescent="0.3">
      <c r="A71" s="546"/>
      <c r="B71" s="546"/>
      <c r="C71" s="546"/>
    </row>
    <row r="72" spans="1:4" s="549" customFormat="1" ht="20.149999999999999" customHeight="1" x14ac:dyDescent="0.3">
      <c r="A72" s="546"/>
      <c r="B72" s="546"/>
      <c r="C72" s="546"/>
    </row>
    <row r="73" spans="1:4" s="549" customFormat="1" ht="20.149999999999999" customHeight="1" x14ac:dyDescent="0.3">
      <c r="A73" s="546"/>
      <c r="B73" s="546"/>
      <c r="C73" s="546"/>
    </row>
    <row r="74" spans="1:4" s="76" customFormat="1" ht="20.149999999999999" customHeight="1" x14ac:dyDescent="0.3">
      <c r="A74" s="75"/>
      <c r="B74" s="75"/>
      <c r="C74" s="75"/>
    </row>
    <row r="75" spans="1:4" s="76" customFormat="1" ht="20.149999999999999" customHeight="1" x14ac:dyDescent="0.3">
      <c r="A75" s="75"/>
      <c r="B75" s="75"/>
      <c r="C75" s="75"/>
    </row>
    <row r="76" spans="1:4" s="8" customFormat="1" ht="20.149999999999999" customHeight="1" thickBot="1" x14ac:dyDescent="0.35">
      <c r="A76" s="22"/>
      <c r="B76" s="22"/>
      <c r="C76" s="22"/>
    </row>
    <row r="77" spans="1:4" ht="20.149999999999999" customHeight="1" thickTop="1" thickBot="1" x14ac:dyDescent="0.35">
      <c r="A77" s="1592" t="s">
        <v>221</v>
      </c>
      <c r="B77" s="1593"/>
      <c r="C77" s="1593"/>
      <c r="D77" s="1594"/>
    </row>
    <row r="78" spans="1:4" ht="20.149999999999999" customHeight="1" x14ac:dyDescent="0.3">
      <c r="A78" s="1589" t="s">
        <v>160</v>
      </c>
      <c r="B78" s="1590"/>
      <c r="C78" s="1590"/>
      <c r="D78" s="1591"/>
    </row>
    <row r="79" spans="1:4" ht="42.05" customHeight="1" x14ac:dyDescent="0.3">
      <c r="A79" s="1581" t="s">
        <v>195</v>
      </c>
      <c r="B79" s="1582"/>
      <c r="C79" s="1582"/>
      <c r="D79" s="1583"/>
    </row>
    <row r="80" spans="1:4" ht="20.149999999999999" customHeight="1" x14ac:dyDescent="0.3">
      <c r="A80" s="1568" t="s">
        <v>161</v>
      </c>
      <c r="B80" s="1569"/>
      <c r="C80" s="1569"/>
      <c r="D80" s="1570"/>
    </row>
    <row r="81" spans="1:4" ht="20.149999999999999" customHeight="1" x14ac:dyDescent="0.3">
      <c r="A81" s="1568" t="s">
        <v>165</v>
      </c>
      <c r="B81" s="1569"/>
      <c r="C81" s="1569"/>
      <c r="D81" s="1570"/>
    </row>
    <row r="82" spans="1:4" ht="20.149999999999999" customHeight="1" x14ac:dyDescent="0.3">
      <c r="A82" s="1568" t="s">
        <v>166</v>
      </c>
      <c r="B82" s="1569"/>
      <c r="C82" s="1569"/>
      <c r="D82" s="1570"/>
    </row>
    <row r="83" spans="1:4" ht="20.149999999999999" customHeight="1" x14ac:dyDescent="0.3">
      <c r="A83" s="1568" t="s">
        <v>196</v>
      </c>
      <c r="B83" s="1569"/>
      <c r="C83" s="1569"/>
      <c r="D83" s="1570"/>
    </row>
    <row r="84" spans="1:4" ht="20.149999999999999" customHeight="1" thickBot="1" x14ac:dyDescent="0.35">
      <c r="A84" s="1571" t="s">
        <v>220</v>
      </c>
      <c r="B84" s="1572"/>
      <c r="C84" s="1572"/>
      <c r="D84" s="1573"/>
    </row>
    <row r="85" spans="1:4" s="114" customFormat="1" ht="20.149999999999999" customHeight="1" thickTop="1" x14ac:dyDescent="0.3">
      <c r="A85" s="169"/>
      <c r="B85" s="169"/>
      <c r="C85" s="169"/>
    </row>
    <row r="97" s="1" customFormat="1" ht="20.149999999999999" customHeight="1" x14ac:dyDescent="0.3"/>
    <row r="98" s="1" customFormat="1" ht="20.149999999999999" customHeight="1" x14ac:dyDescent="0.3"/>
    <row r="99" s="1" customFormat="1" ht="20.149999999999999" customHeight="1" x14ac:dyDescent="0.3"/>
    <row r="100" s="1" customFormat="1" ht="20.149999999999999" customHeight="1" x14ac:dyDescent="0.3"/>
    <row r="101" s="1" customFormat="1" ht="20.149999999999999" customHeight="1" x14ac:dyDescent="0.3"/>
    <row r="102" s="1" customFormat="1" ht="20.149999999999999" customHeight="1" x14ac:dyDescent="0.3"/>
    <row r="103" s="1" customFormat="1" ht="20.149999999999999" customHeight="1" x14ac:dyDescent="0.3"/>
    <row r="104" s="1" customFormat="1" ht="20.149999999999999" customHeight="1" x14ac:dyDescent="0.3"/>
  </sheetData>
  <sheetProtection algorithmName="SHA-512" hashValue="5K5vO8Yoy35Nv2PELv0e2MtDx/zPf3b/THm350menfbaPZyDFrSdIOYjxjlV16ckqSrtkCHe827iwLyuPU7nNg==" saltValue="xxpNRcpp14ttkn8frOxkMg==" spinCount="100000" sheet="1" objects="1" scenarios="1"/>
  <mergeCells count="4143">
    <mergeCell ref="XEL55:XEN55"/>
    <mergeCell ref="XEP55:XER55"/>
    <mergeCell ref="XET55:XEV55"/>
    <mergeCell ref="XEX55:XEZ55"/>
    <mergeCell ref="XFB55:XFD55"/>
    <mergeCell ref="XDR55:XDT55"/>
    <mergeCell ref="XDV55:XDX55"/>
    <mergeCell ref="XDZ55:XEB55"/>
    <mergeCell ref="XED55:XEF55"/>
    <mergeCell ref="XEH55:XEJ55"/>
    <mergeCell ref="XCX55:XCZ55"/>
    <mergeCell ref="XDB55:XDD55"/>
    <mergeCell ref="XDF55:XDH55"/>
    <mergeCell ref="XDJ55:XDL55"/>
    <mergeCell ref="XDN55:XDP55"/>
    <mergeCell ref="XCD55:XCF55"/>
    <mergeCell ref="XCH55:XCJ55"/>
    <mergeCell ref="XCL55:XCN55"/>
    <mergeCell ref="XCP55:XCR55"/>
    <mergeCell ref="XCT55:XCV55"/>
    <mergeCell ref="XBJ55:XBL55"/>
    <mergeCell ref="XBN55:XBP55"/>
    <mergeCell ref="XBR55:XBT55"/>
    <mergeCell ref="XBV55:XBX55"/>
    <mergeCell ref="XBZ55:XCB55"/>
    <mergeCell ref="XAP55:XAR55"/>
    <mergeCell ref="XAT55:XAV55"/>
    <mergeCell ref="XAX55:XAZ55"/>
    <mergeCell ref="XBB55:XBD55"/>
    <mergeCell ref="XBF55:XBH55"/>
    <mergeCell ref="WZV55:WZX55"/>
    <mergeCell ref="WZZ55:XAB55"/>
    <mergeCell ref="XAD55:XAF55"/>
    <mergeCell ref="XAH55:XAJ55"/>
    <mergeCell ref="XAL55:XAN55"/>
    <mergeCell ref="WZB55:WZD55"/>
    <mergeCell ref="WZF55:WZH55"/>
    <mergeCell ref="WZJ55:WZL55"/>
    <mergeCell ref="WZN55:WZP55"/>
    <mergeCell ref="WZR55:WZT55"/>
    <mergeCell ref="WYH55:WYJ55"/>
    <mergeCell ref="WYL55:WYN55"/>
    <mergeCell ref="WYP55:WYR55"/>
    <mergeCell ref="WYT55:WYV55"/>
    <mergeCell ref="WYX55:WYZ55"/>
    <mergeCell ref="WXN55:WXP55"/>
    <mergeCell ref="WXR55:WXT55"/>
    <mergeCell ref="WXV55:WXX55"/>
    <mergeCell ref="WXZ55:WYB55"/>
    <mergeCell ref="WYD55:WYF55"/>
    <mergeCell ref="WWT55:WWV55"/>
    <mergeCell ref="WWX55:WWZ55"/>
    <mergeCell ref="WXB55:WXD55"/>
    <mergeCell ref="WXF55:WXH55"/>
    <mergeCell ref="WXJ55:WXL55"/>
    <mergeCell ref="WVZ55:WWB55"/>
    <mergeCell ref="WWD55:WWF55"/>
    <mergeCell ref="WWH55:WWJ55"/>
    <mergeCell ref="WWL55:WWN55"/>
    <mergeCell ref="WWP55:WWR55"/>
    <mergeCell ref="WVF55:WVH55"/>
    <mergeCell ref="WVJ55:WVL55"/>
    <mergeCell ref="WVN55:WVP55"/>
    <mergeCell ref="WVR55:WVT55"/>
    <mergeCell ref="WVV55:WVX55"/>
    <mergeCell ref="WUL55:WUN55"/>
    <mergeCell ref="WUP55:WUR55"/>
    <mergeCell ref="WUT55:WUV55"/>
    <mergeCell ref="WUX55:WUZ55"/>
    <mergeCell ref="WVB55:WVD55"/>
    <mergeCell ref="WTR55:WTT55"/>
    <mergeCell ref="WTV55:WTX55"/>
    <mergeCell ref="WTZ55:WUB55"/>
    <mergeCell ref="WUD55:WUF55"/>
    <mergeCell ref="WUH55:WUJ55"/>
    <mergeCell ref="WSX55:WSZ55"/>
    <mergeCell ref="WTB55:WTD55"/>
    <mergeCell ref="WTF55:WTH55"/>
    <mergeCell ref="WTJ55:WTL55"/>
    <mergeCell ref="WTN55:WTP55"/>
    <mergeCell ref="WSD55:WSF55"/>
    <mergeCell ref="WSH55:WSJ55"/>
    <mergeCell ref="WSL55:WSN55"/>
    <mergeCell ref="WSP55:WSR55"/>
    <mergeCell ref="WST55:WSV55"/>
    <mergeCell ref="WRJ55:WRL55"/>
    <mergeCell ref="WRN55:WRP55"/>
    <mergeCell ref="WRR55:WRT55"/>
    <mergeCell ref="WRV55:WRX55"/>
    <mergeCell ref="WRZ55:WSB55"/>
    <mergeCell ref="WQP55:WQR55"/>
    <mergeCell ref="WQT55:WQV55"/>
    <mergeCell ref="WQX55:WQZ55"/>
    <mergeCell ref="WRB55:WRD55"/>
    <mergeCell ref="WRF55:WRH55"/>
    <mergeCell ref="WPV55:WPX55"/>
    <mergeCell ref="WPZ55:WQB55"/>
    <mergeCell ref="WQD55:WQF55"/>
    <mergeCell ref="WQH55:WQJ55"/>
    <mergeCell ref="WQL55:WQN55"/>
    <mergeCell ref="WPB55:WPD55"/>
    <mergeCell ref="WPF55:WPH55"/>
    <mergeCell ref="WPJ55:WPL55"/>
    <mergeCell ref="WPN55:WPP55"/>
    <mergeCell ref="WPR55:WPT55"/>
    <mergeCell ref="WOH55:WOJ55"/>
    <mergeCell ref="WOL55:WON55"/>
    <mergeCell ref="WOP55:WOR55"/>
    <mergeCell ref="WOT55:WOV55"/>
    <mergeCell ref="WOX55:WOZ55"/>
    <mergeCell ref="WNN55:WNP55"/>
    <mergeCell ref="WNR55:WNT55"/>
    <mergeCell ref="WNV55:WNX55"/>
    <mergeCell ref="WNZ55:WOB55"/>
    <mergeCell ref="WOD55:WOF55"/>
    <mergeCell ref="WMT55:WMV55"/>
    <mergeCell ref="WMX55:WMZ55"/>
    <mergeCell ref="WNB55:WND55"/>
    <mergeCell ref="WNF55:WNH55"/>
    <mergeCell ref="WNJ55:WNL55"/>
    <mergeCell ref="WLZ55:WMB55"/>
    <mergeCell ref="WMD55:WMF55"/>
    <mergeCell ref="WMH55:WMJ55"/>
    <mergeCell ref="WML55:WMN55"/>
    <mergeCell ref="WMP55:WMR55"/>
    <mergeCell ref="WLF55:WLH55"/>
    <mergeCell ref="WLJ55:WLL55"/>
    <mergeCell ref="WLN55:WLP55"/>
    <mergeCell ref="WLR55:WLT55"/>
    <mergeCell ref="WLV55:WLX55"/>
    <mergeCell ref="WKL55:WKN55"/>
    <mergeCell ref="WKP55:WKR55"/>
    <mergeCell ref="WKT55:WKV55"/>
    <mergeCell ref="WKX55:WKZ55"/>
    <mergeCell ref="WLB55:WLD55"/>
    <mergeCell ref="WJR55:WJT55"/>
    <mergeCell ref="WJV55:WJX55"/>
    <mergeCell ref="WJZ55:WKB55"/>
    <mergeCell ref="WKD55:WKF55"/>
    <mergeCell ref="WKH55:WKJ55"/>
    <mergeCell ref="WIX55:WIZ55"/>
    <mergeCell ref="WJB55:WJD55"/>
    <mergeCell ref="WJF55:WJH55"/>
    <mergeCell ref="WJJ55:WJL55"/>
    <mergeCell ref="WJN55:WJP55"/>
    <mergeCell ref="WID55:WIF55"/>
    <mergeCell ref="WIH55:WIJ55"/>
    <mergeCell ref="WIL55:WIN55"/>
    <mergeCell ref="WIP55:WIR55"/>
    <mergeCell ref="WIT55:WIV55"/>
    <mergeCell ref="WHJ55:WHL55"/>
    <mergeCell ref="WHN55:WHP55"/>
    <mergeCell ref="WHR55:WHT55"/>
    <mergeCell ref="WHV55:WHX55"/>
    <mergeCell ref="WHZ55:WIB55"/>
    <mergeCell ref="WGP55:WGR55"/>
    <mergeCell ref="WGT55:WGV55"/>
    <mergeCell ref="WGX55:WGZ55"/>
    <mergeCell ref="WHB55:WHD55"/>
    <mergeCell ref="WHF55:WHH55"/>
    <mergeCell ref="WFV55:WFX55"/>
    <mergeCell ref="WFZ55:WGB55"/>
    <mergeCell ref="WGD55:WGF55"/>
    <mergeCell ref="WGH55:WGJ55"/>
    <mergeCell ref="WGL55:WGN55"/>
    <mergeCell ref="WFB55:WFD55"/>
    <mergeCell ref="WFF55:WFH55"/>
    <mergeCell ref="WFJ55:WFL55"/>
    <mergeCell ref="WFN55:WFP55"/>
    <mergeCell ref="WFR55:WFT55"/>
    <mergeCell ref="WEH55:WEJ55"/>
    <mergeCell ref="WEL55:WEN55"/>
    <mergeCell ref="WEP55:WER55"/>
    <mergeCell ref="WET55:WEV55"/>
    <mergeCell ref="WEX55:WEZ55"/>
    <mergeCell ref="WDN55:WDP55"/>
    <mergeCell ref="WDR55:WDT55"/>
    <mergeCell ref="WDV55:WDX55"/>
    <mergeCell ref="WDZ55:WEB55"/>
    <mergeCell ref="WED55:WEF55"/>
    <mergeCell ref="WCT55:WCV55"/>
    <mergeCell ref="WCX55:WCZ55"/>
    <mergeCell ref="WDB55:WDD55"/>
    <mergeCell ref="WDF55:WDH55"/>
    <mergeCell ref="WDJ55:WDL55"/>
    <mergeCell ref="WBZ55:WCB55"/>
    <mergeCell ref="WCD55:WCF55"/>
    <mergeCell ref="WCH55:WCJ55"/>
    <mergeCell ref="WCL55:WCN55"/>
    <mergeCell ref="WCP55:WCR55"/>
    <mergeCell ref="WBF55:WBH55"/>
    <mergeCell ref="WBJ55:WBL55"/>
    <mergeCell ref="WBN55:WBP55"/>
    <mergeCell ref="WBR55:WBT55"/>
    <mergeCell ref="WBV55:WBX55"/>
    <mergeCell ref="WAL55:WAN55"/>
    <mergeCell ref="WAP55:WAR55"/>
    <mergeCell ref="WAT55:WAV55"/>
    <mergeCell ref="WAX55:WAZ55"/>
    <mergeCell ref="WBB55:WBD55"/>
    <mergeCell ref="VZR55:VZT55"/>
    <mergeCell ref="VZV55:VZX55"/>
    <mergeCell ref="VZZ55:WAB55"/>
    <mergeCell ref="WAD55:WAF55"/>
    <mergeCell ref="WAH55:WAJ55"/>
    <mergeCell ref="VYX55:VYZ55"/>
    <mergeCell ref="VZB55:VZD55"/>
    <mergeCell ref="VZF55:VZH55"/>
    <mergeCell ref="VZJ55:VZL55"/>
    <mergeCell ref="VZN55:VZP55"/>
    <mergeCell ref="VYD55:VYF55"/>
    <mergeCell ref="VYH55:VYJ55"/>
    <mergeCell ref="VYL55:VYN55"/>
    <mergeCell ref="VYP55:VYR55"/>
    <mergeCell ref="VYT55:VYV55"/>
    <mergeCell ref="VXJ55:VXL55"/>
    <mergeCell ref="VXN55:VXP55"/>
    <mergeCell ref="VXR55:VXT55"/>
    <mergeCell ref="VXV55:VXX55"/>
    <mergeCell ref="VXZ55:VYB55"/>
    <mergeCell ref="VWP55:VWR55"/>
    <mergeCell ref="VWT55:VWV55"/>
    <mergeCell ref="VWX55:VWZ55"/>
    <mergeCell ref="VXB55:VXD55"/>
    <mergeCell ref="VXF55:VXH55"/>
    <mergeCell ref="VVV55:VVX55"/>
    <mergeCell ref="VVZ55:VWB55"/>
    <mergeCell ref="VWD55:VWF55"/>
    <mergeCell ref="VWH55:VWJ55"/>
    <mergeCell ref="VWL55:VWN55"/>
    <mergeCell ref="VVB55:VVD55"/>
    <mergeCell ref="VVF55:VVH55"/>
    <mergeCell ref="VVJ55:VVL55"/>
    <mergeCell ref="VVN55:VVP55"/>
    <mergeCell ref="VVR55:VVT55"/>
    <mergeCell ref="VUH55:VUJ55"/>
    <mergeCell ref="VUL55:VUN55"/>
    <mergeCell ref="VUP55:VUR55"/>
    <mergeCell ref="VUT55:VUV55"/>
    <mergeCell ref="VUX55:VUZ55"/>
    <mergeCell ref="VTN55:VTP55"/>
    <mergeCell ref="VTR55:VTT55"/>
    <mergeCell ref="VTV55:VTX55"/>
    <mergeCell ref="VTZ55:VUB55"/>
    <mergeCell ref="VUD55:VUF55"/>
    <mergeCell ref="VST55:VSV55"/>
    <mergeCell ref="VSX55:VSZ55"/>
    <mergeCell ref="VTB55:VTD55"/>
    <mergeCell ref="VTF55:VTH55"/>
    <mergeCell ref="VTJ55:VTL55"/>
    <mergeCell ref="VRZ55:VSB55"/>
    <mergeCell ref="VSD55:VSF55"/>
    <mergeCell ref="VSH55:VSJ55"/>
    <mergeCell ref="VSL55:VSN55"/>
    <mergeCell ref="VSP55:VSR55"/>
    <mergeCell ref="VRF55:VRH55"/>
    <mergeCell ref="VRJ55:VRL55"/>
    <mergeCell ref="VRN55:VRP55"/>
    <mergeCell ref="VRR55:VRT55"/>
    <mergeCell ref="VRV55:VRX55"/>
    <mergeCell ref="VQL55:VQN55"/>
    <mergeCell ref="VQP55:VQR55"/>
    <mergeCell ref="VQT55:VQV55"/>
    <mergeCell ref="VQX55:VQZ55"/>
    <mergeCell ref="VRB55:VRD55"/>
    <mergeCell ref="VPR55:VPT55"/>
    <mergeCell ref="VPV55:VPX55"/>
    <mergeCell ref="VPZ55:VQB55"/>
    <mergeCell ref="VQD55:VQF55"/>
    <mergeCell ref="VQH55:VQJ55"/>
    <mergeCell ref="VOX55:VOZ55"/>
    <mergeCell ref="VPB55:VPD55"/>
    <mergeCell ref="VPF55:VPH55"/>
    <mergeCell ref="VPJ55:VPL55"/>
    <mergeCell ref="VPN55:VPP55"/>
    <mergeCell ref="VOD55:VOF55"/>
    <mergeCell ref="VOH55:VOJ55"/>
    <mergeCell ref="VOL55:VON55"/>
    <mergeCell ref="VOP55:VOR55"/>
    <mergeCell ref="VOT55:VOV55"/>
    <mergeCell ref="VNJ55:VNL55"/>
    <mergeCell ref="VNN55:VNP55"/>
    <mergeCell ref="VNR55:VNT55"/>
    <mergeCell ref="VNV55:VNX55"/>
    <mergeCell ref="VNZ55:VOB55"/>
    <mergeCell ref="VMP55:VMR55"/>
    <mergeCell ref="VMT55:VMV55"/>
    <mergeCell ref="VMX55:VMZ55"/>
    <mergeCell ref="VNB55:VND55"/>
    <mergeCell ref="VNF55:VNH55"/>
    <mergeCell ref="VLV55:VLX55"/>
    <mergeCell ref="VLZ55:VMB55"/>
    <mergeCell ref="VMD55:VMF55"/>
    <mergeCell ref="VMH55:VMJ55"/>
    <mergeCell ref="VML55:VMN55"/>
    <mergeCell ref="VLB55:VLD55"/>
    <mergeCell ref="VLF55:VLH55"/>
    <mergeCell ref="VLJ55:VLL55"/>
    <mergeCell ref="VLN55:VLP55"/>
    <mergeCell ref="VLR55:VLT55"/>
    <mergeCell ref="VKH55:VKJ55"/>
    <mergeCell ref="VKL55:VKN55"/>
    <mergeCell ref="VKP55:VKR55"/>
    <mergeCell ref="VKT55:VKV55"/>
    <mergeCell ref="VKX55:VKZ55"/>
    <mergeCell ref="VJN55:VJP55"/>
    <mergeCell ref="VJR55:VJT55"/>
    <mergeCell ref="VJV55:VJX55"/>
    <mergeCell ref="VJZ55:VKB55"/>
    <mergeCell ref="VKD55:VKF55"/>
    <mergeCell ref="VIT55:VIV55"/>
    <mergeCell ref="VIX55:VIZ55"/>
    <mergeCell ref="VJB55:VJD55"/>
    <mergeCell ref="VJF55:VJH55"/>
    <mergeCell ref="VJJ55:VJL55"/>
    <mergeCell ref="VHZ55:VIB55"/>
    <mergeCell ref="VID55:VIF55"/>
    <mergeCell ref="VIH55:VIJ55"/>
    <mergeCell ref="VIL55:VIN55"/>
    <mergeCell ref="VIP55:VIR55"/>
    <mergeCell ref="VHF55:VHH55"/>
    <mergeCell ref="VHJ55:VHL55"/>
    <mergeCell ref="VHN55:VHP55"/>
    <mergeCell ref="VHR55:VHT55"/>
    <mergeCell ref="VHV55:VHX55"/>
    <mergeCell ref="VGL55:VGN55"/>
    <mergeCell ref="VGP55:VGR55"/>
    <mergeCell ref="VGT55:VGV55"/>
    <mergeCell ref="VGX55:VGZ55"/>
    <mergeCell ref="VHB55:VHD55"/>
    <mergeCell ref="VFR55:VFT55"/>
    <mergeCell ref="VFV55:VFX55"/>
    <mergeCell ref="VFZ55:VGB55"/>
    <mergeCell ref="VGD55:VGF55"/>
    <mergeCell ref="VGH55:VGJ55"/>
    <mergeCell ref="VEX55:VEZ55"/>
    <mergeCell ref="VFB55:VFD55"/>
    <mergeCell ref="VFF55:VFH55"/>
    <mergeCell ref="VFJ55:VFL55"/>
    <mergeCell ref="VFN55:VFP55"/>
    <mergeCell ref="VED55:VEF55"/>
    <mergeCell ref="VEH55:VEJ55"/>
    <mergeCell ref="VEL55:VEN55"/>
    <mergeCell ref="VEP55:VER55"/>
    <mergeCell ref="VET55:VEV55"/>
    <mergeCell ref="VDJ55:VDL55"/>
    <mergeCell ref="VDN55:VDP55"/>
    <mergeCell ref="VDR55:VDT55"/>
    <mergeCell ref="VDV55:VDX55"/>
    <mergeCell ref="VDZ55:VEB55"/>
    <mergeCell ref="VCP55:VCR55"/>
    <mergeCell ref="VCT55:VCV55"/>
    <mergeCell ref="VCX55:VCZ55"/>
    <mergeCell ref="VDB55:VDD55"/>
    <mergeCell ref="VDF55:VDH55"/>
    <mergeCell ref="VBV55:VBX55"/>
    <mergeCell ref="VBZ55:VCB55"/>
    <mergeCell ref="VCD55:VCF55"/>
    <mergeCell ref="VCH55:VCJ55"/>
    <mergeCell ref="VCL55:VCN55"/>
    <mergeCell ref="VBB55:VBD55"/>
    <mergeCell ref="VBF55:VBH55"/>
    <mergeCell ref="VBJ55:VBL55"/>
    <mergeCell ref="VBN55:VBP55"/>
    <mergeCell ref="VBR55:VBT55"/>
    <mergeCell ref="VAH55:VAJ55"/>
    <mergeCell ref="VAL55:VAN55"/>
    <mergeCell ref="VAP55:VAR55"/>
    <mergeCell ref="VAT55:VAV55"/>
    <mergeCell ref="VAX55:VAZ55"/>
    <mergeCell ref="UZN55:UZP55"/>
    <mergeCell ref="UZR55:UZT55"/>
    <mergeCell ref="UZV55:UZX55"/>
    <mergeCell ref="UZZ55:VAB55"/>
    <mergeCell ref="VAD55:VAF55"/>
    <mergeCell ref="UYT55:UYV55"/>
    <mergeCell ref="UYX55:UYZ55"/>
    <mergeCell ref="UZB55:UZD55"/>
    <mergeCell ref="UZF55:UZH55"/>
    <mergeCell ref="UZJ55:UZL55"/>
    <mergeCell ref="UXZ55:UYB55"/>
    <mergeCell ref="UYD55:UYF55"/>
    <mergeCell ref="UYH55:UYJ55"/>
    <mergeCell ref="UYL55:UYN55"/>
    <mergeCell ref="UYP55:UYR55"/>
    <mergeCell ref="UXF55:UXH55"/>
    <mergeCell ref="UXJ55:UXL55"/>
    <mergeCell ref="UXN55:UXP55"/>
    <mergeCell ref="UXR55:UXT55"/>
    <mergeCell ref="UXV55:UXX55"/>
    <mergeCell ref="UWL55:UWN55"/>
    <mergeCell ref="UWP55:UWR55"/>
    <mergeCell ref="UWT55:UWV55"/>
    <mergeCell ref="UWX55:UWZ55"/>
    <mergeCell ref="UXB55:UXD55"/>
    <mergeCell ref="UVR55:UVT55"/>
    <mergeCell ref="UVV55:UVX55"/>
    <mergeCell ref="UVZ55:UWB55"/>
    <mergeCell ref="UWD55:UWF55"/>
    <mergeCell ref="UWH55:UWJ55"/>
    <mergeCell ref="UUX55:UUZ55"/>
    <mergeCell ref="UVB55:UVD55"/>
    <mergeCell ref="UVF55:UVH55"/>
    <mergeCell ref="UVJ55:UVL55"/>
    <mergeCell ref="UVN55:UVP55"/>
    <mergeCell ref="UUD55:UUF55"/>
    <mergeCell ref="UUH55:UUJ55"/>
    <mergeCell ref="UUL55:UUN55"/>
    <mergeCell ref="UUP55:UUR55"/>
    <mergeCell ref="UUT55:UUV55"/>
    <mergeCell ref="UTJ55:UTL55"/>
    <mergeCell ref="UTN55:UTP55"/>
    <mergeCell ref="UTR55:UTT55"/>
    <mergeCell ref="UTV55:UTX55"/>
    <mergeCell ref="UTZ55:UUB55"/>
    <mergeCell ref="USP55:USR55"/>
    <mergeCell ref="UST55:USV55"/>
    <mergeCell ref="USX55:USZ55"/>
    <mergeCell ref="UTB55:UTD55"/>
    <mergeCell ref="UTF55:UTH55"/>
    <mergeCell ref="URV55:URX55"/>
    <mergeCell ref="URZ55:USB55"/>
    <mergeCell ref="USD55:USF55"/>
    <mergeCell ref="USH55:USJ55"/>
    <mergeCell ref="USL55:USN55"/>
    <mergeCell ref="URB55:URD55"/>
    <mergeCell ref="URF55:URH55"/>
    <mergeCell ref="URJ55:URL55"/>
    <mergeCell ref="URN55:URP55"/>
    <mergeCell ref="URR55:URT55"/>
    <mergeCell ref="UQH55:UQJ55"/>
    <mergeCell ref="UQL55:UQN55"/>
    <mergeCell ref="UQP55:UQR55"/>
    <mergeCell ref="UQT55:UQV55"/>
    <mergeCell ref="UQX55:UQZ55"/>
    <mergeCell ref="UPN55:UPP55"/>
    <mergeCell ref="UPR55:UPT55"/>
    <mergeCell ref="UPV55:UPX55"/>
    <mergeCell ref="UPZ55:UQB55"/>
    <mergeCell ref="UQD55:UQF55"/>
    <mergeCell ref="UOT55:UOV55"/>
    <mergeCell ref="UOX55:UOZ55"/>
    <mergeCell ref="UPB55:UPD55"/>
    <mergeCell ref="UPF55:UPH55"/>
    <mergeCell ref="UPJ55:UPL55"/>
    <mergeCell ref="UNZ55:UOB55"/>
    <mergeCell ref="UOD55:UOF55"/>
    <mergeCell ref="UOH55:UOJ55"/>
    <mergeCell ref="UOL55:UON55"/>
    <mergeCell ref="UOP55:UOR55"/>
    <mergeCell ref="UNF55:UNH55"/>
    <mergeCell ref="UNJ55:UNL55"/>
    <mergeCell ref="UNN55:UNP55"/>
    <mergeCell ref="UNR55:UNT55"/>
    <mergeCell ref="UNV55:UNX55"/>
    <mergeCell ref="UML55:UMN55"/>
    <mergeCell ref="UMP55:UMR55"/>
    <mergeCell ref="UMT55:UMV55"/>
    <mergeCell ref="UMX55:UMZ55"/>
    <mergeCell ref="UNB55:UND55"/>
    <mergeCell ref="ULR55:ULT55"/>
    <mergeCell ref="ULV55:ULX55"/>
    <mergeCell ref="ULZ55:UMB55"/>
    <mergeCell ref="UMD55:UMF55"/>
    <mergeCell ref="UMH55:UMJ55"/>
    <mergeCell ref="UKX55:UKZ55"/>
    <mergeCell ref="ULB55:ULD55"/>
    <mergeCell ref="ULF55:ULH55"/>
    <mergeCell ref="ULJ55:ULL55"/>
    <mergeCell ref="ULN55:ULP55"/>
    <mergeCell ref="UKD55:UKF55"/>
    <mergeCell ref="UKH55:UKJ55"/>
    <mergeCell ref="UKL55:UKN55"/>
    <mergeCell ref="UKP55:UKR55"/>
    <mergeCell ref="UKT55:UKV55"/>
    <mergeCell ref="UJJ55:UJL55"/>
    <mergeCell ref="UJN55:UJP55"/>
    <mergeCell ref="UJR55:UJT55"/>
    <mergeCell ref="UJV55:UJX55"/>
    <mergeCell ref="UJZ55:UKB55"/>
    <mergeCell ref="UIP55:UIR55"/>
    <mergeCell ref="UIT55:UIV55"/>
    <mergeCell ref="UIX55:UIZ55"/>
    <mergeCell ref="UJB55:UJD55"/>
    <mergeCell ref="UJF55:UJH55"/>
    <mergeCell ref="UHV55:UHX55"/>
    <mergeCell ref="UHZ55:UIB55"/>
    <mergeCell ref="UID55:UIF55"/>
    <mergeCell ref="UIH55:UIJ55"/>
    <mergeCell ref="UIL55:UIN55"/>
    <mergeCell ref="UHB55:UHD55"/>
    <mergeCell ref="UHF55:UHH55"/>
    <mergeCell ref="UHJ55:UHL55"/>
    <mergeCell ref="UHN55:UHP55"/>
    <mergeCell ref="UHR55:UHT55"/>
    <mergeCell ref="UGH55:UGJ55"/>
    <mergeCell ref="UGL55:UGN55"/>
    <mergeCell ref="UGP55:UGR55"/>
    <mergeCell ref="UGT55:UGV55"/>
    <mergeCell ref="UGX55:UGZ55"/>
    <mergeCell ref="UFN55:UFP55"/>
    <mergeCell ref="UFR55:UFT55"/>
    <mergeCell ref="UFV55:UFX55"/>
    <mergeCell ref="UFZ55:UGB55"/>
    <mergeCell ref="UGD55:UGF55"/>
    <mergeCell ref="UET55:UEV55"/>
    <mergeCell ref="UEX55:UEZ55"/>
    <mergeCell ref="UFB55:UFD55"/>
    <mergeCell ref="UFF55:UFH55"/>
    <mergeCell ref="UFJ55:UFL55"/>
    <mergeCell ref="UDZ55:UEB55"/>
    <mergeCell ref="UED55:UEF55"/>
    <mergeCell ref="UEH55:UEJ55"/>
    <mergeCell ref="UEL55:UEN55"/>
    <mergeCell ref="UEP55:UER55"/>
    <mergeCell ref="UDF55:UDH55"/>
    <mergeCell ref="UDJ55:UDL55"/>
    <mergeCell ref="UDN55:UDP55"/>
    <mergeCell ref="UDR55:UDT55"/>
    <mergeCell ref="UDV55:UDX55"/>
    <mergeCell ref="UCL55:UCN55"/>
    <mergeCell ref="UCP55:UCR55"/>
    <mergeCell ref="UCT55:UCV55"/>
    <mergeCell ref="UCX55:UCZ55"/>
    <mergeCell ref="UDB55:UDD55"/>
    <mergeCell ref="UBR55:UBT55"/>
    <mergeCell ref="UBV55:UBX55"/>
    <mergeCell ref="UBZ55:UCB55"/>
    <mergeCell ref="UCD55:UCF55"/>
    <mergeCell ref="UCH55:UCJ55"/>
    <mergeCell ref="UAX55:UAZ55"/>
    <mergeCell ref="UBB55:UBD55"/>
    <mergeCell ref="UBF55:UBH55"/>
    <mergeCell ref="UBJ55:UBL55"/>
    <mergeCell ref="UBN55:UBP55"/>
    <mergeCell ref="UAD55:UAF55"/>
    <mergeCell ref="UAH55:UAJ55"/>
    <mergeCell ref="UAL55:UAN55"/>
    <mergeCell ref="UAP55:UAR55"/>
    <mergeCell ref="UAT55:UAV55"/>
    <mergeCell ref="TZJ55:TZL55"/>
    <mergeCell ref="TZN55:TZP55"/>
    <mergeCell ref="TZR55:TZT55"/>
    <mergeCell ref="TZV55:TZX55"/>
    <mergeCell ref="TZZ55:UAB55"/>
    <mergeCell ref="TYP55:TYR55"/>
    <mergeCell ref="TYT55:TYV55"/>
    <mergeCell ref="TYX55:TYZ55"/>
    <mergeCell ref="TZB55:TZD55"/>
    <mergeCell ref="TZF55:TZH55"/>
    <mergeCell ref="TXV55:TXX55"/>
    <mergeCell ref="TXZ55:TYB55"/>
    <mergeCell ref="TYD55:TYF55"/>
    <mergeCell ref="TYH55:TYJ55"/>
    <mergeCell ref="TYL55:TYN55"/>
    <mergeCell ref="TXB55:TXD55"/>
    <mergeCell ref="TXF55:TXH55"/>
    <mergeCell ref="TXJ55:TXL55"/>
    <mergeCell ref="TXN55:TXP55"/>
    <mergeCell ref="TXR55:TXT55"/>
    <mergeCell ref="TWH55:TWJ55"/>
    <mergeCell ref="TWL55:TWN55"/>
    <mergeCell ref="TWP55:TWR55"/>
    <mergeCell ref="TWT55:TWV55"/>
    <mergeCell ref="TWX55:TWZ55"/>
    <mergeCell ref="TVN55:TVP55"/>
    <mergeCell ref="TVR55:TVT55"/>
    <mergeCell ref="TVV55:TVX55"/>
    <mergeCell ref="TVZ55:TWB55"/>
    <mergeCell ref="TWD55:TWF55"/>
    <mergeCell ref="TUT55:TUV55"/>
    <mergeCell ref="TUX55:TUZ55"/>
    <mergeCell ref="TVB55:TVD55"/>
    <mergeCell ref="TVF55:TVH55"/>
    <mergeCell ref="TVJ55:TVL55"/>
    <mergeCell ref="TTZ55:TUB55"/>
    <mergeCell ref="TUD55:TUF55"/>
    <mergeCell ref="TUH55:TUJ55"/>
    <mergeCell ref="TUL55:TUN55"/>
    <mergeCell ref="TUP55:TUR55"/>
    <mergeCell ref="TTF55:TTH55"/>
    <mergeCell ref="TTJ55:TTL55"/>
    <mergeCell ref="TTN55:TTP55"/>
    <mergeCell ref="TTR55:TTT55"/>
    <mergeCell ref="TTV55:TTX55"/>
    <mergeCell ref="TSL55:TSN55"/>
    <mergeCell ref="TSP55:TSR55"/>
    <mergeCell ref="TST55:TSV55"/>
    <mergeCell ref="TSX55:TSZ55"/>
    <mergeCell ref="TTB55:TTD55"/>
    <mergeCell ref="TRR55:TRT55"/>
    <mergeCell ref="TRV55:TRX55"/>
    <mergeCell ref="TRZ55:TSB55"/>
    <mergeCell ref="TSD55:TSF55"/>
    <mergeCell ref="TSH55:TSJ55"/>
    <mergeCell ref="TQX55:TQZ55"/>
    <mergeCell ref="TRB55:TRD55"/>
    <mergeCell ref="TRF55:TRH55"/>
    <mergeCell ref="TRJ55:TRL55"/>
    <mergeCell ref="TRN55:TRP55"/>
    <mergeCell ref="TQD55:TQF55"/>
    <mergeCell ref="TQH55:TQJ55"/>
    <mergeCell ref="TQL55:TQN55"/>
    <mergeCell ref="TQP55:TQR55"/>
    <mergeCell ref="TQT55:TQV55"/>
    <mergeCell ref="TPJ55:TPL55"/>
    <mergeCell ref="TPN55:TPP55"/>
    <mergeCell ref="TPR55:TPT55"/>
    <mergeCell ref="TPV55:TPX55"/>
    <mergeCell ref="TPZ55:TQB55"/>
    <mergeCell ref="TOP55:TOR55"/>
    <mergeCell ref="TOT55:TOV55"/>
    <mergeCell ref="TOX55:TOZ55"/>
    <mergeCell ref="TPB55:TPD55"/>
    <mergeCell ref="TPF55:TPH55"/>
    <mergeCell ref="TNV55:TNX55"/>
    <mergeCell ref="TNZ55:TOB55"/>
    <mergeCell ref="TOD55:TOF55"/>
    <mergeCell ref="TOH55:TOJ55"/>
    <mergeCell ref="TOL55:TON55"/>
    <mergeCell ref="TNB55:TND55"/>
    <mergeCell ref="TNF55:TNH55"/>
    <mergeCell ref="TNJ55:TNL55"/>
    <mergeCell ref="TNN55:TNP55"/>
    <mergeCell ref="TNR55:TNT55"/>
    <mergeCell ref="TMH55:TMJ55"/>
    <mergeCell ref="TML55:TMN55"/>
    <mergeCell ref="TMP55:TMR55"/>
    <mergeCell ref="TMT55:TMV55"/>
    <mergeCell ref="TMX55:TMZ55"/>
    <mergeCell ref="TLN55:TLP55"/>
    <mergeCell ref="TLR55:TLT55"/>
    <mergeCell ref="TLV55:TLX55"/>
    <mergeCell ref="TLZ55:TMB55"/>
    <mergeCell ref="TMD55:TMF55"/>
    <mergeCell ref="TKT55:TKV55"/>
    <mergeCell ref="TKX55:TKZ55"/>
    <mergeCell ref="TLB55:TLD55"/>
    <mergeCell ref="TLF55:TLH55"/>
    <mergeCell ref="TLJ55:TLL55"/>
    <mergeCell ref="TJZ55:TKB55"/>
    <mergeCell ref="TKD55:TKF55"/>
    <mergeCell ref="TKH55:TKJ55"/>
    <mergeCell ref="TKL55:TKN55"/>
    <mergeCell ref="TKP55:TKR55"/>
    <mergeCell ref="TJF55:TJH55"/>
    <mergeCell ref="TJJ55:TJL55"/>
    <mergeCell ref="TJN55:TJP55"/>
    <mergeCell ref="TJR55:TJT55"/>
    <mergeCell ref="TJV55:TJX55"/>
    <mergeCell ref="TIL55:TIN55"/>
    <mergeCell ref="TIP55:TIR55"/>
    <mergeCell ref="TIT55:TIV55"/>
    <mergeCell ref="TIX55:TIZ55"/>
    <mergeCell ref="TJB55:TJD55"/>
    <mergeCell ref="THR55:THT55"/>
    <mergeCell ref="THV55:THX55"/>
    <mergeCell ref="THZ55:TIB55"/>
    <mergeCell ref="TID55:TIF55"/>
    <mergeCell ref="TIH55:TIJ55"/>
    <mergeCell ref="TGX55:TGZ55"/>
    <mergeCell ref="THB55:THD55"/>
    <mergeCell ref="THF55:THH55"/>
    <mergeCell ref="THJ55:THL55"/>
    <mergeCell ref="THN55:THP55"/>
    <mergeCell ref="TGD55:TGF55"/>
    <mergeCell ref="TGH55:TGJ55"/>
    <mergeCell ref="TGL55:TGN55"/>
    <mergeCell ref="TGP55:TGR55"/>
    <mergeCell ref="TGT55:TGV55"/>
    <mergeCell ref="TFJ55:TFL55"/>
    <mergeCell ref="TFN55:TFP55"/>
    <mergeCell ref="TFR55:TFT55"/>
    <mergeCell ref="TFV55:TFX55"/>
    <mergeCell ref="TFZ55:TGB55"/>
    <mergeCell ref="TEP55:TER55"/>
    <mergeCell ref="TET55:TEV55"/>
    <mergeCell ref="TEX55:TEZ55"/>
    <mergeCell ref="TFB55:TFD55"/>
    <mergeCell ref="TFF55:TFH55"/>
    <mergeCell ref="TDV55:TDX55"/>
    <mergeCell ref="TDZ55:TEB55"/>
    <mergeCell ref="TED55:TEF55"/>
    <mergeCell ref="TEH55:TEJ55"/>
    <mergeCell ref="TEL55:TEN55"/>
    <mergeCell ref="TDB55:TDD55"/>
    <mergeCell ref="TDF55:TDH55"/>
    <mergeCell ref="TDJ55:TDL55"/>
    <mergeCell ref="TDN55:TDP55"/>
    <mergeCell ref="TDR55:TDT55"/>
    <mergeCell ref="TCH55:TCJ55"/>
    <mergeCell ref="TCL55:TCN55"/>
    <mergeCell ref="TCP55:TCR55"/>
    <mergeCell ref="TCT55:TCV55"/>
    <mergeCell ref="TCX55:TCZ55"/>
    <mergeCell ref="TBN55:TBP55"/>
    <mergeCell ref="TBR55:TBT55"/>
    <mergeCell ref="TBV55:TBX55"/>
    <mergeCell ref="TBZ55:TCB55"/>
    <mergeCell ref="TCD55:TCF55"/>
    <mergeCell ref="TAT55:TAV55"/>
    <mergeCell ref="TAX55:TAZ55"/>
    <mergeCell ref="TBB55:TBD55"/>
    <mergeCell ref="TBF55:TBH55"/>
    <mergeCell ref="TBJ55:TBL55"/>
    <mergeCell ref="SZZ55:TAB55"/>
    <mergeCell ref="TAD55:TAF55"/>
    <mergeCell ref="TAH55:TAJ55"/>
    <mergeCell ref="TAL55:TAN55"/>
    <mergeCell ref="TAP55:TAR55"/>
    <mergeCell ref="SZF55:SZH55"/>
    <mergeCell ref="SZJ55:SZL55"/>
    <mergeCell ref="SZN55:SZP55"/>
    <mergeCell ref="SZR55:SZT55"/>
    <mergeCell ref="SZV55:SZX55"/>
    <mergeCell ref="SYL55:SYN55"/>
    <mergeCell ref="SYP55:SYR55"/>
    <mergeCell ref="SYT55:SYV55"/>
    <mergeCell ref="SYX55:SYZ55"/>
    <mergeCell ref="SZB55:SZD55"/>
    <mergeCell ref="SXR55:SXT55"/>
    <mergeCell ref="SXV55:SXX55"/>
    <mergeCell ref="SXZ55:SYB55"/>
    <mergeCell ref="SYD55:SYF55"/>
    <mergeCell ref="SYH55:SYJ55"/>
    <mergeCell ref="SWX55:SWZ55"/>
    <mergeCell ref="SXB55:SXD55"/>
    <mergeCell ref="SXF55:SXH55"/>
    <mergeCell ref="SXJ55:SXL55"/>
    <mergeCell ref="SXN55:SXP55"/>
    <mergeCell ref="SWD55:SWF55"/>
    <mergeCell ref="SWH55:SWJ55"/>
    <mergeCell ref="SWL55:SWN55"/>
    <mergeCell ref="SWP55:SWR55"/>
    <mergeCell ref="SWT55:SWV55"/>
    <mergeCell ref="SVJ55:SVL55"/>
    <mergeCell ref="SVN55:SVP55"/>
    <mergeCell ref="SVR55:SVT55"/>
    <mergeCell ref="SVV55:SVX55"/>
    <mergeCell ref="SVZ55:SWB55"/>
    <mergeCell ref="SUP55:SUR55"/>
    <mergeCell ref="SUT55:SUV55"/>
    <mergeCell ref="SUX55:SUZ55"/>
    <mergeCell ref="SVB55:SVD55"/>
    <mergeCell ref="SVF55:SVH55"/>
    <mergeCell ref="STV55:STX55"/>
    <mergeCell ref="STZ55:SUB55"/>
    <mergeCell ref="SUD55:SUF55"/>
    <mergeCell ref="SUH55:SUJ55"/>
    <mergeCell ref="SUL55:SUN55"/>
    <mergeCell ref="STB55:STD55"/>
    <mergeCell ref="STF55:STH55"/>
    <mergeCell ref="STJ55:STL55"/>
    <mergeCell ref="STN55:STP55"/>
    <mergeCell ref="STR55:STT55"/>
    <mergeCell ref="SSH55:SSJ55"/>
    <mergeCell ref="SSL55:SSN55"/>
    <mergeCell ref="SSP55:SSR55"/>
    <mergeCell ref="SST55:SSV55"/>
    <mergeCell ref="SSX55:SSZ55"/>
    <mergeCell ref="SRN55:SRP55"/>
    <mergeCell ref="SRR55:SRT55"/>
    <mergeCell ref="SRV55:SRX55"/>
    <mergeCell ref="SRZ55:SSB55"/>
    <mergeCell ref="SSD55:SSF55"/>
    <mergeCell ref="SQT55:SQV55"/>
    <mergeCell ref="SQX55:SQZ55"/>
    <mergeCell ref="SRB55:SRD55"/>
    <mergeCell ref="SRF55:SRH55"/>
    <mergeCell ref="SRJ55:SRL55"/>
    <mergeCell ref="SPZ55:SQB55"/>
    <mergeCell ref="SQD55:SQF55"/>
    <mergeCell ref="SQH55:SQJ55"/>
    <mergeCell ref="SQL55:SQN55"/>
    <mergeCell ref="SQP55:SQR55"/>
    <mergeCell ref="SPF55:SPH55"/>
    <mergeCell ref="SPJ55:SPL55"/>
    <mergeCell ref="SPN55:SPP55"/>
    <mergeCell ref="SPR55:SPT55"/>
    <mergeCell ref="SPV55:SPX55"/>
    <mergeCell ref="SOL55:SON55"/>
    <mergeCell ref="SOP55:SOR55"/>
    <mergeCell ref="SOT55:SOV55"/>
    <mergeCell ref="SOX55:SOZ55"/>
    <mergeCell ref="SPB55:SPD55"/>
    <mergeCell ref="SNR55:SNT55"/>
    <mergeCell ref="SNV55:SNX55"/>
    <mergeCell ref="SNZ55:SOB55"/>
    <mergeCell ref="SOD55:SOF55"/>
    <mergeCell ref="SOH55:SOJ55"/>
    <mergeCell ref="SMX55:SMZ55"/>
    <mergeCell ref="SNB55:SND55"/>
    <mergeCell ref="SNF55:SNH55"/>
    <mergeCell ref="SNJ55:SNL55"/>
    <mergeCell ref="SNN55:SNP55"/>
    <mergeCell ref="SMD55:SMF55"/>
    <mergeCell ref="SMH55:SMJ55"/>
    <mergeCell ref="SML55:SMN55"/>
    <mergeCell ref="SMP55:SMR55"/>
    <mergeCell ref="SMT55:SMV55"/>
    <mergeCell ref="SLJ55:SLL55"/>
    <mergeCell ref="SLN55:SLP55"/>
    <mergeCell ref="SLR55:SLT55"/>
    <mergeCell ref="SLV55:SLX55"/>
    <mergeCell ref="SLZ55:SMB55"/>
    <mergeCell ref="SKP55:SKR55"/>
    <mergeCell ref="SKT55:SKV55"/>
    <mergeCell ref="SKX55:SKZ55"/>
    <mergeCell ref="SLB55:SLD55"/>
    <mergeCell ref="SLF55:SLH55"/>
    <mergeCell ref="SJV55:SJX55"/>
    <mergeCell ref="SJZ55:SKB55"/>
    <mergeCell ref="SKD55:SKF55"/>
    <mergeCell ref="SKH55:SKJ55"/>
    <mergeCell ref="SKL55:SKN55"/>
    <mergeCell ref="SJB55:SJD55"/>
    <mergeCell ref="SJF55:SJH55"/>
    <mergeCell ref="SJJ55:SJL55"/>
    <mergeCell ref="SJN55:SJP55"/>
    <mergeCell ref="SJR55:SJT55"/>
    <mergeCell ref="SIH55:SIJ55"/>
    <mergeCell ref="SIL55:SIN55"/>
    <mergeCell ref="SIP55:SIR55"/>
    <mergeCell ref="SIT55:SIV55"/>
    <mergeCell ref="SIX55:SIZ55"/>
    <mergeCell ref="SHN55:SHP55"/>
    <mergeCell ref="SHR55:SHT55"/>
    <mergeCell ref="SHV55:SHX55"/>
    <mergeCell ref="SHZ55:SIB55"/>
    <mergeCell ref="SID55:SIF55"/>
    <mergeCell ref="SGT55:SGV55"/>
    <mergeCell ref="SGX55:SGZ55"/>
    <mergeCell ref="SHB55:SHD55"/>
    <mergeCell ref="SHF55:SHH55"/>
    <mergeCell ref="SHJ55:SHL55"/>
    <mergeCell ref="SFZ55:SGB55"/>
    <mergeCell ref="SGD55:SGF55"/>
    <mergeCell ref="SGH55:SGJ55"/>
    <mergeCell ref="SGL55:SGN55"/>
    <mergeCell ref="SGP55:SGR55"/>
    <mergeCell ref="SFF55:SFH55"/>
    <mergeCell ref="SFJ55:SFL55"/>
    <mergeCell ref="SFN55:SFP55"/>
    <mergeCell ref="SFR55:SFT55"/>
    <mergeCell ref="SFV55:SFX55"/>
    <mergeCell ref="SEL55:SEN55"/>
    <mergeCell ref="SEP55:SER55"/>
    <mergeCell ref="SET55:SEV55"/>
    <mergeCell ref="SEX55:SEZ55"/>
    <mergeCell ref="SFB55:SFD55"/>
    <mergeCell ref="SDR55:SDT55"/>
    <mergeCell ref="SDV55:SDX55"/>
    <mergeCell ref="SDZ55:SEB55"/>
    <mergeCell ref="SED55:SEF55"/>
    <mergeCell ref="SEH55:SEJ55"/>
    <mergeCell ref="SCX55:SCZ55"/>
    <mergeCell ref="SDB55:SDD55"/>
    <mergeCell ref="SDF55:SDH55"/>
    <mergeCell ref="SDJ55:SDL55"/>
    <mergeCell ref="SDN55:SDP55"/>
    <mergeCell ref="SCD55:SCF55"/>
    <mergeCell ref="SCH55:SCJ55"/>
    <mergeCell ref="SCL55:SCN55"/>
    <mergeCell ref="SCP55:SCR55"/>
    <mergeCell ref="SCT55:SCV55"/>
    <mergeCell ref="SBJ55:SBL55"/>
    <mergeCell ref="SBN55:SBP55"/>
    <mergeCell ref="SBR55:SBT55"/>
    <mergeCell ref="SBV55:SBX55"/>
    <mergeCell ref="SBZ55:SCB55"/>
    <mergeCell ref="SAP55:SAR55"/>
    <mergeCell ref="SAT55:SAV55"/>
    <mergeCell ref="SAX55:SAZ55"/>
    <mergeCell ref="SBB55:SBD55"/>
    <mergeCell ref="SBF55:SBH55"/>
    <mergeCell ref="RZV55:RZX55"/>
    <mergeCell ref="RZZ55:SAB55"/>
    <mergeCell ref="SAD55:SAF55"/>
    <mergeCell ref="SAH55:SAJ55"/>
    <mergeCell ref="SAL55:SAN55"/>
    <mergeCell ref="RZB55:RZD55"/>
    <mergeCell ref="RZF55:RZH55"/>
    <mergeCell ref="RZJ55:RZL55"/>
    <mergeCell ref="RZN55:RZP55"/>
    <mergeCell ref="RZR55:RZT55"/>
    <mergeCell ref="RYH55:RYJ55"/>
    <mergeCell ref="RYL55:RYN55"/>
    <mergeCell ref="RYP55:RYR55"/>
    <mergeCell ref="RYT55:RYV55"/>
    <mergeCell ref="RYX55:RYZ55"/>
    <mergeCell ref="RXN55:RXP55"/>
    <mergeCell ref="RXR55:RXT55"/>
    <mergeCell ref="RXV55:RXX55"/>
    <mergeCell ref="RXZ55:RYB55"/>
    <mergeCell ref="RYD55:RYF55"/>
    <mergeCell ref="RWT55:RWV55"/>
    <mergeCell ref="RWX55:RWZ55"/>
    <mergeCell ref="RXB55:RXD55"/>
    <mergeCell ref="RXF55:RXH55"/>
    <mergeCell ref="RXJ55:RXL55"/>
    <mergeCell ref="RVZ55:RWB55"/>
    <mergeCell ref="RWD55:RWF55"/>
    <mergeCell ref="RWH55:RWJ55"/>
    <mergeCell ref="RWL55:RWN55"/>
    <mergeCell ref="RWP55:RWR55"/>
    <mergeCell ref="RVF55:RVH55"/>
    <mergeCell ref="RVJ55:RVL55"/>
    <mergeCell ref="RVN55:RVP55"/>
    <mergeCell ref="RVR55:RVT55"/>
    <mergeCell ref="RVV55:RVX55"/>
    <mergeCell ref="RUL55:RUN55"/>
    <mergeCell ref="RUP55:RUR55"/>
    <mergeCell ref="RUT55:RUV55"/>
    <mergeCell ref="RUX55:RUZ55"/>
    <mergeCell ref="RVB55:RVD55"/>
    <mergeCell ref="RTR55:RTT55"/>
    <mergeCell ref="RTV55:RTX55"/>
    <mergeCell ref="RTZ55:RUB55"/>
    <mergeCell ref="RUD55:RUF55"/>
    <mergeCell ref="RUH55:RUJ55"/>
    <mergeCell ref="RSX55:RSZ55"/>
    <mergeCell ref="RTB55:RTD55"/>
    <mergeCell ref="RTF55:RTH55"/>
    <mergeCell ref="RTJ55:RTL55"/>
    <mergeCell ref="RTN55:RTP55"/>
    <mergeCell ref="RSD55:RSF55"/>
    <mergeCell ref="RSH55:RSJ55"/>
    <mergeCell ref="RSL55:RSN55"/>
    <mergeCell ref="RSP55:RSR55"/>
    <mergeCell ref="RST55:RSV55"/>
    <mergeCell ref="RRJ55:RRL55"/>
    <mergeCell ref="RRN55:RRP55"/>
    <mergeCell ref="RRR55:RRT55"/>
    <mergeCell ref="RRV55:RRX55"/>
    <mergeCell ref="RRZ55:RSB55"/>
    <mergeCell ref="RQP55:RQR55"/>
    <mergeCell ref="RQT55:RQV55"/>
    <mergeCell ref="RQX55:RQZ55"/>
    <mergeCell ref="RRB55:RRD55"/>
    <mergeCell ref="RRF55:RRH55"/>
    <mergeCell ref="RPV55:RPX55"/>
    <mergeCell ref="RPZ55:RQB55"/>
    <mergeCell ref="RQD55:RQF55"/>
    <mergeCell ref="RQH55:RQJ55"/>
    <mergeCell ref="RQL55:RQN55"/>
    <mergeCell ref="RPB55:RPD55"/>
    <mergeCell ref="RPF55:RPH55"/>
    <mergeCell ref="RPJ55:RPL55"/>
    <mergeCell ref="RPN55:RPP55"/>
    <mergeCell ref="RPR55:RPT55"/>
    <mergeCell ref="ROH55:ROJ55"/>
    <mergeCell ref="ROL55:RON55"/>
    <mergeCell ref="ROP55:ROR55"/>
    <mergeCell ref="ROT55:ROV55"/>
    <mergeCell ref="ROX55:ROZ55"/>
    <mergeCell ref="RNN55:RNP55"/>
    <mergeCell ref="RNR55:RNT55"/>
    <mergeCell ref="RNV55:RNX55"/>
    <mergeCell ref="RNZ55:ROB55"/>
    <mergeCell ref="ROD55:ROF55"/>
    <mergeCell ref="RMT55:RMV55"/>
    <mergeCell ref="RMX55:RMZ55"/>
    <mergeCell ref="RNB55:RND55"/>
    <mergeCell ref="RNF55:RNH55"/>
    <mergeCell ref="RNJ55:RNL55"/>
    <mergeCell ref="RLZ55:RMB55"/>
    <mergeCell ref="RMD55:RMF55"/>
    <mergeCell ref="RMH55:RMJ55"/>
    <mergeCell ref="RML55:RMN55"/>
    <mergeCell ref="RMP55:RMR55"/>
    <mergeCell ref="RLF55:RLH55"/>
    <mergeCell ref="RLJ55:RLL55"/>
    <mergeCell ref="RLN55:RLP55"/>
    <mergeCell ref="RLR55:RLT55"/>
    <mergeCell ref="RLV55:RLX55"/>
    <mergeCell ref="RKL55:RKN55"/>
    <mergeCell ref="RKP55:RKR55"/>
    <mergeCell ref="RKT55:RKV55"/>
    <mergeCell ref="RKX55:RKZ55"/>
    <mergeCell ref="RLB55:RLD55"/>
    <mergeCell ref="RJR55:RJT55"/>
    <mergeCell ref="RJV55:RJX55"/>
    <mergeCell ref="RJZ55:RKB55"/>
    <mergeCell ref="RKD55:RKF55"/>
    <mergeCell ref="RKH55:RKJ55"/>
    <mergeCell ref="RIX55:RIZ55"/>
    <mergeCell ref="RJB55:RJD55"/>
    <mergeCell ref="RJF55:RJH55"/>
    <mergeCell ref="RJJ55:RJL55"/>
    <mergeCell ref="RJN55:RJP55"/>
    <mergeCell ref="RID55:RIF55"/>
    <mergeCell ref="RIH55:RIJ55"/>
    <mergeCell ref="RIL55:RIN55"/>
    <mergeCell ref="RIP55:RIR55"/>
    <mergeCell ref="RIT55:RIV55"/>
    <mergeCell ref="RHJ55:RHL55"/>
    <mergeCell ref="RHN55:RHP55"/>
    <mergeCell ref="RHR55:RHT55"/>
    <mergeCell ref="RHV55:RHX55"/>
    <mergeCell ref="RHZ55:RIB55"/>
    <mergeCell ref="RGP55:RGR55"/>
    <mergeCell ref="RGT55:RGV55"/>
    <mergeCell ref="RGX55:RGZ55"/>
    <mergeCell ref="RHB55:RHD55"/>
    <mergeCell ref="RHF55:RHH55"/>
    <mergeCell ref="RFV55:RFX55"/>
    <mergeCell ref="RFZ55:RGB55"/>
    <mergeCell ref="RGD55:RGF55"/>
    <mergeCell ref="RGH55:RGJ55"/>
    <mergeCell ref="RGL55:RGN55"/>
    <mergeCell ref="RFB55:RFD55"/>
    <mergeCell ref="RFF55:RFH55"/>
    <mergeCell ref="RFJ55:RFL55"/>
    <mergeCell ref="RFN55:RFP55"/>
    <mergeCell ref="RFR55:RFT55"/>
    <mergeCell ref="REH55:REJ55"/>
    <mergeCell ref="REL55:REN55"/>
    <mergeCell ref="REP55:RER55"/>
    <mergeCell ref="RET55:REV55"/>
    <mergeCell ref="REX55:REZ55"/>
    <mergeCell ref="RDN55:RDP55"/>
    <mergeCell ref="RDR55:RDT55"/>
    <mergeCell ref="RDV55:RDX55"/>
    <mergeCell ref="RDZ55:REB55"/>
    <mergeCell ref="RED55:REF55"/>
    <mergeCell ref="RCT55:RCV55"/>
    <mergeCell ref="RCX55:RCZ55"/>
    <mergeCell ref="RDB55:RDD55"/>
    <mergeCell ref="RDF55:RDH55"/>
    <mergeCell ref="RDJ55:RDL55"/>
    <mergeCell ref="RBZ55:RCB55"/>
    <mergeCell ref="RCD55:RCF55"/>
    <mergeCell ref="RCH55:RCJ55"/>
    <mergeCell ref="RCL55:RCN55"/>
    <mergeCell ref="RCP55:RCR55"/>
    <mergeCell ref="RBF55:RBH55"/>
    <mergeCell ref="RBJ55:RBL55"/>
    <mergeCell ref="RBN55:RBP55"/>
    <mergeCell ref="RBR55:RBT55"/>
    <mergeCell ref="RBV55:RBX55"/>
    <mergeCell ref="RAL55:RAN55"/>
    <mergeCell ref="RAP55:RAR55"/>
    <mergeCell ref="RAT55:RAV55"/>
    <mergeCell ref="RAX55:RAZ55"/>
    <mergeCell ref="RBB55:RBD55"/>
    <mergeCell ref="QZR55:QZT55"/>
    <mergeCell ref="QZV55:QZX55"/>
    <mergeCell ref="QZZ55:RAB55"/>
    <mergeCell ref="RAD55:RAF55"/>
    <mergeCell ref="RAH55:RAJ55"/>
    <mergeCell ref="QYX55:QYZ55"/>
    <mergeCell ref="QZB55:QZD55"/>
    <mergeCell ref="QZF55:QZH55"/>
    <mergeCell ref="QZJ55:QZL55"/>
    <mergeCell ref="QZN55:QZP55"/>
    <mergeCell ref="QYD55:QYF55"/>
    <mergeCell ref="QYH55:QYJ55"/>
    <mergeCell ref="QYL55:QYN55"/>
    <mergeCell ref="QYP55:QYR55"/>
    <mergeCell ref="QYT55:QYV55"/>
    <mergeCell ref="QXJ55:QXL55"/>
    <mergeCell ref="QXN55:QXP55"/>
    <mergeCell ref="QXR55:QXT55"/>
    <mergeCell ref="QXV55:QXX55"/>
    <mergeCell ref="QXZ55:QYB55"/>
    <mergeCell ref="QWP55:QWR55"/>
    <mergeCell ref="QWT55:QWV55"/>
    <mergeCell ref="QWX55:QWZ55"/>
    <mergeCell ref="QXB55:QXD55"/>
    <mergeCell ref="QXF55:QXH55"/>
    <mergeCell ref="QVV55:QVX55"/>
    <mergeCell ref="QVZ55:QWB55"/>
    <mergeCell ref="QWD55:QWF55"/>
    <mergeCell ref="QWH55:QWJ55"/>
    <mergeCell ref="QWL55:QWN55"/>
    <mergeCell ref="QVB55:QVD55"/>
    <mergeCell ref="QVF55:QVH55"/>
    <mergeCell ref="QVJ55:QVL55"/>
    <mergeCell ref="QVN55:QVP55"/>
    <mergeCell ref="QVR55:QVT55"/>
    <mergeCell ref="QUH55:QUJ55"/>
    <mergeCell ref="QUL55:QUN55"/>
    <mergeCell ref="QUP55:QUR55"/>
    <mergeCell ref="QUT55:QUV55"/>
    <mergeCell ref="QUX55:QUZ55"/>
    <mergeCell ref="QTN55:QTP55"/>
    <mergeCell ref="QTR55:QTT55"/>
    <mergeCell ref="QTV55:QTX55"/>
    <mergeCell ref="QTZ55:QUB55"/>
    <mergeCell ref="QUD55:QUF55"/>
    <mergeCell ref="QST55:QSV55"/>
    <mergeCell ref="QSX55:QSZ55"/>
    <mergeCell ref="QTB55:QTD55"/>
    <mergeCell ref="QTF55:QTH55"/>
    <mergeCell ref="QTJ55:QTL55"/>
    <mergeCell ref="QRZ55:QSB55"/>
    <mergeCell ref="QSD55:QSF55"/>
    <mergeCell ref="QSH55:QSJ55"/>
    <mergeCell ref="QSL55:QSN55"/>
    <mergeCell ref="QSP55:QSR55"/>
    <mergeCell ref="QRF55:QRH55"/>
    <mergeCell ref="QRJ55:QRL55"/>
    <mergeCell ref="QRN55:QRP55"/>
    <mergeCell ref="QRR55:QRT55"/>
    <mergeCell ref="QRV55:QRX55"/>
    <mergeCell ref="QQL55:QQN55"/>
    <mergeCell ref="QQP55:QQR55"/>
    <mergeCell ref="QQT55:QQV55"/>
    <mergeCell ref="QQX55:QQZ55"/>
    <mergeCell ref="QRB55:QRD55"/>
    <mergeCell ref="QPR55:QPT55"/>
    <mergeCell ref="QPV55:QPX55"/>
    <mergeCell ref="QPZ55:QQB55"/>
    <mergeCell ref="QQD55:QQF55"/>
    <mergeCell ref="QQH55:QQJ55"/>
    <mergeCell ref="QOX55:QOZ55"/>
    <mergeCell ref="QPB55:QPD55"/>
    <mergeCell ref="QPF55:QPH55"/>
    <mergeCell ref="QPJ55:QPL55"/>
    <mergeCell ref="QPN55:QPP55"/>
    <mergeCell ref="QOD55:QOF55"/>
    <mergeCell ref="QOH55:QOJ55"/>
    <mergeCell ref="QOL55:QON55"/>
    <mergeCell ref="QOP55:QOR55"/>
    <mergeCell ref="QOT55:QOV55"/>
    <mergeCell ref="QNJ55:QNL55"/>
    <mergeCell ref="QNN55:QNP55"/>
    <mergeCell ref="QNR55:QNT55"/>
    <mergeCell ref="QNV55:QNX55"/>
    <mergeCell ref="QNZ55:QOB55"/>
    <mergeCell ref="QMP55:QMR55"/>
    <mergeCell ref="QMT55:QMV55"/>
    <mergeCell ref="QMX55:QMZ55"/>
    <mergeCell ref="QNB55:QND55"/>
    <mergeCell ref="QNF55:QNH55"/>
    <mergeCell ref="QLV55:QLX55"/>
    <mergeCell ref="QLZ55:QMB55"/>
    <mergeCell ref="QMD55:QMF55"/>
    <mergeCell ref="QMH55:QMJ55"/>
    <mergeCell ref="QML55:QMN55"/>
    <mergeCell ref="QLB55:QLD55"/>
    <mergeCell ref="QLF55:QLH55"/>
    <mergeCell ref="QLJ55:QLL55"/>
    <mergeCell ref="QLN55:QLP55"/>
    <mergeCell ref="QLR55:QLT55"/>
    <mergeCell ref="QKH55:QKJ55"/>
    <mergeCell ref="QKL55:QKN55"/>
    <mergeCell ref="QKP55:QKR55"/>
    <mergeCell ref="QKT55:QKV55"/>
    <mergeCell ref="QKX55:QKZ55"/>
    <mergeCell ref="QJN55:QJP55"/>
    <mergeCell ref="QJR55:QJT55"/>
    <mergeCell ref="QJV55:QJX55"/>
    <mergeCell ref="QJZ55:QKB55"/>
    <mergeCell ref="QKD55:QKF55"/>
    <mergeCell ref="QIT55:QIV55"/>
    <mergeCell ref="QIX55:QIZ55"/>
    <mergeCell ref="QJB55:QJD55"/>
    <mergeCell ref="QJF55:QJH55"/>
    <mergeCell ref="QJJ55:QJL55"/>
    <mergeCell ref="QHZ55:QIB55"/>
    <mergeCell ref="QID55:QIF55"/>
    <mergeCell ref="QIH55:QIJ55"/>
    <mergeCell ref="QIL55:QIN55"/>
    <mergeCell ref="QIP55:QIR55"/>
    <mergeCell ref="QHF55:QHH55"/>
    <mergeCell ref="QHJ55:QHL55"/>
    <mergeCell ref="QHN55:QHP55"/>
    <mergeCell ref="QHR55:QHT55"/>
    <mergeCell ref="QHV55:QHX55"/>
    <mergeCell ref="QGL55:QGN55"/>
    <mergeCell ref="QGP55:QGR55"/>
    <mergeCell ref="QGT55:QGV55"/>
    <mergeCell ref="QGX55:QGZ55"/>
    <mergeCell ref="QHB55:QHD55"/>
    <mergeCell ref="QFR55:QFT55"/>
    <mergeCell ref="QFV55:QFX55"/>
    <mergeCell ref="QFZ55:QGB55"/>
    <mergeCell ref="QGD55:QGF55"/>
    <mergeCell ref="QGH55:QGJ55"/>
    <mergeCell ref="QEX55:QEZ55"/>
    <mergeCell ref="QFB55:QFD55"/>
    <mergeCell ref="QFF55:QFH55"/>
    <mergeCell ref="QFJ55:QFL55"/>
    <mergeCell ref="QFN55:QFP55"/>
    <mergeCell ref="QED55:QEF55"/>
    <mergeCell ref="QEH55:QEJ55"/>
    <mergeCell ref="QEL55:QEN55"/>
    <mergeCell ref="QEP55:QER55"/>
    <mergeCell ref="QET55:QEV55"/>
    <mergeCell ref="QDJ55:QDL55"/>
    <mergeCell ref="QDN55:QDP55"/>
    <mergeCell ref="QDR55:QDT55"/>
    <mergeCell ref="QDV55:QDX55"/>
    <mergeCell ref="QDZ55:QEB55"/>
    <mergeCell ref="QCP55:QCR55"/>
    <mergeCell ref="QCT55:QCV55"/>
    <mergeCell ref="QCX55:QCZ55"/>
    <mergeCell ref="QDB55:QDD55"/>
    <mergeCell ref="QDF55:QDH55"/>
    <mergeCell ref="QBV55:QBX55"/>
    <mergeCell ref="QBZ55:QCB55"/>
    <mergeCell ref="QCD55:QCF55"/>
    <mergeCell ref="QCH55:QCJ55"/>
    <mergeCell ref="QCL55:QCN55"/>
    <mergeCell ref="QBB55:QBD55"/>
    <mergeCell ref="QBF55:QBH55"/>
    <mergeCell ref="QBJ55:QBL55"/>
    <mergeCell ref="QBN55:QBP55"/>
    <mergeCell ref="QBR55:QBT55"/>
    <mergeCell ref="QAH55:QAJ55"/>
    <mergeCell ref="QAL55:QAN55"/>
    <mergeCell ref="QAP55:QAR55"/>
    <mergeCell ref="QAT55:QAV55"/>
    <mergeCell ref="QAX55:QAZ55"/>
    <mergeCell ref="PZN55:PZP55"/>
    <mergeCell ref="PZR55:PZT55"/>
    <mergeCell ref="PZV55:PZX55"/>
    <mergeCell ref="PZZ55:QAB55"/>
    <mergeCell ref="QAD55:QAF55"/>
    <mergeCell ref="PYT55:PYV55"/>
    <mergeCell ref="PYX55:PYZ55"/>
    <mergeCell ref="PZB55:PZD55"/>
    <mergeCell ref="PZF55:PZH55"/>
    <mergeCell ref="PZJ55:PZL55"/>
    <mergeCell ref="PXZ55:PYB55"/>
    <mergeCell ref="PYD55:PYF55"/>
    <mergeCell ref="PYH55:PYJ55"/>
    <mergeCell ref="PYL55:PYN55"/>
    <mergeCell ref="PYP55:PYR55"/>
    <mergeCell ref="PXF55:PXH55"/>
    <mergeCell ref="PXJ55:PXL55"/>
    <mergeCell ref="PXN55:PXP55"/>
    <mergeCell ref="PXR55:PXT55"/>
    <mergeCell ref="PXV55:PXX55"/>
    <mergeCell ref="PWL55:PWN55"/>
    <mergeCell ref="PWP55:PWR55"/>
    <mergeCell ref="PWT55:PWV55"/>
    <mergeCell ref="PWX55:PWZ55"/>
    <mergeCell ref="PXB55:PXD55"/>
    <mergeCell ref="PVR55:PVT55"/>
    <mergeCell ref="PVV55:PVX55"/>
    <mergeCell ref="PVZ55:PWB55"/>
    <mergeCell ref="PWD55:PWF55"/>
    <mergeCell ref="PWH55:PWJ55"/>
    <mergeCell ref="PUX55:PUZ55"/>
    <mergeCell ref="PVB55:PVD55"/>
    <mergeCell ref="PVF55:PVH55"/>
    <mergeCell ref="PVJ55:PVL55"/>
    <mergeCell ref="PVN55:PVP55"/>
    <mergeCell ref="PUD55:PUF55"/>
    <mergeCell ref="PUH55:PUJ55"/>
    <mergeCell ref="PUL55:PUN55"/>
    <mergeCell ref="PUP55:PUR55"/>
    <mergeCell ref="PUT55:PUV55"/>
    <mergeCell ref="PTJ55:PTL55"/>
    <mergeCell ref="PTN55:PTP55"/>
    <mergeCell ref="PTR55:PTT55"/>
    <mergeCell ref="PTV55:PTX55"/>
    <mergeCell ref="PTZ55:PUB55"/>
    <mergeCell ref="PSP55:PSR55"/>
    <mergeCell ref="PST55:PSV55"/>
    <mergeCell ref="PSX55:PSZ55"/>
    <mergeCell ref="PTB55:PTD55"/>
    <mergeCell ref="PTF55:PTH55"/>
    <mergeCell ref="PRV55:PRX55"/>
    <mergeCell ref="PRZ55:PSB55"/>
    <mergeCell ref="PSD55:PSF55"/>
    <mergeCell ref="PSH55:PSJ55"/>
    <mergeCell ref="PSL55:PSN55"/>
    <mergeCell ref="PRB55:PRD55"/>
    <mergeCell ref="PRF55:PRH55"/>
    <mergeCell ref="PRJ55:PRL55"/>
    <mergeCell ref="PRN55:PRP55"/>
    <mergeCell ref="PRR55:PRT55"/>
    <mergeCell ref="PQH55:PQJ55"/>
    <mergeCell ref="PQL55:PQN55"/>
    <mergeCell ref="PQP55:PQR55"/>
    <mergeCell ref="PQT55:PQV55"/>
    <mergeCell ref="PQX55:PQZ55"/>
    <mergeCell ref="PPN55:PPP55"/>
    <mergeCell ref="PPR55:PPT55"/>
    <mergeCell ref="PPV55:PPX55"/>
    <mergeCell ref="PPZ55:PQB55"/>
    <mergeCell ref="PQD55:PQF55"/>
    <mergeCell ref="POT55:POV55"/>
    <mergeCell ref="POX55:POZ55"/>
    <mergeCell ref="PPB55:PPD55"/>
    <mergeCell ref="PPF55:PPH55"/>
    <mergeCell ref="PPJ55:PPL55"/>
    <mergeCell ref="PNZ55:POB55"/>
    <mergeCell ref="POD55:POF55"/>
    <mergeCell ref="POH55:POJ55"/>
    <mergeCell ref="POL55:PON55"/>
    <mergeCell ref="POP55:POR55"/>
    <mergeCell ref="PNF55:PNH55"/>
    <mergeCell ref="PNJ55:PNL55"/>
    <mergeCell ref="PNN55:PNP55"/>
    <mergeCell ref="PNR55:PNT55"/>
    <mergeCell ref="PNV55:PNX55"/>
    <mergeCell ref="PML55:PMN55"/>
    <mergeCell ref="PMP55:PMR55"/>
    <mergeCell ref="PMT55:PMV55"/>
    <mergeCell ref="PMX55:PMZ55"/>
    <mergeCell ref="PNB55:PND55"/>
    <mergeCell ref="PLR55:PLT55"/>
    <mergeCell ref="PLV55:PLX55"/>
    <mergeCell ref="PLZ55:PMB55"/>
    <mergeCell ref="PMD55:PMF55"/>
    <mergeCell ref="PMH55:PMJ55"/>
    <mergeCell ref="PKX55:PKZ55"/>
    <mergeCell ref="PLB55:PLD55"/>
    <mergeCell ref="PLF55:PLH55"/>
    <mergeCell ref="PLJ55:PLL55"/>
    <mergeCell ref="PLN55:PLP55"/>
    <mergeCell ref="PKD55:PKF55"/>
    <mergeCell ref="PKH55:PKJ55"/>
    <mergeCell ref="PKL55:PKN55"/>
    <mergeCell ref="PKP55:PKR55"/>
    <mergeCell ref="PKT55:PKV55"/>
    <mergeCell ref="PJJ55:PJL55"/>
    <mergeCell ref="PJN55:PJP55"/>
    <mergeCell ref="PJR55:PJT55"/>
    <mergeCell ref="PJV55:PJX55"/>
    <mergeCell ref="PJZ55:PKB55"/>
    <mergeCell ref="PIP55:PIR55"/>
    <mergeCell ref="PIT55:PIV55"/>
    <mergeCell ref="PIX55:PIZ55"/>
    <mergeCell ref="PJB55:PJD55"/>
    <mergeCell ref="PJF55:PJH55"/>
    <mergeCell ref="PHV55:PHX55"/>
    <mergeCell ref="PHZ55:PIB55"/>
    <mergeCell ref="PID55:PIF55"/>
    <mergeCell ref="PIH55:PIJ55"/>
    <mergeCell ref="PIL55:PIN55"/>
    <mergeCell ref="PHB55:PHD55"/>
    <mergeCell ref="PHF55:PHH55"/>
    <mergeCell ref="PHJ55:PHL55"/>
    <mergeCell ref="PHN55:PHP55"/>
    <mergeCell ref="PHR55:PHT55"/>
    <mergeCell ref="PGH55:PGJ55"/>
    <mergeCell ref="PGL55:PGN55"/>
    <mergeCell ref="PGP55:PGR55"/>
    <mergeCell ref="PGT55:PGV55"/>
    <mergeCell ref="PGX55:PGZ55"/>
    <mergeCell ref="PFN55:PFP55"/>
    <mergeCell ref="PFR55:PFT55"/>
    <mergeCell ref="PFV55:PFX55"/>
    <mergeCell ref="PFZ55:PGB55"/>
    <mergeCell ref="PGD55:PGF55"/>
    <mergeCell ref="PET55:PEV55"/>
    <mergeCell ref="PEX55:PEZ55"/>
    <mergeCell ref="PFB55:PFD55"/>
    <mergeCell ref="PFF55:PFH55"/>
    <mergeCell ref="PFJ55:PFL55"/>
    <mergeCell ref="PDZ55:PEB55"/>
    <mergeCell ref="PED55:PEF55"/>
    <mergeCell ref="PEH55:PEJ55"/>
    <mergeCell ref="PEL55:PEN55"/>
    <mergeCell ref="PEP55:PER55"/>
    <mergeCell ref="PDF55:PDH55"/>
    <mergeCell ref="PDJ55:PDL55"/>
    <mergeCell ref="PDN55:PDP55"/>
    <mergeCell ref="PDR55:PDT55"/>
    <mergeCell ref="PDV55:PDX55"/>
    <mergeCell ref="PCL55:PCN55"/>
    <mergeCell ref="PCP55:PCR55"/>
    <mergeCell ref="PCT55:PCV55"/>
    <mergeCell ref="PCX55:PCZ55"/>
    <mergeCell ref="PDB55:PDD55"/>
    <mergeCell ref="PBR55:PBT55"/>
    <mergeCell ref="PBV55:PBX55"/>
    <mergeCell ref="PBZ55:PCB55"/>
    <mergeCell ref="PCD55:PCF55"/>
    <mergeCell ref="PCH55:PCJ55"/>
    <mergeCell ref="PAX55:PAZ55"/>
    <mergeCell ref="PBB55:PBD55"/>
    <mergeCell ref="PBF55:PBH55"/>
    <mergeCell ref="PBJ55:PBL55"/>
    <mergeCell ref="PBN55:PBP55"/>
    <mergeCell ref="PAD55:PAF55"/>
    <mergeCell ref="PAH55:PAJ55"/>
    <mergeCell ref="PAL55:PAN55"/>
    <mergeCell ref="PAP55:PAR55"/>
    <mergeCell ref="PAT55:PAV55"/>
    <mergeCell ref="OZJ55:OZL55"/>
    <mergeCell ref="OZN55:OZP55"/>
    <mergeCell ref="OZR55:OZT55"/>
    <mergeCell ref="OZV55:OZX55"/>
    <mergeCell ref="OZZ55:PAB55"/>
    <mergeCell ref="OYP55:OYR55"/>
    <mergeCell ref="OYT55:OYV55"/>
    <mergeCell ref="OYX55:OYZ55"/>
    <mergeCell ref="OZB55:OZD55"/>
    <mergeCell ref="OZF55:OZH55"/>
    <mergeCell ref="OXV55:OXX55"/>
    <mergeCell ref="OXZ55:OYB55"/>
    <mergeCell ref="OYD55:OYF55"/>
    <mergeCell ref="OYH55:OYJ55"/>
    <mergeCell ref="OYL55:OYN55"/>
    <mergeCell ref="OXB55:OXD55"/>
    <mergeCell ref="OXF55:OXH55"/>
    <mergeCell ref="OXJ55:OXL55"/>
    <mergeCell ref="OXN55:OXP55"/>
    <mergeCell ref="OXR55:OXT55"/>
    <mergeCell ref="OWH55:OWJ55"/>
    <mergeCell ref="OWL55:OWN55"/>
    <mergeCell ref="OWP55:OWR55"/>
    <mergeCell ref="OWT55:OWV55"/>
    <mergeCell ref="OWX55:OWZ55"/>
    <mergeCell ref="OVN55:OVP55"/>
    <mergeCell ref="OVR55:OVT55"/>
    <mergeCell ref="OVV55:OVX55"/>
    <mergeCell ref="OVZ55:OWB55"/>
    <mergeCell ref="OWD55:OWF55"/>
    <mergeCell ref="OUT55:OUV55"/>
    <mergeCell ref="OUX55:OUZ55"/>
    <mergeCell ref="OVB55:OVD55"/>
    <mergeCell ref="OVF55:OVH55"/>
    <mergeCell ref="OVJ55:OVL55"/>
    <mergeCell ref="OTZ55:OUB55"/>
    <mergeCell ref="OUD55:OUF55"/>
    <mergeCell ref="OUH55:OUJ55"/>
    <mergeCell ref="OUL55:OUN55"/>
    <mergeCell ref="OUP55:OUR55"/>
    <mergeCell ref="OTF55:OTH55"/>
    <mergeCell ref="OTJ55:OTL55"/>
    <mergeCell ref="OTN55:OTP55"/>
    <mergeCell ref="OTR55:OTT55"/>
    <mergeCell ref="OTV55:OTX55"/>
    <mergeCell ref="OSL55:OSN55"/>
    <mergeCell ref="OSP55:OSR55"/>
    <mergeCell ref="OST55:OSV55"/>
    <mergeCell ref="OSX55:OSZ55"/>
    <mergeCell ref="OTB55:OTD55"/>
    <mergeCell ref="ORR55:ORT55"/>
    <mergeCell ref="ORV55:ORX55"/>
    <mergeCell ref="ORZ55:OSB55"/>
    <mergeCell ref="OSD55:OSF55"/>
    <mergeCell ref="OSH55:OSJ55"/>
    <mergeCell ref="OQX55:OQZ55"/>
    <mergeCell ref="ORB55:ORD55"/>
    <mergeCell ref="ORF55:ORH55"/>
    <mergeCell ref="ORJ55:ORL55"/>
    <mergeCell ref="ORN55:ORP55"/>
    <mergeCell ref="OQD55:OQF55"/>
    <mergeCell ref="OQH55:OQJ55"/>
    <mergeCell ref="OQL55:OQN55"/>
    <mergeCell ref="OQP55:OQR55"/>
    <mergeCell ref="OQT55:OQV55"/>
    <mergeCell ref="OPJ55:OPL55"/>
    <mergeCell ref="OPN55:OPP55"/>
    <mergeCell ref="OPR55:OPT55"/>
    <mergeCell ref="OPV55:OPX55"/>
    <mergeCell ref="OPZ55:OQB55"/>
    <mergeCell ref="OOP55:OOR55"/>
    <mergeCell ref="OOT55:OOV55"/>
    <mergeCell ref="OOX55:OOZ55"/>
    <mergeCell ref="OPB55:OPD55"/>
    <mergeCell ref="OPF55:OPH55"/>
    <mergeCell ref="ONV55:ONX55"/>
    <mergeCell ref="ONZ55:OOB55"/>
    <mergeCell ref="OOD55:OOF55"/>
    <mergeCell ref="OOH55:OOJ55"/>
    <mergeCell ref="OOL55:OON55"/>
    <mergeCell ref="ONB55:OND55"/>
    <mergeCell ref="ONF55:ONH55"/>
    <mergeCell ref="ONJ55:ONL55"/>
    <mergeCell ref="ONN55:ONP55"/>
    <mergeCell ref="ONR55:ONT55"/>
    <mergeCell ref="OMH55:OMJ55"/>
    <mergeCell ref="OML55:OMN55"/>
    <mergeCell ref="OMP55:OMR55"/>
    <mergeCell ref="OMT55:OMV55"/>
    <mergeCell ref="OMX55:OMZ55"/>
    <mergeCell ref="OLN55:OLP55"/>
    <mergeCell ref="OLR55:OLT55"/>
    <mergeCell ref="OLV55:OLX55"/>
    <mergeCell ref="OLZ55:OMB55"/>
    <mergeCell ref="OMD55:OMF55"/>
    <mergeCell ref="OKT55:OKV55"/>
    <mergeCell ref="OKX55:OKZ55"/>
    <mergeCell ref="OLB55:OLD55"/>
    <mergeCell ref="OLF55:OLH55"/>
    <mergeCell ref="OLJ55:OLL55"/>
    <mergeCell ref="OJZ55:OKB55"/>
    <mergeCell ref="OKD55:OKF55"/>
    <mergeCell ref="OKH55:OKJ55"/>
    <mergeCell ref="OKL55:OKN55"/>
    <mergeCell ref="OKP55:OKR55"/>
    <mergeCell ref="OJF55:OJH55"/>
    <mergeCell ref="OJJ55:OJL55"/>
    <mergeCell ref="OJN55:OJP55"/>
    <mergeCell ref="OJR55:OJT55"/>
    <mergeCell ref="OJV55:OJX55"/>
    <mergeCell ref="OIL55:OIN55"/>
    <mergeCell ref="OIP55:OIR55"/>
    <mergeCell ref="OIT55:OIV55"/>
    <mergeCell ref="OIX55:OIZ55"/>
    <mergeCell ref="OJB55:OJD55"/>
    <mergeCell ref="OHR55:OHT55"/>
    <mergeCell ref="OHV55:OHX55"/>
    <mergeCell ref="OHZ55:OIB55"/>
    <mergeCell ref="OID55:OIF55"/>
    <mergeCell ref="OIH55:OIJ55"/>
    <mergeCell ref="OGX55:OGZ55"/>
    <mergeCell ref="OHB55:OHD55"/>
    <mergeCell ref="OHF55:OHH55"/>
    <mergeCell ref="OHJ55:OHL55"/>
    <mergeCell ref="OHN55:OHP55"/>
    <mergeCell ref="OGD55:OGF55"/>
    <mergeCell ref="OGH55:OGJ55"/>
    <mergeCell ref="OGL55:OGN55"/>
    <mergeCell ref="OGP55:OGR55"/>
    <mergeCell ref="OGT55:OGV55"/>
    <mergeCell ref="OFJ55:OFL55"/>
    <mergeCell ref="OFN55:OFP55"/>
    <mergeCell ref="OFR55:OFT55"/>
    <mergeCell ref="OFV55:OFX55"/>
    <mergeCell ref="OFZ55:OGB55"/>
    <mergeCell ref="OEP55:OER55"/>
    <mergeCell ref="OET55:OEV55"/>
    <mergeCell ref="OEX55:OEZ55"/>
    <mergeCell ref="OFB55:OFD55"/>
    <mergeCell ref="OFF55:OFH55"/>
    <mergeCell ref="ODV55:ODX55"/>
    <mergeCell ref="ODZ55:OEB55"/>
    <mergeCell ref="OED55:OEF55"/>
    <mergeCell ref="OEH55:OEJ55"/>
    <mergeCell ref="OEL55:OEN55"/>
    <mergeCell ref="ODB55:ODD55"/>
    <mergeCell ref="ODF55:ODH55"/>
    <mergeCell ref="ODJ55:ODL55"/>
    <mergeCell ref="ODN55:ODP55"/>
    <mergeCell ref="ODR55:ODT55"/>
    <mergeCell ref="OCH55:OCJ55"/>
    <mergeCell ref="OCL55:OCN55"/>
    <mergeCell ref="OCP55:OCR55"/>
    <mergeCell ref="OCT55:OCV55"/>
    <mergeCell ref="OCX55:OCZ55"/>
    <mergeCell ref="OBN55:OBP55"/>
    <mergeCell ref="OBR55:OBT55"/>
    <mergeCell ref="OBV55:OBX55"/>
    <mergeCell ref="OBZ55:OCB55"/>
    <mergeCell ref="OCD55:OCF55"/>
    <mergeCell ref="OAT55:OAV55"/>
    <mergeCell ref="OAX55:OAZ55"/>
    <mergeCell ref="OBB55:OBD55"/>
    <mergeCell ref="OBF55:OBH55"/>
    <mergeCell ref="OBJ55:OBL55"/>
    <mergeCell ref="NZZ55:OAB55"/>
    <mergeCell ref="OAD55:OAF55"/>
    <mergeCell ref="OAH55:OAJ55"/>
    <mergeCell ref="OAL55:OAN55"/>
    <mergeCell ref="OAP55:OAR55"/>
    <mergeCell ref="NZF55:NZH55"/>
    <mergeCell ref="NZJ55:NZL55"/>
    <mergeCell ref="NZN55:NZP55"/>
    <mergeCell ref="NZR55:NZT55"/>
    <mergeCell ref="NZV55:NZX55"/>
    <mergeCell ref="NYL55:NYN55"/>
    <mergeCell ref="NYP55:NYR55"/>
    <mergeCell ref="NYT55:NYV55"/>
    <mergeCell ref="NYX55:NYZ55"/>
    <mergeCell ref="NZB55:NZD55"/>
    <mergeCell ref="NXR55:NXT55"/>
    <mergeCell ref="NXV55:NXX55"/>
    <mergeCell ref="NXZ55:NYB55"/>
    <mergeCell ref="NYD55:NYF55"/>
    <mergeCell ref="NYH55:NYJ55"/>
    <mergeCell ref="NWX55:NWZ55"/>
    <mergeCell ref="NXB55:NXD55"/>
    <mergeCell ref="NXF55:NXH55"/>
    <mergeCell ref="NXJ55:NXL55"/>
    <mergeCell ref="NXN55:NXP55"/>
    <mergeCell ref="NWD55:NWF55"/>
    <mergeCell ref="NWH55:NWJ55"/>
    <mergeCell ref="NWL55:NWN55"/>
    <mergeCell ref="NWP55:NWR55"/>
    <mergeCell ref="NWT55:NWV55"/>
    <mergeCell ref="NVJ55:NVL55"/>
    <mergeCell ref="NVN55:NVP55"/>
    <mergeCell ref="NVR55:NVT55"/>
    <mergeCell ref="NVV55:NVX55"/>
    <mergeCell ref="NVZ55:NWB55"/>
    <mergeCell ref="NUP55:NUR55"/>
    <mergeCell ref="NUT55:NUV55"/>
    <mergeCell ref="NUX55:NUZ55"/>
    <mergeCell ref="NVB55:NVD55"/>
    <mergeCell ref="NVF55:NVH55"/>
    <mergeCell ref="NTV55:NTX55"/>
    <mergeCell ref="NTZ55:NUB55"/>
    <mergeCell ref="NUD55:NUF55"/>
    <mergeCell ref="NUH55:NUJ55"/>
    <mergeCell ref="NUL55:NUN55"/>
    <mergeCell ref="NTB55:NTD55"/>
    <mergeCell ref="NTF55:NTH55"/>
    <mergeCell ref="NTJ55:NTL55"/>
    <mergeCell ref="NTN55:NTP55"/>
    <mergeCell ref="NTR55:NTT55"/>
    <mergeCell ref="NSH55:NSJ55"/>
    <mergeCell ref="NSL55:NSN55"/>
    <mergeCell ref="NSP55:NSR55"/>
    <mergeCell ref="NST55:NSV55"/>
    <mergeCell ref="NSX55:NSZ55"/>
    <mergeCell ref="NRN55:NRP55"/>
    <mergeCell ref="NRR55:NRT55"/>
    <mergeCell ref="NRV55:NRX55"/>
    <mergeCell ref="NRZ55:NSB55"/>
    <mergeCell ref="NSD55:NSF55"/>
    <mergeCell ref="NQT55:NQV55"/>
    <mergeCell ref="NQX55:NQZ55"/>
    <mergeCell ref="NRB55:NRD55"/>
    <mergeCell ref="NRF55:NRH55"/>
    <mergeCell ref="NRJ55:NRL55"/>
    <mergeCell ref="NPZ55:NQB55"/>
    <mergeCell ref="NQD55:NQF55"/>
    <mergeCell ref="NQH55:NQJ55"/>
    <mergeCell ref="NQL55:NQN55"/>
    <mergeCell ref="NQP55:NQR55"/>
    <mergeCell ref="NPF55:NPH55"/>
    <mergeCell ref="NPJ55:NPL55"/>
    <mergeCell ref="NPN55:NPP55"/>
    <mergeCell ref="NPR55:NPT55"/>
    <mergeCell ref="NPV55:NPX55"/>
    <mergeCell ref="NOL55:NON55"/>
    <mergeCell ref="NOP55:NOR55"/>
    <mergeCell ref="NOT55:NOV55"/>
    <mergeCell ref="NOX55:NOZ55"/>
    <mergeCell ref="NPB55:NPD55"/>
    <mergeCell ref="NNR55:NNT55"/>
    <mergeCell ref="NNV55:NNX55"/>
    <mergeCell ref="NNZ55:NOB55"/>
    <mergeCell ref="NOD55:NOF55"/>
    <mergeCell ref="NOH55:NOJ55"/>
    <mergeCell ref="NMX55:NMZ55"/>
    <mergeCell ref="NNB55:NND55"/>
    <mergeCell ref="NNF55:NNH55"/>
    <mergeCell ref="NNJ55:NNL55"/>
    <mergeCell ref="NNN55:NNP55"/>
    <mergeCell ref="NMD55:NMF55"/>
    <mergeCell ref="NMH55:NMJ55"/>
    <mergeCell ref="NML55:NMN55"/>
    <mergeCell ref="NMP55:NMR55"/>
    <mergeCell ref="NMT55:NMV55"/>
    <mergeCell ref="NLJ55:NLL55"/>
    <mergeCell ref="NLN55:NLP55"/>
    <mergeCell ref="NLR55:NLT55"/>
    <mergeCell ref="NLV55:NLX55"/>
    <mergeCell ref="NLZ55:NMB55"/>
    <mergeCell ref="NKP55:NKR55"/>
    <mergeCell ref="NKT55:NKV55"/>
    <mergeCell ref="NKX55:NKZ55"/>
    <mergeCell ref="NLB55:NLD55"/>
    <mergeCell ref="NLF55:NLH55"/>
    <mergeCell ref="NJV55:NJX55"/>
    <mergeCell ref="NJZ55:NKB55"/>
    <mergeCell ref="NKD55:NKF55"/>
    <mergeCell ref="NKH55:NKJ55"/>
    <mergeCell ref="NKL55:NKN55"/>
    <mergeCell ref="NJB55:NJD55"/>
    <mergeCell ref="NJF55:NJH55"/>
    <mergeCell ref="NJJ55:NJL55"/>
    <mergeCell ref="NJN55:NJP55"/>
    <mergeCell ref="NJR55:NJT55"/>
    <mergeCell ref="NIH55:NIJ55"/>
    <mergeCell ref="NIL55:NIN55"/>
    <mergeCell ref="NIP55:NIR55"/>
    <mergeCell ref="NIT55:NIV55"/>
    <mergeCell ref="NIX55:NIZ55"/>
    <mergeCell ref="NHN55:NHP55"/>
    <mergeCell ref="NHR55:NHT55"/>
    <mergeCell ref="NHV55:NHX55"/>
    <mergeCell ref="NHZ55:NIB55"/>
    <mergeCell ref="NID55:NIF55"/>
    <mergeCell ref="NGT55:NGV55"/>
    <mergeCell ref="NGX55:NGZ55"/>
    <mergeCell ref="NHB55:NHD55"/>
    <mergeCell ref="NHF55:NHH55"/>
    <mergeCell ref="NHJ55:NHL55"/>
    <mergeCell ref="NFZ55:NGB55"/>
    <mergeCell ref="NGD55:NGF55"/>
    <mergeCell ref="NGH55:NGJ55"/>
    <mergeCell ref="NGL55:NGN55"/>
    <mergeCell ref="NGP55:NGR55"/>
    <mergeCell ref="NFF55:NFH55"/>
    <mergeCell ref="NFJ55:NFL55"/>
    <mergeCell ref="NFN55:NFP55"/>
    <mergeCell ref="NFR55:NFT55"/>
    <mergeCell ref="NFV55:NFX55"/>
    <mergeCell ref="NEL55:NEN55"/>
    <mergeCell ref="NEP55:NER55"/>
    <mergeCell ref="NET55:NEV55"/>
    <mergeCell ref="NEX55:NEZ55"/>
    <mergeCell ref="NFB55:NFD55"/>
    <mergeCell ref="NDR55:NDT55"/>
    <mergeCell ref="NDV55:NDX55"/>
    <mergeCell ref="NDZ55:NEB55"/>
    <mergeCell ref="NED55:NEF55"/>
    <mergeCell ref="NEH55:NEJ55"/>
    <mergeCell ref="NCX55:NCZ55"/>
    <mergeCell ref="NDB55:NDD55"/>
    <mergeCell ref="NDF55:NDH55"/>
    <mergeCell ref="NDJ55:NDL55"/>
    <mergeCell ref="NDN55:NDP55"/>
    <mergeCell ref="NCD55:NCF55"/>
    <mergeCell ref="NCH55:NCJ55"/>
    <mergeCell ref="NCL55:NCN55"/>
    <mergeCell ref="NCP55:NCR55"/>
    <mergeCell ref="NCT55:NCV55"/>
    <mergeCell ref="NBJ55:NBL55"/>
    <mergeCell ref="NBN55:NBP55"/>
    <mergeCell ref="NBR55:NBT55"/>
    <mergeCell ref="NBV55:NBX55"/>
    <mergeCell ref="NBZ55:NCB55"/>
    <mergeCell ref="NAP55:NAR55"/>
    <mergeCell ref="NAT55:NAV55"/>
    <mergeCell ref="NAX55:NAZ55"/>
    <mergeCell ref="NBB55:NBD55"/>
    <mergeCell ref="NBF55:NBH55"/>
    <mergeCell ref="MZV55:MZX55"/>
    <mergeCell ref="MZZ55:NAB55"/>
    <mergeCell ref="NAD55:NAF55"/>
    <mergeCell ref="NAH55:NAJ55"/>
    <mergeCell ref="NAL55:NAN55"/>
    <mergeCell ref="MZB55:MZD55"/>
    <mergeCell ref="MZF55:MZH55"/>
    <mergeCell ref="MZJ55:MZL55"/>
    <mergeCell ref="MZN55:MZP55"/>
    <mergeCell ref="MZR55:MZT55"/>
    <mergeCell ref="MYH55:MYJ55"/>
    <mergeCell ref="MYL55:MYN55"/>
    <mergeCell ref="MYP55:MYR55"/>
    <mergeCell ref="MYT55:MYV55"/>
    <mergeCell ref="MYX55:MYZ55"/>
    <mergeCell ref="MXN55:MXP55"/>
    <mergeCell ref="MXR55:MXT55"/>
    <mergeCell ref="MXV55:MXX55"/>
    <mergeCell ref="MXZ55:MYB55"/>
    <mergeCell ref="MYD55:MYF55"/>
    <mergeCell ref="MWT55:MWV55"/>
    <mergeCell ref="MWX55:MWZ55"/>
    <mergeCell ref="MXB55:MXD55"/>
    <mergeCell ref="MXF55:MXH55"/>
    <mergeCell ref="MXJ55:MXL55"/>
    <mergeCell ref="MVZ55:MWB55"/>
    <mergeCell ref="MWD55:MWF55"/>
    <mergeCell ref="MWH55:MWJ55"/>
    <mergeCell ref="MWL55:MWN55"/>
    <mergeCell ref="MWP55:MWR55"/>
    <mergeCell ref="MVF55:MVH55"/>
    <mergeCell ref="MVJ55:MVL55"/>
    <mergeCell ref="MVN55:MVP55"/>
    <mergeCell ref="MVR55:MVT55"/>
    <mergeCell ref="MVV55:MVX55"/>
    <mergeCell ref="MUL55:MUN55"/>
    <mergeCell ref="MUP55:MUR55"/>
    <mergeCell ref="MUT55:MUV55"/>
    <mergeCell ref="MUX55:MUZ55"/>
    <mergeCell ref="MVB55:MVD55"/>
    <mergeCell ref="MTR55:MTT55"/>
    <mergeCell ref="MTV55:MTX55"/>
    <mergeCell ref="MTZ55:MUB55"/>
    <mergeCell ref="MUD55:MUF55"/>
    <mergeCell ref="MUH55:MUJ55"/>
    <mergeCell ref="MSX55:MSZ55"/>
    <mergeCell ref="MTB55:MTD55"/>
    <mergeCell ref="MTF55:MTH55"/>
    <mergeCell ref="MTJ55:MTL55"/>
    <mergeCell ref="MTN55:MTP55"/>
    <mergeCell ref="MSD55:MSF55"/>
    <mergeCell ref="MSH55:MSJ55"/>
    <mergeCell ref="MSL55:MSN55"/>
    <mergeCell ref="MSP55:MSR55"/>
    <mergeCell ref="MST55:MSV55"/>
    <mergeCell ref="MRJ55:MRL55"/>
    <mergeCell ref="MRN55:MRP55"/>
    <mergeCell ref="MRR55:MRT55"/>
    <mergeCell ref="MRV55:MRX55"/>
    <mergeCell ref="MRZ55:MSB55"/>
    <mergeCell ref="MQP55:MQR55"/>
    <mergeCell ref="MQT55:MQV55"/>
    <mergeCell ref="MQX55:MQZ55"/>
    <mergeCell ref="MRB55:MRD55"/>
    <mergeCell ref="MRF55:MRH55"/>
    <mergeCell ref="MPV55:MPX55"/>
    <mergeCell ref="MPZ55:MQB55"/>
    <mergeCell ref="MQD55:MQF55"/>
    <mergeCell ref="MQH55:MQJ55"/>
    <mergeCell ref="MQL55:MQN55"/>
    <mergeCell ref="MPB55:MPD55"/>
    <mergeCell ref="MPF55:MPH55"/>
    <mergeCell ref="MPJ55:MPL55"/>
    <mergeCell ref="MPN55:MPP55"/>
    <mergeCell ref="MPR55:MPT55"/>
    <mergeCell ref="MOH55:MOJ55"/>
    <mergeCell ref="MOL55:MON55"/>
    <mergeCell ref="MOP55:MOR55"/>
    <mergeCell ref="MOT55:MOV55"/>
    <mergeCell ref="MOX55:MOZ55"/>
    <mergeCell ref="MNN55:MNP55"/>
    <mergeCell ref="MNR55:MNT55"/>
    <mergeCell ref="MNV55:MNX55"/>
    <mergeCell ref="MNZ55:MOB55"/>
    <mergeCell ref="MOD55:MOF55"/>
    <mergeCell ref="MMT55:MMV55"/>
    <mergeCell ref="MMX55:MMZ55"/>
    <mergeCell ref="MNB55:MND55"/>
    <mergeCell ref="MNF55:MNH55"/>
    <mergeCell ref="MNJ55:MNL55"/>
    <mergeCell ref="MLZ55:MMB55"/>
    <mergeCell ref="MMD55:MMF55"/>
    <mergeCell ref="MMH55:MMJ55"/>
    <mergeCell ref="MML55:MMN55"/>
    <mergeCell ref="MMP55:MMR55"/>
    <mergeCell ref="MLF55:MLH55"/>
    <mergeCell ref="MLJ55:MLL55"/>
    <mergeCell ref="MLN55:MLP55"/>
    <mergeCell ref="MLR55:MLT55"/>
    <mergeCell ref="MLV55:MLX55"/>
    <mergeCell ref="MKL55:MKN55"/>
    <mergeCell ref="MKP55:MKR55"/>
    <mergeCell ref="MKT55:MKV55"/>
    <mergeCell ref="MKX55:MKZ55"/>
    <mergeCell ref="MLB55:MLD55"/>
    <mergeCell ref="MJR55:MJT55"/>
    <mergeCell ref="MJV55:MJX55"/>
    <mergeCell ref="MJZ55:MKB55"/>
    <mergeCell ref="MKD55:MKF55"/>
    <mergeCell ref="MKH55:MKJ55"/>
    <mergeCell ref="MIX55:MIZ55"/>
    <mergeCell ref="MJB55:MJD55"/>
    <mergeCell ref="MJF55:MJH55"/>
    <mergeCell ref="MJJ55:MJL55"/>
    <mergeCell ref="MJN55:MJP55"/>
    <mergeCell ref="MID55:MIF55"/>
    <mergeCell ref="MIH55:MIJ55"/>
    <mergeCell ref="MIL55:MIN55"/>
    <mergeCell ref="MIP55:MIR55"/>
    <mergeCell ref="MIT55:MIV55"/>
    <mergeCell ref="MHJ55:MHL55"/>
    <mergeCell ref="MHN55:MHP55"/>
    <mergeCell ref="MHR55:MHT55"/>
    <mergeCell ref="MHV55:MHX55"/>
    <mergeCell ref="MHZ55:MIB55"/>
    <mergeCell ref="MGP55:MGR55"/>
    <mergeCell ref="MGT55:MGV55"/>
    <mergeCell ref="MGX55:MGZ55"/>
    <mergeCell ref="MHB55:MHD55"/>
    <mergeCell ref="MHF55:MHH55"/>
    <mergeCell ref="MFV55:MFX55"/>
    <mergeCell ref="MFZ55:MGB55"/>
    <mergeCell ref="MGD55:MGF55"/>
    <mergeCell ref="MGH55:MGJ55"/>
    <mergeCell ref="MGL55:MGN55"/>
    <mergeCell ref="MFB55:MFD55"/>
    <mergeCell ref="MFF55:MFH55"/>
    <mergeCell ref="MFJ55:MFL55"/>
    <mergeCell ref="MFN55:MFP55"/>
    <mergeCell ref="MFR55:MFT55"/>
    <mergeCell ref="MEH55:MEJ55"/>
    <mergeCell ref="MEL55:MEN55"/>
    <mergeCell ref="MEP55:MER55"/>
    <mergeCell ref="MET55:MEV55"/>
    <mergeCell ref="MEX55:MEZ55"/>
    <mergeCell ref="MDN55:MDP55"/>
    <mergeCell ref="MDR55:MDT55"/>
    <mergeCell ref="MDV55:MDX55"/>
    <mergeCell ref="MDZ55:MEB55"/>
    <mergeCell ref="MED55:MEF55"/>
    <mergeCell ref="MCT55:MCV55"/>
    <mergeCell ref="MCX55:MCZ55"/>
    <mergeCell ref="MDB55:MDD55"/>
    <mergeCell ref="MDF55:MDH55"/>
    <mergeCell ref="MDJ55:MDL55"/>
    <mergeCell ref="MBZ55:MCB55"/>
    <mergeCell ref="MCD55:MCF55"/>
    <mergeCell ref="MCH55:MCJ55"/>
    <mergeCell ref="MCL55:MCN55"/>
    <mergeCell ref="MCP55:MCR55"/>
    <mergeCell ref="MBF55:MBH55"/>
    <mergeCell ref="MBJ55:MBL55"/>
    <mergeCell ref="MBN55:MBP55"/>
    <mergeCell ref="MBR55:MBT55"/>
    <mergeCell ref="MBV55:MBX55"/>
    <mergeCell ref="MAL55:MAN55"/>
    <mergeCell ref="MAP55:MAR55"/>
    <mergeCell ref="MAT55:MAV55"/>
    <mergeCell ref="MAX55:MAZ55"/>
    <mergeCell ref="MBB55:MBD55"/>
    <mergeCell ref="LZR55:LZT55"/>
    <mergeCell ref="LZV55:LZX55"/>
    <mergeCell ref="LZZ55:MAB55"/>
    <mergeCell ref="MAD55:MAF55"/>
    <mergeCell ref="MAH55:MAJ55"/>
    <mergeCell ref="LYX55:LYZ55"/>
    <mergeCell ref="LZB55:LZD55"/>
    <mergeCell ref="LZF55:LZH55"/>
    <mergeCell ref="LZJ55:LZL55"/>
    <mergeCell ref="LZN55:LZP55"/>
    <mergeCell ref="LYD55:LYF55"/>
    <mergeCell ref="LYH55:LYJ55"/>
    <mergeCell ref="LYL55:LYN55"/>
    <mergeCell ref="LYP55:LYR55"/>
    <mergeCell ref="LYT55:LYV55"/>
    <mergeCell ref="LXJ55:LXL55"/>
    <mergeCell ref="LXN55:LXP55"/>
    <mergeCell ref="LXR55:LXT55"/>
    <mergeCell ref="LXV55:LXX55"/>
    <mergeCell ref="LXZ55:LYB55"/>
    <mergeCell ref="LWP55:LWR55"/>
    <mergeCell ref="LWT55:LWV55"/>
    <mergeCell ref="LWX55:LWZ55"/>
    <mergeCell ref="LXB55:LXD55"/>
    <mergeCell ref="LXF55:LXH55"/>
    <mergeCell ref="LVV55:LVX55"/>
    <mergeCell ref="LVZ55:LWB55"/>
    <mergeCell ref="LWD55:LWF55"/>
    <mergeCell ref="LWH55:LWJ55"/>
    <mergeCell ref="LWL55:LWN55"/>
    <mergeCell ref="LVB55:LVD55"/>
    <mergeCell ref="LVF55:LVH55"/>
    <mergeCell ref="LVJ55:LVL55"/>
    <mergeCell ref="LVN55:LVP55"/>
    <mergeCell ref="LVR55:LVT55"/>
    <mergeCell ref="LUH55:LUJ55"/>
    <mergeCell ref="LUL55:LUN55"/>
    <mergeCell ref="LUP55:LUR55"/>
    <mergeCell ref="LUT55:LUV55"/>
    <mergeCell ref="LUX55:LUZ55"/>
    <mergeCell ref="LTN55:LTP55"/>
    <mergeCell ref="LTR55:LTT55"/>
    <mergeCell ref="LTV55:LTX55"/>
    <mergeCell ref="LTZ55:LUB55"/>
    <mergeCell ref="LUD55:LUF55"/>
    <mergeCell ref="LST55:LSV55"/>
    <mergeCell ref="LSX55:LSZ55"/>
    <mergeCell ref="LTB55:LTD55"/>
    <mergeCell ref="LTF55:LTH55"/>
    <mergeCell ref="LTJ55:LTL55"/>
    <mergeCell ref="LRZ55:LSB55"/>
    <mergeCell ref="LSD55:LSF55"/>
    <mergeCell ref="LSH55:LSJ55"/>
    <mergeCell ref="LSL55:LSN55"/>
    <mergeCell ref="LSP55:LSR55"/>
    <mergeCell ref="LRF55:LRH55"/>
    <mergeCell ref="LRJ55:LRL55"/>
    <mergeCell ref="LRN55:LRP55"/>
    <mergeCell ref="LRR55:LRT55"/>
    <mergeCell ref="LRV55:LRX55"/>
    <mergeCell ref="LQL55:LQN55"/>
    <mergeCell ref="LQP55:LQR55"/>
    <mergeCell ref="LQT55:LQV55"/>
    <mergeCell ref="LQX55:LQZ55"/>
    <mergeCell ref="LRB55:LRD55"/>
    <mergeCell ref="LPR55:LPT55"/>
    <mergeCell ref="LPV55:LPX55"/>
    <mergeCell ref="LPZ55:LQB55"/>
    <mergeCell ref="LQD55:LQF55"/>
    <mergeCell ref="LQH55:LQJ55"/>
    <mergeCell ref="LOX55:LOZ55"/>
    <mergeCell ref="LPB55:LPD55"/>
    <mergeCell ref="LPF55:LPH55"/>
    <mergeCell ref="LPJ55:LPL55"/>
    <mergeCell ref="LPN55:LPP55"/>
    <mergeCell ref="LOD55:LOF55"/>
    <mergeCell ref="LOH55:LOJ55"/>
    <mergeCell ref="LOL55:LON55"/>
    <mergeCell ref="LOP55:LOR55"/>
    <mergeCell ref="LOT55:LOV55"/>
    <mergeCell ref="LNJ55:LNL55"/>
    <mergeCell ref="LNN55:LNP55"/>
    <mergeCell ref="LNR55:LNT55"/>
    <mergeCell ref="LNV55:LNX55"/>
    <mergeCell ref="LNZ55:LOB55"/>
    <mergeCell ref="LMP55:LMR55"/>
    <mergeCell ref="LMT55:LMV55"/>
    <mergeCell ref="LMX55:LMZ55"/>
    <mergeCell ref="LNB55:LND55"/>
    <mergeCell ref="LNF55:LNH55"/>
    <mergeCell ref="LLV55:LLX55"/>
    <mergeCell ref="LLZ55:LMB55"/>
    <mergeCell ref="LMD55:LMF55"/>
    <mergeCell ref="LMH55:LMJ55"/>
    <mergeCell ref="LML55:LMN55"/>
    <mergeCell ref="LLB55:LLD55"/>
    <mergeCell ref="LLF55:LLH55"/>
    <mergeCell ref="LLJ55:LLL55"/>
    <mergeCell ref="LLN55:LLP55"/>
    <mergeCell ref="LLR55:LLT55"/>
    <mergeCell ref="LKH55:LKJ55"/>
    <mergeCell ref="LKL55:LKN55"/>
    <mergeCell ref="LKP55:LKR55"/>
    <mergeCell ref="LKT55:LKV55"/>
    <mergeCell ref="LKX55:LKZ55"/>
    <mergeCell ref="LJN55:LJP55"/>
    <mergeCell ref="LJR55:LJT55"/>
    <mergeCell ref="LJV55:LJX55"/>
    <mergeCell ref="LJZ55:LKB55"/>
    <mergeCell ref="LKD55:LKF55"/>
    <mergeCell ref="LIT55:LIV55"/>
    <mergeCell ref="LIX55:LIZ55"/>
    <mergeCell ref="LJB55:LJD55"/>
    <mergeCell ref="LJF55:LJH55"/>
    <mergeCell ref="LJJ55:LJL55"/>
    <mergeCell ref="LHZ55:LIB55"/>
    <mergeCell ref="LID55:LIF55"/>
    <mergeCell ref="LIH55:LIJ55"/>
    <mergeCell ref="LIL55:LIN55"/>
    <mergeCell ref="LIP55:LIR55"/>
    <mergeCell ref="LHF55:LHH55"/>
    <mergeCell ref="LHJ55:LHL55"/>
    <mergeCell ref="LHN55:LHP55"/>
    <mergeCell ref="LHR55:LHT55"/>
    <mergeCell ref="LHV55:LHX55"/>
    <mergeCell ref="LGL55:LGN55"/>
    <mergeCell ref="LGP55:LGR55"/>
    <mergeCell ref="LGT55:LGV55"/>
    <mergeCell ref="LGX55:LGZ55"/>
    <mergeCell ref="LHB55:LHD55"/>
    <mergeCell ref="LFR55:LFT55"/>
    <mergeCell ref="LFV55:LFX55"/>
    <mergeCell ref="LFZ55:LGB55"/>
    <mergeCell ref="LGD55:LGF55"/>
    <mergeCell ref="LGH55:LGJ55"/>
    <mergeCell ref="LEX55:LEZ55"/>
    <mergeCell ref="LFB55:LFD55"/>
    <mergeCell ref="LFF55:LFH55"/>
    <mergeCell ref="LFJ55:LFL55"/>
    <mergeCell ref="LFN55:LFP55"/>
    <mergeCell ref="LED55:LEF55"/>
    <mergeCell ref="LEH55:LEJ55"/>
    <mergeCell ref="LEL55:LEN55"/>
    <mergeCell ref="LEP55:LER55"/>
    <mergeCell ref="LET55:LEV55"/>
    <mergeCell ref="LDJ55:LDL55"/>
    <mergeCell ref="LDN55:LDP55"/>
    <mergeCell ref="LDR55:LDT55"/>
    <mergeCell ref="LDV55:LDX55"/>
    <mergeCell ref="LDZ55:LEB55"/>
    <mergeCell ref="LCP55:LCR55"/>
    <mergeCell ref="LCT55:LCV55"/>
    <mergeCell ref="LCX55:LCZ55"/>
    <mergeCell ref="LDB55:LDD55"/>
    <mergeCell ref="LDF55:LDH55"/>
    <mergeCell ref="LBV55:LBX55"/>
    <mergeCell ref="LBZ55:LCB55"/>
    <mergeCell ref="LCD55:LCF55"/>
    <mergeCell ref="LCH55:LCJ55"/>
    <mergeCell ref="LCL55:LCN55"/>
    <mergeCell ref="LBB55:LBD55"/>
    <mergeCell ref="LBF55:LBH55"/>
    <mergeCell ref="LBJ55:LBL55"/>
    <mergeCell ref="LBN55:LBP55"/>
    <mergeCell ref="LBR55:LBT55"/>
    <mergeCell ref="LAH55:LAJ55"/>
    <mergeCell ref="LAL55:LAN55"/>
    <mergeCell ref="LAP55:LAR55"/>
    <mergeCell ref="LAT55:LAV55"/>
    <mergeCell ref="LAX55:LAZ55"/>
    <mergeCell ref="KZN55:KZP55"/>
    <mergeCell ref="KZR55:KZT55"/>
    <mergeCell ref="KZV55:KZX55"/>
    <mergeCell ref="KZZ55:LAB55"/>
    <mergeCell ref="LAD55:LAF55"/>
    <mergeCell ref="KYT55:KYV55"/>
    <mergeCell ref="KYX55:KYZ55"/>
    <mergeCell ref="KZB55:KZD55"/>
    <mergeCell ref="KZF55:KZH55"/>
    <mergeCell ref="KZJ55:KZL55"/>
    <mergeCell ref="KXZ55:KYB55"/>
    <mergeCell ref="KYD55:KYF55"/>
    <mergeCell ref="KYH55:KYJ55"/>
    <mergeCell ref="KYL55:KYN55"/>
    <mergeCell ref="KYP55:KYR55"/>
    <mergeCell ref="KXF55:KXH55"/>
    <mergeCell ref="KXJ55:KXL55"/>
    <mergeCell ref="KXN55:KXP55"/>
    <mergeCell ref="KXR55:KXT55"/>
    <mergeCell ref="KXV55:KXX55"/>
    <mergeCell ref="KWL55:KWN55"/>
    <mergeCell ref="KWP55:KWR55"/>
    <mergeCell ref="KWT55:KWV55"/>
    <mergeCell ref="KWX55:KWZ55"/>
    <mergeCell ref="KXB55:KXD55"/>
    <mergeCell ref="KVR55:KVT55"/>
    <mergeCell ref="KVV55:KVX55"/>
    <mergeCell ref="KVZ55:KWB55"/>
    <mergeCell ref="KWD55:KWF55"/>
    <mergeCell ref="KWH55:KWJ55"/>
    <mergeCell ref="KUX55:KUZ55"/>
    <mergeCell ref="KVB55:KVD55"/>
    <mergeCell ref="KVF55:KVH55"/>
    <mergeCell ref="KVJ55:KVL55"/>
    <mergeCell ref="KVN55:KVP55"/>
    <mergeCell ref="KUD55:KUF55"/>
    <mergeCell ref="KUH55:KUJ55"/>
    <mergeCell ref="KUL55:KUN55"/>
    <mergeCell ref="KUP55:KUR55"/>
    <mergeCell ref="KUT55:KUV55"/>
    <mergeCell ref="KTJ55:KTL55"/>
    <mergeCell ref="KTN55:KTP55"/>
    <mergeCell ref="KTR55:KTT55"/>
    <mergeCell ref="KTV55:KTX55"/>
    <mergeCell ref="KTZ55:KUB55"/>
    <mergeCell ref="KSP55:KSR55"/>
    <mergeCell ref="KST55:KSV55"/>
    <mergeCell ref="KSX55:KSZ55"/>
    <mergeCell ref="KTB55:KTD55"/>
    <mergeCell ref="KTF55:KTH55"/>
    <mergeCell ref="KRV55:KRX55"/>
    <mergeCell ref="KRZ55:KSB55"/>
    <mergeCell ref="KSD55:KSF55"/>
    <mergeCell ref="KSH55:KSJ55"/>
    <mergeCell ref="KSL55:KSN55"/>
    <mergeCell ref="KRB55:KRD55"/>
    <mergeCell ref="KRF55:KRH55"/>
    <mergeCell ref="KRJ55:KRL55"/>
    <mergeCell ref="KRN55:KRP55"/>
    <mergeCell ref="KRR55:KRT55"/>
    <mergeCell ref="KQH55:KQJ55"/>
    <mergeCell ref="KQL55:KQN55"/>
    <mergeCell ref="KQP55:KQR55"/>
    <mergeCell ref="KQT55:KQV55"/>
    <mergeCell ref="KQX55:KQZ55"/>
    <mergeCell ref="KPN55:KPP55"/>
    <mergeCell ref="KPR55:KPT55"/>
    <mergeCell ref="KPV55:KPX55"/>
    <mergeCell ref="KPZ55:KQB55"/>
    <mergeCell ref="KQD55:KQF55"/>
    <mergeCell ref="KOT55:KOV55"/>
    <mergeCell ref="KOX55:KOZ55"/>
    <mergeCell ref="KPB55:KPD55"/>
    <mergeCell ref="KPF55:KPH55"/>
    <mergeCell ref="KPJ55:KPL55"/>
    <mergeCell ref="KNZ55:KOB55"/>
    <mergeCell ref="KOD55:KOF55"/>
    <mergeCell ref="KOH55:KOJ55"/>
    <mergeCell ref="KOL55:KON55"/>
    <mergeCell ref="KOP55:KOR55"/>
    <mergeCell ref="KNF55:KNH55"/>
    <mergeCell ref="KNJ55:KNL55"/>
    <mergeCell ref="KNN55:KNP55"/>
    <mergeCell ref="KNR55:KNT55"/>
    <mergeCell ref="KNV55:KNX55"/>
    <mergeCell ref="KML55:KMN55"/>
    <mergeCell ref="KMP55:KMR55"/>
    <mergeCell ref="KMT55:KMV55"/>
    <mergeCell ref="KMX55:KMZ55"/>
    <mergeCell ref="KNB55:KND55"/>
    <mergeCell ref="KLR55:KLT55"/>
    <mergeCell ref="KLV55:KLX55"/>
    <mergeCell ref="KLZ55:KMB55"/>
    <mergeCell ref="KMD55:KMF55"/>
    <mergeCell ref="KMH55:KMJ55"/>
    <mergeCell ref="KKX55:KKZ55"/>
    <mergeCell ref="KLB55:KLD55"/>
    <mergeCell ref="KLF55:KLH55"/>
    <mergeCell ref="KLJ55:KLL55"/>
    <mergeCell ref="KLN55:KLP55"/>
    <mergeCell ref="KKD55:KKF55"/>
    <mergeCell ref="KKH55:KKJ55"/>
    <mergeCell ref="KKL55:KKN55"/>
    <mergeCell ref="KKP55:KKR55"/>
    <mergeCell ref="KKT55:KKV55"/>
    <mergeCell ref="KJJ55:KJL55"/>
    <mergeCell ref="KJN55:KJP55"/>
    <mergeCell ref="KJR55:KJT55"/>
    <mergeCell ref="KJV55:KJX55"/>
    <mergeCell ref="KJZ55:KKB55"/>
    <mergeCell ref="KIP55:KIR55"/>
    <mergeCell ref="KIT55:KIV55"/>
    <mergeCell ref="KIX55:KIZ55"/>
    <mergeCell ref="KJB55:KJD55"/>
    <mergeCell ref="KJF55:KJH55"/>
    <mergeCell ref="KHV55:KHX55"/>
    <mergeCell ref="KHZ55:KIB55"/>
    <mergeCell ref="KID55:KIF55"/>
    <mergeCell ref="KIH55:KIJ55"/>
    <mergeCell ref="KIL55:KIN55"/>
    <mergeCell ref="KHB55:KHD55"/>
    <mergeCell ref="KHF55:KHH55"/>
    <mergeCell ref="KHJ55:KHL55"/>
    <mergeCell ref="KHN55:KHP55"/>
    <mergeCell ref="KHR55:KHT55"/>
    <mergeCell ref="KGH55:KGJ55"/>
    <mergeCell ref="KGL55:KGN55"/>
    <mergeCell ref="KGP55:KGR55"/>
    <mergeCell ref="KGT55:KGV55"/>
    <mergeCell ref="KGX55:KGZ55"/>
    <mergeCell ref="KFN55:KFP55"/>
    <mergeCell ref="KFR55:KFT55"/>
    <mergeCell ref="KFV55:KFX55"/>
    <mergeCell ref="KFZ55:KGB55"/>
    <mergeCell ref="KGD55:KGF55"/>
    <mergeCell ref="KET55:KEV55"/>
    <mergeCell ref="KEX55:KEZ55"/>
    <mergeCell ref="KFB55:KFD55"/>
    <mergeCell ref="KFF55:KFH55"/>
    <mergeCell ref="KFJ55:KFL55"/>
    <mergeCell ref="KDZ55:KEB55"/>
    <mergeCell ref="KED55:KEF55"/>
    <mergeCell ref="KEH55:KEJ55"/>
    <mergeCell ref="KEL55:KEN55"/>
    <mergeCell ref="KEP55:KER55"/>
    <mergeCell ref="KDF55:KDH55"/>
    <mergeCell ref="KDJ55:KDL55"/>
    <mergeCell ref="KDN55:KDP55"/>
    <mergeCell ref="KDR55:KDT55"/>
    <mergeCell ref="KDV55:KDX55"/>
    <mergeCell ref="KCL55:KCN55"/>
    <mergeCell ref="KCP55:KCR55"/>
    <mergeCell ref="KCT55:KCV55"/>
    <mergeCell ref="KCX55:KCZ55"/>
    <mergeCell ref="KDB55:KDD55"/>
    <mergeCell ref="KBR55:KBT55"/>
    <mergeCell ref="KBV55:KBX55"/>
    <mergeCell ref="KBZ55:KCB55"/>
    <mergeCell ref="KCD55:KCF55"/>
    <mergeCell ref="KCH55:KCJ55"/>
    <mergeCell ref="KAX55:KAZ55"/>
    <mergeCell ref="KBB55:KBD55"/>
    <mergeCell ref="KBF55:KBH55"/>
    <mergeCell ref="KBJ55:KBL55"/>
    <mergeCell ref="KBN55:KBP55"/>
    <mergeCell ref="KAD55:KAF55"/>
    <mergeCell ref="KAH55:KAJ55"/>
    <mergeCell ref="KAL55:KAN55"/>
    <mergeCell ref="KAP55:KAR55"/>
    <mergeCell ref="KAT55:KAV55"/>
    <mergeCell ref="JZJ55:JZL55"/>
    <mergeCell ref="JZN55:JZP55"/>
    <mergeCell ref="JZR55:JZT55"/>
    <mergeCell ref="JZV55:JZX55"/>
    <mergeCell ref="JZZ55:KAB55"/>
    <mergeCell ref="JYP55:JYR55"/>
    <mergeCell ref="JYT55:JYV55"/>
    <mergeCell ref="JYX55:JYZ55"/>
    <mergeCell ref="JZB55:JZD55"/>
    <mergeCell ref="JZF55:JZH55"/>
    <mergeCell ref="JXV55:JXX55"/>
    <mergeCell ref="JXZ55:JYB55"/>
    <mergeCell ref="JYD55:JYF55"/>
    <mergeCell ref="JYH55:JYJ55"/>
    <mergeCell ref="JYL55:JYN55"/>
    <mergeCell ref="JXB55:JXD55"/>
    <mergeCell ref="JXF55:JXH55"/>
    <mergeCell ref="JXJ55:JXL55"/>
    <mergeCell ref="JXN55:JXP55"/>
    <mergeCell ref="JXR55:JXT55"/>
    <mergeCell ref="JWH55:JWJ55"/>
    <mergeCell ref="JWL55:JWN55"/>
    <mergeCell ref="JWP55:JWR55"/>
    <mergeCell ref="JWT55:JWV55"/>
    <mergeCell ref="JWX55:JWZ55"/>
    <mergeCell ref="JVN55:JVP55"/>
    <mergeCell ref="JVR55:JVT55"/>
    <mergeCell ref="JVV55:JVX55"/>
    <mergeCell ref="JVZ55:JWB55"/>
    <mergeCell ref="JWD55:JWF55"/>
    <mergeCell ref="JUT55:JUV55"/>
    <mergeCell ref="JUX55:JUZ55"/>
    <mergeCell ref="JVB55:JVD55"/>
    <mergeCell ref="JVF55:JVH55"/>
    <mergeCell ref="JVJ55:JVL55"/>
    <mergeCell ref="JTZ55:JUB55"/>
    <mergeCell ref="JUD55:JUF55"/>
    <mergeCell ref="JUH55:JUJ55"/>
    <mergeCell ref="JUL55:JUN55"/>
    <mergeCell ref="JUP55:JUR55"/>
    <mergeCell ref="JTF55:JTH55"/>
    <mergeCell ref="JTJ55:JTL55"/>
    <mergeCell ref="JTN55:JTP55"/>
    <mergeCell ref="JTR55:JTT55"/>
    <mergeCell ref="JTV55:JTX55"/>
    <mergeCell ref="JSL55:JSN55"/>
    <mergeCell ref="JSP55:JSR55"/>
    <mergeCell ref="JST55:JSV55"/>
    <mergeCell ref="JSX55:JSZ55"/>
    <mergeCell ref="JTB55:JTD55"/>
    <mergeCell ref="JRR55:JRT55"/>
    <mergeCell ref="JRV55:JRX55"/>
    <mergeCell ref="JRZ55:JSB55"/>
    <mergeCell ref="JSD55:JSF55"/>
    <mergeCell ref="JSH55:JSJ55"/>
    <mergeCell ref="JQX55:JQZ55"/>
    <mergeCell ref="JRB55:JRD55"/>
    <mergeCell ref="JRF55:JRH55"/>
    <mergeCell ref="JRJ55:JRL55"/>
    <mergeCell ref="JRN55:JRP55"/>
    <mergeCell ref="JQD55:JQF55"/>
    <mergeCell ref="JQH55:JQJ55"/>
    <mergeCell ref="JQL55:JQN55"/>
    <mergeCell ref="JQP55:JQR55"/>
    <mergeCell ref="JQT55:JQV55"/>
    <mergeCell ref="JPJ55:JPL55"/>
    <mergeCell ref="JPN55:JPP55"/>
    <mergeCell ref="JPR55:JPT55"/>
    <mergeCell ref="JPV55:JPX55"/>
    <mergeCell ref="JPZ55:JQB55"/>
    <mergeCell ref="JOP55:JOR55"/>
    <mergeCell ref="JOT55:JOV55"/>
    <mergeCell ref="JOX55:JOZ55"/>
    <mergeCell ref="JPB55:JPD55"/>
    <mergeCell ref="JPF55:JPH55"/>
    <mergeCell ref="JNV55:JNX55"/>
    <mergeCell ref="JNZ55:JOB55"/>
    <mergeCell ref="JOD55:JOF55"/>
    <mergeCell ref="JOH55:JOJ55"/>
    <mergeCell ref="JOL55:JON55"/>
    <mergeCell ref="JNB55:JND55"/>
    <mergeCell ref="JNF55:JNH55"/>
    <mergeCell ref="JNJ55:JNL55"/>
    <mergeCell ref="JNN55:JNP55"/>
    <mergeCell ref="JNR55:JNT55"/>
    <mergeCell ref="JMH55:JMJ55"/>
    <mergeCell ref="JML55:JMN55"/>
    <mergeCell ref="JMP55:JMR55"/>
    <mergeCell ref="JMT55:JMV55"/>
    <mergeCell ref="JMX55:JMZ55"/>
    <mergeCell ref="JLN55:JLP55"/>
    <mergeCell ref="JLR55:JLT55"/>
    <mergeCell ref="JLV55:JLX55"/>
    <mergeCell ref="JLZ55:JMB55"/>
    <mergeCell ref="JMD55:JMF55"/>
    <mergeCell ref="JKT55:JKV55"/>
    <mergeCell ref="JKX55:JKZ55"/>
    <mergeCell ref="JLB55:JLD55"/>
    <mergeCell ref="JLF55:JLH55"/>
    <mergeCell ref="JLJ55:JLL55"/>
    <mergeCell ref="JJZ55:JKB55"/>
    <mergeCell ref="JKD55:JKF55"/>
    <mergeCell ref="JKH55:JKJ55"/>
    <mergeCell ref="JKL55:JKN55"/>
    <mergeCell ref="JKP55:JKR55"/>
    <mergeCell ref="JJF55:JJH55"/>
    <mergeCell ref="JJJ55:JJL55"/>
    <mergeCell ref="JJN55:JJP55"/>
    <mergeCell ref="JJR55:JJT55"/>
    <mergeCell ref="JJV55:JJX55"/>
    <mergeCell ref="JIL55:JIN55"/>
    <mergeCell ref="JIP55:JIR55"/>
    <mergeCell ref="JIT55:JIV55"/>
    <mergeCell ref="JIX55:JIZ55"/>
    <mergeCell ref="JJB55:JJD55"/>
    <mergeCell ref="JHR55:JHT55"/>
    <mergeCell ref="JHV55:JHX55"/>
    <mergeCell ref="JHZ55:JIB55"/>
    <mergeCell ref="JID55:JIF55"/>
    <mergeCell ref="JIH55:JIJ55"/>
    <mergeCell ref="JGX55:JGZ55"/>
    <mergeCell ref="JHB55:JHD55"/>
    <mergeCell ref="JHF55:JHH55"/>
    <mergeCell ref="JHJ55:JHL55"/>
    <mergeCell ref="JHN55:JHP55"/>
    <mergeCell ref="JGD55:JGF55"/>
    <mergeCell ref="JGH55:JGJ55"/>
    <mergeCell ref="JGL55:JGN55"/>
    <mergeCell ref="JGP55:JGR55"/>
    <mergeCell ref="JGT55:JGV55"/>
    <mergeCell ref="JFJ55:JFL55"/>
    <mergeCell ref="JFN55:JFP55"/>
    <mergeCell ref="JFR55:JFT55"/>
    <mergeCell ref="JFV55:JFX55"/>
    <mergeCell ref="JFZ55:JGB55"/>
    <mergeCell ref="JEP55:JER55"/>
    <mergeCell ref="JET55:JEV55"/>
    <mergeCell ref="JEX55:JEZ55"/>
    <mergeCell ref="JFB55:JFD55"/>
    <mergeCell ref="JFF55:JFH55"/>
    <mergeCell ref="JDV55:JDX55"/>
    <mergeCell ref="JDZ55:JEB55"/>
    <mergeCell ref="JED55:JEF55"/>
    <mergeCell ref="JEH55:JEJ55"/>
    <mergeCell ref="JEL55:JEN55"/>
    <mergeCell ref="JDB55:JDD55"/>
    <mergeCell ref="JDF55:JDH55"/>
    <mergeCell ref="JDJ55:JDL55"/>
    <mergeCell ref="JDN55:JDP55"/>
    <mergeCell ref="JDR55:JDT55"/>
    <mergeCell ref="JCH55:JCJ55"/>
    <mergeCell ref="JCL55:JCN55"/>
    <mergeCell ref="JCP55:JCR55"/>
    <mergeCell ref="JCT55:JCV55"/>
    <mergeCell ref="JCX55:JCZ55"/>
    <mergeCell ref="JBN55:JBP55"/>
    <mergeCell ref="JBR55:JBT55"/>
    <mergeCell ref="JBV55:JBX55"/>
    <mergeCell ref="JBZ55:JCB55"/>
    <mergeCell ref="JCD55:JCF55"/>
    <mergeCell ref="JAT55:JAV55"/>
    <mergeCell ref="JAX55:JAZ55"/>
    <mergeCell ref="JBB55:JBD55"/>
    <mergeCell ref="JBF55:JBH55"/>
    <mergeCell ref="JBJ55:JBL55"/>
    <mergeCell ref="IZZ55:JAB55"/>
    <mergeCell ref="JAD55:JAF55"/>
    <mergeCell ref="JAH55:JAJ55"/>
    <mergeCell ref="JAL55:JAN55"/>
    <mergeCell ref="JAP55:JAR55"/>
    <mergeCell ref="IZF55:IZH55"/>
    <mergeCell ref="IZJ55:IZL55"/>
    <mergeCell ref="IZN55:IZP55"/>
    <mergeCell ref="IZR55:IZT55"/>
    <mergeCell ref="IZV55:IZX55"/>
    <mergeCell ref="IYL55:IYN55"/>
    <mergeCell ref="IYP55:IYR55"/>
    <mergeCell ref="IYT55:IYV55"/>
    <mergeCell ref="IYX55:IYZ55"/>
    <mergeCell ref="IZB55:IZD55"/>
    <mergeCell ref="IXR55:IXT55"/>
    <mergeCell ref="IXV55:IXX55"/>
    <mergeCell ref="IXZ55:IYB55"/>
    <mergeCell ref="IYD55:IYF55"/>
    <mergeCell ref="IYH55:IYJ55"/>
    <mergeCell ref="IWX55:IWZ55"/>
    <mergeCell ref="IXB55:IXD55"/>
    <mergeCell ref="IXF55:IXH55"/>
    <mergeCell ref="IXJ55:IXL55"/>
    <mergeCell ref="IXN55:IXP55"/>
    <mergeCell ref="IWD55:IWF55"/>
    <mergeCell ref="IWH55:IWJ55"/>
    <mergeCell ref="IWL55:IWN55"/>
    <mergeCell ref="IWP55:IWR55"/>
    <mergeCell ref="IWT55:IWV55"/>
    <mergeCell ref="IVJ55:IVL55"/>
    <mergeCell ref="IVN55:IVP55"/>
    <mergeCell ref="IVR55:IVT55"/>
    <mergeCell ref="IVV55:IVX55"/>
    <mergeCell ref="IVZ55:IWB55"/>
    <mergeCell ref="IUP55:IUR55"/>
    <mergeCell ref="IUT55:IUV55"/>
    <mergeCell ref="IUX55:IUZ55"/>
    <mergeCell ref="IVB55:IVD55"/>
    <mergeCell ref="IVF55:IVH55"/>
    <mergeCell ref="ITV55:ITX55"/>
    <mergeCell ref="ITZ55:IUB55"/>
    <mergeCell ref="IUD55:IUF55"/>
    <mergeCell ref="IUH55:IUJ55"/>
    <mergeCell ref="IUL55:IUN55"/>
    <mergeCell ref="ITB55:ITD55"/>
    <mergeCell ref="ITF55:ITH55"/>
    <mergeCell ref="ITJ55:ITL55"/>
    <mergeCell ref="ITN55:ITP55"/>
    <mergeCell ref="ITR55:ITT55"/>
    <mergeCell ref="ISH55:ISJ55"/>
    <mergeCell ref="ISL55:ISN55"/>
    <mergeCell ref="ISP55:ISR55"/>
    <mergeCell ref="IST55:ISV55"/>
    <mergeCell ref="ISX55:ISZ55"/>
    <mergeCell ref="IRN55:IRP55"/>
    <mergeCell ref="IRR55:IRT55"/>
    <mergeCell ref="IRV55:IRX55"/>
    <mergeCell ref="IRZ55:ISB55"/>
    <mergeCell ref="ISD55:ISF55"/>
    <mergeCell ref="IQT55:IQV55"/>
    <mergeCell ref="IQX55:IQZ55"/>
    <mergeCell ref="IRB55:IRD55"/>
    <mergeCell ref="IRF55:IRH55"/>
    <mergeCell ref="IRJ55:IRL55"/>
    <mergeCell ref="IPZ55:IQB55"/>
    <mergeCell ref="IQD55:IQF55"/>
    <mergeCell ref="IQH55:IQJ55"/>
    <mergeCell ref="IQL55:IQN55"/>
    <mergeCell ref="IQP55:IQR55"/>
    <mergeCell ref="IPF55:IPH55"/>
    <mergeCell ref="IPJ55:IPL55"/>
    <mergeCell ref="IPN55:IPP55"/>
    <mergeCell ref="IPR55:IPT55"/>
    <mergeCell ref="IPV55:IPX55"/>
    <mergeCell ref="IOL55:ION55"/>
    <mergeCell ref="IOP55:IOR55"/>
    <mergeCell ref="IOT55:IOV55"/>
    <mergeCell ref="IOX55:IOZ55"/>
    <mergeCell ref="IPB55:IPD55"/>
    <mergeCell ref="INR55:INT55"/>
    <mergeCell ref="INV55:INX55"/>
    <mergeCell ref="INZ55:IOB55"/>
    <mergeCell ref="IOD55:IOF55"/>
    <mergeCell ref="IOH55:IOJ55"/>
    <mergeCell ref="IMX55:IMZ55"/>
    <mergeCell ref="INB55:IND55"/>
    <mergeCell ref="INF55:INH55"/>
    <mergeCell ref="INJ55:INL55"/>
    <mergeCell ref="INN55:INP55"/>
    <mergeCell ref="IMD55:IMF55"/>
    <mergeCell ref="IMH55:IMJ55"/>
    <mergeCell ref="IML55:IMN55"/>
    <mergeCell ref="IMP55:IMR55"/>
    <mergeCell ref="IMT55:IMV55"/>
    <mergeCell ref="ILJ55:ILL55"/>
    <mergeCell ref="ILN55:ILP55"/>
    <mergeCell ref="ILR55:ILT55"/>
    <mergeCell ref="ILV55:ILX55"/>
    <mergeCell ref="ILZ55:IMB55"/>
    <mergeCell ref="IKP55:IKR55"/>
    <mergeCell ref="IKT55:IKV55"/>
    <mergeCell ref="IKX55:IKZ55"/>
    <mergeCell ref="ILB55:ILD55"/>
    <mergeCell ref="ILF55:ILH55"/>
    <mergeCell ref="IJV55:IJX55"/>
    <mergeCell ref="IJZ55:IKB55"/>
    <mergeCell ref="IKD55:IKF55"/>
    <mergeCell ref="IKH55:IKJ55"/>
    <mergeCell ref="IKL55:IKN55"/>
    <mergeCell ref="IJB55:IJD55"/>
    <mergeCell ref="IJF55:IJH55"/>
    <mergeCell ref="IJJ55:IJL55"/>
    <mergeCell ref="IJN55:IJP55"/>
    <mergeCell ref="IJR55:IJT55"/>
    <mergeCell ref="IIH55:IIJ55"/>
    <mergeCell ref="IIL55:IIN55"/>
    <mergeCell ref="IIP55:IIR55"/>
    <mergeCell ref="IIT55:IIV55"/>
    <mergeCell ref="IIX55:IIZ55"/>
    <mergeCell ref="IHN55:IHP55"/>
    <mergeCell ref="IHR55:IHT55"/>
    <mergeCell ref="IHV55:IHX55"/>
    <mergeCell ref="IHZ55:IIB55"/>
    <mergeCell ref="IID55:IIF55"/>
    <mergeCell ref="IGT55:IGV55"/>
    <mergeCell ref="IGX55:IGZ55"/>
    <mergeCell ref="IHB55:IHD55"/>
    <mergeCell ref="IHF55:IHH55"/>
    <mergeCell ref="IHJ55:IHL55"/>
    <mergeCell ref="IFZ55:IGB55"/>
    <mergeCell ref="IGD55:IGF55"/>
    <mergeCell ref="IGH55:IGJ55"/>
    <mergeCell ref="IGL55:IGN55"/>
    <mergeCell ref="IGP55:IGR55"/>
    <mergeCell ref="IFF55:IFH55"/>
    <mergeCell ref="IFJ55:IFL55"/>
    <mergeCell ref="IFN55:IFP55"/>
    <mergeCell ref="IFR55:IFT55"/>
    <mergeCell ref="IFV55:IFX55"/>
    <mergeCell ref="IEL55:IEN55"/>
    <mergeCell ref="IEP55:IER55"/>
    <mergeCell ref="IET55:IEV55"/>
    <mergeCell ref="IEX55:IEZ55"/>
    <mergeCell ref="IFB55:IFD55"/>
    <mergeCell ref="IDR55:IDT55"/>
    <mergeCell ref="IDV55:IDX55"/>
    <mergeCell ref="IDZ55:IEB55"/>
    <mergeCell ref="IED55:IEF55"/>
    <mergeCell ref="IEH55:IEJ55"/>
    <mergeCell ref="ICX55:ICZ55"/>
    <mergeCell ref="IDB55:IDD55"/>
    <mergeCell ref="IDF55:IDH55"/>
    <mergeCell ref="IDJ55:IDL55"/>
    <mergeCell ref="IDN55:IDP55"/>
    <mergeCell ref="ICD55:ICF55"/>
    <mergeCell ref="ICH55:ICJ55"/>
    <mergeCell ref="ICL55:ICN55"/>
    <mergeCell ref="ICP55:ICR55"/>
    <mergeCell ref="ICT55:ICV55"/>
    <mergeCell ref="IBJ55:IBL55"/>
    <mergeCell ref="IBN55:IBP55"/>
    <mergeCell ref="IBR55:IBT55"/>
    <mergeCell ref="IBV55:IBX55"/>
    <mergeCell ref="IBZ55:ICB55"/>
    <mergeCell ref="IAP55:IAR55"/>
    <mergeCell ref="IAT55:IAV55"/>
    <mergeCell ref="IAX55:IAZ55"/>
    <mergeCell ref="IBB55:IBD55"/>
    <mergeCell ref="IBF55:IBH55"/>
    <mergeCell ref="HZV55:HZX55"/>
    <mergeCell ref="HZZ55:IAB55"/>
    <mergeCell ref="IAD55:IAF55"/>
    <mergeCell ref="IAH55:IAJ55"/>
    <mergeCell ref="IAL55:IAN55"/>
    <mergeCell ref="HZB55:HZD55"/>
    <mergeCell ref="HZF55:HZH55"/>
    <mergeCell ref="HZJ55:HZL55"/>
    <mergeCell ref="HZN55:HZP55"/>
    <mergeCell ref="HZR55:HZT55"/>
    <mergeCell ref="HYH55:HYJ55"/>
    <mergeCell ref="HYL55:HYN55"/>
    <mergeCell ref="HYP55:HYR55"/>
    <mergeCell ref="HYT55:HYV55"/>
    <mergeCell ref="HYX55:HYZ55"/>
    <mergeCell ref="HXN55:HXP55"/>
    <mergeCell ref="HXR55:HXT55"/>
    <mergeCell ref="HXV55:HXX55"/>
    <mergeCell ref="HXZ55:HYB55"/>
    <mergeCell ref="HYD55:HYF55"/>
    <mergeCell ref="HWT55:HWV55"/>
    <mergeCell ref="HWX55:HWZ55"/>
    <mergeCell ref="HXB55:HXD55"/>
    <mergeCell ref="HXF55:HXH55"/>
    <mergeCell ref="HXJ55:HXL55"/>
    <mergeCell ref="HVZ55:HWB55"/>
    <mergeCell ref="HWD55:HWF55"/>
    <mergeCell ref="HWH55:HWJ55"/>
    <mergeCell ref="HWL55:HWN55"/>
    <mergeCell ref="HWP55:HWR55"/>
    <mergeCell ref="HVF55:HVH55"/>
    <mergeCell ref="HVJ55:HVL55"/>
    <mergeCell ref="HVN55:HVP55"/>
    <mergeCell ref="HVR55:HVT55"/>
    <mergeCell ref="HVV55:HVX55"/>
    <mergeCell ref="HUL55:HUN55"/>
    <mergeCell ref="HUP55:HUR55"/>
    <mergeCell ref="HUT55:HUV55"/>
    <mergeCell ref="HUX55:HUZ55"/>
    <mergeCell ref="HVB55:HVD55"/>
    <mergeCell ref="HTR55:HTT55"/>
    <mergeCell ref="HTV55:HTX55"/>
    <mergeCell ref="HTZ55:HUB55"/>
    <mergeCell ref="HUD55:HUF55"/>
    <mergeCell ref="HUH55:HUJ55"/>
    <mergeCell ref="HSX55:HSZ55"/>
    <mergeCell ref="HTB55:HTD55"/>
    <mergeCell ref="HTF55:HTH55"/>
    <mergeCell ref="HTJ55:HTL55"/>
    <mergeCell ref="HTN55:HTP55"/>
    <mergeCell ref="HSD55:HSF55"/>
    <mergeCell ref="HSH55:HSJ55"/>
    <mergeCell ref="HSL55:HSN55"/>
    <mergeCell ref="HSP55:HSR55"/>
    <mergeCell ref="HST55:HSV55"/>
    <mergeCell ref="HRJ55:HRL55"/>
    <mergeCell ref="HRN55:HRP55"/>
    <mergeCell ref="HRR55:HRT55"/>
    <mergeCell ref="HRV55:HRX55"/>
    <mergeCell ref="HRZ55:HSB55"/>
    <mergeCell ref="HQP55:HQR55"/>
    <mergeCell ref="HQT55:HQV55"/>
    <mergeCell ref="HQX55:HQZ55"/>
    <mergeCell ref="HRB55:HRD55"/>
    <mergeCell ref="HRF55:HRH55"/>
    <mergeCell ref="HPV55:HPX55"/>
    <mergeCell ref="HPZ55:HQB55"/>
    <mergeCell ref="HQD55:HQF55"/>
    <mergeCell ref="HQH55:HQJ55"/>
    <mergeCell ref="HQL55:HQN55"/>
    <mergeCell ref="HPB55:HPD55"/>
    <mergeCell ref="HPF55:HPH55"/>
    <mergeCell ref="HPJ55:HPL55"/>
    <mergeCell ref="HPN55:HPP55"/>
    <mergeCell ref="HPR55:HPT55"/>
    <mergeCell ref="HOH55:HOJ55"/>
    <mergeCell ref="HOL55:HON55"/>
    <mergeCell ref="HOP55:HOR55"/>
    <mergeCell ref="HOT55:HOV55"/>
    <mergeCell ref="HOX55:HOZ55"/>
    <mergeCell ref="HNN55:HNP55"/>
    <mergeCell ref="HNR55:HNT55"/>
    <mergeCell ref="HNV55:HNX55"/>
    <mergeCell ref="HNZ55:HOB55"/>
    <mergeCell ref="HOD55:HOF55"/>
    <mergeCell ref="HMT55:HMV55"/>
    <mergeCell ref="HMX55:HMZ55"/>
    <mergeCell ref="HNB55:HND55"/>
    <mergeCell ref="HNF55:HNH55"/>
    <mergeCell ref="HNJ55:HNL55"/>
    <mergeCell ref="HLZ55:HMB55"/>
    <mergeCell ref="HMD55:HMF55"/>
    <mergeCell ref="HMH55:HMJ55"/>
    <mergeCell ref="HML55:HMN55"/>
    <mergeCell ref="HMP55:HMR55"/>
    <mergeCell ref="HLF55:HLH55"/>
    <mergeCell ref="HLJ55:HLL55"/>
    <mergeCell ref="HLN55:HLP55"/>
    <mergeCell ref="HLR55:HLT55"/>
    <mergeCell ref="HLV55:HLX55"/>
    <mergeCell ref="HKL55:HKN55"/>
    <mergeCell ref="HKP55:HKR55"/>
    <mergeCell ref="HKT55:HKV55"/>
    <mergeCell ref="HKX55:HKZ55"/>
    <mergeCell ref="HLB55:HLD55"/>
    <mergeCell ref="HJR55:HJT55"/>
    <mergeCell ref="HJV55:HJX55"/>
    <mergeCell ref="HJZ55:HKB55"/>
    <mergeCell ref="HKD55:HKF55"/>
    <mergeCell ref="HKH55:HKJ55"/>
    <mergeCell ref="HIX55:HIZ55"/>
    <mergeCell ref="HJB55:HJD55"/>
    <mergeCell ref="HJF55:HJH55"/>
    <mergeCell ref="HJJ55:HJL55"/>
    <mergeCell ref="HJN55:HJP55"/>
    <mergeCell ref="HID55:HIF55"/>
    <mergeCell ref="HIH55:HIJ55"/>
    <mergeCell ref="HIL55:HIN55"/>
    <mergeCell ref="HIP55:HIR55"/>
    <mergeCell ref="HIT55:HIV55"/>
    <mergeCell ref="HHJ55:HHL55"/>
    <mergeCell ref="HHN55:HHP55"/>
    <mergeCell ref="HHR55:HHT55"/>
    <mergeCell ref="HHV55:HHX55"/>
    <mergeCell ref="HHZ55:HIB55"/>
    <mergeCell ref="HGP55:HGR55"/>
    <mergeCell ref="HGT55:HGV55"/>
    <mergeCell ref="HGX55:HGZ55"/>
    <mergeCell ref="HHB55:HHD55"/>
    <mergeCell ref="HHF55:HHH55"/>
    <mergeCell ref="HFV55:HFX55"/>
    <mergeCell ref="HFZ55:HGB55"/>
    <mergeCell ref="HGD55:HGF55"/>
    <mergeCell ref="HGH55:HGJ55"/>
    <mergeCell ref="HGL55:HGN55"/>
    <mergeCell ref="HFB55:HFD55"/>
    <mergeCell ref="HFF55:HFH55"/>
    <mergeCell ref="HFJ55:HFL55"/>
    <mergeCell ref="HFN55:HFP55"/>
    <mergeCell ref="HFR55:HFT55"/>
    <mergeCell ref="HEH55:HEJ55"/>
    <mergeCell ref="HEL55:HEN55"/>
    <mergeCell ref="HEP55:HER55"/>
    <mergeCell ref="HET55:HEV55"/>
    <mergeCell ref="HEX55:HEZ55"/>
    <mergeCell ref="HDN55:HDP55"/>
    <mergeCell ref="HDR55:HDT55"/>
    <mergeCell ref="HDV55:HDX55"/>
    <mergeCell ref="HDZ55:HEB55"/>
    <mergeCell ref="HED55:HEF55"/>
    <mergeCell ref="HCT55:HCV55"/>
    <mergeCell ref="HCX55:HCZ55"/>
    <mergeCell ref="HDB55:HDD55"/>
    <mergeCell ref="HDF55:HDH55"/>
    <mergeCell ref="HDJ55:HDL55"/>
    <mergeCell ref="HBZ55:HCB55"/>
    <mergeCell ref="HCD55:HCF55"/>
    <mergeCell ref="HCH55:HCJ55"/>
    <mergeCell ref="HCL55:HCN55"/>
    <mergeCell ref="HCP55:HCR55"/>
    <mergeCell ref="HBF55:HBH55"/>
    <mergeCell ref="HBJ55:HBL55"/>
    <mergeCell ref="HBN55:HBP55"/>
    <mergeCell ref="HBR55:HBT55"/>
    <mergeCell ref="HBV55:HBX55"/>
    <mergeCell ref="HAL55:HAN55"/>
    <mergeCell ref="HAP55:HAR55"/>
    <mergeCell ref="HAT55:HAV55"/>
    <mergeCell ref="HAX55:HAZ55"/>
    <mergeCell ref="HBB55:HBD55"/>
    <mergeCell ref="GZR55:GZT55"/>
    <mergeCell ref="GZV55:GZX55"/>
    <mergeCell ref="GZZ55:HAB55"/>
    <mergeCell ref="HAD55:HAF55"/>
    <mergeCell ref="HAH55:HAJ55"/>
    <mergeCell ref="GYX55:GYZ55"/>
    <mergeCell ref="GZB55:GZD55"/>
    <mergeCell ref="GZF55:GZH55"/>
    <mergeCell ref="GZJ55:GZL55"/>
    <mergeCell ref="GZN55:GZP55"/>
    <mergeCell ref="GYD55:GYF55"/>
    <mergeCell ref="GYH55:GYJ55"/>
    <mergeCell ref="GYL55:GYN55"/>
    <mergeCell ref="GYP55:GYR55"/>
    <mergeCell ref="GYT55:GYV55"/>
    <mergeCell ref="GXJ55:GXL55"/>
    <mergeCell ref="GXN55:GXP55"/>
    <mergeCell ref="GXR55:GXT55"/>
    <mergeCell ref="GXV55:GXX55"/>
    <mergeCell ref="GXZ55:GYB55"/>
    <mergeCell ref="GWP55:GWR55"/>
    <mergeCell ref="GWT55:GWV55"/>
    <mergeCell ref="GWX55:GWZ55"/>
    <mergeCell ref="GXB55:GXD55"/>
    <mergeCell ref="GXF55:GXH55"/>
    <mergeCell ref="GVV55:GVX55"/>
    <mergeCell ref="GVZ55:GWB55"/>
    <mergeCell ref="GWD55:GWF55"/>
    <mergeCell ref="GWH55:GWJ55"/>
    <mergeCell ref="GWL55:GWN55"/>
    <mergeCell ref="GVB55:GVD55"/>
    <mergeCell ref="GVF55:GVH55"/>
    <mergeCell ref="GVJ55:GVL55"/>
    <mergeCell ref="GVN55:GVP55"/>
    <mergeCell ref="GVR55:GVT55"/>
    <mergeCell ref="GUH55:GUJ55"/>
    <mergeCell ref="GUL55:GUN55"/>
    <mergeCell ref="GUP55:GUR55"/>
    <mergeCell ref="GUT55:GUV55"/>
    <mergeCell ref="GUX55:GUZ55"/>
    <mergeCell ref="GTN55:GTP55"/>
    <mergeCell ref="GTR55:GTT55"/>
    <mergeCell ref="GTV55:GTX55"/>
    <mergeCell ref="GTZ55:GUB55"/>
    <mergeCell ref="GUD55:GUF55"/>
    <mergeCell ref="GST55:GSV55"/>
    <mergeCell ref="GSX55:GSZ55"/>
    <mergeCell ref="GTB55:GTD55"/>
    <mergeCell ref="GTF55:GTH55"/>
    <mergeCell ref="GTJ55:GTL55"/>
    <mergeCell ref="GRZ55:GSB55"/>
    <mergeCell ref="GSD55:GSF55"/>
    <mergeCell ref="GSH55:GSJ55"/>
    <mergeCell ref="GSL55:GSN55"/>
    <mergeCell ref="GSP55:GSR55"/>
    <mergeCell ref="GRF55:GRH55"/>
    <mergeCell ref="GRJ55:GRL55"/>
    <mergeCell ref="GRN55:GRP55"/>
    <mergeCell ref="GRR55:GRT55"/>
    <mergeCell ref="GRV55:GRX55"/>
    <mergeCell ref="GQL55:GQN55"/>
    <mergeCell ref="GQP55:GQR55"/>
    <mergeCell ref="GQT55:GQV55"/>
    <mergeCell ref="GQX55:GQZ55"/>
    <mergeCell ref="GRB55:GRD55"/>
    <mergeCell ref="GPR55:GPT55"/>
    <mergeCell ref="GPV55:GPX55"/>
    <mergeCell ref="GPZ55:GQB55"/>
    <mergeCell ref="GQD55:GQF55"/>
    <mergeCell ref="GQH55:GQJ55"/>
    <mergeCell ref="GOX55:GOZ55"/>
    <mergeCell ref="GPB55:GPD55"/>
    <mergeCell ref="GPF55:GPH55"/>
    <mergeCell ref="GPJ55:GPL55"/>
    <mergeCell ref="GPN55:GPP55"/>
    <mergeCell ref="GOD55:GOF55"/>
    <mergeCell ref="GOH55:GOJ55"/>
    <mergeCell ref="GOL55:GON55"/>
    <mergeCell ref="GOP55:GOR55"/>
    <mergeCell ref="GOT55:GOV55"/>
    <mergeCell ref="GNJ55:GNL55"/>
    <mergeCell ref="GNN55:GNP55"/>
    <mergeCell ref="GNR55:GNT55"/>
    <mergeCell ref="GNV55:GNX55"/>
    <mergeCell ref="GNZ55:GOB55"/>
    <mergeCell ref="GMP55:GMR55"/>
    <mergeCell ref="GMT55:GMV55"/>
    <mergeCell ref="GMX55:GMZ55"/>
    <mergeCell ref="GNB55:GND55"/>
    <mergeCell ref="GNF55:GNH55"/>
    <mergeCell ref="GLV55:GLX55"/>
    <mergeCell ref="GLZ55:GMB55"/>
    <mergeCell ref="GMD55:GMF55"/>
    <mergeCell ref="GMH55:GMJ55"/>
    <mergeCell ref="GML55:GMN55"/>
    <mergeCell ref="GLB55:GLD55"/>
    <mergeCell ref="GLF55:GLH55"/>
    <mergeCell ref="GLJ55:GLL55"/>
    <mergeCell ref="GLN55:GLP55"/>
    <mergeCell ref="GLR55:GLT55"/>
    <mergeCell ref="GKH55:GKJ55"/>
    <mergeCell ref="GKL55:GKN55"/>
    <mergeCell ref="GKP55:GKR55"/>
    <mergeCell ref="GKT55:GKV55"/>
    <mergeCell ref="GKX55:GKZ55"/>
    <mergeCell ref="GJN55:GJP55"/>
    <mergeCell ref="GJR55:GJT55"/>
    <mergeCell ref="GJV55:GJX55"/>
    <mergeCell ref="GJZ55:GKB55"/>
    <mergeCell ref="GKD55:GKF55"/>
    <mergeCell ref="GIT55:GIV55"/>
    <mergeCell ref="GIX55:GIZ55"/>
    <mergeCell ref="GJB55:GJD55"/>
    <mergeCell ref="GJF55:GJH55"/>
    <mergeCell ref="GJJ55:GJL55"/>
    <mergeCell ref="GHZ55:GIB55"/>
    <mergeCell ref="GID55:GIF55"/>
    <mergeCell ref="GIH55:GIJ55"/>
    <mergeCell ref="GIL55:GIN55"/>
    <mergeCell ref="GIP55:GIR55"/>
    <mergeCell ref="GHF55:GHH55"/>
    <mergeCell ref="GHJ55:GHL55"/>
    <mergeCell ref="GHN55:GHP55"/>
    <mergeCell ref="GHR55:GHT55"/>
    <mergeCell ref="GHV55:GHX55"/>
    <mergeCell ref="GGL55:GGN55"/>
    <mergeCell ref="GGP55:GGR55"/>
    <mergeCell ref="GGT55:GGV55"/>
    <mergeCell ref="GGX55:GGZ55"/>
    <mergeCell ref="GHB55:GHD55"/>
    <mergeCell ref="GFR55:GFT55"/>
    <mergeCell ref="GFV55:GFX55"/>
    <mergeCell ref="GFZ55:GGB55"/>
    <mergeCell ref="GGD55:GGF55"/>
    <mergeCell ref="GGH55:GGJ55"/>
    <mergeCell ref="GEX55:GEZ55"/>
    <mergeCell ref="GFB55:GFD55"/>
    <mergeCell ref="GFF55:GFH55"/>
    <mergeCell ref="GFJ55:GFL55"/>
    <mergeCell ref="GFN55:GFP55"/>
    <mergeCell ref="GED55:GEF55"/>
    <mergeCell ref="GEH55:GEJ55"/>
    <mergeCell ref="GEL55:GEN55"/>
    <mergeCell ref="GEP55:GER55"/>
    <mergeCell ref="GET55:GEV55"/>
    <mergeCell ref="GDJ55:GDL55"/>
    <mergeCell ref="GDN55:GDP55"/>
    <mergeCell ref="GDR55:GDT55"/>
    <mergeCell ref="GDV55:GDX55"/>
    <mergeCell ref="GDZ55:GEB55"/>
    <mergeCell ref="GCP55:GCR55"/>
    <mergeCell ref="GCT55:GCV55"/>
    <mergeCell ref="GCX55:GCZ55"/>
    <mergeCell ref="GDB55:GDD55"/>
    <mergeCell ref="GDF55:GDH55"/>
    <mergeCell ref="GBV55:GBX55"/>
    <mergeCell ref="GBZ55:GCB55"/>
    <mergeCell ref="GCD55:GCF55"/>
    <mergeCell ref="GCH55:GCJ55"/>
    <mergeCell ref="GCL55:GCN55"/>
    <mergeCell ref="GBB55:GBD55"/>
    <mergeCell ref="GBF55:GBH55"/>
    <mergeCell ref="GBJ55:GBL55"/>
    <mergeCell ref="GBN55:GBP55"/>
    <mergeCell ref="GBR55:GBT55"/>
    <mergeCell ref="GAH55:GAJ55"/>
    <mergeCell ref="GAL55:GAN55"/>
    <mergeCell ref="GAP55:GAR55"/>
    <mergeCell ref="GAT55:GAV55"/>
    <mergeCell ref="GAX55:GAZ55"/>
    <mergeCell ref="FZN55:FZP55"/>
    <mergeCell ref="FZR55:FZT55"/>
    <mergeCell ref="FZV55:FZX55"/>
    <mergeCell ref="FZZ55:GAB55"/>
    <mergeCell ref="GAD55:GAF55"/>
    <mergeCell ref="FYT55:FYV55"/>
    <mergeCell ref="FYX55:FYZ55"/>
    <mergeCell ref="FZB55:FZD55"/>
    <mergeCell ref="FZF55:FZH55"/>
    <mergeCell ref="FZJ55:FZL55"/>
    <mergeCell ref="FXZ55:FYB55"/>
    <mergeCell ref="FYD55:FYF55"/>
    <mergeCell ref="FYH55:FYJ55"/>
    <mergeCell ref="FYL55:FYN55"/>
    <mergeCell ref="FYP55:FYR55"/>
    <mergeCell ref="FXF55:FXH55"/>
    <mergeCell ref="FXJ55:FXL55"/>
    <mergeCell ref="FXN55:FXP55"/>
    <mergeCell ref="FXR55:FXT55"/>
    <mergeCell ref="FXV55:FXX55"/>
    <mergeCell ref="FWL55:FWN55"/>
    <mergeCell ref="FWP55:FWR55"/>
    <mergeCell ref="FWT55:FWV55"/>
    <mergeCell ref="FWX55:FWZ55"/>
    <mergeCell ref="FXB55:FXD55"/>
    <mergeCell ref="FVR55:FVT55"/>
    <mergeCell ref="FVV55:FVX55"/>
    <mergeCell ref="FVZ55:FWB55"/>
    <mergeCell ref="FWD55:FWF55"/>
    <mergeCell ref="FWH55:FWJ55"/>
    <mergeCell ref="FUX55:FUZ55"/>
    <mergeCell ref="FVB55:FVD55"/>
    <mergeCell ref="FVF55:FVH55"/>
    <mergeCell ref="FVJ55:FVL55"/>
    <mergeCell ref="FVN55:FVP55"/>
    <mergeCell ref="FUD55:FUF55"/>
    <mergeCell ref="FUH55:FUJ55"/>
    <mergeCell ref="FUL55:FUN55"/>
    <mergeCell ref="FUP55:FUR55"/>
    <mergeCell ref="FUT55:FUV55"/>
    <mergeCell ref="FTJ55:FTL55"/>
    <mergeCell ref="FTN55:FTP55"/>
    <mergeCell ref="FTR55:FTT55"/>
    <mergeCell ref="FTV55:FTX55"/>
    <mergeCell ref="FTZ55:FUB55"/>
    <mergeCell ref="FSP55:FSR55"/>
    <mergeCell ref="FST55:FSV55"/>
    <mergeCell ref="FSX55:FSZ55"/>
    <mergeCell ref="FTB55:FTD55"/>
    <mergeCell ref="FTF55:FTH55"/>
    <mergeCell ref="FRV55:FRX55"/>
    <mergeCell ref="FRZ55:FSB55"/>
    <mergeCell ref="FSD55:FSF55"/>
    <mergeCell ref="FSH55:FSJ55"/>
    <mergeCell ref="FSL55:FSN55"/>
    <mergeCell ref="FRB55:FRD55"/>
    <mergeCell ref="FRF55:FRH55"/>
    <mergeCell ref="FRJ55:FRL55"/>
    <mergeCell ref="FRN55:FRP55"/>
    <mergeCell ref="FRR55:FRT55"/>
    <mergeCell ref="FQH55:FQJ55"/>
    <mergeCell ref="FQL55:FQN55"/>
    <mergeCell ref="FQP55:FQR55"/>
    <mergeCell ref="FQT55:FQV55"/>
    <mergeCell ref="FQX55:FQZ55"/>
    <mergeCell ref="FPN55:FPP55"/>
    <mergeCell ref="FPR55:FPT55"/>
    <mergeCell ref="FPV55:FPX55"/>
    <mergeCell ref="FPZ55:FQB55"/>
    <mergeCell ref="FQD55:FQF55"/>
    <mergeCell ref="FOT55:FOV55"/>
    <mergeCell ref="FOX55:FOZ55"/>
    <mergeCell ref="FPB55:FPD55"/>
    <mergeCell ref="FPF55:FPH55"/>
    <mergeCell ref="FPJ55:FPL55"/>
    <mergeCell ref="FNZ55:FOB55"/>
    <mergeCell ref="FOD55:FOF55"/>
    <mergeCell ref="FOH55:FOJ55"/>
    <mergeCell ref="FOL55:FON55"/>
    <mergeCell ref="FOP55:FOR55"/>
    <mergeCell ref="FNF55:FNH55"/>
    <mergeCell ref="FNJ55:FNL55"/>
    <mergeCell ref="FNN55:FNP55"/>
    <mergeCell ref="FNR55:FNT55"/>
    <mergeCell ref="FNV55:FNX55"/>
    <mergeCell ref="FML55:FMN55"/>
    <mergeCell ref="FMP55:FMR55"/>
    <mergeCell ref="FMT55:FMV55"/>
    <mergeCell ref="FMX55:FMZ55"/>
    <mergeCell ref="FNB55:FND55"/>
    <mergeCell ref="FLR55:FLT55"/>
    <mergeCell ref="FLV55:FLX55"/>
    <mergeCell ref="FLZ55:FMB55"/>
    <mergeCell ref="FMD55:FMF55"/>
    <mergeCell ref="FMH55:FMJ55"/>
    <mergeCell ref="FKX55:FKZ55"/>
    <mergeCell ref="FLB55:FLD55"/>
    <mergeCell ref="FLF55:FLH55"/>
    <mergeCell ref="FLJ55:FLL55"/>
    <mergeCell ref="FLN55:FLP55"/>
    <mergeCell ref="FKD55:FKF55"/>
    <mergeCell ref="FKH55:FKJ55"/>
    <mergeCell ref="FKL55:FKN55"/>
    <mergeCell ref="FKP55:FKR55"/>
    <mergeCell ref="FKT55:FKV55"/>
    <mergeCell ref="FJJ55:FJL55"/>
    <mergeCell ref="FJN55:FJP55"/>
    <mergeCell ref="FJR55:FJT55"/>
    <mergeCell ref="FJV55:FJX55"/>
    <mergeCell ref="FJZ55:FKB55"/>
    <mergeCell ref="FIP55:FIR55"/>
    <mergeCell ref="FIT55:FIV55"/>
    <mergeCell ref="FIX55:FIZ55"/>
    <mergeCell ref="FJB55:FJD55"/>
    <mergeCell ref="FJF55:FJH55"/>
    <mergeCell ref="FHV55:FHX55"/>
    <mergeCell ref="FHZ55:FIB55"/>
    <mergeCell ref="FID55:FIF55"/>
    <mergeCell ref="FIH55:FIJ55"/>
    <mergeCell ref="FIL55:FIN55"/>
    <mergeCell ref="FHB55:FHD55"/>
    <mergeCell ref="FHF55:FHH55"/>
    <mergeCell ref="FHJ55:FHL55"/>
    <mergeCell ref="FHN55:FHP55"/>
    <mergeCell ref="FHR55:FHT55"/>
    <mergeCell ref="FGH55:FGJ55"/>
    <mergeCell ref="FGL55:FGN55"/>
    <mergeCell ref="FGP55:FGR55"/>
    <mergeCell ref="FGT55:FGV55"/>
    <mergeCell ref="FGX55:FGZ55"/>
    <mergeCell ref="FFN55:FFP55"/>
    <mergeCell ref="FFR55:FFT55"/>
    <mergeCell ref="FFV55:FFX55"/>
    <mergeCell ref="FFZ55:FGB55"/>
    <mergeCell ref="FGD55:FGF55"/>
    <mergeCell ref="FET55:FEV55"/>
    <mergeCell ref="FEX55:FEZ55"/>
    <mergeCell ref="FFB55:FFD55"/>
    <mergeCell ref="FFF55:FFH55"/>
    <mergeCell ref="FFJ55:FFL55"/>
    <mergeCell ref="FDZ55:FEB55"/>
    <mergeCell ref="FED55:FEF55"/>
    <mergeCell ref="FEH55:FEJ55"/>
    <mergeCell ref="FEL55:FEN55"/>
    <mergeCell ref="FEP55:FER55"/>
    <mergeCell ref="FDF55:FDH55"/>
    <mergeCell ref="FDJ55:FDL55"/>
    <mergeCell ref="FDN55:FDP55"/>
    <mergeCell ref="FDR55:FDT55"/>
    <mergeCell ref="FDV55:FDX55"/>
    <mergeCell ref="FCL55:FCN55"/>
    <mergeCell ref="FCP55:FCR55"/>
    <mergeCell ref="FCT55:FCV55"/>
    <mergeCell ref="FCX55:FCZ55"/>
    <mergeCell ref="FDB55:FDD55"/>
    <mergeCell ref="FBR55:FBT55"/>
    <mergeCell ref="FBV55:FBX55"/>
    <mergeCell ref="FBZ55:FCB55"/>
    <mergeCell ref="FCD55:FCF55"/>
    <mergeCell ref="FCH55:FCJ55"/>
    <mergeCell ref="FAX55:FAZ55"/>
    <mergeCell ref="FBB55:FBD55"/>
    <mergeCell ref="FBF55:FBH55"/>
    <mergeCell ref="FBJ55:FBL55"/>
    <mergeCell ref="FBN55:FBP55"/>
    <mergeCell ref="FAD55:FAF55"/>
    <mergeCell ref="FAH55:FAJ55"/>
    <mergeCell ref="FAL55:FAN55"/>
    <mergeCell ref="FAP55:FAR55"/>
    <mergeCell ref="FAT55:FAV55"/>
    <mergeCell ref="EZJ55:EZL55"/>
    <mergeCell ref="EZN55:EZP55"/>
    <mergeCell ref="EZR55:EZT55"/>
    <mergeCell ref="EZV55:EZX55"/>
    <mergeCell ref="EZZ55:FAB55"/>
    <mergeCell ref="EYP55:EYR55"/>
    <mergeCell ref="EYT55:EYV55"/>
    <mergeCell ref="EYX55:EYZ55"/>
    <mergeCell ref="EZB55:EZD55"/>
    <mergeCell ref="EZF55:EZH55"/>
    <mergeCell ref="EXV55:EXX55"/>
    <mergeCell ref="EXZ55:EYB55"/>
    <mergeCell ref="EYD55:EYF55"/>
    <mergeCell ref="EYH55:EYJ55"/>
    <mergeCell ref="EYL55:EYN55"/>
    <mergeCell ref="EXB55:EXD55"/>
    <mergeCell ref="EXF55:EXH55"/>
    <mergeCell ref="EXJ55:EXL55"/>
    <mergeCell ref="EXN55:EXP55"/>
    <mergeCell ref="EXR55:EXT55"/>
    <mergeCell ref="EWH55:EWJ55"/>
    <mergeCell ref="EWL55:EWN55"/>
    <mergeCell ref="EWP55:EWR55"/>
    <mergeCell ref="EWT55:EWV55"/>
    <mergeCell ref="EWX55:EWZ55"/>
    <mergeCell ref="EVN55:EVP55"/>
    <mergeCell ref="EVR55:EVT55"/>
    <mergeCell ref="EVV55:EVX55"/>
    <mergeCell ref="EVZ55:EWB55"/>
    <mergeCell ref="EWD55:EWF55"/>
    <mergeCell ref="EUT55:EUV55"/>
    <mergeCell ref="EUX55:EUZ55"/>
    <mergeCell ref="EVB55:EVD55"/>
    <mergeCell ref="EVF55:EVH55"/>
    <mergeCell ref="EVJ55:EVL55"/>
    <mergeCell ref="ETZ55:EUB55"/>
    <mergeCell ref="EUD55:EUF55"/>
    <mergeCell ref="EUH55:EUJ55"/>
    <mergeCell ref="EUL55:EUN55"/>
    <mergeCell ref="EUP55:EUR55"/>
    <mergeCell ref="ETF55:ETH55"/>
    <mergeCell ref="ETJ55:ETL55"/>
    <mergeCell ref="ETN55:ETP55"/>
    <mergeCell ref="ETR55:ETT55"/>
    <mergeCell ref="ETV55:ETX55"/>
    <mergeCell ref="ESL55:ESN55"/>
    <mergeCell ref="ESP55:ESR55"/>
    <mergeCell ref="EST55:ESV55"/>
    <mergeCell ref="ESX55:ESZ55"/>
    <mergeCell ref="ETB55:ETD55"/>
    <mergeCell ref="ERR55:ERT55"/>
    <mergeCell ref="ERV55:ERX55"/>
    <mergeCell ref="ERZ55:ESB55"/>
    <mergeCell ref="ESD55:ESF55"/>
    <mergeCell ref="ESH55:ESJ55"/>
    <mergeCell ref="EQX55:EQZ55"/>
    <mergeCell ref="ERB55:ERD55"/>
    <mergeCell ref="ERF55:ERH55"/>
    <mergeCell ref="ERJ55:ERL55"/>
    <mergeCell ref="ERN55:ERP55"/>
    <mergeCell ref="EQD55:EQF55"/>
    <mergeCell ref="EQH55:EQJ55"/>
    <mergeCell ref="EQL55:EQN55"/>
    <mergeCell ref="EQP55:EQR55"/>
    <mergeCell ref="EQT55:EQV55"/>
    <mergeCell ref="EPJ55:EPL55"/>
    <mergeCell ref="EPN55:EPP55"/>
    <mergeCell ref="EPR55:EPT55"/>
    <mergeCell ref="EPV55:EPX55"/>
    <mergeCell ref="EPZ55:EQB55"/>
    <mergeCell ref="EOP55:EOR55"/>
    <mergeCell ref="EOT55:EOV55"/>
    <mergeCell ref="EOX55:EOZ55"/>
    <mergeCell ref="EPB55:EPD55"/>
    <mergeCell ref="EPF55:EPH55"/>
    <mergeCell ref="ENV55:ENX55"/>
    <mergeCell ref="ENZ55:EOB55"/>
    <mergeCell ref="EOD55:EOF55"/>
    <mergeCell ref="EOH55:EOJ55"/>
    <mergeCell ref="EOL55:EON55"/>
    <mergeCell ref="ENB55:END55"/>
    <mergeCell ref="ENF55:ENH55"/>
    <mergeCell ref="ENJ55:ENL55"/>
    <mergeCell ref="ENN55:ENP55"/>
    <mergeCell ref="ENR55:ENT55"/>
    <mergeCell ref="EMH55:EMJ55"/>
    <mergeCell ref="EML55:EMN55"/>
    <mergeCell ref="EMP55:EMR55"/>
    <mergeCell ref="EMT55:EMV55"/>
    <mergeCell ref="EMX55:EMZ55"/>
    <mergeCell ref="ELN55:ELP55"/>
    <mergeCell ref="ELR55:ELT55"/>
    <mergeCell ref="ELV55:ELX55"/>
    <mergeCell ref="ELZ55:EMB55"/>
    <mergeCell ref="EMD55:EMF55"/>
    <mergeCell ref="EKT55:EKV55"/>
    <mergeCell ref="EKX55:EKZ55"/>
    <mergeCell ref="ELB55:ELD55"/>
    <mergeCell ref="ELF55:ELH55"/>
    <mergeCell ref="ELJ55:ELL55"/>
    <mergeCell ref="EJZ55:EKB55"/>
    <mergeCell ref="EKD55:EKF55"/>
    <mergeCell ref="EKH55:EKJ55"/>
    <mergeCell ref="EKL55:EKN55"/>
    <mergeCell ref="EKP55:EKR55"/>
    <mergeCell ref="EJF55:EJH55"/>
    <mergeCell ref="EJJ55:EJL55"/>
    <mergeCell ref="EJN55:EJP55"/>
    <mergeCell ref="EJR55:EJT55"/>
    <mergeCell ref="EJV55:EJX55"/>
    <mergeCell ref="EIL55:EIN55"/>
    <mergeCell ref="EIP55:EIR55"/>
    <mergeCell ref="EIT55:EIV55"/>
    <mergeCell ref="EIX55:EIZ55"/>
    <mergeCell ref="EJB55:EJD55"/>
    <mergeCell ref="EHR55:EHT55"/>
    <mergeCell ref="EHV55:EHX55"/>
    <mergeCell ref="EHZ55:EIB55"/>
    <mergeCell ref="EID55:EIF55"/>
    <mergeCell ref="EIH55:EIJ55"/>
    <mergeCell ref="EGX55:EGZ55"/>
    <mergeCell ref="EHB55:EHD55"/>
    <mergeCell ref="EHF55:EHH55"/>
    <mergeCell ref="EHJ55:EHL55"/>
    <mergeCell ref="EHN55:EHP55"/>
    <mergeCell ref="EGD55:EGF55"/>
    <mergeCell ref="EGH55:EGJ55"/>
    <mergeCell ref="EGL55:EGN55"/>
    <mergeCell ref="EGP55:EGR55"/>
    <mergeCell ref="EGT55:EGV55"/>
    <mergeCell ref="EFJ55:EFL55"/>
    <mergeCell ref="EFN55:EFP55"/>
    <mergeCell ref="EFR55:EFT55"/>
    <mergeCell ref="EFV55:EFX55"/>
    <mergeCell ref="EFZ55:EGB55"/>
    <mergeCell ref="EEP55:EER55"/>
    <mergeCell ref="EET55:EEV55"/>
    <mergeCell ref="EEX55:EEZ55"/>
    <mergeCell ref="EFB55:EFD55"/>
    <mergeCell ref="EFF55:EFH55"/>
    <mergeCell ref="EDV55:EDX55"/>
    <mergeCell ref="EDZ55:EEB55"/>
    <mergeCell ref="EED55:EEF55"/>
    <mergeCell ref="EEH55:EEJ55"/>
    <mergeCell ref="EEL55:EEN55"/>
    <mergeCell ref="EDB55:EDD55"/>
    <mergeCell ref="EDF55:EDH55"/>
    <mergeCell ref="EDJ55:EDL55"/>
    <mergeCell ref="EDN55:EDP55"/>
    <mergeCell ref="EDR55:EDT55"/>
    <mergeCell ref="ECH55:ECJ55"/>
    <mergeCell ref="ECL55:ECN55"/>
    <mergeCell ref="ECP55:ECR55"/>
    <mergeCell ref="ECT55:ECV55"/>
    <mergeCell ref="ECX55:ECZ55"/>
    <mergeCell ref="EBN55:EBP55"/>
    <mergeCell ref="EBR55:EBT55"/>
    <mergeCell ref="EBV55:EBX55"/>
    <mergeCell ref="EBZ55:ECB55"/>
    <mergeCell ref="ECD55:ECF55"/>
    <mergeCell ref="EAT55:EAV55"/>
    <mergeCell ref="EAX55:EAZ55"/>
    <mergeCell ref="EBB55:EBD55"/>
    <mergeCell ref="EBF55:EBH55"/>
    <mergeCell ref="EBJ55:EBL55"/>
    <mergeCell ref="DZZ55:EAB55"/>
    <mergeCell ref="EAD55:EAF55"/>
    <mergeCell ref="EAH55:EAJ55"/>
    <mergeCell ref="EAL55:EAN55"/>
    <mergeCell ref="EAP55:EAR55"/>
    <mergeCell ref="DZF55:DZH55"/>
    <mergeCell ref="DZJ55:DZL55"/>
    <mergeCell ref="DZN55:DZP55"/>
    <mergeCell ref="DZR55:DZT55"/>
    <mergeCell ref="DZV55:DZX55"/>
    <mergeCell ref="DYL55:DYN55"/>
    <mergeCell ref="DYP55:DYR55"/>
    <mergeCell ref="DYT55:DYV55"/>
    <mergeCell ref="DYX55:DYZ55"/>
    <mergeCell ref="DZB55:DZD55"/>
    <mergeCell ref="DXR55:DXT55"/>
    <mergeCell ref="DXV55:DXX55"/>
    <mergeCell ref="DXZ55:DYB55"/>
    <mergeCell ref="DYD55:DYF55"/>
    <mergeCell ref="DYH55:DYJ55"/>
    <mergeCell ref="DWX55:DWZ55"/>
    <mergeCell ref="DXB55:DXD55"/>
    <mergeCell ref="DXF55:DXH55"/>
    <mergeCell ref="DXJ55:DXL55"/>
    <mergeCell ref="DXN55:DXP55"/>
    <mergeCell ref="DWD55:DWF55"/>
    <mergeCell ref="DWH55:DWJ55"/>
    <mergeCell ref="DWL55:DWN55"/>
    <mergeCell ref="DWP55:DWR55"/>
    <mergeCell ref="DWT55:DWV55"/>
    <mergeCell ref="DVJ55:DVL55"/>
    <mergeCell ref="DVN55:DVP55"/>
    <mergeCell ref="DVR55:DVT55"/>
    <mergeCell ref="DVV55:DVX55"/>
    <mergeCell ref="DVZ55:DWB55"/>
    <mergeCell ref="DUP55:DUR55"/>
    <mergeCell ref="DUT55:DUV55"/>
    <mergeCell ref="DUX55:DUZ55"/>
    <mergeCell ref="DVB55:DVD55"/>
    <mergeCell ref="DVF55:DVH55"/>
    <mergeCell ref="DTV55:DTX55"/>
    <mergeCell ref="DTZ55:DUB55"/>
    <mergeCell ref="DUD55:DUF55"/>
    <mergeCell ref="DUH55:DUJ55"/>
    <mergeCell ref="DUL55:DUN55"/>
    <mergeCell ref="DTB55:DTD55"/>
    <mergeCell ref="DTF55:DTH55"/>
    <mergeCell ref="DTJ55:DTL55"/>
    <mergeCell ref="DTN55:DTP55"/>
    <mergeCell ref="DTR55:DTT55"/>
    <mergeCell ref="DSH55:DSJ55"/>
    <mergeCell ref="DSL55:DSN55"/>
    <mergeCell ref="DSP55:DSR55"/>
    <mergeCell ref="DST55:DSV55"/>
    <mergeCell ref="DSX55:DSZ55"/>
    <mergeCell ref="DRN55:DRP55"/>
    <mergeCell ref="DRR55:DRT55"/>
    <mergeCell ref="DRV55:DRX55"/>
    <mergeCell ref="DRZ55:DSB55"/>
    <mergeCell ref="DSD55:DSF55"/>
    <mergeCell ref="DQT55:DQV55"/>
    <mergeCell ref="DQX55:DQZ55"/>
    <mergeCell ref="DRB55:DRD55"/>
    <mergeCell ref="DRF55:DRH55"/>
    <mergeCell ref="DRJ55:DRL55"/>
    <mergeCell ref="DPZ55:DQB55"/>
    <mergeCell ref="DQD55:DQF55"/>
    <mergeCell ref="DQH55:DQJ55"/>
    <mergeCell ref="DQL55:DQN55"/>
    <mergeCell ref="DQP55:DQR55"/>
    <mergeCell ref="DPF55:DPH55"/>
    <mergeCell ref="DPJ55:DPL55"/>
    <mergeCell ref="DPN55:DPP55"/>
    <mergeCell ref="DPR55:DPT55"/>
    <mergeCell ref="DPV55:DPX55"/>
    <mergeCell ref="DOL55:DON55"/>
    <mergeCell ref="DOP55:DOR55"/>
    <mergeCell ref="DOT55:DOV55"/>
    <mergeCell ref="DOX55:DOZ55"/>
    <mergeCell ref="DPB55:DPD55"/>
    <mergeCell ref="DNR55:DNT55"/>
    <mergeCell ref="DNV55:DNX55"/>
    <mergeCell ref="DNZ55:DOB55"/>
    <mergeCell ref="DOD55:DOF55"/>
    <mergeCell ref="DOH55:DOJ55"/>
    <mergeCell ref="DMX55:DMZ55"/>
    <mergeCell ref="DNB55:DND55"/>
    <mergeCell ref="DNF55:DNH55"/>
    <mergeCell ref="DNJ55:DNL55"/>
    <mergeCell ref="DNN55:DNP55"/>
    <mergeCell ref="DMD55:DMF55"/>
    <mergeCell ref="DMH55:DMJ55"/>
    <mergeCell ref="DML55:DMN55"/>
    <mergeCell ref="DMP55:DMR55"/>
    <mergeCell ref="DMT55:DMV55"/>
    <mergeCell ref="DLJ55:DLL55"/>
    <mergeCell ref="DLN55:DLP55"/>
    <mergeCell ref="DLR55:DLT55"/>
    <mergeCell ref="DLV55:DLX55"/>
    <mergeCell ref="DLZ55:DMB55"/>
    <mergeCell ref="DKP55:DKR55"/>
    <mergeCell ref="DKT55:DKV55"/>
    <mergeCell ref="DKX55:DKZ55"/>
    <mergeCell ref="DLB55:DLD55"/>
    <mergeCell ref="DLF55:DLH55"/>
    <mergeCell ref="DJV55:DJX55"/>
    <mergeCell ref="DJZ55:DKB55"/>
    <mergeCell ref="DKD55:DKF55"/>
    <mergeCell ref="DKH55:DKJ55"/>
    <mergeCell ref="DKL55:DKN55"/>
    <mergeCell ref="DJB55:DJD55"/>
    <mergeCell ref="DJF55:DJH55"/>
    <mergeCell ref="DJJ55:DJL55"/>
    <mergeCell ref="DJN55:DJP55"/>
    <mergeCell ref="DJR55:DJT55"/>
    <mergeCell ref="DIH55:DIJ55"/>
    <mergeCell ref="DIL55:DIN55"/>
    <mergeCell ref="DIP55:DIR55"/>
    <mergeCell ref="DIT55:DIV55"/>
    <mergeCell ref="DIX55:DIZ55"/>
    <mergeCell ref="DHN55:DHP55"/>
    <mergeCell ref="DHR55:DHT55"/>
    <mergeCell ref="DHV55:DHX55"/>
    <mergeCell ref="DHZ55:DIB55"/>
    <mergeCell ref="DID55:DIF55"/>
    <mergeCell ref="DGT55:DGV55"/>
    <mergeCell ref="DGX55:DGZ55"/>
    <mergeCell ref="DHB55:DHD55"/>
    <mergeCell ref="DHF55:DHH55"/>
    <mergeCell ref="DHJ55:DHL55"/>
    <mergeCell ref="DFZ55:DGB55"/>
    <mergeCell ref="DGD55:DGF55"/>
    <mergeCell ref="DGH55:DGJ55"/>
    <mergeCell ref="DGL55:DGN55"/>
    <mergeCell ref="DGP55:DGR55"/>
    <mergeCell ref="DFF55:DFH55"/>
    <mergeCell ref="DFJ55:DFL55"/>
    <mergeCell ref="DFN55:DFP55"/>
    <mergeCell ref="DFR55:DFT55"/>
    <mergeCell ref="DFV55:DFX55"/>
    <mergeCell ref="DEL55:DEN55"/>
    <mergeCell ref="DEP55:DER55"/>
    <mergeCell ref="DET55:DEV55"/>
    <mergeCell ref="DEX55:DEZ55"/>
    <mergeCell ref="DFB55:DFD55"/>
    <mergeCell ref="DDR55:DDT55"/>
    <mergeCell ref="DDV55:DDX55"/>
    <mergeCell ref="DDZ55:DEB55"/>
    <mergeCell ref="DED55:DEF55"/>
    <mergeCell ref="DEH55:DEJ55"/>
    <mergeCell ref="DCX55:DCZ55"/>
    <mergeCell ref="DDB55:DDD55"/>
    <mergeCell ref="DDF55:DDH55"/>
    <mergeCell ref="DDJ55:DDL55"/>
    <mergeCell ref="DDN55:DDP55"/>
    <mergeCell ref="DCD55:DCF55"/>
    <mergeCell ref="DCH55:DCJ55"/>
    <mergeCell ref="DCL55:DCN55"/>
    <mergeCell ref="DCP55:DCR55"/>
    <mergeCell ref="DCT55:DCV55"/>
    <mergeCell ref="DBJ55:DBL55"/>
    <mergeCell ref="DBN55:DBP55"/>
    <mergeCell ref="DBR55:DBT55"/>
    <mergeCell ref="DBV55:DBX55"/>
    <mergeCell ref="DBZ55:DCB55"/>
    <mergeCell ref="DAP55:DAR55"/>
    <mergeCell ref="DAT55:DAV55"/>
    <mergeCell ref="DAX55:DAZ55"/>
    <mergeCell ref="DBB55:DBD55"/>
    <mergeCell ref="DBF55:DBH55"/>
    <mergeCell ref="CZV55:CZX55"/>
    <mergeCell ref="CZZ55:DAB55"/>
    <mergeCell ref="DAD55:DAF55"/>
    <mergeCell ref="DAH55:DAJ55"/>
    <mergeCell ref="DAL55:DAN55"/>
    <mergeCell ref="CZB55:CZD55"/>
    <mergeCell ref="CZF55:CZH55"/>
    <mergeCell ref="CZJ55:CZL55"/>
    <mergeCell ref="CZN55:CZP55"/>
    <mergeCell ref="CZR55:CZT55"/>
    <mergeCell ref="CYH55:CYJ55"/>
    <mergeCell ref="CYL55:CYN55"/>
    <mergeCell ref="CYP55:CYR55"/>
    <mergeCell ref="CYT55:CYV55"/>
    <mergeCell ref="CYX55:CYZ55"/>
    <mergeCell ref="CXN55:CXP55"/>
    <mergeCell ref="CXR55:CXT55"/>
    <mergeCell ref="CXV55:CXX55"/>
    <mergeCell ref="CXZ55:CYB55"/>
    <mergeCell ref="CYD55:CYF55"/>
    <mergeCell ref="CWT55:CWV55"/>
    <mergeCell ref="CWX55:CWZ55"/>
    <mergeCell ref="CXB55:CXD55"/>
    <mergeCell ref="CXF55:CXH55"/>
    <mergeCell ref="CXJ55:CXL55"/>
    <mergeCell ref="CVZ55:CWB55"/>
    <mergeCell ref="CWD55:CWF55"/>
    <mergeCell ref="CWH55:CWJ55"/>
    <mergeCell ref="CWL55:CWN55"/>
    <mergeCell ref="CWP55:CWR55"/>
    <mergeCell ref="CVF55:CVH55"/>
    <mergeCell ref="CVJ55:CVL55"/>
    <mergeCell ref="CVN55:CVP55"/>
    <mergeCell ref="CVR55:CVT55"/>
    <mergeCell ref="CVV55:CVX55"/>
    <mergeCell ref="CUL55:CUN55"/>
    <mergeCell ref="CUP55:CUR55"/>
    <mergeCell ref="CUT55:CUV55"/>
    <mergeCell ref="CUX55:CUZ55"/>
    <mergeCell ref="CVB55:CVD55"/>
    <mergeCell ref="CTR55:CTT55"/>
    <mergeCell ref="CTV55:CTX55"/>
    <mergeCell ref="CTZ55:CUB55"/>
    <mergeCell ref="CUD55:CUF55"/>
    <mergeCell ref="CUH55:CUJ55"/>
    <mergeCell ref="CSX55:CSZ55"/>
    <mergeCell ref="CTB55:CTD55"/>
    <mergeCell ref="CTF55:CTH55"/>
    <mergeCell ref="CTJ55:CTL55"/>
    <mergeCell ref="CTN55:CTP55"/>
    <mergeCell ref="CSD55:CSF55"/>
    <mergeCell ref="CSH55:CSJ55"/>
    <mergeCell ref="CSL55:CSN55"/>
    <mergeCell ref="CSP55:CSR55"/>
    <mergeCell ref="CST55:CSV55"/>
    <mergeCell ref="CRJ55:CRL55"/>
    <mergeCell ref="CRN55:CRP55"/>
    <mergeCell ref="CRR55:CRT55"/>
    <mergeCell ref="CRV55:CRX55"/>
    <mergeCell ref="CRZ55:CSB55"/>
    <mergeCell ref="CQP55:CQR55"/>
    <mergeCell ref="CQT55:CQV55"/>
    <mergeCell ref="CQX55:CQZ55"/>
    <mergeCell ref="CRB55:CRD55"/>
    <mergeCell ref="CRF55:CRH55"/>
    <mergeCell ref="CPV55:CPX55"/>
    <mergeCell ref="CPZ55:CQB55"/>
    <mergeCell ref="CQD55:CQF55"/>
    <mergeCell ref="CQH55:CQJ55"/>
    <mergeCell ref="CQL55:CQN55"/>
    <mergeCell ref="CPB55:CPD55"/>
    <mergeCell ref="CPF55:CPH55"/>
    <mergeCell ref="CPJ55:CPL55"/>
    <mergeCell ref="CPN55:CPP55"/>
    <mergeCell ref="CPR55:CPT55"/>
    <mergeCell ref="COH55:COJ55"/>
    <mergeCell ref="COL55:CON55"/>
    <mergeCell ref="COP55:COR55"/>
    <mergeCell ref="COT55:COV55"/>
    <mergeCell ref="COX55:COZ55"/>
    <mergeCell ref="CNN55:CNP55"/>
    <mergeCell ref="CNR55:CNT55"/>
    <mergeCell ref="CNV55:CNX55"/>
    <mergeCell ref="CNZ55:COB55"/>
    <mergeCell ref="COD55:COF55"/>
    <mergeCell ref="CMT55:CMV55"/>
    <mergeCell ref="CMX55:CMZ55"/>
    <mergeCell ref="CNB55:CND55"/>
    <mergeCell ref="CNF55:CNH55"/>
    <mergeCell ref="CNJ55:CNL55"/>
    <mergeCell ref="CLZ55:CMB55"/>
    <mergeCell ref="CMD55:CMF55"/>
    <mergeCell ref="CMH55:CMJ55"/>
    <mergeCell ref="CML55:CMN55"/>
    <mergeCell ref="CMP55:CMR55"/>
    <mergeCell ref="CLF55:CLH55"/>
    <mergeCell ref="CLJ55:CLL55"/>
    <mergeCell ref="CLN55:CLP55"/>
    <mergeCell ref="CLR55:CLT55"/>
    <mergeCell ref="CLV55:CLX55"/>
    <mergeCell ref="CKL55:CKN55"/>
    <mergeCell ref="CKP55:CKR55"/>
    <mergeCell ref="CKT55:CKV55"/>
    <mergeCell ref="CKX55:CKZ55"/>
    <mergeCell ref="CLB55:CLD55"/>
    <mergeCell ref="CJR55:CJT55"/>
    <mergeCell ref="CJV55:CJX55"/>
    <mergeCell ref="CJZ55:CKB55"/>
    <mergeCell ref="CKD55:CKF55"/>
    <mergeCell ref="CKH55:CKJ55"/>
    <mergeCell ref="CIX55:CIZ55"/>
    <mergeCell ref="CJB55:CJD55"/>
    <mergeCell ref="CJF55:CJH55"/>
    <mergeCell ref="CJJ55:CJL55"/>
    <mergeCell ref="CJN55:CJP55"/>
    <mergeCell ref="CID55:CIF55"/>
    <mergeCell ref="CIH55:CIJ55"/>
    <mergeCell ref="CIL55:CIN55"/>
    <mergeCell ref="CIP55:CIR55"/>
    <mergeCell ref="CIT55:CIV55"/>
    <mergeCell ref="CHJ55:CHL55"/>
    <mergeCell ref="CHN55:CHP55"/>
    <mergeCell ref="CHR55:CHT55"/>
    <mergeCell ref="CHV55:CHX55"/>
    <mergeCell ref="CHZ55:CIB55"/>
    <mergeCell ref="CGP55:CGR55"/>
    <mergeCell ref="CGT55:CGV55"/>
    <mergeCell ref="CGX55:CGZ55"/>
    <mergeCell ref="CHB55:CHD55"/>
    <mergeCell ref="CHF55:CHH55"/>
    <mergeCell ref="CFV55:CFX55"/>
    <mergeCell ref="CFZ55:CGB55"/>
    <mergeCell ref="CGD55:CGF55"/>
    <mergeCell ref="CGH55:CGJ55"/>
    <mergeCell ref="CGL55:CGN55"/>
    <mergeCell ref="CFB55:CFD55"/>
    <mergeCell ref="CFF55:CFH55"/>
    <mergeCell ref="CFJ55:CFL55"/>
    <mergeCell ref="CFN55:CFP55"/>
    <mergeCell ref="CFR55:CFT55"/>
    <mergeCell ref="CEH55:CEJ55"/>
    <mergeCell ref="CEL55:CEN55"/>
    <mergeCell ref="CEP55:CER55"/>
    <mergeCell ref="CET55:CEV55"/>
    <mergeCell ref="CEX55:CEZ55"/>
    <mergeCell ref="CDN55:CDP55"/>
    <mergeCell ref="CDR55:CDT55"/>
    <mergeCell ref="CDV55:CDX55"/>
    <mergeCell ref="CDZ55:CEB55"/>
    <mergeCell ref="CED55:CEF55"/>
    <mergeCell ref="CCT55:CCV55"/>
    <mergeCell ref="CCX55:CCZ55"/>
    <mergeCell ref="CDB55:CDD55"/>
    <mergeCell ref="CDF55:CDH55"/>
    <mergeCell ref="CDJ55:CDL55"/>
    <mergeCell ref="CBZ55:CCB55"/>
    <mergeCell ref="CCD55:CCF55"/>
    <mergeCell ref="CCH55:CCJ55"/>
    <mergeCell ref="CCL55:CCN55"/>
    <mergeCell ref="CCP55:CCR55"/>
    <mergeCell ref="CBF55:CBH55"/>
    <mergeCell ref="CBJ55:CBL55"/>
    <mergeCell ref="CBN55:CBP55"/>
    <mergeCell ref="CBR55:CBT55"/>
    <mergeCell ref="CBV55:CBX55"/>
    <mergeCell ref="CAL55:CAN55"/>
    <mergeCell ref="CAP55:CAR55"/>
    <mergeCell ref="CAT55:CAV55"/>
    <mergeCell ref="CAX55:CAZ55"/>
    <mergeCell ref="CBB55:CBD55"/>
    <mergeCell ref="BZR55:BZT55"/>
    <mergeCell ref="BZV55:BZX55"/>
    <mergeCell ref="BZZ55:CAB55"/>
    <mergeCell ref="CAD55:CAF55"/>
    <mergeCell ref="CAH55:CAJ55"/>
    <mergeCell ref="BYX55:BYZ55"/>
    <mergeCell ref="BZB55:BZD55"/>
    <mergeCell ref="BZF55:BZH55"/>
    <mergeCell ref="BZJ55:BZL55"/>
    <mergeCell ref="BZN55:BZP55"/>
    <mergeCell ref="BYD55:BYF55"/>
    <mergeCell ref="BYH55:BYJ55"/>
    <mergeCell ref="BYL55:BYN55"/>
    <mergeCell ref="BYP55:BYR55"/>
    <mergeCell ref="BYT55:BYV55"/>
    <mergeCell ref="BXJ55:BXL55"/>
    <mergeCell ref="BXN55:BXP55"/>
    <mergeCell ref="BXR55:BXT55"/>
    <mergeCell ref="BXV55:BXX55"/>
    <mergeCell ref="BXZ55:BYB55"/>
    <mergeCell ref="BWP55:BWR55"/>
    <mergeCell ref="BWT55:BWV55"/>
    <mergeCell ref="BWX55:BWZ55"/>
    <mergeCell ref="BXB55:BXD55"/>
    <mergeCell ref="BXF55:BXH55"/>
    <mergeCell ref="BVV55:BVX55"/>
    <mergeCell ref="BVZ55:BWB55"/>
    <mergeCell ref="BWD55:BWF55"/>
    <mergeCell ref="BWH55:BWJ55"/>
    <mergeCell ref="BWL55:BWN55"/>
    <mergeCell ref="BVB55:BVD55"/>
    <mergeCell ref="BVF55:BVH55"/>
    <mergeCell ref="BVJ55:BVL55"/>
    <mergeCell ref="BVN55:BVP55"/>
    <mergeCell ref="BVR55:BVT55"/>
    <mergeCell ref="BUH55:BUJ55"/>
    <mergeCell ref="BUL55:BUN55"/>
    <mergeCell ref="BUP55:BUR55"/>
    <mergeCell ref="BUT55:BUV55"/>
    <mergeCell ref="BUX55:BUZ55"/>
    <mergeCell ref="BTN55:BTP55"/>
    <mergeCell ref="BTR55:BTT55"/>
    <mergeCell ref="BTV55:BTX55"/>
    <mergeCell ref="BTZ55:BUB55"/>
    <mergeCell ref="BUD55:BUF55"/>
    <mergeCell ref="BST55:BSV55"/>
    <mergeCell ref="BSX55:BSZ55"/>
    <mergeCell ref="BTB55:BTD55"/>
    <mergeCell ref="BTF55:BTH55"/>
    <mergeCell ref="BTJ55:BTL55"/>
    <mergeCell ref="BRZ55:BSB55"/>
    <mergeCell ref="BSD55:BSF55"/>
    <mergeCell ref="BSH55:BSJ55"/>
    <mergeCell ref="BSL55:BSN55"/>
    <mergeCell ref="BSP55:BSR55"/>
    <mergeCell ref="BRF55:BRH55"/>
    <mergeCell ref="BRJ55:BRL55"/>
    <mergeCell ref="BRN55:BRP55"/>
    <mergeCell ref="BRR55:BRT55"/>
    <mergeCell ref="BRV55:BRX55"/>
    <mergeCell ref="BQL55:BQN55"/>
    <mergeCell ref="BQP55:BQR55"/>
    <mergeCell ref="BQT55:BQV55"/>
    <mergeCell ref="BQX55:BQZ55"/>
    <mergeCell ref="BRB55:BRD55"/>
    <mergeCell ref="BPR55:BPT55"/>
    <mergeCell ref="BPV55:BPX55"/>
    <mergeCell ref="BPZ55:BQB55"/>
    <mergeCell ref="BQD55:BQF55"/>
    <mergeCell ref="BQH55:BQJ55"/>
    <mergeCell ref="BOX55:BOZ55"/>
    <mergeCell ref="BPB55:BPD55"/>
    <mergeCell ref="BPF55:BPH55"/>
    <mergeCell ref="BPJ55:BPL55"/>
    <mergeCell ref="BPN55:BPP55"/>
    <mergeCell ref="BOD55:BOF55"/>
    <mergeCell ref="BOH55:BOJ55"/>
    <mergeCell ref="BOL55:BON55"/>
    <mergeCell ref="BOP55:BOR55"/>
    <mergeCell ref="BOT55:BOV55"/>
    <mergeCell ref="BNJ55:BNL55"/>
    <mergeCell ref="BNN55:BNP55"/>
    <mergeCell ref="BNR55:BNT55"/>
    <mergeCell ref="BNV55:BNX55"/>
    <mergeCell ref="BNZ55:BOB55"/>
    <mergeCell ref="BMP55:BMR55"/>
    <mergeCell ref="BMT55:BMV55"/>
    <mergeCell ref="BMX55:BMZ55"/>
    <mergeCell ref="BNB55:BND55"/>
    <mergeCell ref="BNF55:BNH55"/>
    <mergeCell ref="BLV55:BLX55"/>
    <mergeCell ref="BLZ55:BMB55"/>
    <mergeCell ref="BMD55:BMF55"/>
    <mergeCell ref="BMH55:BMJ55"/>
    <mergeCell ref="BML55:BMN55"/>
    <mergeCell ref="BLB55:BLD55"/>
    <mergeCell ref="BLF55:BLH55"/>
    <mergeCell ref="BLJ55:BLL55"/>
    <mergeCell ref="BLN55:BLP55"/>
    <mergeCell ref="BLR55:BLT55"/>
    <mergeCell ref="BKH55:BKJ55"/>
    <mergeCell ref="BKL55:BKN55"/>
    <mergeCell ref="BKP55:BKR55"/>
    <mergeCell ref="BKT55:BKV55"/>
    <mergeCell ref="BKX55:BKZ55"/>
    <mergeCell ref="BJN55:BJP55"/>
    <mergeCell ref="BJR55:BJT55"/>
    <mergeCell ref="BJV55:BJX55"/>
    <mergeCell ref="BJZ55:BKB55"/>
    <mergeCell ref="BKD55:BKF55"/>
    <mergeCell ref="BIT55:BIV55"/>
    <mergeCell ref="BIX55:BIZ55"/>
    <mergeCell ref="BJB55:BJD55"/>
    <mergeCell ref="BJF55:BJH55"/>
    <mergeCell ref="BJJ55:BJL55"/>
    <mergeCell ref="BHZ55:BIB55"/>
    <mergeCell ref="BID55:BIF55"/>
    <mergeCell ref="BIH55:BIJ55"/>
    <mergeCell ref="BIL55:BIN55"/>
    <mergeCell ref="BIP55:BIR55"/>
    <mergeCell ref="BHF55:BHH55"/>
    <mergeCell ref="BHJ55:BHL55"/>
    <mergeCell ref="BHN55:BHP55"/>
    <mergeCell ref="BHR55:BHT55"/>
    <mergeCell ref="BHV55:BHX55"/>
    <mergeCell ref="BGL55:BGN55"/>
    <mergeCell ref="BGP55:BGR55"/>
    <mergeCell ref="BGT55:BGV55"/>
    <mergeCell ref="BGX55:BGZ55"/>
    <mergeCell ref="BHB55:BHD55"/>
    <mergeCell ref="BFR55:BFT55"/>
    <mergeCell ref="BFV55:BFX55"/>
    <mergeCell ref="BFZ55:BGB55"/>
    <mergeCell ref="BGD55:BGF55"/>
    <mergeCell ref="BGH55:BGJ55"/>
    <mergeCell ref="BEX55:BEZ55"/>
    <mergeCell ref="BFB55:BFD55"/>
    <mergeCell ref="BFF55:BFH55"/>
    <mergeCell ref="BFJ55:BFL55"/>
    <mergeCell ref="BFN55:BFP55"/>
    <mergeCell ref="BED55:BEF55"/>
    <mergeCell ref="BEH55:BEJ55"/>
    <mergeCell ref="BEL55:BEN55"/>
    <mergeCell ref="BEP55:BER55"/>
    <mergeCell ref="BET55:BEV55"/>
    <mergeCell ref="BDJ55:BDL55"/>
    <mergeCell ref="BDN55:BDP55"/>
    <mergeCell ref="BDR55:BDT55"/>
    <mergeCell ref="BDV55:BDX55"/>
    <mergeCell ref="BDZ55:BEB55"/>
    <mergeCell ref="BCP55:BCR55"/>
    <mergeCell ref="BCT55:BCV55"/>
    <mergeCell ref="BCX55:BCZ55"/>
    <mergeCell ref="BDB55:BDD55"/>
    <mergeCell ref="BDF55:BDH55"/>
    <mergeCell ref="BBV55:BBX55"/>
    <mergeCell ref="BBZ55:BCB55"/>
    <mergeCell ref="BCD55:BCF55"/>
    <mergeCell ref="BCH55:BCJ55"/>
    <mergeCell ref="BCL55:BCN55"/>
    <mergeCell ref="BBB55:BBD55"/>
    <mergeCell ref="BBF55:BBH55"/>
    <mergeCell ref="BBJ55:BBL55"/>
    <mergeCell ref="BBN55:BBP55"/>
    <mergeCell ref="BBR55:BBT55"/>
    <mergeCell ref="BAH55:BAJ55"/>
    <mergeCell ref="BAL55:BAN55"/>
    <mergeCell ref="BAP55:BAR55"/>
    <mergeCell ref="BAT55:BAV55"/>
    <mergeCell ref="BAX55:BAZ55"/>
    <mergeCell ref="AZN55:AZP55"/>
    <mergeCell ref="AZR55:AZT55"/>
    <mergeCell ref="AZV55:AZX55"/>
    <mergeCell ref="AZZ55:BAB55"/>
    <mergeCell ref="BAD55:BAF55"/>
    <mergeCell ref="AYT55:AYV55"/>
    <mergeCell ref="AYX55:AYZ55"/>
    <mergeCell ref="AZB55:AZD55"/>
    <mergeCell ref="AZF55:AZH55"/>
    <mergeCell ref="AZJ55:AZL55"/>
    <mergeCell ref="AXZ55:AYB55"/>
    <mergeCell ref="AYD55:AYF55"/>
    <mergeCell ref="AYH55:AYJ55"/>
    <mergeCell ref="AYL55:AYN55"/>
    <mergeCell ref="AYP55:AYR55"/>
    <mergeCell ref="AXF55:AXH55"/>
    <mergeCell ref="AXJ55:AXL55"/>
    <mergeCell ref="AXN55:AXP55"/>
    <mergeCell ref="AXR55:AXT55"/>
    <mergeCell ref="AXV55:AXX55"/>
    <mergeCell ref="AWL55:AWN55"/>
    <mergeCell ref="AWP55:AWR55"/>
    <mergeCell ref="AWT55:AWV55"/>
    <mergeCell ref="AWX55:AWZ55"/>
    <mergeCell ref="AXB55:AXD55"/>
    <mergeCell ref="AVR55:AVT55"/>
    <mergeCell ref="AVV55:AVX55"/>
    <mergeCell ref="AVZ55:AWB55"/>
    <mergeCell ref="AWD55:AWF55"/>
    <mergeCell ref="AWH55:AWJ55"/>
    <mergeCell ref="AUX55:AUZ55"/>
    <mergeCell ref="AVB55:AVD55"/>
    <mergeCell ref="AVF55:AVH55"/>
    <mergeCell ref="AVJ55:AVL55"/>
    <mergeCell ref="AVN55:AVP55"/>
    <mergeCell ref="AUD55:AUF55"/>
    <mergeCell ref="AUH55:AUJ55"/>
    <mergeCell ref="AUL55:AUN55"/>
    <mergeCell ref="AUP55:AUR55"/>
    <mergeCell ref="AUT55:AUV55"/>
    <mergeCell ref="ATJ55:ATL55"/>
    <mergeCell ref="ATN55:ATP55"/>
    <mergeCell ref="ATR55:ATT55"/>
    <mergeCell ref="ATV55:ATX55"/>
    <mergeCell ref="ATZ55:AUB55"/>
    <mergeCell ref="ASP55:ASR55"/>
    <mergeCell ref="AST55:ASV55"/>
    <mergeCell ref="ASX55:ASZ55"/>
    <mergeCell ref="ATB55:ATD55"/>
    <mergeCell ref="ATF55:ATH55"/>
    <mergeCell ref="ARV55:ARX55"/>
    <mergeCell ref="ARZ55:ASB55"/>
    <mergeCell ref="ASD55:ASF55"/>
    <mergeCell ref="ASH55:ASJ55"/>
    <mergeCell ref="ASL55:ASN55"/>
    <mergeCell ref="ARB55:ARD55"/>
    <mergeCell ref="ARF55:ARH55"/>
    <mergeCell ref="ARJ55:ARL55"/>
    <mergeCell ref="ARN55:ARP55"/>
    <mergeCell ref="ARR55:ART55"/>
    <mergeCell ref="AQH55:AQJ55"/>
    <mergeCell ref="AQL55:AQN55"/>
    <mergeCell ref="AQP55:AQR55"/>
    <mergeCell ref="AQT55:AQV55"/>
    <mergeCell ref="AQX55:AQZ55"/>
    <mergeCell ref="APN55:APP55"/>
    <mergeCell ref="APR55:APT55"/>
    <mergeCell ref="APV55:APX55"/>
    <mergeCell ref="APZ55:AQB55"/>
    <mergeCell ref="AQD55:AQF55"/>
    <mergeCell ref="AOT55:AOV55"/>
    <mergeCell ref="AOX55:AOZ55"/>
    <mergeCell ref="APB55:APD55"/>
    <mergeCell ref="APF55:APH55"/>
    <mergeCell ref="APJ55:APL55"/>
    <mergeCell ref="ANZ55:AOB55"/>
    <mergeCell ref="AOD55:AOF55"/>
    <mergeCell ref="AOH55:AOJ55"/>
    <mergeCell ref="AOL55:AON55"/>
    <mergeCell ref="AOP55:AOR55"/>
    <mergeCell ref="ANF55:ANH55"/>
    <mergeCell ref="ANJ55:ANL55"/>
    <mergeCell ref="ANN55:ANP55"/>
    <mergeCell ref="ANR55:ANT55"/>
    <mergeCell ref="ANV55:ANX55"/>
    <mergeCell ref="AML55:AMN55"/>
    <mergeCell ref="AMP55:AMR55"/>
    <mergeCell ref="AMT55:AMV55"/>
    <mergeCell ref="AMX55:AMZ55"/>
    <mergeCell ref="ANB55:AND55"/>
    <mergeCell ref="ALR55:ALT55"/>
    <mergeCell ref="ALV55:ALX55"/>
    <mergeCell ref="ALZ55:AMB55"/>
    <mergeCell ref="AMD55:AMF55"/>
    <mergeCell ref="AMH55:AMJ55"/>
    <mergeCell ref="AKX55:AKZ55"/>
    <mergeCell ref="ALB55:ALD55"/>
    <mergeCell ref="ALF55:ALH55"/>
    <mergeCell ref="ALJ55:ALL55"/>
    <mergeCell ref="ALN55:ALP55"/>
    <mergeCell ref="AKD55:AKF55"/>
    <mergeCell ref="AKH55:AKJ55"/>
    <mergeCell ref="AKL55:AKN55"/>
    <mergeCell ref="AKP55:AKR55"/>
    <mergeCell ref="AKT55:AKV55"/>
    <mergeCell ref="AJJ55:AJL55"/>
    <mergeCell ref="AJN55:AJP55"/>
    <mergeCell ref="AJR55:AJT55"/>
    <mergeCell ref="AJV55:AJX55"/>
    <mergeCell ref="AJZ55:AKB55"/>
    <mergeCell ref="AIP55:AIR55"/>
    <mergeCell ref="AIT55:AIV55"/>
    <mergeCell ref="AIX55:AIZ55"/>
    <mergeCell ref="AJB55:AJD55"/>
    <mergeCell ref="AJF55:AJH55"/>
    <mergeCell ref="AHV55:AHX55"/>
    <mergeCell ref="AHZ55:AIB55"/>
    <mergeCell ref="AID55:AIF55"/>
    <mergeCell ref="AIH55:AIJ55"/>
    <mergeCell ref="AIL55:AIN55"/>
    <mergeCell ref="AHB55:AHD55"/>
    <mergeCell ref="AHF55:AHH55"/>
    <mergeCell ref="AHJ55:AHL55"/>
    <mergeCell ref="AHN55:AHP55"/>
    <mergeCell ref="AHR55:AHT55"/>
    <mergeCell ref="AGH55:AGJ55"/>
    <mergeCell ref="AGL55:AGN55"/>
    <mergeCell ref="AGP55:AGR55"/>
    <mergeCell ref="AGT55:AGV55"/>
    <mergeCell ref="AGX55:AGZ55"/>
    <mergeCell ref="AFN55:AFP55"/>
    <mergeCell ref="AFR55:AFT55"/>
    <mergeCell ref="AFV55:AFX55"/>
    <mergeCell ref="AFZ55:AGB55"/>
    <mergeCell ref="AGD55:AGF55"/>
    <mergeCell ref="AET55:AEV55"/>
    <mergeCell ref="AEX55:AEZ55"/>
    <mergeCell ref="AFB55:AFD55"/>
    <mergeCell ref="AFF55:AFH55"/>
    <mergeCell ref="AFJ55:AFL55"/>
    <mergeCell ref="ADZ55:AEB55"/>
    <mergeCell ref="AED55:AEF55"/>
    <mergeCell ref="AEH55:AEJ55"/>
    <mergeCell ref="AEL55:AEN55"/>
    <mergeCell ref="AEP55:AER55"/>
    <mergeCell ref="ADF55:ADH55"/>
    <mergeCell ref="ADJ55:ADL55"/>
    <mergeCell ref="ADN55:ADP55"/>
    <mergeCell ref="ADR55:ADT55"/>
    <mergeCell ref="ADV55:ADX55"/>
    <mergeCell ref="ACL55:ACN55"/>
    <mergeCell ref="ACP55:ACR55"/>
    <mergeCell ref="ACT55:ACV55"/>
    <mergeCell ref="ACX55:ACZ55"/>
    <mergeCell ref="ADB55:ADD55"/>
    <mergeCell ref="ABR55:ABT55"/>
    <mergeCell ref="ABV55:ABX55"/>
    <mergeCell ref="ABZ55:ACB55"/>
    <mergeCell ref="ACD55:ACF55"/>
    <mergeCell ref="ACH55:ACJ55"/>
    <mergeCell ref="AAX55:AAZ55"/>
    <mergeCell ref="ABB55:ABD55"/>
    <mergeCell ref="ABF55:ABH55"/>
    <mergeCell ref="ABJ55:ABL55"/>
    <mergeCell ref="ABN55:ABP55"/>
    <mergeCell ref="AAD55:AAF55"/>
    <mergeCell ref="AAH55:AAJ55"/>
    <mergeCell ref="AAL55:AAN55"/>
    <mergeCell ref="AAP55:AAR55"/>
    <mergeCell ref="AAT55:AAV55"/>
    <mergeCell ref="ZJ55:ZL55"/>
    <mergeCell ref="ZN55:ZP55"/>
    <mergeCell ref="ZR55:ZT55"/>
    <mergeCell ref="ZV55:ZX55"/>
    <mergeCell ref="ZZ55:AAB55"/>
    <mergeCell ref="YP55:YR55"/>
    <mergeCell ref="YT55:YV55"/>
    <mergeCell ref="YX55:YZ55"/>
    <mergeCell ref="ZB55:ZD55"/>
    <mergeCell ref="ZF55:ZH55"/>
    <mergeCell ref="XV55:XX55"/>
    <mergeCell ref="XZ55:YB55"/>
    <mergeCell ref="YD55:YF55"/>
    <mergeCell ref="YH55:YJ55"/>
    <mergeCell ref="YL55:YN55"/>
    <mergeCell ref="XB55:XD55"/>
    <mergeCell ref="XF55:XH55"/>
    <mergeCell ref="XJ55:XL55"/>
    <mergeCell ref="XN55:XP55"/>
    <mergeCell ref="XR55:XT55"/>
    <mergeCell ref="WH55:WJ55"/>
    <mergeCell ref="WL55:WN55"/>
    <mergeCell ref="WP55:WR55"/>
    <mergeCell ref="WT55:WV55"/>
    <mergeCell ref="WX55:WZ55"/>
    <mergeCell ref="VN55:VP55"/>
    <mergeCell ref="VR55:VT55"/>
    <mergeCell ref="VV55:VX55"/>
    <mergeCell ref="VZ55:WB55"/>
    <mergeCell ref="WD55:WF55"/>
    <mergeCell ref="UT55:UV55"/>
    <mergeCell ref="UX55:UZ55"/>
    <mergeCell ref="VB55:VD55"/>
    <mergeCell ref="VF55:VH55"/>
    <mergeCell ref="VJ55:VL55"/>
    <mergeCell ref="TZ55:UB55"/>
    <mergeCell ref="UD55:UF55"/>
    <mergeCell ref="UH55:UJ55"/>
    <mergeCell ref="UL55:UN55"/>
    <mergeCell ref="UP55:UR55"/>
    <mergeCell ref="TF55:TH55"/>
    <mergeCell ref="TJ55:TL55"/>
    <mergeCell ref="TN55:TP55"/>
    <mergeCell ref="TR55:TT55"/>
    <mergeCell ref="TV55:TX55"/>
    <mergeCell ref="SL55:SN55"/>
    <mergeCell ref="SP55:SR55"/>
    <mergeCell ref="ST55:SV55"/>
    <mergeCell ref="SX55:SZ55"/>
    <mergeCell ref="TB55:TD55"/>
    <mergeCell ref="RR55:RT55"/>
    <mergeCell ref="RV55:RX55"/>
    <mergeCell ref="RZ55:SB55"/>
    <mergeCell ref="SD55:SF55"/>
    <mergeCell ref="SH55:SJ55"/>
    <mergeCell ref="QX55:QZ55"/>
    <mergeCell ref="RB55:RD55"/>
    <mergeCell ref="RF55:RH55"/>
    <mergeCell ref="RJ55:RL55"/>
    <mergeCell ref="RN55:RP55"/>
    <mergeCell ref="QD55:QF55"/>
    <mergeCell ref="QH55:QJ55"/>
    <mergeCell ref="QL55:QN55"/>
    <mergeCell ref="QP55:QR55"/>
    <mergeCell ref="QT55:QV55"/>
    <mergeCell ref="PJ55:PL55"/>
    <mergeCell ref="PN55:PP55"/>
    <mergeCell ref="PR55:PT55"/>
    <mergeCell ref="PV55:PX55"/>
    <mergeCell ref="PZ55:QB55"/>
    <mergeCell ref="OP55:OR55"/>
    <mergeCell ref="OT55:OV55"/>
    <mergeCell ref="OX55:OZ55"/>
    <mergeCell ref="PB55:PD55"/>
    <mergeCell ref="PF55:PH55"/>
    <mergeCell ref="NV55:NX55"/>
    <mergeCell ref="NZ55:OB55"/>
    <mergeCell ref="OD55:OF55"/>
    <mergeCell ref="OH55:OJ55"/>
    <mergeCell ref="OL55:ON55"/>
    <mergeCell ref="NB55:ND55"/>
    <mergeCell ref="NF55:NH55"/>
    <mergeCell ref="NJ55:NL55"/>
    <mergeCell ref="NN55:NP55"/>
    <mergeCell ref="NR55:NT55"/>
    <mergeCell ref="MH55:MJ55"/>
    <mergeCell ref="ML55:MN55"/>
    <mergeCell ref="MP55:MR55"/>
    <mergeCell ref="MT55:MV55"/>
    <mergeCell ref="MX55:MZ55"/>
    <mergeCell ref="LN55:LP55"/>
    <mergeCell ref="LR55:LT55"/>
    <mergeCell ref="LV55:LX55"/>
    <mergeCell ref="LZ55:MB55"/>
    <mergeCell ref="MD55:MF55"/>
    <mergeCell ref="KT55:KV55"/>
    <mergeCell ref="KX55:KZ55"/>
    <mergeCell ref="LB55:LD55"/>
    <mergeCell ref="LF55:LH55"/>
    <mergeCell ref="LJ55:LL55"/>
    <mergeCell ref="JZ55:KB55"/>
    <mergeCell ref="KD55:KF55"/>
    <mergeCell ref="KH55:KJ55"/>
    <mergeCell ref="KL55:KN55"/>
    <mergeCell ref="KP55:KR55"/>
    <mergeCell ref="JF55:JH55"/>
    <mergeCell ref="JJ55:JL55"/>
    <mergeCell ref="JN55:JP55"/>
    <mergeCell ref="JR55:JT55"/>
    <mergeCell ref="JV55:JX55"/>
    <mergeCell ref="IL55:IN55"/>
    <mergeCell ref="IP55:IR55"/>
    <mergeCell ref="IT55:IV55"/>
    <mergeCell ref="IX55:IZ55"/>
    <mergeCell ref="JB55:JD55"/>
    <mergeCell ref="HR55:HT55"/>
    <mergeCell ref="HV55:HX55"/>
    <mergeCell ref="HZ55:IB55"/>
    <mergeCell ref="ID55:IF55"/>
    <mergeCell ref="IH55:IJ55"/>
    <mergeCell ref="GX55:GZ55"/>
    <mergeCell ref="HB55:HD55"/>
    <mergeCell ref="HF55:HH55"/>
    <mergeCell ref="HJ55:HL55"/>
    <mergeCell ref="HN55:HP55"/>
    <mergeCell ref="GD55:GF55"/>
    <mergeCell ref="GH55:GJ55"/>
    <mergeCell ref="GL55:GN55"/>
    <mergeCell ref="GP55:GR55"/>
    <mergeCell ref="GT55:GV55"/>
    <mergeCell ref="FJ55:FL55"/>
    <mergeCell ref="FN55:FP55"/>
    <mergeCell ref="FR55:FT55"/>
    <mergeCell ref="FV55:FX55"/>
    <mergeCell ref="FZ55:GB55"/>
    <mergeCell ref="EP55:ER55"/>
    <mergeCell ref="ET55:EV55"/>
    <mergeCell ref="EX55:EZ55"/>
    <mergeCell ref="FB55:FD55"/>
    <mergeCell ref="FF55:FH55"/>
    <mergeCell ref="B60:D60"/>
    <mergeCell ref="B50:D50"/>
    <mergeCell ref="B58:D58"/>
    <mergeCell ref="B59:D59"/>
    <mergeCell ref="B62:D62"/>
    <mergeCell ref="DV55:DX55"/>
    <mergeCell ref="DZ55:EB55"/>
    <mergeCell ref="ED55:EF55"/>
    <mergeCell ref="EH55:EJ55"/>
    <mergeCell ref="EL55:EN55"/>
    <mergeCell ref="DB55:DD55"/>
    <mergeCell ref="DF55:DH55"/>
    <mergeCell ref="DJ55:DL55"/>
    <mergeCell ref="DN55:DP55"/>
    <mergeCell ref="DR55:DT55"/>
    <mergeCell ref="CH55:CJ55"/>
    <mergeCell ref="CL55:CN55"/>
    <mergeCell ref="CP55:CR55"/>
    <mergeCell ref="CT55:CV55"/>
    <mergeCell ref="CX55:CZ55"/>
    <mergeCell ref="BN55:BP55"/>
    <mergeCell ref="BR55:BT55"/>
    <mergeCell ref="BV55:BX55"/>
    <mergeCell ref="BZ55:CB55"/>
    <mergeCell ref="CD55:CF55"/>
    <mergeCell ref="B56:D56"/>
    <mergeCell ref="B61:D61"/>
    <mergeCell ref="A10:C10"/>
    <mergeCell ref="A11:C11"/>
    <mergeCell ref="A12:C12"/>
    <mergeCell ref="A13:C13"/>
    <mergeCell ref="A14:C14"/>
    <mergeCell ref="A17:C17"/>
    <mergeCell ref="A27:C27"/>
    <mergeCell ref="AT55:AV55"/>
    <mergeCell ref="AX55:AZ55"/>
    <mergeCell ref="BB55:BD55"/>
    <mergeCell ref="BF55:BH55"/>
    <mergeCell ref="BJ55:BL55"/>
    <mergeCell ref="Z55:AB55"/>
    <mergeCell ref="AD55:AF55"/>
    <mergeCell ref="AH55:AJ55"/>
    <mergeCell ref="AL55:AN55"/>
    <mergeCell ref="AP55:AR55"/>
    <mergeCell ref="F55:H55"/>
    <mergeCell ref="J55:L55"/>
    <mergeCell ref="N55:P55"/>
    <mergeCell ref="R55:T55"/>
    <mergeCell ref="V55:X55"/>
    <mergeCell ref="B52:D52"/>
    <mergeCell ref="B51:D51"/>
    <mergeCell ref="B64:D64"/>
    <mergeCell ref="A82:D82"/>
    <mergeCell ref="A83:D83"/>
    <mergeCell ref="A84:D84"/>
    <mergeCell ref="B66:D66"/>
    <mergeCell ref="B65:D65"/>
    <mergeCell ref="A1:D1"/>
    <mergeCell ref="C2:D2"/>
    <mergeCell ref="C3:D3"/>
    <mergeCell ref="A79:D79"/>
    <mergeCell ref="B48:D48"/>
    <mergeCell ref="B47:D47"/>
    <mergeCell ref="A46:D46"/>
    <mergeCell ref="B57:D57"/>
    <mergeCell ref="C4:D4"/>
    <mergeCell ref="C5:D5"/>
    <mergeCell ref="C6:D6"/>
    <mergeCell ref="C7:D7"/>
    <mergeCell ref="A80:D80"/>
    <mergeCell ref="A81:D81"/>
    <mergeCell ref="B53:D53"/>
    <mergeCell ref="A78:D78"/>
    <mergeCell ref="A77:D77"/>
    <mergeCell ref="A31:D31"/>
    <mergeCell ref="B67:D67"/>
    <mergeCell ref="B63:D63"/>
    <mergeCell ref="B49:D49"/>
    <mergeCell ref="B54:D54"/>
    <mergeCell ref="B55:D55"/>
    <mergeCell ref="A28:C28"/>
    <mergeCell ref="A8:C8"/>
    <mergeCell ref="A9:C9"/>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2CB14-71E7-4B25-B414-192CAA67311F}">
  <dimension ref="A1:M49"/>
  <sheetViews>
    <sheetView workbookViewId="0">
      <selection activeCell="K12" sqref="K12"/>
    </sheetView>
  </sheetViews>
  <sheetFormatPr defaultRowHeight="15.75" x14ac:dyDescent="0.3"/>
  <cols>
    <col min="1" max="1" width="11.21875" style="62" customWidth="1"/>
    <col min="2" max="2" width="10.88671875" style="62" customWidth="1"/>
    <col min="3" max="3" width="12.44140625" style="280" customWidth="1"/>
    <col min="4" max="4" width="8.77734375" style="1482" customWidth="1"/>
    <col min="5" max="5" width="6.109375" style="62" customWidth="1"/>
    <col min="6" max="6" width="13.6640625" style="282" customWidth="1"/>
    <col min="7" max="7" width="11.88671875" style="283" customWidth="1"/>
    <col min="8" max="8" width="13.6640625" style="282" customWidth="1"/>
    <col min="9" max="9" width="17.21875" style="283" customWidth="1"/>
    <col min="10" max="10" width="13.6640625" style="1482" customWidth="1"/>
    <col min="11" max="11" width="11.88671875" style="283" customWidth="1"/>
    <col min="12" max="12" width="12.6640625" style="283" customWidth="1"/>
    <col min="13" max="13" width="12.44140625" style="1483" customWidth="1"/>
    <col min="14" max="16384" width="8.88671875" style="62"/>
  </cols>
  <sheetData>
    <row r="1" spans="1:13" ht="16.350000000000001" thickTop="1" x14ac:dyDescent="0.3">
      <c r="A1" s="1711" t="s">
        <v>486</v>
      </c>
      <c r="B1" s="1712"/>
      <c r="C1" s="1712"/>
      <c r="D1" s="1712"/>
      <c r="E1" s="1712"/>
      <c r="F1" s="1712"/>
      <c r="G1" s="1712"/>
      <c r="H1" s="1712"/>
      <c r="I1" s="1712"/>
      <c r="J1" s="1712"/>
      <c r="K1" s="1712"/>
      <c r="L1" s="1712"/>
      <c r="M1" s="1713"/>
    </row>
    <row r="2" spans="1:13" ht="16.350000000000001" x14ac:dyDescent="0.3">
      <c r="A2" s="1484"/>
      <c r="B2" s="1485"/>
      <c r="C2" s="1486"/>
      <c r="D2" s="1487"/>
      <c r="E2" s="1485"/>
      <c r="F2" s="1724" t="s">
        <v>51</v>
      </c>
      <c r="G2" s="1724"/>
      <c r="H2" s="1724"/>
      <c r="I2" s="1724"/>
      <c r="J2" s="1724"/>
      <c r="K2" s="1724"/>
      <c r="L2" s="1724"/>
      <c r="M2" s="1725"/>
    </row>
    <row r="3" spans="1:13" ht="15.75" customHeight="1" x14ac:dyDescent="0.3">
      <c r="A3" s="1484"/>
      <c r="B3" s="1485"/>
      <c r="C3" s="1486"/>
      <c r="D3" s="1487"/>
      <c r="E3" s="1485"/>
      <c r="F3" s="1722" t="s">
        <v>153</v>
      </c>
      <c r="G3" s="1722"/>
      <c r="H3" s="1722" t="s">
        <v>157</v>
      </c>
      <c r="I3" s="1722"/>
      <c r="J3" s="1722" t="s">
        <v>154</v>
      </c>
      <c r="K3" s="1722"/>
      <c r="L3" s="1722"/>
      <c r="M3" s="1723"/>
    </row>
    <row r="4" spans="1:13" ht="50.85" thickBot="1" x14ac:dyDescent="0.35">
      <c r="A4" s="1511" t="s">
        <v>172</v>
      </c>
      <c r="B4" s="1512" t="s">
        <v>171</v>
      </c>
      <c r="C4" s="1513" t="s">
        <v>175</v>
      </c>
      <c r="D4" s="1514" t="s">
        <v>167</v>
      </c>
      <c r="E4" s="1512" t="s">
        <v>173</v>
      </c>
      <c r="F4" s="1515" t="s">
        <v>60</v>
      </c>
      <c r="G4" s="1516" t="s">
        <v>178</v>
      </c>
      <c r="H4" s="1517" t="s">
        <v>155</v>
      </c>
      <c r="I4" s="1518" t="s">
        <v>485</v>
      </c>
      <c r="J4" s="1519" t="s">
        <v>156</v>
      </c>
      <c r="K4" s="1520" t="s">
        <v>177</v>
      </c>
      <c r="L4" s="1521" t="s">
        <v>163</v>
      </c>
      <c r="M4" s="1522" t="s">
        <v>169</v>
      </c>
    </row>
    <row r="5" spans="1:13" s="1463" customFormat="1" x14ac:dyDescent="0.3">
      <c r="A5" s="1386" t="str">
        <f>UPPER(LEFT(qPCR_3rd_Run!D49, 2))&amp;MID(qPCR_3rd_Run!D49,(FIND(" ",qPCR_3rd_Run!D49,1)-1), 1)</f>
        <v>RG6</v>
      </c>
      <c r="B5" s="1506" t="str" cm="1">
        <f t="array" ref="B5">_xlfn.IFS(LEFT(A5, LEN(A5)-1)="EP", "EP", LEFT(A5, LEN(A5)-1)="STa", "SPI", LEFT(A5, LEN(A5)-1)="STb", "SPO", LEFT(A5, LEN(A5)-1)="MRT", "MRT", LEFT(A5, LEN(A5)-1)="RG", "RN", LEFT(A5, LEN(A5)-1)="RT", "RU", LEFT(A5, LEN(A5)-1)="RW", "RL", LEFT(A5, LEN(A5)-1)="RC", "RS")</f>
        <v>RN</v>
      </c>
      <c r="C5" s="1507">
        <f>DATE(2021, LEFT(MID(qPCR_3rd_Run!D49, (FIND(" ",qPCR_3rd_Run!D49,1))+1, 5), 2), RIGHT(MID(qPCR_3rd_Run!D49, (FIND(" ",qPCR_3rd_Run!D49,1))+1, 5), 2))</f>
        <v>44335</v>
      </c>
      <c r="D5" s="1508" cm="1">
        <f t="array" ref="D5">INDEX(qPCR_Managed!F$4:F$235,MATCH(1,($A5=qPCR_Managed!$A$4:$A$235)*($C5=qPCR_Managed!$C$4:$C$235),0))</f>
        <v>900</v>
      </c>
      <c r="E5" s="1508" cm="1">
        <f t="array" ref="E5">INDEX(qPCR_Managed!G$4:G$235,MATCH(1,($A5=qPCR_Managed!$A$4:$A$235)*($C5=qPCR_Managed!$C$4:$C$235),0))</f>
        <v>100</v>
      </c>
      <c r="F5" s="1101">
        <f>qPCR_3rd_Run!I49</f>
        <v>19.929067611694336</v>
      </c>
      <c r="G5" s="1509" cm="1">
        <f t="array" ref="G5">_xlfn.IFS(F5="Undetermined", 0, qPCR_3rd_Run!L49&lt;=1, 0, qPCR_3rd_Run!L49&gt;1, qPCR_3rd_Run!L49)</f>
        <v>37070.80078125</v>
      </c>
      <c r="H5" s="1101">
        <f>qPCR_3rd_Run!I57</f>
        <v>22.019378662109375</v>
      </c>
      <c r="I5" s="1509" cm="1">
        <f t="array" ref="I5">_xlfn.IFS(H5="Undetermined", 0, qPCR_3rd_Run!L57&lt;=1, 0, qPCR_3rd_Run!L57&gt;1, qPCR_3rd_Run!L57)</f>
        <v>9883.18359375</v>
      </c>
      <c r="J5" s="1508" cm="1">
        <f t="array" ref="J5">_xlfn.IFS(AND(F5="Undetermined", H5="Undetermined"), "Undetermined", AND(G5=0, I5=0), "Undetermined", AND(G5=0, I5&gt;0), "Ten-Fold", AND(G5&gt;0, I5=0), "Undiluted", AND(F5&lt;&gt;"Undetermined", H5&lt;&gt;"Undetermined", G5&gt;0, I5&gt;0, F5&lt;&gt;H5), 100*(-1+10^(-1/(F5-H5))), AND(F5&lt;&gt;"Undetermined", H5&lt;&gt;"Undetermined", F5=H5&gt;0), -100)</f>
        <v>200.88303459682325</v>
      </c>
      <c r="K5" s="1509" cm="1">
        <f t="array" ref="K5">_xlfn.IFS(J5="Undetermined", 0, J5="Undiluted", G5*E5/D5*1000, J5="Ten-Fold", I5*E5/D5*1000*10, J5&lt;0, I5*E5/D5*1000*10, J5&lt;120, G5*E5/D5*1000, J5&gt;120, I5*E5/D5*1000*10)</f>
        <v>10981315.104166668</v>
      </c>
      <c r="L5" s="1509">
        <f>IF(C5&lt;&gt;C6,"DELETE",AVERAGE(K5:K6))</f>
        <v>6532838.0297589051</v>
      </c>
      <c r="M5" s="1510" cm="1">
        <f t="array" ref="M5">_xlfn.IFS(L5="DELETE", "DELETE", L5=0, 0, L5&gt;0,LOG10(L5))</f>
        <v>6.8151018907546455</v>
      </c>
    </row>
    <row r="6" spans="1:13" s="1463" customFormat="1" x14ac:dyDescent="0.3">
      <c r="A6" s="1383" t="str">
        <f>UPPER(LEFT(qPCR_3rd_Run!D50, 2))&amp;MID(qPCR_3rd_Run!D50,(FIND(" ",qPCR_3rd_Run!D50,1)-1), 1)</f>
        <v>RG7</v>
      </c>
      <c r="B6" s="1488" t="str" cm="1">
        <f t="array" ref="B6">_xlfn.IFS(LEFT(A6, LEN(A6)-1)="EP", "EP", LEFT(A6, LEN(A6)-1)="STa", "SPI", LEFT(A6, LEN(A6)-1)="STb", "SPO", LEFT(A6, LEN(A6)-1)="MRT", "MRT", LEFT(A6, LEN(A6)-1)="RG", "RN", LEFT(A6, LEN(A6)-1)="RT", "RU", LEFT(A6, LEN(A6)-1)="RW", "RL", LEFT(A6, LEN(A6)-1)="RC", "RS")</f>
        <v>RN</v>
      </c>
      <c r="C6" s="1489">
        <f>DATE(2021, LEFT(MID(qPCR_3rd_Run!D50, (FIND(" ",qPCR_3rd_Run!D50,1))+1, 5), 2), RIGHT(MID(qPCR_3rd_Run!D50, (FIND(" ",qPCR_3rd_Run!D50,1))+1, 5), 2))</f>
        <v>44335</v>
      </c>
      <c r="D6" s="1490" cm="1">
        <f t="array" ref="D6">INDEX(qPCR_Managed!F$4:F$235,MATCH(1,($A6=qPCR_Managed!$A$4:$A$235)*($C6=qPCR_Managed!$C$4:$C$235),0))</f>
        <v>930</v>
      </c>
      <c r="E6" s="1490" cm="1">
        <f t="array" ref="E6">INDEX(qPCR_Managed!G$4:G$235,MATCH(1,($A6=qPCR_Managed!$A$4:$A$235)*($C6=qPCR_Managed!$C$4:$C$235),0))</f>
        <v>100</v>
      </c>
      <c r="F6" s="1099">
        <f>qPCR_3rd_Run!I50</f>
        <v>22.218362808227539</v>
      </c>
      <c r="G6" s="1491" cm="1">
        <f t="array" ref="G6">_xlfn.IFS(F6="Undetermined", 0, qPCR_3rd_Run!L50&lt;=1, 0, qPCR_3rd_Run!L50&gt;1, qPCR_3rd_Run!L50)</f>
        <v>8714.5087890625</v>
      </c>
      <c r="H6" s="1099">
        <f>qPCR_3rd_Run!I58</f>
        <v>24.595029830932617</v>
      </c>
      <c r="I6" s="1491" cm="1">
        <f t="array" ref="I6">_xlfn.IFS(H6="Undetermined", 0, qPCR_3rd_Run!L58&lt;=1, 0, qPCR_3rd_Run!L58&gt;1, qPCR_3rd_Run!L58)</f>
        <v>1938.4556884765625</v>
      </c>
      <c r="J6" s="1490" cm="1">
        <f t="array" ref="J6">_xlfn.IFS(AND(F6="Undetermined", H6="Undetermined"), "Undetermined", AND(G6=0, I6=0), "Undetermined", AND(G6=0, I6&gt;0), "Ten-Fold", AND(G6&gt;0, I6=0), "Undiluted", AND(F6&lt;&gt;"Undetermined", H6&lt;&gt;"Undetermined", G6&gt;0, I6&gt;0, F6&lt;&gt;H6), 100*(-1+10^(-1/(F6-H6))), AND(F6&lt;&gt;"Undetermined", H6&lt;&gt;"Undetermined", F6=H6&gt;0), -100)</f>
        <v>163.48585181749539</v>
      </c>
      <c r="K6" s="1491" cm="1">
        <f t="array" ref="K6">_xlfn.IFS(J6="Undetermined", 0, J6="Undiluted", G6*E6/D6*1000, J6="Ten-Fold", I6*E6/D6*1000*10, J6&lt;0, I6*E6/D6*1000*10, J6&lt;120, G6*E6/D6*1000, J6&gt;120, I6*E6/D6*1000*10)</f>
        <v>2084360.9553511427</v>
      </c>
      <c r="L6" s="1491" t="str">
        <f t="shared" ref="L6:L12" si="0">IF(C6&lt;&gt;C7,"DELETE",AVERAGE(K6:K7))</f>
        <v>DELETE</v>
      </c>
      <c r="M6" s="1492" t="str" cm="1">
        <f t="array" ref="M6">_xlfn.IFS(L6="DELETE", "DELETE", L6=0, 0, L6&gt;0,LOG10(L6))</f>
        <v>DELETE</v>
      </c>
    </row>
    <row r="7" spans="1:13" s="1463" customFormat="1" x14ac:dyDescent="0.3">
      <c r="A7" s="1383" t="str">
        <f>UPPER(LEFT(qPCR_3rd_Run!D51, 2))&amp;MID(qPCR_3rd_Run!D51,(FIND(" ",qPCR_3rd_Run!D51,1)-1), 1)</f>
        <v>RG6</v>
      </c>
      <c r="B7" s="1488" t="str" cm="1">
        <f t="array" ref="B7">_xlfn.IFS(LEFT(A7, LEN(A7)-1)="EP", "EP", LEFT(A7, LEN(A7)-1)="STa", "SPI", LEFT(A7, LEN(A7)-1)="STb", "SPO", LEFT(A7, LEN(A7)-1)="MRT", "MRT", LEFT(A7, LEN(A7)-1)="RG", "RN", LEFT(A7, LEN(A7)-1)="RT", "RU", LEFT(A7, LEN(A7)-1)="RW", "RL", LEFT(A7, LEN(A7)-1)="RC", "RS")</f>
        <v>RN</v>
      </c>
      <c r="C7" s="1489">
        <f>DATE(2021, LEFT(MID(qPCR_3rd_Run!D51, (FIND(" ",qPCR_3rd_Run!D51,1))+1, 5), 2), RIGHT(MID(qPCR_3rd_Run!D51, (FIND(" ",qPCR_3rd_Run!D51,1))+1, 5), 2))</f>
        <v>44356</v>
      </c>
      <c r="D7" s="1490" cm="1">
        <f t="array" ref="D7">INDEX(qPCR_Managed!F$4:F$235,MATCH(1,($A7=qPCR_Managed!$A$4:$A$235)*($C7=qPCR_Managed!$C$4:$C$235),0))</f>
        <v>1000</v>
      </c>
      <c r="E7" s="1490" cm="1">
        <f t="array" ref="E7">INDEX(qPCR_Managed!G$4:G$235,MATCH(1,($A7=qPCR_Managed!$A$4:$A$235)*($C7=qPCR_Managed!$C$4:$C$235),0))</f>
        <v>100</v>
      </c>
      <c r="F7" s="1099">
        <f>qPCR_3rd_Run!I51</f>
        <v>20.663898468017578</v>
      </c>
      <c r="G7" s="1491" cm="1">
        <f t="array" ref="G7">_xlfn.IFS(F7="Undetermined", 0, qPCR_3rd_Run!L51&lt;=1, 0, qPCR_3rd_Run!L51&gt;1, qPCR_3rd_Run!L51)</f>
        <v>23291.62109375</v>
      </c>
      <c r="H7" s="1099">
        <f>qPCR_3rd_Run!I59</f>
        <v>23.89476203918457</v>
      </c>
      <c r="I7" s="1491" cm="1">
        <f t="array" ref="I7">_xlfn.IFS(H7="Undetermined", 0, qPCR_3rd_Run!L59&lt;=1, 0, qPCR_3rd_Run!L59&gt;1, qPCR_3rd_Run!L59)</f>
        <v>3018.525634765625</v>
      </c>
      <c r="J7" s="1490" cm="1">
        <f t="array" ref="J7">_xlfn.IFS(AND(F7="Undetermined", H7="Undetermined"), "Undetermined", AND(G7=0, I7=0), "Undetermined", AND(G7=0, I7&gt;0), "Ten-Fold", AND(G7&gt;0, I7=0), "Undiluted", AND(F7&lt;&gt;"Undetermined", H7&lt;&gt;"Undetermined", G7&gt;0, I7&gt;0, F7&lt;&gt;H7), 100*(-1+10^(-1/(F7-H7))), AND(F7&lt;&gt;"Undetermined", H7&lt;&gt;"Undetermined", F7=H7&gt;0), -100)</f>
        <v>103.9458025804615</v>
      </c>
      <c r="K7" s="1491" cm="1">
        <f t="array" ref="K7">_xlfn.IFS(J7="Undetermined", 0, J7="Undiluted", G7*E7/D7*1000, J7="Ten-Fold", I7*E7/D7*1000*10, J7&lt;0, I7*E7/D7*1000*10, J7&lt;120, G7*E7/D7*1000, J7&gt;120, I7*E7/D7*1000*10)</f>
        <v>2329162.109375</v>
      </c>
      <c r="L7" s="1491">
        <f t="shared" si="0"/>
        <v>2027645.3022203948</v>
      </c>
      <c r="M7" s="1492" cm="1">
        <f t="array" ref="M7">_xlfn.IFS(L7="DELETE", "DELETE", L7=0, 0, L7&gt;0,LOG10(L7))</f>
        <v>6.3069919857889589</v>
      </c>
    </row>
    <row r="8" spans="1:13" s="1463" customFormat="1" x14ac:dyDescent="0.3">
      <c r="A8" s="1383" t="str">
        <f>UPPER(LEFT(qPCR_3rd_Run!D52, 2))&amp;MID(qPCR_3rd_Run!D52,(FIND(" ",qPCR_3rd_Run!D52,1)-1), 1)</f>
        <v>RG7</v>
      </c>
      <c r="B8" s="1488" t="str" cm="1">
        <f t="array" ref="B8">_xlfn.IFS(LEFT(A8, LEN(A8)-1)="EP", "EP", LEFT(A8, LEN(A8)-1)="STa", "SPI", LEFT(A8, LEN(A8)-1)="STb", "SPO", LEFT(A8, LEN(A8)-1)="MRT", "MRT", LEFT(A8, LEN(A8)-1)="RG", "RN", LEFT(A8, LEN(A8)-1)="RT", "RU", LEFT(A8, LEN(A8)-1)="RW", "RL", LEFT(A8, LEN(A8)-1)="RC", "RS")</f>
        <v>RN</v>
      </c>
      <c r="C8" s="1489">
        <f>DATE(2021, LEFT(MID(qPCR_3rd_Run!D52, (FIND(" ",qPCR_3rd_Run!D52,1))+1, 5), 2), RIGHT(MID(qPCR_3rd_Run!D52, (FIND(" ",qPCR_3rd_Run!D52,1))+1, 5), 2))</f>
        <v>44356</v>
      </c>
      <c r="D8" s="1490" cm="1">
        <f t="array" ref="D8">INDEX(qPCR_Managed!F$4:F$235,MATCH(1,($A8=qPCR_Managed!$A$4:$A$235)*($C8=qPCR_Managed!$C$4:$C$235),0))</f>
        <v>950</v>
      </c>
      <c r="E8" s="1490" cm="1">
        <f t="array" ref="E8">INDEX(qPCR_Managed!G$4:G$235,MATCH(1,($A8=qPCR_Managed!$A$4:$A$235)*($C8=qPCR_Managed!$C$4:$C$235),0))</f>
        <v>100</v>
      </c>
      <c r="F8" s="1099">
        <f>qPCR_3rd_Run!I52</f>
        <v>21.218767166137695</v>
      </c>
      <c r="G8" s="1491" cm="1">
        <f t="array" ref="G8">_xlfn.IFS(F8="Undetermined", 0, qPCR_3rd_Run!L52&lt;=1, 0, qPCR_3rd_Run!L52&gt;1, qPCR_3rd_Run!L52)</f>
        <v>16398.220703125</v>
      </c>
      <c r="H8" s="1099">
        <f>qPCR_3rd_Run!I60</f>
        <v>24.594856262207031</v>
      </c>
      <c r="I8" s="1491" cm="1">
        <f t="array" ref="I8">_xlfn.IFS(H8="Undetermined", 0, qPCR_3rd_Run!L60&lt;=1, 0, qPCR_3rd_Run!L60&gt;1, qPCR_3rd_Run!L60)</f>
        <v>1938.66845703125</v>
      </c>
      <c r="J8" s="1490" cm="1">
        <f t="array" ref="J8">_xlfn.IFS(AND(F8="Undetermined", H8="Undetermined"), "Undetermined", AND(G8=0, I8=0), "Undetermined", AND(G8=0, I8&gt;0), "Ten-Fold", AND(G8&gt;0, I8=0), "Undiluted", AND(F8&lt;&gt;"Undetermined", H8&lt;&gt;"Undetermined", G8&gt;0, I8&gt;0, F8&lt;&gt;H8), 100*(-1+10^(-1/(F8-H8))), AND(F8&lt;&gt;"Undetermined", H8&lt;&gt;"Undetermined", F8=H8&gt;0), -100)</f>
        <v>97.788352861403325</v>
      </c>
      <c r="K8" s="1491" cm="1">
        <f t="array" ref="K8">_xlfn.IFS(J8="Undetermined", 0, J8="Undiluted", G8*E8/D8*1000, J8="Ten-Fold", I8*E8/D8*1000*10, J8&lt;0, I8*E8/D8*1000*10, J8&lt;120, G8*E8/D8*1000, J8&gt;120, I8*E8/D8*1000*10)</f>
        <v>1726128.4950657894</v>
      </c>
      <c r="L8" s="1491" t="str">
        <f t="shared" si="0"/>
        <v>DELETE</v>
      </c>
      <c r="M8" s="1492" t="str" cm="1">
        <f t="array" ref="M8">_xlfn.IFS(L8="DELETE", "DELETE", L8=0, 0, L8&gt;0,LOG10(L8))</f>
        <v>DELETE</v>
      </c>
    </row>
    <row r="9" spans="1:13" s="1463" customFormat="1" x14ac:dyDescent="0.3">
      <c r="A9" s="1383" t="str">
        <f>UPPER(LEFT(qPCR_3rd_Run!D53, 2))&amp;MID(qPCR_3rd_Run!D53,(FIND(" ",qPCR_3rd_Run!D53,1)-1), 1)</f>
        <v>RC6</v>
      </c>
      <c r="B9" s="1488" t="str" cm="1">
        <f t="array" ref="B9">_xlfn.IFS(LEFT(A9, LEN(A9)-1)="EP", "EP", LEFT(A9, LEN(A9)-1)="STa", "SPI", LEFT(A9, LEN(A9)-1)="STb", "SPO", LEFT(A9, LEN(A9)-1)="MRT", "MRT", LEFT(A9, LEN(A9)-1)="RG", "RN", LEFT(A9, LEN(A9)-1)="RT", "RU", LEFT(A9, LEN(A9)-1)="RW", "RL", LEFT(A9, LEN(A9)-1)="RC", "RS")</f>
        <v>RS</v>
      </c>
      <c r="C9" s="1489">
        <f>DATE(2021, LEFT(MID(qPCR_3rd_Run!D53, (FIND(" ",qPCR_3rd_Run!D53,1))+1, 5), 2), RIGHT(MID(qPCR_3rd_Run!D53, (FIND(" ",qPCR_3rd_Run!D53,1))+1, 5), 2))</f>
        <v>44370</v>
      </c>
      <c r="D9" s="1490" cm="1">
        <f t="array" ref="D9">INDEX(qPCR_Managed!F$4:F$235,MATCH(1,($A9=qPCR_Managed!$A$4:$A$235)*($C9=qPCR_Managed!$C$4:$C$235),0))</f>
        <v>1000</v>
      </c>
      <c r="E9" s="1490" cm="1">
        <f t="array" ref="E9">INDEX(qPCR_Managed!G$4:G$235,MATCH(1,($A9=qPCR_Managed!$A$4:$A$235)*($C9=qPCR_Managed!$C$4:$C$235),0))</f>
        <v>100</v>
      </c>
      <c r="F9" s="1099">
        <f>qPCR_3rd_Run!I53</f>
        <v>23.983974456787109</v>
      </c>
      <c r="G9" s="1491" cm="1">
        <f t="array" ref="G9">_xlfn.IFS(F9="Undetermined", 0, qPCR_3rd_Run!L53&lt;=1, 0, qPCR_3rd_Run!L53&gt;1, qPCR_3rd_Run!L53)</f>
        <v>2852.931396484375</v>
      </c>
      <c r="H9" s="1099">
        <f>qPCR_3rd_Run!I61</f>
        <v>27.050947189331055</v>
      </c>
      <c r="I9" s="1491" cm="1">
        <f t="array" ref="I9">_xlfn.IFS(H9="Undetermined", 0, qPCR_3rd_Run!L61&lt;=1, 0, qPCR_3rd_Run!L61&gt;1, qPCR_3rd_Run!L61)</f>
        <v>410.11114501953125</v>
      </c>
      <c r="J9" s="1490" cm="1">
        <f t="array" ref="J9">_xlfn.IFS(AND(F9="Undetermined", H9="Undetermined"), "Undetermined", AND(G9=0, I9=0), "Undetermined", AND(G9=0, I9&gt;0), "Ten-Fold", AND(G9&gt;0, I9=0), "Undiluted", AND(F9&lt;&gt;"Undetermined", H9&lt;&gt;"Undetermined", G9&gt;0, I9&gt;0, F9&lt;&gt;H9), 100*(-1+10^(-1/(F9-H9))), AND(F9&lt;&gt;"Undetermined", H9&lt;&gt;"Undetermined", F9=H9&gt;0), -100)</f>
        <v>111.86265720834405</v>
      </c>
      <c r="K9" s="1491" cm="1">
        <f t="array" ref="K9">_xlfn.IFS(J9="Undetermined", 0, J9="Undiluted", G9*E9/D9*1000, J9="Ten-Fold", I9*E9/D9*1000*10, J9&lt;0, I9*E9/D9*1000*10, J9&lt;120, G9*E9/D9*1000, J9&gt;120, I9*E9/D9*1000*10)</f>
        <v>285293.1396484375</v>
      </c>
      <c r="L9" s="1491">
        <f t="shared" si="0"/>
        <v>254133.09326171875</v>
      </c>
      <c r="M9" s="1492" cm="1">
        <f t="array" ref="M9">_xlfn.IFS(L9="DELETE", "DELETE", L9=0, 0, L9&gt;0,LOG10(L9))</f>
        <v>5.4050612226463368</v>
      </c>
    </row>
    <row r="10" spans="1:13" s="1463" customFormat="1" x14ac:dyDescent="0.3">
      <c r="A10" s="1383" t="str">
        <f>UPPER(LEFT(qPCR_3rd_Run!D54, 2))&amp;MID(qPCR_3rd_Run!D54,(FIND(" ",qPCR_3rd_Run!D54,1)-1), 1)</f>
        <v>RC7</v>
      </c>
      <c r="B10" s="1488" t="str" cm="1">
        <f t="array" ref="B10">_xlfn.IFS(LEFT(A10, LEN(A10)-1)="EP", "EP", LEFT(A10, LEN(A10)-1)="STa", "SPI", LEFT(A10, LEN(A10)-1)="STb", "SPO", LEFT(A10, LEN(A10)-1)="MRT", "MRT", LEFT(A10, LEN(A10)-1)="RG", "RN", LEFT(A10, LEN(A10)-1)="RT", "RU", LEFT(A10, LEN(A10)-1)="RW", "RL", LEFT(A10, LEN(A10)-1)="RC", "RS")</f>
        <v>RS</v>
      </c>
      <c r="C10" s="1489">
        <f>DATE(2021, LEFT(MID(qPCR_3rd_Run!D54, (FIND(" ",qPCR_3rd_Run!D54,1))+1, 5), 2), RIGHT(MID(qPCR_3rd_Run!D54, (FIND(" ",qPCR_3rd_Run!D54,1))+1, 5), 2))</f>
        <v>44370</v>
      </c>
      <c r="D10" s="1490" cm="1">
        <f t="array" ref="D10">INDEX(qPCR_Managed!F$4:F$235,MATCH(1,($A10=qPCR_Managed!$A$4:$A$235)*($C10=qPCR_Managed!$C$4:$C$235),0))</f>
        <v>1000</v>
      </c>
      <c r="E10" s="1490" cm="1">
        <f t="array" ref="E10">INDEX(qPCR_Managed!G$4:G$235,MATCH(1,($A10=qPCR_Managed!$A$4:$A$235)*($C10=qPCR_Managed!$C$4:$C$235),0))</f>
        <v>100</v>
      </c>
      <c r="F10" s="1099">
        <f>qPCR_3rd_Run!I54</f>
        <v>24.373682022094727</v>
      </c>
      <c r="G10" s="1491" cm="1">
        <f t="array" ref="G10">_xlfn.IFS(F10="Undetermined", 0, qPCR_3rd_Run!L54&lt;=1, 0, qPCR_3rd_Run!L54&gt;1, qPCR_3rd_Run!L54)</f>
        <v>2229.73046875</v>
      </c>
      <c r="H10" s="1099">
        <f>qPCR_3rd_Run!I62</f>
        <v>30.144596099853516</v>
      </c>
      <c r="I10" s="1491" cm="1">
        <f t="array" ref="I10">_xlfn.IFS(H10="Undetermined", 0, qPCR_3rd_Run!L62&lt;=1, 0, qPCR_3rd_Run!L62&gt;1, qPCR_3rd_Run!L62)</f>
        <v>57.967525482177734</v>
      </c>
      <c r="J10" s="1490" cm="1">
        <f t="array" ref="J10">_xlfn.IFS(AND(F10="Undetermined", H10="Undetermined"), "Undetermined", AND(G10=0, I10=0), "Undetermined", AND(G10=0, I10&gt;0), "Ten-Fold", AND(G10&gt;0, I10=0), "Undiluted", AND(F10&lt;&gt;"Undetermined", H10&lt;&gt;"Undetermined", G10&gt;0, I10&gt;0, F10&lt;&gt;H10), 100*(-1+10^(-1/(F10-H10))), AND(F10&lt;&gt;"Undetermined", H10&lt;&gt;"Undetermined", F10=H10&gt;0), -100)</f>
        <v>49.033113321152719</v>
      </c>
      <c r="K10" s="1491" cm="1">
        <f t="array" ref="K10">_xlfn.IFS(J10="Undetermined", 0, J10="Undiluted", G10*E10/D10*1000, J10="Ten-Fold", I10*E10/D10*1000*10, J10&lt;0, I10*E10/D10*1000*10, J10&lt;120, G10*E10/D10*1000, J10&gt;120, I10*E10/D10*1000*10)</f>
        <v>222973.046875</v>
      </c>
      <c r="L10" s="1491" t="str">
        <f t="shared" si="0"/>
        <v>DELETE</v>
      </c>
      <c r="M10" s="1492" t="str" cm="1">
        <f t="array" ref="M10">_xlfn.IFS(L10="DELETE", "DELETE", L10=0, 0, L10&gt;0,LOG10(L10))</f>
        <v>DELETE</v>
      </c>
    </row>
    <row r="11" spans="1:13" s="1463" customFormat="1" x14ac:dyDescent="0.3">
      <c r="A11" s="1383" t="str">
        <f>UPPER(LEFT(qPCR_3rd_Run!D55, 2))&amp;MID(qPCR_3rd_Run!D55,(FIND(" ",qPCR_3rd_Run!D55,1)-1), 1)</f>
        <v>EP6</v>
      </c>
      <c r="B11" s="1488" t="str" cm="1">
        <f t="array" ref="B11">_xlfn.IFS(LEFT(A11, LEN(A11)-1)="EP", "EP", LEFT(A11, LEN(A11)-1)="STa", "SPI", LEFT(A11, LEN(A11)-1)="STb", "SPO", LEFT(A11, LEN(A11)-1)="MRT", "MRT", LEFT(A11, LEN(A11)-1)="RG", "RN", LEFT(A11, LEN(A11)-1)="RT", "RU", LEFT(A11, LEN(A11)-1)="RW", "RL", LEFT(A11, LEN(A11)-1)="RC", "RS")</f>
        <v>EP</v>
      </c>
      <c r="C11" s="1489">
        <f>DATE(2021, LEFT(MID(qPCR_3rd_Run!D55, (FIND(" ",qPCR_3rd_Run!D55,1))+1, 5), 2), RIGHT(MID(qPCR_3rd_Run!D55, (FIND(" ",qPCR_3rd_Run!D55,1))+1, 5), 2))</f>
        <v>44385</v>
      </c>
      <c r="D11" s="1490" cm="1">
        <f t="array" ref="D11">INDEX(qPCR_Managed!F$4:F$235,MATCH(1,($A11=qPCR_Managed!$A$4:$A$235)*($C11=qPCR_Managed!$C$4:$C$235),0))</f>
        <v>960</v>
      </c>
      <c r="E11" s="1490" cm="1">
        <f t="array" ref="E11">INDEX(qPCR_Managed!G$4:G$235,MATCH(1,($A11=qPCR_Managed!$A$4:$A$235)*($C11=qPCR_Managed!$C$4:$C$235),0))</f>
        <v>100</v>
      </c>
      <c r="F11" s="1099">
        <f>qPCR_3rd_Run!I55</f>
        <v>38.473705291748047</v>
      </c>
      <c r="G11" s="1491" cm="1">
        <f t="array" ref="G11">_xlfn.IFS(F11="Undetermined", 0, qPCR_3rd_Run!L55&lt;=1, 0, qPCR_3rd_Run!L55&gt;1, qPCR_3rd_Run!L55)</f>
        <v>0</v>
      </c>
      <c r="H11" s="1099" t="str">
        <f>qPCR_3rd_Run!I63</f>
        <v>Undetermined</v>
      </c>
      <c r="I11" s="1491" cm="1">
        <f t="array" ref="I11">_xlfn.IFS(H11="Undetermined", 0, qPCR_3rd_Run!L63&lt;=1, 0, qPCR_3rd_Run!L63&gt;1, qPCR_3rd_Run!L63)</f>
        <v>0</v>
      </c>
      <c r="J11" s="1490" t="str" cm="1">
        <f t="array" ref="J11">_xlfn.IFS(AND(F11="Undetermined", H11="Undetermined"), "Undetermined", AND(G11=0, I11=0), "Undetermined", AND(G11=0, I11&gt;0), "Ten-Fold", AND(G11&gt;0, I11=0), "Undiluted", AND(F11&lt;&gt;"Undetermined", H11&lt;&gt;"Undetermined", G11&gt;0, I11&gt;0, F11&lt;&gt;H11), 100*(-1+10^(-1/(F11-H11))), AND(F11&lt;&gt;"Undetermined", H11&lt;&gt;"Undetermined", F11=H11&gt;0), -100)</f>
        <v>Undetermined</v>
      </c>
      <c r="K11" s="1491" cm="1">
        <f t="array" ref="K11">_xlfn.IFS(J11="Undetermined", 0, J11="Undiluted", G11*E11/D11*1000, J11="Ten-Fold", I11*E11/D11*1000*10, J11&lt;0, I11*E11/D11*1000*10, J11&lt;120, G11*E11/D11*1000, J11&gt;120, I11*E11/D11*1000*10)</f>
        <v>0</v>
      </c>
      <c r="L11" s="1491">
        <f t="shared" si="0"/>
        <v>57.679494665987669</v>
      </c>
      <c r="M11" s="1492" cm="1">
        <f t="array" ref="M11">_xlfn.IFS(L11="DELETE", "DELETE", L11=0, 0, L11&gt;0,LOG10(L11))</f>
        <v>1.7610214468442706</v>
      </c>
    </row>
    <row r="12" spans="1:13" s="1463" customFormat="1" ht="16.350000000000001" thickBot="1" x14ac:dyDescent="0.35">
      <c r="A12" s="1384" t="str">
        <f>UPPER(LEFT(qPCR_3rd_Run!D56, 2))&amp;MID(qPCR_3rd_Run!D56,(FIND(" ",qPCR_3rd_Run!D56,1)-1), 1)</f>
        <v>EP7</v>
      </c>
      <c r="B12" s="1493" t="str" cm="1">
        <f t="array" ref="B12">_xlfn.IFS(LEFT(A12, LEN(A12)-1)="EP", "EP", LEFT(A12, LEN(A12)-1)="STa", "SPI", LEFT(A12, LEN(A12)-1)="STb", "SPO", LEFT(A12, LEN(A12)-1)="MRT", "MRT", LEFT(A12, LEN(A12)-1)="RG", "RN", LEFT(A12, LEN(A12)-1)="RT", "RU", LEFT(A12, LEN(A12)-1)="RW", "RL", LEFT(A12, LEN(A12)-1)="RC", "RS")</f>
        <v>EP</v>
      </c>
      <c r="C12" s="1494">
        <f>DATE(2021, LEFT(MID(qPCR_3rd_Run!D56, (FIND(" ",qPCR_3rd_Run!D56,1))+1, 5), 2), RIGHT(MID(qPCR_3rd_Run!D56, (FIND(" ",qPCR_3rd_Run!D56,1))+1, 5), 2))</f>
        <v>44385</v>
      </c>
      <c r="D12" s="1495" cm="1">
        <f t="array" ref="D12">INDEX(qPCR_Managed!F$4:F$235,MATCH(1,($A12=qPCR_Managed!$A$4:$A$235)*($C12=qPCR_Managed!$C$4:$C$235),0))</f>
        <v>895</v>
      </c>
      <c r="E12" s="1495" cm="1">
        <f t="array" ref="E12">INDEX(qPCR_Managed!G$4:G$235,MATCH(1,($A12=qPCR_Managed!$A$4:$A$235)*($C12=qPCR_Managed!$C$4:$C$235),0))</f>
        <v>100</v>
      </c>
      <c r="F12" s="1385">
        <f>qPCR_3rd_Run!I56</f>
        <v>36.513484954833984</v>
      </c>
      <c r="G12" s="1496" cm="1">
        <f t="array" ref="G12">_xlfn.IFS(F12="Undetermined", 0, qPCR_3rd_Run!L56&lt;=1, 0, qPCR_3rd_Run!L56&gt;1, qPCR_3rd_Run!L56)</f>
        <v>1.0324629545211792</v>
      </c>
      <c r="H12" s="1385" t="str">
        <f>qPCR_3rd_Run!I64</f>
        <v>Undetermined</v>
      </c>
      <c r="I12" s="1496" cm="1">
        <f t="array" ref="I12">_xlfn.IFS(H12="Undetermined", 0, qPCR_3rd_Run!L64&lt;=1, 0, qPCR_3rd_Run!L64&gt;1, qPCR_3rd_Run!L64)</f>
        <v>0</v>
      </c>
      <c r="J12" s="1495" t="str" cm="1">
        <f t="array" ref="J12">_xlfn.IFS(AND(F12="Undetermined", H12="Undetermined"), "Undetermined", AND(G12=0, I12=0), "Undetermined", AND(G12=0, I12&gt;0), "Ten-Fold", AND(G12&gt;0, I12=0), "Undiluted", AND(F12&lt;&gt;"Undetermined", H12&lt;&gt;"Undetermined", G12&gt;0, I12&gt;0, F12&lt;&gt;H12), 100*(-1+10^(-1/(F12-H12))), AND(F12&lt;&gt;"Undetermined", H12&lt;&gt;"Undetermined", F12=H12&gt;0), -100)</f>
        <v>Undiluted</v>
      </c>
      <c r="K12" s="1496" cm="1">
        <f t="array" ref="K12">_xlfn.IFS(J12="Undetermined", 0, J12="Undiluted", G12*E12/D12*1000, J12="Ten-Fold", I12*E12/D12*1000*10, J12&lt;0, I12*E12/D12*1000*10, J12&lt;120, G12*E12/D12*1000, J12&gt;120, I12*E12/D12*1000*10)</f>
        <v>115.35898933197534</v>
      </c>
      <c r="L12" s="1496" t="str">
        <f t="shared" si="0"/>
        <v>DELETE</v>
      </c>
      <c r="M12" s="1497" t="str" cm="1">
        <f t="array" ref="M12">_xlfn.IFS(L12="DELETE", "DELETE", L12=0, 0, L12&gt;0,LOG10(L12))</f>
        <v>DELETE</v>
      </c>
    </row>
    <row r="13" spans="1:13" ht="16.350000000000001" thickTop="1" x14ac:dyDescent="0.3"/>
    <row r="14" spans="1:13" ht="16.350000000000001" thickBot="1" x14ac:dyDescent="0.35"/>
    <row r="15" spans="1:13" ht="16.350000000000001" thickTop="1" x14ac:dyDescent="0.3">
      <c r="A15" s="1714" t="s">
        <v>487</v>
      </c>
      <c r="B15" s="1715"/>
      <c r="C15" s="1715"/>
      <c r="D15" s="1715"/>
      <c r="E15" s="1715"/>
      <c r="F15" s="1715"/>
      <c r="G15" s="1715"/>
      <c r="H15" s="1715"/>
      <c r="I15" s="1715"/>
      <c r="J15" s="1715"/>
      <c r="K15" s="1715"/>
      <c r="L15" s="1715"/>
      <c r="M15" s="1716"/>
    </row>
    <row r="16" spans="1:13" ht="16.350000000000001" x14ac:dyDescent="0.3">
      <c r="A16" s="863"/>
      <c r="B16" s="864"/>
      <c r="C16" s="1498"/>
      <c r="D16" s="1499"/>
      <c r="E16" s="864"/>
      <c r="F16" s="1717" t="s">
        <v>51</v>
      </c>
      <c r="G16" s="1718"/>
      <c r="H16" s="1718"/>
      <c r="I16" s="1718"/>
      <c r="J16" s="1718"/>
      <c r="K16" s="1718"/>
      <c r="L16" s="1718"/>
      <c r="M16" s="1719"/>
    </row>
    <row r="17" spans="1:13" x14ac:dyDescent="0.3">
      <c r="A17" s="863"/>
      <c r="B17" s="864"/>
      <c r="C17" s="1498"/>
      <c r="D17" s="1499"/>
      <c r="E17" s="864"/>
      <c r="F17" s="1720" t="s">
        <v>153</v>
      </c>
      <c r="G17" s="1720"/>
      <c r="H17" s="1720" t="s">
        <v>157</v>
      </c>
      <c r="I17" s="1720"/>
      <c r="J17" s="1720" t="s">
        <v>154</v>
      </c>
      <c r="K17" s="1720"/>
      <c r="L17" s="1720"/>
      <c r="M17" s="1721"/>
    </row>
    <row r="18" spans="1:13" ht="50.85" thickBot="1" x14ac:dyDescent="0.35">
      <c r="A18" s="565" t="s">
        <v>172</v>
      </c>
      <c r="B18" s="1526" t="s">
        <v>171</v>
      </c>
      <c r="C18" s="1527" t="s">
        <v>175</v>
      </c>
      <c r="D18" s="1528" t="s">
        <v>167</v>
      </c>
      <c r="E18" s="1526" t="s">
        <v>173</v>
      </c>
      <c r="F18" s="1529" t="s">
        <v>60</v>
      </c>
      <c r="G18" s="1530" t="s">
        <v>178</v>
      </c>
      <c r="H18" s="1531" t="s">
        <v>155</v>
      </c>
      <c r="I18" s="1532" t="s">
        <v>485</v>
      </c>
      <c r="J18" s="1533" t="s">
        <v>156</v>
      </c>
      <c r="K18" s="1534" t="s">
        <v>177</v>
      </c>
      <c r="L18" s="1535" t="s">
        <v>163</v>
      </c>
      <c r="M18" s="1536" t="s">
        <v>169</v>
      </c>
    </row>
    <row r="19" spans="1:13" s="1463" customFormat="1" x14ac:dyDescent="0.3">
      <c r="A19" s="562" t="str">
        <f>LEFT(qPCR_2nd_Run!A246, (FIND("-", qPCR_2nd_Run!A246, 1)-1))&amp;MID(qPCR_2nd_Run!A246, (FIND("-", qPCR_2nd_Run!A246, 1)+1), 1)</f>
        <v>RG6</v>
      </c>
      <c r="B19" s="563" t="str" cm="1">
        <f t="array" ref="B19">_xlfn.IFS(LEFT(A19, LEN(A19)-1)="EP", "EP", LEFT(A19, LEN(A19)-1)="STa", "SPI", LEFT(A19, LEN(A19)-1)="STb", "SPO", LEFT(A19, LEN(A19)-1)="MRT", "MRT", LEFT(A19, LEN(A19)-1)="RG", "RN", LEFT(A19, LEN(A19)-1)="RT", "RU", LEFT(A19, LEN(A19)-1)="RW", "RL", LEFT(A19, LEN(A19)-1)="RC", "RS")</f>
        <v>RN</v>
      </c>
      <c r="C19" s="1436">
        <f>DATE(2021, LEFT(MID(qPCR_2nd_Run!A246, (FIND(" ", qPCR_2nd_Run!A246, 1)+1), 5), 2), RIGHT(MID(qPCR_2nd_Run!A246, (FIND(" ", qPCR_2nd_Run!A246, 1)+1), 5), 2))</f>
        <v>44335</v>
      </c>
      <c r="D19" s="1523">
        <f>qPCR_2nd_Run!C246</f>
        <v>900</v>
      </c>
      <c r="E19" s="1523">
        <f>qPCR_2nd_Run!F246</f>
        <v>100</v>
      </c>
      <c r="F19" s="1205">
        <f>qPCR_2nd_Run!AG246</f>
        <v>20.06999397277832</v>
      </c>
      <c r="G19" s="1524" cm="1">
        <f t="array" ref="G19">_xlfn.IFS(F19="Undetermined", 0, qPCR_2nd_Run!AH246&lt;=1, 0, qPCR_2nd_Run!AH246&gt;1, qPCR_2nd_Run!AH246)</f>
        <v>33909.73828125</v>
      </c>
      <c r="H19" s="1205">
        <f>qPCR_2nd_Run!AJ246</f>
        <v>21.836055755615234</v>
      </c>
      <c r="I19" s="1524" cm="1">
        <f t="array" ref="I19">_xlfn.IFS(H19="Undetermined", 0, qPCR_2nd_Run!AK246&lt;=1, 0, qPCR_2nd_Run!AK246&gt;1, qPCR_2nd_Run!AK246)</f>
        <v>11098.115234375</v>
      </c>
      <c r="J19" s="1523" cm="1">
        <f t="array" ref="J19">_xlfn.IFS(AND(F19="Undetermined", H19="Undetermined"), "Undetermined", AND(G19=0, I19=0), "Undetermined", AND(G19=0, I19&gt;0), "Ten-Fold", AND(G19&gt;0, I19=0), "Undiluted", AND(F19&lt;&gt;"Undetermined", H19&lt;&gt;"Undetermined", G19&gt;0, I19&gt;0, F19&lt;&gt;H19), 100*(-1+10^(-1/(F19-H19))), AND(F19&lt;&gt;"Undetermined", H19&lt;&gt;"Undetermined", F19=H19&gt;0), -100)</f>
        <v>268.32534662553303</v>
      </c>
      <c r="K19" s="1524" cm="1">
        <f t="array" ref="K19">_xlfn.IFS(J19="Undetermined", 0, J19="Undiluted", G19*E19/D19*1000, J19="Ten-Fold", I19*E19/D19*1000*10, J19&lt;0, I19*E19/D19*1000*10, J19&lt;120, G19*E19/D19*1000, J19&gt;120, I19*E19/D19*1000*10)</f>
        <v>12331239.149305558</v>
      </c>
      <c r="L19" s="1524">
        <f>IF(C19&lt;&gt;C20,"DELETE",AVERAGE(K19:K20))</f>
        <v>7671422.9023157489</v>
      </c>
      <c r="M19" s="1525" cm="1">
        <f t="array" ref="M19">_xlfn.IFS(L19="DELETE", "DELETE", L19=0, 0, L19&gt;0,LOG10(L19))</f>
        <v>6.8848759247456846</v>
      </c>
    </row>
    <row r="20" spans="1:13" s="1463" customFormat="1" x14ac:dyDescent="0.3">
      <c r="A20" s="556" t="str">
        <f>LEFT(qPCR_2nd_Run!A247, (FIND("-", qPCR_2nd_Run!A247, 1)-1))&amp;MID(qPCR_2nd_Run!A247, (FIND("-", qPCR_2nd_Run!A247, 1)+1), 1)</f>
        <v>RG7</v>
      </c>
      <c r="B20" s="557" t="str" cm="1">
        <f t="array" ref="B20">_xlfn.IFS(LEFT(A20, LEN(A20)-1)="EP", "EP", LEFT(A20, LEN(A20)-1)="STa", "SPI", LEFT(A20, LEN(A20)-1)="STb", "SPO", LEFT(A20, LEN(A20)-1)="MRT", "MRT", LEFT(A20, LEN(A20)-1)="RG", "RN", LEFT(A20, LEN(A20)-1)="RT", "RU", LEFT(A20, LEN(A20)-1)="RW", "RL", LEFT(A20, LEN(A20)-1)="RC", "RS")</f>
        <v>RN</v>
      </c>
      <c r="C20" s="1434">
        <f>DATE(2021, LEFT(MID(qPCR_2nd_Run!A247, (FIND(" ", qPCR_2nd_Run!A247, 1)+1), 5), 2), RIGHT(MID(qPCR_2nd_Run!A247, (FIND(" ", qPCR_2nd_Run!A247, 1)+1), 5), 2))</f>
        <v>44335</v>
      </c>
      <c r="D20" s="1500">
        <f>qPCR_2nd_Run!C247</f>
        <v>930</v>
      </c>
      <c r="E20" s="1500">
        <f>qPCR_2nd_Run!F247</f>
        <v>100</v>
      </c>
      <c r="F20" s="1212">
        <f>qPCR_2nd_Run!AG247</f>
        <v>22.138607025146484</v>
      </c>
      <c r="G20" s="1501" cm="1">
        <f t="array" ref="G20">_xlfn.IFS(F20="Undetermined", 0, qPCR_2nd_Run!AH247&lt;=1, 0, qPCR_2nd_Run!AH247&gt;1, qPCR_2nd_Run!AH247)</f>
        <v>9165.349609375</v>
      </c>
      <c r="H20" s="1212">
        <f>qPCR_2nd_Run!AJ247</f>
        <v>24.013137817382813</v>
      </c>
      <c r="I20" s="1501" cm="1">
        <f t="array" ref="I20">_xlfn.IFS(H20="Undetermined", 0, qPCR_2nd_Run!AK247&lt;=1, 0, qPCR_2nd_Run!AK247&gt;1, qPCR_2nd_Run!AK247)</f>
        <v>2800.794189453125</v>
      </c>
      <c r="J20" s="1500" cm="1">
        <f t="array" ref="J20">_xlfn.IFS(AND(F20="Undetermined", H20="Undetermined"), "Undetermined", AND(G20=0, I20=0), "Undetermined", AND(G20=0, I20&gt;0), "Ten-Fold", AND(G20&gt;0, I20=0), "Undiluted", AND(F20&lt;&gt;"Undetermined", H20&lt;&gt;"Undetermined", G20&gt;0, I20&gt;0, F20&lt;&gt;H20), 100*(-1+10^(-1/(F20-H20))), AND(F20&lt;&gt;"Undetermined", H20&lt;&gt;"Undetermined", F20=H20&gt;0), -100)</f>
        <v>241.55986268006853</v>
      </c>
      <c r="K20" s="1501" cm="1">
        <f t="array" ref="K20">_xlfn.IFS(J20="Undetermined", 0, J20="Undiluted", G20*E20/D20*1000, J20="Ten-Fold", I20*E20/D20*1000*10, J20&lt;0, I20*E20/D20*1000*10, J20&lt;120, G20*E20/D20*1000, J20&gt;120, I20*E20/D20*1000*10)</f>
        <v>3011606.6553259408</v>
      </c>
      <c r="L20" s="1501" t="str">
        <f t="shared" ref="L20:L30" si="1">IF(C20&lt;&gt;C21,"DELETE",AVERAGE(K20:K21))</f>
        <v>DELETE</v>
      </c>
      <c r="M20" s="1502" t="str" cm="1">
        <f t="array" ref="M20">_xlfn.IFS(L20="DELETE", "DELETE", L20=0, 0, L20&gt;0,LOG10(L20))</f>
        <v>DELETE</v>
      </c>
    </row>
    <row r="21" spans="1:13" s="1463" customFormat="1" x14ac:dyDescent="0.3">
      <c r="A21" s="556" t="str">
        <f>LEFT(qPCR_2nd_Run!A248, (FIND("-", qPCR_2nd_Run!A248, 1)-1))&amp;MID(qPCR_2nd_Run!A248, (FIND("-", qPCR_2nd_Run!A248, 1)+1), 1)</f>
        <v>RG6</v>
      </c>
      <c r="B21" s="557" t="str" cm="1">
        <f t="array" ref="B21">_xlfn.IFS(LEFT(A21, LEN(A21)-1)="EP", "EP", LEFT(A21, LEN(A21)-1)="STa", "SPI", LEFT(A21, LEN(A21)-1)="STb", "SPO", LEFT(A21, LEN(A21)-1)="MRT", "MRT", LEFT(A21, LEN(A21)-1)="RG", "RN", LEFT(A21, LEN(A21)-1)="RT", "RU", LEFT(A21, LEN(A21)-1)="RW", "RL", LEFT(A21, LEN(A21)-1)="RC", "RS")</f>
        <v>RN</v>
      </c>
      <c r="C21" s="1434">
        <f>DATE(2021, LEFT(MID(qPCR_2nd_Run!A248, (FIND(" ", qPCR_2nd_Run!A248, 1)+1), 5), 2), RIGHT(MID(qPCR_2nd_Run!A248, (FIND(" ", qPCR_2nd_Run!A248, 1)+1), 5), 2))</f>
        <v>44356</v>
      </c>
      <c r="D21" s="1500">
        <f>qPCR_2nd_Run!C248</f>
        <v>1000</v>
      </c>
      <c r="E21" s="1500">
        <f>qPCR_2nd_Run!F248</f>
        <v>100</v>
      </c>
      <c r="F21" s="1212">
        <f>qPCR_2nd_Run!AG248</f>
        <v>20.673284530639648</v>
      </c>
      <c r="G21" s="1501" cm="1">
        <f t="array" ref="G21">_xlfn.IFS(F21="Undetermined", 0, qPCR_2nd_Run!AH248&lt;=1, 0, qPCR_2nd_Run!AH248&gt;1, qPCR_2nd_Run!AH248)</f>
        <v>23153.76953125</v>
      </c>
      <c r="H21" s="1212">
        <f>qPCR_2nd_Run!AJ248</f>
        <v>23.190130233764648</v>
      </c>
      <c r="I21" s="1501" cm="1">
        <f t="array" ref="I21">_xlfn.IFS(H21="Undetermined", 0, qPCR_2nd_Run!AK248&lt;=1, 0, qPCR_2nd_Run!AK248&gt;1, qPCR_2nd_Run!AK248)</f>
        <v>4713.38037109375</v>
      </c>
      <c r="J21" s="1500" cm="1">
        <f t="array" ref="J21">_xlfn.IFS(AND(F21="Undetermined", H21="Undetermined"), "Undetermined", AND(G21=0, I21=0), "Undetermined", AND(G21=0, I21&gt;0), "Ten-Fold", AND(G21&gt;0, I21=0), "Undiluted", AND(F21&lt;&gt;"Undetermined", H21&lt;&gt;"Undetermined", G21&gt;0, I21&gt;0, F21&lt;&gt;H21), 100*(-1+10^(-1/(F21-H21))), AND(F21&lt;&gt;"Undetermined", H21&lt;&gt;"Undetermined", F21=H21&gt;0), -100)</f>
        <v>149.64491692376751</v>
      </c>
      <c r="K21" s="1501" cm="1">
        <f t="array" ref="K21">_xlfn.IFS(J21="Undetermined", 0, J21="Undiluted", G21*E21/D21*1000, J21="Ten-Fold", I21*E21/D21*1000*10, J21&lt;0, I21*E21/D21*1000*10, J21&lt;120, G21*E21/D21*1000, J21&gt;120, I21*E21/D21*1000*10)</f>
        <v>4713380.37109375</v>
      </c>
      <c r="L21" s="1501">
        <f t="shared" si="1"/>
        <v>3321959.2028166121</v>
      </c>
      <c r="M21" s="1502" cm="1">
        <f t="array" ref="M21">_xlfn.IFS(L21="DELETE", "DELETE", L21=0, 0, L21&gt;0,LOG10(L21))</f>
        <v>6.521394294551131</v>
      </c>
    </row>
    <row r="22" spans="1:13" s="1463" customFormat="1" x14ac:dyDescent="0.3">
      <c r="A22" s="556" t="str">
        <f>LEFT(qPCR_2nd_Run!A249, (FIND("-", qPCR_2nd_Run!A249, 1)-1))&amp;MID(qPCR_2nd_Run!A249, (FIND("-", qPCR_2nd_Run!A249, 1)+1), 1)</f>
        <v>RG7</v>
      </c>
      <c r="B22" s="557" t="str" cm="1">
        <f t="array" ref="B22">_xlfn.IFS(LEFT(A22, LEN(A22)-1)="EP", "EP", LEFT(A22, LEN(A22)-1)="STa", "SPI", LEFT(A22, LEN(A22)-1)="STb", "SPO", LEFT(A22, LEN(A22)-1)="MRT", "MRT", LEFT(A22, LEN(A22)-1)="RG", "RN", LEFT(A22, LEN(A22)-1)="RT", "RU", LEFT(A22, LEN(A22)-1)="RW", "RL", LEFT(A22, LEN(A22)-1)="RC", "RS")</f>
        <v>RN</v>
      </c>
      <c r="C22" s="1434">
        <f>DATE(2021, LEFT(MID(qPCR_2nd_Run!A249, (FIND(" ", qPCR_2nd_Run!A249, 1)+1), 5), 2), RIGHT(MID(qPCR_2nd_Run!A249, (FIND(" ", qPCR_2nd_Run!A249, 1)+1), 5), 2))</f>
        <v>44356</v>
      </c>
      <c r="D22" s="1500">
        <f>qPCR_2nd_Run!C249</f>
        <v>950</v>
      </c>
      <c r="E22" s="1500">
        <f>qPCR_2nd_Run!F249</f>
        <v>100</v>
      </c>
      <c r="F22" s="1212">
        <f>qPCR_2nd_Run!AG249</f>
        <v>21.041805267333984</v>
      </c>
      <c r="G22" s="1501" cm="1">
        <f t="array" ref="G22">_xlfn.IFS(F22="Undetermined", 0, qPCR_2nd_Run!AH249&lt;=1, 0, qPCR_2nd_Run!AH249&gt;1, qPCR_2nd_Run!AH249)</f>
        <v>18340.111328125</v>
      </c>
      <c r="H22" s="1212">
        <f>qPCR_2nd_Run!AJ249</f>
        <v>24.012472152709961</v>
      </c>
      <c r="I22" s="1501" cm="1">
        <f t="array" ref="I22">_xlfn.IFS(H22="Undetermined", 0, qPCR_2nd_Run!AK249&lt;=1, 0, qPCR_2nd_Run!AK249&gt;1, qPCR_2nd_Run!AK249)</f>
        <v>2801.9736328125</v>
      </c>
      <c r="J22" s="1500" cm="1">
        <f t="array" ref="J22">_xlfn.IFS(AND(F22="Undetermined", H22="Undetermined"), "Undetermined", AND(G22=0, I22=0), "Undetermined", AND(G22=0, I22&gt;0), "Ten-Fold", AND(G22&gt;0, I22=0), "Undiluted", AND(F22&lt;&gt;"Undetermined", H22&lt;&gt;"Undetermined", G22&gt;0, I22&gt;0, F22&lt;&gt;H22), 100*(-1+10^(-1/(F22-H22))), AND(F22&lt;&gt;"Undetermined", H22&lt;&gt;"Undetermined", F22=H22&gt;0), -100)</f>
        <v>117.08246819587229</v>
      </c>
      <c r="K22" s="1501" cm="1">
        <f t="array" ref="K22">_xlfn.IFS(J22="Undetermined", 0, J22="Undiluted", G22*E22/D22*1000, J22="Ten-Fold", I22*E22/D22*1000*10, J22&lt;0, I22*E22/D22*1000*10, J22&lt;120, G22*E22/D22*1000, J22&gt;120, I22*E22/D22*1000*10)</f>
        <v>1930538.0345394737</v>
      </c>
      <c r="L22" s="1501" t="str">
        <f t="shared" si="1"/>
        <v>DELETE</v>
      </c>
      <c r="M22" s="1502" t="str" cm="1">
        <f t="array" ref="M22">_xlfn.IFS(L22="DELETE", "DELETE", L22=0, 0, L22&gt;0,LOG10(L22))</f>
        <v>DELETE</v>
      </c>
    </row>
    <row r="23" spans="1:13" s="1463" customFormat="1" x14ac:dyDescent="0.3">
      <c r="A23" s="556" t="str">
        <f>LEFT(qPCR_2nd_Run!A250, (FIND("-", qPCR_2nd_Run!A250, 1)-1))&amp;MID(qPCR_2nd_Run!A250, (FIND("-", qPCR_2nd_Run!A250, 1)+1), 1)</f>
        <v>RC6</v>
      </c>
      <c r="B23" s="557" t="str" cm="1">
        <f t="array" ref="B23">_xlfn.IFS(LEFT(A23, LEN(A23)-1)="EP", "EP", LEFT(A23, LEN(A23)-1)="STa", "SPI", LEFT(A23, LEN(A23)-1)="STb", "SPO", LEFT(A23, LEN(A23)-1)="MRT", "MRT", LEFT(A23, LEN(A23)-1)="RG", "RN", LEFT(A23, LEN(A23)-1)="RT", "RU", LEFT(A23, LEN(A23)-1)="RW", "RL", LEFT(A23, LEN(A23)-1)="RC", "RS")</f>
        <v>RS</v>
      </c>
      <c r="C23" s="1434">
        <f>DATE(2021, LEFT(MID(qPCR_2nd_Run!A250, (FIND(" ", qPCR_2nd_Run!A250, 1)+1), 5), 2), RIGHT(MID(qPCR_2nd_Run!A250, (FIND(" ", qPCR_2nd_Run!A250, 1)+1), 5), 2))</f>
        <v>44370</v>
      </c>
      <c r="D23" s="1500">
        <f>qPCR_2nd_Run!C250</f>
        <v>1000</v>
      </c>
      <c r="E23" s="1500">
        <f>qPCR_2nd_Run!F250</f>
        <v>100</v>
      </c>
      <c r="F23" s="1212">
        <f>qPCR_2nd_Run!AG250</f>
        <v>23.692873001098633</v>
      </c>
      <c r="G23" s="1501" cm="1">
        <f t="array" ref="G23">_xlfn.IFS(F23="Undetermined", 0, qPCR_2nd_Run!AH250&lt;=1, 0, qPCR_2nd_Run!AH250&gt;1, qPCR_2nd_Run!AH250)</f>
        <v>3429.62548828125</v>
      </c>
      <c r="H23" s="1212">
        <f>qPCR_2nd_Run!AJ250</f>
        <v>26.779884338378906</v>
      </c>
      <c r="I23" s="1501" cm="1">
        <f t="array" ref="I23">_xlfn.IFS(H23="Undetermined", 0, qPCR_2nd_Run!AK250&lt;=1, 0, qPCR_2nd_Run!AK250&gt;1, qPCR_2nd_Run!AK250)</f>
        <v>486.802734375</v>
      </c>
      <c r="J23" s="1500" cm="1">
        <f t="array" ref="J23">_xlfn.IFS(AND(F23="Undetermined", H23="Undetermined"), "Undetermined", AND(G23=0, I23=0), "Undetermined", AND(G23=0, I23&gt;0), "Ten-Fold", AND(G23&gt;0, I23=0), "Undiluted", AND(F23&lt;&gt;"Undetermined", H23&lt;&gt;"Undetermined", G23&gt;0, I23&gt;0, F23&lt;&gt;H23), 100*(-1+10^(-1/(F23-H23))), AND(F23&lt;&gt;"Undetermined", H23&lt;&gt;"Undetermined", F23=H23&gt;0), -100)</f>
        <v>110.83267049979608</v>
      </c>
      <c r="K23" s="1501" cm="1">
        <f t="array" ref="K23">_xlfn.IFS(J23="Undetermined", 0, J23="Undiluted", G23*E23/D23*1000, J23="Ten-Fold", I23*E23/D23*1000*10, J23&lt;0, I23*E23/D23*1000*10, J23&lt;120, G23*E23/D23*1000, J23&gt;120, I23*E23/D23*1000*10)</f>
        <v>342962.548828125</v>
      </c>
      <c r="L23" s="1501">
        <f t="shared" si="1"/>
        <v>285445.361328125</v>
      </c>
      <c r="M23" s="1502" cm="1">
        <f t="array" ref="M23">_xlfn.IFS(L23="DELETE", "DELETE", L23=0, 0, L23&gt;0,LOG10(L23))</f>
        <v>5.4555229898336197</v>
      </c>
    </row>
    <row r="24" spans="1:13" s="1463" customFormat="1" x14ac:dyDescent="0.3">
      <c r="A24" s="556" t="str">
        <f>LEFT(qPCR_2nd_Run!A251, (FIND("-", qPCR_2nd_Run!A251, 1)-1))&amp;MID(qPCR_2nd_Run!A251, (FIND("-", qPCR_2nd_Run!A251, 1)+1), 1)</f>
        <v>RC7</v>
      </c>
      <c r="B24" s="557" t="str" cm="1">
        <f t="array" ref="B24">_xlfn.IFS(LEFT(A24, LEN(A24)-1)="EP", "EP", LEFT(A24, LEN(A24)-1)="STa", "SPI", LEFT(A24, LEN(A24)-1)="STb", "SPO", LEFT(A24, LEN(A24)-1)="MRT", "MRT", LEFT(A24, LEN(A24)-1)="RG", "RN", LEFT(A24, LEN(A24)-1)="RT", "RU", LEFT(A24, LEN(A24)-1)="RW", "RL", LEFT(A24, LEN(A24)-1)="RC", "RS")</f>
        <v>RS</v>
      </c>
      <c r="C24" s="1434">
        <f>DATE(2021, LEFT(MID(qPCR_2nd_Run!A251, (FIND(" ", qPCR_2nd_Run!A251, 1)+1), 5), 2), RIGHT(MID(qPCR_2nd_Run!A251, (FIND(" ", qPCR_2nd_Run!A251, 1)+1), 5), 2))</f>
        <v>44370</v>
      </c>
      <c r="D24" s="1500">
        <f>qPCR_2nd_Run!C251</f>
        <v>1000</v>
      </c>
      <c r="E24" s="1500">
        <f>qPCR_2nd_Run!F251</f>
        <v>100</v>
      </c>
      <c r="F24" s="1212">
        <f>qPCR_2nd_Run!AG251</f>
        <v>24.33892822265625</v>
      </c>
      <c r="G24" s="1501" cm="1">
        <f t="array" ref="G24">_xlfn.IFS(F24="Undetermined", 0, qPCR_2nd_Run!AH251&lt;=1, 0, qPCR_2nd_Run!AH251&gt;1, qPCR_2nd_Run!AH251)</f>
        <v>2279.28173828125</v>
      </c>
      <c r="H24" s="1212">
        <f>qPCR_2nd_Run!AJ251</f>
        <v>29.405763626098633</v>
      </c>
      <c r="I24" s="1501" cm="1">
        <f t="array" ref="I24">_xlfn.IFS(H24="Undetermined", 0, qPCR_2nd_Run!AK251&lt;=1, 0, qPCR_2nd_Run!AK251&gt;1, qPCR_2nd_Run!AK251)</f>
        <v>92.494544982910156</v>
      </c>
      <c r="J24" s="1500" cm="1">
        <f t="array" ref="J24">_xlfn.IFS(AND(F24="Undetermined", H24="Undetermined"), "Undetermined", AND(G24=0, I24=0), "Undetermined", AND(G24=0, I24&gt;0), "Ten-Fold", AND(G24&gt;0, I24=0), "Undiluted", AND(F24&lt;&gt;"Undetermined", H24&lt;&gt;"Undetermined", G24&gt;0, I24&gt;0, F24&lt;&gt;H24), 100*(-1+10^(-1/(F24-H24))), AND(F24&lt;&gt;"Undetermined", H24&lt;&gt;"Undetermined", F24=H24&gt;0), -100)</f>
        <v>57.529483204076982</v>
      </c>
      <c r="K24" s="1501" cm="1">
        <f t="array" ref="K24">_xlfn.IFS(J24="Undetermined", 0, J24="Undiluted", G24*E24/D24*1000, J24="Ten-Fold", I24*E24/D24*1000*10, J24&lt;0, I24*E24/D24*1000*10, J24&lt;120, G24*E24/D24*1000, J24&gt;120, I24*E24/D24*1000*10)</f>
        <v>227928.173828125</v>
      </c>
      <c r="L24" s="1501" t="str">
        <f t="shared" si="1"/>
        <v>DELETE</v>
      </c>
      <c r="M24" s="1502" t="str" cm="1">
        <f t="array" ref="M24">_xlfn.IFS(L24="DELETE", "DELETE", L24=0, 0, L24&gt;0,LOG10(L24))</f>
        <v>DELETE</v>
      </c>
    </row>
    <row r="25" spans="1:13" s="1463" customFormat="1" x14ac:dyDescent="0.3">
      <c r="A25" s="556" t="str">
        <f>LEFT(qPCR_2nd_Run!A252, (FIND("-", qPCR_2nd_Run!A252, 1)-1))&amp;MID(qPCR_2nd_Run!A252, (FIND("-", qPCR_2nd_Run!A252, 1)+1), 1)</f>
        <v>EP6</v>
      </c>
      <c r="B25" s="557" t="str" cm="1">
        <f t="array" ref="B25">_xlfn.IFS(LEFT(A25, LEN(A25)-1)="EP", "EP", LEFT(A25, LEN(A25)-1)="STa", "SPI", LEFT(A25, LEN(A25)-1)="STb", "SPO", LEFT(A25, LEN(A25)-1)="MRT", "MRT", LEFT(A25, LEN(A25)-1)="RG", "RN", LEFT(A25, LEN(A25)-1)="RT", "RU", LEFT(A25, LEN(A25)-1)="RW", "RL", LEFT(A25, LEN(A25)-1)="RC", "RS")</f>
        <v>EP</v>
      </c>
      <c r="C25" s="1434">
        <f>DATE(2021, LEFT(MID(qPCR_2nd_Run!A252, (FIND(" ", qPCR_2nd_Run!A252, 1)+1), 5), 2), RIGHT(MID(qPCR_2nd_Run!A252, (FIND(" ", qPCR_2nd_Run!A252, 1)+1), 5), 2))</f>
        <v>44385</v>
      </c>
      <c r="D25" s="1500">
        <f>qPCR_2nd_Run!C252</f>
        <v>960</v>
      </c>
      <c r="E25" s="1500">
        <f>qPCR_2nd_Run!F252</f>
        <v>100</v>
      </c>
      <c r="F25" s="1212">
        <f>qPCR_2nd_Run!AG252</f>
        <v>38.178760528564453</v>
      </c>
      <c r="G25" s="1501" cm="1">
        <f t="array" ref="G25">_xlfn.IFS(F25="Undetermined", 0, qPCR_2nd_Run!AH252&lt;=1, 0, qPCR_2nd_Run!AH252&gt;1, qPCR_2nd_Run!AH252)</f>
        <v>0</v>
      </c>
      <c r="H25" s="1212" t="str">
        <f>qPCR_2nd_Run!AJ252</f>
        <v>Undetermined</v>
      </c>
      <c r="I25" s="1501" cm="1">
        <f t="array" ref="I25">_xlfn.IFS(H25="Undetermined", 0, qPCR_2nd_Run!AK252&lt;=1, 0, qPCR_2nd_Run!AK252&gt;1, qPCR_2nd_Run!AK252)</f>
        <v>0</v>
      </c>
      <c r="J25" s="1500" t="str" cm="1">
        <f t="array" ref="J25">_xlfn.IFS(AND(F25="Undetermined", H25="Undetermined"), "Undetermined", AND(G25=0, I25=0), "Undetermined", AND(G25=0, I25&gt;0), "Ten-Fold", AND(G25&gt;0, I25=0), "Undiluted", AND(F25&lt;&gt;"Undetermined", H25&lt;&gt;"Undetermined", G25&gt;0, I25&gt;0, F25&lt;&gt;H25), 100*(-1+10^(-1/(F25-H25))), AND(F25&lt;&gt;"Undetermined", H25&lt;&gt;"Undetermined", F25=H25&gt;0), -100)</f>
        <v>Undetermined</v>
      </c>
      <c r="K25" s="1501" cm="1">
        <f t="array" ref="K25">_xlfn.IFS(J25="Undetermined", 0, J25="Undiluted", G25*E25/D25*1000, J25="Ten-Fold", I25*E25/D25*1000*10, J25&lt;0, I25*E25/D25*1000*10, J25&lt;120, G25*E25/D25*1000, J25&gt;120, I25*E25/D25*1000*10)</f>
        <v>0</v>
      </c>
      <c r="L25" s="1501">
        <f t="shared" si="1"/>
        <v>0</v>
      </c>
      <c r="M25" s="1502" cm="1">
        <f t="array" ref="M25">_xlfn.IFS(L25="DELETE", "DELETE", L25=0, 0, L25&gt;0,LOG10(L25))</f>
        <v>0</v>
      </c>
    </row>
    <row r="26" spans="1:13" s="1463" customFormat="1" x14ac:dyDescent="0.3">
      <c r="A26" s="556" t="str">
        <f>LEFT(qPCR_2nd_Run!A253, (FIND("-", qPCR_2nd_Run!A253, 1)-1))&amp;MID(qPCR_2nd_Run!A253, (FIND("-", qPCR_2nd_Run!A253, 1)+1), 1)</f>
        <v>EP7</v>
      </c>
      <c r="B26" s="557" t="str" cm="1">
        <f t="array" ref="B26">_xlfn.IFS(LEFT(A26, LEN(A26)-1)="EP", "EP", LEFT(A26, LEN(A26)-1)="STa", "SPI", LEFT(A26, LEN(A26)-1)="STb", "SPO", LEFT(A26, LEN(A26)-1)="MRT", "MRT", LEFT(A26, LEN(A26)-1)="RG", "RN", LEFT(A26, LEN(A26)-1)="RT", "RU", LEFT(A26, LEN(A26)-1)="RW", "RL", LEFT(A26, LEN(A26)-1)="RC", "RS")</f>
        <v>EP</v>
      </c>
      <c r="C26" s="1434">
        <f>DATE(2021, LEFT(MID(qPCR_2nd_Run!A253, (FIND(" ", qPCR_2nd_Run!A253, 1)+1), 5), 2), RIGHT(MID(qPCR_2nd_Run!A253, (FIND(" ", qPCR_2nd_Run!A253, 1)+1), 5), 2))</f>
        <v>44385</v>
      </c>
      <c r="D26" s="1500">
        <f>qPCR_2nd_Run!C253</f>
        <v>895</v>
      </c>
      <c r="E26" s="1500">
        <f>qPCR_2nd_Run!F253</f>
        <v>100</v>
      </c>
      <c r="F26" s="1212">
        <f>qPCR_2nd_Run!AG253</f>
        <v>36.590179443359375</v>
      </c>
      <c r="G26" s="1501" cm="1">
        <f t="array" ref="G26">_xlfn.IFS(F26="Undetermined", 0, qPCR_2nd_Run!AH253&lt;=1, 0, qPCR_2nd_Run!AH253&gt;1, qPCR_2nd_Run!AH253)</f>
        <v>0</v>
      </c>
      <c r="H26" s="1212" t="str">
        <f>qPCR_2nd_Run!AJ253</f>
        <v>Undetermined</v>
      </c>
      <c r="I26" s="1501" cm="1">
        <f t="array" ref="I26">_xlfn.IFS(H26="Undetermined", 0, qPCR_2nd_Run!AK253&lt;=1, 0, qPCR_2nd_Run!AK253&gt;1, qPCR_2nd_Run!AK253)</f>
        <v>0</v>
      </c>
      <c r="J26" s="1500" t="str" cm="1">
        <f t="array" ref="J26">_xlfn.IFS(AND(F26="Undetermined", H26="Undetermined"), "Undetermined", AND(G26=0, I26=0), "Undetermined", AND(G26=0, I26&gt;0), "Ten-Fold", AND(G26&gt;0, I26=0), "Undiluted", AND(F26&lt;&gt;"Undetermined", H26&lt;&gt;"Undetermined", G26&gt;0, I26&gt;0, F26&lt;&gt;H26), 100*(-1+10^(-1/(F26-H26))), AND(F26&lt;&gt;"Undetermined", H26&lt;&gt;"Undetermined", F26=H26&gt;0), -100)</f>
        <v>Undetermined</v>
      </c>
      <c r="K26" s="1501" cm="1">
        <f t="array" ref="K26">_xlfn.IFS(J26="Undetermined", 0, J26="Undiluted", G26*E26/D26*1000, J26="Ten-Fold", I26*E26/D26*1000*10, J26&lt;0, I26*E26/D26*1000*10, J26&lt;120, G26*E26/D26*1000, J26&gt;120, I26*E26/D26*1000*10)</f>
        <v>0</v>
      </c>
      <c r="L26" s="1501" t="str">
        <f t="shared" si="1"/>
        <v>DELETE</v>
      </c>
      <c r="M26" s="1502" t="str" cm="1">
        <f t="array" ref="M26">_xlfn.IFS(L26="DELETE", "DELETE", L26=0, 0, L26&gt;0,LOG10(L26))</f>
        <v>DELETE</v>
      </c>
    </row>
    <row r="27" spans="1:13" s="1463" customFormat="1" x14ac:dyDescent="0.3">
      <c r="A27" s="556" t="str">
        <f>LEFT(qPCR_2nd_Run!A254, (FIND("-", qPCR_2nd_Run!A254, 1)-1))&amp;MID(qPCR_2nd_Run!A254, (FIND("-", qPCR_2nd_Run!A254, 1)+1), 1)</f>
        <v>MRT6</v>
      </c>
      <c r="B27" s="557" t="str" cm="1">
        <f t="array" ref="B27">_xlfn.IFS(LEFT(A27, LEN(A27)-1)="EP", "EP", LEFT(A27, LEN(A27)-1)="STa", "SPI", LEFT(A27, LEN(A27)-1)="STb", "SPO", LEFT(A27, LEN(A27)-1)="MRT", "MRT", LEFT(A27, LEN(A27)-1)="RG", "RN", LEFT(A27, LEN(A27)-1)="RT", "RU", LEFT(A27, LEN(A27)-1)="RW", "RL", LEFT(A27, LEN(A27)-1)="RC", "RS")</f>
        <v>MRT</v>
      </c>
      <c r="C27" s="1434">
        <f>DATE(2021, LEFT(MID(qPCR_2nd_Run!A254, (FIND(" ", qPCR_2nd_Run!A254, 1)+1), 5), 2), RIGHT(MID(qPCR_2nd_Run!A254, (FIND(" ", qPCR_2nd_Run!A254, 1)+1), 5), 2))</f>
        <v>44419</v>
      </c>
      <c r="D27" s="1500">
        <f>qPCR_2nd_Run!C254</f>
        <v>970</v>
      </c>
      <c r="E27" s="1500">
        <f>qPCR_2nd_Run!F254</f>
        <v>100</v>
      </c>
      <c r="F27" s="1212" t="str">
        <f>qPCR_2nd_Run!AG254</f>
        <v>Undetermined</v>
      </c>
      <c r="G27" s="1501" cm="1">
        <f t="array" ref="G27">_xlfn.IFS(F27="Undetermined", 0, qPCR_2nd_Run!AH254&lt;=1, 0, qPCR_2nd_Run!AH254&gt;1, qPCR_2nd_Run!AH254)</f>
        <v>0</v>
      </c>
      <c r="H27" s="1212" t="str">
        <f>qPCR_2nd_Run!AJ254</f>
        <v>Undetermined</v>
      </c>
      <c r="I27" s="1501" cm="1">
        <f t="array" ref="I27">_xlfn.IFS(H27="Undetermined", 0, qPCR_2nd_Run!AK254&lt;=1, 0, qPCR_2nd_Run!AK254&gt;1, qPCR_2nd_Run!AK254)</f>
        <v>0</v>
      </c>
      <c r="J27" s="1500" t="str" cm="1">
        <f t="array" ref="J27">_xlfn.IFS(AND(F27="Undetermined", H27="Undetermined"), "Undetermined", AND(G27=0, I27=0), "Undetermined", AND(G27=0, I27&gt;0), "Ten-Fold", AND(G27&gt;0, I27=0), "Undiluted", AND(F27&lt;&gt;"Undetermined", H27&lt;&gt;"Undetermined", G27&gt;0, I27&gt;0, F27&lt;&gt;H27), 100*(-1+10^(-1/(F27-H27))), AND(F27&lt;&gt;"Undetermined", H27&lt;&gt;"Undetermined", F27=H27&gt;0), -100)</f>
        <v>Undetermined</v>
      </c>
      <c r="K27" s="1501" cm="1">
        <f t="array" ref="K27">_xlfn.IFS(J27="Undetermined", 0, J27="Undiluted", G27*E27/D27*1000, J27="Ten-Fold", I27*E27/D27*1000*10, J27&lt;0, I27*E27/D27*1000*10, J27&lt;120, G27*E27/D27*1000, J27&gt;120, I27*E27/D27*1000*10)</f>
        <v>0</v>
      </c>
      <c r="L27" s="1501">
        <f>IF(C27&lt;&gt;C28,"DELETE",AVERAGE(K27:K28))</f>
        <v>108.2575519879659</v>
      </c>
      <c r="M27" s="1502" cm="1">
        <f t="array" ref="M27">_xlfn.IFS(L27="DELETE", "DELETE", L27=0, 0, L27&gt;0,LOG10(L27))</f>
        <v>2.0344582022291005</v>
      </c>
    </row>
    <row r="28" spans="1:13" s="1463" customFormat="1" x14ac:dyDescent="0.3">
      <c r="A28" s="556" t="str">
        <f>LEFT(qPCR_2nd_Run!A255, (FIND("-", qPCR_2nd_Run!A255, 1)-1))&amp;MID(qPCR_2nd_Run!A255, (FIND("-", qPCR_2nd_Run!A255, 1)+1), 1)</f>
        <v>MRT7</v>
      </c>
      <c r="B28" s="557" t="str" cm="1">
        <f t="array" ref="B28">_xlfn.IFS(LEFT(A28, LEN(A28)-1)="EP", "EP", LEFT(A28, LEN(A28)-1)="STa", "SPI", LEFT(A28, LEN(A28)-1)="STb", "SPO", LEFT(A28, LEN(A28)-1)="MRT", "MRT", LEFT(A28, LEN(A28)-1)="RG", "RN", LEFT(A28, LEN(A28)-1)="RT", "RU", LEFT(A28, LEN(A28)-1)="RW", "RL", LEFT(A28, LEN(A28)-1)="RC", "RS")</f>
        <v>MRT</v>
      </c>
      <c r="C28" s="1434">
        <f>DATE(2021, LEFT(MID(qPCR_2nd_Run!A255, (FIND(" ", qPCR_2nd_Run!A255, 1)+1), 5), 2), RIGHT(MID(qPCR_2nd_Run!A255, (FIND(" ", qPCR_2nd_Run!A255, 1)+1), 5), 2))</f>
        <v>44419</v>
      </c>
      <c r="D28" s="1500">
        <f>qPCR_2nd_Run!C255</f>
        <v>900</v>
      </c>
      <c r="E28" s="1500">
        <f>qPCR_2nd_Run!F255</f>
        <v>100</v>
      </c>
      <c r="F28" s="1212">
        <f>qPCR_2nd_Run!AG255</f>
        <v>35.509147644042969</v>
      </c>
      <c r="G28" s="1501" cm="1">
        <f t="array" ref="G28">_xlfn.IFS(F28="Undetermined", 0, qPCR_2nd_Run!AH255&lt;=1, 0, qPCR_2nd_Run!AH255&gt;1, qPCR_2nd_Run!AH255)</f>
        <v>1.9486359357833862</v>
      </c>
      <c r="H28" s="1212" t="str">
        <f>qPCR_2nd_Run!AJ255</f>
        <v>Undetermined</v>
      </c>
      <c r="I28" s="1501" cm="1">
        <f t="array" ref="I28">_xlfn.IFS(H28="Undetermined", 0, qPCR_2nd_Run!AK255&lt;=1, 0, qPCR_2nd_Run!AK255&gt;1, qPCR_2nd_Run!AK255)</f>
        <v>0</v>
      </c>
      <c r="J28" s="1500" t="str" cm="1">
        <f t="array" ref="J28">_xlfn.IFS(AND(F28="Undetermined", H28="Undetermined"), "Undetermined", AND(G28=0, I28=0), "Undetermined", AND(G28=0, I28&gt;0), "Ten-Fold", AND(G28&gt;0, I28=0), "Undiluted", AND(F28&lt;&gt;"Undetermined", H28&lt;&gt;"Undetermined", G28&gt;0, I28&gt;0, F28&lt;&gt;H28), 100*(-1+10^(-1/(F28-H28))), AND(F28&lt;&gt;"Undetermined", H28&lt;&gt;"Undetermined", F28=H28&gt;0), -100)</f>
        <v>Undiluted</v>
      </c>
      <c r="K28" s="1501" cm="1">
        <f t="array" ref="K28">_xlfn.IFS(J28="Undetermined", 0, J28="Undiluted", G28*E28/D28*1000, J28="Ten-Fold", I28*E28/D28*1000*10, J28&lt;0, I28*E28/D28*1000*10, J28&lt;120, G28*E28/D28*1000, J28&gt;120, I28*E28/D28*1000*10)</f>
        <v>216.51510397593179</v>
      </c>
      <c r="L28" s="1501" t="str">
        <f t="shared" si="1"/>
        <v>DELETE</v>
      </c>
      <c r="M28" s="1502" t="str" cm="1">
        <f t="array" ref="M28">_xlfn.IFS(L28="DELETE", "DELETE", L28=0, 0, L28&gt;0,LOG10(L28))</f>
        <v>DELETE</v>
      </c>
    </row>
    <row r="29" spans="1:13" s="1463" customFormat="1" x14ac:dyDescent="0.3">
      <c r="A29" s="556" t="str">
        <f>LEFT(qPCR_2nd_Run!A256, (FIND("-", qPCR_2nd_Run!A256, 1)-1))&amp;MID(qPCR_2nd_Run!A256, (FIND("-", qPCR_2nd_Run!A256, 1)+1), 1)</f>
        <v>RG6</v>
      </c>
      <c r="B29" s="557" t="str" cm="1">
        <f t="array" ref="B29">_xlfn.IFS(LEFT(A29, LEN(A29)-1)="EP", "EP", LEFT(A29, LEN(A29)-1)="STa", "SPI", LEFT(A29, LEN(A29)-1)="STb", "SPO", LEFT(A29, LEN(A29)-1)="MRT", "MRT", LEFT(A29, LEN(A29)-1)="RG", "RN", LEFT(A29, LEN(A29)-1)="RT", "RU", LEFT(A29, LEN(A29)-1)="RW", "RL", LEFT(A29, LEN(A29)-1)="RC", "RS")</f>
        <v>RN</v>
      </c>
      <c r="C29" s="1434">
        <f>DATE(2021, LEFT(MID(qPCR_2nd_Run!A256, (FIND(" ", qPCR_2nd_Run!A256, 1)+1), 5), 2), RIGHT(MID(qPCR_2nd_Run!A256, (FIND(" ", qPCR_2nd_Run!A256, 1)+1), 5), 2))</f>
        <v>44426</v>
      </c>
      <c r="D29" s="1500">
        <f>qPCR_2nd_Run!C256</f>
        <v>990</v>
      </c>
      <c r="E29" s="1500">
        <f>qPCR_2nd_Run!F256</f>
        <v>100</v>
      </c>
      <c r="F29" s="1212">
        <f>qPCR_2nd_Run!AG256</f>
        <v>22.453567504882813</v>
      </c>
      <c r="G29" s="1501" cm="1">
        <f t="array" ref="G29">_xlfn.IFS(F29="Undetermined", 0, qPCR_2nd_Run!AH256&lt;=1, 0, qPCR_2nd_Run!AH256&gt;1, qPCR_2nd_Run!AH256)</f>
        <v>7510.00830078125</v>
      </c>
      <c r="H29" s="1212">
        <f>qPCR_2nd_Run!AJ256</f>
        <v>25.636184692382813</v>
      </c>
      <c r="I29" s="1501" cm="1">
        <f t="array" ref="I29">_xlfn.IFS(H29="Undetermined", 0, qPCR_2nd_Run!AK256&lt;=1, 0, qPCR_2nd_Run!AK256&gt;1, qPCR_2nd_Run!AK256)</f>
        <v>1003.43017578125</v>
      </c>
      <c r="J29" s="1500" cm="1">
        <f t="array" ref="J29">_xlfn.IFS(AND(F29="Undetermined", H29="Undetermined"), "Undetermined", AND(G29=0, I29=0), "Undetermined", AND(G29=0, I29&gt;0), "Ten-Fold", AND(G29&gt;0, I29=0), "Undiluted", AND(F29&lt;&gt;"Undetermined", H29&lt;&gt;"Undetermined", G29&gt;0, I29&gt;0, F29&lt;&gt;H29), 100*(-1+10^(-1/(F29-H29))), AND(F29&lt;&gt;"Undetermined", H29&lt;&gt;"Undetermined", F29=H29&gt;0), -100)</f>
        <v>106.16114230578053</v>
      </c>
      <c r="K29" s="1501" cm="1">
        <f t="array" ref="K29">_xlfn.IFS(J29="Undetermined", 0, J29="Undiluted", G29*E29/D29*1000, J29="Ten-Fold", I29*E29/D29*1000*10, J29&lt;0, I29*E29/D29*1000*10, J29&lt;120, G29*E29/D29*1000, J29&gt;120, I29*E29/D29*1000*10)</f>
        <v>758586.69704861112</v>
      </c>
      <c r="L29" s="1501">
        <f t="shared" si="1"/>
        <v>393967.84125434031</v>
      </c>
      <c r="M29" s="1502" cm="1">
        <f t="array" ref="M29">_xlfn.IFS(L29="DELETE", "DELETE", L29=0, 0, L29&gt;0,LOG10(L29))</f>
        <v>5.595460772749961</v>
      </c>
    </row>
    <row r="30" spans="1:13" s="1463" customFormat="1" ht="16.350000000000001" thickBot="1" x14ac:dyDescent="0.35">
      <c r="A30" s="559" t="str">
        <f>LEFT(qPCR_2nd_Run!A257, (FIND("-", qPCR_2nd_Run!A257, 1)-1))&amp;MID(qPCR_2nd_Run!A257, (FIND("-", qPCR_2nd_Run!A257, 1)+1), 1)</f>
        <v>RG7</v>
      </c>
      <c r="B30" s="560" t="str" cm="1">
        <f t="array" ref="B30">_xlfn.IFS(LEFT(A30, LEN(A30)-1)="EP", "EP", LEFT(A30, LEN(A30)-1)="STa", "SPI", LEFT(A30, LEN(A30)-1)="STb", "SPO", LEFT(A30, LEN(A30)-1)="MRT", "MRT", LEFT(A30, LEN(A30)-1)="RG", "RN", LEFT(A30, LEN(A30)-1)="RT", "RU", LEFT(A30, LEN(A30)-1)="RW", "RL", LEFT(A30, LEN(A30)-1)="RC", "RS")</f>
        <v>RN</v>
      </c>
      <c r="C30" s="1435">
        <f>DATE(2021, LEFT(MID(qPCR_2nd_Run!A257, (FIND(" ", qPCR_2nd_Run!A257, 1)+1), 5), 2), RIGHT(MID(qPCR_2nd_Run!A257, (FIND(" ", qPCR_2nd_Run!A257, 1)+1), 5), 2))</f>
        <v>44426</v>
      </c>
      <c r="D30" s="1503">
        <f>qPCR_2nd_Run!C257</f>
        <v>900</v>
      </c>
      <c r="E30" s="1503">
        <f>qPCR_2nd_Run!F257</f>
        <v>100</v>
      </c>
      <c r="F30" s="1072">
        <f>qPCR_2nd_Run!AG257</f>
        <v>27.746580123901367</v>
      </c>
      <c r="G30" s="1504" cm="1">
        <f t="array" ref="G30">_xlfn.IFS(F30="Undetermined", 0, qPCR_2nd_Run!AH257&lt;=1, 0, qPCR_2nd_Run!AH257&gt;1, qPCR_2nd_Run!AH257)</f>
        <v>264.140869140625</v>
      </c>
      <c r="H30" s="1072">
        <f>qPCR_2nd_Run!AJ257</f>
        <v>31.220785140991211</v>
      </c>
      <c r="I30" s="1504" cm="1">
        <f t="array" ref="I30">_xlfn.IFS(H30="Undetermined", 0, qPCR_2nd_Run!AK257&lt;=1, 0, qPCR_2nd_Run!AK257&gt;1, qPCR_2nd_Run!AK257)</f>
        <v>29.349006652832031</v>
      </c>
      <c r="J30" s="1503" cm="1">
        <f t="array" ref="J30">_xlfn.IFS(AND(F30="Undetermined", H30="Undetermined"), "Undetermined", AND(G30=0, I30=0), "Undetermined", AND(G30=0, I30&gt;0), "Ten-Fold", AND(G30&gt;0, I30=0), "Undiluted", AND(F30&lt;&gt;"Undetermined", H30&lt;&gt;"Undetermined", G30&gt;0, I30&gt;0, F30&lt;&gt;H30), 100*(-1+10^(-1/(F30-H30))), AND(F30&lt;&gt;"Undetermined", H30&lt;&gt;"Undetermined", F30=H30&gt;0), -100)</f>
        <v>94.015145109355799</v>
      </c>
      <c r="K30" s="1504" cm="1">
        <f t="array" ref="K30">_xlfn.IFS(J30="Undetermined", 0, J30="Undiluted", G30*E30/D30*1000, J30="Ten-Fold", I30*E30/D30*1000*10, J30&lt;0, I30*E30/D30*1000*10, J30&lt;120, G30*E30/D30*1000, J30&gt;120, I30*E30/D30*1000*10)</f>
        <v>29348.985460069442</v>
      </c>
      <c r="L30" s="1504" t="str">
        <f t="shared" si="1"/>
        <v>DELETE</v>
      </c>
      <c r="M30" s="1505" t="str" cm="1">
        <f t="array" ref="M30">_xlfn.IFS(L30="DELETE", "DELETE", L30=0, 0, L30&gt;0,LOG10(L30))</f>
        <v>DELETE</v>
      </c>
    </row>
    <row r="31" spans="1:13" ht="16.350000000000001" thickTop="1" x14ac:dyDescent="0.3"/>
    <row r="32" spans="1:13" ht="16.350000000000001" thickBot="1" x14ac:dyDescent="0.35"/>
    <row r="33" spans="1:13" ht="16.350000000000001" thickTop="1" x14ac:dyDescent="0.3">
      <c r="A33" s="1704" t="s">
        <v>487</v>
      </c>
      <c r="B33" s="1705"/>
      <c r="C33" s="1705"/>
      <c r="D33" s="1705"/>
      <c r="E33" s="1705"/>
      <c r="F33" s="1705"/>
      <c r="G33" s="1705"/>
      <c r="H33" s="1705"/>
      <c r="I33" s="1705"/>
      <c r="J33" s="1705"/>
      <c r="K33" s="1705"/>
      <c r="L33" s="1705"/>
      <c r="M33" s="1706"/>
    </row>
    <row r="34" spans="1:13" ht="16.350000000000001" x14ac:dyDescent="0.3">
      <c r="A34" s="1537"/>
      <c r="B34" s="1538"/>
      <c r="C34" s="1539"/>
      <c r="D34" s="1540"/>
      <c r="E34" s="1538"/>
      <c r="F34" s="1707" t="s">
        <v>3</v>
      </c>
      <c r="G34" s="1707"/>
      <c r="H34" s="1707"/>
      <c r="I34" s="1707"/>
      <c r="J34" s="1707"/>
      <c r="K34" s="1707"/>
      <c r="L34" s="1707"/>
      <c r="M34" s="1708"/>
    </row>
    <row r="35" spans="1:13" x14ac:dyDescent="0.3">
      <c r="A35" s="1537"/>
      <c r="B35" s="1538"/>
      <c r="C35" s="1539"/>
      <c r="D35" s="1540"/>
      <c r="E35" s="1538"/>
      <c r="F35" s="1709" t="s">
        <v>153</v>
      </c>
      <c r="G35" s="1709"/>
      <c r="H35" s="1709" t="s">
        <v>157</v>
      </c>
      <c r="I35" s="1709"/>
      <c r="J35" s="1709" t="s">
        <v>154</v>
      </c>
      <c r="K35" s="1709"/>
      <c r="L35" s="1709"/>
      <c r="M35" s="1710"/>
    </row>
    <row r="36" spans="1:13" ht="50.85" thickBot="1" x14ac:dyDescent="0.35">
      <c r="A36" s="1556" t="s">
        <v>172</v>
      </c>
      <c r="B36" s="752" t="s">
        <v>171</v>
      </c>
      <c r="C36" s="1557" t="s">
        <v>175</v>
      </c>
      <c r="D36" s="1558" t="s">
        <v>167</v>
      </c>
      <c r="E36" s="752" t="s">
        <v>173</v>
      </c>
      <c r="F36" s="1559" t="s">
        <v>60</v>
      </c>
      <c r="G36" s="1560" t="s">
        <v>178</v>
      </c>
      <c r="H36" s="1561" t="s">
        <v>155</v>
      </c>
      <c r="I36" s="1562" t="s">
        <v>485</v>
      </c>
      <c r="J36" s="1563" t="s">
        <v>156</v>
      </c>
      <c r="K36" s="1564" t="s">
        <v>177</v>
      </c>
      <c r="L36" s="1565" t="s">
        <v>163</v>
      </c>
      <c r="M36" s="1566" t="s">
        <v>169</v>
      </c>
    </row>
    <row r="37" spans="1:13" x14ac:dyDescent="0.3">
      <c r="A37" s="1551" t="str">
        <f>LEFT(qPCR_2nd_Run!A246, (FIND("-", qPCR_2nd_Run!A246, 1)-1))&amp;MID(qPCR_2nd_Run!A246, (FIND("-", qPCR_2nd_Run!A246, 1)+1), 1)</f>
        <v>RG6</v>
      </c>
      <c r="B37" s="749" t="str" cm="1">
        <f t="array" ref="B37">_xlfn.IFS(LEFT(A37, LEN(A37)-1)="EP", "EP", LEFT(A37, LEN(A37)-1)="STa", "SPI", LEFT(A37, LEN(A37)-1)="STb", "SPO", LEFT(A37, LEN(A37)-1)="MRT", "MRT", LEFT(A37, LEN(A37)-1)="RG", "RN", LEFT(A37, LEN(A37)-1)="RT", "RU", LEFT(A37, LEN(A37)-1)="RW", "RL", LEFT(A37, LEN(A37)-1)="RC", "RS")</f>
        <v>RN</v>
      </c>
      <c r="C37" s="1552">
        <f>DATE(2021, LEFT(MID(qPCR_2nd_Run!A246, (FIND(" ", qPCR_2nd_Run!A246, 1)+1), 5), 2), RIGHT(MID(qPCR_2nd_Run!A246, (FIND(" ", qPCR_2nd_Run!A246, 1)+1), 5), 2))</f>
        <v>44335</v>
      </c>
      <c r="D37" s="1553">
        <f>qPCR_2nd_Run!C246</f>
        <v>900</v>
      </c>
      <c r="E37" s="1553">
        <f>qPCR_2nd_Run!F246</f>
        <v>100</v>
      </c>
      <c r="F37" s="789">
        <f>qPCR_2nd_Run!O246</f>
        <v>25.948196411132813</v>
      </c>
      <c r="G37" s="1554" cm="1">
        <f t="array" ref="G37">_xlfn.IFS(F37="Undetermined", 0, qPCR_2nd_Run!P246&lt;=1, 0, qPCR_2nd_Run!P246&gt;1, qPCR_2nd_Run!P246)</f>
        <v>2053.2724609375</v>
      </c>
      <c r="H37" s="789">
        <f>qPCR_2nd_Run!R246</f>
        <v>29.19483757019043</v>
      </c>
      <c r="I37" s="1554" cm="1">
        <f t="array" ref="I37">_xlfn.IFS(H37="Undetermined", 0, qPCR_2nd_Run!S246&lt;=1, 0, qPCR_2nd_Run!S246&gt;1, qPCR_2nd_Run!S246)</f>
        <v>265.9525146484375</v>
      </c>
      <c r="J37" s="1553" cm="1">
        <f t="array" ref="J37">_xlfn.IFS(AND(F37="Undetermined", H37="Undetermined"), "Undetermined", AND(G37=0, I37=0), "Undetermined", AND(G37=0, I37&gt;0), "Ten-Fold", AND(G37&gt;0, I37=0), "Undiluted", AND(F37&lt;&gt;"Undetermined", H37&lt;&gt;"Undetermined", G37&gt;0, I37&gt;0, F37&lt;&gt;H37), 100*(-1+10^(-1/(F37-H37))), AND(F37&lt;&gt;"Undetermined", H37&lt;&gt;"Undetermined", F37=H37&gt;0), -100)</f>
        <v>103.24067726550066</v>
      </c>
      <c r="K37" s="1554" cm="1">
        <f t="array" ref="K37">_xlfn.IFS(J37="Undetermined", 0, J37="Undiluted", G37*E37/D37*1000, J37="Ten-Fold", I37*E37/D37*1000*10, J37&lt;0, I37*E37/D37*1000*10, J37&lt;120, G37*E37/D37*1000, J37&gt;120, I37*E37/D37*1000*10)</f>
        <v>228141.38454861112</v>
      </c>
      <c r="L37" s="1554">
        <f>IF(C37&lt;&gt;C38,"DELETE",AVERAGE(K37:K38))</f>
        <v>203201.74197398635</v>
      </c>
      <c r="M37" s="1555" cm="1">
        <f t="array" ref="M37">_xlfn.IFS(L37="DELETE", "DELETE", L37=0, 0, L37&gt;0,LOG10(L37))</f>
        <v>5.3079274266751062</v>
      </c>
    </row>
    <row r="38" spans="1:13" x14ac:dyDescent="0.3">
      <c r="A38" s="1541" t="str">
        <f>LEFT(qPCR_2nd_Run!A247, (FIND("-", qPCR_2nd_Run!A247, 1)-1))&amp;MID(qPCR_2nd_Run!A247, (FIND("-", qPCR_2nd_Run!A247, 1)+1), 1)</f>
        <v>RG7</v>
      </c>
      <c r="B38" s="736" t="str" cm="1">
        <f t="array" ref="B38">_xlfn.IFS(LEFT(A38, LEN(A38)-1)="EP", "EP", LEFT(A38, LEN(A38)-1)="STa", "SPI", LEFT(A38, LEN(A38)-1)="STb", "SPO", LEFT(A38, LEN(A38)-1)="MRT", "MRT", LEFT(A38, LEN(A38)-1)="RG", "RN", LEFT(A38, LEN(A38)-1)="RT", "RU", LEFT(A38, LEN(A38)-1)="RW", "RL", LEFT(A38, LEN(A38)-1)="RC", "RS")</f>
        <v>RN</v>
      </c>
      <c r="C38" s="1542">
        <f>DATE(2021, LEFT(MID(qPCR_2nd_Run!A247, (FIND(" ", qPCR_2nd_Run!A247, 1)+1), 5), 2), RIGHT(MID(qPCR_2nd_Run!A247, (FIND(" ", qPCR_2nd_Run!A247, 1)+1), 5), 2))</f>
        <v>44335</v>
      </c>
      <c r="D38" s="1543">
        <f>qPCR_2nd_Run!C247</f>
        <v>930</v>
      </c>
      <c r="E38" s="1543">
        <f>qPCR_2nd_Run!F247</f>
        <v>100</v>
      </c>
      <c r="F38" s="737">
        <f>qPCR_2nd_Run!O247</f>
        <v>27.104934692382813</v>
      </c>
      <c r="G38" s="1544" cm="1">
        <f t="array" ref="G38">_xlfn.IFS(F38="Undetermined", 0, qPCR_2nd_Run!P247&lt;=1, 0, qPCR_2nd_Run!P247&gt;1, qPCR_2nd_Run!P247)</f>
        <v>991.26666259765625</v>
      </c>
      <c r="H38" s="737">
        <f>qPCR_2nd_Run!R247</f>
        <v>29.94560432434082</v>
      </c>
      <c r="I38" s="1544" cm="1">
        <f t="array" ref="I38">_xlfn.IFS(H38="Undetermined", 0, qPCR_2nd_Run!S247&lt;=1, 0, qPCR_2nd_Run!S247&gt;1, qPCR_2nd_Run!S247)</f>
        <v>165.78375244140625</v>
      </c>
      <c r="J38" s="1543" cm="1">
        <f t="array" ref="J38">_xlfn.IFS(AND(F38="Undetermined", H38="Undetermined"), "Undetermined", AND(G38=0, I38=0), "Undetermined", AND(G38=0, I38&gt;0), "Ten-Fold", AND(G38&gt;0, I38=0), "Undiluted", AND(F38&lt;&gt;"Undetermined", H38&lt;&gt;"Undetermined", G38&gt;0, I38&gt;0, F38&lt;&gt;H38), 100*(-1+10^(-1/(F38-H38))), AND(F38&lt;&gt;"Undetermined", H38&lt;&gt;"Undetermined", F38=H38&gt;0), -100)</f>
        <v>124.920827387005</v>
      </c>
      <c r="K38" s="1544" cm="1">
        <f t="array" ref="K38">_xlfn.IFS(J38="Undetermined", 0, J38="Undiluted", G38*E38/D38*1000, J38="Ten-Fold", I38*E38/D38*1000*10, J38&lt;0, I38*E38/D38*1000*10, J38&lt;120, G38*E38/D38*1000, J38&gt;120, I38*E38/D38*1000*10)</f>
        <v>178262.09939936158</v>
      </c>
      <c r="L38" s="1544" t="str">
        <f t="shared" ref="L38:L48" si="2">IF(C38&lt;&gt;C39,"DELETE",AVERAGE(K38:K39))</f>
        <v>DELETE</v>
      </c>
      <c r="M38" s="1545" t="str" cm="1">
        <f t="array" ref="M38">_xlfn.IFS(L38="DELETE", "DELETE", L38=0, 0, L38&gt;0,LOG10(L38))</f>
        <v>DELETE</v>
      </c>
    </row>
    <row r="39" spans="1:13" x14ac:dyDescent="0.3">
      <c r="A39" s="1541" t="str">
        <f>LEFT(qPCR_2nd_Run!A248, (FIND("-", qPCR_2nd_Run!A248, 1)-1))&amp;MID(qPCR_2nd_Run!A248, (FIND("-", qPCR_2nd_Run!A248, 1)+1), 1)</f>
        <v>RG6</v>
      </c>
      <c r="B39" s="736" t="str" cm="1">
        <f t="array" ref="B39">_xlfn.IFS(LEFT(A39, LEN(A39)-1)="EP", "EP", LEFT(A39, LEN(A39)-1)="STa", "SPI", LEFT(A39, LEN(A39)-1)="STb", "SPO", LEFT(A39, LEN(A39)-1)="MRT", "MRT", LEFT(A39, LEN(A39)-1)="RG", "RN", LEFT(A39, LEN(A39)-1)="RT", "RU", LEFT(A39, LEN(A39)-1)="RW", "RL", LEFT(A39, LEN(A39)-1)="RC", "RS")</f>
        <v>RN</v>
      </c>
      <c r="C39" s="1542">
        <f>DATE(2021, LEFT(MID(qPCR_2nd_Run!A248, (FIND(" ", qPCR_2nd_Run!A248, 1)+1), 5), 2), RIGHT(MID(qPCR_2nd_Run!A248, (FIND(" ", qPCR_2nd_Run!A248, 1)+1), 5), 2))</f>
        <v>44356</v>
      </c>
      <c r="D39" s="1543">
        <f>qPCR_2nd_Run!C248</f>
        <v>1000</v>
      </c>
      <c r="E39" s="1543">
        <f>qPCR_2nd_Run!F248</f>
        <v>100</v>
      </c>
      <c r="F39" s="737">
        <f>qPCR_2nd_Run!O248</f>
        <v>27.434171676635742</v>
      </c>
      <c r="G39" s="1544" cm="1">
        <f t="array" ref="G39">_xlfn.IFS(F39="Undetermined", 0, qPCR_2nd_Run!P248&lt;=1, 0, qPCR_2nd_Run!P248&gt;1, qPCR_2nd_Run!P248)</f>
        <v>805.70489501953125</v>
      </c>
      <c r="H39" s="737">
        <f>qPCR_2nd_Run!R248</f>
        <v>30.814022064208984</v>
      </c>
      <c r="I39" s="1544" cm="1">
        <f t="array" ref="I39">_xlfn.IFS(H39="Undetermined", 0, qPCR_2nd_Run!S248&lt;=1, 0, qPCR_2nd_Run!S248&gt;1, qPCR_2nd_Run!S248)</f>
        <v>95.965171813964844</v>
      </c>
      <c r="J39" s="1543" cm="1">
        <f t="array" ref="J39">_xlfn.IFS(AND(F39="Undetermined", H39="Undetermined"), "Undetermined", AND(G39=0, I39=0), "Undetermined", AND(G39=0, I39&gt;0), "Ten-Fold", AND(G39&gt;0, I39=0), "Undiluted", AND(F39&lt;&gt;"Undetermined", H39&lt;&gt;"Undetermined", G39&gt;0, I39&gt;0, F39&lt;&gt;H39), 100*(-1+10^(-1/(F39-H39))), AND(F39&lt;&gt;"Undetermined", H39&lt;&gt;"Undetermined", F39=H39&gt;0), -100)</f>
        <v>97.638288620466312</v>
      </c>
      <c r="K39" s="1544" cm="1">
        <f t="array" ref="K39">_xlfn.IFS(J39="Undetermined", 0, J39="Undiluted", G39*E39/D39*1000, J39="Ten-Fold", I39*E39/D39*1000*10, J39&lt;0, I39*E39/D39*1000*10, J39&lt;120, G39*E39/D39*1000, J39&gt;120, I39*E39/D39*1000*10)</f>
        <v>80570.489501953125</v>
      </c>
      <c r="L39" s="1544">
        <f t="shared" si="2"/>
        <v>105482.60674727589</v>
      </c>
      <c r="M39" s="1545" cm="1">
        <f t="array" ref="M39">_xlfn.IFS(L39="DELETE", "DELETE", L39=0, 0, L39&gt;0,LOG10(L39))</f>
        <v>5.0231808537908034</v>
      </c>
    </row>
    <row r="40" spans="1:13" x14ac:dyDescent="0.3">
      <c r="A40" s="1541" t="str">
        <f>LEFT(qPCR_2nd_Run!A249, (FIND("-", qPCR_2nd_Run!A249, 1)-1))&amp;MID(qPCR_2nd_Run!A249, (FIND("-", qPCR_2nd_Run!A249, 1)+1), 1)</f>
        <v>RG7</v>
      </c>
      <c r="B40" s="736" t="str" cm="1">
        <f t="array" ref="B40">_xlfn.IFS(LEFT(A40, LEN(A40)-1)="EP", "EP", LEFT(A40, LEN(A40)-1)="STa", "SPI", LEFT(A40, LEN(A40)-1)="STb", "SPO", LEFT(A40, LEN(A40)-1)="MRT", "MRT", LEFT(A40, LEN(A40)-1)="RG", "RN", LEFT(A40, LEN(A40)-1)="RT", "RU", LEFT(A40, LEN(A40)-1)="RW", "RL", LEFT(A40, LEN(A40)-1)="RC", "RS")</f>
        <v>RN</v>
      </c>
      <c r="C40" s="1542">
        <f>DATE(2021, LEFT(MID(qPCR_2nd_Run!A249, (FIND(" ", qPCR_2nd_Run!A249, 1)+1), 5), 2), RIGHT(MID(qPCR_2nd_Run!A249, (FIND(" ", qPCR_2nd_Run!A249, 1)+1), 5), 2))</f>
        <v>44356</v>
      </c>
      <c r="D40" s="1543">
        <f>qPCR_2nd_Run!C249</f>
        <v>950</v>
      </c>
      <c r="E40" s="1543">
        <f>qPCR_2nd_Run!F249</f>
        <v>100</v>
      </c>
      <c r="F40" s="737">
        <f>qPCR_2nd_Run!O249</f>
        <v>26.750904083251953</v>
      </c>
      <c r="G40" s="1544" cm="1">
        <f t="array" ref="G40">_xlfn.IFS(F40="Undetermined", 0, qPCR_2nd_Run!P249&lt;=1, 0, qPCR_2nd_Run!P249&gt;1, qPCR_2nd_Run!P249)</f>
        <v>1238.7498779296875</v>
      </c>
      <c r="H40" s="737">
        <f>qPCR_2nd_Run!R249</f>
        <v>29.829486846923828</v>
      </c>
      <c r="I40" s="1544" cm="1">
        <f t="array" ref="I40">_xlfn.IFS(H40="Undetermined", 0, qPCR_2nd_Run!S249&lt;=1, 0, qPCR_2nd_Run!S249&gt;1, qPCR_2nd_Run!S249)</f>
        <v>178.35646057128906</v>
      </c>
      <c r="J40" s="1543" cm="1">
        <f t="array" ref="J40">_xlfn.IFS(AND(F40="Undetermined", H40="Undetermined"), "Undetermined", AND(G40=0, I40=0), "Undetermined", AND(G40=0, I40&gt;0), "Ten-Fold", AND(G40&gt;0, I40=0), "Undiluted", AND(F40&lt;&gt;"Undetermined", H40&lt;&gt;"Undetermined", G40&gt;0, I40&gt;0, F40&lt;&gt;H40), 100*(-1+10^(-1/(F40-H40))), AND(F40&lt;&gt;"Undetermined", H40&lt;&gt;"Undetermined", F40=H40&gt;0), -100)</f>
        <v>111.26365548471964</v>
      </c>
      <c r="K40" s="1544" cm="1">
        <f t="array" ref="K40">_xlfn.IFS(J40="Undetermined", 0, J40="Undiluted", G40*E40/D40*1000, J40="Ten-Fold", I40*E40/D40*1000*10, J40&lt;0, I40*E40/D40*1000*10, J40&lt;120, G40*E40/D40*1000, J40&gt;120, I40*E40/D40*1000*10)</f>
        <v>130394.72399259867</v>
      </c>
      <c r="L40" s="1544" t="str">
        <f t="shared" si="2"/>
        <v>DELETE</v>
      </c>
      <c r="M40" s="1545" t="str" cm="1">
        <f t="array" ref="M40">_xlfn.IFS(L40="DELETE", "DELETE", L40=0, 0, L40&gt;0,LOG10(L40))</f>
        <v>DELETE</v>
      </c>
    </row>
    <row r="41" spans="1:13" x14ac:dyDescent="0.3">
      <c r="A41" s="1541" t="str">
        <f>LEFT(qPCR_2nd_Run!A250, (FIND("-", qPCR_2nd_Run!A250, 1)-1))&amp;MID(qPCR_2nd_Run!A250, (FIND("-", qPCR_2nd_Run!A250, 1)+1), 1)</f>
        <v>RC6</v>
      </c>
      <c r="B41" s="736" t="str" cm="1">
        <f t="array" ref="B41">_xlfn.IFS(LEFT(A41, LEN(A41)-1)="EP", "EP", LEFT(A41, LEN(A41)-1)="STa", "SPI", LEFT(A41, LEN(A41)-1)="STb", "SPO", LEFT(A41, LEN(A41)-1)="MRT", "MRT", LEFT(A41, LEN(A41)-1)="RG", "RN", LEFT(A41, LEN(A41)-1)="RT", "RU", LEFT(A41, LEN(A41)-1)="RW", "RL", LEFT(A41, LEN(A41)-1)="RC", "RS")</f>
        <v>RS</v>
      </c>
      <c r="C41" s="1542">
        <f>DATE(2021, LEFT(MID(qPCR_2nd_Run!A250, (FIND(" ", qPCR_2nd_Run!A250, 1)+1), 5), 2), RIGHT(MID(qPCR_2nd_Run!A250, (FIND(" ", qPCR_2nd_Run!A250, 1)+1), 5), 2))</f>
        <v>44370</v>
      </c>
      <c r="D41" s="1543">
        <f>qPCR_2nd_Run!C250</f>
        <v>1000</v>
      </c>
      <c r="E41" s="1543">
        <f>qPCR_2nd_Run!F250</f>
        <v>100</v>
      </c>
      <c r="F41" s="737">
        <f>qPCR_2nd_Run!O250</f>
        <v>26.49943733215332</v>
      </c>
      <c r="G41" s="1544" cm="1">
        <f t="array" ref="G41">_xlfn.IFS(F41="Undetermined", 0, qPCR_2nd_Run!P250&lt;=1, 0, qPCR_2nd_Run!P250&gt;1, qPCR_2nd_Run!P250)</f>
        <v>1451.2274169921875</v>
      </c>
      <c r="H41" s="737">
        <f>qPCR_2nd_Run!R250</f>
        <v>29.588790893554688</v>
      </c>
      <c r="I41" s="1544" cm="1">
        <f t="array" ref="I41">_xlfn.IFS(H41="Undetermined", 0, qPCR_2nd_Run!S250&lt;=1, 0, qPCR_2nd_Run!S250&gt;1, qPCR_2nd_Run!S250)</f>
        <v>207.53718566894531</v>
      </c>
      <c r="J41" s="1543" cm="1">
        <f t="array" ref="J41">_xlfn.IFS(AND(F41="Undetermined", H41="Undetermined"), "Undetermined", AND(G41=0, I41=0), "Undetermined", AND(G41=0, I41&gt;0), "Ten-Fold", AND(G41&gt;0, I41=0), "Undiluted", AND(F41&lt;&gt;"Undetermined", H41&lt;&gt;"Undetermined", G41&gt;0, I41&gt;0, F41&lt;&gt;H41), 100*(-1+10^(-1/(F41-H41))), AND(F41&lt;&gt;"Undetermined", H41&lt;&gt;"Undetermined", F41=H41&gt;0), -100)</f>
        <v>110.71347676816301</v>
      </c>
      <c r="K41" s="1544" cm="1">
        <f t="array" ref="K41">_xlfn.IFS(J41="Undetermined", 0, J41="Undiluted", G41*E41/D41*1000, J41="Ten-Fold", I41*E41/D41*1000*10, J41&lt;0, I41*E41/D41*1000*10, J41&lt;120, G41*E41/D41*1000, J41&gt;120, I41*E41/D41*1000*10)</f>
        <v>145122.74169921875</v>
      </c>
      <c r="L41" s="1544">
        <f t="shared" si="2"/>
        <v>94726.179504394531</v>
      </c>
      <c r="M41" s="1545" cm="1">
        <f t="array" ref="M41">_xlfn.IFS(L41="DELETE", "DELETE", L41=0, 0, L41&gt;0,LOG10(L41))</f>
        <v>4.9764700216964179</v>
      </c>
    </row>
    <row r="42" spans="1:13" x14ac:dyDescent="0.3">
      <c r="A42" s="1541" t="str">
        <f>LEFT(qPCR_2nd_Run!A251, (FIND("-", qPCR_2nd_Run!A251, 1)-1))&amp;MID(qPCR_2nd_Run!A251, (FIND("-", qPCR_2nd_Run!A251, 1)+1), 1)</f>
        <v>RC7</v>
      </c>
      <c r="B42" s="736" t="str" cm="1">
        <f t="array" ref="B42">_xlfn.IFS(LEFT(A42, LEN(A42)-1)="EP", "EP", LEFT(A42, LEN(A42)-1)="STa", "SPI", LEFT(A42, LEN(A42)-1)="STb", "SPO", LEFT(A42, LEN(A42)-1)="MRT", "MRT", LEFT(A42, LEN(A42)-1)="RG", "RN", LEFT(A42, LEN(A42)-1)="RT", "RU", LEFT(A42, LEN(A42)-1)="RW", "RL", LEFT(A42, LEN(A42)-1)="RC", "RS")</f>
        <v>RS</v>
      </c>
      <c r="C42" s="1542">
        <f>DATE(2021, LEFT(MID(qPCR_2nd_Run!A251, (FIND(" ", qPCR_2nd_Run!A251, 1)+1), 5), 2), RIGHT(MID(qPCR_2nd_Run!A251, (FIND(" ", qPCR_2nd_Run!A251, 1)+1), 5), 2))</f>
        <v>44370</v>
      </c>
      <c r="D42" s="1543">
        <f>qPCR_2nd_Run!C251</f>
        <v>1000</v>
      </c>
      <c r="E42" s="1543">
        <f>qPCR_2nd_Run!F251</f>
        <v>100</v>
      </c>
      <c r="F42" s="737">
        <f>qPCR_2nd_Run!O251</f>
        <v>28.38325309753418</v>
      </c>
      <c r="G42" s="1544" cm="1">
        <f t="array" ref="G42">_xlfn.IFS(F42="Undetermined", 0, qPCR_2nd_Run!P251&lt;=1, 0, qPCR_2nd_Run!P251&gt;1, qPCR_2nd_Run!P251)</f>
        <v>443.29617309570313</v>
      </c>
      <c r="H42" s="737">
        <f>qPCR_2nd_Run!R251</f>
        <v>31.949821472167969</v>
      </c>
      <c r="I42" s="1544" cm="1">
        <f t="array" ref="I42">_xlfn.IFS(H42="Undetermined", 0, qPCR_2nd_Run!S251&lt;=1, 0, qPCR_2nd_Run!S251&gt;1, qPCR_2nd_Run!S251)</f>
        <v>46.944240570068359</v>
      </c>
      <c r="J42" s="1543" cm="1">
        <f t="array" ref="J42">_xlfn.IFS(AND(F42="Undetermined", H42="Undetermined"), "Undetermined", AND(G42=0, I42=0), "Undetermined", AND(G42=0, I42&gt;0), "Ten-Fold", AND(G42&gt;0, I42=0), "Undiluted", AND(F42&lt;&gt;"Undetermined", H42&lt;&gt;"Undetermined", G42&gt;0, I42&gt;0, F42&lt;&gt;H42), 100*(-1+10^(-1/(F42-H42))), AND(F42&lt;&gt;"Undetermined", H42&lt;&gt;"Undetermined", F42=H42&gt;0), -100)</f>
        <v>90.71355367111822</v>
      </c>
      <c r="K42" s="1544" cm="1">
        <f t="array" ref="K42">_xlfn.IFS(J42="Undetermined", 0, J42="Undiluted", G42*E42/D42*1000, J42="Ten-Fold", I42*E42/D42*1000*10, J42&lt;0, I42*E42/D42*1000*10, J42&lt;120, G42*E42/D42*1000, J42&gt;120, I42*E42/D42*1000*10)</f>
        <v>44329.617309570313</v>
      </c>
      <c r="L42" s="1544" t="str">
        <f t="shared" si="2"/>
        <v>DELETE</v>
      </c>
      <c r="M42" s="1545" t="str" cm="1">
        <f t="array" ref="M42">_xlfn.IFS(L42="DELETE", "DELETE", L42=0, 0, L42&gt;0,LOG10(L42))</f>
        <v>DELETE</v>
      </c>
    </row>
    <row r="43" spans="1:13" x14ac:dyDescent="0.3">
      <c r="A43" s="1541" t="str">
        <f>LEFT(qPCR_2nd_Run!A252, (FIND("-", qPCR_2nd_Run!A252, 1)-1))&amp;MID(qPCR_2nd_Run!A252, (FIND("-", qPCR_2nd_Run!A252, 1)+1), 1)</f>
        <v>EP6</v>
      </c>
      <c r="B43" s="736" t="str" cm="1">
        <f t="array" ref="B43">_xlfn.IFS(LEFT(A43, LEN(A43)-1)="EP", "EP", LEFT(A43, LEN(A43)-1)="STa", "SPI", LEFT(A43, LEN(A43)-1)="STb", "SPO", LEFT(A43, LEN(A43)-1)="MRT", "MRT", LEFT(A43, LEN(A43)-1)="RG", "RN", LEFT(A43, LEN(A43)-1)="RT", "RU", LEFT(A43, LEN(A43)-1)="RW", "RL", LEFT(A43, LEN(A43)-1)="RC", "RS")</f>
        <v>EP</v>
      </c>
      <c r="C43" s="1542">
        <f>DATE(2021, LEFT(MID(qPCR_2nd_Run!A252, (FIND(" ", qPCR_2nd_Run!A252, 1)+1), 5), 2), RIGHT(MID(qPCR_2nd_Run!A252, (FIND(" ", qPCR_2nd_Run!A252, 1)+1), 5), 2))</f>
        <v>44385</v>
      </c>
      <c r="D43" s="1543">
        <f>qPCR_2nd_Run!C252</f>
        <v>960</v>
      </c>
      <c r="E43" s="1543">
        <f>qPCR_2nd_Run!F252</f>
        <v>100</v>
      </c>
      <c r="F43" s="737">
        <f>qPCR_2nd_Run!O252</f>
        <v>32.011402130126953</v>
      </c>
      <c r="G43" s="1544" cm="1">
        <f t="array" ref="G43">_xlfn.IFS(F43="Undetermined", 0, qPCR_2nd_Run!P252&lt;=1, 0, qPCR_2nd_Run!P252&gt;1, qPCR_2nd_Run!P252)</f>
        <v>45.159172058105469</v>
      </c>
      <c r="H43" s="737">
        <f>qPCR_2nd_Run!R252</f>
        <v>36.73406982421875</v>
      </c>
      <c r="I43" s="1544" cm="1">
        <f t="array" ref="I43">_xlfn.IFS(H43="Undetermined", 0, qPCR_2nd_Run!S252&lt;=1, 0, qPCR_2nd_Run!S252&gt;1, qPCR_2nd_Run!S252)</f>
        <v>2.3096857070922852</v>
      </c>
      <c r="J43" s="1543" cm="1">
        <f t="array" ref="J43">_xlfn.IFS(AND(F43="Undetermined", H43="Undetermined"), "Undetermined", AND(G43=0, I43=0), "Undetermined", AND(G43=0, I43&gt;0), "Ten-Fold", AND(G43&gt;0, I43=0), "Undiluted", AND(F43&lt;&gt;"Undetermined", H43&lt;&gt;"Undetermined", G43&gt;0, I43&gt;0, F43&lt;&gt;H43), 100*(-1+10^(-1/(F43-H43))), AND(F43&lt;&gt;"Undetermined", H43&lt;&gt;"Undetermined", F43=H43&gt;0), -100)</f>
        <v>62.833864831341856</v>
      </c>
      <c r="K43" s="1544" cm="1">
        <f t="array" ref="K43">_xlfn.IFS(J43="Undetermined", 0, J43="Undiluted", G43*E43/D43*1000, J43="Ten-Fold", I43*E43/D43*1000*10, J43&lt;0, I43*E43/D43*1000*10, J43&lt;120, G43*E43/D43*1000, J43&gt;120, I43*E43/D43*1000*10)</f>
        <v>4704.0804227193194</v>
      </c>
      <c r="L43" s="1544">
        <f t="shared" si="2"/>
        <v>3666.2477465759221</v>
      </c>
      <c r="M43" s="1545" cm="1">
        <f t="array" ref="M43">_xlfn.IFS(L43="DELETE", "DELETE", L43=0, 0, L43&gt;0,LOG10(L43))</f>
        <v>3.5642218090537452</v>
      </c>
    </row>
    <row r="44" spans="1:13" x14ac:dyDescent="0.3">
      <c r="A44" s="1541" t="str">
        <f>LEFT(qPCR_2nd_Run!A253, (FIND("-", qPCR_2nd_Run!A253, 1)-1))&amp;MID(qPCR_2nd_Run!A253, (FIND("-", qPCR_2nd_Run!A253, 1)+1), 1)</f>
        <v>EP7</v>
      </c>
      <c r="B44" s="736" t="str" cm="1">
        <f t="array" ref="B44">_xlfn.IFS(LEFT(A44, LEN(A44)-1)="EP", "EP", LEFT(A44, LEN(A44)-1)="STa", "SPI", LEFT(A44, LEN(A44)-1)="STb", "SPO", LEFT(A44, LEN(A44)-1)="MRT", "MRT", LEFT(A44, LEN(A44)-1)="RG", "RN", LEFT(A44, LEN(A44)-1)="RT", "RU", LEFT(A44, LEN(A44)-1)="RW", "RL", LEFT(A44, LEN(A44)-1)="RC", "RS")</f>
        <v>EP</v>
      </c>
      <c r="C44" s="1542">
        <f>DATE(2021, LEFT(MID(qPCR_2nd_Run!A253, (FIND(" ", qPCR_2nd_Run!A253, 1)+1), 5), 2), RIGHT(MID(qPCR_2nd_Run!A253, (FIND(" ", qPCR_2nd_Run!A253, 1)+1), 5), 2))</f>
        <v>44385</v>
      </c>
      <c r="D44" s="1543">
        <f>qPCR_2nd_Run!C253</f>
        <v>895</v>
      </c>
      <c r="E44" s="1543">
        <f>qPCR_2nd_Run!F253</f>
        <v>100</v>
      </c>
      <c r="F44" s="737">
        <f>qPCR_2nd_Run!O253</f>
        <v>33.047340393066406</v>
      </c>
      <c r="G44" s="1544" cm="1">
        <f t="array" ref="G44">_xlfn.IFS(F44="Undetermined", 0, qPCR_2nd_Run!P253&lt;=1, 0, qPCR_2nd_Run!P253&gt;1, qPCR_2nd_Run!P253)</f>
        <v>23.524314880371094</v>
      </c>
      <c r="H44" s="737">
        <f>qPCR_2nd_Run!R253</f>
        <v>36.683425903320313</v>
      </c>
      <c r="I44" s="1544" cm="1">
        <f t="array" ref="I44">_xlfn.IFS(H44="Undetermined", 0, qPCR_2nd_Run!S253&lt;=1, 0, qPCR_2nd_Run!S253&gt;1, qPCR_2nd_Run!S253)</f>
        <v>2.384509801864624</v>
      </c>
      <c r="J44" s="1543" cm="1">
        <f t="array" ref="J44">_xlfn.IFS(AND(F44="Undetermined", H44="Undetermined"), "Undetermined", AND(G44=0, I44=0), "Undetermined", AND(G44=0, I44&gt;0), "Ten-Fold", AND(G44&gt;0, I44=0), "Undiluted", AND(F44&lt;&gt;"Undetermined", H44&lt;&gt;"Undetermined", G44&gt;0, I44&gt;0, F44&lt;&gt;H44), 100*(-1+10^(-1/(F44-H44))), AND(F44&lt;&gt;"Undetermined", H44&lt;&gt;"Undetermined", F44=H44&gt;0), -100)</f>
        <v>88.374032556052057</v>
      </c>
      <c r="K44" s="1544" cm="1">
        <f t="array" ref="K44">_xlfn.IFS(J44="Undetermined", 0, J44="Undiluted", G44*E44/D44*1000, J44="Ten-Fold", I44*E44/D44*1000*10, J44&lt;0, I44*E44/D44*1000*10, J44&lt;120, G44*E44/D44*1000, J44&gt;120, I44*E44/D44*1000*10)</f>
        <v>2628.4150704325248</v>
      </c>
      <c r="L44" s="1544" t="str">
        <f t="shared" si="2"/>
        <v>DELETE</v>
      </c>
      <c r="M44" s="1545" t="str" cm="1">
        <f t="array" ref="M44">_xlfn.IFS(L44="DELETE", "DELETE", L44=0, 0, L44&gt;0,LOG10(L44))</f>
        <v>DELETE</v>
      </c>
    </row>
    <row r="45" spans="1:13" x14ac:dyDescent="0.3">
      <c r="A45" s="1541" t="str">
        <f>LEFT(qPCR_2nd_Run!A254, (FIND("-", qPCR_2nd_Run!A254, 1)-1))&amp;MID(qPCR_2nd_Run!A254, (FIND("-", qPCR_2nd_Run!A254, 1)+1), 1)</f>
        <v>MRT6</v>
      </c>
      <c r="B45" s="736" t="str" cm="1">
        <f t="array" ref="B45">_xlfn.IFS(LEFT(A45, LEN(A45)-1)="EP", "EP", LEFT(A45, LEN(A45)-1)="STa", "SPI", LEFT(A45, LEN(A45)-1)="STb", "SPO", LEFT(A45, LEN(A45)-1)="MRT", "MRT", LEFT(A45, LEN(A45)-1)="RG", "RN", LEFT(A45, LEN(A45)-1)="RT", "RU", LEFT(A45, LEN(A45)-1)="RW", "RL", LEFT(A45, LEN(A45)-1)="RC", "RS")</f>
        <v>MRT</v>
      </c>
      <c r="C45" s="1542">
        <f>DATE(2021, LEFT(MID(qPCR_2nd_Run!A254, (FIND(" ", qPCR_2nd_Run!A254, 1)+1), 5), 2), RIGHT(MID(qPCR_2nd_Run!A254, (FIND(" ", qPCR_2nd_Run!A254, 1)+1), 5), 2))</f>
        <v>44419</v>
      </c>
      <c r="D45" s="1543">
        <f>qPCR_2nd_Run!C254</f>
        <v>970</v>
      </c>
      <c r="E45" s="1543">
        <f>qPCR_2nd_Run!F254</f>
        <v>100</v>
      </c>
      <c r="F45" s="737">
        <f>qPCR_2nd_Run!O254</f>
        <v>32.752464294433594</v>
      </c>
      <c r="G45" s="1544" cm="1">
        <f t="array" ref="G45">_xlfn.IFS(F45="Undetermined", 0, qPCR_2nd_Run!P254&lt;=1, 0, qPCR_2nd_Run!P254&gt;1, qPCR_2nd_Run!P254)</f>
        <v>28.322858810424805</v>
      </c>
      <c r="H45" s="737">
        <f>qPCR_2nd_Run!R254</f>
        <v>33.461017608642578</v>
      </c>
      <c r="I45" s="1544" cm="1">
        <f t="array" ref="I45">_xlfn.IFS(H45="Undetermined", 0, qPCR_2nd_Run!S254&lt;=1, 0, qPCR_2nd_Run!S254&gt;1, qPCR_2nd_Run!S254)</f>
        <v>18.130769729614258</v>
      </c>
      <c r="J45" s="1543" cm="1">
        <f t="array" ref="J45">_xlfn.IFS(AND(F45="Undetermined", H45="Undetermined"), "Undetermined", AND(G45=0, I45=0), "Undetermined", AND(G45=0, I45&gt;0), "Ten-Fold", AND(G45&gt;0, I45=0), "Undiluted", AND(F45&lt;&gt;"Undetermined", H45&lt;&gt;"Undetermined", G45&gt;0, I45&gt;0, F45&lt;&gt;H45), 100*(-1+10^(-1/(F45-H45))), AND(F45&lt;&gt;"Undetermined", H45&lt;&gt;"Undetermined", F45=H45&gt;0), -100)</f>
        <v>2478.2581699476846</v>
      </c>
      <c r="K45" s="1544" cm="1">
        <f t="array" ref="K45">_xlfn.IFS(J45="Undetermined", 0, J45="Undiluted", G45*E45/D45*1000, J45="Ten-Fold", I45*E45/D45*1000*10, J45&lt;0, I45*E45/D45*1000*10, J45&lt;120, G45*E45/D45*1000, J45&gt;120, I45*E45/D45*1000*10)</f>
        <v>18691.515185169341</v>
      </c>
      <c r="L45" s="1544">
        <f t="shared" si="2"/>
        <v>10227.389072907614</v>
      </c>
      <c r="M45" s="1545" cm="1">
        <f t="array" ref="M45">_xlfn.IFS(L45="DELETE", "DELETE", L45=0, 0, L45&gt;0,LOG10(L45))</f>
        <v>4.0097647778027392</v>
      </c>
    </row>
    <row r="46" spans="1:13" x14ac:dyDescent="0.3">
      <c r="A46" s="1541" t="str">
        <f>LEFT(qPCR_2nd_Run!A255, (FIND("-", qPCR_2nd_Run!A255, 1)-1))&amp;MID(qPCR_2nd_Run!A255, (FIND("-", qPCR_2nd_Run!A255, 1)+1), 1)</f>
        <v>MRT7</v>
      </c>
      <c r="B46" s="736" t="str" cm="1">
        <f t="array" ref="B46">_xlfn.IFS(LEFT(A46, LEN(A46)-1)="EP", "EP", LEFT(A46, LEN(A46)-1)="STa", "SPI", LEFT(A46, LEN(A46)-1)="STb", "SPO", LEFT(A46, LEN(A46)-1)="MRT", "MRT", LEFT(A46, LEN(A46)-1)="RG", "RN", LEFT(A46, LEN(A46)-1)="RT", "RU", LEFT(A46, LEN(A46)-1)="RW", "RL", LEFT(A46, LEN(A46)-1)="RC", "RS")</f>
        <v>MRT</v>
      </c>
      <c r="C46" s="1542">
        <f>DATE(2021, LEFT(MID(qPCR_2nd_Run!A255, (FIND(" ", qPCR_2nd_Run!A255, 1)+1), 5), 2), RIGHT(MID(qPCR_2nd_Run!A255, (FIND(" ", qPCR_2nd_Run!A255, 1)+1), 5), 2))</f>
        <v>44419</v>
      </c>
      <c r="D46" s="1543">
        <f>qPCR_2nd_Run!C255</f>
        <v>900</v>
      </c>
      <c r="E46" s="1543">
        <f>qPCR_2nd_Run!F255</f>
        <v>100</v>
      </c>
      <c r="F46" s="737">
        <f>qPCR_2nd_Run!O255</f>
        <v>33.672634124755859</v>
      </c>
      <c r="G46" s="1544" cm="1">
        <f t="array" ref="G46">_xlfn.IFS(F46="Undetermined", 0, qPCR_2nd_Run!P255&lt;=1, 0, qPCR_2nd_Run!P255&gt;1, qPCR_2nd_Run!P255)</f>
        <v>15.869366645812988</v>
      </c>
      <c r="H46" s="737">
        <f>qPCR_2nd_Run!R255</f>
        <v>37.919742584228516</v>
      </c>
      <c r="I46" s="1544" cm="1">
        <f t="array" ref="I46">_xlfn.IFS(H46="Undetermined", 0, qPCR_2nd_Run!S255&lt;=1, 0, qPCR_2nd_Run!S255&gt;1, qPCR_2nd_Run!S255)</f>
        <v>1.0949290990829468</v>
      </c>
      <c r="J46" s="1543" cm="1">
        <f t="array" ref="J46">_xlfn.IFS(AND(F46="Undetermined", H46="Undetermined"), "Undetermined", AND(G46=0, I46=0), "Undetermined", AND(G46=0, I46&gt;0), "Ten-Fold", AND(G46&gt;0, I46=0), "Undiluted", AND(F46&lt;&gt;"Undetermined", H46&lt;&gt;"Undetermined", G46&gt;0, I46&gt;0, F46&lt;&gt;H46), 100*(-1+10^(-1/(F46-H46))), AND(F46&lt;&gt;"Undetermined", H46&lt;&gt;"Undetermined", F46=H46&gt;0), -100)</f>
        <v>71.970641744026025</v>
      </c>
      <c r="K46" s="1544" cm="1">
        <f t="array" ref="K46">_xlfn.IFS(J46="Undetermined", 0, J46="Undiluted", G46*E46/D46*1000, J46="Ten-Fold", I46*E46/D46*1000*10, J46&lt;0, I46*E46/D46*1000*10, J46&lt;120, G46*E46/D46*1000, J46&gt;120, I46*E46/D46*1000*10)</f>
        <v>1763.2629606458877</v>
      </c>
      <c r="L46" s="1544" t="str">
        <f t="shared" si="2"/>
        <v>DELETE</v>
      </c>
      <c r="M46" s="1545" t="str" cm="1">
        <f t="array" ref="M46">_xlfn.IFS(L46="DELETE", "DELETE", L46=0, 0, L46&gt;0,LOG10(L46))</f>
        <v>DELETE</v>
      </c>
    </row>
    <row r="47" spans="1:13" x14ac:dyDescent="0.3">
      <c r="A47" s="1541" t="str">
        <f>LEFT(qPCR_2nd_Run!A256, (FIND("-", qPCR_2nd_Run!A256, 1)-1))&amp;MID(qPCR_2nd_Run!A256, (FIND("-", qPCR_2nd_Run!A256, 1)+1), 1)</f>
        <v>RG6</v>
      </c>
      <c r="B47" s="736" t="str" cm="1">
        <f t="array" ref="B47">_xlfn.IFS(LEFT(A47, LEN(A47)-1)="EP", "EP", LEFT(A47, LEN(A47)-1)="STa", "SPI", LEFT(A47, LEN(A47)-1)="STb", "SPO", LEFT(A47, LEN(A47)-1)="MRT", "MRT", LEFT(A47, LEN(A47)-1)="RG", "RN", LEFT(A47, LEN(A47)-1)="RT", "RU", LEFT(A47, LEN(A47)-1)="RW", "RL", LEFT(A47, LEN(A47)-1)="RC", "RS")</f>
        <v>RN</v>
      </c>
      <c r="C47" s="1542">
        <f>DATE(2021, LEFT(MID(qPCR_2nd_Run!A256, (FIND(" ", qPCR_2nd_Run!A256, 1)+1), 5), 2), RIGHT(MID(qPCR_2nd_Run!A256, (FIND(" ", qPCR_2nd_Run!A256, 1)+1), 5), 2))</f>
        <v>44426</v>
      </c>
      <c r="D47" s="1543">
        <f>qPCR_2nd_Run!C256</f>
        <v>990</v>
      </c>
      <c r="E47" s="1543">
        <f>qPCR_2nd_Run!F256</f>
        <v>100</v>
      </c>
      <c r="F47" s="737">
        <f>qPCR_2nd_Run!O256</f>
        <v>29.244380950927734</v>
      </c>
      <c r="G47" s="1544" cm="1">
        <f t="array" ref="G47">_xlfn.IFS(F47="Undetermined", 0, qPCR_2nd_Run!P256&lt;=1, 0, qPCR_2nd_Run!P256&gt;1, qPCR_2nd_Run!P256)</f>
        <v>257.78567504882813</v>
      </c>
      <c r="H47" s="737">
        <f>qPCR_2nd_Run!R256</f>
        <v>32.731044769287109</v>
      </c>
      <c r="I47" s="1544" cm="1">
        <f t="array" ref="I47">_xlfn.IFS(H47="Undetermined", 0, qPCR_2nd_Run!S256&lt;=1, 0, qPCR_2nd_Run!S256&gt;1, qPCR_2nd_Run!S256)</f>
        <v>28.707361221313477</v>
      </c>
      <c r="J47" s="1543" cm="1">
        <f t="array" ref="J47">_xlfn.IFS(AND(F47="Undetermined", H47="Undetermined"), "Undetermined", AND(G47=0, I47=0), "Undetermined", AND(G47=0, I47&gt;0), "Ten-Fold", AND(G47&gt;0, I47=0), "Undiluted", AND(F47&lt;&gt;"Undetermined", H47&lt;&gt;"Undetermined", G47&gt;0, I47&gt;0, F47&lt;&gt;H47), 100*(-1+10^(-1/(F47-H47))), AND(F47&lt;&gt;"Undetermined", H47&lt;&gt;"Undetermined", F47=H47&gt;0), -100)</f>
        <v>93.556213569098773</v>
      </c>
      <c r="K47" s="1544" cm="1">
        <f t="array" ref="K47">_xlfn.IFS(J47="Undetermined", 0, J47="Undiluted", G47*E47/D47*1000, J47="Ten-Fold", I47*E47/D47*1000*10, J47&lt;0, I47*E47/D47*1000*10, J47&lt;120, G47*E47/D47*1000, J47&gt;120, I47*E47/D47*1000*10)</f>
        <v>26038.957075639202</v>
      </c>
      <c r="L47" s="1544">
        <f t="shared" si="2"/>
        <v>25945.589547205454</v>
      </c>
      <c r="M47" s="1545" cm="1">
        <f t="array" ref="M47">_xlfn.IFS(L47="DELETE", "DELETE", L47=0, 0, L47&gt;0,LOG10(L47))</f>
        <v>4.4140635433751063</v>
      </c>
    </row>
    <row r="48" spans="1:13" ht="16.350000000000001" thickBot="1" x14ac:dyDescent="0.35">
      <c r="A48" s="1546" t="str">
        <f>LEFT(qPCR_2nd_Run!A257, (FIND("-", qPCR_2nd_Run!A257, 1)-1))&amp;MID(qPCR_2nd_Run!A257, (FIND("-", qPCR_2nd_Run!A257, 1)+1), 1)</f>
        <v>RG7</v>
      </c>
      <c r="B48" s="741" t="str" cm="1">
        <f t="array" ref="B48">_xlfn.IFS(LEFT(A48, LEN(A48)-1)="EP", "EP", LEFT(A48, LEN(A48)-1)="STa", "SPI", LEFT(A48, LEN(A48)-1)="STb", "SPO", LEFT(A48, LEN(A48)-1)="MRT", "MRT", LEFT(A48, LEN(A48)-1)="RG", "RN", LEFT(A48, LEN(A48)-1)="RT", "RU", LEFT(A48, LEN(A48)-1)="RW", "RL", LEFT(A48, LEN(A48)-1)="RC", "RS")</f>
        <v>RN</v>
      </c>
      <c r="C48" s="1547">
        <f>DATE(2021, LEFT(MID(qPCR_2nd_Run!A257, (FIND(" ", qPCR_2nd_Run!A257, 1)+1), 5), 2), RIGHT(MID(qPCR_2nd_Run!A257, (FIND(" ", qPCR_2nd_Run!A257, 1)+1), 5), 2))</f>
        <v>44426</v>
      </c>
      <c r="D48" s="1548">
        <f>qPCR_2nd_Run!C257</f>
        <v>900</v>
      </c>
      <c r="E48" s="1548">
        <f>qPCR_2nd_Run!F257</f>
        <v>100</v>
      </c>
      <c r="F48" s="742">
        <f>qPCR_2nd_Run!O257</f>
        <v>29.407211303710938</v>
      </c>
      <c r="G48" s="1549" cm="1">
        <f t="array" ref="G48">_xlfn.IFS(F48="Undetermined", 0, qPCR_2nd_Run!P257&lt;=1, 0, qPCR_2nd_Run!P257&gt;1, qPCR_2nd_Run!P257)</f>
        <v>232.66999816894531</v>
      </c>
      <c r="H48" s="742">
        <f>qPCR_2nd_Run!R257</f>
        <v>35.290412902832031</v>
      </c>
      <c r="I48" s="1549" cm="1">
        <f t="array" ref="I48">_xlfn.IFS(H48="Undetermined", 0, qPCR_2nd_Run!S257&lt;=1, 0, qPCR_2nd_Run!S257&gt;1, qPCR_2nd_Run!S257)</f>
        <v>5.7313046455383301</v>
      </c>
      <c r="J48" s="1548" cm="1">
        <f t="array" ref="J48">_xlfn.IFS(AND(F48="Undetermined", H48="Undetermined"), "Undetermined", AND(G48=0, I48=0), "Undetermined", AND(G48=0, I48&gt;0), "Ten-Fold", AND(G48&gt;0, I48=0), "Undiluted", AND(F48&lt;&gt;"Undetermined", H48&lt;&gt;"Undetermined", G48&gt;0, I48&gt;0, F48&lt;&gt;H48), 100*(-1+10^(-1/(F48-H48))), AND(F48&lt;&gt;"Undetermined", H48&lt;&gt;"Undetermined", F48=H48&gt;0), -100)</f>
        <v>47.902487185787088</v>
      </c>
      <c r="K48" s="1549" cm="1">
        <f t="array" ref="K48">_xlfn.IFS(J48="Undetermined", 0, J48="Undiluted", G48*E48/D48*1000, J48="Ten-Fold", I48*E48/D48*1000*10, J48&lt;0, I48*E48/D48*1000*10, J48&lt;120, G48*E48/D48*1000, J48&gt;120, I48*E48/D48*1000*10)</f>
        <v>25852.222018771703</v>
      </c>
      <c r="L48" s="1549" t="str">
        <f t="shared" si="2"/>
        <v>DELETE</v>
      </c>
      <c r="M48" s="1550" t="str" cm="1">
        <f t="array" ref="M48">_xlfn.IFS(L48="DELETE", "DELETE", L48=0, 0, L48&gt;0,LOG10(L48))</f>
        <v>DELETE</v>
      </c>
    </row>
    <row r="49" ht="16.350000000000001" thickTop="1" x14ac:dyDescent="0.3"/>
  </sheetData>
  <sheetProtection algorithmName="SHA-512" hashValue="u0RngzhLeGlL0Y31T9db3yEocDVJ5++sKhrmGVebuwX1+qgnNzXnpNL6JY+ln5ge51vAPO88x17ywTR5KtaHGw==" saltValue="+ZMnb28X9WYZeoiDZ0lSVQ==" spinCount="100000" sheet="1" objects="1" scenarios="1"/>
  <mergeCells count="15">
    <mergeCell ref="A1:M1"/>
    <mergeCell ref="A15:M15"/>
    <mergeCell ref="F16:M16"/>
    <mergeCell ref="F17:G17"/>
    <mergeCell ref="H17:I17"/>
    <mergeCell ref="J17:M17"/>
    <mergeCell ref="F3:G3"/>
    <mergeCell ref="H3:I3"/>
    <mergeCell ref="J3:M3"/>
    <mergeCell ref="F2:M2"/>
    <mergeCell ref="A33:M33"/>
    <mergeCell ref="F34:M34"/>
    <mergeCell ref="F35:G35"/>
    <mergeCell ref="H35:I35"/>
    <mergeCell ref="J35:M35"/>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5C65E-05BF-4AA3-B73D-E5BFF9C2BBD4}">
  <dimension ref="A1:K9"/>
  <sheetViews>
    <sheetView tabSelected="1" workbookViewId="0">
      <selection activeCell="P7" sqref="P7"/>
    </sheetView>
  </sheetViews>
  <sheetFormatPr defaultRowHeight="15.75" x14ac:dyDescent="0.3"/>
  <cols>
    <col min="1" max="1" width="6.21875" style="1742" customWidth="1"/>
    <col min="2" max="2" width="14.44140625" style="1744" customWidth="1"/>
    <col min="3" max="3" width="9.5546875" style="1742" customWidth="1"/>
    <col min="4" max="4" width="9.44140625" style="1745" customWidth="1"/>
    <col min="5" max="5" width="13.21875" style="1742" customWidth="1"/>
    <col min="6" max="7" width="8.88671875" style="1742"/>
    <col min="8" max="8" width="6.33203125" style="1742" customWidth="1"/>
    <col min="9" max="9" width="14.5546875" style="1744" customWidth="1"/>
    <col min="10" max="10" width="8.109375" style="1746" customWidth="1"/>
    <col min="11" max="11" width="10.21875" style="1746" customWidth="1"/>
    <col min="12" max="16384" width="8.88671875" style="1742"/>
  </cols>
  <sheetData>
    <row r="1" spans="1:11" ht="18.8" thickTop="1" x14ac:dyDescent="0.3">
      <c r="A1" s="1747" t="s">
        <v>490</v>
      </c>
      <c r="B1" s="1748"/>
      <c r="C1" s="1748"/>
      <c r="D1" s="1748"/>
      <c r="E1" s="1749"/>
      <c r="H1" s="1767" t="s">
        <v>495</v>
      </c>
      <c r="I1" s="1768"/>
      <c r="J1" s="1768"/>
      <c r="K1" s="1769"/>
    </row>
    <row r="2" spans="1:11" ht="16.350000000000001" thickBot="1" x14ac:dyDescent="0.35">
      <c r="A2" s="1762" t="s">
        <v>149</v>
      </c>
      <c r="B2" s="1763" t="s">
        <v>175</v>
      </c>
      <c r="C2" s="1764" t="s">
        <v>491</v>
      </c>
      <c r="D2" s="1765" t="s">
        <v>492</v>
      </c>
      <c r="E2" s="1766" t="s">
        <v>493</v>
      </c>
      <c r="H2" s="1782" t="s">
        <v>149</v>
      </c>
      <c r="I2" s="1743" t="s">
        <v>175</v>
      </c>
      <c r="J2" s="1783" t="s">
        <v>491</v>
      </c>
      <c r="K2" s="1784" t="s">
        <v>492</v>
      </c>
    </row>
    <row r="3" spans="1:11" x14ac:dyDescent="0.3">
      <c r="A3" s="1758" t="str" cm="1">
        <f t="array" ref="A3">INDEX(qPCR_2nd_3rd_Managed!$B$19:$B$30,MATCH($B3,qPCR_2nd_3rd_Managed!$C$19:$C$30,0),0)</f>
        <v>RN</v>
      </c>
      <c r="B3" s="1759" cm="1">
        <f t="array" ref="B3">INDEX(qPCR_2nd_3rd_Managed!$C$19:$C$30,MATCH(0,COUNTIF($B$2:B2,qPCR_2nd_3rd_Managed!$C$19:$C$30),0))</f>
        <v>44335</v>
      </c>
      <c r="C3" s="1760" cm="1">
        <f t="array" ref="C3">INDEX(qPCR_Unique!$U$3:$U$118,MATCH(1,($B3=qPCR_Unique!$G$3:$G$118)*($A3=qPCR_Unique!$F$3:$F$118),0))</f>
        <v>7.0792634452056076</v>
      </c>
      <c r="D3" s="1760" cm="1">
        <f t="array" ref="D3">INDEX(qPCR_2nd_3rd_Managed!$M$19:$M$30,MATCH(1,($B3=qPCR_2nd_3rd_Managed!$C$19:$C$30)*($A3=qPCR_2nd_3rd_Managed!$B$19:$B$30),0))</f>
        <v>6.8848759247456846</v>
      </c>
      <c r="E3" s="1761" cm="1">
        <f t="array" ref="E3">INDEX(qPCR_2nd_3rd_Managed!$M$5:$M$12,MATCH(1,($B3=qPCR_2nd_3rd_Managed!$C$5:$C$12)*($A3=qPCR_2nd_3rd_Managed!$B$5:$B$12),0))</f>
        <v>6.8151018907546455</v>
      </c>
      <c r="H3" s="1778" t="str" cm="1">
        <f t="array" ref="H3">INDEX(qPCR_2nd_3rd_Managed!$B$37:$B$48,MATCH($I3,qPCR_2nd_3rd_Managed!$C$37:$C$48,0),0)</f>
        <v>RN</v>
      </c>
      <c r="I3" s="1779" cm="1">
        <f t="array" ref="I3">INDEX(qPCR_2nd_3rd_Managed!$C$37:$C$48,MATCH(0,COUNTIF($I$2:I2,qPCR_2nd_3rd_Managed!$C$37:$C$48),0))</f>
        <v>44335</v>
      </c>
      <c r="J3" s="1780" cm="1">
        <f t="array" ref="J3">INDEX(qPCR_Unique!$L$3:$L$118,MATCH(1,($I3=qPCR_Unique!$G$3:$G$118)*($H3=qPCR_Unique!$F$3:$F$118),0))</f>
        <v>4.8874086588122267</v>
      </c>
      <c r="K3" s="1781" cm="1">
        <f t="array" ref="K3">INDEX(qPCR_2nd_3rd_Managed!$M$37:$M$48,MATCH(1,($I3=qPCR_2nd_3rd_Managed!$C$37:$C$48)*($H3=qPCR_2nd_3rd_Managed!$B$37:$B$48),0))</f>
        <v>5.3079274266751062</v>
      </c>
    </row>
    <row r="4" spans="1:11" x14ac:dyDescent="0.3">
      <c r="A4" s="1750" t="str" cm="1">
        <f t="array" ref="A4">INDEX(qPCR_2nd_3rd_Managed!$B$19:$B$30,MATCH($B4,qPCR_2nd_3rd_Managed!$C$19:$C$30,0),0)</f>
        <v>RN</v>
      </c>
      <c r="B4" s="1751" cm="1">
        <f t="array" ref="B4">INDEX(qPCR_2nd_3rd_Managed!$C$19:$C$30,MATCH(0,COUNTIF($B$2:B3,qPCR_2nd_3rd_Managed!$C$19:$C$30),0))</f>
        <v>44356</v>
      </c>
      <c r="C4" s="1752" cm="1">
        <f t="array" ref="C4">INDEX(qPCR_Unique!$U$3:$U$118,MATCH(1,($B4=qPCR_Unique!$G$3:$G$118)*($A4=qPCR_Unique!$F$3:$F$118),0))</f>
        <v>6.5764821103594846</v>
      </c>
      <c r="D4" s="1752" cm="1">
        <f t="array" ref="D4">INDEX(qPCR_2nd_3rd_Managed!$M$19:$M$30,MATCH(1,($B4=qPCR_2nd_3rd_Managed!$C$19:$C$30)*($A4=qPCR_2nd_3rd_Managed!$B$19:$B$30),0))</f>
        <v>6.521394294551131</v>
      </c>
      <c r="E4" s="1753" cm="1">
        <f t="array" ref="E4">INDEX(qPCR_2nd_3rd_Managed!$M$5:$M$12,MATCH(1,($B4=qPCR_2nd_3rd_Managed!$C$5:$C$12)*($A4=qPCR_2nd_3rd_Managed!$B$5:$B$12),0))</f>
        <v>6.3069919857889589</v>
      </c>
      <c r="H4" s="1770" t="str" cm="1">
        <f t="array" ref="H4">INDEX(qPCR_2nd_3rd_Managed!$B$37:$B$48,MATCH($I4,qPCR_2nd_3rd_Managed!$C$37:$C$48,0),0)</f>
        <v>RN</v>
      </c>
      <c r="I4" s="1771" cm="1">
        <f t="array" ref="I4">INDEX(qPCR_2nd_3rd_Managed!$C$37:$C$48,MATCH(0,COUNTIF($I$2:I3,qPCR_2nd_3rd_Managed!$C$37:$C$48),0))</f>
        <v>44356</v>
      </c>
      <c r="J4" s="1772" cm="1">
        <f t="array" ref="J4">INDEX(qPCR_Unique!$L$3:$L$118,MATCH(1,($I4=qPCR_Unique!$G$3:$G$118)*($H4=qPCR_Unique!$F$3:$F$118),0))</f>
        <v>4.5905055775213919</v>
      </c>
      <c r="K4" s="1773" cm="1">
        <f t="array" ref="K4">INDEX(qPCR_2nd_3rd_Managed!$M$37:$M$48,MATCH(1,($I4=qPCR_2nd_3rd_Managed!$C$37:$C$48)*($H4=qPCR_2nd_3rd_Managed!$B$37:$B$48),0))</f>
        <v>5.0231808537908034</v>
      </c>
    </row>
    <row r="5" spans="1:11" x14ac:dyDescent="0.3">
      <c r="A5" s="1750" t="str" cm="1">
        <f t="array" ref="A5">INDEX(qPCR_2nd_3rd_Managed!$B$19:$B$30,MATCH($B5,qPCR_2nd_3rd_Managed!$C$19:$C$30,0),0)</f>
        <v>RS</v>
      </c>
      <c r="B5" s="1751" cm="1">
        <f t="array" ref="B5">INDEX(qPCR_2nd_3rd_Managed!$C$19:$C$30,MATCH(0,COUNTIF($B$2:B4,qPCR_2nd_3rd_Managed!$C$19:$C$30),0))</f>
        <v>44370</v>
      </c>
      <c r="C5" s="1752" cm="1">
        <f t="array" ref="C5">INDEX(qPCR_Unique!$U$3:$U$118,MATCH(1,($B5=qPCR_Unique!$G$3:$G$118)*($A5=qPCR_Unique!$F$3:$F$118),0))</f>
        <v>5.7885679715571321</v>
      </c>
      <c r="D5" s="1752" cm="1">
        <f t="array" ref="D5">INDEX(qPCR_2nd_3rd_Managed!$M$19:$M$30,MATCH(1,($B5=qPCR_2nd_3rd_Managed!$C$19:$C$30)*($A5=qPCR_2nd_3rd_Managed!$B$19:$B$30),0))</f>
        <v>5.4555229898336197</v>
      </c>
      <c r="E5" s="1753" cm="1">
        <f t="array" ref="E5">INDEX(qPCR_2nd_3rd_Managed!$M$5:$M$12,MATCH(1,($B5=qPCR_2nd_3rd_Managed!$C$5:$C$12)*($A5=qPCR_2nd_3rd_Managed!$B$5:$B$12),0))</f>
        <v>5.4050612226463368</v>
      </c>
      <c r="H5" s="1770" t="str" cm="1">
        <f t="array" ref="H5">INDEX(qPCR_2nd_3rd_Managed!$B$37:$B$48,MATCH($I5,qPCR_2nd_3rd_Managed!$C$37:$C$48,0),0)</f>
        <v>RS</v>
      </c>
      <c r="I5" s="1771" cm="1">
        <f t="array" ref="I5">INDEX(qPCR_2nd_3rd_Managed!$C$37:$C$48,MATCH(0,COUNTIF($I$2:I4,qPCR_2nd_3rd_Managed!$C$37:$C$48),0))</f>
        <v>44370</v>
      </c>
      <c r="J5" s="1772" cm="1">
        <f t="array" ref="J5">INDEX(qPCR_Unique!$L$3:$L$118,MATCH(1,($I5=qPCR_Unique!$G$3:$G$118)*($H5=qPCR_Unique!$F$3:$F$118),0))</f>
        <v>4.7339626541513349</v>
      </c>
      <c r="K5" s="1773" cm="1">
        <f t="array" ref="K5">INDEX(qPCR_2nd_3rd_Managed!$M$37:$M$48,MATCH(1,($I5=qPCR_2nd_3rd_Managed!$C$37:$C$48)*($H5=qPCR_2nd_3rd_Managed!$B$37:$B$48),0))</f>
        <v>4.9764700216964179</v>
      </c>
    </row>
    <row r="6" spans="1:11" x14ac:dyDescent="0.3">
      <c r="A6" s="1750" t="str" cm="1">
        <f t="array" ref="A6">INDEX(qPCR_2nd_3rd_Managed!$B$19:$B$30,MATCH($B6,qPCR_2nd_3rd_Managed!$C$19:$C$30,0),0)</f>
        <v>EP</v>
      </c>
      <c r="B6" s="1751" cm="1">
        <f t="array" ref="B6">INDEX(qPCR_2nd_3rd_Managed!$C$19:$C$30,MATCH(0,COUNTIF($B$2:B5,qPCR_2nd_3rd_Managed!$C$19:$C$30),0))</f>
        <v>44385</v>
      </c>
      <c r="C6" s="1752" cm="1">
        <f t="array" ref="C6">INDEX(qPCR_Unique!$U$3:$U$118,MATCH(1,($B6=qPCR_Unique!$G$3:$G$118)*($A6=qPCR_Unique!$F$3:$F$118),0))</f>
        <v>0</v>
      </c>
      <c r="D6" s="1752" cm="1">
        <f t="array" ref="D6">INDEX(qPCR_2nd_3rd_Managed!$M$19:$M$30,MATCH(1,($B6=qPCR_2nd_3rd_Managed!$C$19:$C$30)*($A6=qPCR_2nd_3rd_Managed!$B$19:$B$30),0))</f>
        <v>0</v>
      </c>
      <c r="E6" s="1753" cm="1">
        <f t="array" ref="E6">INDEX(qPCR_2nd_3rd_Managed!$M$5:$M$12,MATCH(1,($B6=qPCR_2nd_3rd_Managed!$C$5:$C$12)*($A6=qPCR_2nd_3rd_Managed!$B$5:$B$12),0))</f>
        <v>1.7610214468442706</v>
      </c>
      <c r="H6" s="1770" t="str" cm="1">
        <f t="array" ref="H6">INDEX(qPCR_2nd_3rd_Managed!$B$37:$B$48,MATCH($I6,qPCR_2nd_3rd_Managed!$C$37:$C$48,0),0)</f>
        <v>EP</v>
      </c>
      <c r="I6" s="1771" cm="1">
        <f t="array" ref="I6">INDEX(qPCR_2nd_3rd_Managed!$C$37:$C$48,MATCH(0,COUNTIF($I$2:I5,qPCR_2nd_3rd_Managed!$C$37:$C$48),0))</f>
        <v>44385</v>
      </c>
      <c r="J6" s="1772" cm="1">
        <f t="array" ref="J6">INDEX(qPCR_Unique!$L$3:$L$118,MATCH(1,($I6=qPCR_Unique!$G$3:$G$118)*($H6=qPCR_Unique!$F$3:$F$118),0))</f>
        <v>3.5173735394078167</v>
      </c>
      <c r="K6" s="1773" cm="1">
        <f t="array" ref="K6">INDEX(qPCR_2nd_3rd_Managed!$M$37:$M$48,MATCH(1,($I6=qPCR_2nd_3rd_Managed!$C$37:$C$48)*($H6=qPCR_2nd_3rd_Managed!$B$37:$B$48),0))</f>
        <v>3.5642218090537452</v>
      </c>
    </row>
    <row r="7" spans="1:11" x14ac:dyDescent="0.3">
      <c r="A7" s="1750" t="str" cm="1">
        <f t="array" ref="A7">INDEX(qPCR_2nd_3rd_Managed!$B$19:$B$30,MATCH($B7,qPCR_2nd_3rd_Managed!$C$19:$C$30,0),0)</f>
        <v>MRT</v>
      </c>
      <c r="B7" s="1751" cm="1">
        <f t="array" ref="B7">INDEX(qPCR_2nd_3rd_Managed!$C$19:$C$30,MATCH(0,COUNTIF($B$2:B6,qPCR_2nd_3rd_Managed!$C$19:$C$30),0))</f>
        <v>44419</v>
      </c>
      <c r="C7" s="1752" cm="1">
        <f t="array" ref="C7">INDEX(qPCR_Unique!$U$3:$U$118,MATCH(1,($B7=qPCR_Unique!$G$3:$G$118)*($A7=qPCR_Unique!$F$3:$F$118),0))</f>
        <v>2.5896089250665399</v>
      </c>
      <c r="D7" s="1752" cm="1">
        <f t="array" ref="D7">INDEX(qPCR_2nd_3rd_Managed!$M$19:$M$30,MATCH(1,($B7=qPCR_2nd_3rd_Managed!$C$19:$C$30)*($A7=qPCR_2nd_3rd_Managed!$B$19:$B$30),0))</f>
        <v>2.0344582022291005</v>
      </c>
      <c r="E7" s="1753" t="s">
        <v>494</v>
      </c>
      <c r="H7" s="1770" t="str" cm="1">
        <f t="array" ref="H7">INDEX(qPCR_2nd_3rd_Managed!$B$37:$B$48,MATCH($I7,qPCR_2nd_3rd_Managed!$C$37:$C$48,0),0)</f>
        <v>MRT</v>
      </c>
      <c r="I7" s="1771" cm="1">
        <f t="array" ref="I7">INDEX(qPCR_2nd_3rd_Managed!$C$37:$C$48,MATCH(0,COUNTIF($I$2:I6,qPCR_2nd_3rd_Managed!$C$37:$C$48),0))</f>
        <v>44419</v>
      </c>
      <c r="J7" s="1772" cm="1">
        <f t="array" ref="J7">INDEX(qPCR_Unique!$L$3:$L$118,MATCH(1,($I7=qPCR_Unique!$G$3:$G$118)*($H7=qPCR_Unique!$F$3:$F$118),0))</f>
        <v>3.6833972776381381</v>
      </c>
      <c r="K7" s="1773" cm="1">
        <f t="array" ref="K7">INDEX(qPCR_2nd_3rd_Managed!$M$37:$M$48,MATCH(1,($I7=qPCR_2nd_3rd_Managed!$C$37:$C$48)*($H7=qPCR_2nd_3rd_Managed!$B$37:$B$48),0))</f>
        <v>4.0097647778027392</v>
      </c>
    </row>
    <row r="8" spans="1:11" ht="16.350000000000001" thickBot="1" x14ac:dyDescent="0.35">
      <c r="A8" s="1754" t="str" cm="1">
        <f t="array" ref="A8">INDEX(qPCR_2nd_3rd_Managed!$B$19:$B$30,MATCH($B8,qPCR_2nd_3rd_Managed!$C$19:$C$30,0),0)</f>
        <v>RN</v>
      </c>
      <c r="B8" s="1755" cm="1">
        <f t="array" ref="B8">INDEX(qPCR_2nd_3rd_Managed!$C$19:$C$30,MATCH(0,COUNTIF($B$2:B7,qPCR_2nd_3rd_Managed!$C$19:$C$30),0))</f>
        <v>44426</v>
      </c>
      <c r="C8" s="1756" cm="1">
        <f t="array" ref="C8">INDEX(qPCR_Unique!$U$3:$U$118,MATCH(1,($B8=qPCR_Unique!$G$3:$G$118)*($A8=qPCR_Unique!$F$3:$F$118),0))</f>
        <v>5.8462238907393802</v>
      </c>
      <c r="D8" s="1756" cm="1">
        <f t="array" ref="D8">INDEX(qPCR_2nd_3rd_Managed!$M$19:$M$30,MATCH(1,($B8=qPCR_2nd_3rd_Managed!$C$19:$C$30)*($A8=qPCR_2nd_3rd_Managed!$B$19:$B$30),0))</f>
        <v>5.595460772749961</v>
      </c>
      <c r="E8" s="1757" t="s">
        <v>494</v>
      </c>
      <c r="H8" s="1774" t="str" cm="1">
        <f t="array" ref="H8">INDEX(qPCR_2nd_3rd_Managed!$B$37:$B$48,MATCH($I8,qPCR_2nd_3rd_Managed!$C$37:$C$48,0),0)</f>
        <v>RN</v>
      </c>
      <c r="I8" s="1775" cm="1">
        <f t="array" ref="I8">INDEX(qPCR_2nd_3rd_Managed!$C$37:$C$48,MATCH(0,COUNTIF($I$2:I7,qPCR_2nd_3rd_Managed!$C$37:$C$48),0))</f>
        <v>44426</v>
      </c>
      <c r="J8" s="1776" cm="1">
        <f t="array" ref="J8">INDEX(qPCR_Unique!$L$3:$L$118,MATCH(1,($I8=qPCR_Unique!$G$3:$G$118)*($H8=qPCR_Unique!$F$3:$F$118),0))</f>
        <v>3.9558924586156925</v>
      </c>
      <c r="K8" s="1777" cm="1">
        <f t="array" ref="K8">INDEX(qPCR_2nd_3rd_Managed!$M$37:$M$48,MATCH(1,($I8=qPCR_2nd_3rd_Managed!$C$37:$C$48)*($H8=qPCR_2nd_3rd_Managed!$B$37:$B$48),0))</f>
        <v>4.4140635433751063</v>
      </c>
    </row>
    <row r="9" spans="1:11" ht="16.350000000000001" thickTop="1" x14ac:dyDescent="0.3"/>
  </sheetData>
  <sheetProtection algorithmName="SHA-512" hashValue="eJZScRw57B6oYl1XAD+4jmHRTQjsEb8pRoQvaGlxSNutwlOhrMpFUg4J4eENdL+r7GFEDghWkaqXGCwhjqsu7A==" saltValue="emOwh4Frlf6SGs6/uXjRdA==" spinCount="100000" sheet="1" objects="1" scenarios="1"/>
  <mergeCells count="2">
    <mergeCell ref="A1:E1"/>
    <mergeCell ref="H1:K1"/>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1BC17-E12D-4A12-851F-BA0D6BFAC8F1}">
  <dimension ref="A1:A2"/>
  <sheetViews>
    <sheetView workbookViewId="0">
      <selection activeCell="L7" sqref="L7"/>
    </sheetView>
  </sheetViews>
  <sheetFormatPr defaultRowHeight="15.75" x14ac:dyDescent="0.3"/>
  <cols>
    <col min="1" max="16384" width="8.88671875" style="62"/>
  </cols>
  <sheetData>
    <row r="1" s="1336" customFormat="1" x14ac:dyDescent="0.3"/>
    <row r="2" s="1336" customFormat="1" x14ac:dyDescent="0.3"/>
  </sheetData>
  <sheetProtection algorithmName="SHA-512" hashValue="K35bf7Imh8eX5g6vmuaFVbw1pFD7V4R1suT+prWAqzM8b1sSIprEiQO9f7xIPaipsFm+cL+gOVP9rTHGdrYcwQ==" saltValue="XdKHrW1Pa4rQIXjzmXXoQw==" spinCount="100000" sheet="1" objects="1" scenarios="1"/>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EBCDA-BD84-4F75-A64A-F605481F47AA}">
  <dimension ref="A1:H6"/>
  <sheetViews>
    <sheetView workbookViewId="0">
      <selection activeCell="G12" sqref="G12"/>
    </sheetView>
  </sheetViews>
  <sheetFormatPr defaultRowHeight="15.75" x14ac:dyDescent="0.3"/>
  <cols>
    <col min="1" max="1" width="19.21875" style="62" customWidth="1"/>
    <col min="2" max="2" width="21.33203125" style="62" customWidth="1"/>
    <col min="3" max="3" width="14.77734375" style="282" customWidth="1"/>
    <col min="4" max="4" width="11.6640625" style="282" customWidth="1"/>
    <col min="5" max="5" width="16" style="282" customWidth="1"/>
    <col min="6" max="6" width="13.88671875" style="282" customWidth="1"/>
    <col min="7" max="7" width="25.44140625" style="282" customWidth="1"/>
    <col min="8" max="8" width="12.77734375" style="282" customWidth="1"/>
    <col min="9" max="16384" width="8.88671875" style="62"/>
  </cols>
  <sheetData>
    <row r="1" spans="1:8" s="1089" customFormat="1" ht="16.95" customHeight="1" thickTop="1" thickBot="1" x14ac:dyDescent="0.35">
      <c r="A1" s="1334" t="s">
        <v>298</v>
      </c>
      <c r="B1" s="1102" t="s">
        <v>291</v>
      </c>
      <c r="C1" s="1103" t="s">
        <v>8</v>
      </c>
      <c r="D1" s="1105" t="s">
        <v>3</v>
      </c>
      <c r="E1" s="1104" t="s">
        <v>5</v>
      </c>
      <c r="F1" s="1105" t="s">
        <v>6</v>
      </c>
      <c r="G1" s="1104" t="s">
        <v>51</v>
      </c>
      <c r="H1" s="1108" t="s">
        <v>229</v>
      </c>
    </row>
    <row r="2" spans="1:8" s="1089" customFormat="1" x14ac:dyDescent="0.3">
      <c r="A2" s="1726" t="s">
        <v>287</v>
      </c>
      <c r="B2" s="1100" t="s">
        <v>148</v>
      </c>
      <c r="C2" s="1101">
        <f>AVERAGE(qPCR_Unique!I3:I19,qPCR_Unique!AA20,qPCR_Unique!I21:I60)</f>
        <v>7.1609213720486515</v>
      </c>
      <c r="D2" s="1106">
        <f>AVERAGE(qPCR_Unique!L3:L60)</f>
        <v>3.4911198553005853</v>
      </c>
      <c r="E2" s="1101">
        <f>AVERAGE(qPCR_Unique!O3:O60)</f>
        <v>2.1886571629586253</v>
      </c>
      <c r="F2" s="1106">
        <f>AVERAGE(qPCR_Unique!R3:R60)</f>
        <v>1.9960460889782328</v>
      </c>
      <c r="G2" s="1101">
        <f>AVERAGE(qPCR_Unique!U3:U60)</f>
        <v>1.3631865457293013</v>
      </c>
      <c r="H2" s="1109">
        <f>AVERAGE(qPCR_Unique!X3:X60)</f>
        <v>4.0423524567628411</v>
      </c>
    </row>
    <row r="3" spans="1:8" s="1089" customFormat="1" x14ac:dyDescent="0.3">
      <c r="A3" s="1727"/>
      <c r="B3" s="1098" t="s">
        <v>257</v>
      </c>
      <c r="C3" s="1099">
        <f>STDEV(qPCR_Unique!I3:I19,qPCR_Unique!AA20,qPCR_Unique!I21:I60)</f>
        <v>1.0411373046500922</v>
      </c>
      <c r="D3" s="1107">
        <f>STDEV(qPCR_Unique!L3:L60)</f>
        <v>1.5163090107290913</v>
      </c>
      <c r="E3" s="1099">
        <f>STDEV(qPCR_Unique!O3:O60)</f>
        <v>1.3869571664934108</v>
      </c>
      <c r="F3" s="1107">
        <f>STDEV(qPCR_Unique!R3:R60)</f>
        <v>2.1242360843047678</v>
      </c>
      <c r="G3" s="1099">
        <f>STDEV(qPCR_Unique!U3:U60)</f>
        <v>1.5680750807546124</v>
      </c>
      <c r="H3" s="1110">
        <f>STDEV(qPCR_Unique!X3:X60)</f>
        <v>1.2526459739359785</v>
      </c>
    </row>
    <row r="4" spans="1:8" s="1089" customFormat="1" x14ac:dyDescent="0.3">
      <c r="A4" s="1728" t="s">
        <v>288</v>
      </c>
      <c r="B4" s="1111" t="s">
        <v>148</v>
      </c>
      <c r="C4" s="1112">
        <f>AVERAGE(qPCR_Unique!I61:I118)</f>
        <v>8.59751896753877</v>
      </c>
      <c r="D4" s="1113">
        <f>AVERAGE(qPCR_Unique!L61:L118)</f>
        <v>3.5689833402488707</v>
      </c>
      <c r="E4" s="1112">
        <f>AVERAGE(qPCR_Unique!O61:O118)</f>
        <v>4.0364093995401262</v>
      </c>
      <c r="F4" s="1113">
        <f>AVERAGE(qPCR_Unique!R61:R118)</f>
        <v>1.4259738208165507</v>
      </c>
      <c r="G4" s="1112">
        <f>AVERAGE(qPCR_Unique!U61:U118)</f>
        <v>3.6173621029124075</v>
      </c>
      <c r="H4" s="1114">
        <f>AVERAGE(qPCR_Unique!X61:X118)</f>
        <v>5.2630967094563372</v>
      </c>
    </row>
    <row r="5" spans="1:8" s="1089" customFormat="1" ht="16.350000000000001" thickBot="1" x14ac:dyDescent="0.35">
      <c r="A5" s="1729"/>
      <c r="B5" s="1115" t="s">
        <v>257</v>
      </c>
      <c r="C5" s="1116">
        <f>STDEV(qPCR_Unique!I61:I118)</f>
        <v>1.0140495687160378</v>
      </c>
      <c r="D5" s="1117">
        <f>STDEV(qPCR_Unique!L61:L118)</f>
        <v>1.7995689417044352</v>
      </c>
      <c r="E5" s="1116">
        <f>STDEV(qPCR_Unique!O61:O118)</f>
        <v>1.2705739868433672</v>
      </c>
      <c r="F5" s="1117">
        <f>STDEV(qPCR_Unique!R61:R118)</f>
        <v>1.9356001844995061</v>
      </c>
      <c r="G5" s="1116">
        <f>STDEV(qPCR_Unique!U61:U118)</f>
        <v>2.47671108432692</v>
      </c>
      <c r="H5" s="1118">
        <f>STDEV(qPCR_Unique!X61:X118)</f>
        <v>1.0818310431714968</v>
      </c>
    </row>
    <row r="6" spans="1:8" ht="16.350000000000001" thickTop="1" x14ac:dyDescent="0.3"/>
  </sheetData>
  <sheetProtection algorithmName="SHA-512" hashValue="kB2HYkXScNWGw6b20rfPB7jr84Wun8+l+Z+k1/RxhM3XFv95VP26oE8o9GT1TJa8bkjzhckFSB7nX+ZsqvzhAA==" saltValue="/GErYGqfmAMR0q6l9sL3Ew==" spinCount="100000" sheet="1" objects="1" scenarios="1"/>
  <mergeCells count="2">
    <mergeCell ref="A2:A3"/>
    <mergeCell ref="A4:A5"/>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C44C6-50DE-42EB-86AA-980674D2C502}">
  <dimension ref="A1:X420"/>
  <sheetViews>
    <sheetView zoomScaleNormal="100" workbookViewId="0">
      <selection activeCell="E1" sqref="E1:F1"/>
    </sheetView>
  </sheetViews>
  <sheetFormatPr defaultRowHeight="15.75" x14ac:dyDescent="0.3"/>
  <cols>
    <col min="1" max="1" width="26.77734375" style="62" customWidth="1"/>
    <col min="2" max="2" width="26.88671875" style="62" customWidth="1"/>
    <col min="3" max="3" width="15.5546875" style="62" customWidth="1"/>
    <col min="4" max="4" width="14.33203125" style="62" customWidth="1"/>
    <col min="5" max="5" width="14.109375" style="62" customWidth="1"/>
    <col min="6" max="6" width="19.88671875" style="62" customWidth="1"/>
    <col min="7" max="7" width="10.109375" style="193" customWidth="1"/>
    <col min="8" max="8" width="9.77734375" style="193" customWidth="1"/>
    <col min="9" max="9" width="8.6640625" style="193" customWidth="1"/>
    <col min="10" max="10" width="11" style="193" customWidth="1"/>
    <col min="11" max="11" width="11.77734375" style="193" customWidth="1"/>
    <col min="12" max="12" width="11.21875" style="193" customWidth="1"/>
    <col min="13" max="13" width="17.109375" style="193" customWidth="1"/>
    <col min="14" max="14" width="15.88671875" style="193" customWidth="1"/>
    <col min="15" max="15" width="15.77734375" style="193" customWidth="1"/>
    <col min="16" max="16" width="15" style="193" customWidth="1"/>
    <col min="17" max="17" width="15.88671875" style="193" customWidth="1"/>
    <col min="18" max="19" width="14.77734375" style="193" customWidth="1"/>
    <col min="20" max="20" width="14.44140625" style="193" customWidth="1"/>
    <col min="21" max="21" width="14.33203125" style="193" customWidth="1"/>
    <col min="22" max="22" width="14.21875" style="193" customWidth="1"/>
    <col min="23" max="23" width="13.6640625" style="193" customWidth="1"/>
    <col min="24" max="24" width="14.5546875" style="193" customWidth="1"/>
    <col min="25" max="16384" width="8.88671875" style="62"/>
  </cols>
  <sheetData>
    <row r="1" spans="1:24" s="641" customFormat="1" ht="18.8" thickTop="1" x14ac:dyDescent="0.3">
      <c r="A1" s="910" t="s">
        <v>261</v>
      </c>
      <c r="B1" s="911"/>
      <c r="C1" s="912"/>
      <c r="D1" s="913"/>
      <c r="E1" s="1730" t="s">
        <v>285</v>
      </c>
      <c r="F1" s="1731"/>
      <c r="G1" s="914" t="s">
        <v>253</v>
      </c>
      <c r="H1" s="915" t="s">
        <v>254</v>
      </c>
      <c r="I1" s="916" t="s">
        <v>255</v>
      </c>
      <c r="J1" s="917" t="s">
        <v>253</v>
      </c>
      <c r="K1" s="918" t="s">
        <v>254</v>
      </c>
      <c r="L1" s="919" t="s">
        <v>255</v>
      </c>
      <c r="M1" s="914" t="s">
        <v>253</v>
      </c>
      <c r="N1" s="915" t="s">
        <v>254</v>
      </c>
      <c r="O1" s="916" t="s">
        <v>255</v>
      </c>
      <c r="P1" s="917" t="s">
        <v>253</v>
      </c>
      <c r="Q1" s="918" t="s">
        <v>254</v>
      </c>
      <c r="R1" s="919" t="s">
        <v>255</v>
      </c>
      <c r="S1" s="921" t="s">
        <v>253</v>
      </c>
      <c r="T1" s="915" t="s">
        <v>254</v>
      </c>
      <c r="U1" s="916" t="s">
        <v>255</v>
      </c>
      <c r="V1" s="917" t="s">
        <v>253</v>
      </c>
      <c r="W1" s="918" t="s">
        <v>254</v>
      </c>
      <c r="X1" s="927" t="s">
        <v>255</v>
      </c>
    </row>
    <row r="2" spans="1:24" s="861" customFormat="1" ht="35.1" customHeight="1" thickBot="1" x14ac:dyDescent="0.35">
      <c r="A2" s="862" t="s">
        <v>247</v>
      </c>
      <c r="B2" s="920" t="s">
        <v>248</v>
      </c>
      <c r="C2" s="860" t="s">
        <v>249</v>
      </c>
      <c r="D2" s="880" t="s">
        <v>251</v>
      </c>
      <c r="E2" s="881" t="s">
        <v>250</v>
      </c>
      <c r="F2" s="888" t="s">
        <v>252</v>
      </c>
      <c r="G2" s="884" t="s">
        <v>8</v>
      </c>
      <c r="H2" s="882" t="s">
        <v>8</v>
      </c>
      <c r="I2" s="892" t="s">
        <v>8</v>
      </c>
      <c r="J2" s="897" t="s">
        <v>3</v>
      </c>
      <c r="K2" s="898" t="s">
        <v>3</v>
      </c>
      <c r="L2" s="899" t="s">
        <v>3</v>
      </c>
      <c r="M2" s="896" t="s">
        <v>5</v>
      </c>
      <c r="N2" s="883" t="s">
        <v>5</v>
      </c>
      <c r="O2" s="909" t="s">
        <v>5</v>
      </c>
      <c r="P2" s="897" t="s">
        <v>6</v>
      </c>
      <c r="Q2" s="898" t="s">
        <v>6</v>
      </c>
      <c r="R2" s="899" t="s">
        <v>6</v>
      </c>
      <c r="S2" s="926" t="s">
        <v>51</v>
      </c>
      <c r="T2" s="883" t="s">
        <v>51</v>
      </c>
      <c r="U2" s="909" t="s">
        <v>51</v>
      </c>
      <c r="V2" s="1018" t="s">
        <v>286</v>
      </c>
      <c r="W2" s="1019" t="s">
        <v>286</v>
      </c>
      <c r="X2" s="1020" t="s">
        <v>286</v>
      </c>
    </row>
    <row r="3" spans="1:24" x14ac:dyDescent="0.3">
      <c r="A3" s="867" t="str">
        <f>_xlfn.CONCAT(qPCR_Unique!Y3, qPCR_Unique!D3)</f>
        <v>Before the burnEP44335</v>
      </c>
      <c r="B3" s="868" t="str" cm="1">
        <f t="array" ref="B3:B60">_xlfn._xlws.SORT(A3:A60, 1, 1)</f>
        <v>After the burnEP44405</v>
      </c>
      <c r="C3" s="564" t="str">
        <f>RIGHT(B3, LEN(B3)-(FIND("burn", B3)+3))</f>
        <v>EP44405</v>
      </c>
      <c r="D3" s="877" t="str">
        <f>C23</f>
        <v>EP44335</v>
      </c>
      <c r="E3" s="878" t="str">
        <f>C39</f>
        <v>EP44363</v>
      </c>
      <c r="F3" s="889" t="str">
        <f>C3</f>
        <v>EP44405</v>
      </c>
      <c r="G3" s="885" cm="1">
        <f t="array" ref="G3:G12">_xlfn._xlws.FILTER(qPCR_Unique!$I$3:$I$60, COUNTIF($D$3:$D$12, qPCR_Unique!$D$3:$D$60))</f>
        <v>7.5073779335749142</v>
      </c>
      <c r="H3" s="879" cm="1">
        <f t="array" ref="H3:H24">_xlfn._xlws.FILTER(qPCR_Unique!$I$3:$I$60, COUNTIF($E$3:$E$24, qPCR_Unique!$D$3:$D$60))</f>
        <v>8.9201125773878598</v>
      </c>
      <c r="I3" s="893" cm="1">
        <f t="array" ref="I3:I22">_xlfn._xlws.FILTER(qPCR_Unique!$I$3:$I$60, COUNTIF($F$3:$F$22, qPCR_Unique!$D$3:$D$60))</f>
        <v>7.4432373448654072</v>
      </c>
      <c r="J3" s="900" cm="1">
        <f t="array" ref="J3:J18">_xlfn._xlws.FILTER(qPCR_Unique!$L$3:$L$60, COUNTIF($D$3:$D$18, qPCR_Unique!$D$3:$D$60))</f>
        <v>4.7229710237808709</v>
      </c>
      <c r="K3" s="901" cm="1">
        <f t="array" ref="K3:K24">_xlfn._xlws.FILTER(qPCR_Unique!$L$3:$L$60, COUNTIF($E$3:$E$24, qPCR_Unique!$D$3:$D$60))</f>
        <v>0</v>
      </c>
      <c r="L3" s="902" cm="1">
        <f t="array" ref="L3:L22">_xlfn._xlws.FILTER(qPCR_Unique!$L$3:$L$60, COUNTIF($F$3:$F$22, qPCR_Unique!$D$3:$D$60))</f>
        <v>4.7632454669389199</v>
      </c>
      <c r="M3" s="885" cm="1">
        <f t="array" ref="M3:M18">_xlfn._xlws.FILTER(qPCR_Unique!$O$3:$O$60, COUNTIF($D$3:$D$18, qPCR_Unique!$D$3:$D$60))</f>
        <v>3.1797940234756839</v>
      </c>
      <c r="N3" s="879" cm="1">
        <f t="array" ref="N3:N24">_xlfn._xlws.FILTER(qPCR_Unique!$O$3:$O$60, COUNTIF($E$3:$E$24, qPCR_Unique!$D$3:$D$60))</f>
        <v>2.8252048194210433</v>
      </c>
      <c r="O3" s="893" cm="1">
        <f t="array" ref="O3:O22">_xlfn._xlws.FILTER(qPCR_Unique!$O$3:$O$60, COUNTIF($F$3:$F$22, qPCR_Unique!$D$3:$D$60))</f>
        <v>2.9565019022298489</v>
      </c>
      <c r="P3" s="900" cm="1">
        <f t="array" ref="P3:P18">_xlfn._xlws.FILTER(qPCR_Unique!$R$3:$R$60, COUNTIF($D$3:$D$18, qPCR_Unique!$D$3:$D$60))</f>
        <v>0</v>
      </c>
      <c r="Q3" s="901" cm="1">
        <f t="array" ref="Q3:Q24">_xlfn._xlws.FILTER(qPCR_Unique!$R$3:$R$60, COUNTIF($E$3:$E$24, qPCR_Unique!$D$3:$D$60))</f>
        <v>7.3148056493421336</v>
      </c>
      <c r="R3" s="902" cm="1">
        <f t="array" ref="R3:R22">_xlfn._xlws.FILTER(qPCR_Unique!$R$3:$R$60, COUNTIF($F$3:$F$22, qPCR_Unique!$D$3:$D$60))</f>
        <v>3.2648335664820296</v>
      </c>
      <c r="S3" s="925" cm="1">
        <f t="array" ref="S3:S18">_xlfn._xlws.FILTER(qPCR_Unique!$U$3:$U$60, COUNTIF($D$3:$D$18, qPCR_Unique!$D$3:$D$60))</f>
        <v>0</v>
      </c>
      <c r="T3" s="879" cm="1">
        <f t="array" ref="T3:T24">_xlfn._xlws.FILTER(qPCR_Unique!$U$3:$U$60, COUNTIF($E$3:$E$24, qPCR_Unique!$D$3:$D$60))</f>
        <v>2.7622840466805152</v>
      </c>
      <c r="U3" s="893" cm="1">
        <f t="array" ref="U3:U22">_xlfn._xlws.FILTER(qPCR_Unique!$U$3:$U$60, COUNTIF($F$3:$F$22, qPCR_Unique!$D$3:$D$60))</f>
        <v>3.0906484876986329</v>
      </c>
      <c r="V3" s="928" cm="1">
        <f t="array" ref="V3:V18">_xlfn._xlws.FILTER(qPCR_Unique!$X$3:$X$60, COUNTIF($D$3:$D$18, qPCR_Unique!$D$3:$D$60))</f>
        <v>4.7352302561231019</v>
      </c>
      <c r="W3" s="929" cm="1">
        <f t="array" ref="W3:W24">_xlfn._xlws.FILTER(qPCR_Unique!$X$3:$X$60, COUNTIF($E$3:$E$24, qPCR_Unique!$D$3:$D$60))</f>
        <v>7.3148318841855584</v>
      </c>
      <c r="X3" s="930" cm="1">
        <f t="array" ref="X3:X22">_xlfn._xlws.FILTER(qPCR_Unique!$X$3:$X$60, COUNTIF($F$3:$F$22, qPCR_Unique!$D$3:$D$60))</f>
        <v>4.7920588152224175</v>
      </c>
    </row>
    <row r="4" spans="1:24" x14ac:dyDescent="0.3">
      <c r="A4" s="863" t="str">
        <f>_xlfn.CONCAT(qPCR_Unique!Y4, qPCR_Unique!D4)</f>
        <v>Before the burnEP44342</v>
      </c>
      <c r="B4" s="864" t="str">
        <v>After the burnEP44412</v>
      </c>
      <c r="C4" s="558" t="str">
        <f t="shared" ref="C4:C60" si="0">RIGHT(B4, LEN(B4)-(FIND("burn", B4)+3))</f>
        <v>EP44412</v>
      </c>
      <c r="D4" s="869" t="str">
        <f t="shared" ref="D4:D18" si="1">C24</f>
        <v>EP44342</v>
      </c>
      <c r="E4" s="870" t="str">
        <f t="shared" ref="E4:E18" si="2">C40</f>
        <v>EP44370</v>
      </c>
      <c r="F4" s="890" t="str">
        <f t="shared" ref="F4:F22" si="3">C4</f>
        <v>EP44412</v>
      </c>
      <c r="G4" s="886">
        <v>7.4305880117388243</v>
      </c>
      <c r="H4" s="871">
        <v>7.384134194520211</v>
      </c>
      <c r="I4" s="894">
        <v>7.548210102201657</v>
      </c>
      <c r="J4" s="903">
        <v>4.3983402472244153</v>
      </c>
      <c r="K4" s="904">
        <v>3.7119183612943583</v>
      </c>
      <c r="L4" s="905">
        <v>3.7099616071987671</v>
      </c>
      <c r="M4" s="886">
        <v>2.9491774059529887</v>
      </c>
      <c r="N4" s="871">
        <v>3.0816381264248243</v>
      </c>
      <c r="O4" s="894">
        <v>3.4315718643235331</v>
      </c>
      <c r="P4" s="903">
        <v>0</v>
      </c>
      <c r="Q4" s="904">
        <v>0</v>
      </c>
      <c r="R4" s="905">
        <v>2.5078973554355652</v>
      </c>
      <c r="S4" s="922">
        <v>2.1604990068941463</v>
      </c>
      <c r="T4" s="871">
        <v>2.831351610048888</v>
      </c>
      <c r="U4" s="894">
        <v>0</v>
      </c>
      <c r="V4" s="931">
        <v>4.4159298260944944</v>
      </c>
      <c r="W4" s="932">
        <v>3.8473453486612756</v>
      </c>
      <c r="X4" s="933">
        <v>3.9112367497031117</v>
      </c>
    </row>
    <row r="5" spans="1:24" x14ac:dyDescent="0.3">
      <c r="A5" s="863" t="str">
        <f>_xlfn.CONCAT(qPCR_Unique!Y5, qPCR_Unique!D5)</f>
        <v>Before the burnEP44350</v>
      </c>
      <c r="B5" s="864" t="str">
        <v>After the burnEP44419</v>
      </c>
      <c r="C5" s="558" t="str">
        <f t="shared" si="0"/>
        <v>EP44419</v>
      </c>
      <c r="D5" s="869" t="str">
        <f t="shared" si="1"/>
        <v>EP44350</v>
      </c>
      <c r="E5" s="870" t="str">
        <f t="shared" si="2"/>
        <v>EP44377</v>
      </c>
      <c r="F5" s="890" t="str">
        <f t="shared" si="3"/>
        <v>EP44419</v>
      </c>
      <c r="G5" s="886">
        <v>7.2010631024471907</v>
      </c>
      <c r="H5" s="871">
        <v>6.6706494925420223</v>
      </c>
      <c r="I5" s="894">
        <v>7.4768331624978526</v>
      </c>
      <c r="J5" s="903">
        <v>3.9174695393344017</v>
      </c>
      <c r="K5" s="904">
        <v>3.4496228998138809</v>
      </c>
      <c r="L5" s="905">
        <v>3.3165813878647228</v>
      </c>
      <c r="M5" s="886">
        <v>3.2434645556811552</v>
      </c>
      <c r="N5" s="871">
        <v>3.0995905834804347</v>
      </c>
      <c r="O5" s="894">
        <v>3.473547112131016</v>
      </c>
      <c r="P5" s="903">
        <v>0</v>
      </c>
      <c r="Q5" s="904">
        <v>0</v>
      </c>
      <c r="R5" s="905">
        <v>0</v>
      </c>
      <c r="S5" s="922">
        <v>2.7440271514333912</v>
      </c>
      <c r="T5" s="871">
        <v>2.1553193673056121</v>
      </c>
      <c r="U5" s="894">
        <v>1.8080680376038922</v>
      </c>
      <c r="V5" s="931">
        <v>4.0243089142143083</v>
      </c>
      <c r="W5" s="932">
        <v>3.6249696603768022</v>
      </c>
      <c r="X5" s="933">
        <v>3.7086422698680894</v>
      </c>
    </row>
    <row r="6" spans="1:24" x14ac:dyDescent="0.3">
      <c r="A6" s="863" t="str">
        <f>_xlfn.CONCAT(qPCR_Unique!Y6, qPCR_Unique!D6)</f>
        <v>Before the burnEP44356</v>
      </c>
      <c r="B6" s="864" t="str">
        <v>After the burnEP44426</v>
      </c>
      <c r="C6" s="558" t="str">
        <f t="shared" si="0"/>
        <v>EP44426</v>
      </c>
      <c r="D6" s="869" t="str">
        <f t="shared" si="1"/>
        <v>EP44356</v>
      </c>
      <c r="E6" s="870" t="str">
        <f t="shared" si="2"/>
        <v>EP44385</v>
      </c>
      <c r="F6" s="890" t="str">
        <f t="shared" si="3"/>
        <v>EP44426</v>
      </c>
      <c r="G6" s="886">
        <v>7.5775594003841169</v>
      </c>
      <c r="H6" s="871">
        <v>7.8312300053910073</v>
      </c>
      <c r="I6" s="894">
        <v>7.4727366054879463</v>
      </c>
      <c r="J6" s="903">
        <v>4.1767319225757706</v>
      </c>
      <c r="K6" s="904">
        <v>3.5173735394078167</v>
      </c>
      <c r="L6" s="905">
        <v>4.9646320399135817</v>
      </c>
      <c r="M6" s="886">
        <v>3.3151970568903897</v>
      </c>
      <c r="N6" s="871">
        <v>3.0227691938237178</v>
      </c>
      <c r="O6" s="894">
        <v>3.1710241715303273</v>
      </c>
      <c r="P6" s="903">
        <v>3.3597301399743871</v>
      </c>
      <c r="Q6" s="904">
        <v>2.6702701838332747</v>
      </c>
      <c r="R6" s="905">
        <v>0</v>
      </c>
      <c r="S6" s="922">
        <v>0</v>
      </c>
      <c r="T6" s="871">
        <v>0</v>
      </c>
      <c r="U6" s="894">
        <v>2.0048199947937011</v>
      </c>
      <c r="V6" s="931">
        <v>4.2873068489727197</v>
      </c>
      <c r="W6" s="932">
        <v>3.6824338096107176</v>
      </c>
      <c r="X6" s="933">
        <v>4.9720302285741473</v>
      </c>
    </row>
    <row r="7" spans="1:24" x14ac:dyDescent="0.3">
      <c r="A7" s="863" t="str">
        <f>_xlfn.CONCAT(qPCR_Unique!Y7, qPCR_Unique!D7)</f>
        <v>During the burnEP44363</v>
      </c>
      <c r="B7" s="864" t="str">
        <v>After the burnEP44433</v>
      </c>
      <c r="C7" s="558" t="str">
        <f t="shared" si="0"/>
        <v>EP44433</v>
      </c>
      <c r="D7" s="869" t="str">
        <f t="shared" si="1"/>
        <v>MRT44335</v>
      </c>
      <c r="E7" s="870" t="str">
        <f t="shared" si="2"/>
        <v>EP44391</v>
      </c>
      <c r="F7" s="890" t="str">
        <f t="shared" si="3"/>
        <v>EP44433</v>
      </c>
      <c r="G7" s="886">
        <v>7.2488480361773453</v>
      </c>
      <c r="H7" s="871">
        <v>6.9792893794204227</v>
      </c>
      <c r="I7" s="894">
        <v>7.1744460476783178</v>
      </c>
      <c r="J7" s="903">
        <v>4.721946009032651</v>
      </c>
      <c r="K7" s="904">
        <v>3.5031007130453271</v>
      </c>
      <c r="L7" s="905">
        <v>3.1697614258419864</v>
      </c>
      <c r="M7" s="886">
        <v>2.5435253467391021</v>
      </c>
      <c r="N7" s="871">
        <v>3.048371497817886</v>
      </c>
      <c r="O7" s="894">
        <v>3.2751356342848927</v>
      </c>
      <c r="P7" s="903">
        <v>0</v>
      </c>
      <c r="Q7" s="904">
        <v>3.06189652349555</v>
      </c>
      <c r="R7" s="905">
        <v>3.0698234944731251</v>
      </c>
      <c r="S7" s="922">
        <v>2.5274824013348796</v>
      </c>
      <c r="T7" s="871">
        <v>2.3526606607367042</v>
      </c>
      <c r="U7" s="894">
        <v>0</v>
      </c>
      <c r="V7" s="931">
        <v>4.7275646836244176</v>
      </c>
      <c r="W7" s="932">
        <v>3.7544386541667936</v>
      </c>
      <c r="X7" s="933">
        <v>3.6567643468940103</v>
      </c>
    </row>
    <row r="8" spans="1:24" x14ac:dyDescent="0.3">
      <c r="A8" s="863" t="str">
        <f>_xlfn.CONCAT(qPCR_Unique!Y8, qPCR_Unique!D8)</f>
        <v>During the burnEP44370</v>
      </c>
      <c r="B8" s="864" t="str">
        <v>After the burnMRT44405</v>
      </c>
      <c r="C8" s="558" t="str">
        <f t="shared" si="0"/>
        <v>MRT44405</v>
      </c>
      <c r="D8" s="869" t="str">
        <f t="shared" si="1"/>
        <v>MRT44342</v>
      </c>
      <c r="E8" s="870" t="str">
        <f t="shared" si="2"/>
        <v>EP44398</v>
      </c>
      <c r="F8" s="890" t="str">
        <f t="shared" si="3"/>
        <v>MRT44405</v>
      </c>
      <c r="G8" s="886">
        <v>7.4112603147058156</v>
      </c>
      <c r="H8" s="871">
        <v>7.1243260630757259</v>
      </c>
      <c r="I8" s="894">
        <v>8.6081730970830517</v>
      </c>
      <c r="J8" s="903">
        <v>4.8538832053589882</v>
      </c>
      <c r="K8" s="904">
        <v>3.903561063124283</v>
      </c>
      <c r="L8" s="905">
        <v>0</v>
      </c>
      <c r="M8" s="886">
        <v>2.6247939608020308</v>
      </c>
      <c r="N8" s="871">
        <v>2.6437438289589763</v>
      </c>
      <c r="O8" s="894">
        <v>0</v>
      </c>
      <c r="P8" s="903">
        <v>0</v>
      </c>
      <c r="Q8" s="904">
        <v>4.2802806593803524</v>
      </c>
      <c r="R8" s="905">
        <v>5.8665072771985223</v>
      </c>
      <c r="S8" s="922">
        <v>2.4706463928792002</v>
      </c>
      <c r="T8" s="871">
        <v>0</v>
      </c>
      <c r="U8" s="894">
        <v>0</v>
      </c>
      <c r="V8" s="931">
        <v>4.8582211499574273</v>
      </c>
      <c r="W8" s="932">
        <v>4.4395837599444574</v>
      </c>
      <c r="X8" s="933">
        <v>5.8665072771985223</v>
      </c>
    </row>
    <row r="9" spans="1:24" x14ac:dyDescent="0.3">
      <c r="A9" s="863" t="str">
        <f>_xlfn.CONCAT(qPCR_Unique!Y9, qPCR_Unique!D9)</f>
        <v>During the burnEP44377</v>
      </c>
      <c r="B9" s="864" t="str">
        <v>After the burnMRT44412</v>
      </c>
      <c r="C9" s="558" t="str">
        <f t="shared" si="0"/>
        <v>MRT44412</v>
      </c>
      <c r="D9" s="869" t="str">
        <f t="shared" si="1"/>
        <v>MRT44350</v>
      </c>
      <c r="E9" s="870" t="str">
        <f t="shared" si="2"/>
        <v>MRT44363</v>
      </c>
      <c r="F9" s="890" t="str">
        <f t="shared" si="3"/>
        <v>MRT44412</v>
      </c>
      <c r="G9" s="886">
        <v>8.2003369395001009</v>
      </c>
      <c r="H9" s="871">
        <v>6.0332986709654914</v>
      </c>
      <c r="I9" s="894">
        <v>7.7628834849747959</v>
      </c>
      <c r="J9" s="903">
        <v>4.7165192407443959</v>
      </c>
      <c r="K9" s="904">
        <v>0</v>
      </c>
      <c r="L9" s="905">
        <v>3.7621508354431223</v>
      </c>
      <c r="M9" s="886">
        <v>3.2087115531519972</v>
      </c>
      <c r="N9" s="871">
        <v>1.8361707979478543</v>
      </c>
      <c r="O9" s="894">
        <v>2.828397132065815</v>
      </c>
      <c r="P9" s="903">
        <v>3.477353983322319</v>
      </c>
      <c r="Q9" s="904">
        <v>0</v>
      </c>
      <c r="R9" s="905">
        <v>0</v>
      </c>
      <c r="S9" s="922">
        <v>2.863857763568129</v>
      </c>
      <c r="T9" s="871">
        <v>2.2615535480783655</v>
      </c>
      <c r="U9" s="894">
        <v>0</v>
      </c>
      <c r="V9" s="931">
        <v>4.7589975382098917</v>
      </c>
      <c r="W9" s="932">
        <v>2.4000161379836684</v>
      </c>
      <c r="X9" s="933">
        <v>3.8100012547570228</v>
      </c>
    </row>
    <row r="10" spans="1:24" x14ac:dyDescent="0.3">
      <c r="A10" s="863" t="str">
        <f>_xlfn.CONCAT(qPCR_Unique!Y10, qPCR_Unique!D10)</f>
        <v>During the burnEP44385</v>
      </c>
      <c r="B10" s="864" t="str">
        <v>After the burnMRT44419</v>
      </c>
      <c r="C10" s="558" t="str">
        <f t="shared" si="0"/>
        <v>MRT44419</v>
      </c>
      <c r="D10" s="869" t="str">
        <f t="shared" si="1"/>
        <v>MRT44356</v>
      </c>
      <c r="E10" s="870" t="str">
        <f t="shared" si="2"/>
        <v>MRT44370</v>
      </c>
      <c r="F10" s="890" t="str">
        <f t="shared" si="3"/>
        <v>MRT44419</v>
      </c>
      <c r="G10" s="886">
        <v>8.3862630230825239</v>
      </c>
      <c r="H10" s="871">
        <v>5.6489012349832528</v>
      </c>
      <c r="I10" s="894">
        <v>6.9571425802081057</v>
      </c>
      <c r="J10" s="903">
        <v>4.163497354716899</v>
      </c>
      <c r="K10" s="904">
        <v>2.6724300034261792</v>
      </c>
      <c r="L10" s="905">
        <v>3.8028826843473644</v>
      </c>
      <c r="M10" s="886">
        <v>3.1234874552157841</v>
      </c>
      <c r="N10" s="871">
        <v>0</v>
      </c>
      <c r="O10" s="894">
        <v>2.8390480438118804</v>
      </c>
      <c r="P10" s="903">
        <v>3.8012376756987201</v>
      </c>
      <c r="Q10" s="904">
        <v>0</v>
      </c>
      <c r="R10" s="905">
        <v>3.1450774317855172</v>
      </c>
      <c r="S10" s="922">
        <v>3.0157247208101761</v>
      </c>
      <c r="T10" s="871">
        <v>0</v>
      </c>
      <c r="U10" s="894">
        <v>0</v>
      </c>
      <c r="V10" s="931">
        <v>4.366695681353594</v>
      </c>
      <c r="W10" s="932">
        <v>2.6724300034261792</v>
      </c>
      <c r="X10" s="933">
        <v>3.9262666364612002</v>
      </c>
    </row>
    <row r="11" spans="1:24" x14ac:dyDescent="0.3">
      <c r="A11" s="863" t="str">
        <f>_xlfn.CONCAT(qPCR_Unique!Y11, qPCR_Unique!D11)</f>
        <v>During the burnEP44391</v>
      </c>
      <c r="B11" s="864" t="str">
        <v>After the burnMRT44426</v>
      </c>
      <c r="C11" s="558" t="str">
        <f t="shared" si="0"/>
        <v>MRT44426</v>
      </c>
      <c r="D11" s="869" t="str">
        <f t="shared" si="1"/>
        <v>SPI44335</v>
      </c>
      <c r="E11" s="870" t="str">
        <f t="shared" si="2"/>
        <v>MRT44377</v>
      </c>
      <c r="F11" s="890" t="str">
        <f t="shared" si="3"/>
        <v>MRT44426</v>
      </c>
      <c r="G11" s="886">
        <v>8.0704679014845713</v>
      </c>
      <c r="H11" s="871">
        <v>5.4593349146911159</v>
      </c>
      <c r="I11" s="894">
        <v>7.093407807743783</v>
      </c>
      <c r="J11" s="903">
        <v>5.1051171753821354</v>
      </c>
      <c r="K11" s="904">
        <v>2.4792015600758024</v>
      </c>
      <c r="L11" s="905">
        <v>4.5633325917001768</v>
      </c>
      <c r="M11" s="886">
        <v>3.3694614758953745</v>
      </c>
      <c r="N11" s="871">
        <v>0</v>
      </c>
      <c r="O11" s="894">
        <v>2.0264676710536986</v>
      </c>
      <c r="P11" s="903">
        <v>2.6119711757154414</v>
      </c>
      <c r="Q11" s="904">
        <v>0</v>
      </c>
      <c r="R11" s="905">
        <v>0</v>
      </c>
      <c r="S11" s="922">
        <v>1.9773829866860844</v>
      </c>
      <c r="T11" s="871">
        <v>3.6197326464697857</v>
      </c>
      <c r="U11" s="894">
        <v>0</v>
      </c>
      <c r="V11" s="931">
        <v>5.1147115589511296</v>
      </c>
      <c r="W11" s="932">
        <v>3.6500712522310739</v>
      </c>
      <c r="X11" s="933">
        <v>4.5645923561721409</v>
      </c>
    </row>
    <row r="12" spans="1:24" x14ac:dyDescent="0.3">
      <c r="A12" s="863" t="str">
        <f>_xlfn.CONCAT(qPCR_Unique!Y12, qPCR_Unique!D12)</f>
        <v>During the burnEP44398</v>
      </c>
      <c r="B12" s="864" t="str">
        <v>After the burnMRT44433</v>
      </c>
      <c r="C12" s="558" t="str">
        <f t="shared" si="0"/>
        <v>MRT44433</v>
      </c>
      <c r="D12" s="869" t="str">
        <f t="shared" si="1"/>
        <v>SPI44342</v>
      </c>
      <c r="E12" s="870" t="str">
        <f t="shared" si="2"/>
        <v>MRT44385</v>
      </c>
      <c r="F12" s="890" t="str">
        <f t="shared" si="3"/>
        <v>MRT44433</v>
      </c>
      <c r="G12" s="886">
        <v>10.071276621177251</v>
      </c>
      <c r="H12" s="871">
        <v>5.9118235110714696</v>
      </c>
      <c r="I12" s="894">
        <v>9.5187224424310894</v>
      </c>
      <c r="J12" s="903">
        <v>4.3579867486689796</v>
      </c>
      <c r="K12" s="904">
        <v>3.0981883072865495</v>
      </c>
      <c r="L12" s="905">
        <v>4.0692002329379919</v>
      </c>
      <c r="M12" s="886">
        <v>2.4934356195993486</v>
      </c>
      <c r="N12" s="871">
        <v>0</v>
      </c>
      <c r="O12" s="894">
        <v>2.1889560866282487</v>
      </c>
      <c r="P12" s="903">
        <v>3.9947325075118063</v>
      </c>
      <c r="Q12" s="904">
        <v>0</v>
      </c>
      <c r="R12" s="905">
        <v>5.0415213521965967</v>
      </c>
      <c r="S12" s="922">
        <v>2.397277177665643</v>
      </c>
      <c r="T12" s="871">
        <v>0</v>
      </c>
      <c r="U12" s="894">
        <v>0</v>
      </c>
      <c r="V12" s="931">
        <v>4.5217037588088145</v>
      </c>
      <c r="W12" s="932">
        <v>3.0981883072865495</v>
      </c>
      <c r="X12" s="933">
        <v>5.0860552312793166</v>
      </c>
    </row>
    <row r="13" spans="1:24" x14ac:dyDescent="0.3">
      <c r="A13" s="863" t="str">
        <f>_xlfn.CONCAT(qPCR_Unique!Y13, qPCR_Unique!D13)</f>
        <v>After the burnEP44405</v>
      </c>
      <c r="B13" s="864" t="str">
        <v>After the burnSPI44405</v>
      </c>
      <c r="C13" s="558" t="str">
        <f t="shared" si="0"/>
        <v>SPI44405</v>
      </c>
      <c r="D13" s="869" t="str">
        <f t="shared" si="1"/>
        <v>SPI44350</v>
      </c>
      <c r="E13" s="870" t="str">
        <f t="shared" si="2"/>
        <v>MRT44391</v>
      </c>
      <c r="F13" s="890" t="str">
        <f t="shared" si="3"/>
        <v>SPI44405</v>
      </c>
      <c r="G13" s="1087">
        <f>qPCR_Unique!AA20</f>
        <v>7.311591677936808</v>
      </c>
      <c r="H13" s="871">
        <v>6.3136663056555458</v>
      </c>
      <c r="I13" s="894">
        <v>6.6806695873206543</v>
      </c>
      <c r="J13" s="903">
        <v>4.8444474553321486</v>
      </c>
      <c r="K13" s="904">
        <v>0</v>
      </c>
      <c r="L13" s="905">
        <v>3.9091048998141136</v>
      </c>
      <c r="M13" s="886">
        <v>3.1723941296475311</v>
      </c>
      <c r="N13" s="871">
        <v>0</v>
      </c>
      <c r="O13" s="894">
        <v>3.279550348825468</v>
      </c>
      <c r="P13" s="903">
        <v>2.9147049089133246</v>
      </c>
      <c r="Q13" s="904">
        <v>4.1051102984023373</v>
      </c>
      <c r="R13" s="905">
        <v>0</v>
      </c>
      <c r="S13" s="922">
        <v>0</v>
      </c>
      <c r="T13" s="871">
        <v>0</v>
      </c>
      <c r="U13" s="894">
        <v>0</v>
      </c>
      <c r="V13" s="931">
        <v>4.858562373632382</v>
      </c>
      <c r="W13" s="932">
        <v>4.1051102984023373</v>
      </c>
      <c r="X13" s="933">
        <v>4.0006534911966458</v>
      </c>
    </row>
    <row r="14" spans="1:24" x14ac:dyDescent="0.3">
      <c r="A14" s="863" t="str">
        <f>_xlfn.CONCAT(qPCR_Unique!Y14, qPCR_Unique!D14)</f>
        <v>After the burnEP44412</v>
      </c>
      <c r="B14" s="864" t="str">
        <v>After the burnSPI44412</v>
      </c>
      <c r="C14" s="558" t="str">
        <f t="shared" si="0"/>
        <v>SPI44412</v>
      </c>
      <c r="D14" s="869" t="str">
        <f t="shared" si="1"/>
        <v>SPI44356</v>
      </c>
      <c r="E14" s="870" t="str">
        <f t="shared" si="2"/>
        <v>MRT44398</v>
      </c>
      <c r="F14" s="890" t="str">
        <f t="shared" si="3"/>
        <v>SPI44412</v>
      </c>
      <c r="G14" s="886" cm="1">
        <f t="array" ref="G14:G18">_xlfn._xlws.FILTER(qPCR_Unique!$I$3:$I$60, COUNTIF($D$14:$D$18, qPCR_Unique!$D$3:$D$60))</f>
        <v>7.1820159348297006</v>
      </c>
      <c r="H14" s="871">
        <v>5.025982146472221</v>
      </c>
      <c r="I14" s="894">
        <v>6.4679144985785593</v>
      </c>
      <c r="J14" s="903">
        <v>4.4053095940815297</v>
      </c>
      <c r="K14" s="904">
        <v>0</v>
      </c>
      <c r="L14" s="905">
        <v>3.6671601345541878</v>
      </c>
      <c r="M14" s="886">
        <v>3.3310670461162957</v>
      </c>
      <c r="N14" s="871">
        <v>0</v>
      </c>
      <c r="O14" s="894">
        <v>2.0876180924738739</v>
      </c>
      <c r="P14" s="903">
        <v>2.968653156689125</v>
      </c>
      <c r="Q14" s="904">
        <v>0</v>
      </c>
      <c r="R14" s="905">
        <v>2.5291065311531939</v>
      </c>
      <c r="S14" s="922">
        <v>0</v>
      </c>
      <c r="T14" s="871">
        <v>0</v>
      </c>
      <c r="U14" s="894">
        <v>0</v>
      </c>
      <c r="V14" s="931">
        <v>4.4548667000939863</v>
      </c>
      <c r="W14" s="932">
        <v>0</v>
      </c>
      <c r="X14" s="933">
        <v>3.708197116667141</v>
      </c>
    </row>
    <row r="15" spans="1:24" x14ac:dyDescent="0.3">
      <c r="A15" s="863" t="str">
        <f>_xlfn.CONCAT(qPCR_Unique!Y15, qPCR_Unique!D15)</f>
        <v>After the burnEP44419</v>
      </c>
      <c r="B15" s="864" t="str">
        <v>After the burnSPI44419</v>
      </c>
      <c r="C15" s="558" t="str">
        <f t="shared" si="0"/>
        <v>SPI44419</v>
      </c>
      <c r="D15" s="869" t="str">
        <f t="shared" si="1"/>
        <v>SPO44335</v>
      </c>
      <c r="E15" s="870" t="str">
        <f t="shared" si="2"/>
        <v>SPI44370</v>
      </c>
      <c r="F15" s="890" t="str">
        <f t="shared" si="3"/>
        <v>SPI44419</v>
      </c>
      <c r="G15" s="886">
        <v>7.3976328979330424</v>
      </c>
      <c r="H15" s="871">
        <v>4.682770131298021</v>
      </c>
      <c r="I15" s="894">
        <v>7.4763848749940305</v>
      </c>
      <c r="J15" s="903">
        <v>5.6379441984051732</v>
      </c>
      <c r="K15" s="904">
        <v>0</v>
      </c>
      <c r="L15" s="905">
        <v>4.0247043077357461</v>
      </c>
      <c r="M15" s="886">
        <v>3.7445155306024982</v>
      </c>
      <c r="N15" s="871">
        <v>0</v>
      </c>
      <c r="O15" s="894">
        <v>3.1257503535272613</v>
      </c>
      <c r="P15" s="903">
        <v>3.4011381377074636</v>
      </c>
      <c r="Q15" s="904">
        <v>0</v>
      </c>
      <c r="R15" s="905">
        <v>0</v>
      </c>
      <c r="S15" s="922">
        <v>4.2795797096603305</v>
      </c>
      <c r="T15" s="871">
        <v>0</v>
      </c>
      <c r="U15" s="894">
        <v>0</v>
      </c>
      <c r="V15" s="931">
        <v>5.6642299495850637</v>
      </c>
      <c r="W15" s="932">
        <v>0</v>
      </c>
      <c r="X15" s="933">
        <v>4.0763183393647253</v>
      </c>
    </row>
    <row r="16" spans="1:24" x14ac:dyDescent="0.3">
      <c r="A16" s="863" t="str">
        <f>_xlfn.CONCAT(qPCR_Unique!Y16, qPCR_Unique!D16)</f>
        <v>After the burnEP44426</v>
      </c>
      <c r="B16" s="864" t="str">
        <v>After the burnSPI44426</v>
      </c>
      <c r="C16" s="558" t="str">
        <f t="shared" si="0"/>
        <v>SPI44426</v>
      </c>
      <c r="D16" s="869" t="str">
        <f t="shared" si="1"/>
        <v>SPO44342</v>
      </c>
      <c r="E16" s="870" t="str">
        <f t="shared" si="2"/>
        <v>SPI44377</v>
      </c>
      <c r="F16" s="890" t="str">
        <f t="shared" si="3"/>
        <v>SPI44426</v>
      </c>
      <c r="G16" s="886">
        <v>6.9219903352171874</v>
      </c>
      <c r="H16" s="871">
        <v>5.0881109626207861</v>
      </c>
      <c r="I16" s="894">
        <v>8.4148405289647066</v>
      </c>
      <c r="J16" s="903">
        <v>5.2706816175395286</v>
      </c>
      <c r="K16" s="904">
        <v>2.8348287037714068</v>
      </c>
      <c r="L16" s="905">
        <v>4.2469220709916948</v>
      </c>
      <c r="M16" s="886">
        <v>3.6322593795010154</v>
      </c>
      <c r="N16" s="871">
        <v>0</v>
      </c>
      <c r="O16" s="894">
        <v>0</v>
      </c>
      <c r="P16" s="903">
        <v>5.2175838324125881</v>
      </c>
      <c r="Q16" s="904">
        <v>0</v>
      </c>
      <c r="R16" s="905">
        <v>0</v>
      </c>
      <c r="S16" s="922">
        <v>4.8620221165427324</v>
      </c>
      <c r="T16" s="871">
        <v>0</v>
      </c>
      <c r="U16" s="894">
        <v>0</v>
      </c>
      <c r="V16" s="931">
        <v>5.6320611658056414</v>
      </c>
      <c r="W16" s="932">
        <v>2.8348287037714068</v>
      </c>
      <c r="X16" s="933">
        <v>4.2469220709916948</v>
      </c>
    </row>
    <row r="17" spans="1:24" x14ac:dyDescent="0.3">
      <c r="A17" s="863" t="str">
        <f>_xlfn.CONCAT(qPCR_Unique!Y17, qPCR_Unique!D17)</f>
        <v>After the burnEP44433</v>
      </c>
      <c r="B17" s="864" t="str">
        <v>After the burnSPI44433</v>
      </c>
      <c r="C17" s="558" t="str">
        <f t="shared" si="0"/>
        <v>SPI44433</v>
      </c>
      <c r="D17" s="869" t="str">
        <f t="shared" si="1"/>
        <v>SPO44350</v>
      </c>
      <c r="E17" s="870" t="str">
        <f t="shared" si="2"/>
        <v>SPI44385</v>
      </c>
      <c r="F17" s="890" t="str">
        <f t="shared" si="3"/>
        <v>SPI44433</v>
      </c>
      <c r="G17" s="886">
        <v>7.134582610383597</v>
      </c>
      <c r="H17" s="871">
        <v>5.4913577477793218</v>
      </c>
      <c r="I17" s="894">
        <v>7.3034935445072406</v>
      </c>
      <c r="J17" s="903">
        <v>5.121059538810405</v>
      </c>
      <c r="K17" s="904">
        <v>2.8803480784195954</v>
      </c>
      <c r="L17" s="905">
        <v>4.1192138535715888</v>
      </c>
      <c r="M17" s="886">
        <v>3.4308583947258704</v>
      </c>
      <c r="N17" s="871">
        <v>0</v>
      </c>
      <c r="O17" s="894">
        <v>0</v>
      </c>
      <c r="P17" s="903">
        <v>5.0434921342265664</v>
      </c>
      <c r="Q17" s="904">
        <v>0</v>
      </c>
      <c r="R17" s="905">
        <v>3.2273567906886726</v>
      </c>
      <c r="S17" s="922">
        <v>3.988365407749451</v>
      </c>
      <c r="T17" s="871">
        <v>0</v>
      </c>
      <c r="U17" s="894">
        <v>0</v>
      </c>
      <c r="V17" s="931">
        <v>5.4067330050285776</v>
      </c>
      <c r="W17" s="932">
        <v>2.8803480784195954</v>
      </c>
      <c r="X17" s="933">
        <v>4.1716289227353132</v>
      </c>
    </row>
    <row r="18" spans="1:24" x14ac:dyDescent="0.3">
      <c r="A18" s="863" t="str">
        <f>_xlfn.CONCAT(qPCR_Unique!Y18, qPCR_Unique!D18)</f>
        <v>Before the burnSPI44335</v>
      </c>
      <c r="B18" s="864" t="str">
        <v>After the burnSPO44405</v>
      </c>
      <c r="C18" s="558" t="str">
        <f t="shared" si="0"/>
        <v>SPO44405</v>
      </c>
      <c r="D18" s="869" t="str">
        <f t="shared" si="1"/>
        <v>SPO44356</v>
      </c>
      <c r="E18" s="870" t="str">
        <f t="shared" si="2"/>
        <v>SPI44391</v>
      </c>
      <c r="F18" s="890" t="str">
        <f t="shared" si="3"/>
        <v>SPO44405</v>
      </c>
      <c r="G18" s="886">
        <v>6.8820149051785551</v>
      </c>
      <c r="H18" s="871">
        <v>5.01187338604002</v>
      </c>
      <c r="I18" s="894">
        <v>6.857961824343902</v>
      </c>
      <c r="J18" s="903">
        <v>4.8995789026498029</v>
      </c>
      <c r="K18" s="904">
        <v>2.6639377692904969</v>
      </c>
      <c r="L18" s="905">
        <v>2.6367344308011669</v>
      </c>
      <c r="M18" s="886">
        <v>4.1163567329406483</v>
      </c>
      <c r="N18" s="871">
        <v>0</v>
      </c>
      <c r="O18" s="894">
        <v>2.3320288243410854</v>
      </c>
      <c r="P18" s="903">
        <v>5.2153438571610549</v>
      </c>
      <c r="Q18" s="904">
        <v>0</v>
      </c>
      <c r="R18" s="905">
        <v>0</v>
      </c>
      <c r="S18" s="922">
        <v>4.1933167364170636</v>
      </c>
      <c r="T18" s="871">
        <v>0</v>
      </c>
      <c r="U18" s="894">
        <v>0</v>
      </c>
      <c r="V18" s="931">
        <v>5.4349265887930054</v>
      </c>
      <c r="W18" s="932">
        <v>2.6639377692904969</v>
      </c>
      <c r="X18" s="933">
        <v>2.8116039394663228</v>
      </c>
    </row>
    <row r="19" spans="1:24" x14ac:dyDescent="0.3">
      <c r="A19" s="863" t="str">
        <f>_xlfn.CONCAT(qPCR_Unique!Y19, qPCR_Unique!D19)</f>
        <v>Before the burnSPI44342</v>
      </c>
      <c r="B19" s="864" t="str">
        <v>After the burnSPO44412</v>
      </c>
      <c r="C19" s="558" t="str">
        <f t="shared" si="0"/>
        <v>SPO44412</v>
      </c>
      <c r="D19" s="869"/>
      <c r="E19" s="870" t="str">
        <f>C55</f>
        <v>SPI44398</v>
      </c>
      <c r="F19" s="890" t="str">
        <f t="shared" si="3"/>
        <v>SPO44412</v>
      </c>
      <c r="G19" s="886"/>
      <c r="H19" s="871">
        <v>7.8383692808696015</v>
      </c>
      <c r="I19" s="894">
        <v>7.9014692811254186</v>
      </c>
      <c r="J19" s="903"/>
      <c r="K19" s="904">
        <v>4.7795727869078934</v>
      </c>
      <c r="L19" s="905">
        <v>4.8122169893004871</v>
      </c>
      <c r="M19" s="886"/>
      <c r="N19" s="871">
        <v>3.3866254690921229</v>
      </c>
      <c r="O19" s="894">
        <v>4.0191397780393325</v>
      </c>
      <c r="P19" s="903"/>
      <c r="Q19" s="904">
        <v>6.1462388958032994</v>
      </c>
      <c r="R19" s="905">
        <v>3.3004200481818198</v>
      </c>
      <c r="S19" s="922"/>
      <c r="T19" s="871">
        <v>3.4723657347419548</v>
      </c>
      <c r="U19" s="894">
        <v>3.6007424370072556</v>
      </c>
      <c r="V19" s="931"/>
      <c r="W19" s="932">
        <v>6.1661212817726314</v>
      </c>
      <c r="X19" s="933">
        <v>4.9102587878722295</v>
      </c>
    </row>
    <row r="20" spans="1:24" x14ac:dyDescent="0.3">
      <c r="A20" s="863" t="str">
        <f>_xlfn.CONCAT(qPCR_Unique!Y20, qPCR_Unique!D20)</f>
        <v>Before the burnSPI44350</v>
      </c>
      <c r="B20" s="864" t="str">
        <v>After the burnSPO44419</v>
      </c>
      <c r="C20" s="558" t="str">
        <f t="shared" si="0"/>
        <v>SPO44419</v>
      </c>
      <c r="D20" s="869"/>
      <c r="E20" s="870" t="str">
        <f t="shared" ref="E20:E24" si="4">C56</f>
        <v>SPO44370</v>
      </c>
      <c r="F20" s="890" t="str">
        <f t="shared" si="3"/>
        <v>SPO44419</v>
      </c>
      <c r="G20" s="886"/>
      <c r="H20" s="871">
        <v>6.8420854826283053</v>
      </c>
      <c r="I20" s="894">
        <v>7.3491595906222695</v>
      </c>
      <c r="J20" s="903"/>
      <c r="K20" s="904">
        <v>0</v>
      </c>
      <c r="L20" s="905">
        <v>3.6833972776381381</v>
      </c>
      <c r="M20" s="886"/>
      <c r="N20" s="871">
        <v>2.2607593586424297</v>
      </c>
      <c r="O20" s="894">
        <v>0</v>
      </c>
      <c r="P20" s="903"/>
      <c r="Q20" s="904">
        <v>0</v>
      </c>
      <c r="R20" s="905">
        <v>0</v>
      </c>
      <c r="S20" s="922"/>
      <c r="T20" s="871">
        <v>0</v>
      </c>
      <c r="U20" s="894">
        <v>2.5896089250665399</v>
      </c>
      <c r="V20" s="931"/>
      <c r="W20" s="932">
        <v>2.2607593586424297</v>
      </c>
      <c r="X20" s="933">
        <v>3.7170530382877782</v>
      </c>
    </row>
    <row r="21" spans="1:24" x14ac:dyDescent="0.3">
      <c r="A21" s="863" t="str">
        <f>_xlfn.CONCAT(qPCR_Unique!Y21, qPCR_Unique!D21)</f>
        <v>Before the burnSPI44356</v>
      </c>
      <c r="B21" s="864" t="str">
        <v>After the burnSPO44426</v>
      </c>
      <c r="C21" s="558" t="str">
        <f t="shared" si="0"/>
        <v>SPO44426</v>
      </c>
      <c r="D21" s="869"/>
      <c r="E21" s="870" t="str">
        <f t="shared" si="4"/>
        <v>SPO44377</v>
      </c>
      <c r="F21" s="890" t="str">
        <f t="shared" si="3"/>
        <v>SPO44426</v>
      </c>
      <c r="G21" s="886"/>
      <c r="H21" s="871">
        <v>6.7899646648484158</v>
      </c>
      <c r="I21" s="894">
        <v>8.2912776118587743</v>
      </c>
      <c r="J21" s="903"/>
      <c r="K21" s="904">
        <v>2.4286434473187644</v>
      </c>
      <c r="L21" s="905">
        <v>4.6753080389039123</v>
      </c>
      <c r="M21" s="886"/>
      <c r="N21" s="871">
        <v>0</v>
      </c>
      <c r="O21" s="894">
        <v>2.9406128501018993</v>
      </c>
      <c r="P21" s="903"/>
      <c r="Q21" s="904">
        <v>0</v>
      </c>
      <c r="R21" s="905">
        <v>4.0156176907627623</v>
      </c>
      <c r="S21" s="922"/>
      <c r="T21" s="871">
        <v>2.5084394771307048</v>
      </c>
      <c r="U21" s="894">
        <v>3.8292751375319267</v>
      </c>
      <c r="V21" s="931"/>
      <c r="W21" s="932">
        <v>2.7714015726213659</v>
      </c>
      <c r="X21" s="933">
        <v>4.815156537643583</v>
      </c>
    </row>
    <row r="22" spans="1:24" x14ac:dyDescent="0.3">
      <c r="A22" s="863" t="str">
        <f>_xlfn.CONCAT(qPCR_Unique!Y22, qPCR_Unique!D22)</f>
        <v>During the burnSPI44370</v>
      </c>
      <c r="B22" s="864" t="str">
        <v>After the burnSPO44433</v>
      </c>
      <c r="C22" s="558" t="str">
        <f t="shared" si="0"/>
        <v>SPO44433</v>
      </c>
      <c r="D22" s="869"/>
      <c r="E22" s="870" t="str">
        <f t="shared" si="4"/>
        <v>SPO44385</v>
      </c>
      <c r="F22" s="890" t="str">
        <f t="shared" si="3"/>
        <v>SPO44433</v>
      </c>
      <c r="G22" s="886"/>
      <c r="H22" s="871">
        <v>6.8892170572706553</v>
      </c>
      <c r="I22" s="894">
        <v>7.6954268258771572</v>
      </c>
      <c r="J22" s="903"/>
      <c r="K22" s="904">
        <v>3.1843703706804534</v>
      </c>
      <c r="L22" s="905">
        <v>4.354304301352979</v>
      </c>
      <c r="M22" s="886"/>
      <c r="N22" s="871">
        <v>0</v>
      </c>
      <c r="O22" s="894">
        <v>2.048705204442399</v>
      </c>
      <c r="P22" s="903"/>
      <c r="Q22" s="904">
        <v>2.6351603567164474</v>
      </c>
      <c r="R22" s="905">
        <v>4.2170056724908411</v>
      </c>
      <c r="S22" s="922"/>
      <c r="T22" s="871">
        <v>0</v>
      </c>
      <c r="U22" s="894">
        <v>2.6977679697637789</v>
      </c>
      <c r="V22" s="931"/>
      <c r="W22" s="932">
        <v>3.2923774298888513</v>
      </c>
      <c r="X22" s="933">
        <v>4.5988180698718546</v>
      </c>
    </row>
    <row r="23" spans="1:24" x14ac:dyDescent="0.3">
      <c r="A23" s="863" t="str">
        <f>_xlfn.CONCAT(qPCR_Unique!Y23, qPCR_Unique!D23)</f>
        <v>During the burnSPI44377</v>
      </c>
      <c r="B23" s="864" t="str">
        <v>Before the burnEP44335</v>
      </c>
      <c r="C23" s="558" t="str">
        <f t="shared" si="0"/>
        <v>EP44335</v>
      </c>
      <c r="D23" s="869"/>
      <c r="E23" s="870" t="str">
        <f t="shared" si="4"/>
        <v>SPO44391</v>
      </c>
      <c r="F23" s="890"/>
      <c r="G23" s="886"/>
      <c r="H23" s="871">
        <v>7.362246912755932</v>
      </c>
      <c r="I23" s="894"/>
      <c r="J23" s="903"/>
      <c r="K23" s="904">
        <v>3.1467904477067403</v>
      </c>
      <c r="L23" s="905"/>
      <c r="M23" s="886"/>
      <c r="N23" s="871">
        <v>2.0060820399846007</v>
      </c>
      <c r="O23" s="894"/>
      <c r="P23" s="903"/>
      <c r="Q23" s="904">
        <v>3.36580187358265</v>
      </c>
      <c r="R23" s="905"/>
      <c r="S23" s="922"/>
      <c r="T23" s="871">
        <v>0</v>
      </c>
      <c r="U23" s="894"/>
      <c r="V23" s="931"/>
      <c r="W23" s="932">
        <v>3.5826569497851435</v>
      </c>
      <c r="X23" s="933"/>
    </row>
    <row r="24" spans="1:24" ht="16.350000000000001" thickBot="1" x14ac:dyDescent="0.35">
      <c r="A24" s="863" t="str">
        <f>_xlfn.CONCAT(qPCR_Unique!Y24, qPCR_Unique!D24)</f>
        <v>During the burnSPI44385</v>
      </c>
      <c r="B24" s="864" t="str">
        <v>Before the burnEP44342</v>
      </c>
      <c r="C24" s="558" t="str">
        <f t="shared" si="0"/>
        <v>EP44342</v>
      </c>
      <c r="D24" s="873"/>
      <c r="E24" s="874" t="str">
        <f t="shared" si="4"/>
        <v>SPO44398</v>
      </c>
      <c r="F24" s="891"/>
      <c r="G24" s="887"/>
      <c r="H24" s="875">
        <v>6.6054349674181383</v>
      </c>
      <c r="I24" s="895"/>
      <c r="J24" s="906"/>
      <c r="K24" s="907">
        <v>2.6667652053756519</v>
      </c>
      <c r="L24" s="908"/>
      <c r="M24" s="887"/>
      <c r="N24" s="875">
        <v>2.2286049992580708</v>
      </c>
      <c r="O24" s="895"/>
      <c r="P24" s="906"/>
      <c r="Q24" s="907">
        <v>0</v>
      </c>
      <c r="R24" s="908"/>
      <c r="S24" s="923"/>
      <c r="T24" s="875">
        <v>0</v>
      </c>
      <c r="U24" s="895"/>
      <c r="V24" s="934"/>
      <c r="W24" s="935">
        <v>2.8017767523015138</v>
      </c>
      <c r="X24" s="936"/>
    </row>
    <row r="25" spans="1:24" ht="16.95" thickTop="1" thickBot="1" x14ac:dyDescent="0.35">
      <c r="A25" s="863" t="str">
        <f>_xlfn.CONCAT(qPCR_Unique!Y25, qPCR_Unique!D25)</f>
        <v>During the burnSPI44391</v>
      </c>
      <c r="B25" s="864" t="str">
        <v>Before the burnEP44350</v>
      </c>
      <c r="C25" s="558" t="str">
        <f t="shared" si="0"/>
        <v>EP44350</v>
      </c>
    </row>
    <row r="26" spans="1:24" ht="16.350000000000001" thickTop="1" x14ac:dyDescent="0.3">
      <c r="A26" s="863" t="str">
        <f>_xlfn.CONCAT(qPCR_Unique!Y26, qPCR_Unique!D26)</f>
        <v>During the burnSPI44398</v>
      </c>
      <c r="B26" s="864" t="str">
        <v>Before the burnEP44356</v>
      </c>
      <c r="C26" s="558" t="str">
        <f t="shared" si="0"/>
        <v>EP44356</v>
      </c>
      <c r="F26" s="629" t="s">
        <v>256</v>
      </c>
      <c r="G26" s="627">
        <f>AVERAGE(G3:G18)</f>
        <v>7.6209293528594708</v>
      </c>
      <c r="H26" s="625">
        <f>AVERAGE(_xlfn.ANCHORARRAY(H3))</f>
        <v>6.4501899586229792</v>
      </c>
      <c r="I26" s="631">
        <f t="shared" ref="I26:U26" si="5">AVERAGE(_xlfn.ANCHORARRAY(I3))</f>
        <v>7.5747195421682347</v>
      </c>
      <c r="J26" s="633">
        <f t="shared" si="5"/>
        <v>4.7070927358523802</v>
      </c>
      <c r="K26" s="634">
        <f t="shared" si="5"/>
        <v>2.3145751480429637</v>
      </c>
      <c r="L26" s="635">
        <f t="shared" si="5"/>
        <v>3.8125407288425324</v>
      </c>
      <c r="M26" s="627">
        <f t="shared" si="5"/>
        <v>3.2174062291836067</v>
      </c>
      <c r="N26" s="625">
        <f t="shared" si="5"/>
        <v>1.3381618506750892</v>
      </c>
      <c r="O26" s="631">
        <f t="shared" si="5"/>
        <v>2.3012027534905291</v>
      </c>
      <c r="P26" s="633">
        <f t="shared" si="5"/>
        <v>2.6253713443332996</v>
      </c>
      <c r="Q26" s="634">
        <f t="shared" si="5"/>
        <v>1.5263438382070929</v>
      </c>
      <c r="R26" s="635">
        <f t="shared" si="5"/>
        <v>2.0092583605424323</v>
      </c>
      <c r="S26" s="627">
        <f t="shared" si="5"/>
        <v>2.3425113482275766</v>
      </c>
      <c r="T26" s="625">
        <f t="shared" si="5"/>
        <v>0.9983503223269331</v>
      </c>
      <c r="U26" s="631">
        <f t="shared" si="5"/>
        <v>0.98104654947328629</v>
      </c>
      <c r="V26" s="633">
        <f t="shared" ref="V26:X26" si="6">AVERAGE(_xlfn.ANCHORARRAY(V3))</f>
        <v>4.828878124953035</v>
      </c>
      <c r="W26" s="634">
        <f t="shared" si="6"/>
        <v>3.2656194096713111</v>
      </c>
      <c r="X26" s="639">
        <f t="shared" si="6"/>
        <v>4.267538274011363</v>
      </c>
    </row>
    <row r="27" spans="1:24" ht="16.350000000000001" thickBot="1" x14ac:dyDescent="0.35">
      <c r="A27" s="863" t="str">
        <f>_xlfn.CONCAT(qPCR_Unique!Y27, qPCR_Unique!D27)</f>
        <v>After the burnSPI44405</v>
      </c>
      <c r="B27" s="864" t="str">
        <v>Before the burnMRT44335</v>
      </c>
      <c r="C27" s="558" t="str">
        <f t="shared" si="0"/>
        <v>MRT44335</v>
      </c>
      <c r="F27" s="630" t="s">
        <v>257</v>
      </c>
      <c r="G27" s="628">
        <f>STDEV(G3:G18)</f>
        <v>0.7808829601492393</v>
      </c>
      <c r="H27" s="626">
        <f>STDEV(_xlfn.ANCHORARRAY(H3))</f>
        <v>1.0912958718893211</v>
      </c>
      <c r="I27" s="632">
        <f t="shared" ref="I27:U27" si="7">STDEV(_xlfn.ANCHORARRAY(I3))</f>
        <v>0.71475510011663823</v>
      </c>
      <c r="J27" s="636">
        <f t="shared" si="7"/>
        <v>0.45464232114759295</v>
      </c>
      <c r="K27" s="637">
        <f t="shared" si="7"/>
        <v>1.5416914139554048</v>
      </c>
      <c r="L27" s="638">
        <f t="shared" si="7"/>
        <v>1.0727023037903101</v>
      </c>
      <c r="M27" s="628">
        <f t="shared" si="7"/>
        <v>0.42923380101478237</v>
      </c>
      <c r="N27" s="626">
        <f t="shared" si="7"/>
        <v>1.415101509223859</v>
      </c>
      <c r="O27" s="632">
        <f t="shared" si="7"/>
        <v>1.292317849768136</v>
      </c>
      <c r="P27" s="636">
        <f t="shared" si="7"/>
        <v>1.984342438729535</v>
      </c>
      <c r="Q27" s="637">
        <f t="shared" si="7"/>
        <v>2.2884768442143661</v>
      </c>
      <c r="R27" s="638">
        <f t="shared" si="7"/>
        <v>2.0126937195579422</v>
      </c>
      <c r="S27" s="628">
        <f t="shared" si="7"/>
        <v>1.6184402953477828</v>
      </c>
      <c r="T27" s="626">
        <f t="shared" si="7"/>
        <v>1.3881537256872842</v>
      </c>
      <c r="U27" s="632">
        <f t="shared" si="7"/>
        <v>1.4364465522148231</v>
      </c>
      <c r="V27" s="636">
        <f t="shared" ref="V27:W27" si="8">STDEV(_xlfn.ANCHORARRAY(V3))</f>
        <v>0.49735955012571564</v>
      </c>
      <c r="W27" s="637">
        <f t="shared" si="8"/>
        <v>1.5833074899321116</v>
      </c>
      <c r="X27" s="640">
        <f>STDEV(_xlfn.ANCHORARRAY(X3))</f>
        <v>0.68442406465164574</v>
      </c>
    </row>
    <row r="28" spans="1:24" ht="16.350000000000001" thickTop="1" x14ac:dyDescent="0.3">
      <c r="A28" s="863" t="str">
        <f>_xlfn.CONCAT(qPCR_Unique!Y28, qPCR_Unique!D28)</f>
        <v>After the burnSPI44412</v>
      </c>
      <c r="B28" s="864" t="str">
        <v>Before the burnMRT44342</v>
      </c>
      <c r="C28" s="558" t="str">
        <f t="shared" si="0"/>
        <v>MRT44342</v>
      </c>
    </row>
    <row r="29" spans="1:24" x14ac:dyDescent="0.3">
      <c r="A29" s="863" t="str">
        <f>_xlfn.CONCAT(qPCR_Unique!Y29, qPCR_Unique!D29)</f>
        <v>After the burnSPI44419</v>
      </c>
      <c r="B29" s="864" t="str">
        <v>Before the burnMRT44350</v>
      </c>
      <c r="C29" s="558" t="str">
        <f t="shared" si="0"/>
        <v>MRT44350</v>
      </c>
    </row>
    <row r="30" spans="1:24" x14ac:dyDescent="0.3">
      <c r="A30" s="863" t="str">
        <f>_xlfn.CONCAT(qPCR_Unique!Y30, qPCR_Unique!D30)</f>
        <v>After the burnSPI44426</v>
      </c>
      <c r="B30" s="864" t="str">
        <v>Before the burnMRT44356</v>
      </c>
      <c r="C30" s="558" t="str">
        <f t="shared" si="0"/>
        <v>MRT44356</v>
      </c>
    </row>
    <row r="31" spans="1:24" x14ac:dyDescent="0.3">
      <c r="A31" s="863" t="str">
        <f>_xlfn.CONCAT(qPCR_Unique!Y31, qPCR_Unique!D31)</f>
        <v>After the burnSPI44433</v>
      </c>
      <c r="B31" s="864" t="str">
        <v>Before the burnSPI44335</v>
      </c>
      <c r="C31" s="558" t="str">
        <f t="shared" si="0"/>
        <v>SPI44335</v>
      </c>
    </row>
    <row r="32" spans="1:24" x14ac:dyDescent="0.3">
      <c r="A32" s="863" t="str">
        <f>_xlfn.CONCAT(qPCR_Unique!Y32, qPCR_Unique!D32)</f>
        <v>Before the burnSPO44335</v>
      </c>
      <c r="B32" s="864" t="str">
        <v>Before the burnSPI44342</v>
      </c>
      <c r="C32" s="558" t="str">
        <f t="shared" si="0"/>
        <v>SPI44342</v>
      </c>
    </row>
    <row r="33" spans="1:3" x14ac:dyDescent="0.3">
      <c r="A33" s="863" t="str">
        <f>_xlfn.CONCAT(qPCR_Unique!Y33, qPCR_Unique!D33)</f>
        <v>Before the burnSPO44342</v>
      </c>
      <c r="B33" s="864" t="str">
        <v>Before the burnSPI44350</v>
      </c>
      <c r="C33" s="558" t="str">
        <f t="shared" si="0"/>
        <v>SPI44350</v>
      </c>
    </row>
    <row r="34" spans="1:3" x14ac:dyDescent="0.3">
      <c r="A34" s="863" t="str">
        <f>_xlfn.CONCAT(qPCR_Unique!Y34, qPCR_Unique!D34)</f>
        <v>Before the burnSPO44350</v>
      </c>
      <c r="B34" s="864" t="str">
        <v>Before the burnSPI44356</v>
      </c>
      <c r="C34" s="558" t="str">
        <f t="shared" si="0"/>
        <v>SPI44356</v>
      </c>
    </row>
    <row r="35" spans="1:3" x14ac:dyDescent="0.3">
      <c r="A35" s="863" t="str">
        <f>_xlfn.CONCAT(qPCR_Unique!Y35, qPCR_Unique!D35)</f>
        <v>Before the burnSPO44356</v>
      </c>
      <c r="B35" s="864" t="str">
        <v>Before the burnSPO44335</v>
      </c>
      <c r="C35" s="558" t="str">
        <f t="shared" si="0"/>
        <v>SPO44335</v>
      </c>
    </row>
    <row r="36" spans="1:3" x14ac:dyDescent="0.3">
      <c r="A36" s="863" t="str">
        <f>_xlfn.CONCAT(qPCR_Unique!Y36, qPCR_Unique!D36)</f>
        <v>During the burnSPO44370</v>
      </c>
      <c r="B36" s="864" t="str">
        <v>Before the burnSPO44342</v>
      </c>
      <c r="C36" s="558" t="str">
        <f t="shared" si="0"/>
        <v>SPO44342</v>
      </c>
    </row>
    <row r="37" spans="1:3" x14ac:dyDescent="0.3">
      <c r="A37" s="863" t="str">
        <f>_xlfn.CONCAT(qPCR_Unique!Y37, qPCR_Unique!D37)</f>
        <v>During the burnSPO44377</v>
      </c>
      <c r="B37" s="864" t="str">
        <v>Before the burnSPO44350</v>
      </c>
      <c r="C37" s="558" t="str">
        <f t="shared" si="0"/>
        <v>SPO44350</v>
      </c>
    </row>
    <row r="38" spans="1:3" x14ac:dyDescent="0.3">
      <c r="A38" s="863" t="str">
        <f>_xlfn.CONCAT(qPCR_Unique!Y38, qPCR_Unique!D38)</f>
        <v>During the burnSPO44385</v>
      </c>
      <c r="B38" s="864" t="str">
        <v>Before the burnSPO44356</v>
      </c>
      <c r="C38" s="558" t="str">
        <f t="shared" si="0"/>
        <v>SPO44356</v>
      </c>
    </row>
    <row r="39" spans="1:3" x14ac:dyDescent="0.3">
      <c r="A39" s="863" t="str">
        <f>_xlfn.CONCAT(qPCR_Unique!Y39, qPCR_Unique!D39)</f>
        <v>During the burnSPO44391</v>
      </c>
      <c r="B39" s="864" t="str">
        <v>During the burnEP44363</v>
      </c>
      <c r="C39" s="558" t="str">
        <f t="shared" si="0"/>
        <v>EP44363</v>
      </c>
    </row>
    <row r="40" spans="1:3" x14ac:dyDescent="0.3">
      <c r="A40" s="863" t="str">
        <f>_xlfn.CONCAT(qPCR_Unique!Y40, qPCR_Unique!D40)</f>
        <v>During the burnSPO44398</v>
      </c>
      <c r="B40" s="864" t="str">
        <v>During the burnEP44370</v>
      </c>
      <c r="C40" s="558" t="str">
        <f t="shared" si="0"/>
        <v>EP44370</v>
      </c>
    </row>
    <row r="41" spans="1:3" x14ac:dyDescent="0.3">
      <c r="A41" s="863" t="str">
        <f>_xlfn.CONCAT(qPCR_Unique!Y41, qPCR_Unique!D41)</f>
        <v>After the burnSPO44405</v>
      </c>
      <c r="B41" s="864" t="str">
        <v>During the burnEP44377</v>
      </c>
      <c r="C41" s="558" t="str">
        <f t="shared" si="0"/>
        <v>EP44377</v>
      </c>
    </row>
    <row r="42" spans="1:3" x14ac:dyDescent="0.3">
      <c r="A42" s="863" t="str">
        <f>_xlfn.CONCAT(qPCR_Unique!Y42, qPCR_Unique!D42)</f>
        <v>After the burnSPO44412</v>
      </c>
      <c r="B42" s="864" t="str">
        <v>During the burnEP44385</v>
      </c>
      <c r="C42" s="558" t="str">
        <f t="shared" si="0"/>
        <v>EP44385</v>
      </c>
    </row>
    <row r="43" spans="1:3" x14ac:dyDescent="0.3">
      <c r="A43" s="863" t="str">
        <f>_xlfn.CONCAT(qPCR_Unique!Y43, qPCR_Unique!D43)</f>
        <v>After the burnSPO44419</v>
      </c>
      <c r="B43" s="864" t="str">
        <v>During the burnEP44391</v>
      </c>
      <c r="C43" s="558" t="str">
        <f t="shared" si="0"/>
        <v>EP44391</v>
      </c>
    </row>
    <row r="44" spans="1:3" x14ac:dyDescent="0.3">
      <c r="A44" s="863" t="str">
        <f>_xlfn.CONCAT(qPCR_Unique!Y44, qPCR_Unique!D44)</f>
        <v>After the burnSPO44426</v>
      </c>
      <c r="B44" s="864" t="str">
        <v>During the burnEP44398</v>
      </c>
      <c r="C44" s="558" t="str">
        <f t="shared" si="0"/>
        <v>EP44398</v>
      </c>
    </row>
    <row r="45" spans="1:3" x14ac:dyDescent="0.3">
      <c r="A45" s="863" t="str">
        <f>_xlfn.CONCAT(qPCR_Unique!Y45, qPCR_Unique!D45)</f>
        <v>After the burnSPO44433</v>
      </c>
      <c r="B45" s="864" t="str">
        <v>During the burnMRT44363</v>
      </c>
      <c r="C45" s="558" t="str">
        <f t="shared" si="0"/>
        <v>MRT44363</v>
      </c>
    </row>
    <row r="46" spans="1:3" x14ac:dyDescent="0.3">
      <c r="A46" s="863" t="str">
        <f>_xlfn.CONCAT(qPCR_Unique!Y46, qPCR_Unique!D46)</f>
        <v>Before the burnMRT44335</v>
      </c>
      <c r="B46" s="864" t="str">
        <v>During the burnMRT44370</v>
      </c>
      <c r="C46" s="558" t="str">
        <f t="shared" si="0"/>
        <v>MRT44370</v>
      </c>
    </row>
    <row r="47" spans="1:3" x14ac:dyDescent="0.3">
      <c r="A47" s="863" t="str">
        <f>_xlfn.CONCAT(qPCR_Unique!Y47, qPCR_Unique!D47)</f>
        <v>Before the burnMRT44342</v>
      </c>
      <c r="B47" s="864" t="str">
        <v>During the burnMRT44377</v>
      </c>
      <c r="C47" s="558" t="str">
        <f t="shared" si="0"/>
        <v>MRT44377</v>
      </c>
    </row>
    <row r="48" spans="1:3" x14ac:dyDescent="0.3">
      <c r="A48" s="863" t="str">
        <f>_xlfn.CONCAT(qPCR_Unique!Y48, qPCR_Unique!D48)</f>
        <v>Before the burnMRT44350</v>
      </c>
      <c r="B48" s="864" t="str">
        <v>During the burnMRT44385</v>
      </c>
      <c r="C48" s="558" t="str">
        <f t="shared" si="0"/>
        <v>MRT44385</v>
      </c>
    </row>
    <row r="49" spans="1:3" x14ac:dyDescent="0.3">
      <c r="A49" s="863" t="str">
        <f>_xlfn.CONCAT(qPCR_Unique!Y49, qPCR_Unique!D49)</f>
        <v>Before the burnMRT44356</v>
      </c>
      <c r="B49" s="864" t="str">
        <v>During the burnMRT44391</v>
      </c>
      <c r="C49" s="558" t="str">
        <f t="shared" si="0"/>
        <v>MRT44391</v>
      </c>
    </row>
    <row r="50" spans="1:3" x14ac:dyDescent="0.3">
      <c r="A50" s="863" t="str">
        <f>_xlfn.CONCAT(qPCR_Unique!Y50, qPCR_Unique!D50)</f>
        <v>During the burnMRT44363</v>
      </c>
      <c r="B50" s="864" t="str">
        <v>During the burnMRT44398</v>
      </c>
      <c r="C50" s="558" t="str">
        <f t="shared" si="0"/>
        <v>MRT44398</v>
      </c>
    </row>
    <row r="51" spans="1:3" x14ac:dyDescent="0.3">
      <c r="A51" s="863" t="str">
        <f>_xlfn.CONCAT(qPCR_Unique!Y51, qPCR_Unique!D51)</f>
        <v>During the burnMRT44370</v>
      </c>
      <c r="B51" s="864" t="str">
        <v>During the burnSPI44370</v>
      </c>
      <c r="C51" s="558" t="str">
        <f t="shared" si="0"/>
        <v>SPI44370</v>
      </c>
    </row>
    <row r="52" spans="1:3" x14ac:dyDescent="0.3">
      <c r="A52" s="863" t="str">
        <f>_xlfn.CONCAT(qPCR_Unique!Y52, qPCR_Unique!D52)</f>
        <v>During the burnMRT44377</v>
      </c>
      <c r="B52" s="864" t="str">
        <v>During the burnSPI44377</v>
      </c>
      <c r="C52" s="558" t="str">
        <f t="shared" si="0"/>
        <v>SPI44377</v>
      </c>
    </row>
    <row r="53" spans="1:3" x14ac:dyDescent="0.3">
      <c r="A53" s="863" t="str">
        <f>_xlfn.CONCAT(qPCR_Unique!Y53, qPCR_Unique!D53)</f>
        <v>During the burnMRT44385</v>
      </c>
      <c r="B53" s="864" t="str">
        <v>During the burnSPI44385</v>
      </c>
      <c r="C53" s="558" t="str">
        <f t="shared" si="0"/>
        <v>SPI44385</v>
      </c>
    </row>
    <row r="54" spans="1:3" x14ac:dyDescent="0.3">
      <c r="A54" s="863" t="str">
        <f>_xlfn.CONCAT(qPCR_Unique!Y54, qPCR_Unique!D54)</f>
        <v>During the burnMRT44391</v>
      </c>
      <c r="B54" s="864" t="str">
        <v>During the burnSPI44391</v>
      </c>
      <c r="C54" s="558" t="str">
        <f t="shared" si="0"/>
        <v>SPI44391</v>
      </c>
    </row>
    <row r="55" spans="1:3" x14ac:dyDescent="0.3">
      <c r="A55" s="863" t="str">
        <f>_xlfn.CONCAT(qPCR_Unique!Y55, qPCR_Unique!D55)</f>
        <v>During the burnMRT44398</v>
      </c>
      <c r="B55" s="864" t="str">
        <v>During the burnSPI44398</v>
      </c>
      <c r="C55" s="558" t="str">
        <f t="shared" si="0"/>
        <v>SPI44398</v>
      </c>
    </row>
    <row r="56" spans="1:3" x14ac:dyDescent="0.3">
      <c r="A56" s="863" t="str">
        <f>_xlfn.CONCAT(qPCR_Unique!Y56, qPCR_Unique!D56)</f>
        <v>After the burnMRT44405</v>
      </c>
      <c r="B56" s="864" t="str">
        <v>During the burnSPO44370</v>
      </c>
      <c r="C56" s="558" t="str">
        <f t="shared" si="0"/>
        <v>SPO44370</v>
      </c>
    </row>
    <row r="57" spans="1:3" x14ac:dyDescent="0.3">
      <c r="A57" s="863" t="str">
        <f>_xlfn.CONCAT(qPCR_Unique!Y57, qPCR_Unique!D57)</f>
        <v>After the burnMRT44412</v>
      </c>
      <c r="B57" s="864" t="str">
        <v>During the burnSPO44377</v>
      </c>
      <c r="C57" s="558" t="str">
        <f t="shared" si="0"/>
        <v>SPO44377</v>
      </c>
    </row>
    <row r="58" spans="1:3" x14ac:dyDescent="0.3">
      <c r="A58" s="863" t="str">
        <f>_xlfn.CONCAT(qPCR_Unique!Y58, qPCR_Unique!D58)</f>
        <v>After the burnMRT44419</v>
      </c>
      <c r="B58" s="864" t="str">
        <v>During the burnSPO44385</v>
      </c>
      <c r="C58" s="558" t="str">
        <f t="shared" si="0"/>
        <v>SPO44385</v>
      </c>
    </row>
    <row r="59" spans="1:3" x14ac:dyDescent="0.3">
      <c r="A59" s="863" t="str">
        <f>_xlfn.CONCAT(qPCR_Unique!Y59, qPCR_Unique!D59)</f>
        <v>After the burnMRT44426</v>
      </c>
      <c r="B59" s="864" t="str">
        <v>During the burnSPO44391</v>
      </c>
      <c r="C59" s="558" t="str">
        <f t="shared" si="0"/>
        <v>SPO44391</v>
      </c>
    </row>
    <row r="60" spans="1:3" ht="16.350000000000001" thickBot="1" x14ac:dyDescent="0.35">
      <c r="A60" s="865" t="str">
        <f>_xlfn.CONCAT(qPCR_Unique!Y60, qPCR_Unique!D60)</f>
        <v>After the burnMRT44433</v>
      </c>
      <c r="B60" s="866" t="str">
        <v>During the burnSPO44398</v>
      </c>
      <c r="C60" s="561" t="str">
        <f t="shared" si="0"/>
        <v>SPO44398</v>
      </c>
    </row>
    <row r="61" spans="1:3" ht="16.350000000000001" thickTop="1" x14ac:dyDescent="0.3"/>
    <row r="69" spans="1:24" ht="16.350000000000001" thickBot="1" x14ac:dyDescent="0.35"/>
    <row r="70" spans="1:24" s="552" customFormat="1" ht="18.8" thickTop="1" x14ac:dyDescent="0.3">
      <c r="A70" s="956" t="s">
        <v>262</v>
      </c>
      <c r="B70" s="957"/>
      <c r="C70" s="958"/>
      <c r="D70" s="959"/>
      <c r="E70" s="1732" t="s">
        <v>285</v>
      </c>
      <c r="F70" s="1733"/>
      <c r="G70" s="961" t="s">
        <v>253</v>
      </c>
      <c r="H70" s="960" t="s">
        <v>254</v>
      </c>
      <c r="I70" s="970" t="s">
        <v>255</v>
      </c>
      <c r="J70" s="976" t="s">
        <v>253</v>
      </c>
      <c r="K70" s="977" t="s">
        <v>254</v>
      </c>
      <c r="L70" s="978" t="s">
        <v>255</v>
      </c>
      <c r="M70" s="961" t="s">
        <v>253</v>
      </c>
      <c r="N70" s="960" t="s">
        <v>254</v>
      </c>
      <c r="O70" s="970" t="s">
        <v>255</v>
      </c>
      <c r="P70" s="976" t="s">
        <v>253</v>
      </c>
      <c r="Q70" s="977" t="s">
        <v>254</v>
      </c>
      <c r="R70" s="978" t="s">
        <v>255</v>
      </c>
      <c r="S70" s="961" t="s">
        <v>253</v>
      </c>
      <c r="T70" s="960" t="s">
        <v>254</v>
      </c>
      <c r="U70" s="970" t="s">
        <v>255</v>
      </c>
      <c r="V70" s="976" t="s">
        <v>253</v>
      </c>
      <c r="W70" s="977" t="s">
        <v>254</v>
      </c>
      <c r="X70" s="992" t="s">
        <v>255</v>
      </c>
    </row>
    <row r="71" spans="1:24" s="861" customFormat="1" ht="35.1" customHeight="1" thickBot="1" x14ac:dyDescent="0.35">
      <c r="A71" s="940" t="s">
        <v>247</v>
      </c>
      <c r="B71" s="941" t="s">
        <v>248</v>
      </c>
      <c r="C71" s="942" t="s">
        <v>249</v>
      </c>
      <c r="D71" s="952" t="s">
        <v>251</v>
      </c>
      <c r="E71" s="953" t="s">
        <v>250</v>
      </c>
      <c r="F71" s="966" t="s">
        <v>252</v>
      </c>
      <c r="G71" s="962" t="s">
        <v>8</v>
      </c>
      <c r="H71" s="954" t="s">
        <v>8</v>
      </c>
      <c r="I71" s="971" t="s">
        <v>8</v>
      </c>
      <c r="J71" s="979" t="s">
        <v>3</v>
      </c>
      <c r="K71" s="980" t="s">
        <v>3</v>
      </c>
      <c r="L71" s="981" t="s">
        <v>3</v>
      </c>
      <c r="M71" s="975" t="s">
        <v>5</v>
      </c>
      <c r="N71" s="955" t="s">
        <v>5</v>
      </c>
      <c r="O71" s="991" t="s">
        <v>5</v>
      </c>
      <c r="P71" s="979" t="s">
        <v>6</v>
      </c>
      <c r="Q71" s="980" t="s">
        <v>6</v>
      </c>
      <c r="R71" s="981" t="s">
        <v>6</v>
      </c>
      <c r="S71" s="975" t="s">
        <v>51</v>
      </c>
      <c r="T71" s="955" t="s">
        <v>51</v>
      </c>
      <c r="U71" s="991" t="s">
        <v>51</v>
      </c>
      <c r="V71" s="1021" t="s">
        <v>286</v>
      </c>
      <c r="W71" s="1022" t="s">
        <v>286</v>
      </c>
      <c r="X71" s="1023" t="s">
        <v>286</v>
      </c>
    </row>
    <row r="72" spans="1:24" x14ac:dyDescent="0.3">
      <c r="A72" s="939" t="str">
        <f>_xlfn.CONCAT(qPCR_Unique!Y61, qPCR_Unique!D61)</f>
        <v>Before the burnRN44335</v>
      </c>
      <c r="B72" s="878" t="str" cm="1">
        <f t="array" ref="B72:B129">_xlfn._xlws.SORT(A72:A129, 1, 1)</f>
        <v>After the burnRL44405</v>
      </c>
      <c r="C72" s="653" t="str">
        <f>RIGHT(B72, LEN(B72)-(FIND("burn", B72)+3))</f>
        <v>RL44405</v>
      </c>
      <c r="D72" s="949" t="str">
        <f>C92</f>
        <v>RL44335</v>
      </c>
      <c r="E72" s="950" t="str">
        <f>C107</f>
        <v>RL44363</v>
      </c>
      <c r="F72" s="967" t="str">
        <f>C72</f>
        <v>RL44405</v>
      </c>
      <c r="G72" s="963" cm="1">
        <f t="array" ref="G72:G86">_xlfn._xlws.FILTER(qPCR_Unique!$I$61:$I$118, COUNTIF($D$72:$D$86, qPCR_Unique!$D$61:$D$118))</f>
        <v>9.0497576396880604</v>
      </c>
      <c r="H72" s="951" cm="1">
        <f t="array" ref="H72:H94">_xlfn._xlws.FILTER(qPCR_Unique!$I$61:$I$118, COUNTIF($E$72:$E$94, qPCR_Unique!$D$61:$D$118))</f>
        <v>7.5755870095503726</v>
      </c>
      <c r="I72" s="972" cm="1">
        <f t="array" ref="I72:I91">_xlfn._xlws.FILTER(qPCR_Unique!$I$61:$I$118, COUNTIF($F$72:$F$91, qPCR_Unique!$D$61:$D$118))</f>
        <v>9.8465963824465117</v>
      </c>
      <c r="J72" s="982" cm="1">
        <f t="array" ref="J72:J86">_xlfn._xlws.FILTER(qPCR_Unique!$L$61:$L$118, COUNTIF($D$72:$D$86, qPCR_Unique!$D$61:$D$118))</f>
        <v>4.8874086588122267</v>
      </c>
      <c r="K72" s="983" cm="1">
        <f t="array" ref="K72:K94">_xlfn._xlws.FILTER(qPCR_Unique!$L$61:$L$118, COUNTIF($E$72:$E$94, qPCR_Unique!$D$61:$D$118))</f>
        <v>0</v>
      </c>
      <c r="L72" s="984" cm="1">
        <f t="array" ref="L72:L91">_xlfn._xlws.FILTER(qPCR_Unique!$L$61:$L$118, COUNTIF($F$72:$F$91, qPCR_Unique!$D$61:$D$118))</f>
        <v>4.0789618308486393</v>
      </c>
      <c r="M72" s="963" cm="1">
        <f t="array" ref="M72:M86">_xlfn._xlws.FILTER(qPCR_Unique!$O$61:$O$118, COUNTIF($D$72:$D$86, qPCR_Unique!$D$61:$D$118))</f>
        <v>5.7209447811309939</v>
      </c>
      <c r="N72" s="951" cm="1">
        <f t="array" ref="N72:N94">_xlfn._xlws.FILTER(qPCR_Unique!$O$61:$O$118, COUNTIF($E$72:$E$94, qPCR_Unique!$D$61:$D$118))</f>
        <v>4.2106156072800465</v>
      </c>
      <c r="O72" s="972" cm="1">
        <f t="array" ref="O72:O91">_xlfn._xlws.FILTER(qPCR_Unique!$O$61:$O$118, COUNTIF($F$72:$F$91, qPCR_Unique!$D$61:$D$118))</f>
        <v>4.966883790581651</v>
      </c>
      <c r="P72" s="982" cm="1">
        <f t="array" ref="P72:P86">_xlfn._xlws.FILTER(qPCR_Unique!$R$61:$R$118, COUNTIF($D$72:$D$86, qPCR_Unique!$D$61:$D$118))</f>
        <v>0</v>
      </c>
      <c r="Q72" s="983" cm="1">
        <f t="array" ref="Q72:Q94">_xlfn._xlws.FILTER(qPCR_Unique!$R$61:$R$118, COUNTIF($E$72:$E$94, qPCR_Unique!$D$61:$D$118))</f>
        <v>0</v>
      </c>
      <c r="R72" s="984" cm="1">
        <f t="array" ref="R72:R91">_xlfn._xlws.FILTER(qPCR_Unique!$R$61:$R$118, COUNTIF($F$72:$F$91, qPCR_Unique!$D$61:$D$118))</f>
        <v>0</v>
      </c>
      <c r="S72" s="963" cm="1">
        <f t="array" ref="S72:S86">_xlfn._xlws.FILTER(qPCR_Unique!$U$61:$U$118, COUNTIF($D$72:$D$86, qPCR_Unique!$D$61:$D$118))</f>
        <v>7.0792634452056076</v>
      </c>
      <c r="T72" s="951" cm="1">
        <f t="array" ref="T72:T94">_xlfn._xlws.FILTER(qPCR_Unique!$U$61:$U$118, COUNTIF($E$72:$E$94, qPCR_Unique!$D$61:$D$118))</f>
        <v>6.0329542550771391</v>
      </c>
      <c r="U72" s="972" cm="1">
        <f t="array" ref="U72:U91">_xlfn._xlws.FILTER(qPCR_Unique!$U$61:$U$118, COUNTIF($F$72:$F$91, qPCR_Unique!$D$61:$D$118))</f>
        <v>6.4926071483978385</v>
      </c>
      <c r="V72" s="993" cm="1">
        <f t="array" ref="V72:V86">_xlfn._xlws.FILTER(qPCR_Unique!$X$61:$X$118, COUNTIF($D$72:$D$86, qPCR_Unique!$D$61:$D$118))</f>
        <v>7.1005561068026344</v>
      </c>
      <c r="W72" s="994" cm="1">
        <f t="array" ref="W72:W94">_xlfn._xlws.FILTER(qPCR_Unique!$X$61:$X$118, COUNTIF($E$72:$E$94, qPCR_Unique!$D$61:$D$118))</f>
        <v>6.0394435420451087</v>
      </c>
      <c r="X72" s="995" cm="1">
        <f t="array" ref="X72:X91">_xlfn._xlws.FILTER(qPCR_Unique!$X$61:$X$118, COUNTIF($F$72:$F$91, qPCR_Unique!$D$61:$D$118))</f>
        <v>6.506985731257366</v>
      </c>
    </row>
    <row r="73" spans="1:24" x14ac:dyDescent="0.3">
      <c r="A73" s="937" t="str">
        <f>_xlfn.CONCAT(qPCR_Unique!Y62, qPCR_Unique!D62)</f>
        <v>Before the burnRN44342</v>
      </c>
      <c r="B73" s="870" t="str">
        <v>After the burnRL44412</v>
      </c>
      <c r="C73" s="647" t="str">
        <f t="shared" ref="C73:C129" si="9">RIGHT(B73, LEN(B73)-(FIND("burn", B73)+3))</f>
        <v>RL44412</v>
      </c>
      <c r="D73" s="943" t="str">
        <f t="shared" ref="D73:D86" si="10">C93</f>
        <v>RL44342</v>
      </c>
      <c r="E73" s="944" t="str">
        <f t="shared" ref="E73:E94" si="11">C108</f>
        <v>RL44370</v>
      </c>
      <c r="F73" s="968" t="str">
        <f t="shared" ref="F73:F91" si="12">C73</f>
        <v>RL44412</v>
      </c>
      <c r="G73" s="964">
        <v>8.0739575068438771</v>
      </c>
      <c r="H73" s="945">
        <v>8.9481229124964674</v>
      </c>
      <c r="I73" s="973">
        <v>8.7619108730210442</v>
      </c>
      <c r="J73" s="985">
        <v>4.582345351084574</v>
      </c>
      <c r="K73" s="986">
        <v>0</v>
      </c>
      <c r="L73" s="987">
        <v>3.7724110136143607</v>
      </c>
      <c r="M73" s="964">
        <v>4.5789234554193214</v>
      </c>
      <c r="N73" s="945">
        <v>4.972675217011691</v>
      </c>
      <c r="O73" s="973">
        <v>4.6391474905137544</v>
      </c>
      <c r="P73" s="985">
        <v>0</v>
      </c>
      <c r="Q73" s="986">
        <v>0</v>
      </c>
      <c r="R73" s="987">
        <v>3.505192400473788</v>
      </c>
      <c r="S73" s="964">
        <v>5.9408651947164479</v>
      </c>
      <c r="T73" s="945">
        <v>6.4238796591750136</v>
      </c>
      <c r="U73" s="973">
        <v>5.3612590735701922</v>
      </c>
      <c r="V73" s="996">
        <v>5.9771975914967843</v>
      </c>
      <c r="W73" s="997">
        <v>6.4389807201198508</v>
      </c>
      <c r="X73" s="998">
        <v>5.4509252652322751</v>
      </c>
    </row>
    <row r="74" spans="1:24" x14ac:dyDescent="0.3">
      <c r="A74" s="937" t="str">
        <f>_xlfn.CONCAT(qPCR_Unique!Y63, qPCR_Unique!D63)</f>
        <v>Before the burnRN44350</v>
      </c>
      <c r="B74" s="870" t="str">
        <v>After the burnRL44419</v>
      </c>
      <c r="C74" s="647" t="str">
        <f t="shared" si="9"/>
        <v>RL44419</v>
      </c>
      <c r="D74" s="943" t="str">
        <f t="shared" si="10"/>
        <v>RL44350</v>
      </c>
      <c r="E74" s="944" t="str">
        <f t="shared" si="11"/>
        <v>RL44385</v>
      </c>
      <c r="F74" s="968" t="str">
        <f t="shared" si="12"/>
        <v>RL44419</v>
      </c>
      <c r="G74" s="964">
        <v>9.9736003923149656</v>
      </c>
      <c r="H74" s="945">
        <v>8.7893770962330091</v>
      </c>
      <c r="I74" s="973">
        <v>8.7956529211205527</v>
      </c>
      <c r="J74" s="985">
        <v>5.2120222604884647</v>
      </c>
      <c r="K74" s="986">
        <v>0</v>
      </c>
      <c r="L74" s="987">
        <v>4.063005892980124</v>
      </c>
      <c r="M74" s="964">
        <v>5.3808577257032759</v>
      </c>
      <c r="N74" s="945">
        <v>5.2319408525106175</v>
      </c>
      <c r="O74" s="973">
        <v>4.7652346487326867</v>
      </c>
      <c r="P74" s="985">
        <v>2.8671217803632532</v>
      </c>
      <c r="Q74" s="986">
        <v>0</v>
      </c>
      <c r="R74" s="987">
        <v>0</v>
      </c>
      <c r="S74" s="964">
        <v>6.8914232824001544</v>
      </c>
      <c r="T74" s="945">
        <v>6.7465834779246157</v>
      </c>
      <c r="U74" s="973">
        <v>5.9541054675219511</v>
      </c>
      <c r="V74" s="996">
        <v>6.9133891052679397</v>
      </c>
      <c r="W74" s="997">
        <v>6.7596628112187753</v>
      </c>
      <c r="X74" s="998">
        <v>5.9865563736692264</v>
      </c>
    </row>
    <row r="75" spans="1:24" x14ac:dyDescent="0.3">
      <c r="A75" s="937" t="str">
        <f>_xlfn.CONCAT(qPCR_Unique!Y64, qPCR_Unique!D64)</f>
        <v>Before the burnRN44356</v>
      </c>
      <c r="B75" s="870" t="str">
        <v>After the burnRL44426</v>
      </c>
      <c r="C75" s="647" t="str">
        <f t="shared" si="9"/>
        <v>RL44426</v>
      </c>
      <c r="D75" s="943" t="str">
        <f t="shared" si="10"/>
        <v>RL44356</v>
      </c>
      <c r="E75" s="944" t="str">
        <f t="shared" si="11"/>
        <v>RL44391</v>
      </c>
      <c r="F75" s="968" t="str">
        <f t="shared" si="12"/>
        <v>RL44426</v>
      </c>
      <c r="G75" s="964">
        <v>9.0805407894700885</v>
      </c>
      <c r="H75" s="945">
        <v>8.7422239622644788</v>
      </c>
      <c r="I75" s="973">
        <v>8.6511149385728281</v>
      </c>
      <c r="J75" s="985">
        <v>4.5905055775213919</v>
      </c>
      <c r="K75" s="986">
        <v>2.8426731922953588</v>
      </c>
      <c r="L75" s="987">
        <v>3.9558924586156925</v>
      </c>
      <c r="M75" s="964">
        <v>4.3104329272152517</v>
      </c>
      <c r="N75" s="945">
        <v>4.7025848149247986</v>
      </c>
      <c r="O75" s="973">
        <v>3.9884828813409765</v>
      </c>
      <c r="P75" s="985">
        <v>4.2064803213784936</v>
      </c>
      <c r="Q75" s="986">
        <v>0</v>
      </c>
      <c r="R75" s="987">
        <v>0</v>
      </c>
      <c r="S75" s="964">
        <v>6.5764821103594846</v>
      </c>
      <c r="T75" s="945">
        <v>6.583365509828246</v>
      </c>
      <c r="U75" s="973">
        <v>5.8462238907393802</v>
      </c>
      <c r="V75" s="996">
        <v>6.5850879640502056</v>
      </c>
      <c r="W75" s="997">
        <v>6.589120940928983</v>
      </c>
      <c r="X75" s="998">
        <v>5.8576879672140345</v>
      </c>
    </row>
    <row r="76" spans="1:24" x14ac:dyDescent="0.3">
      <c r="A76" s="937" t="str">
        <f>_xlfn.CONCAT(qPCR_Unique!Y65, qPCR_Unique!D65)</f>
        <v>During the burnRN44363</v>
      </c>
      <c r="B76" s="870" t="str">
        <v>After the burnRL44433</v>
      </c>
      <c r="C76" s="647" t="str">
        <f t="shared" si="9"/>
        <v>RL44433</v>
      </c>
      <c r="D76" s="943" t="str">
        <f t="shared" si="10"/>
        <v>RN44335</v>
      </c>
      <c r="E76" s="944" t="str">
        <f t="shared" si="11"/>
        <v>RL44398</v>
      </c>
      <c r="F76" s="968" t="str">
        <f t="shared" si="12"/>
        <v>RL44433</v>
      </c>
      <c r="G76" s="964">
        <v>7.4691683721050639</v>
      </c>
      <c r="H76" s="945">
        <v>9.4968335120305873</v>
      </c>
      <c r="I76" s="973">
        <v>9.1672151154857069</v>
      </c>
      <c r="J76" s="985">
        <v>4.7400289986131288</v>
      </c>
      <c r="K76" s="986">
        <v>0</v>
      </c>
      <c r="L76" s="987">
        <v>3.3825519858263853</v>
      </c>
      <c r="M76" s="964">
        <v>4.4051917282697053</v>
      </c>
      <c r="N76" s="945">
        <v>6.2559757760072374</v>
      </c>
      <c r="O76" s="973">
        <v>4.0205992861258624</v>
      </c>
      <c r="P76" s="985">
        <v>0</v>
      </c>
      <c r="Q76" s="986">
        <v>4.475989658364921</v>
      </c>
      <c r="R76" s="987">
        <v>5.9567414178163585</v>
      </c>
      <c r="S76" s="964">
        <v>2.5204130406954133</v>
      </c>
      <c r="T76" s="945">
        <v>7.7502065365441126</v>
      </c>
      <c r="U76" s="973">
        <v>4.6614390992234407</v>
      </c>
      <c r="V76" s="996">
        <v>4.9069281558909319</v>
      </c>
      <c r="W76" s="997">
        <v>7.764129195704605</v>
      </c>
      <c r="X76" s="998">
        <v>5.9840557375423442</v>
      </c>
    </row>
    <row r="77" spans="1:24" x14ac:dyDescent="0.3">
      <c r="A77" s="937" t="str">
        <f>_xlfn.CONCAT(qPCR_Unique!Y66, qPCR_Unique!D66)</f>
        <v>During the burnRN44370</v>
      </c>
      <c r="B77" s="870" t="str">
        <v>After the burnRN44405</v>
      </c>
      <c r="C77" s="647" t="str">
        <f t="shared" si="9"/>
        <v>RN44405</v>
      </c>
      <c r="D77" s="943" t="str">
        <f t="shared" si="10"/>
        <v>RN44342</v>
      </c>
      <c r="E77" s="944" t="str">
        <f t="shared" si="11"/>
        <v>RN44363</v>
      </c>
      <c r="F77" s="968" t="str">
        <f t="shared" si="12"/>
        <v>RN44405</v>
      </c>
      <c r="G77" s="964">
        <v>7.6870587008862445</v>
      </c>
      <c r="H77" s="945">
        <v>8.4510484637141765</v>
      </c>
      <c r="I77" s="973">
        <v>8.1333710139331075</v>
      </c>
      <c r="J77" s="985">
        <v>4.7211953366507178</v>
      </c>
      <c r="K77" s="986">
        <v>2.5293707608093068</v>
      </c>
      <c r="L77" s="987">
        <v>4.5326444063254305</v>
      </c>
      <c r="M77" s="964">
        <v>4.2034233374593502</v>
      </c>
      <c r="N77" s="945">
        <v>4.5696227545333876</v>
      </c>
      <c r="O77" s="973">
        <v>3.6371857019862635</v>
      </c>
      <c r="P77" s="985">
        <v>0</v>
      </c>
      <c r="Q77" s="986">
        <v>2.9799106746966424</v>
      </c>
      <c r="R77" s="987">
        <v>0</v>
      </c>
      <c r="S77" s="964">
        <v>2.8024360933784962</v>
      </c>
      <c r="T77" s="945">
        <v>0</v>
      </c>
      <c r="U77" s="973">
        <v>3.0363742024637514</v>
      </c>
      <c r="V77" s="996">
        <v>4.8403210099395428</v>
      </c>
      <c r="W77" s="997">
        <v>4.5844942085514333</v>
      </c>
      <c r="X77" s="998">
        <v>4.5967695831395945</v>
      </c>
    </row>
    <row r="78" spans="1:24" x14ac:dyDescent="0.3">
      <c r="A78" s="937" t="str">
        <f>_xlfn.CONCAT(qPCR_Unique!Y67, qPCR_Unique!D67)</f>
        <v>During the burnRN44377</v>
      </c>
      <c r="B78" s="870" t="str">
        <v>After the burnRN44412</v>
      </c>
      <c r="C78" s="647" t="str">
        <f t="shared" si="9"/>
        <v>RN44412</v>
      </c>
      <c r="D78" s="943" t="str">
        <f t="shared" si="10"/>
        <v>RN44350</v>
      </c>
      <c r="E78" s="944" t="str">
        <f t="shared" si="11"/>
        <v>RN44370</v>
      </c>
      <c r="F78" s="968" t="str">
        <f t="shared" si="12"/>
        <v>RN44412</v>
      </c>
      <c r="G78" s="964">
        <v>7.0970742653226893</v>
      </c>
      <c r="H78" s="945">
        <v>6.6956501668543815</v>
      </c>
      <c r="I78" s="973">
        <v>7.7970179338660834</v>
      </c>
      <c r="J78" s="985">
        <v>4.3537581058361781</v>
      </c>
      <c r="K78" s="986">
        <v>0</v>
      </c>
      <c r="L78" s="987">
        <v>3.7303707033332447</v>
      </c>
      <c r="M78" s="964">
        <v>3.7638717262823116</v>
      </c>
      <c r="N78" s="945">
        <v>4.3559487492646749</v>
      </c>
      <c r="O78" s="973">
        <v>4.0131980264403566</v>
      </c>
      <c r="P78" s="985">
        <v>0</v>
      </c>
      <c r="Q78" s="986">
        <v>0</v>
      </c>
      <c r="R78" s="987">
        <v>0</v>
      </c>
      <c r="S78" s="964">
        <v>2.7605127333945005</v>
      </c>
      <c r="T78" s="945">
        <v>1.8620594843788647</v>
      </c>
      <c r="U78" s="973">
        <v>3.0807511674943671</v>
      </c>
      <c r="V78" s="996">
        <v>4.4618559199604793</v>
      </c>
      <c r="W78" s="997">
        <v>4.3573393407477621</v>
      </c>
      <c r="X78" s="998">
        <v>4.2275733381513261</v>
      </c>
    </row>
    <row r="79" spans="1:24" x14ac:dyDescent="0.3">
      <c r="A79" s="937" t="str">
        <f>_xlfn.CONCAT(qPCR_Unique!Y68, qPCR_Unique!D68)</f>
        <v>During the burnRN44385</v>
      </c>
      <c r="B79" s="870" t="str">
        <v>After the burnRN44419</v>
      </c>
      <c r="C79" s="647" t="str">
        <f t="shared" si="9"/>
        <v>RN44419</v>
      </c>
      <c r="D79" s="943" t="str">
        <f t="shared" si="10"/>
        <v>RN44356</v>
      </c>
      <c r="E79" s="944" t="str">
        <f t="shared" si="11"/>
        <v>RN44377</v>
      </c>
      <c r="F79" s="968" t="str">
        <f t="shared" si="12"/>
        <v>RN44419</v>
      </c>
      <c r="G79" s="964">
        <v>7.7336987531004038</v>
      </c>
      <c r="H79" s="945">
        <v>6.7113774578673802</v>
      </c>
      <c r="I79" s="973">
        <v>8.4672516463565746</v>
      </c>
      <c r="J79" s="985">
        <v>4.3340059600019885</v>
      </c>
      <c r="K79" s="986">
        <v>0</v>
      </c>
      <c r="L79" s="987">
        <v>4.0851231859017831</v>
      </c>
      <c r="M79" s="964">
        <v>3.7516032075768719</v>
      </c>
      <c r="N79" s="945">
        <v>4.528648619786007</v>
      </c>
      <c r="O79" s="973">
        <v>4.1279498708001707</v>
      </c>
      <c r="P79" s="985">
        <v>0</v>
      </c>
      <c r="Q79" s="986">
        <v>0</v>
      </c>
      <c r="R79" s="987">
        <v>4.5219452069362802</v>
      </c>
      <c r="S79" s="964">
        <v>0</v>
      </c>
      <c r="T79" s="945">
        <v>3.6892668926510406</v>
      </c>
      <c r="U79" s="973">
        <v>0</v>
      </c>
      <c r="V79" s="996">
        <v>4.4349192443684737</v>
      </c>
      <c r="W79" s="997">
        <v>4.5873592341105756</v>
      </c>
      <c r="X79" s="998">
        <v>4.7697698492433531</v>
      </c>
    </row>
    <row r="80" spans="1:24" x14ac:dyDescent="0.3">
      <c r="A80" s="937" t="str">
        <f>_xlfn.CONCAT(qPCR_Unique!Y69, qPCR_Unique!D69)</f>
        <v>During the burnRN44391</v>
      </c>
      <c r="B80" s="870" t="str">
        <v>After the burnRN44426</v>
      </c>
      <c r="C80" s="647" t="str">
        <f t="shared" si="9"/>
        <v>RN44426</v>
      </c>
      <c r="D80" s="943" t="str">
        <f t="shared" si="10"/>
        <v>RS44335</v>
      </c>
      <c r="E80" s="944" t="str">
        <f t="shared" si="11"/>
        <v>RN44385</v>
      </c>
      <c r="F80" s="968" t="str">
        <f t="shared" si="12"/>
        <v>RN44426</v>
      </c>
      <c r="G80" s="964">
        <v>8.056562054046335</v>
      </c>
      <c r="H80" s="945">
        <v>6.5199267632234479</v>
      </c>
      <c r="I80" s="973">
        <v>7.5735569828090972</v>
      </c>
      <c r="J80" s="985">
        <v>5.2988036670212644</v>
      </c>
      <c r="K80" s="986">
        <v>0</v>
      </c>
      <c r="L80" s="987">
        <v>4.9425680230912103</v>
      </c>
      <c r="M80" s="964">
        <v>3.2101183280359256</v>
      </c>
      <c r="N80" s="945">
        <v>4.2412600059771011</v>
      </c>
      <c r="O80" s="973">
        <v>3.396386455090723</v>
      </c>
      <c r="P80" s="985">
        <v>2.8878923350740906</v>
      </c>
      <c r="Q80" s="986">
        <v>0</v>
      </c>
      <c r="R80" s="987">
        <v>0</v>
      </c>
      <c r="S80" s="964">
        <v>1.9211965312062447</v>
      </c>
      <c r="T80" s="945">
        <v>3.0618000178157891</v>
      </c>
      <c r="U80" s="973">
        <v>2.572604608472389</v>
      </c>
      <c r="V80" s="996">
        <v>5.3041791462411982</v>
      </c>
      <c r="W80" s="997">
        <v>4.2690789478210212</v>
      </c>
      <c r="X80" s="998">
        <v>4.9565417274702419</v>
      </c>
    </row>
    <row r="81" spans="1:24" x14ac:dyDescent="0.3">
      <c r="A81" s="937" t="str">
        <f>_xlfn.CONCAT(qPCR_Unique!Y70, qPCR_Unique!D70)</f>
        <v>During the burnRN44398</v>
      </c>
      <c r="B81" s="870" t="str">
        <v>After the burnRN44433</v>
      </c>
      <c r="C81" s="647" t="str">
        <f t="shared" si="9"/>
        <v>RN44433</v>
      </c>
      <c r="D81" s="943" t="str">
        <f t="shared" si="10"/>
        <v>RS44342</v>
      </c>
      <c r="E81" s="944" t="str">
        <f t="shared" si="11"/>
        <v>RN44391</v>
      </c>
      <c r="F81" s="968" t="str">
        <f t="shared" si="12"/>
        <v>RN44433</v>
      </c>
      <c r="G81" s="964">
        <v>7.8495615332656898</v>
      </c>
      <c r="H81" s="945">
        <v>6.7372543138337742</v>
      </c>
      <c r="I81" s="973">
        <v>8.5478362688149758</v>
      </c>
      <c r="J81" s="985">
        <v>5.0132062005410614</v>
      </c>
      <c r="K81" s="986">
        <v>2.9564632934270887</v>
      </c>
      <c r="L81" s="987">
        <v>4.0598281668485159</v>
      </c>
      <c r="M81" s="964">
        <v>3.0326118640148327</v>
      </c>
      <c r="N81" s="945">
        <v>3.9406198467719626</v>
      </c>
      <c r="O81" s="973">
        <v>3.9908586057780417</v>
      </c>
      <c r="P81" s="985">
        <v>2.6233181796996914</v>
      </c>
      <c r="Q81" s="986">
        <v>0</v>
      </c>
      <c r="R81" s="987">
        <v>0</v>
      </c>
      <c r="S81" s="964">
        <v>2.095619415650412</v>
      </c>
      <c r="T81" s="945">
        <v>0</v>
      </c>
      <c r="U81" s="973">
        <v>0</v>
      </c>
      <c r="V81" s="996">
        <v>5.0199890903122526</v>
      </c>
      <c r="W81" s="997">
        <v>3.9834769678162663</v>
      </c>
      <c r="X81" s="998">
        <v>4.3277410628718389</v>
      </c>
    </row>
    <row r="82" spans="1:24" x14ac:dyDescent="0.3">
      <c r="A82" s="937" t="str">
        <f>_xlfn.CONCAT(qPCR_Unique!Y71, qPCR_Unique!D71)</f>
        <v>After the burnRN44405</v>
      </c>
      <c r="B82" s="870" t="str">
        <v>After the burnRS44405</v>
      </c>
      <c r="C82" s="647" t="str">
        <f t="shared" si="9"/>
        <v>RS44405</v>
      </c>
      <c r="D82" s="943" t="str">
        <f t="shared" si="10"/>
        <v>RS44350</v>
      </c>
      <c r="E82" s="944" t="str">
        <f t="shared" si="11"/>
        <v>RN44398</v>
      </c>
      <c r="F82" s="968" t="str">
        <f t="shared" si="12"/>
        <v>RS44405</v>
      </c>
      <c r="G82" s="964">
        <v>7.7578372747518367</v>
      </c>
      <c r="H82" s="945">
        <v>9.8628594775492058</v>
      </c>
      <c r="I82" s="973">
        <v>9.5015392476340228</v>
      </c>
      <c r="J82" s="985">
        <v>5.4341633506233746</v>
      </c>
      <c r="K82" s="986">
        <v>0</v>
      </c>
      <c r="L82" s="987">
        <v>4.3643485262595734</v>
      </c>
      <c r="M82" s="964">
        <v>2.4377615778005475</v>
      </c>
      <c r="N82" s="945">
        <v>3.7432204152120327</v>
      </c>
      <c r="O82" s="973">
        <v>2.7288188780106166</v>
      </c>
      <c r="P82" s="985">
        <v>0</v>
      </c>
      <c r="Q82" s="986">
        <v>4.9408450708457536</v>
      </c>
      <c r="R82" s="987">
        <v>2.5291129364241001</v>
      </c>
      <c r="S82" s="964">
        <v>0</v>
      </c>
      <c r="T82" s="945">
        <v>0</v>
      </c>
      <c r="U82" s="973">
        <v>2.0774493804714829</v>
      </c>
      <c r="V82" s="996">
        <v>5.4346010376526168</v>
      </c>
      <c r="W82" s="997">
        <v>4.9675587886088426</v>
      </c>
      <c r="X82" s="998">
        <v>4.382601565554058</v>
      </c>
    </row>
    <row r="83" spans="1:24" x14ac:dyDescent="0.3">
      <c r="A83" s="937" t="str">
        <f>_xlfn.CONCAT(qPCR_Unique!Y72, qPCR_Unique!D72)</f>
        <v>After the burnRN44412</v>
      </c>
      <c r="B83" s="870" t="str">
        <v>After the burnRS44412</v>
      </c>
      <c r="C83" s="647" t="str">
        <f t="shared" si="9"/>
        <v>RS44412</v>
      </c>
      <c r="D83" s="943" t="str">
        <f t="shared" si="10"/>
        <v>RU44335</v>
      </c>
      <c r="E83" s="944" t="str">
        <f t="shared" si="11"/>
        <v>RS44363</v>
      </c>
      <c r="F83" s="968" t="str">
        <f t="shared" si="12"/>
        <v>RS44412</v>
      </c>
      <c r="G83" s="964">
        <v>9.5403441257741548</v>
      </c>
      <c r="H83" s="945">
        <v>8.7338320516272994</v>
      </c>
      <c r="I83" s="973">
        <v>8.889053693948302</v>
      </c>
      <c r="J83" s="985">
        <v>4.6631920852005928</v>
      </c>
      <c r="K83" s="986">
        <v>2.7459944553306879</v>
      </c>
      <c r="L83" s="987">
        <v>4.3702022723114844</v>
      </c>
      <c r="M83" s="964">
        <v>3.1596655425971378</v>
      </c>
      <c r="N83" s="945">
        <v>4.3267284855080144</v>
      </c>
      <c r="O83" s="973">
        <v>3.6123135758582299</v>
      </c>
      <c r="P83" s="985">
        <v>4.1212810154635378</v>
      </c>
      <c r="Q83" s="986">
        <v>6.4455344069009808</v>
      </c>
      <c r="R83" s="987">
        <v>2.9269010526001331</v>
      </c>
      <c r="S83" s="964">
        <v>2.8743369449425566</v>
      </c>
      <c r="T83" s="945">
        <v>0</v>
      </c>
      <c r="U83" s="973">
        <v>2.550474365181763</v>
      </c>
      <c r="V83" s="996">
        <v>4.7885968282251365</v>
      </c>
      <c r="W83" s="997">
        <v>6.448911518451645</v>
      </c>
      <c r="X83" s="998">
        <v>4.4586236345702259</v>
      </c>
    </row>
    <row r="84" spans="1:24" x14ac:dyDescent="0.3">
      <c r="A84" s="937" t="str">
        <f>_xlfn.CONCAT(qPCR_Unique!Y73, qPCR_Unique!D73)</f>
        <v>After the burnRN44419</v>
      </c>
      <c r="B84" s="870" t="str">
        <v>After the burnRS44419</v>
      </c>
      <c r="C84" s="647" t="str">
        <f t="shared" si="9"/>
        <v>RS44419</v>
      </c>
      <c r="D84" s="943" t="str">
        <f t="shared" si="10"/>
        <v>RU44342</v>
      </c>
      <c r="E84" s="944" t="str">
        <f t="shared" si="11"/>
        <v>RS44370</v>
      </c>
      <c r="F84" s="968" t="str">
        <f t="shared" si="12"/>
        <v>RS44419</v>
      </c>
      <c r="G84" s="964">
        <v>8.1903267843660164</v>
      </c>
      <c r="H84" s="945">
        <v>9.0929269019959538</v>
      </c>
      <c r="I84" s="973">
        <v>7.6377944669964597</v>
      </c>
      <c r="J84" s="985">
        <v>4.8431920405644897</v>
      </c>
      <c r="K84" s="986">
        <v>0</v>
      </c>
      <c r="L84" s="987">
        <v>4.0281339200625865</v>
      </c>
      <c r="M84" s="964">
        <v>4.3733485927609284</v>
      </c>
      <c r="N84" s="945">
        <v>0</v>
      </c>
      <c r="O84" s="973">
        <v>3.0445447549330433</v>
      </c>
      <c r="P84" s="985">
        <v>2.5324246445355993</v>
      </c>
      <c r="Q84" s="986">
        <v>0</v>
      </c>
      <c r="R84" s="987">
        <v>3.4090402536897542</v>
      </c>
      <c r="S84" s="964">
        <v>5.0641736514136264</v>
      </c>
      <c r="T84" s="945">
        <v>1.7678973697037557</v>
      </c>
      <c r="U84" s="973">
        <v>0</v>
      </c>
      <c r="V84" s="996">
        <v>5.3213540186618644</v>
      </c>
      <c r="W84" s="997">
        <v>1.7678973697037557</v>
      </c>
      <c r="X84" s="998">
        <v>4.1566092695764247</v>
      </c>
    </row>
    <row r="85" spans="1:24" x14ac:dyDescent="0.3">
      <c r="A85" s="937" t="str">
        <f>_xlfn.CONCAT(qPCR_Unique!Y74, qPCR_Unique!D74)</f>
        <v>After the burnRN44426</v>
      </c>
      <c r="B85" s="870" t="str">
        <v>After the burnRS44426</v>
      </c>
      <c r="C85" s="647" t="str">
        <f t="shared" si="9"/>
        <v>RS44426</v>
      </c>
      <c r="D85" s="943" t="str">
        <f t="shared" si="10"/>
        <v>RU44350</v>
      </c>
      <c r="E85" s="944" t="str">
        <f t="shared" si="11"/>
        <v>RS44377</v>
      </c>
      <c r="F85" s="968" t="str">
        <f t="shared" si="12"/>
        <v>RS44426</v>
      </c>
      <c r="G85" s="964">
        <v>8.8262241930475405</v>
      </c>
      <c r="H85" s="945">
        <v>8.4755082224747227</v>
      </c>
      <c r="I85" s="973">
        <v>9.1350255918222683</v>
      </c>
      <c r="J85" s="985">
        <v>4.9619664954406089</v>
      </c>
      <c r="K85" s="986">
        <v>0</v>
      </c>
      <c r="L85" s="987">
        <v>4.8574166910971099</v>
      </c>
      <c r="M85" s="964">
        <v>4.6459903147220061</v>
      </c>
      <c r="N85" s="945">
        <v>5.3907912736005485</v>
      </c>
      <c r="O85" s="973">
        <v>3.4536536059345058</v>
      </c>
      <c r="P85" s="985">
        <v>0</v>
      </c>
      <c r="Q85" s="986">
        <v>0</v>
      </c>
      <c r="R85" s="987">
        <v>2.5632992050352823</v>
      </c>
      <c r="S85" s="964">
        <v>5.3641335810490691</v>
      </c>
      <c r="T85" s="945">
        <v>2.9677801196380611</v>
      </c>
      <c r="U85" s="973">
        <v>0</v>
      </c>
      <c r="V85" s="996">
        <v>5.5648440482527137</v>
      </c>
      <c r="W85" s="997">
        <v>5.392427918938326</v>
      </c>
      <c r="X85" s="998">
        <v>4.8763448743902673</v>
      </c>
    </row>
    <row r="86" spans="1:24" x14ac:dyDescent="0.3">
      <c r="A86" s="937" t="str">
        <f>_xlfn.CONCAT(qPCR_Unique!Y75, qPCR_Unique!D75)</f>
        <v>After the burnRN44433</v>
      </c>
      <c r="B86" s="870" t="str">
        <v>After the burnRS44433</v>
      </c>
      <c r="C86" s="647" t="str">
        <f t="shared" si="9"/>
        <v>RS44433</v>
      </c>
      <c r="D86" s="943" t="str">
        <f t="shared" si="10"/>
        <v>RU44356</v>
      </c>
      <c r="E86" s="944" t="str">
        <f t="shared" si="11"/>
        <v>RS44385</v>
      </c>
      <c r="F86" s="968" t="str">
        <f t="shared" si="12"/>
        <v>RS44433</v>
      </c>
      <c r="G86" s="964">
        <v>10.227293627798474</v>
      </c>
      <c r="H86" s="945">
        <v>7.4380077940147062</v>
      </c>
      <c r="I86" s="973">
        <v>8.7754863458710872</v>
      </c>
      <c r="J86" s="985">
        <v>5.6172938485331683</v>
      </c>
      <c r="K86" s="986">
        <v>3.305476178149656</v>
      </c>
      <c r="L86" s="987">
        <v>4.1463350032418775</v>
      </c>
      <c r="M86" s="964">
        <v>4.9461794550287745</v>
      </c>
      <c r="N86" s="945">
        <v>0</v>
      </c>
      <c r="O86" s="973">
        <v>1.8098479644559737</v>
      </c>
      <c r="P86" s="985">
        <v>0</v>
      </c>
      <c r="Q86" s="986">
        <v>0</v>
      </c>
      <c r="R86" s="987">
        <v>0</v>
      </c>
      <c r="S86" s="964">
        <v>5.2847122091420431</v>
      </c>
      <c r="T86" s="945">
        <v>0</v>
      </c>
      <c r="U86" s="973">
        <v>0</v>
      </c>
      <c r="V86" s="996">
        <v>5.842140483760411</v>
      </c>
      <c r="W86" s="997">
        <v>3.305476178149656</v>
      </c>
      <c r="X86" s="998">
        <v>4.1483316377498651</v>
      </c>
    </row>
    <row r="87" spans="1:24" x14ac:dyDescent="0.3">
      <c r="A87" s="937" t="str">
        <f>_xlfn.CONCAT(qPCR_Unique!Y76, qPCR_Unique!D76)</f>
        <v>Before the burnRU44335</v>
      </c>
      <c r="B87" s="870" t="str">
        <v>After the burnRU44405</v>
      </c>
      <c r="C87" s="647" t="str">
        <f t="shared" si="9"/>
        <v>RU44405</v>
      </c>
      <c r="D87" s="943"/>
      <c r="E87" s="944" t="str">
        <f t="shared" si="11"/>
        <v>RS44391</v>
      </c>
      <c r="F87" s="968" t="str">
        <f t="shared" si="12"/>
        <v>RU44405</v>
      </c>
      <c r="G87" s="964"/>
      <c r="H87" s="945">
        <v>8.618436072965924</v>
      </c>
      <c r="I87" s="973">
        <v>9.8186939106265623</v>
      </c>
      <c r="J87" s="985"/>
      <c r="K87" s="986">
        <v>2.371208054202266</v>
      </c>
      <c r="L87" s="987">
        <v>4.8456448134078149</v>
      </c>
      <c r="M87" s="964"/>
      <c r="N87" s="945">
        <v>2.3856744524787841</v>
      </c>
      <c r="O87" s="973">
        <v>5.0318819392819867</v>
      </c>
      <c r="P87" s="985"/>
      <c r="Q87" s="986">
        <v>5.9605393604835006</v>
      </c>
      <c r="R87" s="987">
        <v>2.5889955349263674</v>
      </c>
      <c r="S87" s="964"/>
      <c r="T87" s="945">
        <v>3.4463475421516776</v>
      </c>
      <c r="U87" s="973">
        <v>5.6759040492416206</v>
      </c>
      <c r="V87" s="996"/>
      <c r="W87" s="997">
        <v>5.962093176814566</v>
      </c>
      <c r="X87" s="998">
        <v>5.8144013126378464</v>
      </c>
    </row>
    <row r="88" spans="1:24" x14ac:dyDescent="0.3">
      <c r="A88" s="937" t="str">
        <f>_xlfn.CONCAT(qPCR_Unique!Y77, qPCR_Unique!D77)</f>
        <v>Before the burnRU44342</v>
      </c>
      <c r="B88" s="870" t="str">
        <v>After the burnRU44412</v>
      </c>
      <c r="C88" s="647" t="str">
        <f t="shared" si="9"/>
        <v>RU44412</v>
      </c>
      <c r="D88" s="943"/>
      <c r="E88" s="944" t="str">
        <f t="shared" si="11"/>
        <v>RS44398</v>
      </c>
      <c r="F88" s="968" t="str">
        <f t="shared" si="12"/>
        <v>RU44412</v>
      </c>
      <c r="G88" s="964"/>
      <c r="H88" s="945">
        <v>7.8819275026119655</v>
      </c>
      <c r="I88" s="973">
        <v>10.205870606178054</v>
      </c>
      <c r="J88" s="985"/>
      <c r="K88" s="986">
        <v>2.4030170419172112</v>
      </c>
      <c r="L88" s="987">
        <v>4.5593562477917047</v>
      </c>
      <c r="M88" s="964"/>
      <c r="N88" s="945">
        <v>0</v>
      </c>
      <c r="O88" s="973">
        <v>4.8655469897457584</v>
      </c>
      <c r="P88" s="985"/>
      <c r="Q88" s="986">
        <v>0</v>
      </c>
      <c r="R88" s="987">
        <v>2.6375263627827059</v>
      </c>
      <c r="S88" s="964"/>
      <c r="T88" s="945">
        <v>0</v>
      </c>
      <c r="U88" s="973">
        <v>5.2544173108237153</v>
      </c>
      <c r="V88" s="996"/>
      <c r="W88" s="997">
        <v>2.4030170419172112</v>
      </c>
      <c r="X88" s="998">
        <v>5.4619616475183594</v>
      </c>
    </row>
    <row r="89" spans="1:24" x14ac:dyDescent="0.3">
      <c r="A89" s="937" t="str">
        <f>_xlfn.CONCAT(qPCR_Unique!Y78, qPCR_Unique!D78)</f>
        <v>Before the burnRU44350</v>
      </c>
      <c r="B89" s="870" t="str">
        <v>After the burnRU44419</v>
      </c>
      <c r="C89" s="647" t="str">
        <f t="shared" si="9"/>
        <v>RU44419</v>
      </c>
      <c r="D89" s="943"/>
      <c r="E89" s="944" t="str">
        <f t="shared" si="11"/>
        <v>RU44363</v>
      </c>
      <c r="F89" s="968" t="str">
        <f t="shared" si="12"/>
        <v>RU44419</v>
      </c>
      <c r="G89" s="964"/>
      <c r="H89" s="945">
        <v>10.195875834339857</v>
      </c>
      <c r="I89" s="973">
        <v>7.8670507007497612</v>
      </c>
      <c r="J89" s="985"/>
      <c r="K89" s="986">
        <v>5.0376734799601923</v>
      </c>
      <c r="L89" s="987">
        <v>3.9850449253209592</v>
      </c>
      <c r="M89" s="964"/>
      <c r="N89" s="945">
        <v>4.8377336835911153</v>
      </c>
      <c r="O89" s="973">
        <v>4.0872672288258176</v>
      </c>
      <c r="P89" s="985"/>
      <c r="Q89" s="986">
        <v>0</v>
      </c>
      <c r="R89" s="987">
        <v>0</v>
      </c>
      <c r="S89" s="964"/>
      <c r="T89" s="945">
        <v>5.5078349905749517</v>
      </c>
      <c r="U89" s="973">
        <v>4.8558720298853313</v>
      </c>
      <c r="V89" s="996"/>
      <c r="W89" s="997">
        <v>5.6988566711347008</v>
      </c>
      <c r="X89" s="998">
        <v>4.9714860158545946</v>
      </c>
    </row>
    <row r="90" spans="1:24" x14ac:dyDescent="0.3">
      <c r="A90" s="937" t="str">
        <f>_xlfn.CONCAT(qPCR_Unique!Y79, qPCR_Unique!D79)</f>
        <v>Before the burnRU44356</v>
      </c>
      <c r="B90" s="870" t="str">
        <v>After the burnRU44426</v>
      </c>
      <c r="C90" s="647" t="str">
        <f t="shared" si="9"/>
        <v>RU44426</v>
      </c>
      <c r="D90" s="943"/>
      <c r="E90" s="944" t="str">
        <f t="shared" si="11"/>
        <v>RU44370</v>
      </c>
      <c r="F90" s="968" t="str">
        <f t="shared" si="12"/>
        <v>RU44426</v>
      </c>
      <c r="G90" s="964"/>
      <c r="H90" s="945">
        <v>9.1068445777294933</v>
      </c>
      <c r="I90" s="973">
        <v>10.563056055280478</v>
      </c>
      <c r="J90" s="985"/>
      <c r="K90" s="986">
        <v>4.7339626541513349</v>
      </c>
      <c r="L90" s="987">
        <v>5.0004072703018387</v>
      </c>
      <c r="M90" s="964"/>
      <c r="N90" s="945">
        <v>4.9042282800518882</v>
      </c>
      <c r="O90" s="973">
        <v>4.9980740869072635</v>
      </c>
      <c r="P90" s="985"/>
      <c r="Q90" s="986">
        <v>2.5799274933094076</v>
      </c>
      <c r="R90" s="987">
        <v>0</v>
      </c>
      <c r="S90" s="964"/>
      <c r="T90" s="945">
        <v>5.7885679715571321</v>
      </c>
      <c r="U90" s="973">
        <v>5.2943554319656219</v>
      </c>
      <c r="V90" s="996"/>
      <c r="W90" s="997">
        <v>5.8746851293435514</v>
      </c>
      <c r="X90" s="998">
        <v>5.5983539084138325</v>
      </c>
    </row>
    <row r="91" spans="1:24" x14ac:dyDescent="0.3">
      <c r="A91" s="937" t="str">
        <f>_xlfn.CONCAT(qPCR_Unique!Y80, qPCR_Unique!D80)</f>
        <v>During the burnRU44363</v>
      </c>
      <c r="B91" s="870" t="str">
        <v>After the burnRU44433</v>
      </c>
      <c r="C91" s="647" t="str">
        <f t="shared" si="9"/>
        <v>RU44433</v>
      </c>
      <c r="D91" s="943"/>
      <c r="E91" s="944" t="str">
        <f t="shared" si="11"/>
        <v>RU44377</v>
      </c>
      <c r="F91" s="968" t="str">
        <f t="shared" si="12"/>
        <v>RU44433</v>
      </c>
      <c r="G91" s="964"/>
      <c r="H91" s="945">
        <v>8.15647664681115</v>
      </c>
      <c r="I91" s="973">
        <v>9.7219864471469641</v>
      </c>
      <c r="J91" s="985"/>
      <c r="K91" s="986">
        <v>4.7591690948104999</v>
      </c>
      <c r="L91" s="987">
        <v>4.5850533943517382</v>
      </c>
      <c r="M91" s="964"/>
      <c r="N91" s="945">
        <v>5.0297924421681817</v>
      </c>
      <c r="O91" s="973">
        <v>4.4858575200063786</v>
      </c>
      <c r="P91" s="985"/>
      <c r="Q91" s="986">
        <v>0</v>
      </c>
      <c r="R91" s="987">
        <v>2.8588070322388779</v>
      </c>
      <c r="S91" s="964"/>
      <c r="T91" s="945">
        <v>5.9788084898644929</v>
      </c>
      <c r="U91" s="973">
        <v>4.7219456201527663</v>
      </c>
      <c r="V91" s="996"/>
      <c r="W91" s="997">
        <v>6.0480185061338281</v>
      </c>
      <c r="X91" s="998">
        <v>5.0881798031463417</v>
      </c>
    </row>
    <row r="92" spans="1:24" x14ac:dyDescent="0.3">
      <c r="A92" s="937" t="str">
        <f>_xlfn.CONCAT(qPCR_Unique!Y81, qPCR_Unique!D81)</f>
        <v>During the burnRU44370</v>
      </c>
      <c r="B92" s="870" t="str">
        <v>Before the burnRL44335</v>
      </c>
      <c r="C92" s="647" t="str">
        <f t="shared" si="9"/>
        <v>RL44335</v>
      </c>
      <c r="D92" s="943"/>
      <c r="E92" s="944" t="str">
        <f t="shared" si="11"/>
        <v>RU44385</v>
      </c>
      <c r="F92" s="968"/>
      <c r="G92" s="964"/>
      <c r="H92" s="945">
        <v>10.215083438035487</v>
      </c>
      <c r="I92" s="973"/>
      <c r="J92" s="985"/>
      <c r="K92" s="986">
        <v>4.8885207964420898</v>
      </c>
      <c r="L92" s="987"/>
      <c r="M92" s="964"/>
      <c r="N92" s="945">
        <v>4.8245901417589065</v>
      </c>
      <c r="O92" s="973"/>
      <c r="P92" s="985"/>
      <c r="Q92" s="986">
        <v>0</v>
      </c>
      <c r="R92" s="987"/>
      <c r="S92" s="964"/>
      <c r="T92" s="945">
        <v>6.1084330352946665</v>
      </c>
      <c r="U92" s="973"/>
      <c r="V92" s="996"/>
      <c r="W92" s="997">
        <v>6.1546497210374449</v>
      </c>
      <c r="X92" s="998"/>
    </row>
    <row r="93" spans="1:24" x14ac:dyDescent="0.3">
      <c r="A93" s="937" t="str">
        <f>_xlfn.CONCAT(qPCR_Unique!Y82, qPCR_Unique!D82)</f>
        <v>During the burnRU44377</v>
      </c>
      <c r="B93" s="870" t="str">
        <v>Before the burnRL44342</v>
      </c>
      <c r="C93" s="647" t="str">
        <f t="shared" si="9"/>
        <v>RL44342</v>
      </c>
      <c r="D93" s="943"/>
      <c r="E93" s="944" t="str">
        <f t="shared" si="11"/>
        <v>RU44391</v>
      </c>
      <c r="F93" s="968"/>
      <c r="G93" s="964"/>
      <c r="H93" s="945">
        <v>10.156507312316004</v>
      </c>
      <c r="I93" s="973"/>
      <c r="J93" s="985"/>
      <c r="K93" s="986">
        <v>5.0770923094184184</v>
      </c>
      <c r="L93" s="987"/>
      <c r="M93" s="964"/>
      <c r="N93" s="945">
        <v>5.1705470772594166</v>
      </c>
      <c r="O93" s="973"/>
      <c r="P93" s="985"/>
      <c r="Q93" s="986">
        <v>2.5876552633204204</v>
      </c>
      <c r="R93" s="987"/>
      <c r="S93" s="964"/>
      <c r="T93" s="945">
        <v>6.0036159549417007</v>
      </c>
      <c r="U93" s="973"/>
      <c r="V93" s="996"/>
      <c r="W93" s="997">
        <v>6.1059422960643923</v>
      </c>
      <c r="X93" s="998"/>
    </row>
    <row r="94" spans="1:24" ht="16.350000000000001" thickBot="1" x14ac:dyDescent="0.35">
      <c r="A94" s="937" t="str">
        <f>_xlfn.CONCAT(qPCR_Unique!Y83, qPCR_Unique!D83)</f>
        <v>During the burnRU44385</v>
      </c>
      <c r="B94" s="870" t="str">
        <v>Before the burnRL44350</v>
      </c>
      <c r="C94" s="647" t="str">
        <f t="shared" si="9"/>
        <v>RL44350</v>
      </c>
      <c r="D94" s="946"/>
      <c r="E94" s="947" t="str">
        <f t="shared" si="11"/>
        <v>RU44398</v>
      </c>
      <c r="F94" s="969"/>
      <c r="G94" s="965"/>
      <c r="H94" s="948">
        <v>7.584325471246947</v>
      </c>
      <c r="I94" s="974"/>
      <c r="J94" s="988"/>
      <c r="K94" s="989">
        <v>4.7520237550550277</v>
      </c>
      <c r="L94" s="990"/>
      <c r="M94" s="965"/>
      <c r="N94" s="948">
        <v>4.9038888122636424</v>
      </c>
      <c r="O94" s="974"/>
      <c r="P94" s="988"/>
      <c r="Q94" s="989">
        <v>0</v>
      </c>
      <c r="R94" s="990"/>
      <c r="S94" s="965"/>
      <c r="T94" s="948">
        <v>5.4762495826387045</v>
      </c>
      <c r="U94" s="974"/>
      <c r="V94" s="999"/>
      <c r="W94" s="1000">
        <v>5.6395288670185373</v>
      </c>
      <c r="X94" s="1001"/>
    </row>
    <row r="95" spans="1:24" ht="16.95" thickTop="1" thickBot="1" x14ac:dyDescent="0.35">
      <c r="A95" s="937" t="str">
        <f>_xlfn.CONCAT(qPCR_Unique!Y84, qPCR_Unique!D84)</f>
        <v>During the burnRU44391</v>
      </c>
      <c r="B95" s="870" t="str">
        <v>Before the burnRL44356</v>
      </c>
      <c r="C95" s="647" t="str">
        <f t="shared" si="9"/>
        <v>RL44356</v>
      </c>
      <c r="D95" s="193"/>
      <c r="E95" s="193"/>
      <c r="F95" s="193"/>
    </row>
    <row r="96" spans="1:24" ht="16.350000000000001" thickTop="1" x14ac:dyDescent="0.3">
      <c r="A96" s="937" t="str">
        <f>_xlfn.CONCAT(qPCR_Unique!Y85, qPCR_Unique!D85)</f>
        <v>During the burnRU44398</v>
      </c>
      <c r="B96" s="870" t="str">
        <v>Before the burnRN44335</v>
      </c>
      <c r="C96" s="647" t="str">
        <f t="shared" si="9"/>
        <v>RN44335</v>
      </c>
      <c r="D96" s="193"/>
      <c r="E96" s="193"/>
      <c r="F96" s="1005" t="s">
        <v>256</v>
      </c>
      <c r="G96" s="1003">
        <f>AVERAGE(_xlfn.ANCHORARRAY(G72))</f>
        <v>8.4408670675187629</v>
      </c>
      <c r="H96" s="1002">
        <f t="shared" ref="H96:W96" si="13">AVERAGE(_xlfn.ANCHORARRAY(H72))</f>
        <v>8.4428701287733396</v>
      </c>
      <c r="I96" s="1009">
        <f t="shared" si="13"/>
        <v>8.89285405713402</v>
      </c>
      <c r="J96" s="1011">
        <f t="shared" si="13"/>
        <v>4.8835391957955485</v>
      </c>
      <c r="K96" s="1007">
        <f t="shared" si="13"/>
        <v>2.1044628289551794</v>
      </c>
      <c r="L96" s="1012">
        <f t="shared" si="13"/>
        <v>4.2672650365766041</v>
      </c>
      <c r="M96" s="1003">
        <f t="shared" si="13"/>
        <v>4.1280616376011485</v>
      </c>
      <c r="N96" s="1002">
        <f t="shared" si="13"/>
        <v>4.0229168394765242</v>
      </c>
      <c r="O96" s="1009">
        <f t="shared" si="13"/>
        <v>3.9831866650675032</v>
      </c>
      <c r="P96" s="1011">
        <f t="shared" si="13"/>
        <v>1.2825678851009776</v>
      </c>
      <c r="Q96" s="1007">
        <f t="shared" si="13"/>
        <v>1.303060953387897</v>
      </c>
      <c r="R96" s="1012">
        <f t="shared" si="13"/>
        <v>1.6748780701461823</v>
      </c>
      <c r="S96" s="1003">
        <f t="shared" si="13"/>
        <v>3.8117045489036037</v>
      </c>
      <c r="T96" s="1002">
        <f t="shared" si="13"/>
        <v>3.7041587343373901</v>
      </c>
      <c r="U96" s="1009">
        <f t="shared" si="13"/>
        <v>3.3717891422802806</v>
      </c>
      <c r="V96" s="1011">
        <f t="shared" si="13"/>
        <v>5.4997306500588783</v>
      </c>
      <c r="W96" s="1007">
        <f t="shared" si="13"/>
        <v>5.2670499605382988</v>
      </c>
      <c r="X96" s="1015">
        <f>AVERAGE(_xlfn.ANCHORARRAY(X72))</f>
        <v>5.0810750152601702</v>
      </c>
    </row>
    <row r="97" spans="1:24" ht="16.350000000000001" thickBot="1" x14ac:dyDescent="0.35">
      <c r="A97" s="937" t="str">
        <f>_xlfn.CONCAT(qPCR_Unique!Y86, qPCR_Unique!D86)</f>
        <v>After the burnRU44405</v>
      </c>
      <c r="B97" s="870" t="str">
        <v>Before the burnRN44342</v>
      </c>
      <c r="C97" s="647" t="str">
        <f t="shared" si="9"/>
        <v>RN44342</v>
      </c>
      <c r="D97" s="193"/>
      <c r="E97" s="193"/>
      <c r="F97" s="1006" t="s">
        <v>257</v>
      </c>
      <c r="G97" s="1004">
        <f>STDEV(_xlfn.ANCHORARRAY(G72))</f>
        <v>0.95084241893772059</v>
      </c>
      <c r="H97" s="924">
        <f t="shared" ref="H97:W97" si="14">STDEV(_xlfn.ANCHORARRAY(H72))</f>
        <v>1.1535700803181812</v>
      </c>
      <c r="I97" s="1010">
        <f t="shared" si="14"/>
        <v>0.85891393219546019</v>
      </c>
      <c r="J97" s="1013">
        <f t="shared" si="14"/>
        <v>0.3780854554548268</v>
      </c>
      <c r="K97" s="1008">
        <f t="shared" si="14"/>
        <v>2.0661324283951568</v>
      </c>
      <c r="L97" s="1014">
        <f t="shared" si="14"/>
        <v>0.43954136723836434</v>
      </c>
      <c r="M97" s="1004">
        <f t="shared" si="14"/>
        <v>0.90772140591171091</v>
      </c>
      <c r="N97" s="924">
        <f t="shared" si="14"/>
        <v>1.7455339962063467</v>
      </c>
      <c r="O97" s="1010">
        <f t="shared" si="14"/>
        <v>0.83554607641355461</v>
      </c>
      <c r="P97" s="1013">
        <f t="shared" si="14"/>
        <v>1.687348098957693</v>
      </c>
      <c r="Q97" s="1008">
        <f t="shared" si="14"/>
        <v>2.1815129179538197</v>
      </c>
      <c r="R97" s="1014">
        <f t="shared" si="14"/>
        <v>1.879252940385481</v>
      </c>
      <c r="S97" s="1004">
        <f t="shared" si="14"/>
        <v>2.3714712985255235</v>
      </c>
      <c r="T97" s="924">
        <f t="shared" si="14"/>
        <v>2.7320155309622134</v>
      </c>
      <c r="U97" s="1010">
        <f t="shared" si="14"/>
        <v>2.3480942245031335</v>
      </c>
      <c r="V97" s="1013">
        <f t="shared" si="14"/>
        <v>0.84074536280156609</v>
      </c>
      <c r="W97" s="1008">
        <f t="shared" si="14"/>
        <v>1.4405783123065996</v>
      </c>
      <c r="X97" s="1016">
        <f>STDEV(_xlfn.ANCHORARRAY(X72))</f>
        <v>0.71287813546329948</v>
      </c>
    </row>
    <row r="98" spans="1:24" ht="16.350000000000001" thickTop="1" x14ac:dyDescent="0.3">
      <c r="A98" s="937" t="str">
        <f>_xlfn.CONCAT(qPCR_Unique!Y87, qPCR_Unique!D87)</f>
        <v>After the burnRU44412</v>
      </c>
      <c r="B98" s="870" t="str">
        <v>Before the burnRN44350</v>
      </c>
      <c r="C98" s="647" t="str">
        <f t="shared" si="9"/>
        <v>RN44350</v>
      </c>
      <c r="D98" s="193"/>
      <c r="E98" s="193"/>
      <c r="F98" s="193"/>
    </row>
    <row r="99" spans="1:24" x14ac:dyDescent="0.3">
      <c r="A99" s="937" t="str">
        <f>_xlfn.CONCAT(qPCR_Unique!Y88, qPCR_Unique!D88)</f>
        <v>After the burnRU44419</v>
      </c>
      <c r="B99" s="870" t="str">
        <v>Before the burnRN44356</v>
      </c>
      <c r="C99" s="647" t="str">
        <f t="shared" si="9"/>
        <v>RN44356</v>
      </c>
      <c r="D99" s="193"/>
      <c r="E99" s="193"/>
      <c r="F99" s="193"/>
    </row>
    <row r="100" spans="1:24" x14ac:dyDescent="0.3">
      <c r="A100" s="937" t="str">
        <f>_xlfn.CONCAT(qPCR_Unique!Y89, qPCR_Unique!D89)</f>
        <v>After the burnRU44426</v>
      </c>
      <c r="B100" s="870" t="str">
        <v>Before the burnRS44335</v>
      </c>
      <c r="C100" s="647" t="str">
        <f t="shared" si="9"/>
        <v>RS44335</v>
      </c>
      <c r="D100" s="193"/>
      <c r="E100" s="193"/>
      <c r="F100" s="193"/>
    </row>
    <row r="101" spans="1:24" x14ac:dyDescent="0.3">
      <c r="A101" s="937" t="str">
        <f>_xlfn.CONCAT(qPCR_Unique!Y90, qPCR_Unique!D90)</f>
        <v>After the burnRU44433</v>
      </c>
      <c r="B101" s="870" t="str">
        <v>Before the burnRS44342</v>
      </c>
      <c r="C101" s="647" t="str">
        <f t="shared" si="9"/>
        <v>RS44342</v>
      </c>
      <c r="D101" s="193"/>
      <c r="E101" s="193"/>
      <c r="F101" s="193"/>
    </row>
    <row r="102" spans="1:24" x14ac:dyDescent="0.3">
      <c r="A102" s="937" t="str">
        <f>_xlfn.CONCAT(qPCR_Unique!Y91, qPCR_Unique!D91)</f>
        <v>Before the burnRL44335</v>
      </c>
      <c r="B102" s="870" t="str">
        <v>Before the burnRS44350</v>
      </c>
      <c r="C102" s="647" t="str">
        <f t="shared" si="9"/>
        <v>RS44350</v>
      </c>
      <c r="D102" s="193"/>
      <c r="E102" s="193"/>
      <c r="F102" s="193"/>
    </row>
    <row r="103" spans="1:24" x14ac:dyDescent="0.3">
      <c r="A103" s="937" t="str">
        <f>_xlfn.CONCAT(qPCR_Unique!Y92, qPCR_Unique!D92)</f>
        <v>Before the burnRL44342</v>
      </c>
      <c r="B103" s="870" t="str">
        <v>Before the burnRU44335</v>
      </c>
      <c r="C103" s="647" t="str">
        <f t="shared" si="9"/>
        <v>RU44335</v>
      </c>
      <c r="D103" s="193"/>
      <c r="E103" s="193"/>
      <c r="F103" s="193"/>
    </row>
    <row r="104" spans="1:24" x14ac:dyDescent="0.3">
      <c r="A104" s="937" t="str">
        <f>_xlfn.CONCAT(qPCR_Unique!Y93, qPCR_Unique!D93)</f>
        <v>Before the burnRL44350</v>
      </c>
      <c r="B104" s="870" t="str">
        <v>Before the burnRU44342</v>
      </c>
      <c r="C104" s="647" t="str">
        <f t="shared" si="9"/>
        <v>RU44342</v>
      </c>
      <c r="D104" s="193"/>
      <c r="E104" s="193"/>
      <c r="F104" s="193"/>
    </row>
    <row r="105" spans="1:24" x14ac:dyDescent="0.3">
      <c r="A105" s="937" t="str">
        <f>_xlfn.CONCAT(qPCR_Unique!Y94, qPCR_Unique!D94)</f>
        <v>Before the burnRL44356</v>
      </c>
      <c r="B105" s="870" t="str">
        <v>Before the burnRU44350</v>
      </c>
      <c r="C105" s="647" t="str">
        <f t="shared" si="9"/>
        <v>RU44350</v>
      </c>
      <c r="D105" s="193"/>
      <c r="E105" s="193"/>
      <c r="F105" s="193"/>
    </row>
    <row r="106" spans="1:24" x14ac:dyDescent="0.3">
      <c r="A106" s="937" t="str">
        <f>_xlfn.CONCAT(qPCR_Unique!Y95, qPCR_Unique!D95)</f>
        <v>During the burnRL44363</v>
      </c>
      <c r="B106" s="870" t="str">
        <v>Before the burnRU44356</v>
      </c>
      <c r="C106" s="647" t="str">
        <f t="shared" si="9"/>
        <v>RU44356</v>
      </c>
      <c r="D106" s="193"/>
      <c r="E106" s="193"/>
      <c r="F106" s="193"/>
    </row>
    <row r="107" spans="1:24" x14ac:dyDescent="0.3">
      <c r="A107" s="937" t="str">
        <f>_xlfn.CONCAT(qPCR_Unique!Y96, qPCR_Unique!D96)</f>
        <v>During the burnRL44370</v>
      </c>
      <c r="B107" s="870" t="str">
        <v>During the burnRL44363</v>
      </c>
      <c r="C107" s="647" t="str">
        <f t="shared" si="9"/>
        <v>RL44363</v>
      </c>
      <c r="D107" s="193"/>
      <c r="E107" s="193"/>
      <c r="F107" s="193"/>
    </row>
    <row r="108" spans="1:24" x14ac:dyDescent="0.3">
      <c r="A108" s="937" t="str">
        <f>_xlfn.CONCAT(qPCR_Unique!Y97, qPCR_Unique!D97)</f>
        <v>During the burnRL44385</v>
      </c>
      <c r="B108" s="870" t="str">
        <v>During the burnRL44370</v>
      </c>
      <c r="C108" s="647" t="str">
        <f t="shared" si="9"/>
        <v>RL44370</v>
      </c>
      <c r="D108" s="193"/>
      <c r="E108" s="193"/>
      <c r="F108" s="193"/>
    </row>
    <row r="109" spans="1:24" x14ac:dyDescent="0.3">
      <c r="A109" s="937" t="str">
        <f>_xlfn.CONCAT(qPCR_Unique!Y98, qPCR_Unique!D98)</f>
        <v>During the burnRL44391</v>
      </c>
      <c r="B109" s="870" t="str">
        <v>During the burnRL44385</v>
      </c>
      <c r="C109" s="647" t="str">
        <f t="shared" si="9"/>
        <v>RL44385</v>
      </c>
      <c r="D109" s="193"/>
      <c r="E109" s="193"/>
      <c r="F109" s="193"/>
    </row>
    <row r="110" spans="1:24" x14ac:dyDescent="0.3">
      <c r="A110" s="937" t="str">
        <f>_xlfn.CONCAT(qPCR_Unique!Y99, qPCR_Unique!D99)</f>
        <v>During the burnRL44398</v>
      </c>
      <c r="B110" s="870" t="str">
        <v>During the burnRL44391</v>
      </c>
      <c r="C110" s="647" t="str">
        <f t="shared" si="9"/>
        <v>RL44391</v>
      </c>
      <c r="D110" s="193"/>
      <c r="E110" s="193"/>
      <c r="F110" s="193"/>
    </row>
    <row r="111" spans="1:24" x14ac:dyDescent="0.3">
      <c r="A111" s="937" t="str">
        <f>_xlfn.CONCAT(qPCR_Unique!Y100, qPCR_Unique!D100)</f>
        <v>After the burnRL44405</v>
      </c>
      <c r="B111" s="870" t="str">
        <v>During the burnRL44398</v>
      </c>
      <c r="C111" s="647" t="str">
        <f t="shared" si="9"/>
        <v>RL44398</v>
      </c>
      <c r="D111" s="193"/>
      <c r="E111" s="193"/>
      <c r="F111" s="193"/>
    </row>
    <row r="112" spans="1:24" x14ac:dyDescent="0.3">
      <c r="A112" s="937" t="str">
        <f>_xlfn.CONCAT(qPCR_Unique!Y101, qPCR_Unique!D101)</f>
        <v>After the burnRL44412</v>
      </c>
      <c r="B112" s="870" t="str">
        <v>During the burnRN44363</v>
      </c>
      <c r="C112" s="647" t="str">
        <f t="shared" si="9"/>
        <v>RN44363</v>
      </c>
      <c r="D112" s="193"/>
      <c r="E112" s="193"/>
      <c r="F112" s="193"/>
    </row>
    <row r="113" spans="1:6" x14ac:dyDescent="0.3">
      <c r="A113" s="937" t="str">
        <f>_xlfn.CONCAT(qPCR_Unique!Y102, qPCR_Unique!D102)</f>
        <v>After the burnRL44419</v>
      </c>
      <c r="B113" s="870" t="str">
        <v>During the burnRN44370</v>
      </c>
      <c r="C113" s="647" t="str">
        <f t="shared" si="9"/>
        <v>RN44370</v>
      </c>
      <c r="D113" s="193"/>
      <c r="E113" s="193"/>
      <c r="F113" s="193"/>
    </row>
    <row r="114" spans="1:6" x14ac:dyDescent="0.3">
      <c r="A114" s="937" t="str">
        <f>_xlfn.CONCAT(qPCR_Unique!Y103, qPCR_Unique!D103)</f>
        <v>After the burnRL44426</v>
      </c>
      <c r="B114" s="870" t="str">
        <v>During the burnRN44377</v>
      </c>
      <c r="C114" s="647" t="str">
        <f t="shared" si="9"/>
        <v>RN44377</v>
      </c>
      <c r="D114" s="193"/>
      <c r="E114" s="193"/>
      <c r="F114" s="193"/>
    </row>
    <row r="115" spans="1:6" x14ac:dyDescent="0.3">
      <c r="A115" s="937" t="str">
        <f>_xlfn.CONCAT(qPCR_Unique!Y104, qPCR_Unique!D104)</f>
        <v>After the burnRL44433</v>
      </c>
      <c r="B115" s="870" t="str">
        <v>During the burnRN44385</v>
      </c>
      <c r="C115" s="647" t="str">
        <f t="shared" si="9"/>
        <v>RN44385</v>
      </c>
      <c r="D115" s="193"/>
      <c r="E115" s="193"/>
      <c r="F115" s="193"/>
    </row>
    <row r="116" spans="1:6" x14ac:dyDescent="0.3">
      <c r="A116" s="937" t="str">
        <f>_xlfn.CONCAT(qPCR_Unique!Y105, qPCR_Unique!D105)</f>
        <v>Before the burnRS44335</v>
      </c>
      <c r="B116" s="870" t="str">
        <v>During the burnRN44391</v>
      </c>
      <c r="C116" s="647" t="str">
        <f t="shared" si="9"/>
        <v>RN44391</v>
      </c>
      <c r="D116" s="193"/>
      <c r="E116" s="193"/>
      <c r="F116" s="193"/>
    </row>
    <row r="117" spans="1:6" x14ac:dyDescent="0.3">
      <c r="A117" s="937" t="str">
        <f>_xlfn.CONCAT(qPCR_Unique!Y106, qPCR_Unique!D106)</f>
        <v>Before the burnRS44342</v>
      </c>
      <c r="B117" s="870" t="str">
        <v>During the burnRN44398</v>
      </c>
      <c r="C117" s="647" t="str">
        <f t="shared" si="9"/>
        <v>RN44398</v>
      </c>
      <c r="D117" s="193"/>
      <c r="E117" s="193"/>
      <c r="F117" s="193"/>
    </row>
    <row r="118" spans="1:6" x14ac:dyDescent="0.3">
      <c r="A118" s="937" t="str">
        <f>_xlfn.CONCAT(qPCR_Unique!Y107, qPCR_Unique!D107)</f>
        <v>Before the burnRS44350</v>
      </c>
      <c r="B118" s="870" t="str">
        <v>During the burnRS44363</v>
      </c>
      <c r="C118" s="647" t="str">
        <f t="shared" si="9"/>
        <v>RS44363</v>
      </c>
      <c r="D118" s="193"/>
      <c r="E118" s="193"/>
      <c r="F118" s="193"/>
    </row>
    <row r="119" spans="1:6" x14ac:dyDescent="0.3">
      <c r="A119" s="937" t="str">
        <f>_xlfn.CONCAT(qPCR_Unique!Y108, qPCR_Unique!D108)</f>
        <v>During the burnRS44363</v>
      </c>
      <c r="B119" s="870" t="str">
        <v>During the burnRS44370</v>
      </c>
      <c r="C119" s="647" t="str">
        <f t="shared" si="9"/>
        <v>RS44370</v>
      </c>
      <c r="D119" s="193"/>
      <c r="E119" s="193"/>
      <c r="F119" s="193"/>
    </row>
    <row r="120" spans="1:6" x14ac:dyDescent="0.3">
      <c r="A120" s="937" t="str">
        <f>_xlfn.CONCAT(qPCR_Unique!Y109, qPCR_Unique!D109)</f>
        <v>During the burnRS44370</v>
      </c>
      <c r="B120" s="870" t="str">
        <v>During the burnRS44377</v>
      </c>
      <c r="C120" s="647" t="str">
        <f t="shared" si="9"/>
        <v>RS44377</v>
      </c>
      <c r="D120" s="193"/>
      <c r="E120" s="193"/>
      <c r="F120" s="193"/>
    </row>
    <row r="121" spans="1:6" x14ac:dyDescent="0.3">
      <c r="A121" s="937" t="str">
        <f>_xlfn.CONCAT(qPCR_Unique!Y110, qPCR_Unique!D110)</f>
        <v>During the burnRS44377</v>
      </c>
      <c r="B121" s="870" t="str">
        <v>During the burnRS44385</v>
      </c>
      <c r="C121" s="647" t="str">
        <f t="shared" si="9"/>
        <v>RS44385</v>
      </c>
      <c r="D121" s="193"/>
      <c r="E121" s="193"/>
      <c r="F121" s="193"/>
    </row>
    <row r="122" spans="1:6" x14ac:dyDescent="0.3">
      <c r="A122" s="937" t="str">
        <f>_xlfn.CONCAT(qPCR_Unique!Y111, qPCR_Unique!D111)</f>
        <v>During the burnRS44385</v>
      </c>
      <c r="B122" s="870" t="str">
        <v>During the burnRS44391</v>
      </c>
      <c r="C122" s="647" t="str">
        <f t="shared" si="9"/>
        <v>RS44391</v>
      </c>
      <c r="D122" s="193"/>
      <c r="E122" s="193"/>
      <c r="F122" s="193"/>
    </row>
    <row r="123" spans="1:6" x14ac:dyDescent="0.3">
      <c r="A123" s="937" t="str">
        <f>_xlfn.CONCAT(qPCR_Unique!Y112, qPCR_Unique!D112)</f>
        <v>During the burnRS44391</v>
      </c>
      <c r="B123" s="870" t="str">
        <v>During the burnRS44398</v>
      </c>
      <c r="C123" s="647" t="str">
        <f t="shared" si="9"/>
        <v>RS44398</v>
      </c>
      <c r="D123" s="193"/>
      <c r="E123" s="193"/>
      <c r="F123" s="193"/>
    </row>
    <row r="124" spans="1:6" x14ac:dyDescent="0.3">
      <c r="A124" s="937" t="str">
        <f>_xlfn.CONCAT(qPCR_Unique!Y113, qPCR_Unique!D113)</f>
        <v>During the burnRS44398</v>
      </c>
      <c r="B124" s="870" t="str">
        <v>During the burnRU44363</v>
      </c>
      <c r="C124" s="647" t="str">
        <f t="shared" si="9"/>
        <v>RU44363</v>
      </c>
      <c r="D124" s="193"/>
      <c r="E124" s="193"/>
      <c r="F124" s="193"/>
    </row>
    <row r="125" spans="1:6" x14ac:dyDescent="0.3">
      <c r="A125" s="937" t="str">
        <f>_xlfn.CONCAT(qPCR_Unique!Y114, qPCR_Unique!D114)</f>
        <v>After the burnRS44405</v>
      </c>
      <c r="B125" s="870" t="str">
        <v>During the burnRU44370</v>
      </c>
      <c r="C125" s="647" t="str">
        <f t="shared" si="9"/>
        <v>RU44370</v>
      </c>
    </row>
    <row r="126" spans="1:6" x14ac:dyDescent="0.3">
      <c r="A126" s="937" t="str">
        <f>_xlfn.CONCAT(qPCR_Unique!Y115, qPCR_Unique!D115)</f>
        <v>After the burnRS44412</v>
      </c>
      <c r="B126" s="870" t="str">
        <v>During the burnRU44377</v>
      </c>
      <c r="C126" s="647" t="str">
        <f t="shared" si="9"/>
        <v>RU44377</v>
      </c>
    </row>
    <row r="127" spans="1:6" x14ac:dyDescent="0.3">
      <c r="A127" s="937" t="str">
        <f>_xlfn.CONCAT(qPCR_Unique!Y116, qPCR_Unique!D116)</f>
        <v>After the burnRS44419</v>
      </c>
      <c r="B127" s="870" t="str">
        <v>During the burnRU44385</v>
      </c>
      <c r="C127" s="647" t="str">
        <f t="shared" si="9"/>
        <v>RU44385</v>
      </c>
    </row>
    <row r="128" spans="1:6" x14ac:dyDescent="0.3">
      <c r="A128" s="937" t="str">
        <f>_xlfn.CONCAT(qPCR_Unique!Y117, qPCR_Unique!D117)</f>
        <v>After the burnRS44426</v>
      </c>
      <c r="B128" s="870" t="str">
        <v>During the burnRU44391</v>
      </c>
      <c r="C128" s="647" t="str">
        <f t="shared" si="9"/>
        <v>RU44391</v>
      </c>
    </row>
    <row r="129" spans="1:24" ht="16.350000000000001" thickBot="1" x14ac:dyDescent="0.35">
      <c r="A129" s="938" t="str">
        <f>_xlfn.CONCAT(qPCR_Unique!Y118, qPCR_Unique!D118)</f>
        <v>After the burnRS44433</v>
      </c>
      <c r="B129" s="874" t="str">
        <v>During the burnRU44398</v>
      </c>
      <c r="C129" s="650" t="str">
        <f t="shared" si="9"/>
        <v>RU44398</v>
      </c>
    </row>
    <row r="130" spans="1:24" ht="16.350000000000001" thickTop="1" x14ac:dyDescent="0.3"/>
    <row r="139" spans="1:24" ht="16.350000000000001" thickBot="1" x14ac:dyDescent="0.35"/>
    <row r="140" spans="1:24" s="1017" customFormat="1" ht="18.8" thickTop="1" x14ac:dyDescent="0.3">
      <c r="A140" s="1024" t="s">
        <v>266</v>
      </c>
      <c r="B140" s="1025"/>
      <c r="C140" s="1026"/>
      <c r="D140" s="1039"/>
      <c r="E140" s="1734" t="s">
        <v>285</v>
      </c>
      <c r="F140" s="1735"/>
      <c r="G140" s="1045" t="s">
        <v>253</v>
      </c>
      <c r="H140" s="1040" t="s">
        <v>254</v>
      </c>
      <c r="I140" s="1046" t="s">
        <v>255</v>
      </c>
      <c r="J140" s="1047" t="s">
        <v>253</v>
      </c>
      <c r="K140" s="1048" t="s">
        <v>254</v>
      </c>
      <c r="L140" s="1049" t="s">
        <v>255</v>
      </c>
      <c r="M140" s="1045" t="s">
        <v>253</v>
      </c>
      <c r="N140" s="1040" t="s">
        <v>254</v>
      </c>
      <c r="O140" s="1046" t="s">
        <v>255</v>
      </c>
      <c r="P140" s="1047" t="s">
        <v>253</v>
      </c>
      <c r="Q140" s="1048" t="s">
        <v>254</v>
      </c>
      <c r="R140" s="1049" t="s">
        <v>255</v>
      </c>
      <c r="S140" s="1045" t="s">
        <v>253</v>
      </c>
      <c r="T140" s="1040" t="s">
        <v>254</v>
      </c>
      <c r="U140" s="1046" t="s">
        <v>255</v>
      </c>
      <c r="V140" s="1047" t="s">
        <v>253</v>
      </c>
      <c r="W140" s="1048" t="s">
        <v>254</v>
      </c>
      <c r="X140" s="1062" t="s">
        <v>255</v>
      </c>
    </row>
    <row r="141" spans="1:24" s="861" customFormat="1" ht="35.1" customHeight="1" thickBot="1" x14ac:dyDescent="0.35">
      <c r="A141" s="1036" t="s">
        <v>247</v>
      </c>
      <c r="B141" s="1037" t="s">
        <v>248</v>
      </c>
      <c r="C141" s="1038" t="s">
        <v>249</v>
      </c>
      <c r="D141" s="1044" t="s">
        <v>251</v>
      </c>
      <c r="E141" s="881" t="s">
        <v>250</v>
      </c>
      <c r="F141" s="888" t="s">
        <v>252</v>
      </c>
      <c r="G141" s="884" t="s">
        <v>8</v>
      </c>
      <c r="H141" s="882" t="s">
        <v>8</v>
      </c>
      <c r="I141" s="892" t="s">
        <v>8</v>
      </c>
      <c r="J141" s="1050" t="s">
        <v>3</v>
      </c>
      <c r="K141" s="1051" t="s">
        <v>3</v>
      </c>
      <c r="L141" s="1052" t="s">
        <v>3</v>
      </c>
      <c r="M141" s="896" t="s">
        <v>5</v>
      </c>
      <c r="N141" s="883" t="s">
        <v>5</v>
      </c>
      <c r="O141" s="909" t="s">
        <v>5</v>
      </c>
      <c r="P141" s="1050" t="s">
        <v>6</v>
      </c>
      <c r="Q141" s="1051" t="s">
        <v>6</v>
      </c>
      <c r="R141" s="1052" t="s">
        <v>6</v>
      </c>
      <c r="S141" s="896" t="s">
        <v>51</v>
      </c>
      <c r="T141" s="883" t="s">
        <v>51</v>
      </c>
      <c r="U141" s="909" t="s">
        <v>51</v>
      </c>
      <c r="V141" s="1063" t="s">
        <v>286</v>
      </c>
      <c r="W141" s="1064" t="s">
        <v>286</v>
      </c>
      <c r="X141" s="1065" t="s">
        <v>286</v>
      </c>
    </row>
    <row r="142" spans="1:24" x14ac:dyDescent="0.3">
      <c r="A142" s="1033" t="str">
        <f>_xlfn.CONCAT(qPCR_Unique!Y3, qPCR_Unique!D3)</f>
        <v>Before the burnEP44335</v>
      </c>
      <c r="B142" s="1034" t="str" cm="1">
        <f t="array" ref="B142:B257">_xlfn._xlws.SORT(A142:A257, 1, 1)</f>
        <v>After the burnEP44405</v>
      </c>
      <c r="C142" s="1035" t="str">
        <f>RIGHT(B142, LEN(B142)-(FIND("burn", B142)+3))</f>
        <v>EP44405</v>
      </c>
      <c r="D142" s="1043" t="str">
        <f>C182</f>
        <v>EP44335</v>
      </c>
      <c r="E142" s="878" t="str">
        <f>C213</f>
        <v>EP44363</v>
      </c>
      <c r="F142" s="889" t="str">
        <f>C142</f>
        <v>EP44405</v>
      </c>
      <c r="G142" s="885" cm="1">
        <f t="array" ref="G142:G166">_xlfn._xlws.FILTER(qPCR_Unique!$I$3:$I$118, COUNTIF($D$142:$D$166, qPCR_Unique!$D$3:$D$118))</f>
        <v>7.5073779335749142</v>
      </c>
      <c r="H142" s="879" cm="1">
        <f t="array" ref="H142:H186">_xlfn._xlws.FILTER(qPCR_Unique!$I$3:$I$118, COUNTIF($E$142:$E$186, qPCR_Unique!$D$3:$D$118))</f>
        <v>8.9201125773878598</v>
      </c>
      <c r="I142" s="893" cm="1">
        <f t="array" ref="I142:I181">_xlfn._xlws.FILTER(qPCR_Unique!$I$3:$I$118, COUNTIF($F$142:$F$181, qPCR_Unique!$D$3:$D$118))</f>
        <v>7.4432373448654072</v>
      </c>
      <c r="J142" s="1053" cm="1">
        <f t="array" ref="J142:J172">_xlfn._xlws.FILTER(qPCR_Unique!$L$3:$L$118, COUNTIF($D$142:$D$172, qPCR_Unique!$D$3:$D$118))</f>
        <v>4.7229710237808709</v>
      </c>
      <c r="K142" s="1054" cm="1">
        <f t="array" ref="K142:K186">_xlfn._xlws.FILTER(qPCR_Unique!$L$3:$L$118, COUNTIF($E$142:$E$186, qPCR_Unique!$D$3:$D$118))</f>
        <v>0</v>
      </c>
      <c r="L142" s="1055" cm="1">
        <f t="array" ref="L142:L181">_xlfn._xlws.FILTER(qPCR_Unique!$L$3:$L$118, COUNTIF($F$142:$F$181, qPCR_Unique!$D$3:$D$118))</f>
        <v>4.7632454669389199</v>
      </c>
      <c r="M142" s="885" cm="1">
        <f t="array" ref="M142:M172">_xlfn._xlws.FILTER(qPCR_Unique!$O$3:$O$118, COUNTIF($D$142:$D$172, qPCR_Unique!$D$3:$D$118))</f>
        <v>3.1797940234756839</v>
      </c>
      <c r="N142" s="879" cm="1">
        <f t="array" ref="N142:N186">_xlfn._xlws.FILTER(qPCR_Unique!$O$3:$O$118, COUNTIF($E$142:$E$186, qPCR_Unique!$D$3:$D$118))</f>
        <v>2.8252048194210433</v>
      </c>
      <c r="O142" s="893" cm="1">
        <f t="array" ref="O142:O181">_xlfn._xlws.FILTER(qPCR_Unique!$O$3:$O$118, COUNTIF($F$142:$F$181, qPCR_Unique!$D$3:$D$118))</f>
        <v>2.9565019022298489</v>
      </c>
      <c r="P142" s="1053" cm="1">
        <f t="array" ref="P142:P172">_xlfn._xlws.FILTER(qPCR_Unique!$R$3:$R$118, COUNTIF($D$142:$D$172, qPCR_Unique!$D$3:$D$118))</f>
        <v>0</v>
      </c>
      <c r="Q142" s="1054" cm="1">
        <f t="array" ref="Q142:Q186">_xlfn._xlws.FILTER(qPCR_Unique!$R$3:$R$118, COUNTIF($E$142:$E$186, qPCR_Unique!$D$3:$D$118))</f>
        <v>7.3148056493421336</v>
      </c>
      <c r="R142" s="1055" cm="1">
        <f t="array" ref="R142:R181">_xlfn._xlws.FILTER(qPCR_Unique!$R$3:$R$118, COUNTIF($F$142:$F$181, qPCR_Unique!$D$3:$D$118))</f>
        <v>3.2648335664820296</v>
      </c>
      <c r="S142" s="885" cm="1">
        <f t="array" ref="S142:S172">_xlfn._xlws.FILTER(qPCR_Unique!$U$3:$U$118, COUNTIF($D$142:$D$172, qPCR_Unique!$D$3:$D$118))</f>
        <v>0</v>
      </c>
      <c r="T142" s="879" cm="1">
        <f t="array" ref="T142:T186">_xlfn._xlws.FILTER(qPCR_Unique!$U$3:$U$118, COUNTIF($E$142:$E$186, qPCR_Unique!$D$3:$D$118))</f>
        <v>2.7622840466805152</v>
      </c>
      <c r="U142" s="893" cm="1">
        <f t="array" ref="U142:U181">_xlfn._xlws.FILTER(qPCR_Unique!$U$3:$U$118, COUNTIF($F$142:$F$181, qPCR_Unique!$D$3:$D$118))</f>
        <v>3.0906484876986329</v>
      </c>
      <c r="V142" s="1066" cm="1">
        <f t="array" ref="V142:V172">_xlfn._xlws.FILTER(qPCR_Unique!$X$3:$X$118, COUNTIF($D$142:$D$172, qPCR_Unique!$D$3:$D$118))</f>
        <v>4.7352302561231019</v>
      </c>
      <c r="W142" s="1067" cm="1">
        <f t="array" ref="W142:W186">_xlfn._xlws.FILTER(qPCR_Unique!$X$3:$X$118, COUNTIF($E$142:$E$186, qPCR_Unique!$D$3:$D$118))</f>
        <v>7.3148318841855584</v>
      </c>
      <c r="X142" s="1068" cm="1">
        <f t="array" ref="X142:X181">_xlfn._xlws.FILTER(qPCR_Unique!$X$3:$X$118, COUNTIF($F$142:$F$181, qPCR_Unique!$D$3:$D$118))</f>
        <v>4.7920588152224175</v>
      </c>
    </row>
    <row r="143" spans="1:24" x14ac:dyDescent="0.3">
      <c r="A143" s="1027" t="str">
        <f>_xlfn.CONCAT(qPCR_Unique!Y4, qPCR_Unique!D4)</f>
        <v>Before the burnEP44342</v>
      </c>
      <c r="B143" s="1028" t="str">
        <v>After the burnEP44412</v>
      </c>
      <c r="C143" s="1029" t="str">
        <f t="shared" ref="C143:C206" si="15">RIGHT(B143, LEN(B143)-(FIND("burn", B143)+3))</f>
        <v>EP44412</v>
      </c>
      <c r="D143" s="1041" t="str">
        <f t="shared" ref="D143:D172" si="16">C183</f>
        <v>EP44342</v>
      </c>
      <c r="E143" s="870" t="str">
        <f t="shared" ref="E143:E186" si="17">C214</f>
        <v>EP44370</v>
      </c>
      <c r="F143" s="890" t="str">
        <f t="shared" ref="F143:F181" si="18">C143</f>
        <v>EP44412</v>
      </c>
      <c r="G143" s="886">
        <v>7.4305880117388243</v>
      </c>
      <c r="H143" s="871">
        <v>7.384134194520211</v>
      </c>
      <c r="I143" s="894">
        <v>7.548210102201657</v>
      </c>
      <c r="J143" s="1056">
        <v>4.3983402472244153</v>
      </c>
      <c r="K143" s="1057">
        <v>3.7119183612943583</v>
      </c>
      <c r="L143" s="1058">
        <v>3.7099616071987671</v>
      </c>
      <c r="M143" s="886">
        <v>2.9491774059529887</v>
      </c>
      <c r="N143" s="871">
        <v>3.0816381264248243</v>
      </c>
      <c r="O143" s="894">
        <v>3.4315718643235331</v>
      </c>
      <c r="P143" s="1056">
        <v>0</v>
      </c>
      <c r="Q143" s="1057">
        <v>0</v>
      </c>
      <c r="R143" s="1058">
        <v>2.5078973554355652</v>
      </c>
      <c r="S143" s="886">
        <v>2.1604990068941463</v>
      </c>
      <c r="T143" s="871">
        <v>2.831351610048888</v>
      </c>
      <c r="U143" s="894">
        <v>0</v>
      </c>
      <c r="V143" s="1056">
        <v>4.4159298260944944</v>
      </c>
      <c r="W143" s="1057">
        <v>3.8473453486612756</v>
      </c>
      <c r="X143" s="1069">
        <v>3.9112367497031117</v>
      </c>
    </row>
    <row r="144" spans="1:24" x14ac:dyDescent="0.3">
      <c r="A144" s="1027" t="str">
        <f>_xlfn.CONCAT(qPCR_Unique!Y5, qPCR_Unique!D5)</f>
        <v>Before the burnEP44350</v>
      </c>
      <c r="B144" s="1028" t="str">
        <v>After the burnEP44419</v>
      </c>
      <c r="C144" s="1029" t="str">
        <f t="shared" si="15"/>
        <v>EP44419</v>
      </c>
      <c r="D144" s="1041" t="str">
        <f t="shared" si="16"/>
        <v>EP44350</v>
      </c>
      <c r="E144" s="870" t="str">
        <f t="shared" si="17"/>
        <v>EP44377</v>
      </c>
      <c r="F144" s="890" t="str">
        <f t="shared" si="18"/>
        <v>EP44419</v>
      </c>
      <c r="G144" s="886">
        <v>7.2010631024471907</v>
      </c>
      <c r="H144" s="871">
        <v>6.6706494925420223</v>
      </c>
      <c r="I144" s="894">
        <v>7.4768331624978526</v>
      </c>
      <c r="J144" s="1056">
        <v>3.9174695393344017</v>
      </c>
      <c r="K144" s="1057">
        <v>3.4496228998138809</v>
      </c>
      <c r="L144" s="1058">
        <v>3.3165813878647228</v>
      </c>
      <c r="M144" s="886">
        <v>3.2434645556811552</v>
      </c>
      <c r="N144" s="871">
        <v>3.0995905834804347</v>
      </c>
      <c r="O144" s="894">
        <v>3.473547112131016</v>
      </c>
      <c r="P144" s="1056">
        <v>0</v>
      </c>
      <c r="Q144" s="1057">
        <v>0</v>
      </c>
      <c r="R144" s="1058">
        <v>0</v>
      </c>
      <c r="S144" s="886">
        <v>2.7440271514333912</v>
      </c>
      <c r="T144" s="871">
        <v>2.1553193673056121</v>
      </c>
      <c r="U144" s="894">
        <v>1.8080680376038922</v>
      </c>
      <c r="V144" s="1056">
        <v>4.0243089142143083</v>
      </c>
      <c r="W144" s="1057">
        <v>3.6249696603768022</v>
      </c>
      <c r="X144" s="1069">
        <v>3.7086422698680894</v>
      </c>
    </row>
    <row r="145" spans="1:24" x14ac:dyDescent="0.3">
      <c r="A145" s="1027" t="str">
        <f>_xlfn.CONCAT(qPCR_Unique!Y6, qPCR_Unique!D6)</f>
        <v>Before the burnEP44356</v>
      </c>
      <c r="B145" s="1028" t="str">
        <v>After the burnEP44426</v>
      </c>
      <c r="C145" s="1029" t="str">
        <f t="shared" si="15"/>
        <v>EP44426</v>
      </c>
      <c r="D145" s="1041" t="str">
        <f t="shared" si="16"/>
        <v>EP44356</v>
      </c>
      <c r="E145" s="870" t="str">
        <f t="shared" si="17"/>
        <v>EP44385</v>
      </c>
      <c r="F145" s="890" t="str">
        <f t="shared" si="18"/>
        <v>EP44426</v>
      </c>
      <c r="G145" s="886">
        <v>7.5775594003841169</v>
      </c>
      <c r="H145" s="871">
        <v>7.8312300053910073</v>
      </c>
      <c r="I145" s="894">
        <v>7.4727366054879463</v>
      </c>
      <c r="J145" s="1056">
        <v>4.1767319225757706</v>
      </c>
      <c r="K145" s="1057">
        <v>3.5173735394078167</v>
      </c>
      <c r="L145" s="1058">
        <v>4.9646320399135817</v>
      </c>
      <c r="M145" s="886">
        <v>3.3151970568903897</v>
      </c>
      <c r="N145" s="871">
        <v>3.0227691938237178</v>
      </c>
      <c r="O145" s="894">
        <v>3.1710241715303273</v>
      </c>
      <c r="P145" s="1056">
        <v>3.3597301399743871</v>
      </c>
      <c r="Q145" s="1057">
        <v>2.6702701838332747</v>
      </c>
      <c r="R145" s="1058">
        <v>0</v>
      </c>
      <c r="S145" s="886">
        <v>0</v>
      </c>
      <c r="T145" s="871">
        <v>0</v>
      </c>
      <c r="U145" s="894">
        <v>2.0048199947937011</v>
      </c>
      <c r="V145" s="1056">
        <v>4.2873068489727197</v>
      </c>
      <c r="W145" s="1057">
        <v>3.6824338096107176</v>
      </c>
      <c r="X145" s="1069">
        <v>4.9720302285741473</v>
      </c>
    </row>
    <row r="146" spans="1:24" x14ac:dyDescent="0.3">
      <c r="A146" s="1027" t="str">
        <f>_xlfn.CONCAT(qPCR_Unique!Y7, qPCR_Unique!D7)</f>
        <v>During the burnEP44363</v>
      </c>
      <c r="B146" s="1028" t="str">
        <v>After the burnEP44433</v>
      </c>
      <c r="C146" s="1029" t="str">
        <f t="shared" si="15"/>
        <v>EP44433</v>
      </c>
      <c r="D146" s="1041" t="str">
        <f t="shared" si="16"/>
        <v>MRT44335</v>
      </c>
      <c r="E146" s="870" t="str">
        <f t="shared" si="17"/>
        <v>EP44391</v>
      </c>
      <c r="F146" s="890" t="str">
        <f t="shared" si="18"/>
        <v>EP44433</v>
      </c>
      <c r="G146" s="886">
        <v>7.2488480361773453</v>
      </c>
      <c r="H146" s="871">
        <v>6.9792893794204227</v>
      </c>
      <c r="I146" s="894">
        <v>7.1744460476783178</v>
      </c>
      <c r="J146" s="1056">
        <v>4.721946009032651</v>
      </c>
      <c r="K146" s="1057">
        <v>3.5031007130453271</v>
      </c>
      <c r="L146" s="1058">
        <v>3.1697614258419864</v>
      </c>
      <c r="M146" s="886">
        <v>2.5435253467391021</v>
      </c>
      <c r="N146" s="871">
        <v>3.048371497817886</v>
      </c>
      <c r="O146" s="894">
        <v>3.2751356342848927</v>
      </c>
      <c r="P146" s="1056">
        <v>0</v>
      </c>
      <c r="Q146" s="1057">
        <v>3.06189652349555</v>
      </c>
      <c r="R146" s="1058">
        <v>3.0698234944731251</v>
      </c>
      <c r="S146" s="886">
        <v>2.5274824013348796</v>
      </c>
      <c r="T146" s="871">
        <v>2.3526606607367042</v>
      </c>
      <c r="U146" s="894">
        <v>0</v>
      </c>
      <c r="V146" s="1056">
        <v>4.7275646836244176</v>
      </c>
      <c r="W146" s="1057">
        <v>3.7544386541667936</v>
      </c>
      <c r="X146" s="1069">
        <v>3.6567643468940103</v>
      </c>
    </row>
    <row r="147" spans="1:24" x14ac:dyDescent="0.3">
      <c r="A147" s="1027" t="str">
        <f>_xlfn.CONCAT(qPCR_Unique!Y8, qPCR_Unique!D8)</f>
        <v>During the burnEP44370</v>
      </c>
      <c r="B147" s="1028" t="str">
        <v>After the burnMRT44405</v>
      </c>
      <c r="C147" s="1029" t="str">
        <f t="shared" si="15"/>
        <v>MRT44405</v>
      </c>
      <c r="D147" s="1041" t="str">
        <f t="shared" si="16"/>
        <v>MRT44342</v>
      </c>
      <c r="E147" s="870" t="str">
        <f t="shared" si="17"/>
        <v>EP44398</v>
      </c>
      <c r="F147" s="890" t="str">
        <f t="shared" si="18"/>
        <v>MRT44405</v>
      </c>
      <c r="G147" s="886">
        <v>7.4112603147058156</v>
      </c>
      <c r="H147" s="871">
        <v>7.1243260630757259</v>
      </c>
      <c r="I147" s="894">
        <v>8.6081730970830517</v>
      </c>
      <c r="J147" s="1056">
        <v>4.8538832053589882</v>
      </c>
      <c r="K147" s="1057">
        <v>3.903561063124283</v>
      </c>
      <c r="L147" s="1058">
        <v>0</v>
      </c>
      <c r="M147" s="886">
        <v>2.6247939608020308</v>
      </c>
      <c r="N147" s="871">
        <v>2.6437438289589763</v>
      </c>
      <c r="O147" s="894">
        <v>0</v>
      </c>
      <c r="P147" s="1056">
        <v>0</v>
      </c>
      <c r="Q147" s="1057">
        <v>4.2802806593803524</v>
      </c>
      <c r="R147" s="1058">
        <v>5.8665072771985223</v>
      </c>
      <c r="S147" s="886">
        <v>2.4706463928792002</v>
      </c>
      <c r="T147" s="871">
        <v>0</v>
      </c>
      <c r="U147" s="894">
        <v>0</v>
      </c>
      <c r="V147" s="1056">
        <v>4.8582211499574273</v>
      </c>
      <c r="W147" s="1057">
        <v>4.4395837599444574</v>
      </c>
      <c r="X147" s="1069">
        <v>5.8665072771985223</v>
      </c>
    </row>
    <row r="148" spans="1:24" x14ac:dyDescent="0.3">
      <c r="A148" s="1027" t="str">
        <f>_xlfn.CONCAT(qPCR_Unique!Y9, qPCR_Unique!D9)</f>
        <v>During the burnEP44377</v>
      </c>
      <c r="B148" s="1028" t="str">
        <v>After the burnMRT44412</v>
      </c>
      <c r="C148" s="1029" t="str">
        <f t="shared" si="15"/>
        <v>MRT44412</v>
      </c>
      <c r="D148" s="1041" t="str">
        <f t="shared" si="16"/>
        <v>MRT44350</v>
      </c>
      <c r="E148" s="870" t="str">
        <f t="shared" si="17"/>
        <v>MRT44363</v>
      </c>
      <c r="F148" s="890" t="str">
        <f t="shared" si="18"/>
        <v>MRT44412</v>
      </c>
      <c r="G148" s="886">
        <v>8.2003369395001009</v>
      </c>
      <c r="H148" s="871">
        <v>6.0332986709654914</v>
      </c>
      <c r="I148" s="894">
        <v>7.7628834849747959</v>
      </c>
      <c r="J148" s="1056">
        <v>4.7165192407443959</v>
      </c>
      <c r="K148" s="1057">
        <v>0</v>
      </c>
      <c r="L148" s="1058">
        <v>3.7621508354431223</v>
      </c>
      <c r="M148" s="886">
        <v>3.2087115531519972</v>
      </c>
      <c r="N148" s="871">
        <v>1.8361707979478543</v>
      </c>
      <c r="O148" s="894">
        <v>2.828397132065815</v>
      </c>
      <c r="P148" s="1056">
        <v>3.477353983322319</v>
      </c>
      <c r="Q148" s="1057">
        <v>0</v>
      </c>
      <c r="R148" s="1058">
        <v>0</v>
      </c>
      <c r="S148" s="886">
        <v>2.863857763568129</v>
      </c>
      <c r="T148" s="871">
        <v>2.2615535480783655</v>
      </c>
      <c r="U148" s="894">
        <v>0</v>
      </c>
      <c r="V148" s="1056">
        <v>4.7589975382098917</v>
      </c>
      <c r="W148" s="1057">
        <v>2.4000161379836684</v>
      </c>
      <c r="X148" s="1069">
        <v>3.8100012547570228</v>
      </c>
    </row>
    <row r="149" spans="1:24" x14ac:dyDescent="0.3">
      <c r="A149" s="1027" t="str">
        <f>_xlfn.CONCAT(qPCR_Unique!Y10, qPCR_Unique!D10)</f>
        <v>During the burnEP44385</v>
      </c>
      <c r="B149" s="1028" t="str">
        <v>After the burnMRT44419</v>
      </c>
      <c r="C149" s="1029" t="str">
        <f t="shared" si="15"/>
        <v>MRT44419</v>
      </c>
      <c r="D149" s="1041" t="str">
        <f t="shared" si="16"/>
        <v>MRT44356</v>
      </c>
      <c r="E149" s="870" t="str">
        <f t="shared" si="17"/>
        <v>MRT44370</v>
      </c>
      <c r="F149" s="890" t="str">
        <f t="shared" si="18"/>
        <v>MRT44419</v>
      </c>
      <c r="G149" s="886">
        <v>8.3862630230825239</v>
      </c>
      <c r="H149" s="871">
        <v>5.6489012349832528</v>
      </c>
      <c r="I149" s="894">
        <v>6.9571425802081057</v>
      </c>
      <c r="J149" s="1056">
        <v>4.163497354716899</v>
      </c>
      <c r="K149" s="1057">
        <v>2.6724300034261792</v>
      </c>
      <c r="L149" s="1058">
        <v>3.8028826843473644</v>
      </c>
      <c r="M149" s="886">
        <v>3.1234874552157841</v>
      </c>
      <c r="N149" s="871">
        <v>0</v>
      </c>
      <c r="O149" s="894">
        <v>2.8390480438118804</v>
      </c>
      <c r="P149" s="1056">
        <v>3.8012376756987201</v>
      </c>
      <c r="Q149" s="1057">
        <v>0</v>
      </c>
      <c r="R149" s="1058">
        <v>3.1450774317855172</v>
      </c>
      <c r="S149" s="886">
        <v>3.0157247208101761</v>
      </c>
      <c r="T149" s="871">
        <v>0</v>
      </c>
      <c r="U149" s="894">
        <v>0</v>
      </c>
      <c r="V149" s="1056">
        <v>4.366695681353594</v>
      </c>
      <c r="W149" s="1057">
        <v>2.6724300034261792</v>
      </c>
      <c r="X149" s="1069">
        <v>3.9262666364612002</v>
      </c>
    </row>
    <row r="150" spans="1:24" x14ac:dyDescent="0.3">
      <c r="A150" s="1027" t="str">
        <f>_xlfn.CONCAT(qPCR_Unique!Y11, qPCR_Unique!D11)</f>
        <v>During the burnEP44391</v>
      </c>
      <c r="B150" s="1028" t="str">
        <v>After the burnMRT44426</v>
      </c>
      <c r="C150" s="1029" t="str">
        <f t="shared" si="15"/>
        <v>MRT44426</v>
      </c>
      <c r="D150" s="1041" t="str">
        <f t="shared" si="16"/>
        <v>RL44335</v>
      </c>
      <c r="E150" s="870" t="str">
        <f t="shared" si="17"/>
        <v>MRT44377</v>
      </c>
      <c r="F150" s="890" t="str">
        <f t="shared" si="18"/>
        <v>MRT44426</v>
      </c>
      <c r="G150" s="886">
        <v>8.0704679014845713</v>
      </c>
      <c r="H150" s="871">
        <v>5.4593349146911159</v>
      </c>
      <c r="I150" s="894">
        <v>7.093407807743783</v>
      </c>
      <c r="J150" s="1056">
        <v>5.1051171753821354</v>
      </c>
      <c r="K150" s="1057">
        <v>2.4792015600758024</v>
      </c>
      <c r="L150" s="1058">
        <v>4.5633325917001768</v>
      </c>
      <c r="M150" s="886">
        <v>3.3694614758953745</v>
      </c>
      <c r="N150" s="871">
        <v>0</v>
      </c>
      <c r="O150" s="894">
        <v>2.0264676710536986</v>
      </c>
      <c r="P150" s="1056">
        <v>2.6119711757154414</v>
      </c>
      <c r="Q150" s="1057">
        <v>0</v>
      </c>
      <c r="R150" s="1058">
        <v>0</v>
      </c>
      <c r="S150" s="886">
        <v>1.9773829866860844</v>
      </c>
      <c r="T150" s="871">
        <v>3.6197326464697857</v>
      </c>
      <c r="U150" s="894">
        <v>0</v>
      </c>
      <c r="V150" s="1056">
        <v>5.1147115589511296</v>
      </c>
      <c r="W150" s="1057">
        <v>3.6500712522310739</v>
      </c>
      <c r="X150" s="1069">
        <v>4.5645923561721409</v>
      </c>
    </row>
    <row r="151" spans="1:24" x14ac:dyDescent="0.3">
      <c r="A151" s="1027" t="str">
        <f>_xlfn.CONCAT(qPCR_Unique!Y12, qPCR_Unique!D12)</f>
        <v>During the burnEP44398</v>
      </c>
      <c r="B151" s="1028" t="str">
        <v>After the burnMRT44433</v>
      </c>
      <c r="C151" s="1029" t="str">
        <f t="shared" si="15"/>
        <v>MRT44433</v>
      </c>
      <c r="D151" s="1041" t="str">
        <f t="shared" si="16"/>
        <v>RL44342</v>
      </c>
      <c r="E151" s="870" t="str">
        <f t="shared" si="17"/>
        <v>MRT44385</v>
      </c>
      <c r="F151" s="890" t="str">
        <f t="shared" si="18"/>
        <v>MRT44433</v>
      </c>
      <c r="G151" s="886">
        <v>10.071276621177251</v>
      </c>
      <c r="H151" s="871">
        <v>5.9118235110714696</v>
      </c>
      <c r="I151" s="894">
        <v>9.5187224424310894</v>
      </c>
      <c r="J151" s="1056">
        <v>4.3579867486689796</v>
      </c>
      <c r="K151" s="1057">
        <v>3.0981883072865495</v>
      </c>
      <c r="L151" s="1058">
        <v>4.0692002329379919</v>
      </c>
      <c r="M151" s="886">
        <v>2.4934356195993486</v>
      </c>
      <c r="N151" s="871">
        <v>0</v>
      </c>
      <c r="O151" s="894">
        <v>2.1889560866282487</v>
      </c>
      <c r="P151" s="1056">
        <v>3.9947325075118063</v>
      </c>
      <c r="Q151" s="1057">
        <v>0</v>
      </c>
      <c r="R151" s="1058">
        <v>5.0415213521965967</v>
      </c>
      <c r="S151" s="886">
        <v>2.397277177665643</v>
      </c>
      <c r="T151" s="871">
        <v>0</v>
      </c>
      <c r="U151" s="894">
        <v>0</v>
      </c>
      <c r="V151" s="1056">
        <v>4.5217037588088145</v>
      </c>
      <c r="W151" s="1057">
        <v>3.0981883072865495</v>
      </c>
      <c r="X151" s="1069">
        <v>5.0860552312793166</v>
      </c>
    </row>
    <row r="152" spans="1:24" x14ac:dyDescent="0.3">
      <c r="A152" s="1027" t="str">
        <f>_xlfn.CONCAT(qPCR_Unique!Y13, qPCR_Unique!D13)</f>
        <v>After the burnEP44405</v>
      </c>
      <c r="B152" s="1028" t="str">
        <v>After the burnRL44405</v>
      </c>
      <c r="C152" s="1029" t="str">
        <f t="shared" si="15"/>
        <v>RL44405</v>
      </c>
      <c r="D152" s="1041" t="str">
        <f t="shared" si="16"/>
        <v>RL44350</v>
      </c>
      <c r="E152" s="870" t="str">
        <f t="shared" si="17"/>
        <v>MRT44391</v>
      </c>
      <c r="F152" s="890" t="str">
        <f t="shared" si="18"/>
        <v>RL44405</v>
      </c>
      <c r="G152" s="886">
        <v>9.0497576396880604</v>
      </c>
      <c r="H152" s="871">
        <v>6.3136663056555458</v>
      </c>
      <c r="I152" s="894">
        <v>6.6806695873206543</v>
      </c>
      <c r="J152" s="1056">
        <v>4.8444474553321486</v>
      </c>
      <c r="K152" s="1057">
        <v>0</v>
      </c>
      <c r="L152" s="1058">
        <v>3.9091048998141136</v>
      </c>
      <c r="M152" s="886">
        <v>3.1723941296475311</v>
      </c>
      <c r="N152" s="871">
        <v>0</v>
      </c>
      <c r="O152" s="894">
        <v>3.279550348825468</v>
      </c>
      <c r="P152" s="1056">
        <v>2.9147049089133246</v>
      </c>
      <c r="Q152" s="1057">
        <v>4.1051102984023373</v>
      </c>
      <c r="R152" s="1058">
        <v>0</v>
      </c>
      <c r="S152" s="886">
        <v>0</v>
      </c>
      <c r="T152" s="871">
        <v>0</v>
      </c>
      <c r="U152" s="894">
        <v>0</v>
      </c>
      <c r="V152" s="1056">
        <v>4.858562373632382</v>
      </c>
      <c r="W152" s="1057">
        <v>4.1051102984023373</v>
      </c>
      <c r="X152" s="1069">
        <v>4.0006534911966458</v>
      </c>
    </row>
    <row r="153" spans="1:24" x14ac:dyDescent="0.3">
      <c r="A153" s="1027" t="str">
        <f>_xlfn.CONCAT(qPCR_Unique!Y14, qPCR_Unique!D14)</f>
        <v>After the burnEP44412</v>
      </c>
      <c r="B153" s="1028" t="str">
        <v>After the burnRL44412</v>
      </c>
      <c r="C153" s="1029" t="str">
        <f t="shared" si="15"/>
        <v>RL44412</v>
      </c>
      <c r="D153" s="1041" t="str">
        <f t="shared" si="16"/>
        <v>RL44356</v>
      </c>
      <c r="E153" s="870" t="str">
        <f t="shared" si="17"/>
        <v>MRT44398</v>
      </c>
      <c r="F153" s="890" t="str">
        <f t="shared" si="18"/>
        <v>RL44412</v>
      </c>
      <c r="G153" s="886">
        <v>8.0739575068438771</v>
      </c>
      <c r="H153" s="871">
        <v>5.025982146472221</v>
      </c>
      <c r="I153" s="894">
        <v>6.4679144985785593</v>
      </c>
      <c r="J153" s="1056">
        <v>4.4053095940815297</v>
      </c>
      <c r="K153" s="1057">
        <v>0</v>
      </c>
      <c r="L153" s="1058">
        <v>3.6671601345541878</v>
      </c>
      <c r="M153" s="886">
        <v>3.3310670461162957</v>
      </c>
      <c r="N153" s="871">
        <v>0</v>
      </c>
      <c r="O153" s="894">
        <v>2.0876180924738739</v>
      </c>
      <c r="P153" s="1056">
        <v>2.968653156689125</v>
      </c>
      <c r="Q153" s="1057">
        <v>0</v>
      </c>
      <c r="R153" s="1058">
        <v>2.5291065311531939</v>
      </c>
      <c r="S153" s="886">
        <v>0</v>
      </c>
      <c r="T153" s="871">
        <v>0</v>
      </c>
      <c r="U153" s="894">
        <v>0</v>
      </c>
      <c r="V153" s="1056">
        <v>4.4548667000939863</v>
      </c>
      <c r="W153" s="1057">
        <v>0</v>
      </c>
      <c r="X153" s="1069">
        <v>3.708197116667141</v>
      </c>
    </row>
    <row r="154" spans="1:24" x14ac:dyDescent="0.3">
      <c r="A154" s="1027" t="str">
        <f>_xlfn.CONCAT(qPCR_Unique!Y15, qPCR_Unique!D15)</f>
        <v>After the burnEP44419</v>
      </c>
      <c r="B154" s="1028" t="str">
        <v>After the burnRL44419</v>
      </c>
      <c r="C154" s="1029" t="str">
        <f t="shared" si="15"/>
        <v>RL44419</v>
      </c>
      <c r="D154" s="1041" t="str">
        <f t="shared" si="16"/>
        <v>RN44335</v>
      </c>
      <c r="E154" s="870" t="str">
        <f t="shared" si="17"/>
        <v>RL44363</v>
      </c>
      <c r="F154" s="890" t="str">
        <f>C154</f>
        <v>RL44419</v>
      </c>
      <c r="G154" s="886">
        <v>9.9736003923149656</v>
      </c>
      <c r="H154" s="871">
        <v>4.682770131298021</v>
      </c>
      <c r="I154" s="894">
        <v>7.4763848749940305</v>
      </c>
      <c r="J154" s="1056">
        <v>5.6379441984051732</v>
      </c>
      <c r="K154" s="1057">
        <v>0</v>
      </c>
      <c r="L154" s="1058">
        <v>4.0247043077357461</v>
      </c>
      <c r="M154" s="886">
        <v>3.7445155306024982</v>
      </c>
      <c r="N154" s="871">
        <v>0</v>
      </c>
      <c r="O154" s="894">
        <v>3.1257503535272613</v>
      </c>
      <c r="P154" s="1056">
        <v>3.4011381377074636</v>
      </c>
      <c r="Q154" s="1057">
        <v>0</v>
      </c>
      <c r="R154" s="1058">
        <v>0</v>
      </c>
      <c r="S154" s="886">
        <v>4.2795797096603305</v>
      </c>
      <c r="T154" s="871">
        <v>0</v>
      </c>
      <c r="U154" s="894">
        <v>0</v>
      </c>
      <c r="V154" s="1056">
        <v>5.6642299495850637</v>
      </c>
      <c r="W154" s="1057">
        <v>0</v>
      </c>
      <c r="X154" s="1069">
        <v>4.0763183393647253</v>
      </c>
    </row>
    <row r="155" spans="1:24" x14ac:dyDescent="0.3">
      <c r="A155" s="1027" t="str">
        <f>_xlfn.CONCAT(qPCR_Unique!Y16, qPCR_Unique!D16)</f>
        <v>After the burnEP44426</v>
      </c>
      <c r="B155" s="1028" t="str">
        <v>After the burnRL44426</v>
      </c>
      <c r="C155" s="1029" t="str">
        <f t="shared" si="15"/>
        <v>RL44426</v>
      </c>
      <c r="D155" s="1041" t="str">
        <f t="shared" si="16"/>
        <v>RN44342</v>
      </c>
      <c r="E155" s="870" t="str">
        <f t="shared" si="17"/>
        <v>RL44370</v>
      </c>
      <c r="F155" s="890" t="str">
        <f t="shared" si="18"/>
        <v>RL44426</v>
      </c>
      <c r="G155" s="886">
        <v>9.0805407894700885</v>
      </c>
      <c r="H155" s="871">
        <v>5.0881109626207861</v>
      </c>
      <c r="I155" s="894">
        <v>8.4148405289647066</v>
      </c>
      <c r="J155" s="1056">
        <v>5.2706816175395286</v>
      </c>
      <c r="K155" s="1057">
        <v>2.8348287037714068</v>
      </c>
      <c r="L155" s="1058">
        <v>4.2469220709916948</v>
      </c>
      <c r="M155" s="886">
        <v>3.6322593795010154</v>
      </c>
      <c r="N155" s="871">
        <v>0</v>
      </c>
      <c r="O155" s="894">
        <v>0</v>
      </c>
      <c r="P155" s="1056">
        <v>5.2175838324125881</v>
      </c>
      <c r="Q155" s="1057">
        <v>0</v>
      </c>
      <c r="R155" s="1058">
        <v>0</v>
      </c>
      <c r="S155" s="886">
        <v>4.8620221165427324</v>
      </c>
      <c r="T155" s="871">
        <v>0</v>
      </c>
      <c r="U155" s="894">
        <v>0</v>
      </c>
      <c r="V155" s="1056">
        <v>5.6320611658056414</v>
      </c>
      <c r="W155" s="1057">
        <v>2.8348287037714068</v>
      </c>
      <c r="X155" s="1069">
        <v>4.2469220709916948</v>
      </c>
    </row>
    <row r="156" spans="1:24" x14ac:dyDescent="0.3">
      <c r="A156" s="1027" t="str">
        <f>_xlfn.CONCAT(qPCR_Unique!Y17, qPCR_Unique!D17)</f>
        <v>After the burnEP44433</v>
      </c>
      <c r="B156" s="1028" t="str">
        <v>After the burnRL44433</v>
      </c>
      <c r="C156" s="1029" t="str">
        <f t="shared" si="15"/>
        <v>RL44433</v>
      </c>
      <c r="D156" s="1041" t="str">
        <f t="shared" si="16"/>
        <v>RN44350</v>
      </c>
      <c r="E156" s="870" t="str">
        <f t="shared" si="17"/>
        <v>RL44385</v>
      </c>
      <c r="F156" s="890" t="str">
        <f t="shared" si="18"/>
        <v>RL44433</v>
      </c>
      <c r="G156" s="886">
        <v>7.4691683721050639</v>
      </c>
      <c r="H156" s="871">
        <v>5.4913577477793218</v>
      </c>
      <c r="I156" s="894">
        <v>7.3034935445072406</v>
      </c>
      <c r="J156" s="1056">
        <v>5.121059538810405</v>
      </c>
      <c r="K156" s="1057">
        <v>2.8803480784195954</v>
      </c>
      <c r="L156" s="1058">
        <v>4.1192138535715888</v>
      </c>
      <c r="M156" s="886">
        <v>3.4308583947258704</v>
      </c>
      <c r="N156" s="871">
        <v>0</v>
      </c>
      <c r="O156" s="894">
        <v>0</v>
      </c>
      <c r="P156" s="1056">
        <v>5.0434921342265664</v>
      </c>
      <c r="Q156" s="1057">
        <v>0</v>
      </c>
      <c r="R156" s="1058">
        <v>3.2273567906886726</v>
      </c>
      <c r="S156" s="886">
        <v>3.988365407749451</v>
      </c>
      <c r="T156" s="871">
        <v>0</v>
      </c>
      <c r="U156" s="894">
        <v>0</v>
      </c>
      <c r="V156" s="1056">
        <v>5.4067330050285776</v>
      </c>
      <c r="W156" s="1057">
        <v>2.8803480784195954</v>
      </c>
      <c r="X156" s="1069">
        <v>4.1716289227353132</v>
      </c>
    </row>
    <row r="157" spans="1:24" x14ac:dyDescent="0.3">
      <c r="A157" s="1027" t="str">
        <f>_xlfn.CONCAT(qPCR_Unique!Y18, qPCR_Unique!D18)</f>
        <v>Before the burnSPI44335</v>
      </c>
      <c r="B157" s="1028" t="str">
        <v>After the burnRN44405</v>
      </c>
      <c r="C157" s="1029" t="str">
        <f t="shared" si="15"/>
        <v>RN44405</v>
      </c>
      <c r="D157" s="1041" t="str">
        <f t="shared" si="16"/>
        <v>RN44356</v>
      </c>
      <c r="E157" s="870" t="str">
        <f t="shared" si="17"/>
        <v>RL44391</v>
      </c>
      <c r="F157" s="890" t="str">
        <f t="shared" si="18"/>
        <v>RN44405</v>
      </c>
      <c r="G157" s="886">
        <v>7.6870587008862445</v>
      </c>
      <c r="H157" s="871">
        <v>5.01187338604002</v>
      </c>
      <c r="I157" s="894">
        <v>6.857961824343902</v>
      </c>
      <c r="J157" s="1056">
        <v>4.8995789026498029</v>
      </c>
      <c r="K157" s="1057">
        <v>2.6639377692904969</v>
      </c>
      <c r="L157" s="1058">
        <v>2.6367344308011669</v>
      </c>
      <c r="M157" s="886">
        <v>4.1163567329406483</v>
      </c>
      <c r="N157" s="871">
        <v>0</v>
      </c>
      <c r="O157" s="894">
        <v>2.3320288243410854</v>
      </c>
      <c r="P157" s="1056">
        <v>5.2153438571610549</v>
      </c>
      <c r="Q157" s="1057">
        <v>0</v>
      </c>
      <c r="R157" s="1058">
        <v>0</v>
      </c>
      <c r="S157" s="886">
        <v>4.1933167364170636</v>
      </c>
      <c r="T157" s="871">
        <v>0</v>
      </c>
      <c r="U157" s="894">
        <v>0</v>
      </c>
      <c r="V157" s="1056">
        <v>5.4349265887930054</v>
      </c>
      <c r="W157" s="1057">
        <v>2.6639377692904969</v>
      </c>
      <c r="X157" s="1069">
        <v>2.8116039394663228</v>
      </c>
    </row>
    <row r="158" spans="1:24" x14ac:dyDescent="0.3">
      <c r="A158" s="1027" t="str">
        <f>_xlfn.CONCAT(qPCR_Unique!Y19, qPCR_Unique!D19)</f>
        <v>Before the burnSPI44342</v>
      </c>
      <c r="B158" s="1028" t="str">
        <v>After the burnRN44412</v>
      </c>
      <c r="C158" s="1029" t="str">
        <f t="shared" si="15"/>
        <v>RN44412</v>
      </c>
      <c r="D158" s="1041" t="str">
        <f t="shared" si="16"/>
        <v>RS44335</v>
      </c>
      <c r="E158" s="870" t="str">
        <f t="shared" si="17"/>
        <v>RL44398</v>
      </c>
      <c r="F158" s="890" t="str">
        <f t="shared" si="18"/>
        <v>RN44412</v>
      </c>
      <c r="G158" s="886">
        <v>7.0970742653226893</v>
      </c>
      <c r="H158" s="871">
        <v>7.8383692808696015</v>
      </c>
      <c r="I158" s="894">
        <v>7.9014692811254186</v>
      </c>
      <c r="J158" s="1056">
        <v>4.8874086588122267</v>
      </c>
      <c r="K158" s="1057">
        <v>4.7795727869078934</v>
      </c>
      <c r="L158" s="1058">
        <v>4.8122169893004871</v>
      </c>
      <c r="M158" s="886">
        <v>5.7209447811309939</v>
      </c>
      <c r="N158" s="871">
        <v>3.3866254690921229</v>
      </c>
      <c r="O158" s="894">
        <v>4.0191397780393325</v>
      </c>
      <c r="P158" s="1056">
        <v>0</v>
      </c>
      <c r="Q158" s="1057">
        <v>6.1462388958032994</v>
      </c>
      <c r="R158" s="1058">
        <v>3.3004200481818198</v>
      </c>
      <c r="S158" s="886">
        <v>7.0792634452056076</v>
      </c>
      <c r="T158" s="871">
        <v>3.4723657347419548</v>
      </c>
      <c r="U158" s="894">
        <v>3.6007424370072556</v>
      </c>
      <c r="V158" s="1056">
        <v>7.1005561068026344</v>
      </c>
      <c r="W158" s="1057">
        <v>6.1661212817726314</v>
      </c>
      <c r="X158" s="1069">
        <v>4.9102587878722295</v>
      </c>
    </row>
    <row r="159" spans="1:24" x14ac:dyDescent="0.3">
      <c r="A159" s="1027" t="str">
        <f>_xlfn.CONCAT(qPCR_Unique!Y20, qPCR_Unique!D20)</f>
        <v>Before the burnSPI44350</v>
      </c>
      <c r="B159" s="1028" t="str">
        <v>After the burnRN44419</v>
      </c>
      <c r="C159" s="1029" t="str">
        <f t="shared" si="15"/>
        <v>RN44419</v>
      </c>
      <c r="D159" s="1041" t="str">
        <f t="shared" si="16"/>
        <v>RS44342</v>
      </c>
      <c r="E159" s="870" t="str">
        <f t="shared" si="17"/>
        <v>RN44363</v>
      </c>
      <c r="F159" s="890" t="str">
        <f t="shared" si="18"/>
        <v>RN44419</v>
      </c>
      <c r="G159" s="886">
        <v>7.7336987531004038</v>
      </c>
      <c r="H159" s="871">
        <v>6.8420854826283053</v>
      </c>
      <c r="I159" s="894">
        <v>7.3491595906222695</v>
      </c>
      <c r="J159" s="1056">
        <v>4.582345351084574</v>
      </c>
      <c r="K159" s="1057">
        <v>0</v>
      </c>
      <c r="L159" s="1058">
        <v>3.6833972776381381</v>
      </c>
      <c r="M159" s="886">
        <v>4.5789234554193214</v>
      </c>
      <c r="N159" s="871">
        <v>2.2607593586424297</v>
      </c>
      <c r="O159" s="894">
        <v>0</v>
      </c>
      <c r="P159" s="1056">
        <v>0</v>
      </c>
      <c r="Q159" s="1057">
        <v>0</v>
      </c>
      <c r="R159" s="1058">
        <v>0</v>
      </c>
      <c r="S159" s="886">
        <v>5.9408651947164479</v>
      </c>
      <c r="T159" s="871">
        <v>0</v>
      </c>
      <c r="U159" s="894">
        <v>2.5896089250665399</v>
      </c>
      <c r="V159" s="1056">
        <v>5.9771975914967843</v>
      </c>
      <c r="W159" s="1057">
        <v>2.2607593586424297</v>
      </c>
      <c r="X159" s="1069">
        <v>3.7170530382877782</v>
      </c>
    </row>
    <row r="160" spans="1:24" x14ac:dyDescent="0.3">
      <c r="A160" s="1027" t="str">
        <f>_xlfn.CONCAT(qPCR_Unique!Y21, qPCR_Unique!D21)</f>
        <v>Before the burnSPI44356</v>
      </c>
      <c r="B160" s="1028" t="str">
        <v>After the burnRN44426</v>
      </c>
      <c r="C160" s="1029" t="str">
        <f t="shared" si="15"/>
        <v>RN44426</v>
      </c>
      <c r="D160" s="1041" t="str">
        <f t="shared" si="16"/>
        <v>RS44350</v>
      </c>
      <c r="E160" s="870" t="str">
        <f t="shared" si="17"/>
        <v>RN44370</v>
      </c>
      <c r="F160" s="890" t="str">
        <f t="shared" si="18"/>
        <v>RN44426</v>
      </c>
      <c r="G160" s="886">
        <v>8.056562054046335</v>
      </c>
      <c r="H160" s="871">
        <v>6.7899646648484158</v>
      </c>
      <c r="I160" s="894">
        <v>8.2912776118587743</v>
      </c>
      <c r="J160" s="1056">
        <v>5.2120222604884647</v>
      </c>
      <c r="K160" s="1057">
        <v>2.4286434473187644</v>
      </c>
      <c r="L160" s="1058">
        <v>4.6753080389039123</v>
      </c>
      <c r="M160" s="886">
        <v>5.3808577257032759</v>
      </c>
      <c r="N160" s="871">
        <v>0</v>
      </c>
      <c r="O160" s="894">
        <v>2.9406128501018993</v>
      </c>
      <c r="P160" s="1056">
        <v>2.8671217803632532</v>
      </c>
      <c r="Q160" s="1057">
        <v>0</v>
      </c>
      <c r="R160" s="1058">
        <v>4.0156176907627623</v>
      </c>
      <c r="S160" s="886">
        <v>6.8914232824001544</v>
      </c>
      <c r="T160" s="871">
        <v>2.5084394771307048</v>
      </c>
      <c r="U160" s="894">
        <v>3.8292751375319267</v>
      </c>
      <c r="V160" s="1056">
        <v>6.9133891052679397</v>
      </c>
      <c r="W160" s="1057">
        <v>2.7714015726213659</v>
      </c>
      <c r="X160" s="1069">
        <v>4.815156537643583</v>
      </c>
    </row>
    <row r="161" spans="1:24" x14ac:dyDescent="0.3">
      <c r="A161" s="1027" t="str">
        <f>_xlfn.CONCAT(qPCR_Unique!Y22, qPCR_Unique!D22)</f>
        <v>During the burnSPI44370</v>
      </c>
      <c r="B161" s="1028" t="str">
        <v>After the burnRN44433</v>
      </c>
      <c r="C161" s="1029" t="str">
        <f t="shared" si="15"/>
        <v>RN44433</v>
      </c>
      <c r="D161" s="1041" t="str">
        <f t="shared" si="16"/>
        <v>RU44335</v>
      </c>
      <c r="E161" s="870" t="str">
        <f t="shared" si="17"/>
        <v>RN44377</v>
      </c>
      <c r="F161" s="890" t="str">
        <f t="shared" si="18"/>
        <v>RN44433</v>
      </c>
      <c r="G161" s="886">
        <v>7.8495615332656898</v>
      </c>
      <c r="H161" s="871">
        <v>6.8892170572706553</v>
      </c>
      <c r="I161" s="894">
        <v>7.6954268258771572</v>
      </c>
      <c r="J161" s="1056">
        <v>4.5905055775213919</v>
      </c>
      <c r="K161" s="1057">
        <v>3.1843703706804534</v>
      </c>
      <c r="L161" s="1058">
        <v>4.354304301352979</v>
      </c>
      <c r="M161" s="886">
        <v>4.3104329272152517</v>
      </c>
      <c r="N161" s="871">
        <v>0</v>
      </c>
      <c r="O161" s="894">
        <v>2.048705204442399</v>
      </c>
      <c r="P161" s="1056">
        <v>4.2064803213784936</v>
      </c>
      <c r="Q161" s="1057">
        <v>2.6351603567164474</v>
      </c>
      <c r="R161" s="1058">
        <v>4.2170056724908411</v>
      </c>
      <c r="S161" s="886">
        <v>6.5764821103594846</v>
      </c>
      <c r="T161" s="871">
        <v>0</v>
      </c>
      <c r="U161" s="894">
        <v>2.6977679697637789</v>
      </c>
      <c r="V161" s="1056">
        <v>6.5850879640502056</v>
      </c>
      <c r="W161" s="1057">
        <v>3.2923774298888513</v>
      </c>
      <c r="X161" s="1069">
        <v>4.5988180698718546</v>
      </c>
    </row>
    <row r="162" spans="1:24" x14ac:dyDescent="0.3">
      <c r="A162" s="1027" t="str">
        <f>_xlfn.CONCAT(qPCR_Unique!Y23, qPCR_Unique!D23)</f>
        <v>During the burnSPI44377</v>
      </c>
      <c r="B162" s="1028" t="str">
        <v>After the burnRS44405</v>
      </c>
      <c r="C162" s="1029" t="str">
        <f t="shared" si="15"/>
        <v>RS44405</v>
      </c>
      <c r="D162" s="1041" t="str">
        <f t="shared" si="16"/>
        <v>RU44342</v>
      </c>
      <c r="E162" s="870" t="str">
        <f t="shared" si="17"/>
        <v>RN44385</v>
      </c>
      <c r="F162" s="890" t="str">
        <f t="shared" si="18"/>
        <v>RS44405</v>
      </c>
      <c r="G162" s="886">
        <v>7.7578372747518367</v>
      </c>
      <c r="H162" s="871">
        <v>7.362246912755932</v>
      </c>
      <c r="I162" s="894">
        <v>9.8465963824465117</v>
      </c>
      <c r="J162" s="1056">
        <v>4.7400289986131288</v>
      </c>
      <c r="K162" s="1057">
        <v>3.1467904477067403</v>
      </c>
      <c r="L162" s="1058">
        <v>4.0789618308486393</v>
      </c>
      <c r="M162" s="886">
        <v>4.4051917282697053</v>
      </c>
      <c r="N162" s="871">
        <v>2.0060820399846007</v>
      </c>
      <c r="O162" s="894">
        <v>4.966883790581651</v>
      </c>
      <c r="P162" s="1056">
        <v>0</v>
      </c>
      <c r="Q162" s="1057">
        <v>3.36580187358265</v>
      </c>
      <c r="R162" s="1058">
        <v>0</v>
      </c>
      <c r="S162" s="886">
        <v>2.5204130406954133</v>
      </c>
      <c r="T162" s="871">
        <v>0</v>
      </c>
      <c r="U162" s="894">
        <v>6.4926071483978385</v>
      </c>
      <c r="V162" s="1056">
        <v>4.9069281558909319</v>
      </c>
      <c r="W162" s="1057">
        <v>3.5826569497851435</v>
      </c>
      <c r="X162" s="1069">
        <v>6.506985731257366</v>
      </c>
    </row>
    <row r="163" spans="1:24" x14ac:dyDescent="0.3">
      <c r="A163" s="1027" t="str">
        <f>_xlfn.CONCAT(qPCR_Unique!Y24, qPCR_Unique!D24)</f>
        <v>During the burnSPI44385</v>
      </c>
      <c r="B163" s="1028" t="str">
        <v>After the burnRS44412</v>
      </c>
      <c r="C163" s="1029" t="str">
        <f t="shared" si="15"/>
        <v>RS44412</v>
      </c>
      <c r="D163" s="1041" t="str">
        <f t="shared" si="16"/>
        <v>RU44350</v>
      </c>
      <c r="E163" s="870" t="str">
        <f t="shared" si="17"/>
        <v>RN44391</v>
      </c>
      <c r="F163" s="890" t="str">
        <f t="shared" si="18"/>
        <v>RS44412</v>
      </c>
      <c r="G163" s="886">
        <v>9.5403441257741548</v>
      </c>
      <c r="H163" s="871">
        <v>6.6054349674181383</v>
      </c>
      <c r="I163" s="894">
        <v>8.7619108730210442</v>
      </c>
      <c r="J163" s="1056">
        <v>4.7211953366507178</v>
      </c>
      <c r="K163" s="1057">
        <v>2.6667652053756519</v>
      </c>
      <c r="L163" s="1058">
        <v>3.7724110136143607</v>
      </c>
      <c r="M163" s="886">
        <v>4.2034233374593502</v>
      </c>
      <c r="N163" s="871">
        <v>2.2286049992580708</v>
      </c>
      <c r="O163" s="894">
        <v>4.6391474905137544</v>
      </c>
      <c r="P163" s="1056">
        <v>0</v>
      </c>
      <c r="Q163" s="1057">
        <v>0</v>
      </c>
      <c r="R163" s="1058">
        <v>3.505192400473788</v>
      </c>
      <c r="S163" s="886">
        <v>2.8024360933784962</v>
      </c>
      <c r="T163" s="871">
        <v>0</v>
      </c>
      <c r="U163" s="894">
        <v>5.3612590735701922</v>
      </c>
      <c r="V163" s="1056">
        <v>4.8403210099395428</v>
      </c>
      <c r="W163" s="1057">
        <v>2.8017767523015138</v>
      </c>
      <c r="X163" s="1069">
        <v>5.4509252652322751</v>
      </c>
    </row>
    <row r="164" spans="1:24" x14ac:dyDescent="0.3">
      <c r="A164" s="1027" t="str">
        <f>_xlfn.CONCAT(qPCR_Unique!Y25, qPCR_Unique!D25)</f>
        <v>During the burnSPI44391</v>
      </c>
      <c r="B164" s="1028" t="str">
        <v>After the burnRS44419</v>
      </c>
      <c r="C164" s="1029" t="str">
        <f t="shared" si="15"/>
        <v>RS44419</v>
      </c>
      <c r="D164" s="1041" t="str">
        <f t="shared" si="16"/>
        <v>RU44356</v>
      </c>
      <c r="E164" s="870" t="str">
        <f t="shared" si="17"/>
        <v>RN44398</v>
      </c>
      <c r="F164" s="890" t="str">
        <f t="shared" si="18"/>
        <v>RS44419</v>
      </c>
      <c r="G164" s="886">
        <v>8.1903267843660164</v>
      </c>
      <c r="H164" s="871">
        <v>7.5755870095503726</v>
      </c>
      <c r="I164" s="894">
        <v>8.7956529211205527</v>
      </c>
      <c r="J164" s="1056">
        <v>4.3537581058361781</v>
      </c>
      <c r="K164" s="1057">
        <v>0</v>
      </c>
      <c r="L164" s="1058">
        <v>4.063005892980124</v>
      </c>
      <c r="M164" s="886">
        <v>3.7638717262823116</v>
      </c>
      <c r="N164" s="871">
        <v>4.2106156072800465</v>
      </c>
      <c r="O164" s="894">
        <v>4.7652346487326867</v>
      </c>
      <c r="P164" s="1056">
        <v>0</v>
      </c>
      <c r="Q164" s="1057">
        <v>0</v>
      </c>
      <c r="R164" s="1058">
        <v>0</v>
      </c>
      <c r="S164" s="886">
        <v>2.7605127333945005</v>
      </c>
      <c r="T164" s="871">
        <v>6.0329542550771391</v>
      </c>
      <c r="U164" s="894">
        <v>5.9541054675219511</v>
      </c>
      <c r="V164" s="1056">
        <v>4.4618559199604793</v>
      </c>
      <c r="W164" s="1057">
        <v>6.0394435420451087</v>
      </c>
      <c r="X164" s="1069">
        <v>5.9865563736692264</v>
      </c>
    </row>
    <row r="165" spans="1:24" x14ac:dyDescent="0.3">
      <c r="A165" s="1027" t="str">
        <f>_xlfn.CONCAT(qPCR_Unique!Y26, qPCR_Unique!D26)</f>
        <v>During the burnSPI44398</v>
      </c>
      <c r="B165" s="1028" t="str">
        <v>After the burnRS44426</v>
      </c>
      <c r="C165" s="1029" t="str">
        <f t="shared" si="15"/>
        <v>RS44426</v>
      </c>
      <c r="D165" s="1041" t="str">
        <f t="shared" si="16"/>
        <v>SPI44335</v>
      </c>
      <c r="E165" s="870" t="str">
        <f t="shared" si="17"/>
        <v>RS44363</v>
      </c>
      <c r="F165" s="890" t="str">
        <f t="shared" si="18"/>
        <v>RS44426</v>
      </c>
      <c r="G165" s="886">
        <v>8.8262241930475405</v>
      </c>
      <c r="H165" s="871">
        <v>8.9481229124964674</v>
      </c>
      <c r="I165" s="894">
        <v>8.6511149385728281</v>
      </c>
      <c r="J165" s="1056">
        <v>4.3340059600019885</v>
      </c>
      <c r="K165" s="1057">
        <v>0</v>
      </c>
      <c r="L165" s="1058">
        <v>3.9558924586156925</v>
      </c>
      <c r="M165" s="886">
        <v>3.7516032075768719</v>
      </c>
      <c r="N165" s="871">
        <v>4.972675217011691</v>
      </c>
      <c r="O165" s="894">
        <v>3.9884828813409765</v>
      </c>
      <c r="P165" s="1056">
        <v>0</v>
      </c>
      <c r="Q165" s="1057">
        <v>0</v>
      </c>
      <c r="R165" s="1058">
        <v>0</v>
      </c>
      <c r="S165" s="886">
        <v>0</v>
      </c>
      <c r="T165" s="871">
        <v>6.4238796591750136</v>
      </c>
      <c r="U165" s="894">
        <v>5.8462238907393802</v>
      </c>
      <c r="V165" s="1056">
        <v>4.4349192443684737</v>
      </c>
      <c r="W165" s="1057">
        <v>6.4389807201198508</v>
      </c>
      <c r="X165" s="1069">
        <v>5.8576879672140345</v>
      </c>
    </row>
    <row r="166" spans="1:24" x14ac:dyDescent="0.3">
      <c r="A166" s="1027" t="str">
        <f>_xlfn.CONCAT(qPCR_Unique!Y27, qPCR_Unique!D27)</f>
        <v>After the burnSPI44405</v>
      </c>
      <c r="B166" s="1028" t="str">
        <v>After the burnRS44433</v>
      </c>
      <c r="C166" s="1029" t="str">
        <f t="shared" si="15"/>
        <v>RS44433</v>
      </c>
      <c r="D166" s="1041" t="str">
        <f t="shared" si="16"/>
        <v>SPI44342</v>
      </c>
      <c r="E166" s="870" t="str">
        <f t="shared" si="17"/>
        <v>RS44370</v>
      </c>
      <c r="F166" s="890" t="str">
        <f>C166</f>
        <v>RS44433</v>
      </c>
      <c r="G166" s="886">
        <v>10.227293627798474</v>
      </c>
      <c r="H166" s="871">
        <v>8.7893770962330091</v>
      </c>
      <c r="I166" s="894">
        <v>9.1672151154857069</v>
      </c>
      <c r="J166" s="1056">
        <v>5.2988036670212644</v>
      </c>
      <c r="K166" s="1057">
        <v>0</v>
      </c>
      <c r="L166" s="1058">
        <v>3.3825519858263853</v>
      </c>
      <c r="M166" s="886">
        <v>3.2101183280359256</v>
      </c>
      <c r="N166" s="871">
        <v>5.2319408525106175</v>
      </c>
      <c r="O166" s="894">
        <v>4.0205992861258624</v>
      </c>
      <c r="P166" s="1056">
        <v>2.8878923350740906</v>
      </c>
      <c r="Q166" s="1057">
        <v>0</v>
      </c>
      <c r="R166" s="1058">
        <v>5.9567414178163585</v>
      </c>
      <c r="S166" s="886">
        <v>1.9211965312062447</v>
      </c>
      <c r="T166" s="871">
        <v>6.7465834779246157</v>
      </c>
      <c r="U166" s="894">
        <v>4.6614390992234407</v>
      </c>
      <c r="V166" s="1056">
        <v>5.3041791462411982</v>
      </c>
      <c r="W166" s="1057">
        <v>6.7596628112187753</v>
      </c>
      <c r="X166" s="1069">
        <v>5.9840557375423442</v>
      </c>
    </row>
    <row r="167" spans="1:24" x14ac:dyDescent="0.3">
      <c r="A167" s="1027" t="str">
        <f>_xlfn.CONCAT(qPCR_Unique!Y28, qPCR_Unique!D28)</f>
        <v>After the burnSPI44412</v>
      </c>
      <c r="B167" s="1028" t="str">
        <v>After the burnRU44405</v>
      </c>
      <c r="C167" s="1029" t="str">
        <f t="shared" si="15"/>
        <v>RU44405</v>
      </c>
      <c r="D167" s="1041" t="str">
        <f t="shared" si="16"/>
        <v>SPI44350</v>
      </c>
      <c r="E167" s="870" t="str">
        <f t="shared" si="17"/>
        <v>RS44377</v>
      </c>
      <c r="F167" s="890" t="str">
        <f t="shared" si="18"/>
        <v>RU44405</v>
      </c>
      <c r="G167" s="1087">
        <f>qPCR_Unique!AA20</f>
        <v>7.311591677936808</v>
      </c>
      <c r="H167" s="871">
        <v>8.7422239622644788</v>
      </c>
      <c r="I167" s="894">
        <v>8.1333710139331075</v>
      </c>
      <c r="J167" s="1056">
        <v>5.0132062005410614</v>
      </c>
      <c r="K167" s="1057">
        <v>2.8426731922953588</v>
      </c>
      <c r="L167" s="1058">
        <v>4.5326444063254305</v>
      </c>
      <c r="M167" s="886">
        <v>3.0326118640148327</v>
      </c>
      <c r="N167" s="871">
        <v>4.7025848149247986</v>
      </c>
      <c r="O167" s="894">
        <v>3.6371857019862635</v>
      </c>
      <c r="P167" s="1056">
        <v>2.6233181796996914</v>
      </c>
      <c r="Q167" s="1057">
        <v>0</v>
      </c>
      <c r="R167" s="1058">
        <v>0</v>
      </c>
      <c r="S167" s="886">
        <v>2.095619415650412</v>
      </c>
      <c r="T167" s="871">
        <v>6.583365509828246</v>
      </c>
      <c r="U167" s="894">
        <v>3.0363742024637514</v>
      </c>
      <c r="V167" s="1056">
        <v>5.0199890903122526</v>
      </c>
      <c r="W167" s="1057">
        <v>6.589120940928983</v>
      </c>
      <c r="X167" s="1069">
        <v>4.5967695831395945</v>
      </c>
    </row>
    <row r="168" spans="1:24" x14ac:dyDescent="0.3">
      <c r="A168" s="1027" t="str">
        <f>_xlfn.CONCAT(qPCR_Unique!Y29, qPCR_Unique!D29)</f>
        <v>After the burnSPI44419</v>
      </c>
      <c r="B168" s="1028" t="str">
        <v>After the burnRU44412</v>
      </c>
      <c r="C168" s="1029" t="str">
        <f t="shared" si="15"/>
        <v>RU44412</v>
      </c>
      <c r="D168" s="1041" t="str">
        <f t="shared" si="16"/>
        <v>SPI44356</v>
      </c>
      <c r="E168" s="870" t="str">
        <f t="shared" si="17"/>
        <v>RS44385</v>
      </c>
      <c r="F168" s="890" t="str">
        <f t="shared" si="18"/>
        <v>RU44412</v>
      </c>
      <c r="G168" s="886" cm="1">
        <f t="array" ref="G168:G172">_xlfn._xlws.FILTER(qPCR_Unique!$I$3:$I$118, COUNTIF($D$168:$D$172, qPCR_Unique!$D$3:$D$118))</f>
        <v>7.1820159348297006</v>
      </c>
      <c r="H168" s="871">
        <v>9.4968335120305873</v>
      </c>
      <c r="I168" s="894">
        <v>7.7970179338660834</v>
      </c>
      <c r="J168" s="1056">
        <v>5.4341633506233746</v>
      </c>
      <c r="K168" s="1057">
        <v>0</v>
      </c>
      <c r="L168" s="1058">
        <v>3.7303707033332447</v>
      </c>
      <c r="M168" s="886">
        <v>2.4377615778005475</v>
      </c>
      <c r="N168" s="871">
        <v>6.2559757760072374</v>
      </c>
      <c r="O168" s="894">
        <v>4.0131980264403566</v>
      </c>
      <c r="P168" s="1056">
        <v>0</v>
      </c>
      <c r="Q168" s="1057">
        <v>4.475989658364921</v>
      </c>
      <c r="R168" s="1058">
        <v>0</v>
      </c>
      <c r="S168" s="886">
        <v>0</v>
      </c>
      <c r="T168" s="871">
        <v>7.7502065365441126</v>
      </c>
      <c r="U168" s="894">
        <v>3.0807511674943671</v>
      </c>
      <c r="V168" s="1056">
        <v>5.4346010376526168</v>
      </c>
      <c r="W168" s="1057">
        <v>7.764129195704605</v>
      </c>
      <c r="X168" s="1069">
        <v>4.2275733381513261</v>
      </c>
    </row>
    <row r="169" spans="1:24" x14ac:dyDescent="0.3">
      <c r="A169" s="1027" t="str">
        <f>_xlfn.CONCAT(qPCR_Unique!Y30, qPCR_Unique!D30)</f>
        <v>After the burnSPI44426</v>
      </c>
      <c r="B169" s="1028" t="str">
        <v>After the burnRU44419</v>
      </c>
      <c r="C169" s="1029" t="str">
        <f t="shared" si="15"/>
        <v>RU44419</v>
      </c>
      <c r="D169" s="1041" t="str">
        <f t="shared" si="16"/>
        <v>SPO44335</v>
      </c>
      <c r="E169" s="870" t="str">
        <f t="shared" si="17"/>
        <v>RS44391</v>
      </c>
      <c r="F169" s="890" t="str">
        <f t="shared" si="18"/>
        <v>RU44419</v>
      </c>
      <c r="G169" s="886">
        <v>7.3976328979330424</v>
      </c>
      <c r="H169" s="871">
        <v>8.4510484637141765</v>
      </c>
      <c r="I169" s="894">
        <v>8.4672516463565746</v>
      </c>
      <c r="J169" s="1056">
        <v>4.6631920852005928</v>
      </c>
      <c r="K169" s="1057">
        <v>2.5293707608093068</v>
      </c>
      <c r="L169" s="1058">
        <v>4.0851231859017831</v>
      </c>
      <c r="M169" s="886">
        <v>3.1596655425971378</v>
      </c>
      <c r="N169" s="871">
        <v>4.5696227545333876</v>
      </c>
      <c r="O169" s="894">
        <v>4.1279498708001707</v>
      </c>
      <c r="P169" s="1056">
        <v>4.1212810154635378</v>
      </c>
      <c r="Q169" s="1057">
        <v>2.9799106746966424</v>
      </c>
      <c r="R169" s="1058">
        <v>4.5219452069362802</v>
      </c>
      <c r="S169" s="886">
        <v>2.8743369449425566</v>
      </c>
      <c r="T169" s="871">
        <v>0</v>
      </c>
      <c r="U169" s="894">
        <v>0</v>
      </c>
      <c r="V169" s="1056">
        <v>4.7885968282251365</v>
      </c>
      <c r="W169" s="1057">
        <v>4.5844942085514333</v>
      </c>
      <c r="X169" s="1069">
        <v>4.7697698492433531</v>
      </c>
    </row>
    <row r="170" spans="1:24" x14ac:dyDescent="0.3">
      <c r="A170" s="1027" t="str">
        <f>_xlfn.CONCAT(qPCR_Unique!Y31, qPCR_Unique!D31)</f>
        <v>After the burnSPI44433</v>
      </c>
      <c r="B170" s="1028" t="str">
        <v>After the burnRU44426</v>
      </c>
      <c r="C170" s="1029" t="str">
        <f t="shared" si="15"/>
        <v>RU44426</v>
      </c>
      <c r="D170" s="1041" t="str">
        <f t="shared" si="16"/>
        <v>SPO44342</v>
      </c>
      <c r="E170" s="870" t="str">
        <f t="shared" si="17"/>
        <v>RS44398</v>
      </c>
      <c r="F170" s="890" t="str">
        <f t="shared" si="18"/>
        <v>RU44426</v>
      </c>
      <c r="G170" s="886">
        <v>6.9219903352171874</v>
      </c>
      <c r="H170" s="871">
        <v>6.6956501668543815</v>
      </c>
      <c r="I170" s="894">
        <v>7.5735569828090972</v>
      </c>
      <c r="J170" s="1056">
        <v>4.8431920405644897</v>
      </c>
      <c r="K170" s="1057">
        <v>0</v>
      </c>
      <c r="L170" s="1058">
        <v>4.9425680230912103</v>
      </c>
      <c r="M170" s="886">
        <v>4.3733485927609284</v>
      </c>
      <c r="N170" s="871">
        <v>4.3559487492646749</v>
      </c>
      <c r="O170" s="894">
        <v>3.396386455090723</v>
      </c>
      <c r="P170" s="1056">
        <v>2.5324246445355993</v>
      </c>
      <c r="Q170" s="1057">
        <v>0</v>
      </c>
      <c r="R170" s="1058">
        <v>0</v>
      </c>
      <c r="S170" s="886">
        <v>5.0641736514136264</v>
      </c>
      <c r="T170" s="871">
        <v>1.8620594843788647</v>
      </c>
      <c r="U170" s="894">
        <v>2.572604608472389</v>
      </c>
      <c r="V170" s="1056">
        <v>5.3213540186618644</v>
      </c>
      <c r="W170" s="1057">
        <v>4.3573393407477621</v>
      </c>
      <c r="X170" s="1069">
        <v>4.9565417274702419</v>
      </c>
    </row>
    <row r="171" spans="1:24" x14ac:dyDescent="0.3">
      <c r="A171" s="1027" t="str">
        <f>_xlfn.CONCAT(qPCR_Unique!Y32, qPCR_Unique!D32)</f>
        <v>Before the burnSPO44335</v>
      </c>
      <c r="B171" s="1028" t="str">
        <v>After the burnRU44433</v>
      </c>
      <c r="C171" s="1029" t="str">
        <f t="shared" si="15"/>
        <v>RU44433</v>
      </c>
      <c r="D171" s="1041" t="str">
        <f t="shared" si="16"/>
        <v>SPO44350</v>
      </c>
      <c r="E171" s="870" t="str">
        <f t="shared" si="17"/>
        <v>RU44363</v>
      </c>
      <c r="F171" s="890" t="str">
        <f t="shared" si="18"/>
        <v>RU44433</v>
      </c>
      <c r="G171" s="886">
        <v>7.134582610383597</v>
      </c>
      <c r="H171" s="871">
        <v>6.7113774578673802</v>
      </c>
      <c r="I171" s="894">
        <v>8.5478362688149758</v>
      </c>
      <c r="J171" s="1056">
        <v>4.9619664954406089</v>
      </c>
      <c r="K171" s="1057">
        <v>0</v>
      </c>
      <c r="L171" s="1058">
        <v>4.0598281668485159</v>
      </c>
      <c r="M171" s="886">
        <v>4.6459903147220061</v>
      </c>
      <c r="N171" s="871">
        <v>4.528648619786007</v>
      </c>
      <c r="O171" s="894">
        <v>3.9908586057780417</v>
      </c>
      <c r="P171" s="1056">
        <v>0</v>
      </c>
      <c r="Q171" s="1057">
        <v>0</v>
      </c>
      <c r="R171" s="1058">
        <v>0</v>
      </c>
      <c r="S171" s="886">
        <v>5.3641335810490691</v>
      </c>
      <c r="T171" s="871">
        <v>3.6892668926510406</v>
      </c>
      <c r="U171" s="894">
        <v>0</v>
      </c>
      <c r="V171" s="1056">
        <v>5.5648440482527137</v>
      </c>
      <c r="W171" s="1057">
        <v>4.5873592341105756</v>
      </c>
      <c r="X171" s="1069">
        <v>4.3277410628718389</v>
      </c>
    </row>
    <row r="172" spans="1:24" x14ac:dyDescent="0.3">
      <c r="A172" s="1027" t="str">
        <f>_xlfn.CONCAT(qPCR_Unique!Y33, qPCR_Unique!D33)</f>
        <v>Before the burnSPO44342</v>
      </c>
      <c r="B172" s="1028" t="str">
        <v>After the burnSPI44405</v>
      </c>
      <c r="C172" s="1029" t="str">
        <f t="shared" si="15"/>
        <v>SPI44405</v>
      </c>
      <c r="D172" s="1041" t="str">
        <f t="shared" si="16"/>
        <v>SPO44356</v>
      </c>
      <c r="E172" s="870" t="str">
        <f t="shared" si="17"/>
        <v>RU44370</v>
      </c>
      <c r="F172" s="890" t="str">
        <f t="shared" si="18"/>
        <v>SPI44405</v>
      </c>
      <c r="G172" s="886">
        <v>6.8820149051785551</v>
      </c>
      <c r="H172" s="871">
        <v>6.5199267632234479</v>
      </c>
      <c r="I172" s="894">
        <v>9.5015392476340228</v>
      </c>
      <c r="J172" s="1056">
        <v>5.6172938485331683</v>
      </c>
      <c r="K172" s="1057">
        <v>0</v>
      </c>
      <c r="L172" s="1058">
        <v>4.3643485262595734</v>
      </c>
      <c r="M172" s="886">
        <v>4.9461794550287745</v>
      </c>
      <c r="N172" s="871">
        <v>4.2412600059771011</v>
      </c>
      <c r="O172" s="894">
        <v>2.7288188780106166</v>
      </c>
      <c r="P172" s="1056">
        <v>0</v>
      </c>
      <c r="Q172" s="1057">
        <v>0</v>
      </c>
      <c r="R172" s="1058">
        <v>2.5291129364241001</v>
      </c>
      <c r="S172" s="886">
        <v>5.2847122091420431</v>
      </c>
      <c r="T172" s="871">
        <v>3.0618000178157891</v>
      </c>
      <c r="U172" s="894">
        <v>2.0774493804714829</v>
      </c>
      <c r="V172" s="1056">
        <v>5.842140483760411</v>
      </c>
      <c r="W172" s="1057">
        <v>4.2690789478210212</v>
      </c>
      <c r="X172" s="1069">
        <v>4.382601565554058</v>
      </c>
    </row>
    <row r="173" spans="1:24" x14ac:dyDescent="0.3">
      <c r="A173" s="1027" t="str">
        <f>_xlfn.CONCAT(qPCR_Unique!Y34, qPCR_Unique!D34)</f>
        <v>Before the burnSPO44350</v>
      </c>
      <c r="B173" s="1028" t="str">
        <v>After the burnSPI44412</v>
      </c>
      <c r="C173" s="1029" t="str">
        <f t="shared" si="15"/>
        <v>SPI44412</v>
      </c>
      <c r="D173" s="1041"/>
      <c r="E173" s="870" t="str">
        <f t="shared" si="17"/>
        <v>RU44377</v>
      </c>
      <c r="F173" s="890" t="str">
        <f t="shared" si="18"/>
        <v>SPI44412</v>
      </c>
      <c r="G173" s="886"/>
      <c r="H173" s="871">
        <v>6.7372543138337742</v>
      </c>
      <c r="I173" s="894">
        <v>8.889053693948302</v>
      </c>
      <c r="J173" s="1056"/>
      <c r="K173" s="1057">
        <v>2.9564632934270887</v>
      </c>
      <c r="L173" s="1058">
        <v>4.3702022723114844</v>
      </c>
      <c r="M173" s="886"/>
      <c r="N173" s="871">
        <v>3.9406198467719626</v>
      </c>
      <c r="O173" s="894">
        <v>3.6123135758582299</v>
      </c>
      <c r="P173" s="1056"/>
      <c r="Q173" s="1057">
        <v>0</v>
      </c>
      <c r="R173" s="1058">
        <v>2.9269010526001331</v>
      </c>
      <c r="S173" s="886"/>
      <c r="T173" s="871">
        <v>0</v>
      </c>
      <c r="U173" s="894">
        <v>2.550474365181763</v>
      </c>
      <c r="V173" s="1056"/>
      <c r="W173" s="1057">
        <v>3.9834769678162663</v>
      </c>
      <c r="X173" s="1069">
        <v>4.4586236345702259</v>
      </c>
    </row>
    <row r="174" spans="1:24" x14ac:dyDescent="0.3">
      <c r="A174" s="1027" t="str">
        <f>_xlfn.CONCAT(qPCR_Unique!Y35, qPCR_Unique!D35)</f>
        <v>Before the burnSPO44356</v>
      </c>
      <c r="B174" s="1028" t="str">
        <v>After the burnSPI44419</v>
      </c>
      <c r="C174" s="1029" t="str">
        <f t="shared" si="15"/>
        <v>SPI44419</v>
      </c>
      <c r="D174" s="1041"/>
      <c r="E174" s="870" t="str">
        <f t="shared" si="17"/>
        <v>RU44385</v>
      </c>
      <c r="F174" s="890" t="str">
        <f>C174</f>
        <v>SPI44419</v>
      </c>
      <c r="G174" s="886"/>
      <c r="H174" s="871">
        <v>9.8628594775492058</v>
      </c>
      <c r="I174" s="894">
        <v>7.6377944669964597</v>
      </c>
      <c r="J174" s="1056"/>
      <c r="K174" s="1057">
        <v>0</v>
      </c>
      <c r="L174" s="1058">
        <v>4.0281339200625865</v>
      </c>
      <c r="M174" s="886"/>
      <c r="N174" s="871">
        <v>3.7432204152120327</v>
      </c>
      <c r="O174" s="894">
        <v>3.0445447549330433</v>
      </c>
      <c r="P174" s="1056"/>
      <c r="Q174" s="1057">
        <v>4.9408450708457536</v>
      </c>
      <c r="R174" s="1058">
        <v>3.4090402536897542</v>
      </c>
      <c r="S174" s="886"/>
      <c r="T174" s="871">
        <v>0</v>
      </c>
      <c r="U174" s="894">
        <v>0</v>
      </c>
      <c r="V174" s="1056"/>
      <c r="W174" s="1057">
        <v>4.9675587886088426</v>
      </c>
      <c r="X174" s="1069">
        <v>4.1566092695764247</v>
      </c>
    </row>
    <row r="175" spans="1:24" x14ac:dyDescent="0.3">
      <c r="A175" s="1027" t="str">
        <f>_xlfn.CONCAT(qPCR_Unique!Y36, qPCR_Unique!D36)</f>
        <v>During the burnSPO44370</v>
      </c>
      <c r="B175" s="1028" t="str">
        <v>After the burnSPI44426</v>
      </c>
      <c r="C175" s="1029" t="str">
        <f t="shared" si="15"/>
        <v>SPI44426</v>
      </c>
      <c r="D175" s="1041"/>
      <c r="E175" s="870" t="str">
        <f t="shared" si="17"/>
        <v>RU44391</v>
      </c>
      <c r="F175" s="890" t="str">
        <f t="shared" si="18"/>
        <v>SPI44426</v>
      </c>
      <c r="G175" s="886"/>
      <c r="H175" s="871">
        <v>8.7338320516272994</v>
      </c>
      <c r="I175" s="894">
        <v>9.1350255918222683</v>
      </c>
      <c r="J175" s="1056"/>
      <c r="K175" s="1057">
        <v>2.7459944553306879</v>
      </c>
      <c r="L175" s="1058">
        <v>4.8574166910971099</v>
      </c>
      <c r="M175" s="886"/>
      <c r="N175" s="871">
        <v>4.3267284855080144</v>
      </c>
      <c r="O175" s="894">
        <v>3.4536536059345058</v>
      </c>
      <c r="P175" s="1056"/>
      <c r="Q175" s="1057">
        <v>6.4455344069009808</v>
      </c>
      <c r="R175" s="1058">
        <v>2.5632992050352823</v>
      </c>
      <c r="S175" s="886"/>
      <c r="T175" s="871">
        <v>0</v>
      </c>
      <c r="U175" s="894">
        <v>0</v>
      </c>
      <c r="V175" s="1056"/>
      <c r="W175" s="1057">
        <v>6.448911518451645</v>
      </c>
      <c r="X175" s="1069">
        <v>4.8763448743902673</v>
      </c>
    </row>
    <row r="176" spans="1:24" x14ac:dyDescent="0.3">
      <c r="A176" s="1027" t="str">
        <f>_xlfn.CONCAT(qPCR_Unique!Y37, qPCR_Unique!D37)</f>
        <v>During the burnSPO44377</v>
      </c>
      <c r="B176" s="1028" t="str">
        <v>After the burnSPI44433</v>
      </c>
      <c r="C176" s="1029" t="str">
        <f t="shared" si="15"/>
        <v>SPI44433</v>
      </c>
      <c r="D176" s="1041"/>
      <c r="E176" s="870" t="str">
        <f t="shared" si="17"/>
        <v>RU44398</v>
      </c>
      <c r="F176" s="890" t="str">
        <f t="shared" si="18"/>
        <v>SPI44433</v>
      </c>
      <c r="G176" s="886"/>
      <c r="H176" s="871">
        <v>9.0929269019959538</v>
      </c>
      <c r="I176" s="894">
        <v>8.7754863458710872</v>
      </c>
      <c r="J176" s="1056"/>
      <c r="K176" s="1057">
        <v>0</v>
      </c>
      <c r="L176" s="1058">
        <v>4.1463350032418775</v>
      </c>
      <c r="M176" s="886"/>
      <c r="N176" s="871">
        <v>0</v>
      </c>
      <c r="O176" s="894">
        <v>1.8098479644559737</v>
      </c>
      <c r="P176" s="1056"/>
      <c r="Q176" s="1057">
        <v>0</v>
      </c>
      <c r="R176" s="1058">
        <v>0</v>
      </c>
      <c r="S176" s="886"/>
      <c r="T176" s="871">
        <v>1.7678973697037557</v>
      </c>
      <c r="U176" s="894">
        <v>0</v>
      </c>
      <c r="V176" s="1056"/>
      <c r="W176" s="1057">
        <v>1.7678973697037557</v>
      </c>
      <c r="X176" s="1069">
        <v>4.1483316377498651</v>
      </c>
    </row>
    <row r="177" spans="1:24" x14ac:dyDescent="0.3">
      <c r="A177" s="1027" t="str">
        <f>_xlfn.CONCAT(qPCR_Unique!Y38, qPCR_Unique!D38)</f>
        <v>During the burnSPO44385</v>
      </c>
      <c r="B177" s="1028" t="str">
        <v>After the burnSPO44405</v>
      </c>
      <c r="C177" s="1029" t="str">
        <f t="shared" si="15"/>
        <v>SPO44405</v>
      </c>
      <c r="D177" s="1041"/>
      <c r="E177" s="870" t="str">
        <f t="shared" si="17"/>
        <v>SPI44370</v>
      </c>
      <c r="F177" s="890" t="str">
        <f t="shared" si="18"/>
        <v>SPO44405</v>
      </c>
      <c r="G177" s="886"/>
      <c r="H177" s="871">
        <v>8.4755082224747227</v>
      </c>
      <c r="I177" s="894">
        <v>9.8186939106265623</v>
      </c>
      <c r="J177" s="1056"/>
      <c r="K177" s="1057">
        <v>0</v>
      </c>
      <c r="L177" s="1058">
        <v>4.8456448134078149</v>
      </c>
      <c r="M177" s="886"/>
      <c r="N177" s="871">
        <v>5.3907912736005485</v>
      </c>
      <c r="O177" s="894">
        <v>5.0318819392819867</v>
      </c>
      <c r="P177" s="1056"/>
      <c r="Q177" s="1057">
        <v>0</v>
      </c>
      <c r="R177" s="1058">
        <v>2.5889955349263674</v>
      </c>
      <c r="S177" s="886"/>
      <c r="T177" s="871">
        <v>2.9677801196380611</v>
      </c>
      <c r="U177" s="894">
        <v>5.6759040492416206</v>
      </c>
      <c r="V177" s="1056"/>
      <c r="W177" s="1057">
        <v>5.392427918938326</v>
      </c>
      <c r="X177" s="1069">
        <v>5.8144013126378464</v>
      </c>
    </row>
    <row r="178" spans="1:24" x14ac:dyDescent="0.3">
      <c r="A178" s="1027" t="str">
        <f>_xlfn.CONCAT(qPCR_Unique!Y39, qPCR_Unique!D39)</f>
        <v>During the burnSPO44391</v>
      </c>
      <c r="B178" s="1028" t="str">
        <v>After the burnSPO44412</v>
      </c>
      <c r="C178" s="1029" t="str">
        <f t="shared" si="15"/>
        <v>SPO44412</v>
      </c>
      <c r="D178" s="1041"/>
      <c r="E178" s="870" t="str">
        <f t="shared" si="17"/>
        <v>SPI44377</v>
      </c>
      <c r="F178" s="890" t="str">
        <f t="shared" si="18"/>
        <v>SPO44412</v>
      </c>
      <c r="G178" s="886"/>
      <c r="H178" s="871">
        <v>7.4380077940147062</v>
      </c>
      <c r="I178" s="894">
        <v>10.205870606178054</v>
      </c>
      <c r="J178" s="1056"/>
      <c r="K178" s="1057">
        <v>3.305476178149656</v>
      </c>
      <c r="L178" s="1058">
        <v>4.5593562477917047</v>
      </c>
      <c r="M178" s="886"/>
      <c r="N178" s="871">
        <v>0</v>
      </c>
      <c r="O178" s="894">
        <v>4.8655469897457584</v>
      </c>
      <c r="P178" s="1056"/>
      <c r="Q178" s="1057">
        <v>0</v>
      </c>
      <c r="R178" s="1058">
        <v>2.6375263627827059</v>
      </c>
      <c r="S178" s="886"/>
      <c r="T178" s="871">
        <v>0</v>
      </c>
      <c r="U178" s="894">
        <v>5.2544173108237153</v>
      </c>
      <c r="V178" s="1056"/>
      <c r="W178" s="1057">
        <v>3.305476178149656</v>
      </c>
      <c r="X178" s="1069">
        <v>5.4619616475183594</v>
      </c>
    </row>
    <row r="179" spans="1:24" x14ac:dyDescent="0.3">
      <c r="A179" s="1027" t="str">
        <f>_xlfn.CONCAT(qPCR_Unique!Y40, qPCR_Unique!D40)</f>
        <v>During the burnSPO44398</v>
      </c>
      <c r="B179" s="1028" t="str">
        <v>After the burnSPO44419</v>
      </c>
      <c r="C179" s="1029" t="str">
        <f t="shared" si="15"/>
        <v>SPO44419</v>
      </c>
      <c r="D179" s="1041"/>
      <c r="E179" s="870" t="str">
        <f t="shared" si="17"/>
        <v>SPI44385</v>
      </c>
      <c r="F179" s="890" t="str">
        <f t="shared" si="18"/>
        <v>SPO44419</v>
      </c>
      <c r="G179" s="886"/>
      <c r="H179" s="871">
        <v>8.618436072965924</v>
      </c>
      <c r="I179" s="894">
        <v>7.8670507007497612</v>
      </c>
      <c r="J179" s="1056"/>
      <c r="K179" s="1057">
        <v>2.371208054202266</v>
      </c>
      <c r="L179" s="1058">
        <v>3.9850449253209592</v>
      </c>
      <c r="M179" s="886"/>
      <c r="N179" s="871">
        <v>2.3856744524787841</v>
      </c>
      <c r="O179" s="894">
        <v>4.0872672288258176</v>
      </c>
      <c r="P179" s="1056"/>
      <c r="Q179" s="1057">
        <v>5.9605393604835006</v>
      </c>
      <c r="R179" s="1058">
        <v>0</v>
      </c>
      <c r="S179" s="886"/>
      <c r="T179" s="871">
        <v>3.4463475421516776</v>
      </c>
      <c r="U179" s="894">
        <v>4.8558720298853313</v>
      </c>
      <c r="V179" s="1056"/>
      <c r="W179" s="1057">
        <v>5.962093176814566</v>
      </c>
      <c r="X179" s="1069">
        <v>4.9714860158545946</v>
      </c>
    </row>
    <row r="180" spans="1:24" x14ac:dyDescent="0.3">
      <c r="A180" s="1027" t="str">
        <f>_xlfn.CONCAT(qPCR_Unique!Y41, qPCR_Unique!D41)</f>
        <v>After the burnSPO44405</v>
      </c>
      <c r="B180" s="1028" t="str">
        <v>After the burnSPO44426</v>
      </c>
      <c r="C180" s="1029" t="str">
        <f t="shared" si="15"/>
        <v>SPO44426</v>
      </c>
      <c r="D180" s="1041"/>
      <c r="E180" s="870" t="str">
        <f t="shared" si="17"/>
        <v>SPI44391</v>
      </c>
      <c r="F180" s="890" t="str">
        <f t="shared" si="18"/>
        <v>SPO44426</v>
      </c>
      <c r="G180" s="886"/>
      <c r="H180" s="871">
        <v>7.8819275026119655</v>
      </c>
      <c r="I180" s="894">
        <v>10.563056055280478</v>
      </c>
      <c r="J180" s="1056"/>
      <c r="K180" s="1057">
        <v>2.4030170419172112</v>
      </c>
      <c r="L180" s="1058">
        <v>5.0004072703018387</v>
      </c>
      <c r="M180" s="886"/>
      <c r="N180" s="871">
        <v>0</v>
      </c>
      <c r="O180" s="894">
        <v>4.9980740869072635</v>
      </c>
      <c r="P180" s="1056"/>
      <c r="Q180" s="1057">
        <v>0</v>
      </c>
      <c r="R180" s="1058">
        <v>0</v>
      </c>
      <c r="S180" s="886"/>
      <c r="T180" s="871">
        <v>0</v>
      </c>
      <c r="U180" s="894">
        <v>5.2943554319656219</v>
      </c>
      <c r="V180" s="1056"/>
      <c r="W180" s="1057">
        <v>2.4030170419172112</v>
      </c>
      <c r="X180" s="1069">
        <v>5.5983539084138325</v>
      </c>
    </row>
    <row r="181" spans="1:24" x14ac:dyDescent="0.3">
      <c r="A181" s="1027" t="str">
        <f>_xlfn.CONCAT(qPCR_Unique!Y42, qPCR_Unique!D42)</f>
        <v>After the burnSPO44412</v>
      </c>
      <c r="B181" s="1028" t="str">
        <v>After the burnSPO44433</v>
      </c>
      <c r="C181" s="1029" t="str">
        <f t="shared" si="15"/>
        <v>SPO44433</v>
      </c>
      <c r="D181" s="1041"/>
      <c r="E181" s="870" t="str">
        <f t="shared" si="17"/>
        <v>SPI44398</v>
      </c>
      <c r="F181" s="890" t="str">
        <f t="shared" si="18"/>
        <v>SPO44433</v>
      </c>
      <c r="G181" s="886"/>
      <c r="H181" s="871">
        <v>10.195875834339857</v>
      </c>
      <c r="I181" s="894">
        <v>9.7219864471469641</v>
      </c>
      <c r="J181" s="1056"/>
      <c r="K181" s="1057">
        <v>5.0376734799601923</v>
      </c>
      <c r="L181" s="1058">
        <v>4.5850533943517382</v>
      </c>
      <c r="M181" s="886"/>
      <c r="N181" s="871">
        <v>4.8377336835911153</v>
      </c>
      <c r="O181" s="894">
        <v>4.4858575200063786</v>
      </c>
      <c r="P181" s="1056"/>
      <c r="Q181" s="1057">
        <v>0</v>
      </c>
      <c r="R181" s="1058">
        <v>2.8588070322388779</v>
      </c>
      <c r="S181" s="886"/>
      <c r="T181" s="871">
        <v>5.5078349905749517</v>
      </c>
      <c r="U181" s="894">
        <v>4.7219456201527663</v>
      </c>
      <c r="V181" s="1056"/>
      <c r="W181" s="1057">
        <v>5.6988566711347008</v>
      </c>
      <c r="X181" s="1069">
        <v>5.0881798031463417</v>
      </c>
    </row>
    <row r="182" spans="1:24" x14ac:dyDescent="0.3">
      <c r="A182" s="1027" t="str">
        <f>_xlfn.CONCAT(qPCR_Unique!Y43, qPCR_Unique!D43)</f>
        <v>After the burnSPO44419</v>
      </c>
      <c r="B182" s="1028" t="str">
        <v>Before the burnEP44335</v>
      </c>
      <c r="C182" s="1029" t="str">
        <f t="shared" si="15"/>
        <v>EP44335</v>
      </c>
      <c r="D182" s="1041"/>
      <c r="E182" s="870" t="str">
        <f t="shared" si="17"/>
        <v>SPO44370</v>
      </c>
      <c r="F182" s="872"/>
      <c r="G182" s="886"/>
      <c r="H182" s="871">
        <v>9.1068445777294933</v>
      </c>
      <c r="I182" s="894"/>
      <c r="J182" s="1056"/>
      <c r="K182" s="1057">
        <v>4.7339626541513349</v>
      </c>
      <c r="L182" s="1058"/>
      <c r="M182" s="886"/>
      <c r="N182" s="871">
        <v>4.9042282800518882</v>
      </c>
      <c r="O182" s="894"/>
      <c r="P182" s="1056"/>
      <c r="Q182" s="1057">
        <v>2.5799274933094076</v>
      </c>
      <c r="R182" s="1058"/>
      <c r="S182" s="886"/>
      <c r="T182" s="871">
        <v>5.7885679715571321</v>
      </c>
      <c r="U182" s="894"/>
      <c r="V182" s="1056"/>
      <c r="W182" s="1057">
        <v>5.8746851293435514</v>
      </c>
      <c r="X182" s="1069"/>
    </row>
    <row r="183" spans="1:24" x14ac:dyDescent="0.3">
      <c r="A183" s="1027" t="str">
        <f>_xlfn.CONCAT(qPCR_Unique!Y44, qPCR_Unique!D44)</f>
        <v>After the burnSPO44426</v>
      </c>
      <c r="B183" s="1028" t="str">
        <v>Before the burnEP44342</v>
      </c>
      <c r="C183" s="1029" t="str">
        <f t="shared" si="15"/>
        <v>EP44342</v>
      </c>
      <c r="D183" s="1041"/>
      <c r="E183" s="870" t="str">
        <f t="shared" si="17"/>
        <v>SPO44377</v>
      </c>
      <c r="F183" s="872"/>
      <c r="G183" s="886"/>
      <c r="H183" s="871">
        <v>8.15647664681115</v>
      </c>
      <c r="I183" s="894"/>
      <c r="J183" s="1056"/>
      <c r="K183" s="1057">
        <v>4.7591690948104999</v>
      </c>
      <c r="L183" s="1058"/>
      <c r="M183" s="886"/>
      <c r="N183" s="871">
        <v>5.0297924421681817</v>
      </c>
      <c r="O183" s="894"/>
      <c r="P183" s="1056"/>
      <c r="Q183" s="1057">
        <v>0</v>
      </c>
      <c r="R183" s="1058"/>
      <c r="S183" s="886"/>
      <c r="T183" s="871">
        <v>5.9788084898644929</v>
      </c>
      <c r="U183" s="894"/>
      <c r="V183" s="1056"/>
      <c r="W183" s="1057">
        <v>6.0480185061338281</v>
      </c>
      <c r="X183" s="1069"/>
    </row>
    <row r="184" spans="1:24" x14ac:dyDescent="0.3">
      <c r="A184" s="1027" t="str">
        <f>_xlfn.CONCAT(qPCR_Unique!Y45, qPCR_Unique!D45)</f>
        <v>After the burnSPO44433</v>
      </c>
      <c r="B184" s="1028" t="str">
        <v>Before the burnEP44350</v>
      </c>
      <c r="C184" s="1029" t="str">
        <f t="shared" si="15"/>
        <v>EP44350</v>
      </c>
      <c r="D184" s="1041"/>
      <c r="E184" s="870" t="str">
        <f t="shared" si="17"/>
        <v>SPO44385</v>
      </c>
      <c r="F184" s="872"/>
      <c r="G184" s="886"/>
      <c r="H184" s="871">
        <v>10.215083438035487</v>
      </c>
      <c r="I184" s="894"/>
      <c r="J184" s="1056"/>
      <c r="K184" s="1057">
        <v>4.8885207964420898</v>
      </c>
      <c r="L184" s="1058"/>
      <c r="M184" s="886"/>
      <c r="N184" s="871">
        <v>4.8245901417589065</v>
      </c>
      <c r="O184" s="894"/>
      <c r="P184" s="1056"/>
      <c r="Q184" s="1057">
        <v>0</v>
      </c>
      <c r="R184" s="1058"/>
      <c r="S184" s="886"/>
      <c r="T184" s="871">
        <v>6.1084330352946665</v>
      </c>
      <c r="U184" s="894"/>
      <c r="V184" s="1056"/>
      <c r="W184" s="1057">
        <v>6.1546497210374449</v>
      </c>
      <c r="X184" s="1069"/>
    </row>
    <row r="185" spans="1:24" x14ac:dyDescent="0.3">
      <c r="A185" s="1027" t="str">
        <f>_xlfn.CONCAT(qPCR_Unique!Y46, qPCR_Unique!D46)</f>
        <v>Before the burnMRT44335</v>
      </c>
      <c r="B185" s="1028" t="str">
        <v>Before the burnEP44356</v>
      </c>
      <c r="C185" s="1029" t="str">
        <f t="shared" si="15"/>
        <v>EP44356</v>
      </c>
      <c r="D185" s="1041"/>
      <c r="E185" s="870" t="str">
        <f t="shared" si="17"/>
        <v>SPO44391</v>
      </c>
      <c r="F185" s="872"/>
      <c r="G185" s="886"/>
      <c r="H185" s="871">
        <v>10.156507312316004</v>
      </c>
      <c r="I185" s="894"/>
      <c r="J185" s="1056"/>
      <c r="K185" s="1057">
        <v>5.0770923094184184</v>
      </c>
      <c r="L185" s="1058"/>
      <c r="M185" s="886"/>
      <c r="N185" s="871">
        <v>5.1705470772594166</v>
      </c>
      <c r="O185" s="894"/>
      <c r="P185" s="1056"/>
      <c r="Q185" s="1057">
        <v>2.5876552633204204</v>
      </c>
      <c r="R185" s="1058"/>
      <c r="S185" s="886"/>
      <c r="T185" s="871">
        <v>6.0036159549417007</v>
      </c>
      <c r="U185" s="894"/>
      <c r="V185" s="1056"/>
      <c r="W185" s="1057">
        <v>6.1059422960643923</v>
      </c>
      <c r="X185" s="1069"/>
    </row>
    <row r="186" spans="1:24" ht="16.350000000000001" thickBot="1" x14ac:dyDescent="0.35">
      <c r="A186" s="1027" t="str">
        <f>_xlfn.CONCAT(qPCR_Unique!Y47, qPCR_Unique!D47)</f>
        <v>Before the burnMRT44342</v>
      </c>
      <c r="B186" s="1028" t="str">
        <v>Before the burnMRT44335</v>
      </c>
      <c r="C186" s="1029" t="str">
        <f t="shared" si="15"/>
        <v>MRT44335</v>
      </c>
      <c r="D186" s="1042"/>
      <c r="E186" s="874" t="str">
        <f t="shared" si="17"/>
        <v>SPO44398</v>
      </c>
      <c r="F186" s="876"/>
      <c r="G186" s="887"/>
      <c r="H186" s="875">
        <v>7.584325471246947</v>
      </c>
      <c r="I186" s="895"/>
      <c r="J186" s="1059"/>
      <c r="K186" s="1060">
        <v>4.7520237550550277</v>
      </c>
      <c r="L186" s="1061"/>
      <c r="M186" s="887"/>
      <c r="N186" s="875">
        <v>4.9038888122636424</v>
      </c>
      <c r="O186" s="895"/>
      <c r="P186" s="1059"/>
      <c r="Q186" s="1060">
        <v>0</v>
      </c>
      <c r="R186" s="1061"/>
      <c r="S186" s="887"/>
      <c r="T186" s="875">
        <v>5.4762495826387045</v>
      </c>
      <c r="U186" s="895"/>
      <c r="V186" s="1059"/>
      <c r="W186" s="1060">
        <v>5.6395288670185373</v>
      </c>
      <c r="X186" s="1070"/>
    </row>
    <row r="187" spans="1:24" ht="16.95" thickTop="1" thickBot="1" x14ac:dyDescent="0.35">
      <c r="A187" s="1027" t="str">
        <f>_xlfn.CONCAT(qPCR_Unique!Y48, qPCR_Unique!D48)</f>
        <v>Before the burnMRT44350</v>
      </c>
      <c r="B187" s="1028" t="str">
        <v>Before the burnMRT44342</v>
      </c>
      <c r="C187" s="1029" t="str">
        <f t="shared" si="15"/>
        <v>MRT44342</v>
      </c>
      <c r="E187" s="193"/>
      <c r="F187" s="193"/>
    </row>
    <row r="188" spans="1:24" ht="16.350000000000001" thickTop="1" x14ac:dyDescent="0.3">
      <c r="A188" s="1027" t="str">
        <f>_xlfn.CONCAT(qPCR_Unique!Y49, qPCR_Unique!D49)</f>
        <v>Before the burnMRT44356</v>
      </c>
      <c r="B188" s="1028" t="str">
        <v>Before the burnMRT44350</v>
      </c>
      <c r="C188" s="1029" t="str">
        <f t="shared" si="15"/>
        <v>MRT44350</v>
      </c>
      <c r="E188" s="193"/>
      <c r="F188" s="1075" t="s">
        <v>256</v>
      </c>
      <c r="G188" s="1073">
        <f>AVERAGE(G142:G172)</f>
        <v>8.0176734083397729</v>
      </c>
      <c r="H188" s="1071">
        <f t="shared" ref="H188:X188" si="19">AVERAGE(_xlfn.ANCHORARRAY(H142))</f>
        <v>7.4686709344776077</v>
      </c>
      <c r="I188" s="1077">
        <f t="shared" si="19"/>
        <v>8.2337867996511278</v>
      </c>
      <c r="J188" s="1079">
        <f t="shared" si="19"/>
        <v>4.7924700551797192</v>
      </c>
      <c r="K188" s="1080">
        <f t="shared" si="19"/>
        <v>2.2071844071758746</v>
      </c>
      <c r="L188" s="1081">
        <f t="shared" si="19"/>
        <v>4.0399028827095682</v>
      </c>
      <c r="M188" s="1073">
        <f t="shared" si="19"/>
        <v>3.6580459429340304</v>
      </c>
      <c r="N188" s="1071">
        <f t="shared" si="19"/>
        <v>2.7103699560624892</v>
      </c>
      <c r="O188" s="1077">
        <f t="shared" si="19"/>
        <v>3.1421947092790159</v>
      </c>
      <c r="P188" s="1079">
        <f t="shared" si="19"/>
        <v>1.9756277350273377</v>
      </c>
      <c r="Q188" s="1080">
        <f t="shared" si="19"/>
        <v>1.4122214748550592</v>
      </c>
      <c r="R188" s="1081">
        <f t="shared" si="19"/>
        <v>1.8420682153443071</v>
      </c>
      <c r="S188" s="1073">
        <f t="shared" si="19"/>
        <v>3.0534112840385577</v>
      </c>
      <c r="T188" s="1071">
        <f t="shared" si="19"/>
        <v>2.3813190662433885</v>
      </c>
      <c r="U188" s="1077">
        <f t="shared" si="19"/>
        <v>2.1764178458767836</v>
      </c>
      <c r="V188" s="1079">
        <f t="shared" si="19"/>
        <v>5.1534841854881215</v>
      </c>
      <c r="W188" s="1080">
        <f t="shared" si="19"/>
        <v>4.2885728023366596</v>
      </c>
      <c r="X188" s="1085">
        <f t="shared" si="19"/>
        <v>4.6743066446357675</v>
      </c>
    </row>
    <row r="189" spans="1:24" ht="16.350000000000001" thickBot="1" x14ac:dyDescent="0.35">
      <c r="A189" s="1027" t="str">
        <f>_xlfn.CONCAT(qPCR_Unique!Y50, qPCR_Unique!D50)</f>
        <v>During the burnMRT44363</v>
      </c>
      <c r="B189" s="1028" t="str">
        <v>Before the burnMRT44356</v>
      </c>
      <c r="C189" s="1029" t="str">
        <f t="shared" si="15"/>
        <v>MRT44356</v>
      </c>
      <c r="E189" s="193"/>
      <c r="F189" s="1076" t="s">
        <v>257</v>
      </c>
      <c r="G189" s="1074">
        <f>STDEV(G142:G172)</f>
        <v>0.9488410099936444</v>
      </c>
      <c r="H189" s="1072">
        <f t="shared" ref="H189:X189" si="20">STDEV(_xlfn.ANCHORARRAY(H142))</f>
        <v>1.4995039885841703</v>
      </c>
      <c r="I189" s="1078">
        <f t="shared" si="20"/>
        <v>1.0265493346285095</v>
      </c>
      <c r="J189" s="1082">
        <f t="shared" si="20"/>
        <v>0.42201135756927133</v>
      </c>
      <c r="K189" s="1083">
        <f t="shared" si="20"/>
        <v>1.8111105456526124</v>
      </c>
      <c r="L189" s="1084">
        <f t="shared" si="20"/>
        <v>0.84126876152794083</v>
      </c>
      <c r="M189" s="1074">
        <f t="shared" si="20"/>
        <v>0.83105102060291736</v>
      </c>
      <c r="N189" s="1072">
        <f t="shared" si="20"/>
        <v>2.0787520877215977</v>
      </c>
      <c r="O189" s="1078">
        <f t="shared" si="20"/>
        <v>1.3708216657302865</v>
      </c>
      <c r="P189" s="1082">
        <f t="shared" si="20"/>
        <v>1.9397927867856946</v>
      </c>
      <c r="Q189" s="1083">
        <f t="shared" si="20"/>
        <v>2.2117363376185124</v>
      </c>
      <c r="R189" s="1084">
        <f t="shared" si="20"/>
        <v>1.9294354602615191</v>
      </c>
      <c r="S189" s="1074">
        <f t="shared" si="20"/>
        <v>2.1192427118602075</v>
      </c>
      <c r="T189" s="1072">
        <f t="shared" si="20"/>
        <v>2.5539516937596773</v>
      </c>
      <c r="U189" s="1078">
        <f t="shared" si="20"/>
        <v>2.2708751275743482</v>
      </c>
      <c r="V189" s="1082">
        <f t="shared" si="20"/>
        <v>0.75477681620739201</v>
      </c>
      <c r="W189" s="1083">
        <f t="shared" si="20"/>
        <v>1.8049307955442297</v>
      </c>
      <c r="X189" s="1086">
        <f t="shared" si="20"/>
        <v>0.80342886148537451</v>
      </c>
    </row>
    <row r="190" spans="1:24" ht="16.350000000000001" thickTop="1" x14ac:dyDescent="0.3">
      <c r="A190" s="1027" t="str">
        <f>_xlfn.CONCAT(qPCR_Unique!Y51, qPCR_Unique!D51)</f>
        <v>During the burnMRT44370</v>
      </c>
      <c r="B190" s="1028" t="str">
        <v>Before the burnRL44335</v>
      </c>
      <c r="C190" s="1029" t="str">
        <f t="shared" si="15"/>
        <v>RL44335</v>
      </c>
      <c r="E190" s="193"/>
      <c r="F190" s="193"/>
    </row>
    <row r="191" spans="1:24" x14ac:dyDescent="0.3">
      <c r="A191" s="1027" t="str">
        <f>_xlfn.CONCAT(qPCR_Unique!Y52, qPCR_Unique!D52)</f>
        <v>During the burnMRT44377</v>
      </c>
      <c r="B191" s="1028" t="str">
        <v>Before the burnRL44342</v>
      </c>
      <c r="C191" s="1029" t="str">
        <f t="shared" si="15"/>
        <v>RL44342</v>
      </c>
      <c r="E191" s="193"/>
      <c r="F191" s="193"/>
    </row>
    <row r="192" spans="1:24" x14ac:dyDescent="0.3">
      <c r="A192" s="1027" t="str">
        <f>_xlfn.CONCAT(qPCR_Unique!Y53, qPCR_Unique!D53)</f>
        <v>During the burnMRT44385</v>
      </c>
      <c r="B192" s="1028" t="str">
        <v>Before the burnRL44350</v>
      </c>
      <c r="C192" s="1029" t="str">
        <f t="shared" si="15"/>
        <v>RL44350</v>
      </c>
      <c r="E192" s="193"/>
      <c r="F192" s="193"/>
    </row>
    <row r="193" spans="1:6" x14ac:dyDescent="0.3">
      <c r="A193" s="1027" t="str">
        <f>_xlfn.CONCAT(qPCR_Unique!Y54, qPCR_Unique!D54)</f>
        <v>During the burnMRT44391</v>
      </c>
      <c r="B193" s="1028" t="str">
        <v>Before the burnRL44356</v>
      </c>
      <c r="C193" s="1029" t="str">
        <f t="shared" si="15"/>
        <v>RL44356</v>
      </c>
      <c r="E193" s="193"/>
      <c r="F193" s="193"/>
    </row>
    <row r="194" spans="1:6" x14ac:dyDescent="0.3">
      <c r="A194" s="1027" t="str">
        <f>_xlfn.CONCAT(qPCR_Unique!Y55, qPCR_Unique!D55)</f>
        <v>During the burnMRT44398</v>
      </c>
      <c r="B194" s="1028" t="str">
        <v>Before the burnRN44335</v>
      </c>
      <c r="C194" s="1029" t="str">
        <f t="shared" si="15"/>
        <v>RN44335</v>
      </c>
      <c r="E194" s="193"/>
      <c r="F194" s="193"/>
    </row>
    <row r="195" spans="1:6" x14ac:dyDescent="0.3">
      <c r="A195" s="1027" t="str">
        <f>_xlfn.CONCAT(qPCR_Unique!Y56, qPCR_Unique!D56)</f>
        <v>After the burnMRT44405</v>
      </c>
      <c r="B195" s="1028" t="str">
        <v>Before the burnRN44342</v>
      </c>
      <c r="C195" s="1029" t="str">
        <f t="shared" si="15"/>
        <v>RN44342</v>
      </c>
      <c r="E195" s="193"/>
      <c r="F195" s="193"/>
    </row>
    <row r="196" spans="1:6" x14ac:dyDescent="0.3">
      <c r="A196" s="1027" t="str">
        <f>_xlfn.CONCAT(qPCR_Unique!Y57, qPCR_Unique!D57)</f>
        <v>After the burnMRT44412</v>
      </c>
      <c r="B196" s="1028" t="str">
        <v>Before the burnRN44350</v>
      </c>
      <c r="C196" s="1029" t="str">
        <f t="shared" si="15"/>
        <v>RN44350</v>
      </c>
      <c r="E196" s="193"/>
      <c r="F196" s="193"/>
    </row>
    <row r="197" spans="1:6" x14ac:dyDescent="0.3">
      <c r="A197" s="1027" t="str">
        <f>_xlfn.CONCAT(qPCR_Unique!Y58, qPCR_Unique!D58)</f>
        <v>After the burnMRT44419</v>
      </c>
      <c r="B197" s="1028" t="str">
        <v>Before the burnRN44356</v>
      </c>
      <c r="C197" s="1029" t="str">
        <f t="shared" si="15"/>
        <v>RN44356</v>
      </c>
      <c r="E197" s="193"/>
      <c r="F197" s="193"/>
    </row>
    <row r="198" spans="1:6" x14ac:dyDescent="0.3">
      <c r="A198" s="1027" t="str">
        <f>_xlfn.CONCAT(qPCR_Unique!Y59, qPCR_Unique!D59)</f>
        <v>After the burnMRT44426</v>
      </c>
      <c r="B198" s="1028" t="str">
        <v>Before the burnRS44335</v>
      </c>
      <c r="C198" s="1029" t="str">
        <f t="shared" si="15"/>
        <v>RS44335</v>
      </c>
      <c r="E198" s="193"/>
      <c r="F198" s="193"/>
    </row>
    <row r="199" spans="1:6" x14ac:dyDescent="0.3">
      <c r="A199" s="1027" t="str">
        <f>_xlfn.CONCAT(qPCR_Unique!Y60, qPCR_Unique!D60)</f>
        <v>After the burnMRT44433</v>
      </c>
      <c r="B199" s="1028" t="str">
        <v>Before the burnRS44342</v>
      </c>
      <c r="C199" s="1029" t="str">
        <f t="shared" si="15"/>
        <v>RS44342</v>
      </c>
      <c r="E199" s="193"/>
      <c r="F199" s="193"/>
    </row>
    <row r="200" spans="1:6" x14ac:dyDescent="0.3">
      <c r="A200" s="1027" t="str">
        <f>_xlfn.CONCAT(qPCR_Unique!Y61, qPCR_Unique!D61)</f>
        <v>Before the burnRN44335</v>
      </c>
      <c r="B200" s="1028" t="str">
        <v>Before the burnRS44350</v>
      </c>
      <c r="C200" s="1029" t="str">
        <f t="shared" si="15"/>
        <v>RS44350</v>
      </c>
      <c r="E200" s="193"/>
      <c r="F200" s="193"/>
    </row>
    <row r="201" spans="1:6" x14ac:dyDescent="0.3">
      <c r="A201" s="1027" t="str">
        <f>_xlfn.CONCAT(qPCR_Unique!Y62, qPCR_Unique!D62)</f>
        <v>Before the burnRN44342</v>
      </c>
      <c r="B201" s="1028" t="str">
        <v>Before the burnRU44335</v>
      </c>
      <c r="C201" s="1029" t="str">
        <f t="shared" si="15"/>
        <v>RU44335</v>
      </c>
      <c r="E201" s="193"/>
      <c r="F201" s="193"/>
    </row>
    <row r="202" spans="1:6" x14ac:dyDescent="0.3">
      <c r="A202" s="1027" t="str">
        <f>_xlfn.CONCAT(qPCR_Unique!Y63, qPCR_Unique!D63)</f>
        <v>Before the burnRN44350</v>
      </c>
      <c r="B202" s="1028" t="str">
        <v>Before the burnRU44342</v>
      </c>
      <c r="C202" s="1029" t="str">
        <f t="shared" si="15"/>
        <v>RU44342</v>
      </c>
      <c r="E202" s="193"/>
      <c r="F202" s="193"/>
    </row>
    <row r="203" spans="1:6" x14ac:dyDescent="0.3">
      <c r="A203" s="1027" t="str">
        <f>_xlfn.CONCAT(qPCR_Unique!Y64, qPCR_Unique!D64)</f>
        <v>Before the burnRN44356</v>
      </c>
      <c r="B203" s="1028" t="str">
        <v>Before the burnRU44350</v>
      </c>
      <c r="C203" s="1029" t="str">
        <f t="shared" si="15"/>
        <v>RU44350</v>
      </c>
      <c r="E203" s="193"/>
      <c r="F203" s="193"/>
    </row>
    <row r="204" spans="1:6" x14ac:dyDescent="0.3">
      <c r="A204" s="1027" t="str">
        <f>_xlfn.CONCAT(qPCR_Unique!Y65, qPCR_Unique!D65)</f>
        <v>During the burnRN44363</v>
      </c>
      <c r="B204" s="1028" t="str">
        <v>Before the burnRU44356</v>
      </c>
      <c r="C204" s="1029" t="str">
        <f t="shared" si="15"/>
        <v>RU44356</v>
      </c>
      <c r="E204" s="193"/>
      <c r="F204" s="193"/>
    </row>
    <row r="205" spans="1:6" x14ac:dyDescent="0.3">
      <c r="A205" s="1027" t="str">
        <f>_xlfn.CONCAT(qPCR_Unique!Y66, qPCR_Unique!D66)</f>
        <v>During the burnRN44370</v>
      </c>
      <c r="B205" s="1028" t="str">
        <v>Before the burnSPI44335</v>
      </c>
      <c r="C205" s="1029" t="str">
        <f t="shared" si="15"/>
        <v>SPI44335</v>
      </c>
      <c r="E205" s="193"/>
      <c r="F205" s="193"/>
    </row>
    <row r="206" spans="1:6" x14ac:dyDescent="0.3">
      <c r="A206" s="1027" t="str">
        <f>_xlfn.CONCAT(qPCR_Unique!Y67, qPCR_Unique!D67)</f>
        <v>During the burnRN44377</v>
      </c>
      <c r="B206" s="1028" t="str">
        <v>Before the burnSPI44342</v>
      </c>
      <c r="C206" s="1029" t="str">
        <f t="shared" si="15"/>
        <v>SPI44342</v>
      </c>
      <c r="E206" s="193"/>
      <c r="F206" s="193"/>
    </row>
    <row r="207" spans="1:6" x14ac:dyDescent="0.3">
      <c r="A207" s="1027" t="str">
        <f>_xlfn.CONCAT(qPCR_Unique!Y68, qPCR_Unique!D68)</f>
        <v>During the burnRN44385</v>
      </c>
      <c r="B207" s="1028" t="str">
        <v>Before the burnSPI44350</v>
      </c>
      <c r="C207" s="1029" t="str">
        <f t="shared" ref="C207:C257" si="21">RIGHT(B207, LEN(B207)-(FIND("burn", B207)+3))</f>
        <v>SPI44350</v>
      </c>
      <c r="E207" s="193"/>
      <c r="F207" s="193"/>
    </row>
    <row r="208" spans="1:6" x14ac:dyDescent="0.3">
      <c r="A208" s="1027" t="str">
        <f>_xlfn.CONCAT(qPCR_Unique!Y69, qPCR_Unique!D69)</f>
        <v>During the burnRN44391</v>
      </c>
      <c r="B208" s="1028" t="str">
        <v>Before the burnSPI44356</v>
      </c>
      <c r="C208" s="1029" t="str">
        <f t="shared" si="21"/>
        <v>SPI44356</v>
      </c>
      <c r="E208" s="193"/>
      <c r="F208" s="193"/>
    </row>
    <row r="209" spans="1:6" x14ac:dyDescent="0.3">
      <c r="A209" s="1027" t="str">
        <f>_xlfn.CONCAT(qPCR_Unique!Y70, qPCR_Unique!D70)</f>
        <v>During the burnRN44398</v>
      </c>
      <c r="B209" s="1028" t="str">
        <v>Before the burnSPO44335</v>
      </c>
      <c r="C209" s="1029" t="str">
        <f t="shared" si="21"/>
        <v>SPO44335</v>
      </c>
      <c r="E209" s="193"/>
      <c r="F209" s="193"/>
    </row>
    <row r="210" spans="1:6" x14ac:dyDescent="0.3">
      <c r="A210" s="1027" t="str">
        <f>_xlfn.CONCAT(qPCR_Unique!Y71, qPCR_Unique!D71)</f>
        <v>After the burnRN44405</v>
      </c>
      <c r="B210" s="1028" t="str">
        <v>Before the burnSPO44342</v>
      </c>
      <c r="C210" s="1029" t="str">
        <f t="shared" si="21"/>
        <v>SPO44342</v>
      </c>
      <c r="E210" s="193"/>
      <c r="F210" s="193"/>
    </row>
    <row r="211" spans="1:6" x14ac:dyDescent="0.3">
      <c r="A211" s="1027" t="str">
        <f>_xlfn.CONCAT(qPCR_Unique!Y72, qPCR_Unique!D72)</f>
        <v>After the burnRN44412</v>
      </c>
      <c r="B211" s="1028" t="str">
        <v>Before the burnSPO44350</v>
      </c>
      <c r="C211" s="1029" t="str">
        <f t="shared" si="21"/>
        <v>SPO44350</v>
      </c>
      <c r="E211" s="193"/>
      <c r="F211" s="193"/>
    </row>
    <row r="212" spans="1:6" x14ac:dyDescent="0.3">
      <c r="A212" s="1027" t="str">
        <f>_xlfn.CONCAT(qPCR_Unique!Y73, qPCR_Unique!D73)</f>
        <v>After the burnRN44419</v>
      </c>
      <c r="B212" s="1028" t="str">
        <v>Before the burnSPO44356</v>
      </c>
      <c r="C212" s="1029" t="str">
        <f t="shared" si="21"/>
        <v>SPO44356</v>
      </c>
      <c r="E212" s="193"/>
      <c r="F212" s="193"/>
    </row>
    <row r="213" spans="1:6" x14ac:dyDescent="0.3">
      <c r="A213" s="1027" t="str">
        <f>_xlfn.CONCAT(qPCR_Unique!Y74, qPCR_Unique!D74)</f>
        <v>After the burnRN44426</v>
      </c>
      <c r="B213" s="1028" t="str">
        <v>During the burnEP44363</v>
      </c>
      <c r="C213" s="1029" t="str">
        <f t="shared" si="21"/>
        <v>EP44363</v>
      </c>
      <c r="E213" s="193"/>
      <c r="F213" s="193"/>
    </row>
    <row r="214" spans="1:6" x14ac:dyDescent="0.3">
      <c r="A214" s="1027" t="str">
        <f>_xlfn.CONCAT(qPCR_Unique!Y75, qPCR_Unique!D75)</f>
        <v>After the burnRN44433</v>
      </c>
      <c r="B214" s="1028" t="str">
        <v>During the burnEP44370</v>
      </c>
      <c r="C214" s="1029" t="str">
        <f t="shared" si="21"/>
        <v>EP44370</v>
      </c>
      <c r="E214" s="193"/>
      <c r="F214" s="193"/>
    </row>
    <row r="215" spans="1:6" x14ac:dyDescent="0.3">
      <c r="A215" s="1027" t="str">
        <f>_xlfn.CONCAT(qPCR_Unique!Y76, qPCR_Unique!D76)</f>
        <v>Before the burnRU44335</v>
      </c>
      <c r="B215" s="1028" t="str">
        <v>During the burnEP44377</v>
      </c>
      <c r="C215" s="1029" t="str">
        <f t="shared" si="21"/>
        <v>EP44377</v>
      </c>
      <c r="E215" s="193"/>
      <c r="F215" s="193"/>
    </row>
    <row r="216" spans="1:6" x14ac:dyDescent="0.3">
      <c r="A216" s="1027" t="str">
        <f>_xlfn.CONCAT(qPCR_Unique!Y77, qPCR_Unique!D77)</f>
        <v>Before the burnRU44342</v>
      </c>
      <c r="B216" s="1028" t="str">
        <v>During the burnEP44385</v>
      </c>
      <c r="C216" s="1029" t="str">
        <f t="shared" si="21"/>
        <v>EP44385</v>
      </c>
      <c r="E216" s="193"/>
      <c r="F216" s="193"/>
    </row>
    <row r="217" spans="1:6" x14ac:dyDescent="0.3">
      <c r="A217" s="1027" t="str">
        <f>_xlfn.CONCAT(qPCR_Unique!Y78, qPCR_Unique!D78)</f>
        <v>Before the burnRU44350</v>
      </c>
      <c r="B217" s="1028" t="str">
        <v>During the burnEP44391</v>
      </c>
      <c r="C217" s="1029" t="str">
        <f t="shared" si="21"/>
        <v>EP44391</v>
      </c>
      <c r="E217" s="193"/>
      <c r="F217" s="193"/>
    </row>
    <row r="218" spans="1:6" x14ac:dyDescent="0.3">
      <c r="A218" s="1027" t="str">
        <f>_xlfn.CONCAT(qPCR_Unique!Y79, qPCR_Unique!D79)</f>
        <v>Before the burnRU44356</v>
      </c>
      <c r="B218" s="1028" t="str">
        <v>During the burnEP44398</v>
      </c>
      <c r="C218" s="1029" t="str">
        <f t="shared" si="21"/>
        <v>EP44398</v>
      </c>
      <c r="E218" s="193"/>
      <c r="F218" s="193"/>
    </row>
    <row r="219" spans="1:6" x14ac:dyDescent="0.3">
      <c r="A219" s="1027" t="str">
        <f>_xlfn.CONCAT(qPCR_Unique!Y80, qPCR_Unique!D80)</f>
        <v>During the burnRU44363</v>
      </c>
      <c r="B219" s="1028" t="str">
        <v>During the burnMRT44363</v>
      </c>
      <c r="C219" s="1029" t="str">
        <f t="shared" si="21"/>
        <v>MRT44363</v>
      </c>
      <c r="E219" s="193"/>
      <c r="F219" s="193"/>
    </row>
    <row r="220" spans="1:6" x14ac:dyDescent="0.3">
      <c r="A220" s="1027" t="str">
        <f>_xlfn.CONCAT(qPCR_Unique!Y81, qPCR_Unique!D81)</f>
        <v>During the burnRU44370</v>
      </c>
      <c r="B220" s="1028" t="str">
        <v>During the burnMRT44370</v>
      </c>
      <c r="C220" s="1029" t="str">
        <f t="shared" si="21"/>
        <v>MRT44370</v>
      </c>
      <c r="E220" s="193"/>
      <c r="F220" s="193"/>
    </row>
    <row r="221" spans="1:6" x14ac:dyDescent="0.3">
      <c r="A221" s="1027" t="str">
        <f>_xlfn.CONCAT(qPCR_Unique!Y82, qPCR_Unique!D82)</f>
        <v>During the burnRU44377</v>
      </c>
      <c r="B221" s="1028" t="str">
        <v>During the burnMRT44377</v>
      </c>
      <c r="C221" s="1029" t="str">
        <f t="shared" si="21"/>
        <v>MRT44377</v>
      </c>
      <c r="E221" s="193"/>
      <c r="F221" s="193"/>
    </row>
    <row r="222" spans="1:6" x14ac:dyDescent="0.3">
      <c r="A222" s="1027" t="str">
        <f>_xlfn.CONCAT(qPCR_Unique!Y83, qPCR_Unique!D83)</f>
        <v>During the burnRU44385</v>
      </c>
      <c r="B222" s="1028" t="str">
        <v>During the burnMRT44385</v>
      </c>
      <c r="C222" s="1029" t="str">
        <f t="shared" si="21"/>
        <v>MRT44385</v>
      </c>
      <c r="E222" s="193"/>
      <c r="F222" s="193"/>
    </row>
    <row r="223" spans="1:6" x14ac:dyDescent="0.3">
      <c r="A223" s="1027" t="str">
        <f>_xlfn.CONCAT(qPCR_Unique!Y84, qPCR_Unique!D84)</f>
        <v>During the burnRU44391</v>
      </c>
      <c r="B223" s="1028" t="str">
        <v>During the burnMRT44391</v>
      </c>
      <c r="C223" s="1029" t="str">
        <f t="shared" si="21"/>
        <v>MRT44391</v>
      </c>
      <c r="E223" s="193"/>
      <c r="F223" s="193"/>
    </row>
    <row r="224" spans="1:6" x14ac:dyDescent="0.3">
      <c r="A224" s="1027" t="str">
        <f>_xlfn.CONCAT(qPCR_Unique!Y85, qPCR_Unique!D85)</f>
        <v>During the burnRU44398</v>
      </c>
      <c r="B224" s="1028" t="str">
        <v>During the burnMRT44398</v>
      </c>
      <c r="C224" s="1029" t="str">
        <f t="shared" si="21"/>
        <v>MRT44398</v>
      </c>
      <c r="E224" s="193"/>
      <c r="F224" s="193"/>
    </row>
    <row r="225" spans="1:6" x14ac:dyDescent="0.3">
      <c r="A225" s="1027" t="str">
        <f>_xlfn.CONCAT(qPCR_Unique!Y86, qPCR_Unique!D86)</f>
        <v>After the burnRU44405</v>
      </c>
      <c r="B225" s="1028" t="str">
        <v>During the burnRL44363</v>
      </c>
      <c r="C225" s="1029" t="str">
        <f t="shared" si="21"/>
        <v>RL44363</v>
      </c>
      <c r="E225" s="193"/>
      <c r="F225" s="193"/>
    </row>
    <row r="226" spans="1:6" x14ac:dyDescent="0.3">
      <c r="A226" s="1027" t="str">
        <f>_xlfn.CONCAT(qPCR_Unique!Y87, qPCR_Unique!D87)</f>
        <v>After the burnRU44412</v>
      </c>
      <c r="B226" s="1028" t="str">
        <v>During the burnRL44370</v>
      </c>
      <c r="C226" s="1029" t="str">
        <f t="shared" si="21"/>
        <v>RL44370</v>
      </c>
      <c r="E226" s="193"/>
      <c r="F226" s="193"/>
    </row>
    <row r="227" spans="1:6" x14ac:dyDescent="0.3">
      <c r="A227" s="1027" t="str">
        <f>_xlfn.CONCAT(qPCR_Unique!Y88, qPCR_Unique!D88)</f>
        <v>After the burnRU44419</v>
      </c>
      <c r="B227" s="1028" t="str">
        <v>During the burnRL44385</v>
      </c>
      <c r="C227" s="1029" t="str">
        <f t="shared" si="21"/>
        <v>RL44385</v>
      </c>
      <c r="E227" s="193"/>
      <c r="F227" s="193"/>
    </row>
    <row r="228" spans="1:6" x14ac:dyDescent="0.3">
      <c r="A228" s="1027" t="str">
        <f>_xlfn.CONCAT(qPCR_Unique!Y89, qPCR_Unique!D89)</f>
        <v>After the burnRU44426</v>
      </c>
      <c r="B228" s="1028" t="str">
        <v>During the burnRL44391</v>
      </c>
      <c r="C228" s="1029" t="str">
        <f t="shared" si="21"/>
        <v>RL44391</v>
      </c>
      <c r="E228" s="193"/>
      <c r="F228" s="193"/>
    </row>
    <row r="229" spans="1:6" x14ac:dyDescent="0.3">
      <c r="A229" s="1027" t="str">
        <f>_xlfn.CONCAT(qPCR_Unique!Y90, qPCR_Unique!D90)</f>
        <v>After the burnRU44433</v>
      </c>
      <c r="B229" s="1028" t="str">
        <v>During the burnRL44398</v>
      </c>
      <c r="C229" s="1029" t="str">
        <f t="shared" si="21"/>
        <v>RL44398</v>
      </c>
      <c r="E229" s="193"/>
      <c r="F229" s="193"/>
    </row>
    <row r="230" spans="1:6" x14ac:dyDescent="0.3">
      <c r="A230" s="1027" t="str">
        <f>_xlfn.CONCAT(qPCR_Unique!Y91, qPCR_Unique!D91)</f>
        <v>Before the burnRL44335</v>
      </c>
      <c r="B230" s="1028" t="str">
        <v>During the burnRN44363</v>
      </c>
      <c r="C230" s="1029" t="str">
        <f t="shared" si="21"/>
        <v>RN44363</v>
      </c>
      <c r="E230" s="193"/>
      <c r="F230" s="193"/>
    </row>
    <row r="231" spans="1:6" x14ac:dyDescent="0.3">
      <c r="A231" s="1027" t="str">
        <f>_xlfn.CONCAT(qPCR_Unique!Y92, qPCR_Unique!D92)</f>
        <v>Before the burnRL44342</v>
      </c>
      <c r="B231" s="1028" t="str">
        <v>During the burnRN44370</v>
      </c>
      <c r="C231" s="1029" t="str">
        <f t="shared" si="21"/>
        <v>RN44370</v>
      </c>
      <c r="E231" s="193"/>
      <c r="F231" s="193"/>
    </row>
    <row r="232" spans="1:6" x14ac:dyDescent="0.3">
      <c r="A232" s="1027" t="str">
        <f>_xlfn.CONCAT(qPCR_Unique!Y93, qPCR_Unique!D93)</f>
        <v>Before the burnRL44350</v>
      </c>
      <c r="B232" s="1028" t="str">
        <v>During the burnRN44377</v>
      </c>
      <c r="C232" s="1029" t="str">
        <f t="shared" si="21"/>
        <v>RN44377</v>
      </c>
      <c r="E232" s="193"/>
      <c r="F232" s="193"/>
    </row>
    <row r="233" spans="1:6" x14ac:dyDescent="0.3">
      <c r="A233" s="1027" t="str">
        <f>_xlfn.CONCAT(qPCR_Unique!Y94, qPCR_Unique!D94)</f>
        <v>Before the burnRL44356</v>
      </c>
      <c r="B233" s="1028" t="str">
        <v>During the burnRN44385</v>
      </c>
      <c r="C233" s="1029" t="str">
        <f t="shared" si="21"/>
        <v>RN44385</v>
      </c>
      <c r="E233" s="193"/>
      <c r="F233" s="193"/>
    </row>
    <row r="234" spans="1:6" x14ac:dyDescent="0.3">
      <c r="A234" s="1027" t="str">
        <f>_xlfn.CONCAT(qPCR_Unique!Y95, qPCR_Unique!D95)</f>
        <v>During the burnRL44363</v>
      </c>
      <c r="B234" s="1028" t="str">
        <v>During the burnRN44391</v>
      </c>
      <c r="C234" s="1029" t="str">
        <f t="shared" si="21"/>
        <v>RN44391</v>
      </c>
      <c r="E234" s="193"/>
      <c r="F234" s="193"/>
    </row>
    <row r="235" spans="1:6" x14ac:dyDescent="0.3">
      <c r="A235" s="1027" t="str">
        <f>_xlfn.CONCAT(qPCR_Unique!Y96, qPCR_Unique!D96)</f>
        <v>During the burnRL44370</v>
      </c>
      <c r="B235" s="1028" t="str">
        <v>During the burnRN44398</v>
      </c>
      <c r="C235" s="1029" t="str">
        <f t="shared" si="21"/>
        <v>RN44398</v>
      </c>
      <c r="E235" s="193"/>
      <c r="F235" s="193"/>
    </row>
    <row r="236" spans="1:6" x14ac:dyDescent="0.3">
      <c r="A236" s="1027" t="str">
        <f>_xlfn.CONCAT(qPCR_Unique!Y97, qPCR_Unique!D97)</f>
        <v>During the burnRL44385</v>
      </c>
      <c r="B236" s="1028" t="str">
        <v>During the burnRS44363</v>
      </c>
      <c r="C236" s="1029" t="str">
        <f t="shared" si="21"/>
        <v>RS44363</v>
      </c>
      <c r="E236" s="193"/>
      <c r="F236" s="193"/>
    </row>
    <row r="237" spans="1:6" x14ac:dyDescent="0.3">
      <c r="A237" s="1027" t="str">
        <f>_xlfn.CONCAT(qPCR_Unique!Y98, qPCR_Unique!D98)</f>
        <v>During the burnRL44391</v>
      </c>
      <c r="B237" s="1028" t="str">
        <v>During the burnRS44370</v>
      </c>
      <c r="C237" s="1029" t="str">
        <f t="shared" si="21"/>
        <v>RS44370</v>
      </c>
      <c r="E237" s="193"/>
      <c r="F237" s="193"/>
    </row>
    <row r="238" spans="1:6" x14ac:dyDescent="0.3">
      <c r="A238" s="1027" t="str">
        <f>_xlfn.CONCAT(qPCR_Unique!Y99, qPCR_Unique!D99)</f>
        <v>During the burnRL44398</v>
      </c>
      <c r="B238" s="1028" t="str">
        <v>During the burnRS44377</v>
      </c>
      <c r="C238" s="1029" t="str">
        <f t="shared" si="21"/>
        <v>RS44377</v>
      </c>
      <c r="E238" s="193"/>
      <c r="F238" s="193"/>
    </row>
    <row r="239" spans="1:6" x14ac:dyDescent="0.3">
      <c r="A239" s="1027" t="str">
        <f>_xlfn.CONCAT(qPCR_Unique!Y100, qPCR_Unique!D100)</f>
        <v>After the burnRL44405</v>
      </c>
      <c r="B239" s="1028" t="str">
        <v>During the burnRS44385</v>
      </c>
      <c r="C239" s="1029" t="str">
        <f t="shared" si="21"/>
        <v>RS44385</v>
      </c>
      <c r="E239" s="193"/>
      <c r="F239" s="193"/>
    </row>
    <row r="240" spans="1:6" x14ac:dyDescent="0.3">
      <c r="A240" s="1027" t="str">
        <f>_xlfn.CONCAT(qPCR_Unique!Y101, qPCR_Unique!D101)</f>
        <v>After the burnRL44412</v>
      </c>
      <c r="B240" s="1028" t="str">
        <v>During the burnRS44391</v>
      </c>
      <c r="C240" s="1029" t="str">
        <f t="shared" si="21"/>
        <v>RS44391</v>
      </c>
      <c r="E240" s="193"/>
      <c r="F240" s="193"/>
    </row>
    <row r="241" spans="1:6" x14ac:dyDescent="0.3">
      <c r="A241" s="1027" t="str">
        <f>_xlfn.CONCAT(qPCR_Unique!Y102, qPCR_Unique!D102)</f>
        <v>After the burnRL44419</v>
      </c>
      <c r="B241" s="1028" t="str">
        <v>During the burnRS44398</v>
      </c>
      <c r="C241" s="1029" t="str">
        <f t="shared" si="21"/>
        <v>RS44398</v>
      </c>
      <c r="E241" s="193"/>
      <c r="F241" s="193"/>
    </row>
    <row r="242" spans="1:6" x14ac:dyDescent="0.3">
      <c r="A242" s="1027" t="str">
        <f>_xlfn.CONCAT(qPCR_Unique!Y103, qPCR_Unique!D103)</f>
        <v>After the burnRL44426</v>
      </c>
      <c r="B242" s="1028" t="str">
        <v>During the burnRU44363</v>
      </c>
      <c r="C242" s="1029" t="str">
        <f t="shared" si="21"/>
        <v>RU44363</v>
      </c>
      <c r="E242" s="193"/>
      <c r="F242" s="193"/>
    </row>
    <row r="243" spans="1:6" x14ac:dyDescent="0.3">
      <c r="A243" s="1027" t="str">
        <f>_xlfn.CONCAT(qPCR_Unique!Y104, qPCR_Unique!D104)</f>
        <v>After the burnRL44433</v>
      </c>
      <c r="B243" s="1028" t="str">
        <v>During the burnRU44370</v>
      </c>
      <c r="C243" s="1029" t="str">
        <f t="shared" si="21"/>
        <v>RU44370</v>
      </c>
      <c r="E243" s="193"/>
      <c r="F243" s="193"/>
    </row>
    <row r="244" spans="1:6" x14ac:dyDescent="0.3">
      <c r="A244" s="1027" t="str">
        <f>_xlfn.CONCAT(qPCR_Unique!Y105, qPCR_Unique!D105)</f>
        <v>Before the burnRS44335</v>
      </c>
      <c r="B244" s="1028" t="str">
        <v>During the burnRU44377</v>
      </c>
      <c r="C244" s="1029" t="str">
        <f t="shared" si="21"/>
        <v>RU44377</v>
      </c>
      <c r="E244" s="193"/>
      <c r="F244" s="193"/>
    </row>
    <row r="245" spans="1:6" x14ac:dyDescent="0.3">
      <c r="A245" s="1027" t="str">
        <f>_xlfn.CONCAT(qPCR_Unique!Y106, qPCR_Unique!D106)</f>
        <v>Before the burnRS44342</v>
      </c>
      <c r="B245" s="1028" t="str">
        <v>During the burnRU44385</v>
      </c>
      <c r="C245" s="1029" t="str">
        <f t="shared" si="21"/>
        <v>RU44385</v>
      </c>
      <c r="E245" s="193"/>
      <c r="F245" s="193"/>
    </row>
    <row r="246" spans="1:6" x14ac:dyDescent="0.3">
      <c r="A246" s="1027" t="str">
        <f>_xlfn.CONCAT(qPCR_Unique!Y107, qPCR_Unique!D107)</f>
        <v>Before the burnRS44350</v>
      </c>
      <c r="B246" s="1028" t="str">
        <v>During the burnRU44391</v>
      </c>
      <c r="C246" s="1029" t="str">
        <f t="shared" si="21"/>
        <v>RU44391</v>
      </c>
      <c r="E246" s="193"/>
      <c r="F246" s="193"/>
    </row>
    <row r="247" spans="1:6" x14ac:dyDescent="0.3">
      <c r="A247" s="1027" t="str">
        <f>_xlfn.CONCAT(qPCR_Unique!Y108, qPCR_Unique!D108)</f>
        <v>During the burnRS44363</v>
      </c>
      <c r="B247" s="1028" t="str">
        <v>During the burnRU44398</v>
      </c>
      <c r="C247" s="1029" t="str">
        <f t="shared" si="21"/>
        <v>RU44398</v>
      </c>
      <c r="E247" s="193"/>
      <c r="F247" s="193"/>
    </row>
    <row r="248" spans="1:6" x14ac:dyDescent="0.3">
      <c r="A248" s="1027" t="str">
        <f>_xlfn.CONCAT(qPCR_Unique!Y109, qPCR_Unique!D109)</f>
        <v>During the burnRS44370</v>
      </c>
      <c r="B248" s="1028" t="str">
        <v>During the burnSPI44370</v>
      </c>
      <c r="C248" s="1029" t="str">
        <f t="shared" si="21"/>
        <v>SPI44370</v>
      </c>
      <c r="E248" s="193"/>
      <c r="F248" s="193"/>
    </row>
    <row r="249" spans="1:6" x14ac:dyDescent="0.3">
      <c r="A249" s="1027" t="str">
        <f>_xlfn.CONCAT(qPCR_Unique!Y110, qPCR_Unique!D110)</f>
        <v>During the burnRS44377</v>
      </c>
      <c r="B249" s="1028" t="str">
        <v>During the burnSPI44377</v>
      </c>
      <c r="C249" s="1029" t="str">
        <f t="shared" si="21"/>
        <v>SPI44377</v>
      </c>
      <c r="E249" s="193"/>
      <c r="F249" s="193"/>
    </row>
    <row r="250" spans="1:6" x14ac:dyDescent="0.3">
      <c r="A250" s="1027" t="str">
        <f>_xlfn.CONCAT(qPCR_Unique!Y111, qPCR_Unique!D111)</f>
        <v>During the burnRS44385</v>
      </c>
      <c r="B250" s="1028" t="str">
        <v>During the burnSPI44385</v>
      </c>
      <c r="C250" s="1029" t="str">
        <f t="shared" si="21"/>
        <v>SPI44385</v>
      </c>
      <c r="E250" s="193"/>
      <c r="F250" s="193"/>
    </row>
    <row r="251" spans="1:6" x14ac:dyDescent="0.3">
      <c r="A251" s="1027" t="str">
        <f>_xlfn.CONCAT(qPCR_Unique!Y112, qPCR_Unique!D112)</f>
        <v>During the burnRS44391</v>
      </c>
      <c r="B251" s="1028" t="str">
        <v>During the burnSPI44391</v>
      </c>
      <c r="C251" s="1029" t="str">
        <f t="shared" si="21"/>
        <v>SPI44391</v>
      </c>
      <c r="E251" s="193"/>
      <c r="F251" s="193"/>
    </row>
    <row r="252" spans="1:6" x14ac:dyDescent="0.3">
      <c r="A252" s="1027" t="str">
        <f>_xlfn.CONCAT(qPCR_Unique!Y113, qPCR_Unique!D113)</f>
        <v>During the burnRS44398</v>
      </c>
      <c r="B252" s="1028" t="str">
        <v>During the burnSPI44398</v>
      </c>
      <c r="C252" s="1029" t="str">
        <f t="shared" si="21"/>
        <v>SPI44398</v>
      </c>
      <c r="E252" s="193"/>
      <c r="F252" s="193"/>
    </row>
    <row r="253" spans="1:6" x14ac:dyDescent="0.3">
      <c r="A253" s="1027" t="str">
        <f>_xlfn.CONCAT(qPCR_Unique!Y114, qPCR_Unique!D114)</f>
        <v>After the burnRS44405</v>
      </c>
      <c r="B253" s="1028" t="str">
        <v>During the burnSPO44370</v>
      </c>
      <c r="C253" s="1029" t="str">
        <f t="shared" si="21"/>
        <v>SPO44370</v>
      </c>
      <c r="E253" s="193"/>
      <c r="F253" s="193"/>
    </row>
    <row r="254" spans="1:6" x14ac:dyDescent="0.3">
      <c r="A254" s="1027" t="str">
        <f>_xlfn.CONCAT(qPCR_Unique!Y115, qPCR_Unique!D115)</f>
        <v>After the burnRS44412</v>
      </c>
      <c r="B254" s="1028" t="str">
        <v>During the burnSPO44377</v>
      </c>
      <c r="C254" s="1029" t="str">
        <f t="shared" si="21"/>
        <v>SPO44377</v>
      </c>
      <c r="F254" s="193"/>
    </row>
    <row r="255" spans="1:6" x14ac:dyDescent="0.3">
      <c r="A255" s="1027" t="str">
        <f>_xlfn.CONCAT(qPCR_Unique!Y116, qPCR_Unique!D116)</f>
        <v>After the burnRS44419</v>
      </c>
      <c r="B255" s="1028" t="str">
        <v>During the burnSPO44385</v>
      </c>
      <c r="C255" s="1029" t="str">
        <f t="shared" si="21"/>
        <v>SPO44385</v>
      </c>
    </row>
    <row r="256" spans="1:6" x14ac:dyDescent="0.3">
      <c r="A256" s="1027" t="str">
        <f>_xlfn.CONCAT(qPCR_Unique!Y117, qPCR_Unique!D117)</f>
        <v>After the burnRS44426</v>
      </c>
      <c r="B256" s="1028" t="str">
        <v>During the burnSPO44391</v>
      </c>
      <c r="C256" s="1029" t="str">
        <f t="shared" si="21"/>
        <v>SPO44391</v>
      </c>
    </row>
    <row r="257" spans="1:6" ht="16.350000000000001" thickBot="1" x14ac:dyDescent="0.35">
      <c r="A257" s="1030" t="str">
        <f>_xlfn.CONCAT(qPCR_Unique!Y118, qPCR_Unique!D118)</f>
        <v>After the burnRS44433</v>
      </c>
      <c r="B257" s="1031" t="str">
        <v>During the burnSPO44398</v>
      </c>
      <c r="C257" s="1032" t="str">
        <f t="shared" si="21"/>
        <v>SPO44398</v>
      </c>
    </row>
    <row r="258" spans="1:6" ht="16.350000000000001" thickTop="1" x14ac:dyDescent="0.3">
      <c r="F258" s="193"/>
    </row>
    <row r="259" spans="1:6" x14ac:dyDescent="0.3">
      <c r="F259" s="193"/>
    </row>
    <row r="260" spans="1:6" x14ac:dyDescent="0.3">
      <c r="F260" s="193"/>
    </row>
    <row r="261" spans="1:6" x14ac:dyDescent="0.3">
      <c r="F261" s="193"/>
    </row>
    <row r="262" spans="1:6" x14ac:dyDescent="0.3">
      <c r="F262" s="193"/>
    </row>
    <row r="263" spans="1:6" x14ac:dyDescent="0.3">
      <c r="F263" s="193"/>
    </row>
    <row r="264" spans="1:6" x14ac:dyDescent="0.3">
      <c r="F264" s="193"/>
    </row>
    <row r="265" spans="1:6" x14ac:dyDescent="0.3">
      <c r="F265" s="193"/>
    </row>
    <row r="266" spans="1:6" x14ac:dyDescent="0.3">
      <c r="F266" s="193"/>
    </row>
    <row r="267" spans="1:6" x14ac:dyDescent="0.3">
      <c r="F267" s="193"/>
    </row>
    <row r="268" spans="1:6" x14ac:dyDescent="0.3">
      <c r="F268" s="193"/>
    </row>
    <row r="269" spans="1:6" x14ac:dyDescent="0.3">
      <c r="F269" s="193"/>
    </row>
    <row r="270" spans="1:6" x14ac:dyDescent="0.3">
      <c r="F270" s="193"/>
    </row>
    <row r="271" spans="1:6" x14ac:dyDescent="0.3">
      <c r="F271" s="193"/>
    </row>
    <row r="272" spans="1:6" x14ac:dyDescent="0.3">
      <c r="F272" s="193"/>
    </row>
    <row r="273" spans="6:6" x14ac:dyDescent="0.3">
      <c r="F273" s="193"/>
    </row>
    <row r="274" spans="6:6" x14ac:dyDescent="0.3">
      <c r="F274" s="193"/>
    </row>
    <row r="275" spans="6:6" x14ac:dyDescent="0.3">
      <c r="F275" s="193"/>
    </row>
    <row r="276" spans="6:6" x14ac:dyDescent="0.3">
      <c r="F276" s="193"/>
    </row>
    <row r="277" spans="6:6" x14ac:dyDescent="0.3">
      <c r="F277" s="193"/>
    </row>
    <row r="278" spans="6:6" x14ac:dyDescent="0.3">
      <c r="F278" s="193"/>
    </row>
    <row r="279" spans="6:6" x14ac:dyDescent="0.3">
      <c r="F279" s="193"/>
    </row>
    <row r="280" spans="6:6" x14ac:dyDescent="0.3">
      <c r="F280" s="193"/>
    </row>
    <row r="281" spans="6:6" x14ac:dyDescent="0.3">
      <c r="F281" s="193"/>
    </row>
    <row r="282" spans="6:6" x14ac:dyDescent="0.3">
      <c r="F282" s="193"/>
    </row>
    <row r="283" spans="6:6" x14ac:dyDescent="0.3">
      <c r="F283" s="193"/>
    </row>
    <row r="284" spans="6:6" x14ac:dyDescent="0.3">
      <c r="F284" s="193"/>
    </row>
    <row r="285" spans="6:6" x14ac:dyDescent="0.3">
      <c r="F285" s="193"/>
    </row>
    <row r="286" spans="6:6" x14ac:dyDescent="0.3">
      <c r="F286" s="193"/>
    </row>
    <row r="287" spans="6:6" x14ac:dyDescent="0.3">
      <c r="F287" s="193"/>
    </row>
    <row r="288" spans="6:6" x14ac:dyDescent="0.3">
      <c r="F288" s="193"/>
    </row>
    <row r="289" spans="6:6" x14ac:dyDescent="0.3">
      <c r="F289" s="193"/>
    </row>
    <row r="290" spans="6:6" x14ac:dyDescent="0.3">
      <c r="F290" s="193"/>
    </row>
    <row r="291" spans="6:6" x14ac:dyDescent="0.3">
      <c r="F291" s="193"/>
    </row>
    <row r="292" spans="6:6" x14ac:dyDescent="0.3">
      <c r="F292" s="193"/>
    </row>
    <row r="293" spans="6:6" x14ac:dyDescent="0.3">
      <c r="F293" s="193"/>
    </row>
    <row r="294" spans="6:6" x14ac:dyDescent="0.3">
      <c r="F294" s="193"/>
    </row>
    <row r="295" spans="6:6" x14ac:dyDescent="0.3">
      <c r="F295" s="193"/>
    </row>
    <row r="296" spans="6:6" x14ac:dyDescent="0.3">
      <c r="F296" s="193"/>
    </row>
    <row r="297" spans="6:6" x14ac:dyDescent="0.3">
      <c r="F297" s="193"/>
    </row>
    <row r="298" spans="6:6" x14ac:dyDescent="0.3">
      <c r="F298" s="193"/>
    </row>
    <row r="299" spans="6:6" x14ac:dyDescent="0.3">
      <c r="F299" s="193"/>
    </row>
    <row r="300" spans="6:6" x14ac:dyDescent="0.3">
      <c r="F300" s="193"/>
    </row>
    <row r="301" spans="6:6" x14ac:dyDescent="0.3">
      <c r="F301" s="193"/>
    </row>
    <row r="302" spans="6:6" x14ac:dyDescent="0.3">
      <c r="F302" s="193"/>
    </row>
    <row r="303" spans="6:6" x14ac:dyDescent="0.3">
      <c r="F303" s="193"/>
    </row>
    <row r="304" spans="6:6" x14ac:dyDescent="0.3">
      <c r="F304" s="193"/>
    </row>
    <row r="305" spans="6:6" x14ac:dyDescent="0.3">
      <c r="F305" s="193"/>
    </row>
    <row r="306" spans="6:6" x14ac:dyDescent="0.3">
      <c r="F306" s="193"/>
    </row>
    <row r="307" spans="6:6" x14ac:dyDescent="0.3">
      <c r="F307" s="193"/>
    </row>
    <row r="308" spans="6:6" x14ac:dyDescent="0.3">
      <c r="F308" s="193"/>
    </row>
    <row r="309" spans="6:6" x14ac:dyDescent="0.3">
      <c r="F309" s="193"/>
    </row>
    <row r="310" spans="6:6" x14ac:dyDescent="0.3">
      <c r="F310" s="193"/>
    </row>
    <row r="311" spans="6:6" x14ac:dyDescent="0.3">
      <c r="F311" s="193"/>
    </row>
    <row r="312" spans="6:6" x14ac:dyDescent="0.3">
      <c r="F312" s="193"/>
    </row>
    <row r="313" spans="6:6" x14ac:dyDescent="0.3">
      <c r="F313" s="193"/>
    </row>
    <row r="314" spans="6:6" x14ac:dyDescent="0.3">
      <c r="F314" s="193"/>
    </row>
    <row r="315" spans="6:6" x14ac:dyDescent="0.3">
      <c r="F315" s="193"/>
    </row>
    <row r="316" spans="6:6" x14ac:dyDescent="0.3">
      <c r="F316" s="193"/>
    </row>
    <row r="317" spans="6:6" x14ac:dyDescent="0.3">
      <c r="F317" s="193"/>
    </row>
    <row r="318" spans="6:6" x14ac:dyDescent="0.3">
      <c r="F318" s="193"/>
    </row>
    <row r="319" spans="6:6" x14ac:dyDescent="0.3">
      <c r="F319" s="193"/>
    </row>
    <row r="320" spans="6:6" x14ac:dyDescent="0.3">
      <c r="F320" s="193"/>
    </row>
    <row r="321" spans="6:6" x14ac:dyDescent="0.3">
      <c r="F321" s="193"/>
    </row>
    <row r="322" spans="6:6" x14ac:dyDescent="0.3">
      <c r="F322" s="193"/>
    </row>
    <row r="323" spans="6:6" x14ac:dyDescent="0.3">
      <c r="F323" s="193"/>
    </row>
    <row r="324" spans="6:6" x14ac:dyDescent="0.3">
      <c r="F324" s="193"/>
    </row>
    <row r="325" spans="6:6" x14ac:dyDescent="0.3">
      <c r="F325" s="193"/>
    </row>
    <row r="326" spans="6:6" x14ac:dyDescent="0.3">
      <c r="F326" s="193"/>
    </row>
    <row r="327" spans="6:6" x14ac:dyDescent="0.3">
      <c r="F327" s="193"/>
    </row>
    <row r="328" spans="6:6" x14ac:dyDescent="0.3">
      <c r="F328" s="193"/>
    </row>
    <row r="329" spans="6:6" x14ac:dyDescent="0.3">
      <c r="F329" s="193"/>
    </row>
    <row r="330" spans="6:6" x14ac:dyDescent="0.3">
      <c r="F330" s="193"/>
    </row>
    <row r="331" spans="6:6" x14ac:dyDescent="0.3">
      <c r="F331" s="193"/>
    </row>
    <row r="332" spans="6:6" x14ac:dyDescent="0.3">
      <c r="F332" s="193"/>
    </row>
    <row r="333" spans="6:6" x14ac:dyDescent="0.3">
      <c r="F333" s="193"/>
    </row>
    <row r="334" spans="6:6" x14ac:dyDescent="0.3">
      <c r="F334" s="193"/>
    </row>
    <row r="335" spans="6:6" x14ac:dyDescent="0.3">
      <c r="F335" s="193"/>
    </row>
    <row r="336" spans="6:6" x14ac:dyDescent="0.3">
      <c r="F336" s="193"/>
    </row>
    <row r="337" spans="6:6" x14ac:dyDescent="0.3">
      <c r="F337" s="193"/>
    </row>
    <row r="338" spans="6:6" x14ac:dyDescent="0.3">
      <c r="F338" s="193"/>
    </row>
    <row r="339" spans="6:6" x14ac:dyDescent="0.3">
      <c r="F339" s="193"/>
    </row>
    <row r="340" spans="6:6" x14ac:dyDescent="0.3">
      <c r="F340" s="193"/>
    </row>
    <row r="341" spans="6:6" x14ac:dyDescent="0.3">
      <c r="F341" s="193"/>
    </row>
    <row r="342" spans="6:6" x14ac:dyDescent="0.3">
      <c r="F342" s="193"/>
    </row>
    <row r="343" spans="6:6" x14ac:dyDescent="0.3">
      <c r="F343" s="193"/>
    </row>
    <row r="344" spans="6:6" x14ac:dyDescent="0.3">
      <c r="F344" s="193"/>
    </row>
    <row r="345" spans="6:6" x14ac:dyDescent="0.3">
      <c r="F345" s="193"/>
    </row>
    <row r="346" spans="6:6" x14ac:dyDescent="0.3">
      <c r="F346" s="193"/>
    </row>
    <row r="347" spans="6:6" x14ac:dyDescent="0.3">
      <c r="F347" s="193"/>
    </row>
    <row r="348" spans="6:6" x14ac:dyDescent="0.3">
      <c r="F348" s="193"/>
    </row>
    <row r="349" spans="6:6" x14ac:dyDescent="0.3">
      <c r="F349" s="193"/>
    </row>
    <row r="350" spans="6:6" x14ac:dyDescent="0.3">
      <c r="F350" s="193"/>
    </row>
    <row r="351" spans="6:6" x14ac:dyDescent="0.3">
      <c r="F351" s="193"/>
    </row>
    <row r="352" spans="6:6" x14ac:dyDescent="0.3">
      <c r="F352" s="193"/>
    </row>
    <row r="353" spans="6:6" x14ac:dyDescent="0.3">
      <c r="F353" s="193"/>
    </row>
    <row r="354" spans="6:6" x14ac:dyDescent="0.3">
      <c r="F354" s="193"/>
    </row>
    <row r="355" spans="6:6" x14ac:dyDescent="0.3">
      <c r="F355" s="193"/>
    </row>
    <row r="356" spans="6:6" x14ac:dyDescent="0.3">
      <c r="F356" s="193"/>
    </row>
    <row r="357" spans="6:6" x14ac:dyDescent="0.3">
      <c r="F357" s="193"/>
    </row>
    <row r="358" spans="6:6" x14ac:dyDescent="0.3">
      <c r="F358" s="193"/>
    </row>
    <row r="359" spans="6:6" x14ac:dyDescent="0.3">
      <c r="F359" s="193"/>
    </row>
    <row r="360" spans="6:6" x14ac:dyDescent="0.3">
      <c r="F360" s="193"/>
    </row>
    <row r="361" spans="6:6" x14ac:dyDescent="0.3">
      <c r="F361" s="193"/>
    </row>
    <row r="362" spans="6:6" x14ac:dyDescent="0.3">
      <c r="F362" s="193"/>
    </row>
    <row r="363" spans="6:6" x14ac:dyDescent="0.3">
      <c r="F363" s="193"/>
    </row>
    <row r="364" spans="6:6" x14ac:dyDescent="0.3">
      <c r="F364" s="193"/>
    </row>
    <row r="365" spans="6:6" x14ac:dyDescent="0.3">
      <c r="F365" s="193"/>
    </row>
    <row r="366" spans="6:6" x14ac:dyDescent="0.3">
      <c r="F366" s="193"/>
    </row>
    <row r="367" spans="6:6" x14ac:dyDescent="0.3">
      <c r="F367" s="193"/>
    </row>
    <row r="368" spans="6:6" x14ac:dyDescent="0.3">
      <c r="F368" s="193"/>
    </row>
    <row r="369" spans="6:6" x14ac:dyDescent="0.3">
      <c r="F369" s="193"/>
    </row>
    <row r="370" spans="6:6" x14ac:dyDescent="0.3">
      <c r="F370" s="193"/>
    </row>
    <row r="371" spans="6:6" x14ac:dyDescent="0.3">
      <c r="F371" s="193"/>
    </row>
    <row r="372" spans="6:6" x14ac:dyDescent="0.3">
      <c r="F372" s="193"/>
    </row>
    <row r="373" spans="6:6" x14ac:dyDescent="0.3">
      <c r="F373" s="193"/>
    </row>
    <row r="374" spans="6:6" x14ac:dyDescent="0.3">
      <c r="F374" s="193"/>
    </row>
    <row r="375" spans="6:6" x14ac:dyDescent="0.3">
      <c r="F375" s="193"/>
    </row>
    <row r="376" spans="6:6" x14ac:dyDescent="0.3">
      <c r="F376" s="193"/>
    </row>
    <row r="377" spans="6:6" x14ac:dyDescent="0.3">
      <c r="F377" s="193"/>
    </row>
    <row r="378" spans="6:6" x14ac:dyDescent="0.3">
      <c r="F378" s="193"/>
    </row>
    <row r="379" spans="6:6" x14ac:dyDescent="0.3">
      <c r="F379" s="193"/>
    </row>
    <row r="380" spans="6:6" x14ac:dyDescent="0.3">
      <c r="F380" s="193"/>
    </row>
    <row r="381" spans="6:6" x14ac:dyDescent="0.3">
      <c r="F381" s="193"/>
    </row>
    <row r="382" spans="6:6" x14ac:dyDescent="0.3">
      <c r="F382" s="193"/>
    </row>
    <row r="383" spans="6:6" x14ac:dyDescent="0.3">
      <c r="F383" s="193"/>
    </row>
    <row r="384" spans="6:6" x14ac:dyDescent="0.3">
      <c r="F384" s="193"/>
    </row>
    <row r="385" spans="6:6" x14ac:dyDescent="0.3">
      <c r="F385" s="193"/>
    </row>
    <row r="386" spans="6:6" x14ac:dyDescent="0.3">
      <c r="F386" s="193"/>
    </row>
    <row r="387" spans="6:6" x14ac:dyDescent="0.3">
      <c r="F387" s="193"/>
    </row>
    <row r="388" spans="6:6" x14ac:dyDescent="0.3">
      <c r="F388" s="193"/>
    </row>
    <row r="389" spans="6:6" x14ac:dyDescent="0.3">
      <c r="F389" s="193"/>
    </row>
    <row r="390" spans="6:6" x14ac:dyDescent="0.3">
      <c r="F390" s="193"/>
    </row>
    <row r="391" spans="6:6" x14ac:dyDescent="0.3">
      <c r="F391" s="193"/>
    </row>
    <row r="392" spans="6:6" x14ac:dyDescent="0.3">
      <c r="F392" s="193"/>
    </row>
    <row r="393" spans="6:6" x14ac:dyDescent="0.3">
      <c r="F393" s="193"/>
    </row>
    <row r="394" spans="6:6" x14ac:dyDescent="0.3">
      <c r="F394" s="193"/>
    </row>
    <row r="395" spans="6:6" x14ac:dyDescent="0.3">
      <c r="F395" s="193"/>
    </row>
    <row r="396" spans="6:6" x14ac:dyDescent="0.3">
      <c r="F396" s="193"/>
    </row>
    <row r="397" spans="6:6" x14ac:dyDescent="0.3">
      <c r="F397" s="193"/>
    </row>
    <row r="398" spans="6:6" x14ac:dyDescent="0.3">
      <c r="F398" s="193"/>
    </row>
    <row r="399" spans="6:6" x14ac:dyDescent="0.3">
      <c r="F399" s="193"/>
    </row>
    <row r="400" spans="6:6" x14ac:dyDescent="0.3">
      <c r="F400" s="193"/>
    </row>
    <row r="401" spans="6:6" x14ac:dyDescent="0.3">
      <c r="F401" s="193"/>
    </row>
    <row r="402" spans="6:6" x14ac:dyDescent="0.3">
      <c r="F402" s="193"/>
    </row>
    <row r="403" spans="6:6" x14ac:dyDescent="0.3">
      <c r="F403" s="193"/>
    </row>
    <row r="404" spans="6:6" x14ac:dyDescent="0.3">
      <c r="F404" s="193"/>
    </row>
    <row r="405" spans="6:6" x14ac:dyDescent="0.3">
      <c r="F405" s="193"/>
    </row>
    <row r="406" spans="6:6" x14ac:dyDescent="0.3">
      <c r="F406" s="193"/>
    </row>
    <row r="407" spans="6:6" x14ac:dyDescent="0.3">
      <c r="F407" s="193"/>
    </row>
    <row r="408" spans="6:6" x14ac:dyDescent="0.3">
      <c r="F408" s="193"/>
    </row>
    <row r="409" spans="6:6" x14ac:dyDescent="0.3">
      <c r="F409" s="193"/>
    </row>
    <row r="410" spans="6:6" x14ac:dyDescent="0.3">
      <c r="F410" s="193"/>
    </row>
    <row r="411" spans="6:6" x14ac:dyDescent="0.3">
      <c r="F411" s="193"/>
    </row>
    <row r="412" spans="6:6" x14ac:dyDescent="0.3">
      <c r="F412" s="193"/>
    </row>
    <row r="413" spans="6:6" x14ac:dyDescent="0.3">
      <c r="F413" s="193"/>
    </row>
    <row r="414" spans="6:6" x14ac:dyDescent="0.3">
      <c r="F414" s="193"/>
    </row>
    <row r="415" spans="6:6" x14ac:dyDescent="0.3">
      <c r="F415" s="193"/>
    </row>
    <row r="416" spans="6:6" x14ac:dyDescent="0.3">
      <c r="F416" s="193"/>
    </row>
    <row r="417" spans="6:6" x14ac:dyDescent="0.3">
      <c r="F417" s="193"/>
    </row>
    <row r="418" spans="6:6" x14ac:dyDescent="0.3">
      <c r="F418" s="193"/>
    </row>
    <row r="419" spans="6:6" x14ac:dyDescent="0.3">
      <c r="F419" s="193"/>
    </row>
    <row r="420" spans="6:6" x14ac:dyDescent="0.3">
      <c r="F420" s="193"/>
    </row>
  </sheetData>
  <sheetProtection algorithmName="SHA-512" hashValue="gb3wvrq6DYz2jvydIexdbVVp1ib5zgYBlPNIm5c0TGD/n5ywvFrc1YDFXUnOHKsFxHYvaERN/4fCmK0PpKr0MA==" saltValue="EaqgO8RLt0bY3U4ph59/oA==" spinCount="100000" sheet="1" objects="1" scenarios="1"/>
  <mergeCells count="3">
    <mergeCell ref="E1:F1"/>
    <mergeCell ref="E70:F70"/>
    <mergeCell ref="E140:F140"/>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4FA902-CF69-48E4-B380-4BDB25AB6383}">
  <dimension ref="A1:DK297"/>
  <sheetViews>
    <sheetView topLeftCell="A304" zoomScaleNormal="100" workbookViewId="0">
      <selection activeCell="AJ134" sqref="AJ134"/>
    </sheetView>
  </sheetViews>
  <sheetFormatPr defaultRowHeight="15.75" x14ac:dyDescent="0.3"/>
  <cols>
    <col min="1" max="1" width="14.5546875" style="62" customWidth="1"/>
    <col min="2" max="3" width="8.88671875" style="62"/>
    <col min="4" max="4" width="10.109375" style="62" bestFit="1" customWidth="1"/>
    <col min="5" max="16384" width="8.88671875" style="62"/>
  </cols>
  <sheetData>
    <row r="1" spans="1:115" s="538" customFormat="1" x14ac:dyDescent="0.3">
      <c r="A1" s="538" t="s">
        <v>233</v>
      </c>
      <c r="B1" s="538" t="s">
        <v>233</v>
      </c>
      <c r="C1" s="538" t="s">
        <v>233</v>
      </c>
      <c r="D1" s="538" t="s">
        <v>233</v>
      </c>
      <c r="E1" s="538" t="s">
        <v>233</v>
      </c>
      <c r="F1" s="538" t="s">
        <v>233</v>
      </c>
      <c r="G1" s="538" t="s">
        <v>233</v>
      </c>
      <c r="H1" s="538" t="s">
        <v>233</v>
      </c>
      <c r="I1" s="538" t="s">
        <v>233</v>
      </c>
      <c r="J1" s="538" t="s">
        <v>233</v>
      </c>
      <c r="K1" s="538" t="s">
        <v>233</v>
      </c>
      <c r="L1" s="538" t="s">
        <v>233</v>
      </c>
      <c r="M1" s="538" t="s">
        <v>233</v>
      </c>
      <c r="N1" s="538" t="s">
        <v>233</v>
      </c>
      <c r="O1" s="538" t="s">
        <v>233</v>
      </c>
      <c r="P1" s="538" t="s">
        <v>233</v>
      </c>
      <c r="Q1" s="538" t="s">
        <v>233</v>
      </c>
      <c r="R1" s="538" t="s">
        <v>233</v>
      </c>
      <c r="S1" s="538" t="s">
        <v>233</v>
      </c>
      <c r="T1" s="538" t="s">
        <v>233</v>
      </c>
      <c r="U1" s="538" t="s">
        <v>233</v>
      </c>
      <c r="V1" s="538" t="s">
        <v>233</v>
      </c>
      <c r="W1" s="538" t="s">
        <v>233</v>
      </c>
      <c r="X1" s="538" t="s">
        <v>233</v>
      </c>
      <c r="Y1" s="538" t="s">
        <v>233</v>
      </c>
      <c r="Z1" s="538" t="s">
        <v>233</v>
      </c>
      <c r="AA1" s="538" t="s">
        <v>233</v>
      </c>
      <c r="AB1" s="538" t="s">
        <v>233</v>
      </c>
      <c r="AC1" s="538" t="s">
        <v>233</v>
      </c>
      <c r="AD1" s="538" t="s">
        <v>233</v>
      </c>
      <c r="AE1" s="538" t="s">
        <v>233</v>
      </c>
      <c r="AF1" s="538" t="s">
        <v>233</v>
      </c>
      <c r="AG1" s="538" t="s">
        <v>233</v>
      </c>
      <c r="AH1" s="538" t="s">
        <v>233</v>
      </c>
      <c r="AI1" s="538" t="s">
        <v>233</v>
      </c>
      <c r="AJ1" s="538" t="s">
        <v>233</v>
      </c>
      <c r="AK1" s="538" t="s">
        <v>233</v>
      </c>
      <c r="AL1" s="538" t="s">
        <v>233</v>
      </c>
      <c r="AM1" s="538" t="s">
        <v>233</v>
      </c>
      <c r="AN1" s="538" t="s">
        <v>233</v>
      </c>
      <c r="AO1" s="538" t="s">
        <v>233</v>
      </c>
      <c r="AP1" s="538" t="s">
        <v>233</v>
      </c>
      <c r="AQ1" s="538" t="s">
        <v>233</v>
      </c>
      <c r="AR1" s="538" t="s">
        <v>233</v>
      </c>
      <c r="AS1" s="538" t="s">
        <v>233</v>
      </c>
      <c r="AT1" s="538" t="s">
        <v>233</v>
      </c>
      <c r="AU1" s="538" t="s">
        <v>233</v>
      </c>
      <c r="AV1" s="538" t="s">
        <v>233</v>
      </c>
      <c r="AW1" s="538" t="s">
        <v>233</v>
      </c>
      <c r="AX1" s="538" t="s">
        <v>233</v>
      </c>
      <c r="AY1" s="538" t="s">
        <v>233</v>
      </c>
      <c r="AZ1" s="538" t="s">
        <v>233</v>
      </c>
      <c r="BA1" s="538" t="s">
        <v>233</v>
      </c>
      <c r="BB1" s="538" t="s">
        <v>233</v>
      </c>
      <c r="BC1" s="538" t="s">
        <v>233</v>
      </c>
      <c r="BD1" s="538" t="s">
        <v>233</v>
      </c>
      <c r="BE1" s="538" t="s">
        <v>233</v>
      </c>
      <c r="BF1" s="538" t="s">
        <v>233</v>
      </c>
      <c r="BG1" s="538" t="s">
        <v>233</v>
      </c>
      <c r="BH1" s="538" t="s">
        <v>233</v>
      </c>
      <c r="BI1" s="538" t="s">
        <v>233</v>
      </c>
      <c r="BJ1" s="538" t="s">
        <v>233</v>
      </c>
      <c r="BK1" s="538" t="s">
        <v>233</v>
      </c>
      <c r="BL1" s="538" t="s">
        <v>233</v>
      </c>
      <c r="BM1" s="538" t="s">
        <v>233</v>
      </c>
      <c r="BN1" s="538" t="s">
        <v>233</v>
      </c>
      <c r="BO1" s="538" t="s">
        <v>233</v>
      </c>
      <c r="BP1" s="538" t="s">
        <v>233</v>
      </c>
      <c r="BQ1" s="538" t="s">
        <v>233</v>
      </c>
      <c r="BR1" s="538" t="s">
        <v>233</v>
      </c>
      <c r="BS1" s="538" t="s">
        <v>233</v>
      </c>
      <c r="BT1" s="538" t="s">
        <v>233</v>
      </c>
      <c r="BU1" s="538" t="s">
        <v>233</v>
      </c>
      <c r="BV1" s="538" t="s">
        <v>233</v>
      </c>
      <c r="BW1" s="538" t="s">
        <v>233</v>
      </c>
      <c r="BX1" s="538" t="s">
        <v>233</v>
      </c>
      <c r="BY1" s="538" t="s">
        <v>233</v>
      </c>
      <c r="BZ1" s="538" t="s">
        <v>233</v>
      </c>
      <c r="CA1" s="538" t="s">
        <v>233</v>
      </c>
      <c r="CB1" s="538" t="s">
        <v>233</v>
      </c>
      <c r="CC1" s="538" t="s">
        <v>233</v>
      </c>
      <c r="CD1" s="538" t="s">
        <v>233</v>
      </c>
      <c r="CE1" s="538" t="s">
        <v>233</v>
      </c>
      <c r="CF1" s="538" t="s">
        <v>233</v>
      </c>
      <c r="CG1" s="538" t="s">
        <v>233</v>
      </c>
      <c r="CH1" s="538" t="s">
        <v>233</v>
      </c>
      <c r="CI1" s="538" t="s">
        <v>233</v>
      </c>
      <c r="CJ1" s="538" t="s">
        <v>233</v>
      </c>
      <c r="CK1" s="538" t="s">
        <v>233</v>
      </c>
      <c r="CL1" s="538" t="s">
        <v>233</v>
      </c>
      <c r="CM1" s="538" t="s">
        <v>233</v>
      </c>
      <c r="CN1" s="538" t="s">
        <v>233</v>
      </c>
      <c r="CO1" s="538" t="s">
        <v>233</v>
      </c>
      <c r="CP1" s="538" t="s">
        <v>233</v>
      </c>
      <c r="CQ1" s="538" t="s">
        <v>233</v>
      </c>
      <c r="CR1" s="538" t="s">
        <v>233</v>
      </c>
      <c r="CS1" s="538" t="s">
        <v>233</v>
      </c>
      <c r="CT1" s="538" t="s">
        <v>233</v>
      </c>
      <c r="CU1" s="538" t="s">
        <v>233</v>
      </c>
      <c r="CV1" s="538" t="s">
        <v>233</v>
      </c>
      <c r="CW1" s="538" t="s">
        <v>233</v>
      </c>
      <c r="CX1" s="538" t="s">
        <v>233</v>
      </c>
      <c r="CY1" s="538" t="s">
        <v>233</v>
      </c>
      <c r="CZ1" s="538" t="s">
        <v>233</v>
      </c>
      <c r="DA1" s="538" t="s">
        <v>233</v>
      </c>
      <c r="DB1" s="538" t="s">
        <v>233</v>
      </c>
      <c r="DC1" s="538" t="s">
        <v>233</v>
      </c>
      <c r="DD1" s="538" t="s">
        <v>233</v>
      </c>
      <c r="DE1" s="538" t="s">
        <v>233</v>
      </c>
      <c r="DF1" s="538" t="s">
        <v>233</v>
      </c>
      <c r="DG1" s="538" t="s">
        <v>233</v>
      </c>
      <c r="DH1" s="538" t="s">
        <v>233</v>
      </c>
      <c r="DI1" s="538" t="s">
        <v>233</v>
      </c>
      <c r="DJ1" s="538" t="s">
        <v>233</v>
      </c>
      <c r="DK1" s="538" t="s">
        <v>233</v>
      </c>
    </row>
    <row r="29" spans="1:109" s="539" customFormat="1" x14ac:dyDescent="0.3">
      <c r="A29" s="539" t="s">
        <v>234</v>
      </c>
      <c r="B29" s="539" t="s">
        <v>234</v>
      </c>
      <c r="C29" s="539" t="s">
        <v>234</v>
      </c>
      <c r="D29" s="539" t="s">
        <v>234</v>
      </c>
      <c r="E29" s="539" t="s">
        <v>234</v>
      </c>
      <c r="F29" s="539" t="s">
        <v>234</v>
      </c>
      <c r="G29" s="539" t="s">
        <v>234</v>
      </c>
      <c r="H29" s="539" t="s">
        <v>234</v>
      </c>
      <c r="I29" s="539" t="s">
        <v>234</v>
      </c>
      <c r="J29" s="539" t="s">
        <v>234</v>
      </c>
      <c r="K29" s="539" t="s">
        <v>234</v>
      </c>
      <c r="L29" s="539" t="s">
        <v>234</v>
      </c>
      <c r="M29" s="539" t="s">
        <v>234</v>
      </c>
      <c r="N29" s="539" t="s">
        <v>234</v>
      </c>
      <c r="O29" s="539" t="s">
        <v>234</v>
      </c>
      <c r="P29" s="539" t="s">
        <v>234</v>
      </c>
      <c r="Q29" s="539" t="s">
        <v>234</v>
      </c>
      <c r="R29" s="539" t="s">
        <v>234</v>
      </c>
      <c r="S29" s="539" t="s">
        <v>234</v>
      </c>
      <c r="T29" s="539" t="s">
        <v>234</v>
      </c>
      <c r="U29" s="539" t="s">
        <v>234</v>
      </c>
      <c r="V29" s="539" t="s">
        <v>234</v>
      </c>
      <c r="W29" s="539" t="s">
        <v>234</v>
      </c>
      <c r="X29" s="539" t="s">
        <v>234</v>
      </c>
      <c r="Y29" s="539" t="s">
        <v>234</v>
      </c>
      <c r="Z29" s="539" t="s">
        <v>234</v>
      </c>
      <c r="AA29" s="539" t="s">
        <v>234</v>
      </c>
      <c r="AB29" s="539" t="s">
        <v>234</v>
      </c>
      <c r="AC29" s="539" t="s">
        <v>234</v>
      </c>
      <c r="AD29" s="539" t="s">
        <v>234</v>
      </c>
      <c r="AE29" s="539" t="s">
        <v>234</v>
      </c>
      <c r="AF29" s="539" t="s">
        <v>234</v>
      </c>
      <c r="AG29" s="539" t="s">
        <v>234</v>
      </c>
      <c r="AH29" s="539" t="s">
        <v>234</v>
      </c>
      <c r="AI29" s="539" t="s">
        <v>234</v>
      </c>
      <c r="AJ29" s="539" t="s">
        <v>234</v>
      </c>
      <c r="AK29" s="539" t="s">
        <v>234</v>
      </c>
      <c r="AL29" s="539" t="s">
        <v>234</v>
      </c>
      <c r="AM29" s="539" t="s">
        <v>234</v>
      </c>
      <c r="AN29" s="539" t="s">
        <v>234</v>
      </c>
      <c r="AO29" s="539" t="s">
        <v>234</v>
      </c>
      <c r="AP29" s="539" t="s">
        <v>234</v>
      </c>
      <c r="AQ29" s="539" t="s">
        <v>234</v>
      </c>
      <c r="AR29" s="539" t="s">
        <v>234</v>
      </c>
      <c r="AS29" s="539" t="s">
        <v>234</v>
      </c>
      <c r="AT29" s="539" t="s">
        <v>234</v>
      </c>
      <c r="AU29" s="539" t="s">
        <v>234</v>
      </c>
      <c r="AV29" s="539" t="s">
        <v>234</v>
      </c>
      <c r="AW29" s="539" t="s">
        <v>234</v>
      </c>
      <c r="AX29" s="539" t="s">
        <v>234</v>
      </c>
      <c r="AY29" s="539" t="s">
        <v>234</v>
      </c>
      <c r="AZ29" s="539" t="s">
        <v>234</v>
      </c>
      <c r="BA29" s="539" t="s">
        <v>234</v>
      </c>
      <c r="BB29" s="539" t="s">
        <v>234</v>
      </c>
      <c r="BC29" s="539" t="s">
        <v>234</v>
      </c>
      <c r="BD29" s="539" t="s">
        <v>234</v>
      </c>
      <c r="BE29" s="539" t="s">
        <v>234</v>
      </c>
      <c r="BF29" s="539" t="s">
        <v>234</v>
      </c>
      <c r="BG29" s="539" t="s">
        <v>234</v>
      </c>
      <c r="BH29" s="539" t="s">
        <v>234</v>
      </c>
      <c r="BI29" s="539" t="s">
        <v>234</v>
      </c>
      <c r="BJ29" s="539" t="s">
        <v>234</v>
      </c>
      <c r="BK29" s="539" t="s">
        <v>234</v>
      </c>
      <c r="BL29" s="539" t="s">
        <v>234</v>
      </c>
      <c r="BM29" s="539" t="s">
        <v>234</v>
      </c>
      <c r="BN29" s="539" t="s">
        <v>234</v>
      </c>
      <c r="BO29" s="539" t="s">
        <v>234</v>
      </c>
      <c r="BP29" s="539" t="s">
        <v>234</v>
      </c>
      <c r="BQ29" s="539" t="s">
        <v>234</v>
      </c>
      <c r="BR29" s="539" t="s">
        <v>234</v>
      </c>
      <c r="BS29" s="539" t="s">
        <v>234</v>
      </c>
      <c r="BT29" s="539" t="s">
        <v>234</v>
      </c>
      <c r="BU29" s="539" t="s">
        <v>234</v>
      </c>
      <c r="BV29" s="539" t="s">
        <v>234</v>
      </c>
      <c r="BW29" s="539" t="s">
        <v>234</v>
      </c>
      <c r="BX29" s="539" t="s">
        <v>234</v>
      </c>
      <c r="BY29" s="539" t="s">
        <v>234</v>
      </c>
      <c r="BZ29" s="539" t="s">
        <v>234</v>
      </c>
      <c r="CA29" s="539" t="s">
        <v>234</v>
      </c>
      <c r="CB29" s="539" t="s">
        <v>234</v>
      </c>
      <c r="CC29" s="539" t="s">
        <v>234</v>
      </c>
      <c r="CD29" s="539" t="s">
        <v>234</v>
      </c>
      <c r="CE29" s="539" t="s">
        <v>234</v>
      </c>
      <c r="CF29" s="539" t="s">
        <v>234</v>
      </c>
      <c r="CG29" s="539" t="s">
        <v>234</v>
      </c>
      <c r="CH29" s="539" t="s">
        <v>234</v>
      </c>
      <c r="CI29" s="539" t="s">
        <v>234</v>
      </c>
      <c r="CJ29" s="539" t="s">
        <v>234</v>
      </c>
      <c r="CK29" s="539" t="s">
        <v>234</v>
      </c>
      <c r="CL29" s="539" t="s">
        <v>234</v>
      </c>
      <c r="CM29" s="539" t="s">
        <v>234</v>
      </c>
      <c r="CN29" s="539" t="s">
        <v>234</v>
      </c>
      <c r="CO29" s="539" t="s">
        <v>234</v>
      </c>
      <c r="CP29" s="539" t="s">
        <v>234</v>
      </c>
      <c r="CQ29" s="539" t="s">
        <v>234</v>
      </c>
      <c r="CR29" s="539" t="s">
        <v>234</v>
      </c>
      <c r="CS29" s="539" t="s">
        <v>234</v>
      </c>
      <c r="CT29" s="539" t="s">
        <v>234</v>
      </c>
      <c r="CU29" s="539" t="s">
        <v>234</v>
      </c>
      <c r="CV29" s="539" t="s">
        <v>234</v>
      </c>
      <c r="CW29" s="539" t="s">
        <v>234</v>
      </c>
      <c r="CX29" s="539" t="s">
        <v>234</v>
      </c>
      <c r="CY29" s="539" t="s">
        <v>234</v>
      </c>
      <c r="CZ29" s="539" t="s">
        <v>234</v>
      </c>
      <c r="DA29" s="539" t="s">
        <v>234</v>
      </c>
      <c r="DB29" s="539" t="s">
        <v>234</v>
      </c>
      <c r="DC29" s="539" t="s">
        <v>234</v>
      </c>
      <c r="DD29" s="539" t="s">
        <v>234</v>
      </c>
      <c r="DE29" s="539" t="s">
        <v>234</v>
      </c>
    </row>
    <row r="35" spans="1:1" x14ac:dyDescent="0.3">
      <c r="A35" s="856"/>
    </row>
    <row r="36" spans="1:1" x14ac:dyDescent="0.3">
      <c r="A36" s="856"/>
    </row>
    <row r="37" spans="1:1" x14ac:dyDescent="0.3">
      <c r="A37" s="856"/>
    </row>
    <row r="38" spans="1:1" x14ac:dyDescent="0.3">
      <c r="A38" s="856"/>
    </row>
    <row r="39" spans="1:1" x14ac:dyDescent="0.3">
      <c r="A39" s="857"/>
    </row>
    <row r="59" spans="1:107" s="539" customFormat="1" x14ac:dyDescent="0.3">
      <c r="A59" s="539" t="s">
        <v>235</v>
      </c>
      <c r="B59" s="539" t="s">
        <v>235</v>
      </c>
      <c r="C59" s="539" t="s">
        <v>235</v>
      </c>
      <c r="D59" s="539" t="s">
        <v>235</v>
      </c>
      <c r="E59" s="539" t="s">
        <v>235</v>
      </c>
      <c r="F59" s="539" t="s">
        <v>235</v>
      </c>
      <c r="G59" s="539" t="s">
        <v>235</v>
      </c>
      <c r="H59" s="539" t="s">
        <v>235</v>
      </c>
      <c r="I59" s="539" t="s">
        <v>235</v>
      </c>
      <c r="J59" s="539" t="s">
        <v>235</v>
      </c>
      <c r="K59" s="539" t="s">
        <v>235</v>
      </c>
      <c r="L59" s="539" t="s">
        <v>235</v>
      </c>
      <c r="M59" s="539" t="s">
        <v>235</v>
      </c>
      <c r="N59" s="539" t="s">
        <v>235</v>
      </c>
      <c r="O59" s="539" t="s">
        <v>235</v>
      </c>
      <c r="P59" s="539" t="s">
        <v>235</v>
      </c>
      <c r="Q59" s="539" t="s">
        <v>235</v>
      </c>
      <c r="R59" s="539" t="s">
        <v>235</v>
      </c>
      <c r="S59" s="539" t="s">
        <v>235</v>
      </c>
      <c r="T59" s="539" t="s">
        <v>235</v>
      </c>
      <c r="U59" s="539" t="s">
        <v>235</v>
      </c>
      <c r="V59" s="539" t="s">
        <v>235</v>
      </c>
      <c r="W59" s="539" t="s">
        <v>235</v>
      </c>
      <c r="X59" s="539" t="s">
        <v>235</v>
      </c>
      <c r="Y59" s="539" t="s">
        <v>235</v>
      </c>
      <c r="Z59" s="539" t="s">
        <v>235</v>
      </c>
      <c r="AA59" s="539" t="s">
        <v>235</v>
      </c>
      <c r="AB59" s="539" t="s">
        <v>235</v>
      </c>
      <c r="AC59" s="539" t="s">
        <v>235</v>
      </c>
      <c r="AD59" s="539" t="s">
        <v>235</v>
      </c>
      <c r="AE59" s="539" t="s">
        <v>235</v>
      </c>
      <c r="AF59" s="539" t="s">
        <v>235</v>
      </c>
      <c r="AG59" s="539" t="s">
        <v>235</v>
      </c>
      <c r="AH59" s="539" t="s">
        <v>235</v>
      </c>
      <c r="AI59" s="539" t="s">
        <v>235</v>
      </c>
      <c r="AJ59" s="539" t="s">
        <v>235</v>
      </c>
      <c r="AK59" s="539" t="s">
        <v>235</v>
      </c>
      <c r="AL59" s="539" t="s">
        <v>235</v>
      </c>
      <c r="AM59" s="539" t="s">
        <v>235</v>
      </c>
      <c r="AN59" s="539" t="s">
        <v>235</v>
      </c>
      <c r="AO59" s="539" t="s">
        <v>235</v>
      </c>
      <c r="AP59" s="539" t="s">
        <v>235</v>
      </c>
      <c r="AQ59" s="539" t="s">
        <v>235</v>
      </c>
      <c r="AR59" s="539" t="s">
        <v>235</v>
      </c>
      <c r="AS59" s="539" t="s">
        <v>235</v>
      </c>
      <c r="AT59" s="539" t="s">
        <v>235</v>
      </c>
      <c r="AU59" s="539" t="s">
        <v>235</v>
      </c>
      <c r="AV59" s="539" t="s">
        <v>235</v>
      </c>
      <c r="AW59" s="539" t="s">
        <v>235</v>
      </c>
      <c r="AX59" s="539" t="s">
        <v>235</v>
      </c>
      <c r="AY59" s="539" t="s">
        <v>235</v>
      </c>
      <c r="AZ59" s="539" t="s">
        <v>235</v>
      </c>
      <c r="BA59" s="539" t="s">
        <v>235</v>
      </c>
      <c r="BB59" s="539" t="s">
        <v>235</v>
      </c>
      <c r="BC59" s="539" t="s">
        <v>235</v>
      </c>
      <c r="BD59" s="539" t="s">
        <v>235</v>
      </c>
      <c r="BE59" s="539" t="s">
        <v>235</v>
      </c>
      <c r="BF59" s="539" t="s">
        <v>235</v>
      </c>
      <c r="BG59" s="539" t="s">
        <v>235</v>
      </c>
      <c r="BH59" s="539" t="s">
        <v>235</v>
      </c>
      <c r="BI59" s="539" t="s">
        <v>235</v>
      </c>
      <c r="BJ59" s="539" t="s">
        <v>235</v>
      </c>
      <c r="BK59" s="539" t="s">
        <v>235</v>
      </c>
      <c r="BL59" s="539" t="s">
        <v>235</v>
      </c>
      <c r="BM59" s="539" t="s">
        <v>235</v>
      </c>
      <c r="BN59" s="539" t="s">
        <v>235</v>
      </c>
      <c r="BO59" s="539" t="s">
        <v>235</v>
      </c>
      <c r="BP59" s="539" t="s">
        <v>235</v>
      </c>
      <c r="BQ59" s="539" t="s">
        <v>235</v>
      </c>
      <c r="BR59" s="539" t="s">
        <v>235</v>
      </c>
      <c r="BS59" s="539" t="s">
        <v>235</v>
      </c>
      <c r="BT59" s="539" t="s">
        <v>235</v>
      </c>
      <c r="BU59" s="539" t="s">
        <v>235</v>
      </c>
      <c r="BV59" s="539" t="s">
        <v>235</v>
      </c>
      <c r="BW59" s="539" t="s">
        <v>235</v>
      </c>
      <c r="BX59" s="539" t="s">
        <v>235</v>
      </c>
      <c r="BY59" s="539" t="s">
        <v>235</v>
      </c>
      <c r="BZ59" s="539" t="s">
        <v>235</v>
      </c>
      <c r="CA59" s="539" t="s">
        <v>235</v>
      </c>
      <c r="CB59" s="539" t="s">
        <v>235</v>
      </c>
      <c r="CC59" s="539" t="s">
        <v>235</v>
      </c>
      <c r="CD59" s="539" t="s">
        <v>235</v>
      </c>
      <c r="CE59" s="539" t="s">
        <v>235</v>
      </c>
      <c r="CF59" s="539" t="s">
        <v>235</v>
      </c>
      <c r="CG59" s="539" t="s">
        <v>235</v>
      </c>
      <c r="CH59" s="539" t="s">
        <v>235</v>
      </c>
      <c r="CI59" s="539" t="s">
        <v>235</v>
      </c>
      <c r="CJ59" s="539" t="s">
        <v>235</v>
      </c>
      <c r="CK59" s="539" t="s">
        <v>235</v>
      </c>
      <c r="CL59" s="539" t="s">
        <v>235</v>
      </c>
      <c r="CM59" s="539" t="s">
        <v>235</v>
      </c>
      <c r="CN59" s="539" t="s">
        <v>235</v>
      </c>
      <c r="CO59" s="539" t="s">
        <v>235</v>
      </c>
      <c r="CP59" s="539" t="s">
        <v>235</v>
      </c>
      <c r="CQ59" s="539" t="s">
        <v>235</v>
      </c>
      <c r="CR59" s="539" t="s">
        <v>235</v>
      </c>
      <c r="CS59" s="539" t="s">
        <v>235</v>
      </c>
      <c r="CT59" s="539" t="s">
        <v>235</v>
      </c>
      <c r="CU59" s="539" t="s">
        <v>235</v>
      </c>
      <c r="CV59" s="539" t="s">
        <v>235</v>
      </c>
      <c r="CW59" s="539" t="s">
        <v>235</v>
      </c>
      <c r="CX59" s="539" t="s">
        <v>235</v>
      </c>
      <c r="CY59" s="539" t="s">
        <v>235</v>
      </c>
      <c r="CZ59" s="539" t="s">
        <v>235</v>
      </c>
      <c r="DA59" s="539" t="s">
        <v>235</v>
      </c>
      <c r="DB59" s="539" t="s">
        <v>235</v>
      </c>
      <c r="DC59" s="539" t="s">
        <v>235</v>
      </c>
    </row>
    <row r="89" spans="1:107" s="539" customFormat="1" x14ac:dyDescent="0.3">
      <c r="A89" s="539" t="s">
        <v>240</v>
      </c>
      <c r="B89" s="539" t="s">
        <v>240</v>
      </c>
      <c r="C89" s="539" t="s">
        <v>240</v>
      </c>
      <c r="D89" s="539" t="s">
        <v>240</v>
      </c>
      <c r="E89" s="539" t="s">
        <v>240</v>
      </c>
      <c r="F89" s="539" t="s">
        <v>240</v>
      </c>
      <c r="G89" s="539" t="s">
        <v>240</v>
      </c>
      <c r="H89" s="539" t="s">
        <v>240</v>
      </c>
      <c r="I89" s="539" t="s">
        <v>240</v>
      </c>
      <c r="J89" s="539" t="s">
        <v>240</v>
      </c>
      <c r="K89" s="539" t="s">
        <v>240</v>
      </c>
      <c r="L89" s="539" t="s">
        <v>240</v>
      </c>
      <c r="M89" s="539" t="s">
        <v>240</v>
      </c>
      <c r="N89" s="539" t="s">
        <v>240</v>
      </c>
      <c r="O89" s="539" t="s">
        <v>240</v>
      </c>
      <c r="P89" s="539" t="s">
        <v>240</v>
      </c>
      <c r="Q89" s="539" t="s">
        <v>240</v>
      </c>
      <c r="R89" s="539" t="s">
        <v>240</v>
      </c>
      <c r="S89" s="539" t="s">
        <v>240</v>
      </c>
      <c r="T89" s="539" t="s">
        <v>240</v>
      </c>
      <c r="U89" s="539" t="s">
        <v>240</v>
      </c>
      <c r="V89" s="539" t="s">
        <v>240</v>
      </c>
      <c r="W89" s="539" t="s">
        <v>240</v>
      </c>
      <c r="X89" s="539" t="s">
        <v>240</v>
      </c>
      <c r="Y89" s="539" t="s">
        <v>240</v>
      </c>
      <c r="Z89" s="539" t="s">
        <v>240</v>
      </c>
      <c r="AA89" s="539" t="s">
        <v>240</v>
      </c>
      <c r="AB89" s="539" t="s">
        <v>240</v>
      </c>
      <c r="AC89" s="539" t="s">
        <v>240</v>
      </c>
      <c r="AD89" s="539" t="s">
        <v>240</v>
      </c>
      <c r="AE89" s="539" t="s">
        <v>240</v>
      </c>
      <c r="AF89" s="539" t="s">
        <v>240</v>
      </c>
      <c r="AG89" s="539" t="s">
        <v>240</v>
      </c>
      <c r="AH89" s="539" t="s">
        <v>240</v>
      </c>
      <c r="AI89" s="539" t="s">
        <v>240</v>
      </c>
      <c r="AJ89" s="539" t="s">
        <v>240</v>
      </c>
      <c r="AK89" s="539" t="s">
        <v>240</v>
      </c>
      <c r="AL89" s="539" t="s">
        <v>240</v>
      </c>
      <c r="AM89" s="539" t="s">
        <v>240</v>
      </c>
      <c r="AN89" s="539" t="s">
        <v>240</v>
      </c>
      <c r="AO89" s="539" t="s">
        <v>240</v>
      </c>
      <c r="AP89" s="539" t="s">
        <v>240</v>
      </c>
      <c r="AQ89" s="539" t="s">
        <v>240</v>
      </c>
      <c r="AR89" s="539" t="s">
        <v>240</v>
      </c>
      <c r="AS89" s="539" t="s">
        <v>240</v>
      </c>
      <c r="AT89" s="539" t="s">
        <v>240</v>
      </c>
      <c r="AU89" s="539" t="s">
        <v>240</v>
      </c>
      <c r="AV89" s="539" t="s">
        <v>240</v>
      </c>
      <c r="AW89" s="539" t="s">
        <v>240</v>
      </c>
      <c r="AX89" s="539" t="s">
        <v>240</v>
      </c>
      <c r="AY89" s="539" t="s">
        <v>240</v>
      </c>
      <c r="AZ89" s="539" t="s">
        <v>240</v>
      </c>
      <c r="BA89" s="539" t="s">
        <v>240</v>
      </c>
      <c r="BB89" s="539" t="s">
        <v>240</v>
      </c>
      <c r="BC89" s="539" t="s">
        <v>240</v>
      </c>
      <c r="BD89" s="539" t="s">
        <v>240</v>
      </c>
      <c r="BE89" s="539" t="s">
        <v>240</v>
      </c>
      <c r="BF89" s="539" t="s">
        <v>240</v>
      </c>
      <c r="BG89" s="539" t="s">
        <v>240</v>
      </c>
      <c r="BH89" s="539" t="s">
        <v>240</v>
      </c>
      <c r="BI89" s="539" t="s">
        <v>240</v>
      </c>
      <c r="BJ89" s="539" t="s">
        <v>240</v>
      </c>
      <c r="BK89" s="539" t="s">
        <v>240</v>
      </c>
      <c r="BL89" s="539" t="s">
        <v>240</v>
      </c>
      <c r="BM89" s="539" t="s">
        <v>240</v>
      </c>
      <c r="BN89" s="539" t="s">
        <v>240</v>
      </c>
      <c r="BO89" s="539" t="s">
        <v>240</v>
      </c>
      <c r="BP89" s="539" t="s">
        <v>240</v>
      </c>
      <c r="BQ89" s="539" t="s">
        <v>240</v>
      </c>
      <c r="BR89" s="539" t="s">
        <v>240</v>
      </c>
      <c r="BS89" s="539" t="s">
        <v>240</v>
      </c>
      <c r="BT89" s="539" t="s">
        <v>240</v>
      </c>
      <c r="BU89" s="539" t="s">
        <v>240</v>
      </c>
      <c r="BV89" s="539" t="s">
        <v>240</v>
      </c>
      <c r="BW89" s="539" t="s">
        <v>240</v>
      </c>
      <c r="BX89" s="539" t="s">
        <v>240</v>
      </c>
      <c r="BY89" s="539" t="s">
        <v>240</v>
      </c>
      <c r="BZ89" s="539" t="s">
        <v>240</v>
      </c>
      <c r="CA89" s="539" t="s">
        <v>240</v>
      </c>
      <c r="CB89" s="539" t="s">
        <v>240</v>
      </c>
      <c r="CC89" s="539" t="s">
        <v>240</v>
      </c>
      <c r="CD89" s="539" t="s">
        <v>240</v>
      </c>
      <c r="CE89" s="539" t="s">
        <v>240</v>
      </c>
      <c r="CF89" s="539" t="s">
        <v>240</v>
      </c>
      <c r="CG89" s="539" t="s">
        <v>240</v>
      </c>
      <c r="CH89" s="539" t="s">
        <v>240</v>
      </c>
      <c r="CI89" s="539" t="s">
        <v>240</v>
      </c>
      <c r="CJ89" s="539" t="s">
        <v>240</v>
      </c>
      <c r="CK89" s="539" t="s">
        <v>240</v>
      </c>
      <c r="CL89" s="539" t="s">
        <v>240</v>
      </c>
      <c r="CM89" s="539" t="s">
        <v>240</v>
      </c>
      <c r="CN89" s="539" t="s">
        <v>240</v>
      </c>
      <c r="CO89" s="539" t="s">
        <v>240</v>
      </c>
      <c r="CP89" s="539" t="s">
        <v>240</v>
      </c>
      <c r="CQ89" s="539" t="s">
        <v>240</v>
      </c>
      <c r="CR89" s="539" t="s">
        <v>240</v>
      </c>
      <c r="CS89" s="539" t="s">
        <v>240</v>
      </c>
      <c r="CT89" s="539" t="s">
        <v>240</v>
      </c>
      <c r="CU89" s="539" t="s">
        <v>240</v>
      </c>
      <c r="CV89" s="539" t="s">
        <v>240</v>
      </c>
      <c r="CW89" s="539" t="s">
        <v>240</v>
      </c>
      <c r="CX89" s="539" t="s">
        <v>240</v>
      </c>
      <c r="CY89" s="539" t="s">
        <v>240</v>
      </c>
      <c r="CZ89" s="539" t="s">
        <v>240</v>
      </c>
      <c r="DA89" s="539" t="s">
        <v>240</v>
      </c>
      <c r="DB89" s="539" t="s">
        <v>240</v>
      </c>
      <c r="DC89" s="539" t="s">
        <v>240</v>
      </c>
    </row>
    <row r="119" spans="1:107" s="539" customFormat="1" x14ac:dyDescent="0.3">
      <c r="A119" s="539" t="s">
        <v>239</v>
      </c>
      <c r="B119" s="539" t="s">
        <v>239</v>
      </c>
      <c r="C119" s="539" t="s">
        <v>239</v>
      </c>
      <c r="D119" s="539" t="s">
        <v>239</v>
      </c>
      <c r="E119" s="539" t="s">
        <v>239</v>
      </c>
      <c r="F119" s="539" t="s">
        <v>239</v>
      </c>
      <c r="G119" s="539" t="s">
        <v>239</v>
      </c>
      <c r="H119" s="539" t="s">
        <v>239</v>
      </c>
      <c r="I119" s="539" t="s">
        <v>239</v>
      </c>
      <c r="J119" s="539" t="s">
        <v>239</v>
      </c>
      <c r="K119" s="539" t="s">
        <v>239</v>
      </c>
      <c r="L119" s="539" t="s">
        <v>239</v>
      </c>
      <c r="M119" s="539" t="s">
        <v>239</v>
      </c>
      <c r="N119" s="539" t="s">
        <v>239</v>
      </c>
      <c r="O119" s="539" t="s">
        <v>239</v>
      </c>
      <c r="P119" s="539" t="s">
        <v>239</v>
      </c>
      <c r="Q119" s="539" t="s">
        <v>239</v>
      </c>
      <c r="R119" s="539" t="s">
        <v>239</v>
      </c>
      <c r="S119" s="539" t="s">
        <v>239</v>
      </c>
      <c r="T119" s="539" t="s">
        <v>239</v>
      </c>
      <c r="U119" s="539" t="s">
        <v>239</v>
      </c>
      <c r="V119" s="539" t="s">
        <v>239</v>
      </c>
      <c r="W119" s="539" t="s">
        <v>239</v>
      </c>
      <c r="X119" s="539" t="s">
        <v>239</v>
      </c>
      <c r="Y119" s="539" t="s">
        <v>239</v>
      </c>
      <c r="Z119" s="539" t="s">
        <v>239</v>
      </c>
      <c r="AA119" s="539" t="s">
        <v>239</v>
      </c>
      <c r="AB119" s="539" t="s">
        <v>239</v>
      </c>
      <c r="AC119" s="539" t="s">
        <v>239</v>
      </c>
      <c r="AD119" s="539" t="s">
        <v>239</v>
      </c>
      <c r="AE119" s="539" t="s">
        <v>239</v>
      </c>
      <c r="AF119" s="539" t="s">
        <v>239</v>
      </c>
      <c r="AG119" s="539" t="s">
        <v>239</v>
      </c>
      <c r="AH119" s="539" t="s">
        <v>239</v>
      </c>
      <c r="AI119" s="539" t="s">
        <v>239</v>
      </c>
      <c r="AJ119" s="539" t="s">
        <v>239</v>
      </c>
      <c r="AK119" s="539" t="s">
        <v>239</v>
      </c>
      <c r="AL119" s="539" t="s">
        <v>239</v>
      </c>
      <c r="AM119" s="539" t="s">
        <v>239</v>
      </c>
      <c r="AN119" s="539" t="s">
        <v>239</v>
      </c>
      <c r="AO119" s="539" t="s">
        <v>239</v>
      </c>
      <c r="AP119" s="539" t="s">
        <v>239</v>
      </c>
      <c r="AQ119" s="539" t="s">
        <v>239</v>
      </c>
      <c r="AR119" s="539" t="s">
        <v>239</v>
      </c>
      <c r="AS119" s="539" t="s">
        <v>239</v>
      </c>
      <c r="AT119" s="539" t="s">
        <v>239</v>
      </c>
      <c r="AU119" s="539" t="s">
        <v>239</v>
      </c>
      <c r="AV119" s="539" t="s">
        <v>239</v>
      </c>
      <c r="AW119" s="539" t="s">
        <v>239</v>
      </c>
      <c r="AX119" s="539" t="s">
        <v>239</v>
      </c>
      <c r="AY119" s="539" t="s">
        <v>239</v>
      </c>
      <c r="AZ119" s="539" t="s">
        <v>239</v>
      </c>
      <c r="BA119" s="539" t="s">
        <v>239</v>
      </c>
      <c r="BB119" s="539" t="s">
        <v>239</v>
      </c>
      <c r="BC119" s="539" t="s">
        <v>239</v>
      </c>
      <c r="BD119" s="539" t="s">
        <v>239</v>
      </c>
      <c r="BE119" s="539" t="s">
        <v>239</v>
      </c>
      <c r="BF119" s="539" t="s">
        <v>239</v>
      </c>
      <c r="BG119" s="539" t="s">
        <v>239</v>
      </c>
      <c r="BH119" s="539" t="s">
        <v>239</v>
      </c>
      <c r="BI119" s="539" t="s">
        <v>239</v>
      </c>
      <c r="BJ119" s="539" t="s">
        <v>239</v>
      </c>
      <c r="BK119" s="539" t="s">
        <v>239</v>
      </c>
      <c r="BL119" s="539" t="s">
        <v>239</v>
      </c>
      <c r="BM119" s="539" t="s">
        <v>239</v>
      </c>
      <c r="BN119" s="539" t="s">
        <v>239</v>
      </c>
      <c r="BO119" s="539" t="s">
        <v>239</v>
      </c>
      <c r="BP119" s="539" t="s">
        <v>239</v>
      </c>
      <c r="BQ119" s="539" t="s">
        <v>239</v>
      </c>
      <c r="BR119" s="539" t="s">
        <v>239</v>
      </c>
      <c r="BS119" s="539" t="s">
        <v>239</v>
      </c>
      <c r="BT119" s="539" t="s">
        <v>239</v>
      </c>
      <c r="BU119" s="539" t="s">
        <v>239</v>
      </c>
      <c r="BV119" s="539" t="s">
        <v>239</v>
      </c>
      <c r="BW119" s="539" t="s">
        <v>239</v>
      </c>
      <c r="BX119" s="539" t="s">
        <v>239</v>
      </c>
      <c r="BY119" s="539" t="s">
        <v>239</v>
      </c>
      <c r="BZ119" s="539" t="s">
        <v>239</v>
      </c>
      <c r="CA119" s="539" t="s">
        <v>239</v>
      </c>
      <c r="CB119" s="539" t="s">
        <v>239</v>
      </c>
      <c r="CC119" s="539" t="s">
        <v>239</v>
      </c>
      <c r="CD119" s="539" t="s">
        <v>239</v>
      </c>
      <c r="CE119" s="539" t="s">
        <v>239</v>
      </c>
      <c r="CF119" s="539" t="s">
        <v>239</v>
      </c>
      <c r="CG119" s="539" t="s">
        <v>239</v>
      </c>
      <c r="CH119" s="539" t="s">
        <v>239</v>
      </c>
      <c r="CI119" s="539" t="s">
        <v>239</v>
      </c>
      <c r="CJ119" s="539" t="s">
        <v>239</v>
      </c>
      <c r="CK119" s="539" t="s">
        <v>239</v>
      </c>
      <c r="CL119" s="539" t="s">
        <v>239</v>
      </c>
      <c r="CM119" s="539" t="s">
        <v>239</v>
      </c>
      <c r="CN119" s="539" t="s">
        <v>239</v>
      </c>
      <c r="CO119" s="539" t="s">
        <v>239</v>
      </c>
      <c r="CP119" s="539" t="s">
        <v>239</v>
      </c>
      <c r="CQ119" s="539" t="s">
        <v>239</v>
      </c>
      <c r="CR119" s="539" t="s">
        <v>239</v>
      </c>
      <c r="CS119" s="539" t="s">
        <v>239</v>
      </c>
      <c r="CT119" s="539" t="s">
        <v>239</v>
      </c>
      <c r="CU119" s="539" t="s">
        <v>239</v>
      </c>
      <c r="CV119" s="539" t="s">
        <v>239</v>
      </c>
      <c r="CW119" s="539" t="s">
        <v>239</v>
      </c>
      <c r="CX119" s="539" t="s">
        <v>239</v>
      </c>
      <c r="CY119" s="539" t="s">
        <v>239</v>
      </c>
      <c r="CZ119" s="539" t="s">
        <v>239</v>
      </c>
      <c r="DA119" s="539" t="s">
        <v>239</v>
      </c>
      <c r="DB119" s="539" t="s">
        <v>239</v>
      </c>
      <c r="DC119" s="539" t="s">
        <v>239</v>
      </c>
    </row>
    <row r="150" spans="1:105" s="537" customFormat="1" x14ac:dyDescent="0.3">
      <c r="A150" s="539" t="s">
        <v>238</v>
      </c>
      <c r="B150" s="539" t="s">
        <v>238</v>
      </c>
      <c r="C150" s="539" t="s">
        <v>238</v>
      </c>
      <c r="D150" s="539" t="s">
        <v>238</v>
      </c>
      <c r="E150" s="539" t="s">
        <v>238</v>
      </c>
      <c r="F150" s="539" t="s">
        <v>238</v>
      </c>
      <c r="G150" s="539" t="s">
        <v>238</v>
      </c>
      <c r="H150" s="539" t="s">
        <v>238</v>
      </c>
      <c r="I150" s="539" t="s">
        <v>238</v>
      </c>
      <c r="J150" s="539" t="s">
        <v>238</v>
      </c>
      <c r="K150" s="539" t="s">
        <v>238</v>
      </c>
      <c r="L150" s="539" t="s">
        <v>238</v>
      </c>
      <c r="M150" s="539" t="s">
        <v>238</v>
      </c>
      <c r="N150" s="539" t="s">
        <v>238</v>
      </c>
      <c r="O150" s="539" t="s">
        <v>238</v>
      </c>
      <c r="P150" s="539" t="s">
        <v>238</v>
      </c>
      <c r="Q150" s="539" t="s">
        <v>238</v>
      </c>
      <c r="R150" s="539" t="s">
        <v>238</v>
      </c>
      <c r="S150" s="539" t="s">
        <v>238</v>
      </c>
      <c r="T150" s="539" t="s">
        <v>238</v>
      </c>
      <c r="U150" s="539" t="s">
        <v>238</v>
      </c>
      <c r="V150" s="539" t="s">
        <v>238</v>
      </c>
      <c r="W150" s="539" t="s">
        <v>238</v>
      </c>
      <c r="X150" s="539" t="s">
        <v>238</v>
      </c>
      <c r="Y150" s="539" t="s">
        <v>238</v>
      </c>
      <c r="Z150" s="539" t="s">
        <v>238</v>
      </c>
      <c r="AA150" s="539" t="s">
        <v>238</v>
      </c>
      <c r="AB150" s="539" t="s">
        <v>238</v>
      </c>
      <c r="AC150" s="539" t="s">
        <v>238</v>
      </c>
      <c r="AD150" s="539" t="s">
        <v>238</v>
      </c>
      <c r="AE150" s="539" t="s">
        <v>238</v>
      </c>
      <c r="AF150" s="539" t="s">
        <v>238</v>
      </c>
      <c r="AG150" s="539" t="s">
        <v>238</v>
      </c>
      <c r="AH150" s="539" t="s">
        <v>238</v>
      </c>
      <c r="AI150" s="539" t="s">
        <v>238</v>
      </c>
      <c r="AJ150" s="539" t="s">
        <v>238</v>
      </c>
      <c r="AK150" s="539" t="s">
        <v>238</v>
      </c>
      <c r="AL150" s="539" t="s">
        <v>238</v>
      </c>
      <c r="AM150" s="539" t="s">
        <v>238</v>
      </c>
      <c r="AN150" s="539" t="s">
        <v>238</v>
      </c>
      <c r="AO150" s="539" t="s">
        <v>238</v>
      </c>
      <c r="AP150" s="539" t="s">
        <v>238</v>
      </c>
      <c r="AQ150" s="539" t="s">
        <v>238</v>
      </c>
      <c r="AR150" s="539" t="s">
        <v>238</v>
      </c>
      <c r="AS150" s="539" t="s">
        <v>238</v>
      </c>
      <c r="AT150" s="539" t="s">
        <v>238</v>
      </c>
      <c r="AU150" s="539" t="s">
        <v>238</v>
      </c>
      <c r="AV150" s="539" t="s">
        <v>238</v>
      </c>
      <c r="AW150" s="539" t="s">
        <v>238</v>
      </c>
      <c r="AX150" s="539" t="s">
        <v>238</v>
      </c>
      <c r="AY150" s="539" t="s">
        <v>238</v>
      </c>
      <c r="AZ150" s="539" t="s">
        <v>238</v>
      </c>
      <c r="BA150" s="539" t="s">
        <v>238</v>
      </c>
      <c r="BB150" s="539" t="s">
        <v>238</v>
      </c>
      <c r="BC150" s="539" t="s">
        <v>238</v>
      </c>
      <c r="BD150" s="539" t="s">
        <v>238</v>
      </c>
      <c r="BE150" s="539" t="s">
        <v>238</v>
      </c>
      <c r="BF150" s="539" t="s">
        <v>238</v>
      </c>
      <c r="BG150" s="539" t="s">
        <v>238</v>
      </c>
      <c r="BH150" s="539" t="s">
        <v>238</v>
      </c>
      <c r="BI150" s="539" t="s">
        <v>238</v>
      </c>
      <c r="BJ150" s="539" t="s">
        <v>238</v>
      </c>
      <c r="BK150" s="539" t="s">
        <v>238</v>
      </c>
      <c r="BL150" s="539" t="s">
        <v>238</v>
      </c>
      <c r="BM150" s="539" t="s">
        <v>238</v>
      </c>
      <c r="BN150" s="539" t="s">
        <v>238</v>
      </c>
      <c r="BO150" s="539" t="s">
        <v>238</v>
      </c>
      <c r="BP150" s="539" t="s">
        <v>238</v>
      </c>
      <c r="BQ150" s="539" t="s">
        <v>238</v>
      </c>
      <c r="BR150" s="539" t="s">
        <v>238</v>
      </c>
      <c r="BS150" s="539" t="s">
        <v>238</v>
      </c>
      <c r="BT150" s="539" t="s">
        <v>238</v>
      </c>
      <c r="BU150" s="539" t="s">
        <v>238</v>
      </c>
      <c r="BV150" s="539" t="s">
        <v>238</v>
      </c>
      <c r="BW150" s="539" t="s">
        <v>238</v>
      </c>
      <c r="BX150" s="539" t="s">
        <v>238</v>
      </c>
      <c r="BY150" s="539" t="s">
        <v>238</v>
      </c>
      <c r="BZ150" s="539" t="s">
        <v>238</v>
      </c>
      <c r="CA150" s="539" t="s">
        <v>238</v>
      </c>
      <c r="CB150" s="539" t="s">
        <v>238</v>
      </c>
      <c r="CC150" s="539" t="s">
        <v>238</v>
      </c>
      <c r="CD150" s="539" t="s">
        <v>238</v>
      </c>
      <c r="CE150" s="539" t="s">
        <v>238</v>
      </c>
      <c r="CF150" s="539" t="s">
        <v>238</v>
      </c>
      <c r="CG150" s="539" t="s">
        <v>238</v>
      </c>
      <c r="CH150" s="539" t="s">
        <v>238</v>
      </c>
      <c r="CI150" s="539" t="s">
        <v>238</v>
      </c>
      <c r="CJ150" s="539" t="s">
        <v>238</v>
      </c>
      <c r="CK150" s="539" t="s">
        <v>238</v>
      </c>
      <c r="CL150" s="539" t="s">
        <v>238</v>
      </c>
      <c r="CM150" s="539" t="s">
        <v>238</v>
      </c>
      <c r="CN150" s="539" t="s">
        <v>238</v>
      </c>
      <c r="CO150" s="539" t="s">
        <v>238</v>
      </c>
      <c r="CP150" s="539" t="s">
        <v>238</v>
      </c>
      <c r="CQ150" s="539" t="s">
        <v>238</v>
      </c>
      <c r="CR150" s="539" t="s">
        <v>238</v>
      </c>
      <c r="CS150" s="539" t="s">
        <v>238</v>
      </c>
      <c r="CT150" s="539" t="s">
        <v>238</v>
      </c>
      <c r="CU150" s="539" t="s">
        <v>238</v>
      </c>
      <c r="CV150" s="539" t="s">
        <v>238</v>
      </c>
      <c r="CW150" s="539" t="s">
        <v>238</v>
      </c>
      <c r="CX150" s="539" t="s">
        <v>238</v>
      </c>
      <c r="CY150" s="539" t="s">
        <v>238</v>
      </c>
      <c r="CZ150" s="539" t="s">
        <v>238</v>
      </c>
      <c r="DA150" s="539" t="s">
        <v>238</v>
      </c>
    </row>
    <row r="180" spans="1:105" s="539" customFormat="1" x14ac:dyDescent="0.3">
      <c r="A180" s="539" t="s">
        <v>237</v>
      </c>
      <c r="B180" s="539" t="s">
        <v>237</v>
      </c>
      <c r="C180" s="539" t="s">
        <v>237</v>
      </c>
      <c r="D180" s="539" t="s">
        <v>237</v>
      </c>
      <c r="E180" s="539" t="s">
        <v>237</v>
      </c>
      <c r="F180" s="539" t="s">
        <v>237</v>
      </c>
      <c r="G180" s="539" t="s">
        <v>237</v>
      </c>
      <c r="H180" s="539" t="s">
        <v>237</v>
      </c>
      <c r="I180" s="539" t="s">
        <v>237</v>
      </c>
      <c r="J180" s="539" t="s">
        <v>237</v>
      </c>
      <c r="K180" s="539" t="s">
        <v>237</v>
      </c>
      <c r="L180" s="539" t="s">
        <v>237</v>
      </c>
      <c r="M180" s="539" t="s">
        <v>237</v>
      </c>
      <c r="N180" s="539" t="s">
        <v>237</v>
      </c>
      <c r="O180" s="539" t="s">
        <v>237</v>
      </c>
      <c r="P180" s="539" t="s">
        <v>237</v>
      </c>
      <c r="Q180" s="539" t="s">
        <v>237</v>
      </c>
      <c r="R180" s="539" t="s">
        <v>237</v>
      </c>
      <c r="S180" s="539" t="s">
        <v>237</v>
      </c>
      <c r="T180" s="539" t="s">
        <v>237</v>
      </c>
      <c r="U180" s="539" t="s">
        <v>237</v>
      </c>
      <c r="V180" s="539" t="s">
        <v>237</v>
      </c>
      <c r="W180" s="539" t="s">
        <v>237</v>
      </c>
      <c r="X180" s="539" t="s">
        <v>237</v>
      </c>
      <c r="Y180" s="539" t="s">
        <v>237</v>
      </c>
      <c r="Z180" s="539" t="s">
        <v>237</v>
      </c>
      <c r="AA180" s="539" t="s">
        <v>237</v>
      </c>
      <c r="AB180" s="539" t="s">
        <v>237</v>
      </c>
      <c r="AC180" s="539" t="s">
        <v>237</v>
      </c>
      <c r="AD180" s="539" t="s">
        <v>237</v>
      </c>
      <c r="AE180" s="539" t="s">
        <v>237</v>
      </c>
      <c r="AF180" s="539" t="s">
        <v>237</v>
      </c>
      <c r="AG180" s="539" t="s">
        <v>237</v>
      </c>
      <c r="AH180" s="539" t="s">
        <v>237</v>
      </c>
      <c r="AI180" s="539" t="s">
        <v>237</v>
      </c>
      <c r="AJ180" s="539" t="s">
        <v>237</v>
      </c>
      <c r="AK180" s="539" t="s">
        <v>237</v>
      </c>
      <c r="AL180" s="539" t="s">
        <v>237</v>
      </c>
      <c r="AM180" s="539" t="s">
        <v>237</v>
      </c>
      <c r="AN180" s="539" t="s">
        <v>237</v>
      </c>
      <c r="AO180" s="539" t="s">
        <v>237</v>
      </c>
      <c r="AP180" s="539" t="s">
        <v>237</v>
      </c>
      <c r="AQ180" s="539" t="s">
        <v>237</v>
      </c>
      <c r="AR180" s="539" t="s">
        <v>237</v>
      </c>
      <c r="AS180" s="539" t="s">
        <v>237</v>
      </c>
      <c r="AT180" s="539" t="s">
        <v>237</v>
      </c>
      <c r="AU180" s="539" t="s">
        <v>237</v>
      </c>
      <c r="AV180" s="539" t="s">
        <v>237</v>
      </c>
      <c r="AW180" s="539" t="s">
        <v>237</v>
      </c>
      <c r="AX180" s="539" t="s">
        <v>237</v>
      </c>
      <c r="AY180" s="539" t="s">
        <v>237</v>
      </c>
      <c r="AZ180" s="539" t="s">
        <v>237</v>
      </c>
      <c r="BA180" s="539" t="s">
        <v>237</v>
      </c>
      <c r="BB180" s="539" t="s">
        <v>237</v>
      </c>
      <c r="BC180" s="539" t="s">
        <v>237</v>
      </c>
      <c r="BD180" s="539" t="s">
        <v>237</v>
      </c>
      <c r="BE180" s="539" t="s">
        <v>237</v>
      </c>
      <c r="BF180" s="539" t="s">
        <v>237</v>
      </c>
      <c r="BG180" s="539" t="s">
        <v>237</v>
      </c>
      <c r="BH180" s="539" t="s">
        <v>237</v>
      </c>
      <c r="BI180" s="539" t="s">
        <v>237</v>
      </c>
      <c r="BJ180" s="539" t="s">
        <v>237</v>
      </c>
      <c r="BK180" s="539" t="s">
        <v>237</v>
      </c>
      <c r="BL180" s="539" t="s">
        <v>237</v>
      </c>
      <c r="BM180" s="539" t="s">
        <v>237</v>
      </c>
      <c r="BN180" s="539" t="s">
        <v>237</v>
      </c>
      <c r="BO180" s="539" t="s">
        <v>237</v>
      </c>
      <c r="BP180" s="539" t="s">
        <v>237</v>
      </c>
      <c r="BQ180" s="539" t="s">
        <v>237</v>
      </c>
      <c r="BR180" s="539" t="s">
        <v>237</v>
      </c>
      <c r="BS180" s="539" t="s">
        <v>237</v>
      </c>
      <c r="BT180" s="539" t="s">
        <v>237</v>
      </c>
      <c r="BU180" s="539" t="s">
        <v>237</v>
      </c>
      <c r="BV180" s="539" t="s">
        <v>237</v>
      </c>
      <c r="BW180" s="539" t="s">
        <v>237</v>
      </c>
      <c r="BX180" s="539" t="s">
        <v>237</v>
      </c>
      <c r="BY180" s="539" t="s">
        <v>237</v>
      </c>
      <c r="BZ180" s="539" t="s">
        <v>237</v>
      </c>
      <c r="CA180" s="539" t="s">
        <v>237</v>
      </c>
      <c r="CB180" s="539" t="s">
        <v>237</v>
      </c>
      <c r="CC180" s="539" t="s">
        <v>237</v>
      </c>
      <c r="CD180" s="539" t="s">
        <v>237</v>
      </c>
      <c r="CE180" s="539" t="s">
        <v>237</v>
      </c>
      <c r="CF180" s="539" t="s">
        <v>237</v>
      </c>
      <c r="CG180" s="539" t="s">
        <v>237</v>
      </c>
      <c r="CH180" s="539" t="s">
        <v>237</v>
      </c>
      <c r="CI180" s="539" t="s">
        <v>237</v>
      </c>
      <c r="CJ180" s="539" t="s">
        <v>237</v>
      </c>
      <c r="CK180" s="539" t="s">
        <v>237</v>
      </c>
      <c r="CL180" s="539" t="s">
        <v>237</v>
      </c>
      <c r="CM180" s="539" t="s">
        <v>237</v>
      </c>
      <c r="CN180" s="539" t="s">
        <v>237</v>
      </c>
      <c r="CO180" s="539" t="s">
        <v>237</v>
      </c>
      <c r="CP180" s="539" t="s">
        <v>237</v>
      </c>
      <c r="CQ180" s="539" t="s">
        <v>237</v>
      </c>
      <c r="CR180" s="539" t="s">
        <v>237</v>
      </c>
      <c r="CS180" s="539" t="s">
        <v>237</v>
      </c>
      <c r="CT180" s="539" t="s">
        <v>237</v>
      </c>
      <c r="CU180" s="539" t="s">
        <v>237</v>
      </c>
      <c r="CV180" s="539" t="s">
        <v>237</v>
      </c>
      <c r="CW180" s="539" t="s">
        <v>237</v>
      </c>
      <c r="CX180" s="539" t="s">
        <v>237</v>
      </c>
      <c r="CY180" s="539" t="s">
        <v>237</v>
      </c>
      <c r="CZ180" s="539" t="s">
        <v>237</v>
      </c>
      <c r="DA180" s="539" t="s">
        <v>237</v>
      </c>
    </row>
    <row r="184" spans="1:105" x14ac:dyDescent="0.3">
      <c r="F184" s="64"/>
    </row>
    <row r="209" spans="1:103" s="539" customFormat="1" x14ac:dyDescent="0.3">
      <c r="A209" s="539" t="s">
        <v>236</v>
      </c>
      <c r="B209" s="539" t="s">
        <v>236</v>
      </c>
      <c r="C209" s="539" t="s">
        <v>236</v>
      </c>
      <c r="D209" s="539" t="s">
        <v>236</v>
      </c>
      <c r="E209" s="539" t="s">
        <v>236</v>
      </c>
      <c r="F209" s="539" t="s">
        <v>236</v>
      </c>
      <c r="G209" s="539" t="s">
        <v>236</v>
      </c>
      <c r="H209" s="539" t="s">
        <v>236</v>
      </c>
      <c r="I209" s="539" t="s">
        <v>236</v>
      </c>
      <c r="J209" s="539" t="s">
        <v>236</v>
      </c>
      <c r="K209" s="539" t="s">
        <v>236</v>
      </c>
      <c r="L209" s="539" t="s">
        <v>236</v>
      </c>
      <c r="M209" s="539" t="s">
        <v>236</v>
      </c>
      <c r="N209" s="539" t="s">
        <v>236</v>
      </c>
      <c r="O209" s="539" t="s">
        <v>236</v>
      </c>
      <c r="P209" s="539" t="s">
        <v>236</v>
      </c>
      <c r="Q209" s="539" t="s">
        <v>236</v>
      </c>
      <c r="R209" s="539" t="s">
        <v>236</v>
      </c>
      <c r="S209" s="539" t="s">
        <v>236</v>
      </c>
      <c r="T209" s="539" t="s">
        <v>236</v>
      </c>
      <c r="U209" s="539" t="s">
        <v>236</v>
      </c>
      <c r="V209" s="539" t="s">
        <v>236</v>
      </c>
      <c r="W209" s="539" t="s">
        <v>236</v>
      </c>
      <c r="X209" s="539" t="s">
        <v>236</v>
      </c>
      <c r="Y209" s="539" t="s">
        <v>236</v>
      </c>
      <c r="Z209" s="539" t="s">
        <v>236</v>
      </c>
      <c r="AA209" s="539" t="s">
        <v>236</v>
      </c>
      <c r="AB209" s="539" t="s">
        <v>236</v>
      </c>
      <c r="AC209" s="539" t="s">
        <v>236</v>
      </c>
      <c r="AD209" s="539" t="s">
        <v>236</v>
      </c>
      <c r="AE209" s="539" t="s">
        <v>236</v>
      </c>
      <c r="AF209" s="539" t="s">
        <v>236</v>
      </c>
      <c r="AG209" s="539" t="s">
        <v>236</v>
      </c>
      <c r="AH209" s="539" t="s">
        <v>236</v>
      </c>
      <c r="AI209" s="539" t="s">
        <v>236</v>
      </c>
      <c r="AJ209" s="539" t="s">
        <v>236</v>
      </c>
      <c r="AK209" s="539" t="s">
        <v>236</v>
      </c>
      <c r="AL209" s="539" t="s">
        <v>236</v>
      </c>
      <c r="AM209" s="539" t="s">
        <v>236</v>
      </c>
      <c r="AN209" s="539" t="s">
        <v>236</v>
      </c>
      <c r="AO209" s="539" t="s">
        <v>236</v>
      </c>
      <c r="AP209" s="539" t="s">
        <v>236</v>
      </c>
      <c r="AQ209" s="539" t="s">
        <v>236</v>
      </c>
      <c r="AR209" s="539" t="s">
        <v>236</v>
      </c>
      <c r="AS209" s="539" t="s">
        <v>236</v>
      </c>
      <c r="AT209" s="539" t="s">
        <v>236</v>
      </c>
      <c r="AU209" s="539" t="s">
        <v>236</v>
      </c>
      <c r="AV209" s="539" t="s">
        <v>236</v>
      </c>
      <c r="AW209" s="539" t="s">
        <v>236</v>
      </c>
      <c r="AX209" s="539" t="s">
        <v>236</v>
      </c>
      <c r="AY209" s="539" t="s">
        <v>236</v>
      </c>
      <c r="AZ209" s="539" t="s">
        <v>236</v>
      </c>
      <c r="BA209" s="539" t="s">
        <v>236</v>
      </c>
      <c r="BB209" s="539" t="s">
        <v>236</v>
      </c>
      <c r="BC209" s="539" t="s">
        <v>236</v>
      </c>
      <c r="BD209" s="539" t="s">
        <v>236</v>
      </c>
      <c r="BE209" s="539" t="s">
        <v>236</v>
      </c>
      <c r="BF209" s="539" t="s">
        <v>236</v>
      </c>
      <c r="BG209" s="539" t="s">
        <v>236</v>
      </c>
      <c r="BH209" s="539" t="s">
        <v>236</v>
      </c>
      <c r="BI209" s="539" t="s">
        <v>236</v>
      </c>
      <c r="BJ209" s="539" t="s">
        <v>236</v>
      </c>
      <c r="BK209" s="539" t="s">
        <v>236</v>
      </c>
      <c r="BL209" s="539" t="s">
        <v>236</v>
      </c>
      <c r="BM209" s="539" t="s">
        <v>236</v>
      </c>
      <c r="BN209" s="539" t="s">
        <v>236</v>
      </c>
      <c r="BO209" s="539" t="s">
        <v>236</v>
      </c>
      <c r="BP209" s="539" t="s">
        <v>236</v>
      </c>
      <c r="BQ209" s="539" t="s">
        <v>236</v>
      </c>
      <c r="BR209" s="539" t="s">
        <v>236</v>
      </c>
      <c r="BS209" s="539" t="s">
        <v>236</v>
      </c>
      <c r="BT209" s="539" t="s">
        <v>236</v>
      </c>
      <c r="BU209" s="539" t="s">
        <v>236</v>
      </c>
      <c r="BV209" s="539" t="s">
        <v>236</v>
      </c>
      <c r="BW209" s="539" t="s">
        <v>236</v>
      </c>
      <c r="BX209" s="539" t="s">
        <v>236</v>
      </c>
      <c r="BY209" s="539" t="s">
        <v>236</v>
      </c>
      <c r="BZ209" s="539" t="s">
        <v>236</v>
      </c>
      <c r="CA209" s="539" t="s">
        <v>236</v>
      </c>
      <c r="CB209" s="539" t="s">
        <v>236</v>
      </c>
      <c r="CC209" s="539" t="s">
        <v>236</v>
      </c>
      <c r="CD209" s="539" t="s">
        <v>236</v>
      </c>
      <c r="CE209" s="539" t="s">
        <v>236</v>
      </c>
      <c r="CF209" s="539" t="s">
        <v>236</v>
      </c>
      <c r="CG209" s="539" t="s">
        <v>236</v>
      </c>
      <c r="CH209" s="539" t="s">
        <v>236</v>
      </c>
      <c r="CI209" s="539" t="s">
        <v>236</v>
      </c>
      <c r="CJ209" s="539" t="s">
        <v>236</v>
      </c>
      <c r="CK209" s="539" t="s">
        <v>236</v>
      </c>
      <c r="CL209" s="539" t="s">
        <v>236</v>
      </c>
      <c r="CM209" s="539" t="s">
        <v>236</v>
      </c>
      <c r="CN209" s="539" t="s">
        <v>236</v>
      </c>
      <c r="CO209" s="539" t="s">
        <v>236</v>
      </c>
      <c r="CP209" s="539" t="s">
        <v>236</v>
      </c>
      <c r="CQ209" s="539" t="s">
        <v>236</v>
      </c>
      <c r="CR209" s="539" t="s">
        <v>236</v>
      </c>
      <c r="CS209" s="539" t="s">
        <v>236</v>
      </c>
      <c r="CT209" s="539" t="s">
        <v>236</v>
      </c>
      <c r="CU209" s="539" t="s">
        <v>236</v>
      </c>
      <c r="CV209" s="539" t="s">
        <v>236</v>
      </c>
      <c r="CW209" s="539" t="s">
        <v>236</v>
      </c>
      <c r="CX209" s="539" t="s">
        <v>236</v>
      </c>
      <c r="CY209" s="539" t="s">
        <v>236</v>
      </c>
    </row>
    <row r="239" spans="1:105" s="539" customFormat="1" x14ac:dyDescent="0.3">
      <c r="A239" s="539" t="s">
        <v>241</v>
      </c>
      <c r="B239" s="539" t="s">
        <v>241</v>
      </c>
      <c r="C239" s="539" t="s">
        <v>241</v>
      </c>
      <c r="D239" s="539" t="s">
        <v>241</v>
      </c>
      <c r="E239" s="539" t="s">
        <v>241</v>
      </c>
      <c r="F239" s="539" t="s">
        <v>241</v>
      </c>
      <c r="G239" s="539" t="s">
        <v>241</v>
      </c>
      <c r="H239" s="539" t="s">
        <v>241</v>
      </c>
      <c r="I239" s="539" t="s">
        <v>241</v>
      </c>
      <c r="J239" s="539" t="s">
        <v>241</v>
      </c>
      <c r="K239" s="539" t="s">
        <v>241</v>
      </c>
      <c r="L239" s="539" t="s">
        <v>241</v>
      </c>
      <c r="M239" s="539" t="s">
        <v>241</v>
      </c>
      <c r="N239" s="539" t="s">
        <v>241</v>
      </c>
      <c r="O239" s="539" t="s">
        <v>241</v>
      </c>
      <c r="P239" s="539" t="s">
        <v>241</v>
      </c>
      <c r="Q239" s="539" t="s">
        <v>241</v>
      </c>
      <c r="R239" s="539" t="s">
        <v>241</v>
      </c>
      <c r="S239" s="539" t="s">
        <v>241</v>
      </c>
      <c r="T239" s="539" t="s">
        <v>241</v>
      </c>
      <c r="U239" s="539" t="s">
        <v>241</v>
      </c>
      <c r="V239" s="539" t="s">
        <v>241</v>
      </c>
      <c r="W239" s="539" t="s">
        <v>241</v>
      </c>
      <c r="X239" s="539" t="s">
        <v>241</v>
      </c>
      <c r="Y239" s="539" t="s">
        <v>241</v>
      </c>
      <c r="Z239" s="539" t="s">
        <v>241</v>
      </c>
      <c r="AA239" s="539" t="s">
        <v>241</v>
      </c>
      <c r="AB239" s="539" t="s">
        <v>241</v>
      </c>
      <c r="AC239" s="539" t="s">
        <v>241</v>
      </c>
      <c r="AD239" s="539" t="s">
        <v>241</v>
      </c>
      <c r="AE239" s="539" t="s">
        <v>241</v>
      </c>
      <c r="AF239" s="539" t="s">
        <v>241</v>
      </c>
      <c r="AG239" s="539" t="s">
        <v>241</v>
      </c>
      <c r="AH239" s="539" t="s">
        <v>241</v>
      </c>
      <c r="AI239" s="539" t="s">
        <v>241</v>
      </c>
      <c r="AJ239" s="539" t="s">
        <v>241</v>
      </c>
      <c r="AK239" s="539" t="s">
        <v>241</v>
      </c>
      <c r="AL239" s="539" t="s">
        <v>241</v>
      </c>
      <c r="AM239" s="539" t="s">
        <v>241</v>
      </c>
      <c r="AN239" s="539" t="s">
        <v>241</v>
      </c>
      <c r="AO239" s="539" t="s">
        <v>241</v>
      </c>
      <c r="AP239" s="539" t="s">
        <v>241</v>
      </c>
      <c r="AQ239" s="539" t="s">
        <v>241</v>
      </c>
      <c r="AR239" s="539" t="s">
        <v>241</v>
      </c>
      <c r="AS239" s="539" t="s">
        <v>241</v>
      </c>
      <c r="AT239" s="539" t="s">
        <v>241</v>
      </c>
      <c r="AU239" s="539" t="s">
        <v>241</v>
      </c>
      <c r="AV239" s="539" t="s">
        <v>241</v>
      </c>
      <c r="AW239" s="539" t="s">
        <v>241</v>
      </c>
      <c r="AX239" s="539" t="s">
        <v>241</v>
      </c>
      <c r="AY239" s="539" t="s">
        <v>241</v>
      </c>
      <c r="AZ239" s="539" t="s">
        <v>241</v>
      </c>
      <c r="BA239" s="539" t="s">
        <v>241</v>
      </c>
      <c r="BB239" s="539" t="s">
        <v>241</v>
      </c>
      <c r="BC239" s="539" t="s">
        <v>241</v>
      </c>
      <c r="BD239" s="539" t="s">
        <v>241</v>
      </c>
      <c r="BE239" s="539" t="s">
        <v>241</v>
      </c>
      <c r="BF239" s="539" t="s">
        <v>241</v>
      </c>
      <c r="BG239" s="539" t="s">
        <v>241</v>
      </c>
      <c r="BH239" s="539" t="s">
        <v>241</v>
      </c>
      <c r="BI239" s="539" t="s">
        <v>241</v>
      </c>
      <c r="BJ239" s="539" t="s">
        <v>241</v>
      </c>
      <c r="BK239" s="539" t="s">
        <v>241</v>
      </c>
      <c r="BL239" s="539" t="s">
        <v>241</v>
      </c>
      <c r="BM239" s="539" t="s">
        <v>241</v>
      </c>
      <c r="BN239" s="539" t="s">
        <v>241</v>
      </c>
      <c r="BO239" s="539" t="s">
        <v>241</v>
      </c>
      <c r="BP239" s="539" t="s">
        <v>241</v>
      </c>
      <c r="BQ239" s="539" t="s">
        <v>241</v>
      </c>
      <c r="BR239" s="539" t="s">
        <v>241</v>
      </c>
      <c r="BS239" s="539" t="s">
        <v>241</v>
      </c>
      <c r="BT239" s="539" t="s">
        <v>241</v>
      </c>
      <c r="BU239" s="539" t="s">
        <v>241</v>
      </c>
      <c r="BV239" s="539" t="s">
        <v>241</v>
      </c>
      <c r="BW239" s="539" t="s">
        <v>241</v>
      </c>
      <c r="BX239" s="539" t="s">
        <v>241</v>
      </c>
      <c r="BY239" s="539" t="s">
        <v>241</v>
      </c>
      <c r="BZ239" s="539" t="s">
        <v>241</v>
      </c>
      <c r="CA239" s="539" t="s">
        <v>241</v>
      </c>
      <c r="CB239" s="539" t="s">
        <v>241</v>
      </c>
      <c r="CC239" s="539" t="s">
        <v>241</v>
      </c>
      <c r="CD239" s="539" t="s">
        <v>241</v>
      </c>
      <c r="CE239" s="539" t="s">
        <v>241</v>
      </c>
      <c r="CF239" s="539" t="s">
        <v>241</v>
      </c>
      <c r="CG239" s="539" t="s">
        <v>241</v>
      </c>
      <c r="CH239" s="539" t="s">
        <v>241</v>
      </c>
      <c r="CI239" s="539" t="s">
        <v>241</v>
      </c>
      <c r="CJ239" s="539" t="s">
        <v>241</v>
      </c>
      <c r="CK239" s="539" t="s">
        <v>241</v>
      </c>
      <c r="CL239" s="539" t="s">
        <v>241</v>
      </c>
      <c r="CM239" s="539" t="s">
        <v>241</v>
      </c>
      <c r="CN239" s="539" t="s">
        <v>241</v>
      </c>
      <c r="CO239" s="539" t="s">
        <v>241</v>
      </c>
      <c r="CP239" s="539" t="s">
        <v>241</v>
      </c>
      <c r="CQ239" s="539" t="s">
        <v>241</v>
      </c>
      <c r="CR239" s="539" t="s">
        <v>241</v>
      </c>
      <c r="CS239" s="539" t="s">
        <v>241</v>
      </c>
      <c r="CT239" s="539" t="s">
        <v>241</v>
      </c>
      <c r="CU239" s="539" t="s">
        <v>241</v>
      </c>
      <c r="CV239" s="539" t="s">
        <v>241</v>
      </c>
      <c r="CW239" s="539" t="s">
        <v>241</v>
      </c>
      <c r="CX239" s="539" t="s">
        <v>241</v>
      </c>
      <c r="CY239" s="539" t="s">
        <v>241</v>
      </c>
      <c r="CZ239" s="539" t="s">
        <v>241</v>
      </c>
      <c r="DA239" s="539" t="s">
        <v>241</v>
      </c>
    </row>
    <row r="269" spans="1:101" s="539" customFormat="1" x14ac:dyDescent="0.3">
      <c r="A269" s="539" t="s">
        <v>242</v>
      </c>
      <c r="B269" s="539" t="s">
        <v>242</v>
      </c>
      <c r="C269" s="539" t="s">
        <v>242</v>
      </c>
      <c r="D269" s="539" t="s">
        <v>242</v>
      </c>
      <c r="E269" s="539" t="s">
        <v>242</v>
      </c>
      <c r="F269" s="539" t="s">
        <v>242</v>
      </c>
      <c r="G269" s="539" t="s">
        <v>242</v>
      </c>
      <c r="H269" s="539" t="s">
        <v>242</v>
      </c>
      <c r="I269" s="539" t="s">
        <v>242</v>
      </c>
      <c r="J269" s="539" t="s">
        <v>242</v>
      </c>
      <c r="K269" s="539" t="s">
        <v>242</v>
      </c>
      <c r="L269" s="539" t="s">
        <v>242</v>
      </c>
      <c r="M269" s="539" t="s">
        <v>242</v>
      </c>
      <c r="N269" s="539" t="s">
        <v>242</v>
      </c>
      <c r="O269" s="539" t="s">
        <v>242</v>
      </c>
      <c r="P269" s="539" t="s">
        <v>242</v>
      </c>
      <c r="Q269" s="539" t="s">
        <v>242</v>
      </c>
      <c r="R269" s="539" t="s">
        <v>242</v>
      </c>
      <c r="S269" s="539" t="s">
        <v>242</v>
      </c>
      <c r="T269" s="539" t="s">
        <v>242</v>
      </c>
      <c r="U269" s="539" t="s">
        <v>242</v>
      </c>
      <c r="V269" s="539" t="s">
        <v>242</v>
      </c>
      <c r="W269" s="539" t="s">
        <v>242</v>
      </c>
      <c r="X269" s="539" t="s">
        <v>242</v>
      </c>
      <c r="Y269" s="539" t="s">
        <v>242</v>
      </c>
      <c r="Z269" s="539" t="s">
        <v>242</v>
      </c>
      <c r="AA269" s="539" t="s">
        <v>242</v>
      </c>
      <c r="AB269" s="539" t="s">
        <v>242</v>
      </c>
      <c r="AC269" s="539" t="s">
        <v>242</v>
      </c>
      <c r="AD269" s="539" t="s">
        <v>242</v>
      </c>
      <c r="AE269" s="539" t="s">
        <v>242</v>
      </c>
      <c r="AF269" s="539" t="s">
        <v>242</v>
      </c>
      <c r="AG269" s="539" t="s">
        <v>242</v>
      </c>
      <c r="AH269" s="539" t="s">
        <v>242</v>
      </c>
      <c r="AI269" s="539" t="s">
        <v>242</v>
      </c>
      <c r="AJ269" s="539" t="s">
        <v>242</v>
      </c>
      <c r="AK269" s="539" t="s">
        <v>242</v>
      </c>
      <c r="AL269" s="539" t="s">
        <v>242</v>
      </c>
      <c r="AM269" s="539" t="s">
        <v>242</v>
      </c>
      <c r="AN269" s="539" t="s">
        <v>242</v>
      </c>
      <c r="AO269" s="539" t="s">
        <v>242</v>
      </c>
      <c r="AP269" s="539" t="s">
        <v>242</v>
      </c>
      <c r="AQ269" s="539" t="s">
        <v>242</v>
      </c>
      <c r="AR269" s="539" t="s">
        <v>242</v>
      </c>
      <c r="AS269" s="539" t="s">
        <v>242</v>
      </c>
      <c r="AT269" s="539" t="s">
        <v>242</v>
      </c>
      <c r="AU269" s="539" t="s">
        <v>242</v>
      </c>
      <c r="AV269" s="539" t="s">
        <v>242</v>
      </c>
      <c r="AW269" s="539" t="s">
        <v>242</v>
      </c>
      <c r="AX269" s="539" t="s">
        <v>242</v>
      </c>
      <c r="AY269" s="539" t="s">
        <v>242</v>
      </c>
      <c r="AZ269" s="539" t="s">
        <v>242</v>
      </c>
      <c r="BA269" s="539" t="s">
        <v>242</v>
      </c>
      <c r="BB269" s="539" t="s">
        <v>242</v>
      </c>
      <c r="BC269" s="539" t="s">
        <v>242</v>
      </c>
      <c r="BD269" s="539" t="s">
        <v>242</v>
      </c>
      <c r="BE269" s="539" t="s">
        <v>242</v>
      </c>
      <c r="BF269" s="539" t="s">
        <v>242</v>
      </c>
      <c r="BG269" s="539" t="s">
        <v>242</v>
      </c>
      <c r="BH269" s="539" t="s">
        <v>242</v>
      </c>
      <c r="BI269" s="539" t="s">
        <v>242</v>
      </c>
      <c r="BJ269" s="539" t="s">
        <v>242</v>
      </c>
      <c r="BK269" s="539" t="s">
        <v>242</v>
      </c>
      <c r="BL269" s="539" t="s">
        <v>242</v>
      </c>
      <c r="BM269" s="539" t="s">
        <v>242</v>
      </c>
      <c r="BN269" s="539" t="s">
        <v>242</v>
      </c>
      <c r="BO269" s="539" t="s">
        <v>242</v>
      </c>
      <c r="BP269" s="539" t="s">
        <v>242</v>
      </c>
      <c r="BQ269" s="539" t="s">
        <v>242</v>
      </c>
      <c r="BR269" s="539" t="s">
        <v>242</v>
      </c>
      <c r="BS269" s="539" t="s">
        <v>242</v>
      </c>
      <c r="BT269" s="539" t="s">
        <v>242</v>
      </c>
      <c r="BU269" s="539" t="s">
        <v>242</v>
      </c>
      <c r="BV269" s="539" t="s">
        <v>242</v>
      </c>
      <c r="BW269" s="539" t="s">
        <v>242</v>
      </c>
      <c r="BX269" s="539" t="s">
        <v>242</v>
      </c>
      <c r="BY269" s="539" t="s">
        <v>242</v>
      </c>
      <c r="BZ269" s="539" t="s">
        <v>242</v>
      </c>
      <c r="CA269" s="539" t="s">
        <v>242</v>
      </c>
      <c r="CB269" s="539" t="s">
        <v>242</v>
      </c>
      <c r="CC269" s="539" t="s">
        <v>242</v>
      </c>
      <c r="CD269" s="539" t="s">
        <v>242</v>
      </c>
      <c r="CE269" s="539" t="s">
        <v>242</v>
      </c>
      <c r="CF269" s="539" t="s">
        <v>242</v>
      </c>
      <c r="CG269" s="539" t="s">
        <v>242</v>
      </c>
      <c r="CH269" s="539" t="s">
        <v>242</v>
      </c>
      <c r="CI269" s="539" t="s">
        <v>242</v>
      </c>
      <c r="CJ269" s="539" t="s">
        <v>242</v>
      </c>
      <c r="CK269" s="539" t="s">
        <v>242</v>
      </c>
      <c r="CL269" s="539" t="s">
        <v>242</v>
      </c>
      <c r="CM269" s="539" t="s">
        <v>242</v>
      </c>
      <c r="CN269" s="539" t="s">
        <v>242</v>
      </c>
      <c r="CO269" s="539" t="s">
        <v>242</v>
      </c>
      <c r="CP269" s="539" t="s">
        <v>242</v>
      </c>
      <c r="CQ269" s="539" t="s">
        <v>242</v>
      </c>
      <c r="CR269" s="539" t="s">
        <v>242</v>
      </c>
      <c r="CS269" s="539" t="s">
        <v>242</v>
      </c>
      <c r="CT269" s="539" t="s">
        <v>242</v>
      </c>
      <c r="CU269" s="539" t="s">
        <v>242</v>
      </c>
      <c r="CV269" s="539" t="s">
        <v>242</v>
      </c>
      <c r="CW269" s="539" t="s">
        <v>242</v>
      </c>
    </row>
    <row r="297" spans="1:103" s="539" customFormat="1" x14ac:dyDescent="0.3">
      <c r="A297" s="539" t="s">
        <v>243</v>
      </c>
      <c r="B297" s="539" t="s">
        <v>243</v>
      </c>
      <c r="C297" s="539" t="s">
        <v>243</v>
      </c>
      <c r="D297" s="539" t="s">
        <v>243</v>
      </c>
      <c r="E297" s="539" t="s">
        <v>243</v>
      </c>
      <c r="F297" s="539" t="s">
        <v>243</v>
      </c>
      <c r="G297" s="539" t="s">
        <v>243</v>
      </c>
      <c r="H297" s="539" t="s">
        <v>243</v>
      </c>
      <c r="I297" s="539" t="s">
        <v>243</v>
      </c>
      <c r="J297" s="539" t="s">
        <v>243</v>
      </c>
      <c r="K297" s="539" t="s">
        <v>243</v>
      </c>
      <c r="L297" s="539" t="s">
        <v>243</v>
      </c>
      <c r="M297" s="539" t="s">
        <v>243</v>
      </c>
      <c r="N297" s="539" t="s">
        <v>243</v>
      </c>
      <c r="O297" s="539" t="s">
        <v>243</v>
      </c>
      <c r="P297" s="539" t="s">
        <v>243</v>
      </c>
      <c r="Q297" s="539" t="s">
        <v>243</v>
      </c>
      <c r="R297" s="539" t="s">
        <v>243</v>
      </c>
      <c r="S297" s="539" t="s">
        <v>243</v>
      </c>
      <c r="T297" s="539" t="s">
        <v>243</v>
      </c>
      <c r="U297" s="539" t="s">
        <v>243</v>
      </c>
      <c r="V297" s="539" t="s">
        <v>243</v>
      </c>
      <c r="W297" s="539" t="s">
        <v>243</v>
      </c>
      <c r="X297" s="539" t="s">
        <v>243</v>
      </c>
      <c r="Y297" s="539" t="s">
        <v>243</v>
      </c>
      <c r="Z297" s="539" t="s">
        <v>243</v>
      </c>
      <c r="AA297" s="539" t="s">
        <v>243</v>
      </c>
      <c r="AB297" s="539" t="s">
        <v>243</v>
      </c>
      <c r="AC297" s="539" t="s">
        <v>243</v>
      </c>
      <c r="AD297" s="539" t="s">
        <v>243</v>
      </c>
      <c r="AE297" s="539" t="s">
        <v>243</v>
      </c>
      <c r="AF297" s="539" t="s">
        <v>243</v>
      </c>
      <c r="AG297" s="539" t="s">
        <v>243</v>
      </c>
      <c r="AH297" s="539" t="s">
        <v>243</v>
      </c>
      <c r="AI297" s="539" t="s">
        <v>243</v>
      </c>
      <c r="AJ297" s="539" t="s">
        <v>243</v>
      </c>
      <c r="AK297" s="539" t="s">
        <v>243</v>
      </c>
      <c r="AL297" s="539" t="s">
        <v>243</v>
      </c>
      <c r="AM297" s="539" t="s">
        <v>243</v>
      </c>
      <c r="AN297" s="539" t="s">
        <v>243</v>
      </c>
      <c r="AO297" s="539" t="s">
        <v>243</v>
      </c>
      <c r="AP297" s="539" t="s">
        <v>243</v>
      </c>
      <c r="AQ297" s="539" t="s">
        <v>243</v>
      </c>
      <c r="AR297" s="539" t="s">
        <v>243</v>
      </c>
      <c r="AS297" s="539" t="s">
        <v>243</v>
      </c>
      <c r="AT297" s="539" t="s">
        <v>243</v>
      </c>
      <c r="AU297" s="539" t="s">
        <v>243</v>
      </c>
      <c r="AV297" s="539" t="s">
        <v>243</v>
      </c>
      <c r="AW297" s="539" t="s">
        <v>243</v>
      </c>
      <c r="AX297" s="539" t="s">
        <v>243</v>
      </c>
      <c r="AY297" s="539" t="s">
        <v>243</v>
      </c>
      <c r="AZ297" s="539" t="s">
        <v>243</v>
      </c>
      <c r="BA297" s="539" t="s">
        <v>243</v>
      </c>
      <c r="BB297" s="539" t="s">
        <v>243</v>
      </c>
      <c r="BC297" s="539" t="s">
        <v>243</v>
      </c>
      <c r="BD297" s="539" t="s">
        <v>243</v>
      </c>
      <c r="BE297" s="539" t="s">
        <v>243</v>
      </c>
      <c r="BF297" s="539" t="s">
        <v>243</v>
      </c>
      <c r="BG297" s="539" t="s">
        <v>243</v>
      </c>
      <c r="BH297" s="539" t="s">
        <v>243</v>
      </c>
      <c r="BI297" s="539" t="s">
        <v>243</v>
      </c>
      <c r="BJ297" s="539" t="s">
        <v>243</v>
      </c>
      <c r="BK297" s="539" t="s">
        <v>243</v>
      </c>
      <c r="BL297" s="539" t="s">
        <v>243</v>
      </c>
      <c r="BM297" s="539" t="s">
        <v>243</v>
      </c>
      <c r="BN297" s="539" t="s">
        <v>243</v>
      </c>
      <c r="BO297" s="539" t="s">
        <v>243</v>
      </c>
      <c r="BP297" s="539" t="s">
        <v>243</v>
      </c>
      <c r="BQ297" s="539" t="s">
        <v>243</v>
      </c>
      <c r="BR297" s="539" t="s">
        <v>243</v>
      </c>
      <c r="BS297" s="539" t="s">
        <v>243</v>
      </c>
      <c r="BT297" s="539" t="s">
        <v>243</v>
      </c>
      <c r="BU297" s="539" t="s">
        <v>243</v>
      </c>
      <c r="BV297" s="539" t="s">
        <v>243</v>
      </c>
      <c r="BW297" s="539" t="s">
        <v>243</v>
      </c>
      <c r="BX297" s="539" t="s">
        <v>243</v>
      </c>
      <c r="BY297" s="539" t="s">
        <v>243</v>
      </c>
      <c r="BZ297" s="539" t="s">
        <v>243</v>
      </c>
      <c r="CA297" s="539" t="s">
        <v>243</v>
      </c>
      <c r="CB297" s="539" t="s">
        <v>243</v>
      </c>
      <c r="CC297" s="539" t="s">
        <v>243</v>
      </c>
      <c r="CD297" s="539" t="s">
        <v>243</v>
      </c>
      <c r="CE297" s="539" t="s">
        <v>243</v>
      </c>
      <c r="CF297" s="539" t="s">
        <v>243</v>
      </c>
      <c r="CG297" s="539" t="s">
        <v>243</v>
      </c>
      <c r="CH297" s="539" t="s">
        <v>243</v>
      </c>
      <c r="CI297" s="539" t="s">
        <v>243</v>
      </c>
      <c r="CJ297" s="539" t="s">
        <v>243</v>
      </c>
      <c r="CK297" s="539" t="s">
        <v>243</v>
      </c>
      <c r="CL297" s="539" t="s">
        <v>243</v>
      </c>
      <c r="CM297" s="539" t="s">
        <v>243</v>
      </c>
      <c r="CN297" s="539" t="s">
        <v>243</v>
      </c>
      <c r="CO297" s="539" t="s">
        <v>243</v>
      </c>
      <c r="CP297" s="539" t="s">
        <v>243</v>
      </c>
      <c r="CQ297" s="539" t="s">
        <v>243</v>
      </c>
      <c r="CR297" s="539" t="s">
        <v>243</v>
      </c>
      <c r="CS297" s="539" t="s">
        <v>243</v>
      </c>
      <c r="CT297" s="539" t="s">
        <v>243</v>
      </c>
      <c r="CU297" s="539" t="s">
        <v>243</v>
      </c>
      <c r="CV297" s="539" t="s">
        <v>243</v>
      </c>
      <c r="CW297" s="539" t="s">
        <v>243</v>
      </c>
      <c r="CX297" s="539" t="s">
        <v>243</v>
      </c>
      <c r="CY297" s="539" t="s">
        <v>243</v>
      </c>
    </row>
  </sheetData>
  <sheetProtection algorithmName="SHA-512" hashValue="arWWNsXunh1IhIE5YuwNQdONXr7HhaiElnN1OoCb6gs2Ode1fUyD/SQedMjU8dr6pvazzExyGsdy6xjAvrs1+g==" saltValue="Pcec+9po6LKQBcKv7GukzQ==" spinCount="100000" sheet="1" objects="1" scenarios="1"/>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AC6FE-CCAE-4698-946E-7FACEF362AB8}">
  <dimension ref="A1:Y279"/>
  <sheetViews>
    <sheetView topLeftCell="J1" zoomScaleNormal="100" workbookViewId="0">
      <pane ySplit="1" topLeftCell="A182" activePane="bottomLeft" state="frozen"/>
      <selection pane="bottomLeft" activeCell="N1" sqref="N1:Y1"/>
    </sheetView>
  </sheetViews>
  <sheetFormatPr defaultRowHeight="15.75" x14ac:dyDescent="0.3"/>
  <cols>
    <col min="1" max="1" width="10.77734375" style="191" customWidth="1"/>
    <col min="2" max="2" width="10.109375" style="191" customWidth="1"/>
    <col min="3" max="3" width="11.77734375" style="192" customWidth="1"/>
    <col min="4" max="4" width="11.88671875" style="191" customWidth="1"/>
    <col min="5" max="5" width="8.77734375" style="70" customWidth="1"/>
    <col min="6" max="6" width="12.77734375" style="70" customWidth="1"/>
    <col min="7" max="7" width="13.5546875" style="70" customWidth="1"/>
    <col min="8" max="8" width="16.88671875" style="70" customWidth="1"/>
    <col min="9" max="9" width="14.5546875" style="70" customWidth="1"/>
    <col min="10" max="10" width="14.88671875" style="70" customWidth="1"/>
    <col min="11" max="11" width="12.5546875" style="70" customWidth="1"/>
    <col min="12" max="12" width="16.5546875" style="70" customWidth="1"/>
    <col min="13" max="13" width="8.88671875" style="191"/>
    <col min="14" max="14" width="5.88671875" style="191" customWidth="1"/>
    <col min="15" max="15" width="11.44140625" style="191" customWidth="1"/>
    <col min="16" max="16" width="12.33203125" style="191" customWidth="1"/>
    <col min="17" max="17" width="6.88671875" style="193" customWidth="1"/>
    <col min="18" max="18" width="10.5546875" style="193" customWidth="1"/>
    <col min="19" max="19" width="13.44140625" style="193" customWidth="1"/>
    <col min="20" max="20" width="17" style="193" customWidth="1"/>
    <col min="21" max="21" width="14.21875" style="193" customWidth="1"/>
    <col min="22" max="22" width="14.5546875" style="193" customWidth="1"/>
    <col min="23" max="23" width="11.88671875" style="193" customWidth="1"/>
    <col min="24" max="24" width="16" style="193" customWidth="1"/>
    <col min="25" max="25" width="15.77734375" style="520" customWidth="1"/>
    <col min="26" max="16384" width="8.88671875" style="191"/>
  </cols>
  <sheetData>
    <row r="1" spans="1:25" s="190" customFormat="1" ht="37.549999999999997" customHeight="1" thickTop="1" thickBot="1" x14ac:dyDescent="0.35">
      <c r="A1" s="215" t="s">
        <v>172</v>
      </c>
      <c r="B1" s="216" t="s">
        <v>171</v>
      </c>
      <c r="C1" s="217" t="s">
        <v>55</v>
      </c>
      <c r="D1" s="216" t="s">
        <v>208</v>
      </c>
      <c r="E1" s="218" t="s">
        <v>97</v>
      </c>
      <c r="F1" s="219" t="s">
        <v>209</v>
      </c>
      <c r="G1" s="219" t="s">
        <v>202</v>
      </c>
      <c r="H1" s="219" t="s">
        <v>203</v>
      </c>
      <c r="I1" s="219" t="s">
        <v>204</v>
      </c>
      <c r="J1" s="219" t="s">
        <v>205</v>
      </c>
      <c r="K1" s="219" t="s">
        <v>206</v>
      </c>
      <c r="L1" s="220" t="s">
        <v>207</v>
      </c>
      <c r="N1" s="246" t="s">
        <v>149</v>
      </c>
      <c r="O1" s="247" t="s">
        <v>55</v>
      </c>
      <c r="P1" s="248" t="s">
        <v>210</v>
      </c>
      <c r="Q1" s="249" t="s">
        <v>97</v>
      </c>
      <c r="R1" s="250" t="s">
        <v>209</v>
      </c>
      <c r="S1" s="250" t="s">
        <v>202</v>
      </c>
      <c r="T1" s="250" t="s">
        <v>203</v>
      </c>
      <c r="U1" s="250" t="s">
        <v>204</v>
      </c>
      <c r="V1" s="250" t="s">
        <v>205</v>
      </c>
      <c r="W1" s="250" t="s">
        <v>206</v>
      </c>
      <c r="X1" s="251" t="s">
        <v>207</v>
      </c>
      <c r="Y1" s="529" t="s">
        <v>232</v>
      </c>
    </row>
    <row r="2" spans="1:25" x14ac:dyDescent="0.3">
      <c r="A2" s="210" t="str">
        <f>UPPER(LEFT(EP!B3,2))&amp;RIGHT(EP!B3,LEN(EP!B3)-2)</f>
        <v>EP</v>
      </c>
      <c r="B2" s="211" t="str" cm="1">
        <f t="array" ref="B2">_xlfn.IFS(A2="EP", "EP", A2="STa", "SPI", A2="STb", "SPO", A2="MRT", "MRT", A2="RG", "RN", A2="RT", "RU", A2="RW", "RL", A2="RC", "RS")</f>
        <v>EP</v>
      </c>
      <c r="C2" s="212">
        <f>INT(EP!A3)</f>
        <v>44294</v>
      </c>
      <c r="D2" s="212" t="str">
        <f>B2&amp;C2</f>
        <v>EP44294</v>
      </c>
      <c r="E2" s="213">
        <f>EP!D3</f>
        <v>6.7</v>
      </c>
      <c r="F2" s="213">
        <f>EP!E3</f>
        <v>23.2</v>
      </c>
      <c r="G2" s="213">
        <f>EP!F3</f>
        <v>0</v>
      </c>
      <c r="H2" s="213">
        <f>EP!H3</f>
        <v>3.54</v>
      </c>
      <c r="I2" s="213">
        <f>EP!G3</f>
        <v>3.57</v>
      </c>
      <c r="J2" s="213">
        <f>EP!I3</f>
        <v>7.0000000000000007E-2</v>
      </c>
      <c r="K2" s="213">
        <f>EP!J3</f>
        <v>5.0000000000000001E-3</v>
      </c>
      <c r="L2" s="214">
        <f>EP!K3</f>
        <v>0.33</v>
      </c>
      <c r="N2" s="241" t="str">
        <f>LEFT(P2, LEN(P2)-5)</f>
        <v>EP</v>
      </c>
      <c r="O2" s="242">
        <f>INT(RIGHT(P2, 5))</f>
        <v>44294</v>
      </c>
      <c r="P2" s="243" t="str">
        <f t="array" ref="P2">INDEX($D$2:$D$278,MATCH(0,COUNTIF($P$1:$P1,$D$2:$D$278),0))</f>
        <v>EP44294</v>
      </c>
      <c r="Q2" s="244">
        <f>AVERAGEIF($D$2:$D$278, $P2, E$2:E$278)</f>
        <v>6.75</v>
      </c>
      <c r="R2" s="244">
        <f t="shared" ref="R2:X2" si="0">AVERAGEIF($D$2:$D$278, $P2, F$2:F$278)</f>
        <v>23.3</v>
      </c>
      <c r="S2" s="244">
        <f t="shared" si="0"/>
        <v>7.0000000000000007E-2</v>
      </c>
      <c r="T2" s="244">
        <f t="shared" si="0"/>
        <v>3.3733333333333335</v>
      </c>
      <c r="U2" s="244">
        <f t="shared" si="0"/>
        <v>3.6300000000000003</v>
      </c>
      <c r="V2" s="244">
        <f t="shared" si="0"/>
        <v>0.11</v>
      </c>
      <c r="W2" s="244">
        <f t="shared" si="0"/>
        <v>6.9999999999999993E-3</v>
      </c>
      <c r="X2" s="245">
        <f t="shared" si="0"/>
        <v>0.22666666666666666</v>
      </c>
      <c r="Y2" s="530" t="str" cm="1">
        <f t="array" ref="Y2">_xlfn.IFS(O2&lt;44361, "Before the burn", O2&lt;44403, "During the burn", O2&gt;44403, "After the burn")</f>
        <v>Before the burn</v>
      </c>
    </row>
    <row r="3" spans="1:25" x14ac:dyDescent="0.3">
      <c r="A3" s="194" t="str">
        <f>UPPER(LEFT(EP!B4,2))&amp;RIGHT(EP!B4,LEN(EP!B4)-2)</f>
        <v>EP</v>
      </c>
      <c r="B3" s="195" t="str" cm="1">
        <f t="array" ref="B3">_xlfn.IFS(A3="EP", "EP", A3="STa", "SPI", A3="STb", "SPO", A3="MRT", "MRT", A3="RG", "RN", A3="RT", "RU", A3="RW", "RL", A3="RC", "RS")</f>
        <v>EP</v>
      </c>
      <c r="C3" s="196">
        <f>INT(EP!A4)</f>
        <v>44294</v>
      </c>
      <c r="D3" s="196" t="str">
        <f t="shared" ref="D3:D66" si="1">B3&amp;C3</f>
        <v>EP44294</v>
      </c>
      <c r="E3" s="197">
        <f>EP!D4</f>
        <v>6.85</v>
      </c>
      <c r="F3" s="197">
        <f>EP!E4</f>
        <v>22.3</v>
      </c>
      <c r="G3" s="197">
        <f>EP!F4</f>
        <v>0.05</v>
      </c>
      <c r="H3" s="197">
        <f>EP!H4</f>
        <v>3.21</v>
      </c>
      <c r="I3" s="197">
        <f>EP!G4</f>
        <v>3.68</v>
      </c>
      <c r="J3" s="197">
        <f>EP!I4</f>
        <v>0.19</v>
      </c>
      <c r="K3" s="197">
        <f>EP!J4</f>
        <v>0.01</v>
      </c>
      <c r="L3" s="198">
        <f>EP!K4</f>
        <v>0.15</v>
      </c>
      <c r="N3" s="236" t="str">
        <f t="shared" ref="N3:N66" si="2">LEFT(P3, LEN(P3)-5)</f>
        <v>EP</v>
      </c>
      <c r="O3" s="237">
        <f t="shared" ref="O3:O66" si="3">INT(RIGHT(P3, 5))</f>
        <v>44306</v>
      </c>
      <c r="P3" s="238" t="str">
        <f t="array" ref="P3">INDEX($D$2:$D$278,MATCH(0,COUNTIF($P$1:$P2,$D$2:$D$278),0))</f>
        <v>EP44306</v>
      </c>
      <c r="Q3" s="239">
        <f t="shared" ref="Q3:Q66" si="4">AVERAGEIF($D$2:$D$278, $P3, E$2:E$278)</f>
        <v>6.85</v>
      </c>
      <c r="R3" s="239">
        <f t="shared" ref="R3:R66" si="5">AVERAGEIF($D$2:$D$278, $P3, F$2:F$278)</f>
        <v>22.3</v>
      </c>
      <c r="S3" s="239">
        <f t="shared" ref="S3:S66" si="6">AVERAGEIF($D$2:$D$278, $P3, G$2:G$278)</f>
        <v>0.05</v>
      </c>
      <c r="T3" s="239">
        <f t="shared" ref="T3:T66" si="7">AVERAGEIF($D$2:$D$278, $P3, H$2:H$278)</f>
        <v>3.21</v>
      </c>
      <c r="U3" s="239">
        <f t="shared" ref="U3:U66" si="8">AVERAGEIF($D$2:$D$278, $P3, I$2:I$278)</f>
        <v>3.68</v>
      </c>
      <c r="V3" s="239">
        <f t="shared" ref="V3:V66" si="9">AVERAGEIF($D$2:$D$278, $P3, J$2:J$278)</f>
        <v>0.19</v>
      </c>
      <c r="W3" s="239">
        <f t="shared" ref="W3:W66" si="10">AVERAGEIF($D$2:$D$278, $P3, K$2:K$278)</f>
        <v>0.01</v>
      </c>
      <c r="X3" s="240">
        <f t="shared" ref="X3:X66" si="11">AVERAGEIF($D$2:$D$278, $P3, L$2:L$278)</f>
        <v>0.15</v>
      </c>
      <c r="Y3" s="531" t="str" cm="1">
        <f t="array" ref="Y3">_xlfn.IFS(O3&lt;44361, "Before the burn", O3&lt;44403, "During the burn", O3&gt;44403, "After the burn")</f>
        <v>Before the burn</v>
      </c>
    </row>
    <row r="4" spans="1:25" x14ac:dyDescent="0.3">
      <c r="A4" s="194" t="str">
        <f>UPPER(LEFT(EP!B5,2))&amp;RIGHT(EP!B5,LEN(EP!B5)-2)</f>
        <v>EP</v>
      </c>
      <c r="B4" s="195" t="str" cm="1">
        <f t="array" ref="B4">_xlfn.IFS(A4="EP", "EP", A4="STa", "SPI", A4="STb", "SPO", A4="MRT", "MRT", A4="RG", "RN", A4="RT", "RU", A4="RW", "RL", A4="RC", "RS")</f>
        <v>EP</v>
      </c>
      <c r="C4" s="196">
        <f>INT(EP!A5)</f>
        <v>44294</v>
      </c>
      <c r="D4" s="196" t="str">
        <f t="shared" si="1"/>
        <v>EP44294</v>
      </c>
      <c r="E4" s="197">
        <f>EP!D5</f>
        <v>6.7</v>
      </c>
      <c r="F4" s="197">
        <f>EP!E5</f>
        <v>24.4</v>
      </c>
      <c r="G4" s="197">
        <f>EP!F5</f>
        <v>0.16</v>
      </c>
      <c r="H4" s="197">
        <f>EP!H5</f>
        <v>3.37</v>
      </c>
      <c r="I4" s="197">
        <f>EP!G5</f>
        <v>3.64</v>
      </c>
      <c r="J4" s="197">
        <f>EP!I5</f>
        <v>7.0000000000000007E-2</v>
      </c>
      <c r="K4" s="197">
        <f>EP!J5</f>
        <v>6.0000000000000001E-3</v>
      </c>
      <c r="L4" s="198">
        <f>EP!K5</f>
        <v>0.2</v>
      </c>
      <c r="N4" s="236" t="str">
        <f t="shared" si="2"/>
        <v>EP</v>
      </c>
      <c r="O4" s="237">
        <f t="shared" si="3"/>
        <v>44313</v>
      </c>
      <c r="P4" s="238" t="str">
        <f t="array" ref="P4">INDEX($D$2:$D$278,MATCH(0,COUNTIF($P$1:$P3,$D$2:$D$278),0))</f>
        <v>EP44313</v>
      </c>
      <c r="Q4" s="239">
        <f t="shared" si="4"/>
        <v>6.7</v>
      </c>
      <c r="R4" s="239">
        <f t="shared" si="5"/>
        <v>24.4</v>
      </c>
      <c r="S4" s="239">
        <f t="shared" si="6"/>
        <v>0.16</v>
      </c>
      <c r="T4" s="239">
        <f t="shared" si="7"/>
        <v>3.37</v>
      </c>
      <c r="U4" s="239">
        <f t="shared" si="8"/>
        <v>3.64</v>
      </c>
      <c r="V4" s="239">
        <f t="shared" si="9"/>
        <v>7.0000000000000007E-2</v>
      </c>
      <c r="W4" s="239">
        <f t="shared" si="10"/>
        <v>6.0000000000000001E-3</v>
      </c>
      <c r="X4" s="240">
        <f t="shared" si="11"/>
        <v>0.2</v>
      </c>
      <c r="Y4" s="531" t="str" cm="1">
        <f t="array" ref="Y4">_xlfn.IFS(O4&lt;44361, "Before the burn", O4&lt;44403, "During the burn", O4&gt;44403, "After the burn")</f>
        <v>Before the burn</v>
      </c>
    </row>
    <row r="5" spans="1:25" x14ac:dyDescent="0.3">
      <c r="A5" s="194" t="str">
        <f>UPPER(LEFT(EP!B6,2))&amp;RIGHT(EP!B6,LEN(EP!B6)-2)</f>
        <v>EP</v>
      </c>
      <c r="B5" s="195" t="str" cm="1">
        <f t="array" ref="B5">_xlfn.IFS(A5="EP", "EP", A5="STa", "SPI", A5="STb", "SPO", A5="MRT", "MRT", A5="RG", "RN", A5="RT", "RU", A5="RW", "RL", A5="RC", "RS")</f>
        <v>EP</v>
      </c>
      <c r="C5" s="196">
        <f>INT(EP!A6)</f>
        <v>44306</v>
      </c>
      <c r="D5" s="196" t="str">
        <f t="shared" si="1"/>
        <v>EP44306</v>
      </c>
      <c r="E5" s="197">
        <f>EP!D6</f>
        <v>6.85</v>
      </c>
      <c r="F5" s="197">
        <f>EP!E6</f>
        <v>22.3</v>
      </c>
      <c r="G5" s="197">
        <f>EP!F6</f>
        <v>0.05</v>
      </c>
      <c r="H5" s="197">
        <f>EP!H6</f>
        <v>3.21</v>
      </c>
      <c r="I5" s="197">
        <f>EP!G6</f>
        <v>3.68</v>
      </c>
      <c r="J5" s="197">
        <f>EP!I6</f>
        <v>0.19</v>
      </c>
      <c r="K5" s="197">
        <f>EP!J6</f>
        <v>0.01</v>
      </c>
      <c r="L5" s="198">
        <f>EP!K6</f>
        <v>0.15</v>
      </c>
      <c r="N5" s="236" t="str">
        <f t="shared" si="2"/>
        <v>EP</v>
      </c>
      <c r="O5" s="237">
        <f t="shared" si="3"/>
        <v>44320</v>
      </c>
      <c r="P5" s="238" t="str">
        <f t="array" ref="P5">INDEX($D$2:$D$278,MATCH(0,COUNTIF($P$1:$P4,$D$2:$D$278),0))</f>
        <v>EP44320</v>
      </c>
      <c r="Q5" s="239">
        <f t="shared" si="4"/>
        <v>6.7</v>
      </c>
      <c r="R5" s="239">
        <f t="shared" si="5"/>
        <v>26.9</v>
      </c>
      <c r="S5" s="239">
        <f t="shared" si="6"/>
        <v>0.12</v>
      </c>
      <c r="T5" s="239">
        <f t="shared" si="7"/>
        <v>3.62</v>
      </c>
      <c r="U5" s="239">
        <f t="shared" si="8"/>
        <v>3.86</v>
      </c>
      <c r="V5" s="239">
        <f t="shared" si="9"/>
        <v>0.09</v>
      </c>
      <c r="W5" s="239">
        <f t="shared" si="10"/>
        <v>1.0999999999999999E-2</v>
      </c>
      <c r="X5" s="240">
        <f t="shared" si="11"/>
        <v>0.19</v>
      </c>
      <c r="Y5" s="531" t="str" cm="1">
        <f t="array" ref="Y5">_xlfn.IFS(O5&lt;44361, "Before the burn", O5&lt;44403, "During the burn", O5&gt;44403, "After the burn")</f>
        <v>Before the burn</v>
      </c>
    </row>
    <row r="6" spans="1:25" x14ac:dyDescent="0.3">
      <c r="A6" s="194" t="str">
        <f>UPPER(LEFT(EP!B7,2))&amp;RIGHT(EP!B7,LEN(EP!B7)-2)</f>
        <v>EP</v>
      </c>
      <c r="B6" s="195" t="str" cm="1">
        <f t="array" ref="B6">_xlfn.IFS(A6="EP", "EP", A6="STa", "SPI", A6="STb", "SPO", A6="MRT", "MRT", A6="RG", "RN", A6="RT", "RU", A6="RW", "RL", A6="RC", "RS")</f>
        <v>EP</v>
      </c>
      <c r="C6" s="196">
        <f>INT(EP!A7)</f>
        <v>44313</v>
      </c>
      <c r="D6" s="196" t="str">
        <f t="shared" si="1"/>
        <v>EP44313</v>
      </c>
      <c r="E6" s="197">
        <f>EP!D7</f>
        <v>6.7</v>
      </c>
      <c r="F6" s="197">
        <f>EP!E7</f>
        <v>24.4</v>
      </c>
      <c r="G6" s="197">
        <f>EP!F7</f>
        <v>0.16</v>
      </c>
      <c r="H6" s="197">
        <f>EP!H7</f>
        <v>3.37</v>
      </c>
      <c r="I6" s="197">
        <f>EP!G7</f>
        <v>3.64</v>
      </c>
      <c r="J6" s="197">
        <f>EP!I7</f>
        <v>7.0000000000000007E-2</v>
      </c>
      <c r="K6" s="197">
        <f>EP!J7</f>
        <v>6.0000000000000001E-3</v>
      </c>
      <c r="L6" s="198">
        <f>EP!K7</f>
        <v>0.2</v>
      </c>
      <c r="N6" s="236" t="str">
        <f t="shared" si="2"/>
        <v>EP</v>
      </c>
      <c r="O6" s="237">
        <f t="shared" si="3"/>
        <v>44327</v>
      </c>
      <c r="P6" s="238" t="str">
        <f t="array" ref="P6">INDEX($D$2:$D$278,MATCH(0,COUNTIF($P$1:$P5,$D$2:$D$278),0))</f>
        <v>EP44327</v>
      </c>
      <c r="Q6" s="239">
        <f t="shared" si="4"/>
        <v>6.69</v>
      </c>
      <c r="R6" s="239">
        <f t="shared" si="5"/>
        <v>26.2</v>
      </c>
      <c r="S6" s="239">
        <f t="shared" si="6"/>
        <v>0.21</v>
      </c>
      <c r="T6" s="239">
        <f t="shared" si="7"/>
        <v>3.61</v>
      </c>
      <c r="U6" s="239">
        <f t="shared" si="8"/>
        <v>3.95</v>
      </c>
      <c r="V6" s="239">
        <f t="shared" si="9"/>
        <v>0.06</v>
      </c>
      <c r="W6" s="239">
        <f t="shared" si="10"/>
        <v>5.0000000000000001E-3</v>
      </c>
      <c r="X6" s="240">
        <f t="shared" si="11"/>
        <v>0.21</v>
      </c>
      <c r="Y6" s="531" t="str" cm="1">
        <f t="array" ref="Y6">_xlfn.IFS(O6&lt;44361, "Before the burn", O6&lt;44403, "During the burn", O6&gt;44403, "After the burn")</f>
        <v>Before the burn</v>
      </c>
    </row>
    <row r="7" spans="1:25" x14ac:dyDescent="0.3">
      <c r="A7" s="194" t="str">
        <f>UPPER(LEFT(EP!B8,2))&amp;RIGHT(EP!B8,LEN(EP!B8)-2)</f>
        <v>EP</v>
      </c>
      <c r="B7" s="195" t="str" cm="1">
        <f t="array" ref="B7">_xlfn.IFS(A7="EP", "EP", A7="STa", "SPI", A7="STb", "SPO", A7="MRT", "MRT", A7="RG", "RN", A7="RT", "RU", A7="RW", "RL", A7="RC", "RS")</f>
        <v>EP</v>
      </c>
      <c r="C7" s="196">
        <f>INT(EP!A8)</f>
        <v>44320</v>
      </c>
      <c r="D7" s="196" t="str">
        <f t="shared" si="1"/>
        <v>EP44320</v>
      </c>
      <c r="E7" s="197">
        <f>EP!D8</f>
        <v>6.7</v>
      </c>
      <c r="F7" s="197">
        <f>EP!E8</f>
        <v>26.9</v>
      </c>
      <c r="G7" s="197">
        <f>EP!F8</f>
        <v>0.12</v>
      </c>
      <c r="H7" s="197">
        <f>EP!H8</f>
        <v>3.62</v>
      </c>
      <c r="I7" s="197">
        <f>EP!G8</f>
        <v>3.86</v>
      </c>
      <c r="J7" s="197">
        <f>EP!I8</f>
        <v>0.09</v>
      </c>
      <c r="K7" s="197">
        <f>EP!J8</f>
        <v>1.0999999999999999E-2</v>
      </c>
      <c r="L7" s="198">
        <f>EP!K8</f>
        <v>0.19</v>
      </c>
      <c r="N7" s="236" t="str">
        <f t="shared" si="2"/>
        <v>EP</v>
      </c>
      <c r="O7" s="237">
        <f t="shared" si="3"/>
        <v>44335</v>
      </c>
      <c r="P7" s="238" t="str">
        <f t="array" ref="P7">INDEX($D$2:$D$278,MATCH(0,COUNTIF($P$1:$P6,$D$2:$D$278),0))</f>
        <v>EP44335</v>
      </c>
      <c r="Q7" s="239">
        <f t="shared" si="4"/>
        <v>6.72</v>
      </c>
      <c r="R7" s="239">
        <f t="shared" si="5"/>
        <v>25.2</v>
      </c>
      <c r="S7" s="239">
        <f t="shared" si="6"/>
        <v>0.17</v>
      </c>
      <c r="T7" s="239">
        <f t="shared" si="7"/>
        <v>3.6</v>
      </c>
      <c r="U7" s="239">
        <f t="shared" si="8"/>
        <v>3.86</v>
      </c>
      <c r="V7" s="239">
        <f t="shared" si="9"/>
        <v>0.25</v>
      </c>
      <c r="W7" s="239">
        <f t="shared" si="10"/>
        <v>8.0000000000000002E-3</v>
      </c>
      <c r="X7" s="240">
        <f t="shared" si="11"/>
        <v>0.24</v>
      </c>
      <c r="Y7" s="531" t="str" cm="1">
        <f t="array" ref="Y7">_xlfn.IFS(O7&lt;44361, "Before the burn", O7&lt;44403, "During the burn", O7&gt;44403, "After the burn")</f>
        <v>Before the burn</v>
      </c>
    </row>
    <row r="8" spans="1:25" x14ac:dyDescent="0.3">
      <c r="A8" s="194" t="str">
        <f>UPPER(LEFT(EP!B9,2))&amp;RIGHT(EP!B9,LEN(EP!B9)-2)</f>
        <v>EP</v>
      </c>
      <c r="B8" s="195" t="str" cm="1">
        <f t="array" ref="B8">_xlfn.IFS(A8="EP", "EP", A8="STa", "SPI", A8="STb", "SPO", A8="MRT", "MRT", A8="RG", "RN", A8="RT", "RU", A8="RW", "RL", A8="RC", "RS")</f>
        <v>EP</v>
      </c>
      <c r="C8" s="196">
        <f>INT(EP!A9)</f>
        <v>44327</v>
      </c>
      <c r="D8" s="196" t="str">
        <f t="shared" si="1"/>
        <v>EP44327</v>
      </c>
      <c r="E8" s="197">
        <f>EP!D9</f>
        <v>6.69</v>
      </c>
      <c r="F8" s="197">
        <f>EP!E9</f>
        <v>26.2</v>
      </c>
      <c r="G8" s="197">
        <f>EP!F9</f>
        <v>0.21</v>
      </c>
      <c r="H8" s="197">
        <f>EP!H9</f>
        <v>3.61</v>
      </c>
      <c r="I8" s="197">
        <f>EP!G9</f>
        <v>3.95</v>
      </c>
      <c r="J8" s="197">
        <f>EP!I9</f>
        <v>0.06</v>
      </c>
      <c r="K8" s="197">
        <f>EP!J9</f>
        <v>5.0000000000000001E-3</v>
      </c>
      <c r="L8" s="198">
        <f>EP!K9</f>
        <v>0.21</v>
      </c>
      <c r="N8" s="236" t="str">
        <f t="shared" si="2"/>
        <v>EP</v>
      </c>
      <c r="O8" s="237">
        <f t="shared" si="3"/>
        <v>44342</v>
      </c>
      <c r="P8" s="238" t="str">
        <f t="array" ref="P8">INDEX($D$2:$D$278,MATCH(0,COUNTIF($P$1:$P7,$D$2:$D$278),0))</f>
        <v>EP44342</v>
      </c>
      <c r="Q8" s="239">
        <f t="shared" si="4"/>
        <v>6.66</v>
      </c>
      <c r="R8" s="239">
        <f t="shared" si="5"/>
        <v>28.1</v>
      </c>
      <c r="S8" s="239">
        <f t="shared" si="6"/>
        <v>0.08</v>
      </c>
      <c r="T8" s="239">
        <f t="shared" si="7"/>
        <v>3.5</v>
      </c>
      <c r="U8" s="239">
        <f t="shared" si="8"/>
        <v>3.83</v>
      </c>
      <c r="V8" s="239">
        <f t="shared" si="9"/>
        <v>7.0000000000000007E-2</v>
      </c>
      <c r="W8" s="239">
        <f t="shared" si="10"/>
        <v>7.0000000000000001E-3</v>
      </c>
      <c r="X8" s="240">
        <f t="shared" si="11"/>
        <v>0.24</v>
      </c>
      <c r="Y8" s="531" t="str" cm="1">
        <f t="array" ref="Y8">_xlfn.IFS(O8&lt;44361, "Before the burn", O8&lt;44403, "During the burn", O8&gt;44403, "After the burn")</f>
        <v>Before the burn</v>
      </c>
    </row>
    <row r="9" spans="1:25" x14ac:dyDescent="0.3">
      <c r="A9" s="194" t="str">
        <f>UPPER(LEFT(EP!B10,2))&amp;RIGHT(EP!B10,LEN(EP!B10)-2)</f>
        <v>EP</v>
      </c>
      <c r="B9" s="195" t="str" cm="1">
        <f t="array" ref="B9">_xlfn.IFS(A9="EP", "EP", A9="STa", "SPI", A9="STb", "SPO", A9="MRT", "MRT", A9="RG", "RN", A9="RT", "RU", A9="RW", "RL", A9="RC", "RS")</f>
        <v>EP</v>
      </c>
      <c r="C9" s="196">
        <f>INT(EP!A10)</f>
        <v>44335</v>
      </c>
      <c r="D9" s="196" t="str">
        <f t="shared" si="1"/>
        <v>EP44335</v>
      </c>
      <c r="E9" s="197">
        <f>EP!D10</f>
        <v>6.72</v>
      </c>
      <c r="F9" s="197">
        <f>EP!E10</f>
        <v>25.2</v>
      </c>
      <c r="G9" s="197">
        <f>EP!F10</f>
        <v>0.17</v>
      </c>
      <c r="H9" s="197">
        <f>EP!H10</f>
        <v>3.6</v>
      </c>
      <c r="I9" s="197">
        <f>EP!G10</f>
        <v>3.86</v>
      </c>
      <c r="J9" s="197">
        <f>EP!I10</f>
        <v>0.25</v>
      </c>
      <c r="K9" s="197">
        <f>EP!J10</f>
        <v>8.0000000000000002E-3</v>
      </c>
      <c r="L9" s="198">
        <f>EP!K10</f>
        <v>0.24</v>
      </c>
      <c r="N9" s="236" t="str">
        <f t="shared" si="2"/>
        <v>EP</v>
      </c>
      <c r="O9" s="237">
        <f t="shared" si="3"/>
        <v>44350</v>
      </c>
      <c r="P9" s="238" t="str">
        <f t="array" ref="P9">INDEX($D$2:$D$278,MATCH(0,COUNTIF($P$1:$P8,$D$2:$D$278),0))</f>
        <v>EP44350</v>
      </c>
      <c r="Q9" s="239">
        <f t="shared" si="4"/>
        <v>6.58</v>
      </c>
      <c r="R9" s="239">
        <f t="shared" si="5"/>
        <v>29.6</v>
      </c>
      <c r="S9" s="239">
        <f t="shared" si="6"/>
        <v>0.08</v>
      </c>
      <c r="T9" s="239">
        <f t="shared" si="7"/>
        <v>3.32</v>
      </c>
      <c r="U9" s="239">
        <f t="shared" si="8"/>
        <v>3.64</v>
      </c>
      <c r="V9" s="239">
        <f t="shared" si="9"/>
        <v>0.56000000000000005</v>
      </c>
      <c r="W9" s="239">
        <f t="shared" si="10"/>
        <v>8.0000000000000002E-3</v>
      </c>
      <c r="X9" s="240">
        <f t="shared" si="11"/>
        <v>0.28000000000000003</v>
      </c>
      <c r="Y9" s="531" t="str" cm="1">
        <f t="array" ref="Y9">_xlfn.IFS(O9&lt;44361, "Before the burn", O9&lt;44403, "During the burn", O9&gt;44403, "After the burn")</f>
        <v>Before the burn</v>
      </c>
    </row>
    <row r="10" spans="1:25" x14ac:dyDescent="0.3">
      <c r="A10" s="194" t="str">
        <f>UPPER(LEFT(EP!B11,2))&amp;RIGHT(EP!B11,LEN(EP!B11)-2)</f>
        <v>EP</v>
      </c>
      <c r="B10" s="195" t="str" cm="1">
        <f t="array" ref="B10">_xlfn.IFS(A10="EP", "EP", A10="STa", "SPI", A10="STb", "SPO", A10="MRT", "MRT", A10="RG", "RN", A10="RT", "RU", A10="RW", "RL", A10="RC", "RS")</f>
        <v>EP</v>
      </c>
      <c r="C10" s="196">
        <f>INT(EP!A11)</f>
        <v>44342</v>
      </c>
      <c r="D10" s="196" t="str">
        <f t="shared" si="1"/>
        <v>EP44342</v>
      </c>
      <c r="E10" s="197">
        <f>EP!D11</f>
        <v>6.66</v>
      </c>
      <c r="F10" s="197">
        <f>EP!E11</f>
        <v>28.1</v>
      </c>
      <c r="G10" s="197">
        <f>EP!F11</f>
        <v>0.08</v>
      </c>
      <c r="H10" s="197">
        <f>EP!H11</f>
        <v>3.5</v>
      </c>
      <c r="I10" s="197">
        <f>EP!G11</f>
        <v>3.83</v>
      </c>
      <c r="J10" s="197">
        <f>EP!I11</f>
        <v>7.0000000000000007E-2</v>
      </c>
      <c r="K10" s="197">
        <f>EP!J11</f>
        <v>7.0000000000000001E-3</v>
      </c>
      <c r="L10" s="198">
        <f>EP!K11</f>
        <v>0.24</v>
      </c>
      <c r="N10" s="236" t="str">
        <f t="shared" si="2"/>
        <v>EP</v>
      </c>
      <c r="O10" s="237">
        <f t="shared" si="3"/>
        <v>44356</v>
      </c>
      <c r="P10" s="238" t="str">
        <f t="array" ref="P10">INDEX($D$2:$D$278,MATCH(0,COUNTIF($P$1:$P9,$D$2:$D$278),0))</f>
        <v>EP44356</v>
      </c>
      <c r="Q10" s="239">
        <f t="shared" si="4"/>
        <v>6.69</v>
      </c>
      <c r="R10" s="239">
        <f t="shared" si="5"/>
        <v>28.6</v>
      </c>
      <c r="S10" s="239">
        <f t="shared" si="6"/>
        <v>0.08</v>
      </c>
      <c r="T10" s="239">
        <f t="shared" si="7"/>
        <v>3.91</v>
      </c>
      <c r="U10" s="239">
        <f t="shared" si="8"/>
        <v>4.08</v>
      </c>
      <c r="V10" s="239">
        <f t="shared" si="9"/>
        <v>0.14000000000000001</v>
      </c>
      <c r="W10" s="239">
        <f t="shared" si="10"/>
        <v>8.0000000000000002E-3</v>
      </c>
      <c r="X10" s="240">
        <f t="shared" si="11"/>
        <v>0.27</v>
      </c>
      <c r="Y10" s="531" t="str" cm="1">
        <f t="array" ref="Y10">_xlfn.IFS(O10&lt;44361, "Before the burn", O10&lt;44403, "During the burn", O10&gt;44403, "After the burn")</f>
        <v>Before the burn</v>
      </c>
    </row>
    <row r="11" spans="1:25" x14ac:dyDescent="0.3">
      <c r="A11" s="194" t="str">
        <f>UPPER(LEFT(EP!B12,2))&amp;RIGHT(EP!B12,LEN(EP!B12)-2)</f>
        <v>EP</v>
      </c>
      <c r="B11" s="195" t="str" cm="1">
        <f t="array" ref="B11">_xlfn.IFS(A11="EP", "EP", A11="STa", "SPI", A11="STb", "SPO", A11="MRT", "MRT", A11="RG", "RN", A11="RT", "RU", A11="RW", "RL", A11="RC", "RS")</f>
        <v>EP</v>
      </c>
      <c r="C11" s="196">
        <f>INT(EP!A12)</f>
        <v>44350</v>
      </c>
      <c r="D11" s="196" t="str">
        <f t="shared" si="1"/>
        <v>EP44350</v>
      </c>
      <c r="E11" s="197">
        <f>EP!D12</f>
        <v>6.58</v>
      </c>
      <c r="F11" s="197">
        <f>EP!E12</f>
        <v>29.6</v>
      </c>
      <c r="G11" s="197">
        <f>EP!F12</f>
        <v>0.08</v>
      </c>
      <c r="H11" s="197">
        <f>EP!H12</f>
        <v>3.32</v>
      </c>
      <c r="I11" s="197">
        <f>EP!G12</f>
        <v>3.64</v>
      </c>
      <c r="J11" s="197">
        <f>EP!I12</f>
        <v>0.56000000000000005</v>
      </c>
      <c r="K11" s="197">
        <f>EP!J12</f>
        <v>8.0000000000000002E-3</v>
      </c>
      <c r="L11" s="198">
        <f>EP!K12</f>
        <v>0.28000000000000003</v>
      </c>
      <c r="N11" s="236" t="str">
        <f t="shared" si="2"/>
        <v>EP</v>
      </c>
      <c r="O11" s="237">
        <f t="shared" si="3"/>
        <v>44363</v>
      </c>
      <c r="P11" s="238" t="str">
        <f t="array" ref="P11">INDEX($D$2:$D$278,MATCH(0,COUNTIF($P$1:$P10,$D$2:$D$278),0))</f>
        <v>EP44363</v>
      </c>
      <c r="Q11" s="239">
        <f t="shared" si="4"/>
        <v>6.79</v>
      </c>
      <c r="R11" s="239">
        <f t="shared" si="5"/>
        <v>33.9</v>
      </c>
      <c r="S11" s="239">
        <f t="shared" si="6"/>
        <v>3.82</v>
      </c>
      <c r="T11" s="239">
        <f t="shared" si="7"/>
        <v>0.01</v>
      </c>
      <c r="U11" s="239">
        <f t="shared" si="8"/>
        <v>3.89</v>
      </c>
      <c r="V11" s="239">
        <f t="shared" si="9"/>
        <v>0.08</v>
      </c>
      <c r="W11" s="239">
        <f t="shared" si="10"/>
        <v>7.0000000000000001E-3</v>
      </c>
      <c r="X11" s="240">
        <f t="shared" si="11"/>
        <v>0.28000000000000003</v>
      </c>
      <c r="Y11" s="531" t="str" cm="1">
        <f t="array" ref="Y11">_xlfn.IFS(O11&lt;44361, "Before the burn", O11&lt;44403, "During the burn", O11&gt;44403, "After the burn")</f>
        <v>During the burn</v>
      </c>
    </row>
    <row r="12" spans="1:25" x14ac:dyDescent="0.3">
      <c r="A12" s="194" t="str">
        <f>UPPER(LEFT(EP!B13,2))&amp;RIGHT(EP!B13,LEN(EP!B13)-2)</f>
        <v>EP</v>
      </c>
      <c r="B12" s="195" t="str" cm="1">
        <f t="array" ref="B12">_xlfn.IFS(A12="EP", "EP", A12="STa", "SPI", A12="STb", "SPO", A12="MRT", "MRT", A12="RG", "RN", A12="RT", "RU", A12="RW", "RL", A12="RC", "RS")</f>
        <v>EP</v>
      </c>
      <c r="C12" s="196">
        <f>INT(EP!A13)</f>
        <v>44356</v>
      </c>
      <c r="D12" s="196" t="str">
        <f t="shared" si="1"/>
        <v>EP44356</v>
      </c>
      <c r="E12" s="197">
        <f>EP!D13</f>
        <v>6.69</v>
      </c>
      <c r="F12" s="197">
        <f>EP!E13</f>
        <v>28.6</v>
      </c>
      <c r="G12" s="197">
        <f>EP!F13</f>
        <v>0.08</v>
      </c>
      <c r="H12" s="197">
        <f>EP!H13</f>
        <v>3.91</v>
      </c>
      <c r="I12" s="197">
        <f>EP!G13</f>
        <v>4.08</v>
      </c>
      <c r="J12" s="197">
        <f>EP!I13</f>
        <v>0.14000000000000001</v>
      </c>
      <c r="K12" s="197">
        <f>EP!J13</f>
        <v>8.0000000000000002E-3</v>
      </c>
      <c r="L12" s="198">
        <f>EP!K13</f>
        <v>0.27</v>
      </c>
      <c r="N12" s="236" t="str">
        <f t="shared" si="2"/>
        <v>EP</v>
      </c>
      <c r="O12" s="237">
        <f t="shared" si="3"/>
        <v>44370</v>
      </c>
      <c r="P12" s="238" t="str">
        <f t="array" ref="P12">INDEX($D$2:$D$278,MATCH(0,COUNTIF($P$1:$P11,$D$2:$D$278),0))</f>
        <v>EP44370</v>
      </c>
      <c r="Q12" s="239">
        <f t="shared" si="4"/>
        <v>6.98</v>
      </c>
      <c r="R12" s="239">
        <f t="shared" si="5"/>
        <v>28.3</v>
      </c>
      <c r="S12" s="239">
        <f t="shared" si="6"/>
        <v>4.0599999999999996</v>
      </c>
      <c r="T12" s="239">
        <f t="shared" si="7"/>
        <v>0</v>
      </c>
      <c r="U12" s="239">
        <f t="shared" si="8"/>
        <v>3.83</v>
      </c>
      <c r="V12" s="239">
        <f t="shared" si="9"/>
        <v>0.03</v>
      </c>
      <c r="W12" s="239">
        <f t="shared" si="10"/>
        <v>8.0000000000000002E-3</v>
      </c>
      <c r="X12" s="240">
        <f t="shared" si="11"/>
        <v>0.27</v>
      </c>
      <c r="Y12" s="531" t="str" cm="1">
        <f t="array" ref="Y12">_xlfn.IFS(O12&lt;44361, "Before the burn", O12&lt;44403, "During the burn", O12&gt;44403, "After the burn")</f>
        <v>During the burn</v>
      </c>
    </row>
    <row r="13" spans="1:25" x14ac:dyDescent="0.3">
      <c r="A13" s="194" t="str">
        <f>UPPER(LEFT(EP!B14,2))&amp;RIGHT(EP!B14,LEN(EP!B14)-2)</f>
        <v>EP</v>
      </c>
      <c r="B13" s="195" t="str" cm="1">
        <f t="array" ref="B13">_xlfn.IFS(A13="EP", "EP", A13="STa", "SPI", A13="STb", "SPO", A13="MRT", "MRT", A13="RG", "RN", A13="RT", "RU", A13="RW", "RL", A13="RC", "RS")</f>
        <v>EP</v>
      </c>
      <c r="C13" s="196">
        <f>INT(EP!A14)</f>
        <v>44363</v>
      </c>
      <c r="D13" s="196" t="str">
        <f t="shared" si="1"/>
        <v>EP44363</v>
      </c>
      <c r="E13" s="197">
        <f>EP!D14</f>
        <v>6.79</v>
      </c>
      <c r="F13" s="197">
        <f>EP!E14</f>
        <v>33.9</v>
      </c>
      <c r="G13" s="197">
        <f>EP!F14</f>
        <v>3.82</v>
      </c>
      <c r="H13" s="197">
        <f>EP!H14</f>
        <v>0.01</v>
      </c>
      <c r="I13" s="197">
        <f>EP!G14</f>
        <v>3.89</v>
      </c>
      <c r="J13" s="197">
        <f>EP!I14</f>
        <v>0.08</v>
      </c>
      <c r="K13" s="197">
        <f>EP!J14</f>
        <v>7.0000000000000001E-3</v>
      </c>
      <c r="L13" s="198">
        <f>EP!K14</f>
        <v>0.28000000000000003</v>
      </c>
      <c r="N13" s="236" t="str">
        <f t="shared" si="2"/>
        <v>EP</v>
      </c>
      <c r="O13" s="237">
        <f t="shared" si="3"/>
        <v>44377</v>
      </c>
      <c r="P13" s="238" t="str">
        <f t="array" ref="P13">INDEX($D$2:$D$278,MATCH(0,COUNTIF($P$1:$P12,$D$2:$D$278),0))</f>
        <v>EP44377</v>
      </c>
      <c r="Q13" s="239">
        <f t="shared" si="4"/>
        <v>6.71</v>
      </c>
      <c r="R13" s="239">
        <f t="shared" si="5"/>
        <v>30.2</v>
      </c>
      <c r="S13" s="239">
        <f t="shared" si="6"/>
        <v>3.49</v>
      </c>
      <c r="T13" s="239">
        <f t="shared" si="7"/>
        <v>0.31</v>
      </c>
      <c r="U13" s="239">
        <f t="shared" si="8"/>
        <v>3.46</v>
      </c>
      <c r="V13" s="239">
        <f t="shared" si="9"/>
        <v>0.26</v>
      </c>
      <c r="W13" s="239">
        <f t="shared" si="10"/>
        <v>0</v>
      </c>
      <c r="X13" s="240">
        <f t="shared" si="11"/>
        <v>0.24</v>
      </c>
      <c r="Y13" s="531" t="str" cm="1">
        <f t="array" ref="Y13">_xlfn.IFS(O13&lt;44361, "Before the burn", O13&lt;44403, "During the burn", O13&gt;44403, "After the burn")</f>
        <v>During the burn</v>
      </c>
    </row>
    <row r="14" spans="1:25" x14ac:dyDescent="0.3">
      <c r="A14" s="194" t="str">
        <f>UPPER(LEFT(EP!B15,2))&amp;RIGHT(EP!B15,LEN(EP!B15)-2)</f>
        <v>EP</v>
      </c>
      <c r="B14" s="195" t="str" cm="1">
        <f t="array" ref="B14">_xlfn.IFS(A14="EP", "EP", A14="STa", "SPI", A14="STb", "SPO", A14="MRT", "MRT", A14="RG", "RN", A14="RT", "RU", A14="RW", "RL", A14="RC", "RS")</f>
        <v>EP</v>
      </c>
      <c r="C14" s="196">
        <f>INT(EP!A15)</f>
        <v>44370</v>
      </c>
      <c r="D14" s="196" t="str">
        <f t="shared" si="1"/>
        <v>EP44370</v>
      </c>
      <c r="E14" s="197">
        <f>EP!D15</f>
        <v>6.98</v>
      </c>
      <c r="F14" s="197">
        <f>EP!E15</f>
        <v>28.3</v>
      </c>
      <c r="G14" s="197">
        <f>EP!F15</f>
        <v>4.0599999999999996</v>
      </c>
      <c r="H14" s="197">
        <f>EP!H15</f>
        <v>0</v>
      </c>
      <c r="I14" s="197">
        <f>EP!G15</f>
        <v>3.83</v>
      </c>
      <c r="J14" s="197">
        <f>EP!I15</f>
        <v>0.03</v>
      </c>
      <c r="K14" s="197">
        <f>EP!J15</f>
        <v>8.0000000000000002E-3</v>
      </c>
      <c r="L14" s="198">
        <f>EP!K15</f>
        <v>0.27</v>
      </c>
      <c r="N14" s="236" t="str">
        <f t="shared" si="2"/>
        <v>EP</v>
      </c>
      <c r="O14" s="237">
        <f t="shared" si="3"/>
        <v>44385</v>
      </c>
      <c r="P14" s="238" t="str">
        <f t="array" ref="P14">INDEX($D$2:$D$278,MATCH(0,COUNTIF($P$1:$P13,$D$2:$D$278),0))</f>
        <v>EP44385</v>
      </c>
      <c r="Q14" s="239">
        <f t="shared" si="4"/>
        <v>6.71</v>
      </c>
      <c r="R14" s="239">
        <f t="shared" si="5"/>
        <v>31.5</v>
      </c>
      <c r="S14" s="239">
        <f t="shared" si="6"/>
        <v>3.67</v>
      </c>
      <c r="T14" s="239">
        <f t="shared" si="7"/>
        <v>0</v>
      </c>
      <c r="U14" s="239">
        <f t="shared" si="8"/>
        <v>3.53</v>
      </c>
      <c r="V14" s="239">
        <f t="shared" si="9"/>
        <v>0.06</v>
      </c>
      <c r="W14" s="239">
        <f t="shared" si="10"/>
        <v>7.0000000000000001E-3</v>
      </c>
      <c r="X14" s="240">
        <f t="shared" si="11"/>
        <v>0.28999999999999998</v>
      </c>
      <c r="Y14" s="531" t="str" cm="1">
        <f t="array" ref="Y14">_xlfn.IFS(O14&lt;44361, "Before the burn", O14&lt;44403, "During the burn", O14&gt;44403, "After the burn")</f>
        <v>During the burn</v>
      </c>
    </row>
    <row r="15" spans="1:25" x14ac:dyDescent="0.3">
      <c r="A15" s="194" t="str">
        <f>UPPER(LEFT(EP!B16,2))&amp;RIGHT(EP!B16,LEN(EP!B16)-2)</f>
        <v>EP</v>
      </c>
      <c r="B15" s="195" t="str" cm="1">
        <f t="array" ref="B15">_xlfn.IFS(A15="EP", "EP", A15="STa", "SPI", A15="STb", "SPO", A15="MRT", "MRT", A15="RG", "RN", A15="RT", "RU", A15="RW", "RL", A15="RC", "RS")</f>
        <v>EP</v>
      </c>
      <c r="C15" s="196">
        <f>INT(EP!A16)</f>
        <v>44377</v>
      </c>
      <c r="D15" s="196" t="str">
        <f t="shared" si="1"/>
        <v>EP44377</v>
      </c>
      <c r="E15" s="197">
        <f>EP!D16</f>
        <v>6.71</v>
      </c>
      <c r="F15" s="197">
        <f>EP!E16</f>
        <v>30.2</v>
      </c>
      <c r="G15" s="197">
        <f>EP!F16</f>
        <v>3.49</v>
      </c>
      <c r="H15" s="197">
        <f>EP!H16</f>
        <v>0.31</v>
      </c>
      <c r="I15" s="197">
        <f>EP!G16</f>
        <v>3.46</v>
      </c>
      <c r="J15" s="197">
        <f>EP!I16</f>
        <v>0.26</v>
      </c>
      <c r="K15" s="197">
        <f>EP!J16</f>
        <v>0</v>
      </c>
      <c r="L15" s="198">
        <f>EP!K16</f>
        <v>0.24</v>
      </c>
      <c r="N15" s="236" t="str">
        <f t="shared" si="2"/>
        <v>EP</v>
      </c>
      <c r="O15" s="237">
        <f t="shared" si="3"/>
        <v>44391</v>
      </c>
      <c r="P15" s="238" t="str">
        <f t="array" ref="P15">INDEX($D$2:$D$278,MATCH(0,COUNTIF($P$1:$P14,$D$2:$D$278),0))</f>
        <v>EP44391</v>
      </c>
      <c r="Q15" s="239">
        <f t="shared" si="4"/>
        <v>6.11</v>
      </c>
      <c r="R15" s="239">
        <f t="shared" si="5"/>
        <v>29.2</v>
      </c>
      <c r="S15" s="239">
        <f t="shared" si="6"/>
        <v>3.82</v>
      </c>
      <c r="T15" s="239">
        <f t="shared" si="7"/>
        <v>0.02</v>
      </c>
      <c r="U15" s="239">
        <f t="shared" si="8"/>
        <v>3.67</v>
      </c>
      <c r="V15" s="239">
        <f t="shared" si="9"/>
        <v>7.0000000000000007E-2</v>
      </c>
      <c r="W15" s="239">
        <f t="shared" si="10"/>
        <v>7.0000000000000001E-3</v>
      </c>
      <c r="X15" s="240">
        <f t="shared" si="11"/>
        <v>0.23</v>
      </c>
      <c r="Y15" s="531" t="str" cm="1">
        <f t="array" ref="Y15">_xlfn.IFS(O15&lt;44361, "Before the burn", O15&lt;44403, "During the burn", O15&gt;44403, "After the burn")</f>
        <v>During the burn</v>
      </c>
    </row>
    <row r="16" spans="1:25" x14ac:dyDescent="0.3">
      <c r="A16" s="194" t="str">
        <f>UPPER(LEFT(EP!B17,2))&amp;RIGHT(EP!B17,LEN(EP!B17)-2)</f>
        <v>EP</v>
      </c>
      <c r="B16" s="195" t="str" cm="1">
        <f t="array" ref="B16">_xlfn.IFS(A16="EP", "EP", A16="STa", "SPI", A16="STb", "SPO", A16="MRT", "MRT", A16="RG", "RN", A16="RT", "RU", A16="RW", "RL", A16="RC", "RS")</f>
        <v>EP</v>
      </c>
      <c r="C16" s="196">
        <f>INT(EP!A17)</f>
        <v>44385</v>
      </c>
      <c r="D16" s="196" t="str">
        <f t="shared" si="1"/>
        <v>EP44385</v>
      </c>
      <c r="E16" s="197">
        <f>EP!D17</f>
        <v>6.71</v>
      </c>
      <c r="F16" s="197">
        <f>EP!E17</f>
        <v>31.5</v>
      </c>
      <c r="G16" s="197">
        <f>EP!F17</f>
        <v>3.67</v>
      </c>
      <c r="H16" s="197">
        <f>EP!H17</f>
        <v>0</v>
      </c>
      <c r="I16" s="197">
        <f>EP!G17</f>
        <v>3.53</v>
      </c>
      <c r="J16" s="197">
        <f>EP!I17</f>
        <v>0.06</v>
      </c>
      <c r="K16" s="197">
        <f>EP!J17</f>
        <v>7.0000000000000001E-3</v>
      </c>
      <c r="L16" s="198">
        <f>EP!K17</f>
        <v>0.28999999999999998</v>
      </c>
      <c r="N16" s="236" t="str">
        <f t="shared" si="2"/>
        <v>EP</v>
      </c>
      <c r="O16" s="237">
        <f t="shared" si="3"/>
        <v>44398</v>
      </c>
      <c r="P16" s="238" t="str">
        <f t="array" ref="P16">INDEX($D$2:$D$278,MATCH(0,COUNTIF($P$1:$P15,$D$2:$D$278),0))</f>
        <v>EP44398</v>
      </c>
      <c r="Q16" s="239">
        <f t="shared" si="4"/>
        <v>6.77</v>
      </c>
      <c r="R16" s="239">
        <f t="shared" si="5"/>
        <v>27.4</v>
      </c>
      <c r="S16" s="239">
        <f t="shared" si="6"/>
        <v>3.92</v>
      </c>
      <c r="T16" s="239">
        <f t="shared" si="7"/>
        <v>0.01</v>
      </c>
      <c r="U16" s="239">
        <f t="shared" si="8"/>
        <v>3.82</v>
      </c>
      <c r="V16" s="239">
        <f t="shared" si="9"/>
        <v>0.01</v>
      </c>
      <c r="W16" s="239">
        <f t="shared" si="10"/>
        <v>6.0000000000000001E-3</v>
      </c>
      <c r="X16" s="240">
        <f t="shared" si="11"/>
        <v>0.19</v>
      </c>
      <c r="Y16" s="531" t="str" cm="1">
        <f t="array" ref="Y16">_xlfn.IFS(O16&lt;44361, "Before the burn", O16&lt;44403, "During the burn", O16&gt;44403, "After the burn")</f>
        <v>During the burn</v>
      </c>
    </row>
    <row r="17" spans="1:25" x14ac:dyDescent="0.3">
      <c r="A17" s="194" t="str">
        <f>UPPER(LEFT(EP!B18,2))&amp;RIGHT(EP!B18,LEN(EP!B18)-2)</f>
        <v>EP</v>
      </c>
      <c r="B17" s="195" t="str" cm="1">
        <f t="array" ref="B17">_xlfn.IFS(A17="EP", "EP", A17="STa", "SPI", A17="STb", "SPO", A17="MRT", "MRT", A17="RG", "RN", A17="RT", "RU", A17="RW", "RL", A17="RC", "RS")</f>
        <v>EP</v>
      </c>
      <c r="C17" s="196">
        <f>INT(EP!A18)</f>
        <v>44391</v>
      </c>
      <c r="D17" s="196" t="str">
        <f t="shared" si="1"/>
        <v>EP44391</v>
      </c>
      <c r="E17" s="197">
        <f>EP!D18</f>
        <v>6.11</v>
      </c>
      <c r="F17" s="197">
        <f>EP!E18</f>
        <v>29.2</v>
      </c>
      <c r="G17" s="197">
        <f>EP!F18</f>
        <v>3.82</v>
      </c>
      <c r="H17" s="197">
        <f>EP!H18</f>
        <v>0.02</v>
      </c>
      <c r="I17" s="197">
        <f>EP!G18</f>
        <v>3.67</v>
      </c>
      <c r="J17" s="197">
        <f>EP!I18</f>
        <v>7.0000000000000007E-2</v>
      </c>
      <c r="K17" s="197">
        <f>EP!J18</f>
        <v>7.0000000000000001E-3</v>
      </c>
      <c r="L17" s="198">
        <f>EP!K18</f>
        <v>0.23</v>
      </c>
      <c r="N17" s="236" t="str">
        <f t="shared" si="2"/>
        <v>EP</v>
      </c>
      <c r="O17" s="237">
        <f t="shared" si="3"/>
        <v>44405</v>
      </c>
      <c r="P17" s="238" t="str">
        <f t="array" ref="P17">INDEX($D$2:$D$278,MATCH(0,COUNTIF($P$1:$P16,$D$2:$D$278),0))</f>
        <v>EP44405</v>
      </c>
      <c r="Q17" s="239">
        <f t="shared" si="4"/>
        <v>6.71</v>
      </c>
      <c r="R17" s="239">
        <f t="shared" si="5"/>
        <v>31.9</v>
      </c>
      <c r="S17" s="239">
        <f t="shared" si="6"/>
        <v>0.09</v>
      </c>
      <c r="T17" s="239">
        <f t="shared" si="7"/>
        <v>3.49</v>
      </c>
      <c r="U17" s="239">
        <f t="shared" si="8"/>
        <v>4.0599999999999996</v>
      </c>
      <c r="V17" s="239">
        <f t="shared" si="9"/>
        <v>0.04</v>
      </c>
      <c r="W17" s="239">
        <f t="shared" si="10"/>
        <v>7.0000000000000001E-3</v>
      </c>
      <c r="X17" s="240">
        <f t="shared" si="11"/>
        <v>0.3</v>
      </c>
      <c r="Y17" s="531" t="str" cm="1">
        <f t="array" ref="Y17">_xlfn.IFS(O17&lt;44361, "Before the burn", O17&lt;44403, "During the burn", O17&gt;44403, "After the burn")</f>
        <v>After the burn</v>
      </c>
    </row>
    <row r="18" spans="1:25" x14ac:dyDescent="0.3">
      <c r="A18" s="194" t="str">
        <f>UPPER(LEFT(EP!B19,2))&amp;RIGHT(EP!B19,LEN(EP!B19)-2)</f>
        <v>EP</v>
      </c>
      <c r="B18" s="195" t="str" cm="1">
        <f t="array" ref="B18">_xlfn.IFS(A18="EP", "EP", A18="STa", "SPI", A18="STb", "SPO", A18="MRT", "MRT", A18="RG", "RN", A18="RT", "RU", A18="RW", "RL", A18="RC", "RS")</f>
        <v>EP</v>
      </c>
      <c r="C18" s="196">
        <f>INT(EP!A19)</f>
        <v>44398</v>
      </c>
      <c r="D18" s="196" t="str">
        <f t="shared" si="1"/>
        <v>EP44398</v>
      </c>
      <c r="E18" s="197">
        <f>EP!D19</f>
        <v>6.77</v>
      </c>
      <c r="F18" s="197">
        <f>EP!E19</f>
        <v>27.4</v>
      </c>
      <c r="G18" s="197">
        <f>EP!F19</f>
        <v>3.92</v>
      </c>
      <c r="H18" s="197">
        <f>EP!H19</f>
        <v>0.01</v>
      </c>
      <c r="I18" s="197">
        <f>EP!G19</f>
        <v>3.82</v>
      </c>
      <c r="J18" s="197">
        <f>EP!I19</f>
        <v>0.01</v>
      </c>
      <c r="K18" s="197">
        <f>EP!J19</f>
        <v>6.0000000000000001E-3</v>
      </c>
      <c r="L18" s="198">
        <f>EP!K19</f>
        <v>0.19</v>
      </c>
      <c r="N18" s="236" t="str">
        <f t="shared" si="2"/>
        <v>EP</v>
      </c>
      <c r="O18" s="237">
        <f t="shared" si="3"/>
        <v>44412</v>
      </c>
      <c r="P18" s="238" t="str">
        <f t="array" ref="P18">INDEX($D$2:$D$278,MATCH(0,COUNTIF($P$1:$P17,$D$2:$D$278),0))</f>
        <v>EP44412</v>
      </c>
      <c r="Q18" s="239">
        <f t="shared" si="4"/>
        <v>6.76</v>
      </c>
      <c r="R18" s="239">
        <f t="shared" si="5"/>
        <v>29.4</v>
      </c>
      <c r="S18" s="239">
        <f t="shared" si="6"/>
        <v>0.15</v>
      </c>
      <c r="T18" s="239">
        <f t="shared" si="7"/>
        <v>3.53</v>
      </c>
      <c r="U18" s="239">
        <f t="shared" si="8"/>
        <v>3.57</v>
      </c>
      <c r="V18" s="239">
        <f t="shared" si="9"/>
        <v>0.01</v>
      </c>
      <c r="W18" s="239">
        <f t="shared" si="10"/>
        <v>8.0000000000000002E-3</v>
      </c>
      <c r="X18" s="240">
        <f t="shared" si="11"/>
        <v>0.32</v>
      </c>
      <c r="Y18" s="531" t="str" cm="1">
        <f t="array" ref="Y18">_xlfn.IFS(O18&lt;44361, "Before the burn", O18&lt;44403, "During the burn", O18&gt;44403, "After the burn")</f>
        <v>After the burn</v>
      </c>
    </row>
    <row r="19" spans="1:25" x14ac:dyDescent="0.3">
      <c r="A19" s="194" t="str">
        <f>UPPER(LEFT(EP!B20,2))&amp;RIGHT(EP!B20,LEN(EP!B20)-2)</f>
        <v>EP</v>
      </c>
      <c r="B19" s="195" t="str" cm="1">
        <f t="array" ref="B19">_xlfn.IFS(A19="EP", "EP", A19="STa", "SPI", A19="STb", "SPO", A19="MRT", "MRT", A19="RG", "RN", A19="RT", "RU", A19="RW", "RL", A19="RC", "RS")</f>
        <v>EP</v>
      </c>
      <c r="C19" s="196">
        <f>INT(EP!A20)</f>
        <v>44405</v>
      </c>
      <c r="D19" s="196" t="str">
        <f t="shared" si="1"/>
        <v>EP44405</v>
      </c>
      <c r="E19" s="197">
        <f>EP!D20</f>
        <v>6.71</v>
      </c>
      <c r="F19" s="197">
        <f>EP!E20</f>
        <v>31.9</v>
      </c>
      <c r="G19" s="197">
        <f>EP!F20</f>
        <v>0.09</v>
      </c>
      <c r="H19" s="197">
        <f>EP!H20</f>
        <v>3.49</v>
      </c>
      <c r="I19" s="197">
        <f>EP!G20</f>
        <v>4.0599999999999996</v>
      </c>
      <c r="J19" s="197">
        <f>EP!I20</f>
        <v>0.04</v>
      </c>
      <c r="K19" s="197">
        <f>EP!J20</f>
        <v>7.0000000000000001E-3</v>
      </c>
      <c r="L19" s="198">
        <f>EP!K20</f>
        <v>0.3</v>
      </c>
      <c r="N19" s="236" t="str">
        <f t="shared" si="2"/>
        <v>EP</v>
      </c>
      <c r="O19" s="237">
        <f t="shared" si="3"/>
        <v>44419</v>
      </c>
      <c r="P19" s="238" t="str">
        <f t="array" ref="P19">INDEX($D$2:$D$278,MATCH(0,COUNTIF($P$1:$P18,$D$2:$D$278),0))</f>
        <v>EP44419</v>
      </c>
      <c r="Q19" s="239">
        <f t="shared" si="4"/>
        <v>6.67</v>
      </c>
      <c r="R19" s="239">
        <f t="shared" si="5"/>
        <v>30.2</v>
      </c>
      <c r="S19" s="239">
        <f t="shared" si="6"/>
        <v>0.14000000000000001</v>
      </c>
      <c r="T19" s="239">
        <f t="shared" si="7"/>
        <v>3.26</v>
      </c>
      <c r="U19" s="239">
        <f t="shared" si="8"/>
        <v>3.89</v>
      </c>
      <c r="V19" s="239">
        <f t="shared" si="9"/>
        <v>0.36</v>
      </c>
      <c r="W19" s="239">
        <f t="shared" si="10"/>
        <v>8.9999999999999993E-3</v>
      </c>
      <c r="X19" s="240">
        <f t="shared" si="11"/>
        <v>0.27</v>
      </c>
      <c r="Y19" s="531" t="str" cm="1">
        <f t="array" ref="Y19">_xlfn.IFS(O19&lt;44361, "Before the burn", O19&lt;44403, "During the burn", O19&gt;44403, "After the burn")</f>
        <v>After the burn</v>
      </c>
    </row>
    <row r="20" spans="1:25" x14ac:dyDescent="0.3">
      <c r="A20" s="194" t="str">
        <f>UPPER(LEFT(EP!B21,2))&amp;RIGHT(EP!B21,LEN(EP!B21)-2)</f>
        <v>EP</v>
      </c>
      <c r="B20" s="195" t="str" cm="1">
        <f t="array" ref="B20">_xlfn.IFS(A20="EP", "EP", A20="STa", "SPI", A20="STb", "SPO", A20="MRT", "MRT", A20="RG", "RN", A20="RT", "RU", A20="RW", "RL", A20="RC", "RS")</f>
        <v>EP</v>
      </c>
      <c r="C20" s="196">
        <f>INT(EP!A21)</f>
        <v>44412</v>
      </c>
      <c r="D20" s="196" t="str">
        <f t="shared" si="1"/>
        <v>EP44412</v>
      </c>
      <c r="E20" s="197">
        <f>EP!D21</f>
        <v>6.76</v>
      </c>
      <c r="F20" s="197">
        <f>EP!E21</f>
        <v>29.4</v>
      </c>
      <c r="G20" s="197">
        <f>EP!F21</f>
        <v>0.15</v>
      </c>
      <c r="H20" s="197">
        <f>EP!H21</f>
        <v>3.53</v>
      </c>
      <c r="I20" s="197">
        <f>EP!G21</f>
        <v>3.57</v>
      </c>
      <c r="J20" s="197">
        <f>EP!I21</f>
        <v>0.01</v>
      </c>
      <c r="K20" s="197">
        <f>EP!J21</f>
        <v>8.0000000000000002E-3</v>
      </c>
      <c r="L20" s="198">
        <f>EP!K21</f>
        <v>0.32</v>
      </c>
      <c r="N20" s="236" t="str">
        <f t="shared" si="2"/>
        <v>EP</v>
      </c>
      <c r="O20" s="237">
        <f t="shared" si="3"/>
        <v>44426</v>
      </c>
      <c r="P20" s="238" t="str">
        <f t="array" ref="P20">INDEX($D$2:$D$278,MATCH(0,COUNTIF($P$1:$P19,$D$2:$D$278),0))</f>
        <v>EP44426</v>
      </c>
      <c r="Q20" s="239">
        <f t="shared" si="4"/>
        <v>6.71</v>
      </c>
      <c r="R20" s="239">
        <f t="shared" si="5"/>
        <v>32.799999999999997</v>
      </c>
      <c r="S20" s="239">
        <f t="shared" si="6"/>
        <v>0.18</v>
      </c>
      <c r="T20" s="239">
        <f t="shared" si="7"/>
        <v>3.66</v>
      </c>
      <c r="U20" s="239">
        <f t="shared" si="8"/>
        <v>3.82</v>
      </c>
      <c r="V20" s="239">
        <f t="shared" si="9"/>
        <v>0.03</v>
      </c>
      <c r="W20" s="239">
        <f t="shared" si="10"/>
        <v>8.0000000000000002E-3</v>
      </c>
      <c r="X20" s="240">
        <f t="shared" si="11"/>
        <v>0.28999999999999998</v>
      </c>
      <c r="Y20" s="531" t="str" cm="1">
        <f t="array" ref="Y20">_xlfn.IFS(O20&lt;44361, "Before the burn", O20&lt;44403, "During the burn", O20&gt;44403, "After the burn")</f>
        <v>After the burn</v>
      </c>
    </row>
    <row r="21" spans="1:25" ht="16.350000000000001" thickBot="1" x14ac:dyDescent="0.35">
      <c r="A21" s="194" t="str">
        <f>UPPER(LEFT(EP!B22,2))&amp;RIGHT(EP!B22,LEN(EP!B22)-2)</f>
        <v>EP</v>
      </c>
      <c r="B21" s="195" t="str" cm="1">
        <f t="array" ref="B21">_xlfn.IFS(A21="EP", "EP", A21="STa", "SPI", A21="STb", "SPO", A21="MRT", "MRT", A21="RG", "RN", A21="RT", "RU", A21="RW", "RL", A21="RC", "RS")</f>
        <v>EP</v>
      </c>
      <c r="C21" s="196">
        <f>INT(EP!A22)</f>
        <v>44419</v>
      </c>
      <c r="D21" s="196" t="str">
        <f t="shared" si="1"/>
        <v>EP44419</v>
      </c>
      <c r="E21" s="197">
        <f>EP!D22</f>
        <v>6.67</v>
      </c>
      <c r="F21" s="197">
        <f>EP!E22</f>
        <v>30.2</v>
      </c>
      <c r="G21" s="197">
        <f>EP!F22</f>
        <v>0.14000000000000001</v>
      </c>
      <c r="H21" s="197">
        <f>EP!H22</f>
        <v>3.26</v>
      </c>
      <c r="I21" s="197">
        <f>EP!G22</f>
        <v>3.89</v>
      </c>
      <c r="J21" s="197">
        <f>EP!I22</f>
        <v>0.36</v>
      </c>
      <c r="K21" s="197">
        <f>EP!J22</f>
        <v>8.9999999999999993E-3</v>
      </c>
      <c r="L21" s="198">
        <f>EP!K22</f>
        <v>0.27</v>
      </c>
      <c r="N21" s="257" t="str">
        <f t="shared" si="2"/>
        <v>EP</v>
      </c>
      <c r="O21" s="258">
        <f t="shared" si="3"/>
        <v>44433</v>
      </c>
      <c r="P21" s="259" t="str">
        <f t="array" ref="P21">INDEX($D$2:$D$278,MATCH(0,COUNTIF($P$1:$P20,$D$2:$D$278),0))</f>
        <v>EP44433</v>
      </c>
      <c r="Q21" s="260">
        <f t="shared" si="4"/>
        <v>6.84</v>
      </c>
      <c r="R21" s="260">
        <f t="shared" si="5"/>
        <v>33.5</v>
      </c>
      <c r="S21" s="260">
        <f t="shared" si="6"/>
        <v>0.21</v>
      </c>
      <c r="T21" s="260">
        <f t="shared" si="7"/>
        <v>3.94</v>
      </c>
      <c r="U21" s="260">
        <f t="shared" si="8"/>
        <v>3.94</v>
      </c>
      <c r="V21" s="260">
        <f t="shared" si="9"/>
        <v>0</v>
      </c>
      <c r="W21" s="260">
        <f t="shared" si="10"/>
        <v>7.0000000000000001E-3</v>
      </c>
      <c r="X21" s="261">
        <f t="shared" si="11"/>
        <v>0.28999999999999998</v>
      </c>
      <c r="Y21" s="532" t="str" cm="1">
        <f t="array" ref="Y21">_xlfn.IFS(O21&lt;44361, "Before the burn", O21&lt;44403, "During the burn", O21&gt;44403, "After the burn")</f>
        <v>After the burn</v>
      </c>
    </row>
    <row r="22" spans="1:25" x14ac:dyDescent="0.3">
      <c r="A22" s="194" t="str">
        <f>UPPER(LEFT(EP!B23,2))&amp;RIGHT(EP!B23,LEN(EP!B23)-2)</f>
        <v>EP</v>
      </c>
      <c r="B22" s="195" t="str" cm="1">
        <f t="array" ref="B22">_xlfn.IFS(A22="EP", "EP", A22="STa", "SPI", A22="STb", "SPO", A22="MRT", "MRT", A22="RG", "RN", A22="RT", "RU", A22="RW", "RL", A22="RC", "RS")</f>
        <v>EP</v>
      </c>
      <c r="C22" s="196">
        <f>INT(EP!A23)</f>
        <v>44426</v>
      </c>
      <c r="D22" s="196" t="str">
        <f t="shared" si="1"/>
        <v>EP44426</v>
      </c>
      <c r="E22" s="197">
        <f>EP!D23</f>
        <v>6.71</v>
      </c>
      <c r="F22" s="197">
        <f>EP!E23</f>
        <v>32.799999999999997</v>
      </c>
      <c r="G22" s="197">
        <f>EP!F23</f>
        <v>0.18</v>
      </c>
      <c r="H22" s="197">
        <f>EP!H23</f>
        <v>3.66</v>
      </c>
      <c r="I22" s="197">
        <f>EP!G23</f>
        <v>3.82</v>
      </c>
      <c r="J22" s="197">
        <f>EP!I23</f>
        <v>0.03</v>
      </c>
      <c r="K22" s="197">
        <f>EP!J23</f>
        <v>8.0000000000000002E-3</v>
      </c>
      <c r="L22" s="198">
        <f>EP!K23</f>
        <v>0.28999999999999998</v>
      </c>
      <c r="N22" s="262" t="str">
        <f t="shared" si="2"/>
        <v>SPI</v>
      </c>
      <c r="O22" s="263">
        <f t="shared" si="3"/>
        <v>44294</v>
      </c>
      <c r="P22" s="264" t="str">
        <f t="array" ref="P22">INDEX($D$2:$D$278,MATCH(0,COUNTIF($P$1:$P21,$D$2:$D$278),0))</f>
        <v>SPI44294</v>
      </c>
      <c r="Q22" s="265">
        <f t="shared" si="4"/>
        <v>6.3533333333333326</v>
      </c>
      <c r="R22" s="265">
        <f t="shared" si="5"/>
        <v>22.033333333333331</v>
      </c>
      <c r="S22" s="265">
        <f t="shared" si="6"/>
        <v>9.3333333333333324E-2</v>
      </c>
      <c r="T22" s="265">
        <f t="shared" si="7"/>
        <v>2.2066666666666666</v>
      </c>
      <c r="U22" s="265">
        <f t="shared" si="8"/>
        <v>2.7566666666666664</v>
      </c>
      <c r="V22" s="265">
        <f t="shared" si="9"/>
        <v>0.2233333333333333</v>
      </c>
      <c r="W22" s="265">
        <f t="shared" si="10"/>
        <v>5.0000000000000001E-3</v>
      </c>
      <c r="X22" s="266">
        <f t="shared" si="11"/>
        <v>0.27999999999999997</v>
      </c>
      <c r="Y22" s="533" t="str" cm="1">
        <f t="array" ref="Y22">_xlfn.IFS(O22&lt;44361, "Before the burn", O22&lt;44403, "During the burn", O22&gt;44403, "After the burn")</f>
        <v>Before the burn</v>
      </c>
    </row>
    <row r="23" spans="1:25" ht="16.350000000000001" thickBot="1" x14ac:dyDescent="0.35">
      <c r="A23" s="221" t="str">
        <f>UPPER(LEFT(EP!B24,2))&amp;RIGHT(EP!B24,LEN(EP!B24)-2)</f>
        <v>EP</v>
      </c>
      <c r="B23" s="222" t="str" cm="1">
        <f t="array" ref="B23">_xlfn.IFS(A23="EP", "EP", A23="STa", "SPI", A23="STb", "SPO", A23="MRT", "MRT", A23="RG", "RN", A23="RT", "RU", A23="RW", "RL", A23="RC", "RS")</f>
        <v>EP</v>
      </c>
      <c r="C23" s="223">
        <f>INT(EP!A24)</f>
        <v>44433</v>
      </c>
      <c r="D23" s="223" t="str">
        <f t="shared" si="1"/>
        <v>EP44433</v>
      </c>
      <c r="E23" s="224">
        <f>EP!D24</f>
        <v>6.84</v>
      </c>
      <c r="F23" s="224">
        <f>EP!E24</f>
        <v>33.5</v>
      </c>
      <c r="G23" s="224">
        <f>EP!F24</f>
        <v>0.21</v>
      </c>
      <c r="H23" s="224">
        <f>EP!H24</f>
        <v>3.94</v>
      </c>
      <c r="I23" s="224">
        <f>EP!G24</f>
        <v>3.94</v>
      </c>
      <c r="J23" s="224">
        <f>EP!I24</f>
        <v>0</v>
      </c>
      <c r="K23" s="224">
        <f>EP!J24</f>
        <v>7.0000000000000001E-3</v>
      </c>
      <c r="L23" s="225">
        <f>EP!K24</f>
        <v>0.28999999999999998</v>
      </c>
      <c r="N23" s="252" t="str">
        <f t="shared" si="2"/>
        <v>SPI</v>
      </c>
      <c r="O23" s="253">
        <f t="shared" si="3"/>
        <v>44306</v>
      </c>
      <c r="P23" s="254" t="str">
        <f t="array" ref="P23">INDEX($D$2:$D$278,MATCH(0,COUNTIF($P$1:$P22,$D$2:$D$278),0))</f>
        <v>SPI44306</v>
      </c>
      <c r="Q23" s="255">
        <f t="shared" si="4"/>
        <v>6.24</v>
      </c>
      <c r="R23" s="255">
        <f t="shared" si="5"/>
        <v>21.2</v>
      </c>
      <c r="S23" s="255">
        <f t="shared" si="6"/>
        <v>0.15</v>
      </c>
      <c r="T23" s="255">
        <f t="shared" si="7"/>
        <v>2.15</v>
      </c>
      <c r="U23" s="255">
        <f t="shared" si="8"/>
        <v>2.89</v>
      </c>
      <c r="V23" s="255">
        <f t="shared" si="9"/>
        <v>0.15</v>
      </c>
      <c r="W23" s="255">
        <f t="shared" si="10"/>
        <v>6.0000000000000001E-3</v>
      </c>
      <c r="X23" s="256">
        <f t="shared" si="11"/>
        <v>0.28999999999999998</v>
      </c>
      <c r="Y23" s="534" t="str" cm="1">
        <f t="array" ref="Y23">_xlfn.IFS(O23&lt;44361, "Before the burn", O23&lt;44403, "During the burn", O23&gt;44403, "After the burn")</f>
        <v>Before the burn</v>
      </c>
    </row>
    <row r="24" spans="1:25" x14ac:dyDescent="0.3">
      <c r="A24" s="226" t="str">
        <f>UPPER(LEFT(SPI!B3,2))&amp;RIGHT(SPI!B3,LEN(SPI!B3)-2)</f>
        <v>STa</v>
      </c>
      <c r="B24" s="227" t="str" cm="1">
        <f t="array" ref="B24">_xlfn.IFS(A24="EP", "EP", A24="STa", "SPI", A24="STb", "SPO", A24="MRT", "MRT", A24="RG", "RN", A24="RT", "RU", A24="RW", "RL", A24="RC", "RS")</f>
        <v>SPI</v>
      </c>
      <c r="C24" s="228">
        <f>INT(SPI!A3)</f>
        <v>44294</v>
      </c>
      <c r="D24" s="228" t="str">
        <f t="shared" si="1"/>
        <v>SPI44294</v>
      </c>
      <c r="E24" s="229">
        <f>SPI!D3</f>
        <v>6.27</v>
      </c>
      <c r="F24" s="229">
        <f>SPI!E3</f>
        <v>21.6</v>
      </c>
      <c r="G24" s="229">
        <f>SPI!F3</f>
        <v>0.09</v>
      </c>
      <c r="H24" s="229">
        <f>SPI!H3</f>
        <v>2.27</v>
      </c>
      <c r="I24" s="229">
        <f>SPI!G3</f>
        <v>2.77</v>
      </c>
      <c r="J24" s="229">
        <f>SPI!I3</f>
        <v>0.18</v>
      </c>
      <c r="K24" s="229">
        <f>SPI!J3</f>
        <v>4.0000000000000001E-3</v>
      </c>
      <c r="L24" s="230">
        <f>SPI!K3</f>
        <v>0.35</v>
      </c>
      <c r="N24" s="252" t="str">
        <f t="shared" si="2"/>
        <v>SPI</v>
      </c>
      <c r="O24" s="253">
        <f t="shared" si="3"/>
        <v>44313</v>
      </c>
      <c r="P24" s="254" t="str">
        <f t="array" ref="P24">INDEX($D$2:$D$278,MATCH(0,COUNTIF($P$1:$P23,$D$2:$D$278),0))</f>
        <v>SPI44313</v>
      </c>
      <c r="Q24" s="255">
        <f t="shared" si="4"/>
        <v>6.55</v>
      </c>
      <c r="R24" s="255">
        <f t="shared" si="5"/>
        <v>23.3</v>
      </c>
      <c r="S24" s="255">
        <f t="shared" si="6"/>
        <v>0.04</v>
      </c>
      <c r="T24" s="255">
        <f t="shared" si="7"/>
        <v>2.2000000000000002</v>
      </c>
      <c r="U24" s="255">
        <f t="shared" si="8"/>
        <v>2.61</v>
      </c>
      <c r="V24" s="255">
        <f t="shared" si="9"/>
        <v>0.34</v>
      </c>
      <c r="W24" s="255">
        <f t="shared" si="10"/>
        <v>5.0000000000000001E-3</v>
      </c>
      <c r="X24" s="256">
        <f t="shared" si="11"/>
        <v>0.2</v>
      </c>
      <c r="Y24" s="534" t="str" cm="1">
        <f t="array" ref="Y24">_xlfn.IFS(O24&lt;44361, "Before the burn", O24&lt;44403, "During the burn", O24&gt;44403, "After the burn")</f>
        <v>Before the burn</v>
      </c>
    </row>
    <row r="25" spans="1:25" x14ac:dyDescent="0.3">
      <c r="A25" s="199" t="str">
        <f>UPPER(LEFT(SPI!B4,2))&amp;RIGHT(SPI!B4,LEN(SPI!B4)-2)</f>
        <v>STa</v>
      </c>
      <c r="B25" s="200" t="str" cm="1">
        <f t="array" ref="B25">_xlfn.IFS(A25="EP", "EP", A25="STa", "SPI", A25="STb", "SPO", A25="MRT", "MRT", A25="RG", "RN", A25="RT", "RU", A25="RW", "RL", A25="RC", "RS")</f>
        <v>SPI</v>
      </c>
      <c r="C25" s="201">
        <f>INT(SPI!A4)</f>
        <v>44294</v>
      </c>
      <c r="D25" s="201" t="str">
        <f t="shared" si="1"/>
        <v>SPI44294</v>
      </c>
      <c r="E25" s="202">
        <f>SPI!D4</f>
        <v>6.24</v>
      </c>
      <c r="F25" s="202">
        <f>SPI!E4</f>
        <v>21.2</v>
      </c>
      <c r="G25" s="202">
        <f>SPI!F4</f>
        <v>0.15</v>
      </c>
      <c r="H25" s="202">
        <f>SPI!H4</f>
        <v>2.15</v>
      </c>
      <c r="I25" s="202">
        <f>SPI!G4</f>
        <v>2.89</v>
      </c>
      <c r="J25" s="202">
        <f>SPI!I4</f>
        <v>0.15</v>
      </c>
      <c r="K25" s="202">
        <f>SPI!J4</f>
        <v>6.0000000000000001E-3</v>
      </c>
      <c r="L25" s="203">
        <f>SPI!K4</f>
        <v>0.28999999999999998</v>
      </c>
      <c r="N25" s="252" t="str">
        <f t="shared" si="2"/>
        <v>SPI</v>
      </c>
      <c r="O25" s="253">
        <f t="shared" si="3"/>
        <v>44320</v>
      </c>
      <c r="P25" s="254" t="str">
        <f t="array" ref="P25">INDEX($D$2:$D$278,MATCH(0,COUNTIF($P$1:$P24,$D$2:$D$278),0))</f>
        <v>SPI44320</v>
      </c>
      <c r="Q25" s="255">
        <f t="shared" si="4"/>
        <v>6.43</v>
      </c>
      <c r="R25" s="255">
        <f t="shared" si="5"/>
        <v>24.6</v>
      </c>
      <c r="S25" s="255">
        <f t="shared" si="6"/>
        <v>0.08</v>
      </c>
      <c r="T25" s="255">
        <f t="shared" si="7"/>
        <v>2.0299999999999998</v>
      </c>
      <c r="U25" s="255">
        <f t="shared" si="8"/>
        <v>2.25</v>
      </c>
      <c r="V25" s="255">
        <f t="shared" si="9"/>
        <v>0.18</v>
      </c>
      <c r="W25" s="255">
        <f t="shared" si="10"/>
        <v>4.0000000000000001E-3</v>
      </c>
      <c r="X25" s="256">
        <f t="shared" si="11"/>
        <v>0.28999999999999998</v>
      </c>
      <c r="Y25" s="534" t="str" cm="1">
        <f t="array" ref="Y25">_xlfn.IFS(O25&lt;44361, "Before the burn", O25&lt;44403, "During the burn", O25&gt;44403, "After the burn")</f>
        <v>Before the burn</v>
      </c>
    </row>
    <row r="26" spans="1:25" x14ac:dyDescent="0.3">
      <c r="A26" s="199" t="str">
        <f>UPPER(LEFT(SPI!B5,2))&amp;RIGHT(SPI!B5,LEN(SPI!B5)-2)</f>
        <v>STa</v>
      </c>
      <c r="B26" s="200" t="str" cm="1">
        <f t="array" ref="B26">_xlfn.IFS(A26="EP", "EP", A26="STa", "SPI", A26="STb", "SPO", A26="MRT", "MRT", A26="RG", "RN", A26="RT", "RU", A26="RW", "RL", A26="RC", "RS")</f>
        <v>SPI</v>
      </c>
      <c r="C26" s="201">
        <f>INT(SPI!A5)</f>
        <v>44294</v>
      </c>
      <c r="D26" s="201" t="str">
        <f t="shared" si="1"/>
        <v>SPI44294</v>
      </c>
      <c r="E26" s="202">
        <f>SPI!D5</f>
        <v>6.55</v>
      </c>
      <c r="F26" s="202">
        <f>SPI!E5</f>
        <v>23.3</v>
      </c>
      <c r="G26" s="202">
        <f>SPI!F5</f>
        <v>0.04</v>
      </c>
      <c r="H26" s="202">
        <f>SPI!H5</f>
        <v>2.2000000000000002</v>
      </c>
      <c r="I26" s="202">
        <f>SPI!G5</f>
        <v>2.61</v>
      </c>
      <c r="J26" s="202">
        <f>SPI!I5</f>
        <v>0.34</v>
      </c>
      <c r="K26" s="202">
        <f>SPI!J5</f>
        <v>5.0000000000000001E-3</v>
      </c>
      <c r="L26" s="203">
        <f>SPI!K5</f>
        <v>0.2</v>
      </c>
      <c r="N26" s="252" t="str">
        <f t="shared" si="2"/>
        <v>SPI</v>
      </c>
      <c r="O26" s="253">
        <f t="shared" si="3"/>
        <v>44327</v>
      </c>
      <c r="P26" s="254" t="str">
        <f t="array" ref="P26">INDEX($D$2:$D$278,MATCH(0,COUNTIF($P$1:$P25,$D$2:$D$278),0))</f>
        <v>SPI44327</v>
      </c>
      <c r="Q26" s="255">
        <f t="shared" si="4"/>
        <v>6.44</v>
      </c>
      <c r="R26" s="255">
        <f t="shared" si="5"/>
        <v>25.1</v>
      </c>
      <c r="S26" s="255">
        <f t="shared" si="6"/>
        <v>0.18</v>
      </c>
      <c r="T26" s="255">
        <f t="shared" si="7"/>
        <v>2.04</v>
      </c>
      <c r="U26" s="255">
        <f t="shared" si="8"/>
        <v>2.34</v>
      </c>
      <c r="V26" s="255">
        <f t="shared" si="9"/>
        <v>0.13</v>
      </c>
      <c r="W26" s="255">
        <f t="shared" si="10"/>
        <v>6.0000000000000001E-3</v>
      </c>
      <c r="X26" s="256">
        <f t="shared" si="11"/>
        <v>0.28000000000000003</v>
      </c>
      <c r="Y26" s="534" t="str" cm="1">
        <f t="array" ref="Y26">_xlfn.IFS(O26&lt;44361, "Before the burn", O26&lt;44403, "During the burn", O26&gt;44403, "After the burn")</f>
        <v>Before the burn</v>
      </c>
    </row>
    <row r="27" spans="1:25" x14ac:dyDescent="0.3">
      <c r="A27" s="199" t="str">
        <f>UPPER(LEFT(SPI!B6,2))&amp;RIGHT(SPI!B6,LEN(SPI!B6)-2)</f>
        <v>STa</v>
      </c>
      <c r="B27" s="200" t="str" cm="1">
        <f t="array" ref="B27">_xlfn.IFS(A27="EP", "EP", A27="STa", "SPI", A27="STb", "SPO", A27="MRT", "MRT", A27="RG", "RN", A27="RT", "RU", A27="RW", "RL", A27="RC", "RS")</f>
        <v>SPI</v>
      </c>
      <c r="C27" s="201">
        <f>INT(SPI!A6)</f>
        <v>44306</v>
      </c>
      <c r="D27" s="201" t="str">
        <f t="shared" si="1"/>
        <v>SPI44306</v>
      </c>
      <c r="E27" s="202">
        <f>SPI!D6</f>
        <v>6.24</v>
      </c>
      <c r="F27" s="202">
        <f>SPI!E6</f>
        <v>21.2</v>
      </c>
      <c r="G27" s="202">
        <f>SPI!F6</f>
        <v>0.15</v>
      </c>
      <c r="H27" s="202">
        <f>SPI!H6</f>
        <v>2.15</v>
      </c>
      <c r="I27" s="202">
        <f>SPI!G6</f>
        <v>2.89</v>
      </c>
      <c r="J27" s="202">
        <f>SPI!I6</f>
        <v>0.15</v>
      </c>
      <c r="K27" s="202">
        <f>SPI!J6</f>
        <v>6.0000000000000001E-3</v>
      </c>
      <c r="L27" s="203">
        <f>SPI!K6</f>
        <v>0.28999999999999998</v>
      </c>
      <c r="N27" s="252" t="str">
        <f t="shared" si="2"/>
        <v>SPI</v>
      </c>
      <c r="O27" s="253">
        <f t="shared" si="3"/>
        <v>44335</v>
      </c>
      <c r="P27" s="254" t="str">
        <f t="array" ref="P27">INDEX($D$2:$D$278,MATCH(0,COUNTIF($P$1:$P26,$D$2:$D$278),0))</f>
        <v>SPI44335</v>
      </c>
      <c r="Q27" s="255">
        <f t="shared" si="4"/>
        <v>6.62</v>
      </c>
      <c r="R27" s="255">
        <f t="shared" si="5"/>
        <v>24.4</v>
      </c>
      <c r="S27" s="255">
        <f t="shared" si="6"/>
        <v>0.17</v>
      </c>
      <c r="T27" s="255">
        <f t="shared" si="7"/>
        <v>1.99</v>
      </c>
      <c r="U27" s="255">
        <f t="shared" si="8"/>
        <v>2.25</v>
      </c>
      <c r="V27" s="255">
        <f t="shared" si="9"/>
        <v>0.2</v>
      </c>
      <c r="W27" s="255">
        <f t="shared" si="10"/>
        <v>5.0000000000000001E-3</v>
      </c>
      <c r="X27" s="256">
        <f t="shared" si="11"/>
        <v>0.26</v>
      </c>
      <c r="Y27" s="534" t="str" cm="1">
        <f t="array" ref="Y27">_xlfn.IFS(O27&lt;44361, "Before the burn", O27&lt;44403, "During the burn", O27&gt;44403, "After the burn")</f>
        <v>Before the burn</v>
      </c>
    </row>
    <row r="28" spans="1:25" x14ac:dyDescent="0.3">
      <c r="A28" s="199" t="str">
        <f>UPPER(LEFT(SPI!B7,2))&amp;RIGHT(SPI!B7,LEN(SPI!B7)-2)</f>
        <v>STa</v>
      </c>
      <c r="B28" s="200" t="str" cm="1">
        <f t="array" ref="B28">_xlfn.IFS(A28="EP", "EP", A28="STa", "SPI", A28="STb", "SPO", A28="MRT", "MRT", A28="RG", "RN", A28="RT", "RU", A28="RW", "RL", A28="RC", "RS")</f>
        <v>SPI</v>
      </c>
      <c r="C28" s="201">
        <f>INT(SPI!A7)</f>
        <v>44313</v>
      </c>
      <c r="D28" s="201" t="str">
        <f t="shared" si="1"/>
        <v>SPI44313</v>
      </c>
      <c r="E28" s="202">
        <f>SPI!D7</f>
        <v>6.55</v>
      </c>
      <c r="F28" s="202">
        <f>SPI!E7</f>
        <v>23.3</v>
      </c>
      <c r="G28" s="202">
        <f>SPI!F7</f>
        <v>0.04</v>
      </c>
      <c r="H28" s="202">
        <f>SPI!H7</f>
        <v>2.2000000000000002</v>
      </c>
      <c r="I28" s="202">
        <f>SPI!G7</f>
        <v>2.61</v>
      </c>
      <c r="J28" s="202">
        <f>SPI!I7</f>
        <v>0.34</v>
      </c>
      <c r="K28" s="202">
        <f>SPI!J7</f>
        <v>5.0000000000000001E-3</v>
      </c>
      <c r="L28" s="203">
        <f>SPI!K7</f>
        <v>0.2</v>
      </c>
      <c r="N28" s="252" t="str">
        <f t="shared" si="2"/>
        <v>SPI</v>
      </c>
      <c r="O28" s="253">
        <f t="shared" si="3"/>
        <v>44342</v>
      </c>
      <c r="P28" s="254" t="str">
        <f t="array" ref="P28">INDEX($D$2:$D$278,MATCH(0,COUNTIF($P$1:$P27,$D$2:$D$278),0))</f>
        <v>SPI44342</v>
      </c>
      <c r="Q28" s="255">
        <f t="shared" si="4"/>
        <v>6.56</v>
      </c>
      <c r="R28" s="255">
        <f t="shared" si="5"/>
        <v>25.8</v>
      </c>
      <c r="S28" s="255">
        <f t="shared" si="6"/>
        <v>0.11</v>
      </c>
      <c r="T28" s="255">
        <f t="shared" si="7"/>
        <v>2.2799999999999998</v>
      </c>
      <c r="U28" s="255">
        <f t="shared" si="8"/>
        <v>2.72</v>
      </c>
      <c r="V28" s="255">
        <f t="shared" si="9"/>
        <v>0.27</v>
      </c>
      <c r="W28" s="255">
        <f t="shared" si="10"/>
        <v>5.0000000000000001E-3</v>
      </c>
      <c r="X28" s="256">
        <f t="shared" si="11"/>
        <v>0.34</v>
      </c>
      <c r="Y28" s="534" t="str" cm="1">
        <f t="array" ref="Y28">_xlfn.IFS(O28&lt;44361, "Before the burn", O28&lt;44403, "During the burn", O28&gt;44403, "After the burn")</f>
        <v>Before the burn</v>
      </c>
    </row>
    <row r="29" spans="1:25" x14ac:dyDescent="0.3">
      <c r="A29" s="199" t="str">
        <f>UPPER(LEFT(SPI!B8,2))&amp;RIGHT(SPI!B8,LEN(SPI!B8)-2)</f>
        <v>STa</v>
      </c>
      <c r="B29" s="200" t="str" cm="1">
        <f t="array" ref="B29">_xlfn.IFS(A29="EP", "EP", A29="STa", "SPI", A29="STb", "SPO", A29="MRT", "MRT", A29="RG", "RN", A29="RT", "RU", A29="RW", "RL", A29="RC", "RS")</f>
        <v>SPI</v>
      </c>
      <c r="C29" s="201">
        <f>INT(SPI!A8)</f>
        <v>44320</v>
      </c>
      <c r="D29" s="201" t="str">
        <f t="shared" si="1"/>
        <v>SPI44320</v>
      </c>
      <c r="E29" s="202">
        <f>SPI!D8</f>
        <v>6.43</v>
      </c>
      <c r="F29" s="202">
        <f>SPI!E8</f>
        <v>24.6</v>
      </c>
      <c r="G29" s="202">
        <f>SPI!F8</f>
        <v>0.08</v>
      </c>
      <c r="H29" s="202">
        <f>SPI!H8</f>
        <v>2.0299999999999998</v>
      </c>
      <c r="I29" s="202">
        <f>SPI!G8</f>
        <v>2.25</v>
      </c>
      <c r="J29" s="202">
        <f>SPI!I8</f>
        <v>0.18</v>
      </c>
      <c r="K29" s="202">
        <f>SPI!J8</f>
        <v>4.0000000000000001E-3</v>
      </c>
      <c r="L29" s="203">
        <f>SPI!K8</f>
        <v>0.28999999999999998</v>
      </c>
      <c r="N29" s="252" t="str">
        <f t="shared" si="2"/>
        <v>SPI</v>
      </c>
      <c r="O29" s="253">
        <f t="shared" si="3"/>
        <v>44356</v>
      </c>
      <c r="P29" s="254" t="str">
        <f t="array" ref="P29">INDEX($D$2:$D$278,MATCH(0,COUNTIF($P$1:$P28,$D$2:$D$278),0))</f>
        <v>SPI44356</v>
      </c>
      <c r="Q29" s="255">
        <f t="shared" si="4"/>
        <v>6.87</v>
      </c>
      <c r="R29" s="255">
        <f t="shared" si="5"/>
        <v>26.4</v>
      </c>
      <c r="S29" s="255">
        <f t="shared" si="6"/>
        <v>0.11</v>
      </c>
      <c r="T29" s="255">
        <f t="shared" si="7"/>
        <v>2.2799999999999998</v>
      </c>
      <c r="U29" s="255">
        <f t="shared" si="8"/>
        <v>2.42</v>
      </c>
      <c r="V29" s="255">
        <f t="shared" si="9"/>
        <v>0.25</v>
      </c>
      <c r="W29" s="255">
        <f t="shared" si="10"/>
        <v>7.0000000000000001E-3</v>
      </c>
      <c r="X29" s="256">
        <f t="shared" si="11"/>
        <v>0.35</v>
      </c>
      <c r="Y29" s="534" t="str" cm="1">
        <f t="array" ref="Y29">_xlfn.IFS(O29&lt;44361, "Before the burn", O29&lt;44403, "During the burn", O29&gt;44403, "After the burn")</f>
        <v>Before the burn</v>
      </c>
    </row>
    <row r="30" spans="1:25" x14ac:dyDescent="0.3">
      <c r="A30" s="199" t="str">
        <f>UPPER(LEFT(SPI!B9,2))&amp;RIGHT(SPI!B9,LEN(SPI!B9)-2)</f>
        <v>STa</v>
      </c>
      <c r="B30" s="200" t="str" cm="1">
        <f t="array" ref="B30">_xlfn.IFS(A30="EP", "EP", A30="STa", "SPI", A30="STb", "SPO", A30="MRT", "MRT", A30="RG", "RN", A30="RT", "RU", A30="RW", "RL", A30="RC", "RS")</f>
        <v>SPI</v>
      </c>
      <c r="C30" s="201">
        <f>INT(SPI!A9)</f>
        <v>44327</v>
      </c>
      <c r="D30" s="201" t="str">
        <f t="shared" si="1"/>
        <v>SPI44327</v>
      </c>
      <c r="E30" s="202">
        <f>SPI!D9</f>
        <v>6.44</v>
      </c>
      <c r="F30" s="202">
        <f>SPI!E9</f>
        <v>25.1</v>
      </c>
      <c r="G30" s="202">
        <f>SPI!F9</f>
        <v>0.18</v>
      </c>
      <c r="H30" s="202">
        <f>SPI!H9</f>
        <v>2.04</v>
      </c>
      <c r="I30" s="202">
        <f>SPI!G9</f>
        <v>2.34</v>
      </c>
      <c r="J30" s="202">
        <f>SPI!I9</f>
        <v>0.13</v>
      </c>
      <c r="K30" s="202">
        <f>SPI!J9</f>
        <v>6.0000000000000001E-3</v>
      </c>
      <c r="L30" s="203">
        <f>SPI!K9</f>
        <v>0.28000000000000003</v>
      </c>
      <c r="N30" s="252" t="str">
        <f t="shared" si="2"/>
        <v>SPI</v>
      </c>
      <c r="O30" s="253">
        <f t="shared" si="3"/>
        <v>44370</v>
      </c>
      <c r="P30" s="254" t="str">
        <f t="array" ref="P30">INDEX($D$2:$D$278,MATCH(0,COUNTIF($P$1:$P29,$D$2:$D$278),0))</f>
        <v>SPI44370</v>
      </c>
      <c r="Q30" s="255">
        <f t="shared" si="4"/>
        <v>6.92</v>
      </c>
      <c r="R30" s="255">
        <f t="shared" si="5"/>
        <v>27.6</v>
      </c>
      <c r="S30" s="255">
        <f t="shared" si="6"/>
        <v>3</v>
      </c>
      <c r="T30" s="255">
        <f t="shared" si="7"/>
        <v>0</v>
      </c>
      <c r="U30" s="255">
        <f t="shared" si="8"/>
        <v>2.92</v>
      </c>
      <c r="V30" s="255">
        <f t="shared" si="9"/>
        <v>0</v>
      </c>
      <c r="W30" s="255">
        <f t="shared" si="10"/>
        <v>7.0000000000000001E-3</v>
      </c>
      <c r="X30" s="256">
        <f t="shared" si="11"/>
        <v>0.3</v>
      </c>
      <c r="Y30" s="534" t="str" cm="1">
        <f t="array" ref="Y30">_xlfn.IFS(O30&lt;44361, "Before the burn", O30&lt;44403, "During the burn", O30&gt;44403, "After the burn")</f>
        <v>During the burn</v>
      </c>
    </row>
    <row r="31" spans="1:25" x14ac:dyDescent="0.3">
      <c r="A31" s="199" t="str">
        <f>UPPER(LEFT(SPI!B10,2))&amp;RIGHT(SPI!B10,LEN(SPI!B10)-2)</f>
        <v>STa</v>
      </c>
      <c r="B31" s="200" t="str" cm="1">
        <f t="array" ref="B31">_xlfn.IFS(A31="EP", "EP", A31="STa", "SPI", A31="STb", "SPO", A31="MRT", "MRT", A31="RG", "RN", A31="RT", "RU", A31="RW", "RL", A31="RC", "RS")</f>
        <v>SPI</v>
      </c>
      <c r="C31" s="201">
        <f>INT(SPI!A10)</f>
        <v>44335</v>
      </c>
      <c r="D31" s="201" t="str">
        <f t="shared" si="1"/>
        <v>SPI44335</v>
      </c>
      <c r="E31" s="202">
        <f>SPI!D10</f>
        <v>6.62</v>
      </c>
      <c r="F31" s="202">
        <f>SPI!E10</f>
        <v>24.4</v>
      </c>
      <c r="G31" s="202">
        <f>SPI!F10</f>
        <v>0.17</v>
      </c>
      <c r="H31" s="202">
        <f>SPI!H10</f>
        <v>1.99</v>
      </c>
      <c r="I31" s="202">
        <f>SPI!G10</f>
        <v>2.25</v>
      </c>
      <c r="J31" s="202">
        <f>SPI!I10</f>
        <v>0.2</v>
      </c>
      <c r="K31" s="202">
        <f>SPI!J10</f>
        <v>5.0000000000000001E-3</v>
      </c>
      <c r="L31" s="203">
        <f>SPI!K10</f>
        <v>0.26</v>
      </c>
      <c r="N31" s="252" t="str">
        <f t="shared" si="2"/>
        <v>SPI</v>
      </c>
      <c r="O31" s="253">
        <f t="shared" si="3"/>
        <v>44377</v>
      </c>
      <c r="P31" s="254" t="str">
        <f t="array" ref="P31">INDEX($D$2:$D$278,MATCH(0,COUNTIF($P$1:$P30,$D$2:$D$278),0))</f>
        <v>SPI44377</v>
      </c>
      <c r="Q31" s="255">
        <f t="shared" si="4"/>
        <v>7</v>
      </c>
      <c r="R31" s="255">
        <f t="shared" si="5"/>
        <v>28.1</v>
      </c>
      <c r="S31" s="255">
        <f t="shared" si="6"/>
        <v>2.78</v>
      </c>
      <c r="T31" s="255">
        <f t="shared" si="7"/>
        <v>0.01</v>
      </c>
      <c r="U31" s="255">
        <f t="shared" si="8"/>
        <v>2.8</v>
      </c>
      <c r="V31" s="255">
        <f t="shared" si="9"/>
        <v>0.25</v>
      </c>
      <c r="W31" s="255">
        <f t="shared" si="10"/>
        <v>0.1</v>
      </c>
      <c r="X31" s="256">
        <f t="shared" si="11"/>
        <v>0.37</v>
      </c>
      <c r="Y31" s="534" t="str" cm="1">
        <f t="array" ref="Y31">_xlfn.IFS(O31&lt;44361, "Before the burn", O31&lt;44403, "During the burn", O31&gt;44403, "After the burn")</f>
        <v>During the burn</v>
      </c>
    </row>
    <row r="32" spans="1:25" x14ac:dyDescent="0.3">
      <c r="A32" s="199" t="str">
        <f>UPPER(LEFT(SPI!B11,2))&amp;RIGHT(SPI!B11,LEN(SPI!B11)-2)</f>
        <v>STa</v>
      </c>
      <c r="B32" s="200" t="str" cm="1">
        <f t="array" ref="B32">_xlfn.IFS(A32="EP", "EP", A32="STa", "SPI", A32="STb", "SPO", A32="MRT", "MRT", A32="RG", "RN", A32="RT", "RU", A32="RW", "RL", A32="RC", "RS")</f>
        <v>SPI</v>
      </c>
      <c r="C32" s="201">
        <f>INT(SPI!A11)</f>
        <v>44342</v>
      </c>
      <c r="D32" s="201" t="str">
        <f t="shared" si="1"/>
        <v>SPI44342</v>
      </c>
      <c r="E32" s="202">
        <f>SPI!D11</f>
        <v>6.56</v>
      </c>
      <c r="F32" s="202">
        <f>SPI!E11</f>
        <v>25.8</v>
      </c>
      <c r="G32" s="202">
        <f>SPI!F11</f>
        <v>0.11</v>
      </c>
      <c r="H32" s="202">
        <f>SPI!H11</f>
        <v>2.2799999999999998</v>
      </c>
      <c r="I32" s="202">
        <f>SPI!G11</f>
        <v>2.72</v>
      </c>
      <c r="J32" s="202">
        <f>SPI!I11</f>
        <v>0.27</v>
      </c>
      <c r="K32" s="202">
        <f>SPI!J11</f>
        <v>5.0000000000000001E-3</v>
      </c>
      <c r="L32" s="203">
        <f>SPI!K11</f>
        <v>0.34</v>
      </c>
      <c r="N32" s="252" t="str">
        <f t="shared" si="2"/>
        <v>SPI</v>
      </c>
      <c r="O32" s="253">
        <f t="shared" si="3"/>
        <v>44385</v>
      </c>
      <c r="P32" s="254" t="str">
        <f t="array" ref="P32">INDEX($D$2:$D$278,MATCH(0,COUNTIF($P$1:$P31,$D$2:$D$278),0))</f>
        <v>SPI44385</v>
      </c>
      <c r="Q32" s="255">
        <f t="shared" si="4"/>
        <v>6.88</v>
      </c>
      <c r="R32" s="255">
        <f t="shared" si="5"/>
        <v>28.6</v>
      </c>
      <c r="S32" s="255">
        <f t="shared" si="6"/>
        <v>2.67</v>
      </c>
      <c r="T32" s="255">
        <f t="shared" si="7"/>
        <v>0.03</v>
      </c>
      <c r="U32" s="255">
        <f t="shared" si="8"/>
        <v>2.78</v>
      </c>
      <c r="V32" s="255">
        <f t="shared" si="9"/>
        <v>0.03</v>
      </c>
      <c r="W32" s="255">
        <f t="shared" si="10"/>
        <v>5.0000000000000001E-3</v>
      </c>
      <c r="X32" s="256">
        <f t="shared" si="11"/>
        <v>0.35</v>
      </c>
      <c r="Y32" s="534" t="str" cm="1">
        <f t="array" ref="Y32">_xlfn.IFS(O32&lt;44361, "Before the burn", O32&lt;44403, "During the burn", O32&gt;44403, "After the burn")</f>
        <v>During the burn</v>
      </c>
    </row>
    <row r="33" spans="1:25" x14ac:dyDescent="0.3">
      <c r="A33" s="199" t="str">
        <f>UPPER(LEFT(SPI!B12,2))&amp;RIGHT(SPI!B12,LEN(SPI!B12)-2)</f>
        <v>STa</v>
      </c>
      <c r="B33" s="200" t="str" cm="1">
        <f t="array" ref="B33">_xlfn.IFS(A33="EP", "EP", A33="STa", "SPI", A33="STb", "SPO", A33="MRT", "MRT", A33="RG", "RN", A33="RT", "RU", A33="RW", "RL", A33="RC", "RS")</f>
        <v>SPI</v>
      </c>
      <c r="C33" s="201">
        <f>INT(SPI!A12)</f>
        <v>44356</v>
      </c>
      <c r="D33" s="201" t="str">
        <f t="shared" si="1"/>
        <v>SPI44356</v>
      </c>
      <c r="E33" s="202">
        <f>SPI!D12</f>
        <v>6.87</v>
      </c>
      <c r="F33" s="202">
        <f>SPI!E12</f>
        <v>26.4</v>
      </c>
      <c r="G33" s="202">
        <f>SPI!F12</f>
        <v>0.11</v>
      </c>
      <c r="H33" s="202">
        <f>SPI!H12</f>
        <v>2.2799999999999998</v>
      </c>
      <c r="I33" s="202">
        <f>SPI!G12</f>
        <v>2.42</v>
      </c>
      <c r="J33" s="202">
        <f>SPI!I12</f>
        <v>0.25</v>
      </c>
      <c r="K33" s="202">
        <f>SPI!J12</f>
        <v>7.0000000000000001E-3</v>
      </c>
      <c r="L33" s="203">
        <f>SPI!K12</f>
        <v>0.35</v>
      </c>
      <c r="N33" s="252" t="str">
        <f t="shared" si="2"/>
        <v>SPI</v>
      </c>
      <c r="O33" s="253">
        <f t="shared" si="3"/>
        <v>44391</v>
      </c>
      <c r="P33" s="254" t="str">
        <f t="array" ref="P33">INDEX($D$2:$D$278,MATCH(0,COUNTIF($P$1:$P32,$D$2:$D$278),0))</f>
        <v>SPI44391</v>
      </c>
      <c r="Q33" s="255">
        <f t="shared" si="4"/>
        <v>6.77</v>
      </c>
      <c r="R33" s="255">
        <f t="shared" si="5"/>
        <v>28.6</v>
      </c>
      <c r="S33" s="255">
        <f t="shared" si="6"/>
        <v>2.64</v>
      </c>
      <c r="T33" s="255">
        <f t="shared" si="7"/>
        <v>0.01</v>
      </c>
      <c r="U33" s="255">
        <f t="shared" si="8"/>
        <v>2.81</v>
      </c>
      <c r="V33" s="255">
        <f t="shared" si="9"/>
        <v>0.03</v>
      </c>
      <c r="W33" s="255">
        <f t="shared" si="10"/>
        <v>6.0000000000000001E-3</v>
      </c>
      <c r="X33" s="256">
        <f t="shared" si="11"/>
        <v>0.42</v>
      </c>
      <c r="Y33" s="534" t="str" cm="1">
        <f t="array" ref="Y33">_xlfn.IFS(O33&lt;44361, "Before the burn", O33&lt;44403, "During the burn", O33&gt;44403, "After the burn")</f>
        <v>During the burn</v>
      </c>
    </row>
    <row r="34" spans="1:25" x14ac:dyDescent="0.3">
      <c r="A34" s="199" t="str">
        <f>UPPER(LEFT(SPI!B13,2))&amp;RIGHT(SPI!B13,LEN(SPI!B13)-2)</f>
        <v>STa</v>
      </c>
      <c r="B34" s="200" t="str" cm="1">
        <f t="array" ref="B34">_xlfn.IFS(A34="EP", "EP", A34="STa", "SPI", A34="STb", "SPO", A34="MRT", "MRT", A34="RG", "RN", A34="RT", "RU", A34="RW", "RL", A34="RC", "RS")</f>
        <v>SPI</v>
      </c>
      <c r="C34" s="201">
        <f>INT(SPI!A13)</f>
        <v>44370</v>
      </c>
      <c r="D34" s="201" t="str">
        <f t="shared" si="1"/>
        <v>SPI44370</v>
      </c>
      <c r="E34" s="202">
        <f>SPI!D13</f>
        <v>6.92</v>
      </c>
      <c r="F34" s="202">
        <f>SPI!E13</f>
        <v>27.6</v>
      </c>
      <c r="G34" s="202">
        <f>SPI!F13</f>
        <v>3</v>
      </c>
      <c r="H34" s="202">
        <f>SPI!H13</f>
        <v>0</v>
      </c>
      <c r="I34" s="202">
        <f>SPI!G13</f>
        <v>2.92</v>
      </c>
      <c r="J34" s="202">
        <f>SPI!I13</f>
        <v>0</v>
      </c>
      <c r="K34" s="202">
        <f>SPI!J13</f>
        <v>7.0000000000000001E-3</v>
      </c>
      <c r="L34" s="203">
        <f>SPI!K13</f>
        <v>0.3</v>
      </c>
      <c r="N34" s="252" t="str">
        <f t="shared" si="2"/>
        <v>SPI</v>
      </c>
      <c r="O34" s="253">
        <f t="shared" si="3"/>
        <v>44398</v>
      </c>
      <c r="P34" s="254" t="str">
        <f t="array" ref="P34">INDEX($D$2:$D$278,MATCH(0,COUNTIF($P$1:$P33,$D$2:$D$278),0))</f>
        <v>SPI44398</v>
      </c>
      <c r="Q34" s="255">
        <f t="shared" si="4"/>
        <v>6.71</v>
      </c>
      <c r="R34" s="255">
        <f t="shared" si="5"/>
        <v>28.6</v>
      </c>
      <c r="S34" s="255">
        <f t="shared" si="6"/>
        <v>2.78</v>
      </c>
      <c r="T34" s="255">
        <f t="shared" si="7"/>
        <v>0.03</v>
      </c>
      <c r="U34" s="255">
        <f t="shared" si="8"/>
        <v>2.73</v>
      </c>
      <c r="V34" s="255">
        <f t="shared" si="9"/>
        <v>0.02</v>
      </c>
      <c r="W34" s="255">
        <f t="shared" si="10"/>
        <v>6.0000000000000001E-3</v>
      </c>
      <c r="X34" s="256">
        <f t="shared" si="11"/>
        <v>0.38</v>
      </c>
      <c r="Y34" s="534" t="str" cm="1">
        <f t="array" ref="Y34">_xlfn.IFS(O34&lt;44361, "Before the burn", O34&lt;44403, "During the burn", O34&gt;44403, "After the burn")</f>
        <v>During the burn</v>
      </c>
    </row>
    <row r="35" spans="1:25" x14ac:dyDescent="0.3">
      <c r="A35" s="199" t="str">
        <f>UPPER(LEFT(SPI!B14,2))&amp;RIGHT(SPI!B14,LEN(SPI!B14)-2)</f>
        <v>STa</v>
      </c>
      <c r="B35" s="200" t="str" cm="1">
        <f t="array" ref="B35">_xlfn.IFS(A35="EP", "EP", A35="STa", "SPI", A35="STb", "SPO", A35="MRT", "MRT", A35="RG", "RN", A35="RT", "RU", A35="RW", "RL", A35="RC", "RS")</f>
        <v>SPI</v>
      </c>
      <c r="C35" s="201">
        <f>INT(SPI!A14)</f>
        <v>44377</v>
      </c>
      <c r="D35" s="201" t="str">
        <f t="shared" si="1"/>
        <v>SPI44377</v>
      </c>
      <c r="E35" s="202">
        <f>SPI!D14</f>
        <v>7</v>
      </c>
      <c r="F35" s="202">
        <f>SPI!E14</f>
        <v>28.1</v>
      </c>
      <c r="G35" s="202">
        <f>SPI!F14</f>
        <v>2.78</v>
      </c>
      <c r="H35" s="202">
        <f>SPI!H14</f>
        <v>0.01</v>
      </c>
      <c r="I35" s="202">
        <f>SPI!G14</f>
        <v>2.8</v>
      </c>
      <c r="J35" s="202">
        <f>SPI!I14</f>
        <v>0.25</v>
      </c>
      <c r="K35" s="202">
        <f>SPI!J14</f>
        <v>0.1</v>
      </c>
      <c r="L35" s="203">
        <f>SPI!K14</f>
        <v>0.37</v>
      </c>
      <c r="N35" s="252" t="str">
        <f t="shared" si="2"/>
        <v>SPI</v>
      </c>
      <c r="O35" s="253">
        <f t="shared" si="3"/>
        <v>44405</v>
      </c>
      <c r="P35" s="254" t="str">
        <f t="array" ref="P35">INDEX($D$2:$D$278,MATCH(0,COUNTIF($P$1:$P34,$D$2:$D$278),0))</f>
        <v>SPI44405</v>
      </c>
      <c r="Q35" s="255">
        <f t="shared" si="4"/>
        <v>6.74</v>
      </c>
      <c r="R35" s="255">
        <f t="shared" si="5"/>
        <v>29.7</v>
      </c>
      <c r="S35" s="255">
        <f t="shared" si="6"/>
        <v>0.04</v>
      </c>
      <c r="T35" s="255">
        <f t="shared" si="7"/>
        <v>0.02</v>
      </c>
      <c r="U35" s="255">
        <f t="shared" si="8"/>
        <v>0.04</v>
      </c>
      <c r="V35" s="255">
        <f t="shared" si="9"/>
        <v>0.02</v>
      </c>
      <c r="W35" s="255">
        <f t="shared" si="10"/>
        <v>7.0000000000000001E-3</v>
      </c>
      <c r="X35" s="256">
        <f t="shared" si="11"/>
        <v>0.48</v>
      </c>
      <c r="Y35" s="534" t="str" cm="1">
        <f t="array" ref="Y35">_xlfn.IFS(O35&lt;44361, "Before the burn", O35&lt;44403, "During the burn", O35&gt;44403, "After the burn")</f>
        <v>After the burn</v>
      </c>
    </row>
    <row r="36" spans="1:25" x14ac:dyDescent="0.3">
      <c r="A36" s="199" t="str">
        <f>UPPER(LEFT(SPI!B15,2))&amp;RIGHT(SPI!B15,LEN(SPI!B15)-2)</f>
        <v>STa</v>
      </c>
      <c r="B36" s="200" t="str" cm="1">
        <f t="array" ref="B36">_xlfn.IFS(A36="EP", "EP", A36="STa", "SPI", A36="STb", "SPO", A36="MRT", "MRT", A36="RG", "RN", A36="RT", "RU", A36="RW", "RL", A36="RC", "RS")</f>
        <v>SPI</v>
      </c>
      <c r="C36" s="201">
        <f>INT(SPI!A15)</f>
        <v>44385</v>
      </c>
      <c r="D36" s="201" t="str">
        <f t="shared" si="1"/>
        <v>SPI44385</v>
      </c>
      <c r="E36" s="202">
        <f>SPI!D15</f>
        <v>6.88</v>
      </c>
      <c r="F36" s="202">
        <f>SPI!E15</f>
        <v>28.6</v>
      </c>
      <c r="G36" s="202">
        <f>SPI!F15</f>
        <v>2.67</v>
      </c>
      <c r="H36" s="202">
        <f>SPI!H15</f>
        <v>0.03</v>
      </c>
      <c r="I36" s="202">
        <f>SPI!G15</f>
        <v>2.78</v>
      </c>
      <c r="J36" s="202">
        <f>SPI!I15</f>
        <v>0.03</v>
      </c>
      <c r="K36" s="202">
        <f>SPI!J15</f>
        <v>5.0000000000000001E-3</v>
      </c>
      <c r="L36" s="203">
        <f>SPI!K15</f>
        <v>0.35</v>
      </c>
      <c r="N36" s="252" t="str">
        <f t="shared" si="2"/>
        <v>SPI</v>
      </c>
      <c r="O36" s="253">
        <f t="shared" si="3"/>
        <v>44412</v>
      </c>
      <c r="P36" s="254" t="str">
        <f t="array" ref="P36">INDEX($D$2:$D$278,MATCH(0,COUNTIF($P$1:$P35,$D$2:$D$278),0))</f>
        <v>SPI44412</v>
      </c>
      <c r="Q36" s="255">
        <f t="shared" si="4"/>
        <v>6.7</v>
      </c>
      <c r="R36" s="255">
        <f t="shared" si="5"/>
        <v>29.7</v>
      </c>
      <c r="S36" s="255">
        <f t="shared" si="6"/>
        <v>0.06</v>
      </c>
      <c r="T36" s="255">
        <f t="shared" si="7"/>
        <v>2.19</v>
      </c>
      <c r="U36" s="255">
        <f t="shared" si="8"/>
        <v>2.48</v>
      </c>
      <c r="V36" s="255">
        <f t="shared" si="9"/>
        <v>0.19</v>
      </c>
      <c r="W36" s="255">
        <f t="shared" si="10"/>
        <v>7.0000000000000001E-3</v>
      </c>
      <c r="X36" s="256">
        <f t="shared" si="11"/>
        <v>0.43</v>
      </c>
      <c r="Y36" s="534" t="str" cm="1">
        <f t="array" ref="Y36">_xlfn.IFS(O36&lt;44361, "Before the burn", O36&lt;44403, "During the burn", O36&gt;44403, "After the burn")</f>
        <v>After the burn</v>
      </c>
    </row>
    <row r="37" spans="1:25" x14ac:dyDescent="0.3">
      <c r="A37" s="199" t="str">
        <f>UPPER(LEFT(SPI!B16,2))&amp;RIGHT(SPI!B16,LEN(SPI!B16)-2)</f>
        <v>STa</v>
      </c>
      <c r="B37" s="200" t="str" cm="1">
        <f t="array" ref="B37">_xlfn.IFS(A37="EP", "EP", A37="STa", "SPI", A37="STb", "SPO", A37="MRT", "MRT", A37="RG", "RN", A37="RT", "RU", A37="RW", "RL", A37="RC", "RS")</f>
        <v>SPI</v>
      </c>
      <c r="C37" s="201">
        <f>INT(SPI!A16)</f>
        <v>44391</v>
      </c>
      <c r="D37" s="201" t="str">
        <f t="shared" si="1"/>
        <v>SPI44391</v>
      </c>
      <c r="E37" s="202">
        <f>SPI!D16</f>
        <v>6.77</v>
      </c>
      <c r="F37" s="202">
        <f>SPI!E16</f>
        <v>28.6</v>
      </c>
      <c r="G37" s="202">
        <f>SPI!F16</f>
        <v>2.64</v>
      </c>
      <c r="H37" s="202">
        <f>SPI!H16</f>
        <v>0.01</v>
      </c>
      <c r="I37" s="202">
        <f>SPI!G16</f>
        <v>2.81</v>
      </c>
      <c r="J37" s="202">
        <f>SPI!I16</f>
        <v>0.03</v>
      </c>
      <c r="K37" s="202">
        <f>SPI!J16</f>
        <v>6.0000000000000001E-3</v>
      </c>
      <c r="L37" s="203">
        <f>SPI!K16</f>
        <v>0.42</v>
      </c>
      <c r="N37" s="252" t="str">
        <f t="shared" si="2"/>
        <v>SPI</v>
      </c>
      <c r="O37" s="253">
        <f t="shared" si="3"/>
        <v>44419</v>
      </c>
      <c r="P37" s="254" t="str">
        <f t="array" ref="P37">INDEX($D$2:$D$278,MATCH(0,COUNTIF($P$1:$P36,$D$2:$D$278),0))</f>
        <v>SPI44419</v>
      </c>
      <c r="Q37" s="255">
        <f t="shared" si="4"/>
        <v>6.68</v>
      </c>
      <c r="R37" s="255">
        <f t="shared" si="5"/>
        <v>29.7</v>
      </c>
      <c r="S37" s="255">
        <f t="shared" si="6"/>
        <v>0.1</v>
      </c>
      <c r="T37" s="255">
        <f t="shared" si="7"/>
        <v>2.0099999999999998</v>
      </c>
      <c r="U37" s="255">
        <f t="shared" si="8"/>
        <v>2.35</v>
      </c>
      <c r="V37" s="255">
        <f t="shared" si="9"/>
        <v>0.18</v>
      </c>
      <c r="W37" s="255">
        <f t="shared" si="10"/>
        <v>6.0000000000000001E-3</v>
      </c>
      <c r="X37" s="256">
        <f t="shared" si="11"/>
        <v>0.32</v>
      </c>
      <c r="Y37" s="534" t="str" cm="1">
        <f t="array" ref="Y37">_xlfn.IFS(O37&lt;44361, "Before the burn", O37&lt;44403, "During the burn", O37&gt;44403, "After the burn")</f>
        <v>After the burn</v>
      </c>
    </row>
    <row r="38" spans="1:25" x14ac:dyDescent="0.3">
      <c r="A38" s="199" t="str">
        <f>UPPER(LEFT(SPI!B17,2))&amp;RIGHT(SPI!B17,LEN(SPI!B17)-2)</f>
        <v>STa</v>
      </c>
      <c r="B38" s="200" t="str" cm="1">
        <f t="array" ref="B38">_xlfn.IFS(A38="EP", "EP", A38="STa", "SPI", A38="STb", "SPO", A38="MRT", "MRT", A38="RG", "RN", A38="RT", "RU", A38="RW", "RL", A38="RC", "RS")</f>
        <v>SPI</v>
      </c>
      <c r="C38" s="201">
        <f>INT(SPI!A17)</f>
        <v>44398</v>
      </c>
      <c r="D38" s="201" t="str">
        <f t="shared" si="1"/>
        <v>SPI44398</v>
      </c>
      <c r="E38" s="202">
        <f>SPI!D17</f>
        <v>6.71</v>
      </c>
      <c r="F38" s="202">
        <f>SPI!E17</f>
        <v>28.6</v>
      </c>
      <c r="G38" s="202">
        <f>SPI!F17</f>
        <v>2.78</v>
      </c>
      <c r="H38" s="202">
        <f>SPI!H17</f>
        <v>0.03</v>
      </c>
      <c r="I38" s="202">
        <f>SPI!G17</f>
        <v>2.73</v>
      </c>
      <c r="J38" s="202">
        <f>SPI!I17</f>
        <v>0.02</v>
      </c>
      <c r="K38" s="202">
        <f>SPI!J17</f>
        <v>6.0000000000000001E-3</v>
      </c>
      <c r="L38" s="203">
        <f>SPI!K17</f>
        <v>0.38</v>
      </c>
      <c r="N38" s="252" t="str">
        <f t="shared" si="2"/>
        <v>SPI</v>
      </c>
      <c r="O38" s="253">
        <f t="shared" si="3"/>
        <v>44426</v>
      </c>
      <c r="P38" s="254" t="str">
        <f t="array" ref="P38">INDEX($D$2:$D$278,MATCH(0,COUNTIF($P$1:$P37,$D$2:$D$278),0))</f>
        <v>SPI44426</v>
      </c>
      <c r="Q38" s="255">
        <f t="shared" si="4"/>
        <v>6.78</v>
      </c>
      <c r="R38" s="255">
        <f t="shared" si="5"/>
        <v>29.9</v>
      </c>
      <c r="S38" s="255">
        <f t="shared" si="6"/>
        <v>7.0000000000000007E-2</v>
      </c>
      <c r="T38" s="255">
        <f t="shared" si="7"/>
        <v>1.96</v>
      </c>
      <c r="U38" s="255">
        <f t="shared" si="8"/>
        <v>2.36</v>
      </c>
      <c r="V38" s="255">
        <f t="shared" si="9"/>
        <v>0.11</v>
      </c>
      <c r="W38" s="255">
        <f t="shared" si="10"/>
        <v>2E-3</v>
      </c>
      <c r="X38" s="256">
        <f t="shared" si="11"/>
        <v>0.4</v>
      </c>
      <c r="Y38" s="534" t="str" cm="1">
        <f t="array" ref="Y38">_xlfn.IFS(O38&lt;44361, "Before the burn", O38&lt;44403, "During the burn", O38&gt;44403, "After the burn")</f>
        <v>After the burn</v>
      </c>
    </row>
    <row r="39" spans="1:25" ht="16.350000000000001" thickBot="1" x14ac:dyDescent="0.35">
      <c r="A39" s="199" t="str">
        <f>UPPER(LEFT(SPI!B18,2))&amp;RIGHT(SPI!B18,LEN(SPI!B18)-2)</f>
        <v>STa</v>
      </c>
      <c r="B39" s="200" t="str" cm="1">
        <f t="array" ref="B39">_xlfn.IFS(A39="EP", "EP", A39="STa", "SPI", A39="STb", "SPO", A39="MRT", "MRT", A39="RG", "RN", A39="RT", "RU", A39="RW", "RL", A39="RC", "RS")</f>
        <v>SPI</v>
      </c>
      <c r="C39" s="201">
        <f>INT(SPI!A18)</f>
        <v>44405</v>
      </c>
      <c r="D39" s="201" t="str">
        <f t="shared" si="1"/>
        <v>SPI44405</v>
      </c>
      <c r="E39" s="202">
        <f>SPI!D18</f>
        <v>6.74</v>
      </c>
      <c r="F39" s="202">
        <f>SPI!E18</f>
        <v>29.7</v>
      </c>
      <c r="G39" s="202">
        <f>SPI!F18</f>
        <v>0.04</v>
      </c>
      <c r="H39" s="202">
        <f>SPI!H18</f>
        <v>0.02</v>
      </c>
      <c r="I39" s="202">
        <f>SPI!G18</f>
        <v>0.04</v>
      </c>
      <c r="J39" s="202">
        <f>SPI!I18</f>
        <v>0.02</v>
      </c>
      <c r="K39" s="202">
        <f>SPI!J18</f>
        <v>7.0000000000000001E-3</v>
      </c>
      <c r="L39" s="203">
        <f>SPI!K18</f>
        <v>0.48</v>
      </c>
      <c r="N39" s="267" t="str">
        <f t="shared" si="2"/>
        <v>SPI</v>
      </c>
      <c r="O39" s="268">
        <f t="shared" si="3"/>
        <v>44433</v>
      </c>
      <c r="P39" s="269" t="str">
        <f t="array" ref="P39">INDEX($D$2:$D$278,MATCH(0,COUNTIF($P$1:$P38,$D$2:$D$278),0))</f>
        <v>SPI44433</v>
      </c>
      <c r="Q39" s="270">
        <f t="shared" si="4"/>
        <v>6.85</v>
      </c>
      <c r="R39" s="270">
        <f t="shared" si="5"/>
        <v>29.6</v>
      </c>
      <c r="S39" s="270">
        <f t="shared" si="6"/>
        <v>0.11</v>
      </c>
      <c r="T39" s="270">
        <f t="shared" si="7"/>
        <v>1.24</v>
      </c>
      <c r="U39" s="270">
        <f t="shared" si="8"/>
        <v>1.21</v>
      </c>
      <c r="V39" s="270">
        <f t="shared" si="9"/>
        <v>0.16</v>
      </c>
      <c r="W39" s="270">
        <f t="shared" si="10"/>
        <v>1E-3</v>
      </c>
      <c r="X39" s="271">
        <f t="shared" si="11"/>
        <v>0.42</v>
      </c>
      <c r="Y39" s="535" t="str" cm="1">
        <f t="array" ref="Y39">_xlfn.IFS(O39&lt;44361, "Before the burn", O39&lt;44403, "During the burn", O39&gt;44403, "After the burn")</f>
        <v>After the burn</v>
      </c>
    </row>
    <row r="40" spans="1:25" x14ac:dyDescent="0.3">
      <c r="A40" s="199" t="str">
        <f>UPPER(LEFT(SPI!B19,2))&amp;RIGHT(SPI!B19,LEN(SPI!B19)-2)</f>
        <v>STa</v>
      </c>
      <c r="B40" s="200" t="str" cm="1">
        <f t="array" ref="B40">_xlfn.IFS(A40="EP", "EP", A40="STa", "SPI", A40="STb", "SPO", A40="MRT", "MRT", A40="RG", "RN", A40="RT", "RU", A40="RW", "RL", A40="RC", "RS")</f>
        <v>SPI</v>
      </c>
      <c r="C40" s="201">
        <f>INT(SPI!A19)</f>
        <v>44412</v>
      </c>
      <c r="D40" s="201" t="str">
        <f t="shared" si="1"/>
        <v>SPI44412</v>
      </c>
      <c r="E40" s="202">
        <f>SPI!D19</f>
        <v>6.7</v>
      </c>
      <c r="F40" s="202">
        <f>SPI!E19</f>
        <v>29.7</v>
      </c>
      <c r="G40" s="202">
        <f>SPI!F19</f>
        <v>0.06</v>
      </c>
      <c r="H40" s="202">
        <f>SPI!H19</f>
        <v>2.19</v>
      </c>
      <c r="I40" s="202">
        <f>SPI!G19</f>
        <v>2.48</v>
      </c>
      <c r="J40" s="202">
        <f>SPI!I19</f>
        <v>0.19</v>
      </c>
      <c r="K40" s="202">
        <f>SPI!J19</f>
        <v>7.0000000000000001E-3</v>
      </c>
      <c r="L40" s="203">
        <f>SPI!K19</f>
        <v>0.43</v>
      </c>
      <c r="N40" s="241" t="str">
        <f t="shared" si="2"/>
        <v>SPO</v>
      </c>
      <c r="O40" s="242">
        <f t="shared" si="3"/>
        <v>44294</v>
      </c>
      <c r="P40" s="243" t="str">
        <f t="array" ref="P40">INDEX($D$2:$D$278,MATCH(0,COUNTIF($P$1:$P39,$D$2:$D$278),0))</f>
        <v>SPO44294</v>
      </c>
      <c r="Q40" s="244">
        <f t="shared" si="4"/>
        <v>6.43</v>
      </c>
      <c r="R40" s="244">
        <f t="shared" si="5"/>
        <v>21.533333333333331</v>
      </c>
      <c r="S40" s="244">
        <f t="shared" si="6"/>
        <v>1.0133333333333334</v>
      </c>
      <c r="T40" s="244">
        <f t="shared" si="7"/>
        <v>1.9000000000000001</v>
      </c>
      <c r="U40" s="244">
        <f t="shared" si="8"/>
        <v>1.7599999999999998</v>
      </c>
      <c r="V40" s="244">
        <f t="shared" si="9"/>
        <v>0.29666666666666669</v>
      </c>
      <c r="W40" s="244">
        <f t="shared" si="10"/>
        <v>5.3333333333333332E-3</v>
      </c>
      <c r="X40" s="245">
        <f t="shared" si="11"/>
        <v>0.33</v>
      </c>
      <c r="Y40" s="530" t="str" cm="1">
        <f t="array" ref="Y40">_xlfn.IFS(O40&lt;44361, "Before the burn", O40&lt;44403, "During the burn", O40&gt;44403, "After the burn")</f>
        <v>Before the burn</v>
      </c>
    </row>
    <row r="41" spans="1:25" x14ac:dyDescent="0.3">
      <c r="A41" s="199" t="str">
        <f>UPPER(LEFT(SPI!B20,2))&amp;RIGHT(SPI!B20,LEN(SPI!B20)-2)</f>
        <v>STa</v>
      </c>
      <c r="B41" s="200" t="str" cm="1">
        <f t="array" ref="B41">_xlfn.IFS(A41="EP", "EP", A41="STa", "SPI", A41="STb", "SPO", A41="MRT", "MRT", A41="RG", "RN", A41="RT", "RU", A41="RW", "RL", A41="RC", "RS")</f>
        <v>SPI</v>
      </c>
      <c r="C41" s="201">
        <f>INT(SPI!A20)</f>
        <v>44419</v>
      </c>
      <c r="D41" s="201" t="str">
        <f t="shared" si="1"/>
        <v>SPI44419</v>
      </c>
      <c r="E41" s="202">
        <f>SPI!D20</f>
        <v>6.68</v>
      </c>
      <c r="F41" s="202">
        <f>SPI!E20</f>
        <v>29.7</v>
      </c>
      <c r="G41" s="202">
        <f>SPI!F20</f>
        <v>0.1</v>
      </c>
      <c r="H41" s="202">
        <f>SPI!H20</f>
        <v>2.0099999999999998</v>
      </c>
      <c r="I41" s="202">
        <f>SPI!G20</f>
        <v>2.35</v>
      </c>
      <c r="J41" s="202">
        <f>SPI!I20</f>
        <v>0.18</v>
      </c>
      <c r="K41" s="202">
        <f>SPI!J20</f>
        <v>6.0000000000000001E-3</v>
      </c>
      <c r="L41" s="203">
        <f>SPI!K20</f>
        <v>0.32</v>
      </c>
      <c r="N41" s="236" t="str">
        <f t="shared" si="2"/>
        <v>SPO</v>
      </c>
      <c r="O41" s="237">
        <f t="shared" si="3"/>
        <v>44306</v>
      </c>
      <c r="P41" s="238" t="str">
        <f t="array" ref="P41">INDEX($D$2:$D$278,MATCH(0,COUNTIF($P$1:$P40,$D$2:$D$278),0))</f>
        <v>SPO44306</v>
      </c>
      <c r="Q41" s="239">
        <f t="shared" si="4"/>
        <v>6.66</v>
      </c>
      <c r="R41" s="239">
        <f t="shared" si="5"/>
        <v>20.6</v>
      </c>
      <c r="S41" s="239">
        <f t="shared" si="6"/>
        <v>2.77</v>
      </c>
      <c r="T41" s="239">
        <f t="shared" si="7"/>
        <v>1.83</v>
      </c>
      <c r="U41" s="239">
        <f t="shared" si="8"/>
        <v>0.13</v>
      </c>
      <c r="V41" s="239">
        <f t="shared" si="9"/>
        <v>0.24</v>
      </c>
      <c r="W41" s="239">
        <f t="shared" si="10"/>
        <v>5.0000000000000001E-3</v>
      </c>
      <c r="X41" s="240">
        <f t="shared" si="11"/>
        <v>0.33</v>
      </c>
      <c r="Y41" s="531" t="str" cm="1">
        <f t="array" ref="Y41">_xlfn.IFS(O41&lt;44361, "Before the burn", O41&lt;44403, "During the burn", O41&gt;44403, "After the burn")</f>
        <v>Before the burn</v>
      </c>
    </row>
    <row r="42" spans="1:25" x14ac:dyDescent="0.3">
      <c r="A42" s="199" t="str">
        <f>UPPER(LEFT(SPI!B21,2))&amp;RIGHT(SPI!B21,LEN(SPI!B21)-2)</f>
        <v>STa</v>
      </c>
      <c r="B42" s="200" t="str" cm="1">
        <f t="array" ref="B42">_xlfn.IFS(A42="EP", "EP", A42="STa", "SPI", A42="STb", "SPO", A42="MRT", "MRT", A42="RG", "RN", A42="RT", "RU", A42="RW", "RL", A42="RC", "RS")</f>
        <v>SPI</v>
      </c>
      <c r="C42" s="201">
        <f>INT(SPI!A21)</f>
        <v>44426</v>
      </c>
      <c r="D42" s="201" t="str">
        <f t="shared" si="1"/>
        <v>SPI44426</v>
      </c>
      <c r="E42" s="202">
        <f>SPI!D21</f>
        <v>6.78</v>
      </c>
      <c r="F42" s="202">
        <f>SPI!E21</f>
        <v>29.9</v>
      </c>
      <c r="G42" s="202">
        <f>SPI!F21</f>
        <v>7.0000000000000007E-2</v>
      </c>
      <c r="H42" s="202">
        <f>SPI!H21</f>
        <v>1.96</v>
      </c>
      <c r="I42" s="202">
        <f>SPI!G21</f>
        <v>2.36</v>
      </c>
      <c r="J42" s="202">
        <f>SPI!I21</f>
        <v>0.11</v>
      </c>
      <c r="K42" s="202">
        <f>SPI!J21</f>
        <v>2E-3</v>
      </c>
      <c r="L42" s="203">
        <f>SPI!K21</f>
        <v>0.4</v>
      </c>
      <c r="N42" s="236" t="str">
        <f t="shared" si="2"/>
        <v>SPO</v>
      </c>
      <c r="O42" s="237">
        <f t="shared" si="3"/>
        <v>44313</v>
      </c>
      <c r="P42" s="238" t="str">
        <f t="array" ref="P42">INDEX($D$2:$D$278,MATCH(0,COUNTIF($P$1:$P41,$D$2:$D$278),0))</f>
        <v>SPO44313</v>
      </c>
      <c r="Q42" s="239">
        <f t="shared" si="4"/>
        <v>6.31</v>
      </c>
      <c r="R42" s="239">
        <f t="shared" si="5"/>
        <v>22</v>
      </c>
      <c r="S42" s="239">
        <f t="shared" si="6"/>
        <v>0.21</v>
      </c>
      <c r="T42" s="239">
        <f t="shared" si="7"/>
        <v>1.88</v>
      </c>
      <c r="U42" s="239">
        <f t="shared" si="8"/>
        <v>2.52</v>
      </c>
      <c r="V42" s="239">
        <f t="shared" si="9"/>
        <v>0.34</v>
      </c>
      <c r="W42" s="239">
        <f t="shared" si="10"/>
        <v>6.0000000000000001E-3</v>
      </c>
      <c r="X42" s="240">
        <f t="shared" si="11"/>
        <v>0.32</v>
      </c>
      <c r="Y42" s="531" t="str" cm="1">
        <f t="array" ref="Y42">_xlfn.IFS(O42&lt;44361, "Before the burn", O42&lt;44403, "During the burn", O42&gt;44403, "After the burn")</f>
        <v>Before the burn</v>
      </c>
    </row>
    <row r="43" spans="1:25" ht="16.350000000000001" thickBot="1" x14ac:dyDescent="0.35">
      <c r="A43" s="231" t="str">
        <f>UPPER(LEFT(SPI!B22,2))&amp;RIGHT(SPI!B22,LEN(SPI!B22)-2)</f>
        <v>STa</v>
      </c>
      <c r="B43" s="232" t="str" cm="1">
        <f t="array" ref="B43">_xlfn.IFS(A43="EP", "EP", A43="STa", "SPI", A43="STb", "SPO", A43="MRT", "MRT", A43="RG", "RN", A43="RT", "RU", A43="RW", "RL", A43="RC", "RS")</f>
        <v>SPI</v>
      </c>
      <c r="C43" s="233">
        <f>INT(SPI!A22)</f>
        <v>44433</v>
      </c>
      <c r="D43" s="233" t="str">
        <f t="shared" si="1"/>
        <v>SPI44433</v>
      </c>
      <c r="E43" s="234">
        <f>SPI!D22</f>
        <v>6.85</v>
      </c>
      <c r="F43" s="234">
        <f>SPI!E22</f>
        <v>29.6</v>
      </c>
      <c r="G43" s="234">
        <f>SPI!F22</f>
        <v>0.11</v>
      </c>
      <c r="H43" s="234">
        <f>SPI!H22</f>
        <v>1.24</v>
      </c>
      <c r="I43" s="234">
        <f>SPI!G22</f>
        <v>1.21</v>
      </c>
      <c r="J43" s="234">
        <f>SPI!I22</f>
        <v>0.16</v>
      </c>
      <c r="K43" s="234">
        <f>SPI!J22</f>
        <v>1E-3</v>
      </c>
      <c r="L43" s="235">
        <f>SPI!K22</f>
        <v>0.42</v>
      </c>
      <c r="N43" s="236" t="str">
        <f t="shared" si="2"/>
        <v>SPO</v>
      </c>
      <c r="O43" s="237">
        <f t="shared" si="3"/>
        <v>44320</v>
      </c>
      <c r="P43" s="238" t="str">
        <f t="array" ref="P43">INDEX($D$2:$D$278,MATCH(0,COUNTIF($P$1:$P42,$D$2:$D$278),0))</f>
        <v>SPO44320</v>
      </c>
      <c r="Q43" s="239">
        <f t="shared" si="4"/>
        <v>6.43</v>
      </c>
      <c r="R43" s="239">
        <f t="shared" si="5"/>
        <v>24.3</v>
      </c>
      <c r="S43" s="239">
        <f t="shared" si="6"/>
        <v>0.08</v>
      </c>
      <c r="T43" s="239">
        <f t="shared" si="7"/>
        <v>1.87</v>
      </c>
      <c r="U43" s="239">
        <f t="shared" si="8"/>
        <v>2.2200000000000002</v>
      </c>
      <c r="V43" s="239">
        <f t="shared" si="9"/>
        <v>0.22</v>
      </c>
      <c r="W43" s="239">
        <f t="shared" si="10"/>
        <v>6.0000000000000001E-3</v>
      </c>
      <c r="X43" s="240">
        <f t="shared" si="11"/>
        <v>0.32</v>
      </c>
      <c r="Y43" s="531" t="str" cm="1">
        <f t="array" ref="Y43">_xlfn.IFS(O43&lt;44361, "Before the burn", O43&lt;44403, "During the burn", O43&gt;44403, "After the burn")</f>
        <v>Before the burn</v>
      </c>
    </row>
    <row r="44" spans="1:25" x14ac:dyDescent="0.3">
      <c r="A44" s="210" t="str">
        <f>UPPER(LEFT(SPO!B3,2))&amp;RIGHT(SPO!B3,LEN(SPO!B3)-2)</f>
        <v>STb</v>
      </c>
      <c r="B44" s="211" t="str" cm="1">
        <f t="array" ref="B44">_xlfn.IFS(A44="EP", "EP", A44="STa", "SPI", A44="STb", "SPO", A44="MRT", "MRT", A44="RG", "RN", A44="RT", "RU", A44="RW", "RL", A44="RC", "RS")</f>
        <v>SPO</v>
      </c>
      <c r="C44" s="212">
        <f>INT(SPO!A3)</f>
        <v>44294</v>
      </c>
      <c r="D44" s="212" t="str">
        <f t="shared" si="1"/>
        <v>SPO44294</v>
      </c>
      <c r="E44" s="213">
        <f>SPO!D3</f>
        <v>6.32</v>
      </c>
      <c r="F44" s="213">
        <f>SPO!E3</f>
        <v>22</v>
      </c>
      <c r="G44" s="213">
        <f>SPO!F3</f>
        <v>0.06</v>
      </c>
      <c r="H44" s="213">
        <f>SPO!H3</f>
        <v>1.99</v>
      </c>
      <c r="I44" s="213">
        <f>SPO!G3</f>
        <v>2.63</v>
      </c>
      <c r="J44" s="213">
        <f>SPO!I3</f>
        <v>0.31</v>
      </c>
      <c r="K44" s="213">
        <f>SPO!J3</f>
        <v>5.0000000000000001E-3</v>
      </c>
      <c r="L44" s="214">
        <f>SPO!K3</f>
        <v>0.34</v>
      </c>
      <c r="N44" s="236" t="str">
        <f t="shared" si="2"/>
        <v>SPO</v>
      </c>
      <c r="O44" s="237">
        <f t="shared" si="3"/>
        <v>44327</v>
      </c>
      <c r="P44" s="238" t="str">
        <f t="array" ref="P44">INDEX($D$2:$D$278,MATCH(0,COUNTIF($P$1:$P43,$D$2:$D$278),0))</f>
        <v>SPO44327</v>
      </c>
      <c r="Q44" s="239">
        <f t="shared" si="4"/>
        <v>6.65</v>
      </c>
      <c r="R44" s="239">
        <f t="shared" si="5"/>
        <v>24.4</v>
      </c>
      <c r="S44" s="239">
        <f t="shared" si="6"/>
        <v>0.09</v>
      </c>
      <c r="T44" s="239">
        <f t="shared" si="7"/>
        <v>1.78</v>
      </c>
      <c r="U44" s="239">
        <f t="shared" si="8"/>
        <v>2.13</v>
      </c>
      <c r="V44" s="239">
        <f t="shared" si="9"/>
        <v>0.21</v>
      </c>
      <c r="W44" s="239">
        <f t="shared" si="10"/>
        <v>7.0000000000000001E-3</v>
      </c>
      <c r="X44" s="240">
        <f t="shared" si="11"/>
        <v>0.3</v>
      </c>
      <c r="Y44" s="531" t="str" cm="1">
        <f t="array" ref="Y44">_xlfn.IFS(O44&lt;44361, "Before the burn", O44&lt;44403, "During the burn", O44&gt;44403, "After the burn")</f>
        <v>Before the burn</v>
      </c>
    </row>
    <row r="45" spans="1:25" x14ac:dyDescent="0.3">
      <c r="A45" s="194" t="str">
        <f>UPPER(LEFT(SPO!B4,2))&amp;RIGHT(SPO!B4,LEN(SPO!B4)-2)</f>
        <v>STb</v>
      </c>
      <c r="B45" s="195" t="str" cm="1">
        <f t="array" ref="B45">_xlfn.IFS(A45="EP", "EP", A45="STa", "SPI", A45="STb", "SPO", A45="MRT", "MRT", A45="RG", "RN", A45="RT", "RU", A45="RW", "RL", A45="RC", "RS")</f>
        <v>SPO</v>
      </c>
      <c r="C45" s="196">
        <f>INT(SPO!A4)</f>
        <v>44294</v>
      </c>
      <c r="D45" s="196" t="str">
        <f t="shared" si="1"/>
        <v>SPO44294</v>
      </c>
      <c r="E45" s="197">
        <f>SPO!D4</f>
        <v>6.66</v>
      </c>
      <c r="F45" s="197">
        <f>SPO!E4</f>
        <v>20.6</v>
      </c>
      <c r="G45" s="197">
        <f>SPO!F4</f>
        <v>2.77</v>
      </c>
      <c r="H45" s="197">
        <f>SPO!H4</f>
        <v>1.83</v>
      </c>
      <c r="I45" s="197">
        <f>SPO!G4</f>
        <v>0.13</v>
      </c>
      <c r="J45" s="197">
        <f>SPO!I4</f>
        <v>0.24</v>
      </c>
      <c r="K45" s="197">
        <f>SPO!J4</f>
        <v>5.0000000000000001E-3</v>
      </c>
      <c r="L45" s="198">
        <f>SPO!K4</f>
        <v>0.33</v>
      </c>
      <c r="N45" s="236" t="str">
        <f t="shared" si="2"/>
        <v>SPO</v>
      </c>
      <c r="O45" s="237">
        <f t="shared" si="3"/>
        <v>44335</v>
      </c>
      <c r="P45" s="238" t="str">
        <f t="array" ref="P45">INDEX($D$2:$D$278,MATCH(0,COUNTIF($P$1:$P44,$D$2:$D$278),0))</f>
        <v>SPO44335</v>
      </c>
      <c r="Q45" s="239">
        <f t="shared" si="4"/>
        <v>6.53</v>
      </c>
      <c r="R45" s="239">
        <f t="shared" si="5"/>
        <v>24.8</v>
      </c>
      <c r="S45" s="239">
        <f t="shared" si="6"/>
        <v>0.11</v>
      </c>
      <c r="T45" s="239">
        <f t="shared" si="7"/>
        <v>1.77</v>
      </c>
      <c r="U45" s="239">
        <f t="shared" si="8"/>
        <v>2.23</v>
      </c>
      <c r="V45" s="239">
        <f t="shared" si="9"/>
        <v>0.33</v>
      </c>
      <c r="W45" s="239">
        <f t="shared" si="10"/>
        <v>5.0000000000000001E-3</v>
      </c>
      <c r="X45" s="240">
        <f t="shared" si="11"/>
        <v>0.26</v>
      </c>
      <c r="Y45" s="531" t="str" cm="1">
        <f t="array" ref="Y45">_xlfn.IFS(O45&lt;44361, "Before the burn", O45&lt;44403, "During the burn", O45&gt;44403, "After the burn")</f>
        <v>Before the burn</v>
      </c>
    </row>
    <row r="46" spans="1:25" x14ac:dyDescent="0.3">
      <c r="A46" s="194" t="str">
        <f>UPPER(LEFT(SPO!B5,2))&amp;RIGHT(SPO!B5,LEN(SPO!B5)-2)</f>
        <v>STb</v>
      </c>
      <c r="B46" s="195" t="str" cm="1">
        <f t="array" ref="B46">_xlfn.IFS(A46="EP", "EP", A46="STa", "SPI", A46="STb", "SPO", A46="MRT", "MRT", A46="RG", "RN", A46="RT", "RU", A46="RW", "RL", A46="RC", "RS")</f>
        <v>SPO</v>
      </c>
      <c r="C46" s="196">
        <f>INT(SPO!A5)</f>
        <v>44294</v>
      </c>
      <c r="D46" s="196" t="str">
        <f t="shared" si="1"/>
        <v>SPO44294</v>
      </c>
      <c r="E46" s="197">
        <f>SPO!D5</f>
        <v>6.31</v>
      </c>
      <c r="F46" s="197">
        <f>SPO!E5</f>
        <v>22</v>
      </c>
      <c r="G46" s="197">
        <f>SPO!F5</f>
        <v>0.21</v>
      </c>
      <c r="H46" s="197">
        <f>SPO!H5</f>
        <v>1.88</v>
      </c>
      <c r="I46" s="197">
        <f>SPO!G5</f>
        <v>2.52</v>
      </c>
      <c r="J46" s="197">
        <f>SPO!I5</f>
        <v>0.34</v>
      </c>
      <c r="K46" s="197">
        <f>SPO!J5</f>
        <v>6.0000000000000001E-3</v>
      </c>
      <c r="L46" s="198">
        <f>SPO!K5</f>
        <v>0.32</v>
      </c>
      <c r="N46" s="236" t="str">
        <f t="shared" si="2"/>
        <v>SPO</v>
      </c>
      <c r="O46" s="237">
        <f t="shared" si="3"/>
        <v>44342</v>
      </c>
      <c r="P46" s="238" t="str">
        <f t="array" ref="P46">INDEX($D$2:$D$278,MATCH(0,COUNTIF($P$1:$P45,$D$2:$D$278),0))</f>
        <v>SPO44342</v>
      </c>
      <c r="Q46" s="239">
        <f t="shared" si="4"/>
        <v>6.62</v>
      </c>
      <c r="R46" s="239">
        <f t="shared" si="5"/>
        <v>25.3</v>
      </c>
      <c r="S46" s="239">
        <f t="shared" si="6"/>
        <v>0.09</v>
      </c>
      <c r="T46" s="239">
        <f t="shared" si="7"/>
        <v>1.72</v>
      </c>
      <c r="U46" s="239">
        <f t="shared" si="8"/>
        <v>2.34</v>
      </c>
      <c r="V46" s="239">
        <f t="shared" si="9"/>
        <v>0.25</v>
      </c>
      <c r="W46" s="239">
        <f t="shared" si="10"/>
        <v>5.0000000000000001E-3</v>
      </c>
      <c r="X46" s="240">
        <f t="shared" si="11"/>
        <v>0.35</v>
      </c>
      <c r="Y46" s="531" t="str" cm="1">
        <f t="array" ref="Y46">_xlfn.IFS(O46&lt;44361, "Before the burn", O46&lt;44403, "During the burn", O46&gt;44403, "After the burn")</f>
        <v>Before the burn</v>
      </c>
    </row>
    <row r="47" spans="1:25" x14ac:dyDescent="0.3">
      <c r="A47" s="194" t="str">
        <f>UPPER(LEFT(SPO!B6,2))&amp;RIGHT(SPO!B6,LEN(SPO!B6)-2)</f>
        <v>STb</v>
      </c>
      <c r="B47" s="195" t="str" cm="1">
        <f t="array" ref="B47">_xlfn.IFS(A47="EP", "EP", A47="STa", "SPI", A47="STb", "SPO", A47="MRT", "MRT", A47="RG", "RN", A47="RT", "RU", A47="RW", "RL", A47="RC", "RS")</f>
        <v>SPO</v>
      </c>
      <c r="C47" s="196">
        <f>INT(SPO!A6)</f>
        <v>44306</v>
      </c>
      <c r="D47" s="196" t="str">
        <f t="shared" si="1"/>
        <v>SPO44306</v>
      </c>
      <c r="E47" s="197">
        <f>SPO!D6</f>
        <v>6.66</v>
      </c>
      <c r="F47" s="197">
        <f>SPO!E6</f>
        <v>20.6</v>
      </c>
      <c r="G47" s="197">
        <f>SPO!F6</f>
        <v>2.77</v>
      </c>
      <c r="H47" s="197">
        <f>SPO!H6</f>
        <v>1.83</v>
      </c>
      <c r="I47" s="197">
        <f>SPO!G6</f>
        <v>0.13</v>
      </c>
      <c r="J47" s="197">
        <f>SPO!I6</f>
        <v>0.24</v>
      </c>
      <c r="K47" s="197">
        <f>SPO!J6</f>
        <v>5.0000000000000001E-3</v>
      </c>
      <c r="L47" s="198">
        <f>SPO!K6</f>
        <v>0.33</v>
      </c>
      <c r="N47" s="236" t="str">
        <f t="shared" si="2"/>
        <v>SPO</v>
      </c>
      <c r="O47" s="237">
        <f t="shared" si="3"/>
        <v>44356</v>
      </c>
      <c r="P47" s="238" t="str">
        <f t="array" ref="P47">INDEX($D$2:$D$278,MATCH(0,COUNTIF($P$1:$P46,$D$2:$D$278),0))</f>
        <v>SPO44356</v>
      </c>
      <c r="Q47" s="239">
        <f t="shared" si="4"/>
        <v>7.2</v>
      </c>
      <c r="R47" s="239">
        <f t="shared" si="5"/>
        <v>25.2</v>
      </c>
      <c r="S47" s="239">
        <f t="shared" si="6"/>
        <v>0.09</v>
      </c>
      <c r="T47" s="239">
        <f t="shared" si="7"/>
        <v>1.82</v>
      </c>
      <c r="U47" s="239">
        <f t="shared" si="8"/>
        <v>2.2599999999999998</v>
      </c>
      <c r="V47" s="239">
        <f t="shared" si="9"/>
        <v>0.14000000000000001</v>
      </c>
      <c r="W47" s="239">
        <f t="shared" si="10"/>
        <v>1E-3</v>
      </c>
      <c r="X47" s="240">
        <f t="shared" si="11"/>
        <v>0.36</v>
      </c>
      <c r="Y47" s="531" t="str" cm="1">
        <f t="array" ref="Y47">_xlfn.IFS(O47&lt;44361, "Before the burn", O47&lt;44403, "During the burn", O47&gt;44403, "After the burn")</f>
        <v>Before the burn</v>
      </c>
    </row>
    <row r="48" spans="1:25" x14ac:dyDescent="0.3">
      <c r="A48" s="194" t="str">
        <f>UPPER(LEFT(SPO!B7,2))&amp;RIGHT(SPO!B7,LEN(SPO!B7)-2)</f>
        <v>STb</v>
      </c>
      <c r="B48" s="195" t="str" cm="1">
        <f t="array" ref="B48">_xlfn.IFS(A48="EP", "EP", A48="STa", "SPI", A48="STb", "SPO", A48="MRT", "MRT", A48="RG", "RN", A48="RT", "RU", A48="RW", "RL", A48="RC", "RS")</f>
        <v>SPO</v>
      </c>
      <c r="C48" s="196">
        <f>INT(SPO!A7)</f>
        <v>44313</v>
      </c>
      <c r="D48" s="196" t="str">
        <f t="shared" si="1"/>
        <v>SPO44313</v>
      </c>
      <c r="E48" s="197">
        <f>SPO!D7</f>
        <v>6.31</v>
      </c>
      <c r="F48" s="197">
        <f>SPO!E7</f>
        <v>22</v>
      </c>
      <c r="G48" s="197">
        <f>SPO!F7</f>
        <v>0.21</v>
      </c>
      <c r="H48" s="197">
        <f>SPO!H7</f>
        <v>1.88</v>
      </c>
      <c r="I48" s="197">
        <f>SPO!G7</f>
        <v>2.52</v>
      </c>
      <c r="J48" s="197">
        <f>SPO!I7</f>
        <v>0.34</v>
      </c>
      <c r="K48" s="197">
        <f>SPO!J7</f>
        <v>6.0000000000000001E-3</v>
      </c>
      <c r="L48" s="198">
        <f>SPO!K7</f>
        <v>0.32</v>
      </c>
      <c r="N48" s="236" t="str">
        <f t="shared" si="2"/>
        <v>SPO</v>
      </c>
      <c r="O48" s="237">
        <f t="shared" si="3"/>
        <v>44370</v>
      </c>
      <c r="P48" s="238" t="str">
        <f t="array" ref="P48">INDEX($D$2:$D$278,MATCH(0,COUNTIF($P$1:$P47,$D$2:$D$278),0))</f>
        <v>SPO44370</v>
      </c>
      <c r="Q48" s="239">
        <f t="shared" si="4"/>
        <v>6.97</v>
      </c>
      <c r="R48" s="239">
        <f t="shared" si="5"/>
        <v>26.6</v>
      </c>
      <c r="S48" s="239">
        <f t="shared" si="6"/>
        <v>2.68</v>
      </c>
      <c r="T48" s="239">
        <f t="shared" si="7"/>
        <v>0</v>
      </c>
      <c r="U48" s="239">
        <f t="shared" si="8"/>
        <v>2.74</v>
      </c>
      <c r="V48" s="239">
        <f t="shared" si="9"/>
        <v>0.03</v>
      </c>
      <c r="W48" s="239">
        <f t="shared" si="10"/>
        <v>6.0000000000000001E-3</v>
      </c>
      <c r="X48" s="240">
        <f t="shared" si="11"/>
        <v>0.32</v>
      </c>
      <c r="Y48" s="531" t="str" cm="1">
        <f t="array" ref="Y48">_xlfn.IFS(O48&lt;44361, "Before the burn", O48&lt;44403, "During the burn", O48&gt;44403, "After the burn")</f>
        <v>During the burn</v>
      </c>
    </row>
    <row r="49" spans="1:25" x14ac:dyDescent="0.3">
      <c r="A49" s="194" t="str">
        <f>UPPER(LEFT(SPO!B8,2))&amp;RIGHT(SPO!B8,LEN(SPO!B8)-2)</f>
        <v>STb</v>
      </c>
      <c r="B49" s="195" t="str" cm="1">
        <f t="array" ref="B49">_xlfn.IFS(A49="EP", "EP", A49="STa", "SPI", A49="STb", "SPO", A49="MRT", "MRT", A49="RG", "RN", A49="RT", "RU", A49="RW", "RL", A49="RC", "RS")</f>
        <v>SPO</v>
      </c>
      <c r="C49" s="196">
        <f>INT(SPO!A8)</f>
        <v>44320</v>
      </c>
      <c r="D49" s="196" t="str">
        <f t="shared" si="1"/>
        <v>SPO44320</v>
      </c>
      <c r="E49" s="197">
        <f>SPO!D8</f>
        <v>6.43</v>
      </c>
      <c r="F49" s="197">
        <f>SPO!E8</f>
        <v>24.3</v>
      </c>
      <c r="G49" s="197">
        <f>SPO!F8</f>
        <v>0.08</v>
      </c>
      <c r="H49" s="197">
        <f>SPO!H8</f>
        <v>1.87</v>
      </c>
      <c r="I49" s="197">
        <f>SPO!G8</f>
        <v>2.2200000000000002</v>
      </c>
      <c r="J49" s="197">
        <f>SPO!I8</f>
        <v>0.22</v>
      </c>
      <c r="K49" s="197">
        <f>SPO!J8</f>
        <v>6.0000000000000001E-3</v>
      </c>
      <c r="L49" s="198">
        <f>SPO!K8</f>
        <v>0.32</v>
      </c>
      <c r="N49" s="236" t="str">
        <f t="shared" si="2"/>
        <v>SPO</v>
      </c>
      <c r="O49" s="237">
        <f t="shared" si="3"/>
        <v>44377</v>
      </c>
      <c r="P49" s="238" t="str">
        <f t="array" ref="P49">INDEX($D$2:$D$278,MATCH(0,COUNTIF($P$1:$P48,$D$2:$D$278),0))</f>
        <v>SPO44377</v>
      </c>
      <c r="Q49" s="239">
        <f t="shared" si="4"/>
        <v>6.63</v>
      </c>
      <c r="R49" s="239">
        <f t="shared" si="5"/>
        <v>27.4</v>
      </c>
      <c r="S49" s="239">
        <f t="shared" si="6"/>
        <v>2.52</v>
      </c>
      <c r="T49" s="239">
        <f t="shared" si="7"/>
        <v>0.01</v>
      </c>
      <c r="U49" s="239">
        <f t="shared" si="8"/>
        <v>2.5499999999999998</v>
      </c>
      <c r="V49" s="239">
        <f t="shared" si="9"/>
        <v>0.21</v>
      </c>
      <c r="W49" s="239">
        <f t="shared" si="10"/>
        <v>7.0000000000000001E-3</v>
      </c>
      <c r="X49" s="240">
        <f t="shared" si="11"/>
        <v>0.37</v>
      </c>
      <c r="Y49" s="531" t="str" cm="1">
        <f t="array" ref="Y49">_xlfn.IFS(O49&lt;44361, "Before the burn", O49&lt;44403, "During the burn", O49&gt;44403, "After the burn")</f>
        <v>During the burn</v>
      </c>
    </row>
    <row r="50" spans="1:25" x14ac:dyDescent="0.3">
      <c r="A50" s="194" t="str">
        <f>UPPER(LEFT(SPO!B9,2))&amp;RIGHT(SPO!B9,LEN(SPO!B9)-2)</f>
        <v>STb</v>
      </c>
      <c r="B50" s="195" t="str" cm="1">
        <f t="array" ref="B50">_xlfn.IFS(A50="EP", "EP", A50="STa", "SPI", A50="STb", "SPO", A50="MRT", "MRT", A50="RG", "RN", A50="RT", "RU", A50="RW", "RL", A50="RC", "RS")</f>
        <v>SPO</v>
      </c>
      <c r="C50" s="196">
        <f>INT(SPO!A9)</f>
        <v>44327</v>
      </c>
      <c r="D50" s="196" t="str">
        <f t="shared" si="1"/>
        <v>SPO44327</v>
      </c>
      <c r="E50" s="197">
        <f>SPO!D9</f>
        <v>6.65</v>
      </c>
      <c r="F50" s="197">
        <f>SPO!E9</f>
        <v>24.4</v>
      </c>
      <c r="G50" s="197">
        <f>SPO!F9</f>
        <v>0.09</v>
      </c>
      <c r="H50" s="197">
        <f>SPO!H9</f>
        <v>1.78</v>
      </c>
      <c r="I50" s="197">
        <f>SPO!G9</f>
        <v>2.13</v>
      </c>
      <c r="J50" s="197">
        <f>SPO!I9</f>
        <v>0.21</v>
      </c>
      <c r="K50" s="197">
        <f>SPO!J9</f>
        <v>7.0000000000000001E-3</v>
      </c>
      <c r="L50" s="198">
        <f>SPO!K9</f>
        <v>0.3</v>
      </c>
      <c r="N50" s="236" t="str">
        <f t="shared" si="2"/>
        <v>SPO</v>
      </c>
      <c r="O50" s="237">
        <f t="shared" si="3"/>
        <v>44385</v>
      </c>
      <c r="P50" s="238" t="str">
        <f t="array" ref="P50">INDEX($D$2:$D$278,MATCH(0,COUNTIF($P$1:$P49,$D$2:$D$278),0))</f>
        <v>SPO44385</v>
      </c>
      <c r="Q50" s="239">
        <f t="shared" si="4"/>
        <v>7.09</v>
      </c>
      <c r="R50" s="239">
        <f t="shared" si="5"/>
        <v>27.2</v>
      </c>
      <c r="S50" s="239">
        <f t="shared" si="6"/>
        <v>2.35</v>
      </c>
      <c r="T50" s="239">
        <f t="shared" si="7"/>
        <v>0</v>
      </c>
      <c r="U50" s="239">
        <f t="shared" si="8"/>
        <v>2.56</v>
      </c>
      <c r="V50" s="239">
        <f t="shared" si="9"/>
        <v>0.03</v>
      </c>
      <c r="W50" s="239">
        <f t="shared" si="10"/>
        <v>7.0000000000000001E-3</v>
      </c>
      <c r="X50" s="240">
        <f t="shared" si="11"/>
        <v>0.41</v>
      </c>
      <c r="Y50" s="531" t="str" cm="1">
        <f t="array" ref="Y50">_xlfn.IFS(O50&lt;44361, "Before the burn", O50&lt;44403, "During the burn", O50&gt;44403, "After the burn")</f>
        <v>During the burn</v>
      </c>
    </row>
    <row r="51" spans="1:25" x14ac:dyDescent="0.3">
      <c r="A51" s="194" t="str">
        <f>UPPER(LEFT(SPO!B10,2))&amp;RIGHT(SPO!B10,LEN(SPO!B10)-2)</f>
        <v>STb</v>
      </c>
      <c r="B51" s="195" t="str" cm="1">
        <f t="array" ref="B51">_xlfn.IFS(A51="EP", "EP", A51="STa", "SPI", A51="STb", "SPO", A51="MRT", "MRT", A51="RG", "RN", A51="RT", "RU", A51="RW", "RL", A51="RC", "RS")</f>
        <v>SPO</v>
      </c>
      <c r="C51" s="196">
        <f>INT(SPO!A10)</f>
        <v>44335</v>
      </c>
      <c r="D51" s="196" t="str">
        <f t="shared" si="1"/>
        <v>SPO44335</v>
      </c>
      <c r="E51" s="197">
        <f>SPO!D10</f>
        <v>6.53</v>
      </c>
      <c r="F51" s="197">
        <f>SPO!E10</f>
        <v>24.8</v>
      </c>
      <c r="G51" s="197">
        <f>SPO!F10</f>
        <v>0.11</v>
      </c>
      <c r="H51" s="197">
        <f>SPO!H10</f>
        <v>1.77</v>
      </c>
      <c r="I51" s="197">
        <f>SPO!G10</f>
        <v>2.23</v>
      </c>
      <c r="J51" s="197">
        <f>SPO!I10</f>
        <v>0.33</v>
      </c>
      <c r="K51" s="197">
        <f>SPO!J10</f>
        <v>5.0000000000000001E-3</v>
      </c>
      <c r="L51" s="198">
        <f>SPO!K10</f>
        <v>0.26</v>
      </c>
      <c r="N51" s="236" t="str">
        <f t="shared" si="2"/>
        <v>SPO</v>
      </c>
      <c r="O51" s="237">
        <f t="shared" si="3"/>
        <v>44391</v>
      </c>
      <c r="P51" s="238" t="str">
        <f t="array" ref="P51">INDEX($D$2:$D$278,MATCH(0,COUNTIF($P$1:$P50,$D$2:$D$278),0))</f>
        <v>SPO44391</v>
      </c>
      <c r="Q51" s="239">
        <f t="shared" si="4"/>
        <v>6.67</v>
      </c>
      <c r="R51" s="239">
        <f t="shared" si="5"/>
        <v>27.6</v>
      </c>
      <c r="S51" s="239">
        <f t="shared" si="6"/>
        <v>2.52</v>
      </c>
      <c r="T51" s="239">
        <f t="shared" si="7"/>
        <v>0.02</v>
      </c>
      <c r="U51" s="239">
        <f t="shared" si="8"/>
        <v>2.73</v>
      </c>
      <c r="V51" s="239">
        <f t="shared" si="9"/>
        <v>0.22</v>
      </c>
      <c r="W51" s="239">
        <f t="shared" si="10"/>
        <v>6.0000000000000001E-3</v>
      </c>
      <c r="X51" s="240">
        <f t="shared" si="11"/>
        <v>0.38</v>
      </c>
      <c r="Y51" s="531" t="str" cm="1">
        <f t="array" ref="Y51">_xlfn.IFS(O51&lt;44361, "Before the burn", O51&lt;44403, "During the burn", O51&gt;44403, "After the burn")</f>
        <v>During the burn</v>
      </c>
    </row>
    <row r="52" spans="1:25" x14ac:dyDescent="0.3">
      <c r="A52" s="194" t="str">
        <f>UPPER(LEFT(SPO!B11,2))&amp;RIGHT(SPO!B11,LEN(SPO!B11)-2)</f>
        <v>STb</v>
      </c>
      <c r="B52" s="195" t="str" cm="1">
        <f t="array" ref="B52">_xlfn.IFS(A52="EP", "EP", A52="STa", "SPI", A52="STb", "SPO", A52="MRT", "MRT", A52="RG", "RN", A52="RT", "RU", A52="RW", "RL", A52="RC", "RS")</f>
        <v>SPO</v>
      </c>
      <c r="C52" s="196">
        <f>INT(SPO!A11)</f>
        <v>44342</v>
      </c>
      <c r="D52" s="196" t="str">
        <f t="shared" si="1"/>
        <v>SPO44342</v>
      </c>
      <c r="E52" s="197">
        <f>SPO!D11</f>
        <v>6.62</v>
      </c>
      <c r="F52" s="197">
        <f>SPO!E11</f>
        <v>25.3</v>
      </c>
      <c r="G52" s="197">
        <f>SPO!F11</f>
        <v>0.09</v>
      </c>
      <c r="H52" s="197">
        <f>SPO!H11</f>
        <v>1.72</v>
      </c>
      <c r="I52" s="204">
        <v>2.34</v>
      </c>
      <c r="J52" s="197">
        <f>SPO!I11</f>
        <v>0.25</v>
      </c>
      <c r="K52" s="197">
        <f>SPO!J11</f>
        <v>5.0000000000000001E-3</v>
      </c>
      <c r="L52" s="198">
        <f>SPO!K11</f>
        <v>0.35</v>
      </c>
      <c r="N52" s="236" t="str">
        <f t="shared" si="2"/>
        <v>SPO</v>
      </c>
      <c r="O52" s="237">
        <f t="shared" si="3"/>
        <v>44398</v>
      </c>
      <c r="P52" s="238" t="str">
        <f t="array" ref="P52">INDEX($D$2:$D$278,MATCH(0,COUNTIF($P$1:$P51,$D$2:$D$278),0))</f>
        <v>SPO44398</v>
      </c>
      <c r="Q52" s="239">
        <f t="shared" si="4"/>
        <v>6.57</v>
      </c>
      <c r="R52" s="239">
        <f t="shared" si="5"/>
        <v>27.7</v>
      </c>
      <c r="S52" s="239">
        <f t="shared" si="6"/>
        <v>2.39</v>
      </c>
      <c r="T52" s="239">
        <f t="shared" si="7"/>
        <v>0</v>
      </c>
      <c r="U52" s="239">
        <f t="shared" si="8"/>
        <v>2.4300000000000002</v>
      </c>
      <c r="V52" s="239">
        <f t="shared" si="9"/>
        <v>0.03</v>
      </c>
      <c r="W52" s="239">
        <f t="shared" si="10"/>
        <v>5.0000000000000001E-3</v>
      </c>
      <c r="X52" s="240">
        <f t="shared" si="11"/>
        <v>0.4</v>
      </c>
      <c r="Y52" s="531" t="str" cm="1">
        <f t="array" ref="Y52">_xlfn.IFS(O52&lt;44361, "Before the burn", O52&lt;44403, "During the burn", O52&gt;44403, "After the burn")</f>
        <v>During the burn</v>
      </c>
    </row>
    <row r="53" spans="1:25" x14ac:dyDescent="0.3">
      <c r="A53" s="194" t="str">
        <f>UPPER(LEFT(SPO!B12,2))&amp;RIGHT(SPO!B12,LEN(SPO!B12)-2)</f>
        <v>STb</v>
      </c>
      <c r="B53" s="195" t="str" cm="1">
        <f t="array" ref="B53">_xlfn.IFS(A53="EP", "EP", A53="STa", "SPI", A53="STb", "SPO", A53="MRT", "MRT", A53="RG", "RN", A53="RT", "RU", A53="RW", "RL", A53="RC", "RS")</f>
        <v>SPO</v>
      </c>
      <c r="C53" s="196">
        <f>INT(SPO!A12)</f>
        <v>44356</v>
      </c>
      <c r="D53" s="196" t="str">
        <f t="shared" si="1"/>
        <v>SPO44356</v>
      </c>
      <c r="E53" s="197">
        <f>SPO!D12</f>
        <v>7.2</v>
      </c>
      <c r="F53" s="197">
        <f>SPO!E12</f>
        <v>25.2</v>
      </c>
      <c r="G53" s="197">
        <f>SPO!F12</f>
        <v>0.09</v>
      </c>
      <c r="H53" s="197">
        <f>SPO!H12</f>
        <v>1.82</v>
      </c>
      <c r="I53" s="197">
        <f>SPO!G12</f>
        <v>2.2599999999999998</v>
      </c>
      <c r="J53" s="197">
        <f>SPO!I12</f>
        <v>0.14000000000000001</v>
      </c>
      <c r="K53" s="197">
        <f>SPO!J12</f>
        <v>1E-3</v>
      </c>
      <c r="L53" s="198">
        <f>SPO!K12</f>
        <v>0.36</v>
      </c>
      <c r="N53" s="236" t="str">
        <f t="shared" si="2"/>
        <v>SPO</v>
      </c>
      <c r="O53" s="237">
        <f t="shared" si="3"/>
        <v>44405</v>
      </c>
      <c r="P53" s="238" t="str">
        <f t="array" ref="P53">INDEX($D$2:$D$278,MATCH(0,COUNTIF($P$1:$P52,$D$2:$D$278),0))</f>
        <v>SPO44405</v>
      </c>
      <c r="Q53" s="239">
        <f t="shared" si="4"/>
        <v>7</v>
      </c>
      <c r="R53" s="239">
        <f t="shared" si="5"/>
        <v>28.6</v>
      </c>
      <c r="S53" s="239">
        <f t="shared" si="6"/>
        <v>0.05</v>
      </c>
      <c r="T53" s="239">
        <f t="shared" si="7"/>
        <v>0.84</v>
      </c>
      <c r="U53" s="239">
        <f t="shared" si="8"/>
        <v>1.02</v>
      </c>
      <c r="V53" s="239">
        <f t="shared" si="9"/>
        <v>0.16</v>
      </c>
      <c r="W53" s="239">
        <f t="shared" si="10"/>
        <v>7.0000000000000001E-3</v>
      </c>
      <c r="X53" s="240">
        <f t="shared" si="11"/>
        <v>0.47</v>
      </c>
      <c r="Y53" s="531" t="str" cm="1">
        <f t="array" ref="Y53">_xlfn.IFS(O53&lt;44361, "Before the burn", O53&lt;44403, "During the burn", O53&gt;44403, "After the burn")</f>
        <v>After the burn</v>
      </c>
    </row>
    <row r="54" spans="1:25" x14ac:dyDescent="0.3">
      <c r="A54" s="194" t="str">
        <f>UPPER(LEFT(SPO!B13,2))&amp;RIGHT(SPO!B13,LEN(SPO!B13)-2)</f>
        <v>STb</v>
      </c>
      <c r="B54" s="195" t="str" cm="1">
        <f t="array" ref="B54">_xlfn.IFS(A54="EP", "EP", A54="STa", "SPI", A54="STb", "SPO", A54="MRT", "MRT", A54="RG", "RN", A54="RT", "RU", A54="RW", "RL", A54="RC", "RS")</f>
        <v>SPO</v>
      </c>
      <c r="C54" s="196">
        <f>INT(SPO!A13)</f>
        <v>44370</v>
      </c>
      <c r="D54" s="196" t="str">
        <f t="shared" si="1"/>
        <v>SPO44370</v>
      </c>
      <c r="E54" s="197">
        <f>SPO!D13</f>
        <v>6.97</v>
      </c>
      <c r="F54" s="197">
        <f>SPO!E13</f>
        <v>26.6</v>
      </c>
      <c r="G54" s="197">
        <f>SPO!F13</f>
        <v>2.68</v>
      </c>
      <c r="H54" s="197">
        <f>SPO!H13</f>
        <v>0</v>
      </c>
      <c r="I54" s="197">
        <f>SPO!G13</f>
        <v>2.74</v>
      </c>
      <c r="J54" s="197">
        <f>SPO!I13</f>
        <v>0.03</v>
      </c>
      <c r="K54" s="197">
        <f>SPO!J13</f>
        <v>6.0000000000000001E-3</v>
      </c>
      <c r="L54" s="198">
        <f>SPO!K13</f>
        <v>0.32</v>
      </c>
      <c r="N54" s="236" t="str">
        <f t="shared" si="2"/>
        <v>SPO</v>
      </c>
      <c r="O54" s="237">
        <f t="shared" si="3"/>
        <v>44412</v>
      </c>
      <c r="P54" s="238" t="str">
        <f t="array" ref="P54">INDEX($D$2:$D$278,MATCH(0,COUNTIF($P$1:$P53,$D$2:$D$278),0))</f>
        <v>SPO44412</v>
      </c>
      <c r="Q54" s="239">
        <f t="shared" si="4"/>
        <v>7.07</v>
      </c>
      <c r="R54" s="239">
        <f t="shared" si="5"/>
        <v>28.2</v>
      </c>
      <c r="S54" s="239">
        <f t="shared" si="6"/>
        <v>0.1</v>
      </c>
      <c r="T54" s="239">
        <f t="shared" si="7"/>
        <v>1.69</v>
      </c>
      <c r="U54" s="239">
        <f t="shared" si="8"/>
        <v>1.91</v>
      </c>
      <c r="V54" s="239">
        <f t="shared" si="9"/>
        <v>0.25</v>
      </c>
      <c r="W54" s="239">
        <f t="shared" si="10"/>
        <v>5.0000000000000001E-3</v>
      </c>
      <c r="X54" s="240">
        <f t="shared" si="11"/>
        <v>0.4</v>
      </c>
      <c r="Y54" s="531" t="str" cm="1">
        <f t="array" ref="Y54">_xlfn.IFS(O54&lt;44361, "Before the burn", O54&lt;44403, "During the burn", O54&gt;44403, "After the burn")</f>
        <v>After the burn</v>
      </c>
    </row>
    <row r="55" spans="1:25" x14ac:dyDescent="0.3">
      <c r="A55" s="194" t="str">
        <f>UPPER(LEFT(SPO!B14,2))&amp;RIGHT(SPO!B14,LEN(SPO!B14)-2)</f>
        <v>STb</v>
      </c>
      <c r="B55" s="195" t="str" cm="1">
        <f t="array" ref="B55">_xlfn.IFS(A55="EP", "EP", A55="STa", "SPI", A55="STb", "SPO", A55="MRT", "MRT", A55="RG", "RN", A55="RT", "RU", A55="RW", "RL", A55="RC", "RS")</f>
        <v>SPO</v>
      </c>
      <c r="C55" s="196">
        <f>INT(SPO!A14)</f>
        <v>44377</v>
      </c>
      <c r="D55" s="196" t="str">
        <f t="shared" si="1"/>
        <v>SPO44377</v>
      </c>
      <c r="E55" s="197">
        <f>SPO!D14</f>
        <v>6.63</v>
      </c>
      <c r="F55" s="197">
        <f>SPO!E14</f>
        <v>27.4</v>
      </c>
      <c r="G55" s="197">
        <f>SPO!F14</f>
        <v>2.52</v>
      </c>
      <c r="H55" s="197">
        <f>SPO!H14</f>
        <v>0.01</v>
      </c>
      <c r="I55" s="197">
        <f>SPO!G14</f>
        <v>2.5499999999999998</v>
      </c>
      <c r="J55" s="197">
        <f>SPO!I14</f>
        <v>0.21</v>
      </c>
      <c r="K55" s="197">
        <f>SPO!J14</f>
        <v>7.0000000000000001E-3</v>
      </c>
      <c r="L55" s="198">
        <f>SPO!K14</f>
        <v>0.37</v>
      </c>
      <c r="N55" s="236" t="str">
        <f t="shared" si="2"/>
        <v>SPO</v>
      </c>
      <c r="O55" s="237">
        <f t="shared" si="3"/>
        <v>44419</v>
      </c>
      <c r="P55" s="238" t="str">
        <f t="array" ref="P55">INDEX($D$2:$D$278,MATCH(0,COUNTIF($P$1:$P54,$D$2:$D$278),0))</f>
        <v>SPO44419</v>
      </c>
      <c r="Q55" s="239">
        <f t="shared" si="4"/>
        <v>7.09</v>
      </c>
      <c r="R55" s="239">
        <f t="shared" si="5"/>
        <v>29.5</v>
      </c>
      <c r="S55" s="239">
        <f t="shared" si="6"/>
        <v>0.11</v>
      </c>
      <c r="T55" s="239">
        <f t="shared" si="7"/>
        <v>1.59</v>
      </c>
      <c r="U55" s="239">
        <f t="shared" si="8"/>
        <v>1.82</v>
      </c>
      <c r="V55" s="239">
        <f t="shared" si="9"/>
        <v>0.18</v>
      </c>
      <c r="W55" s="239">
        <f t="shared" si="10"/>
        <v>6.0000000000000001E-3</v>
      </c>
      <c r="X55" s="240">
        <f t="shared" si="11"/>
        <v>0.44</v>
      </c>
      <c r="Y55" s="531" t="str" cm="1">
        <f t="array" ref="Y55">_xlfn.IFS(O55&lt;44361, "Before the burn", O55&lt;44403, "During the burn", O55&gt;44403, "After the burn")</f>
        <v>After the burn</v>
      </c>
    </row>
    <row r="56" spans="1:25" x14ac:dyDescent="0.3">
      <c r="A56" s="194" t="str">
        <f>UPPER(LEFT(SPO!B15,2))&amp;RIGHT(SPO!B15,LEN(SPO!B15)-2)</f>
        <v>STb</v>
      </c>
      <c r="B56" s="195" t="str" cm="1">
        <f t="array" ref="B56">_xlfn.IFS(A56="EP", "EP", A56="STa", "SPI", A56="STb", "SPO", A56="MRT", "MRT", A56="RG", "RN", A56="RT", "RU", A56="RW", "RL", A56="RC", "RS")</f>
        <v>SPO</v>
      </c>
      <c r="C56" s="196">
        <f>INT(SPO!A15)</f>
        <v>44385</v>
      </c>
      <c r="D56" s="196" t="str">
        <f t="shared" si="1"/>
        <v>SPO44385</v>
      </c>
      <c r="E56" s="197">
        <f>SPO!D15</f>
        <v>7.09</v>
      </c>
      <c r="F56" s="197">
        <f>SPO!E15</f>
        <v>27.2</v>
      </c>
      <c r="G56" s="197">
        <f>SPO!F15</f>
        <v>2.35</v>
      </c>
      <c r="H56" s="197">
        <f>SPO!H15</f>
        <v>0</v>
      </c>
      <c r="I56" s="197">
        <f>SPO!G15</f>
        <v>2.56</v>
      </c>
      <c r="J56" s="197">
        <f>SPO!I15</f>
        <v>0.03</v>
      </c>
      <c r="K56" s="197">
        <f>SPO!J15</f>
        <v>7.0000000000000001E-3</v>
      </c>
      <c r="L56" s="198">
        <f>SPO!K15</f>
        <v>0.41</v>
      </c>
      <c r="N56" s="236" t="str">
        <f t="shared" si="2"/>
        <v>SPO</v>
      </c>
      <c r="O56" s="237">
        <f t="shared" si="3"/>
        <v>44426</v>
      </c>
      <c r="P56" s="238" t="str">
        <f t="array" ref="P56">INDEX($D$2:$D$278,MATCH(0,COUNTIF($P$1:$P55,$D$2:$D$278),0))</f>
        <v>SPO44426</v>
      </c>
      <c r="Q56" s="239">
        <f t="shared" si="4"/>
        <v>6.7</v>
      </c>
      <c r="R56" s="239">
        <f t="shared" si="5"/>
        <v>28.6</v>
      </c>
      <c r="S56" s="239">
        <f t="shared" si="6"/>
        <v>0.09</v>
      </c>
      <c r="T56" s="239">
        <f t="shared" si="7"/>
        <v>1.61</v>
      </c>
      <c r="U56" s="239">
        <f t="shared" si="8"/>
        <v>1.8</v>
      </c>
      <c r="V56" s="239">
        <f t="shared" si="9"/>
        <v>0.18</v>
      </c>
      <c r="W56" s="239">
        <f t="shared" si="10"/>
        <v>5.0000000000000001E-3</v>
      </c>
      <c r="X56" s="240">
        <f t="shared" si="11"/>
        <v>0.38</v>
      </c>
      <c r="Y56" s="531" t="str" cm="1">
        <f t="array" ref="Y56">_xlfn.IFS(O56&lt;44361, "Before the burn", O56&lt;44403, "During the burn", O56&gt;44403, "After the burn")</f>
        <v>After the burn</v>
      </c>
    </row>
    <row r="57" spans="1:25" ht="16.350000000000001" thickBot="1" x14ac:dyDescent="0.35">
      <c r="A57" s="194" t="str">
        <f>UPPER(LEFT(SPO!B16,2))&amp;RIGHT(SPO!B16,LEN(SPO!B16)-2)</f>
        <v>STb</v>
      </c>
      <c r="B57" s="195" t="str" cm="1">
        <f t="array" ref="B57">_xlfn.IFS(A57="EP", "EP", A57="STa", "SPI", A57="STb", "SPO", A57="MRT", "MRT", A57="RG", "RN", A57="RT", "RU", A57="RW", "RL", A57="RC", "RS")</f>
        <v>SPO</v>
      </c>
      <c r="C57" s="196">
        <f>INT(SPO!A16)</f>
        <v>44391</v>
      </c>
      <c r="D57" s="196" t="str">
        <f t="shared" si="1"/>
        <v>SPO44391</v>
      </c>
      <c r="E57" s="197">
        <f>SPO!D16</f>
        <v>6.67</v>
      </c>
      <c r="F57" s="197">
        <f>SPO!E16</f>
        <v>27.6</v>
      </c>
      <c r="G57" s="197">
        <f>SPO!F16</f>
        <v>2.52</v>
      </c>
      <c r="H57" s="197">
        <f>SPO!H16</f>
        <v>0.02</v>
      </c>
      <c r="I57" s="197">
        <f>SPO!G16</f>
        <v>2.73</v>
      </c>
      <c r="J57" s="197">
        <f>SPO!I16</f>
        <v>0.22</v>
      </c>
      <c r="K57" s="197">
        <f>SPO!J16</f>
        <v>6.0000000000000001E-3</v>
      </c>
      <c r="L57" s="198">
        <f>SPO!K16</f>
        <v>0.38</v>
      </c>
      <c r="N57" s="257" t="str">
        <f t="shared" si="2"/>
        <v>SPO</v>
      </c>
      <c r="O57" s="258">
        <f t="shared" si="3"/>
        <v>44433</v>
      </c>
      <c r="P57" s="259" t="str">
        <f t="array" ref="P57">INDEX($D$2:$D$278,MATCH(0,COUNTIF($P$1:$P56,$D$2:$D$278),0))</f>
        <v>SPO44433</v>
      </c>
      <c r="Q57" s="260">
        <f t="shared" si="4"/>
        <v>6.7</v>
      </c>
      <c r="R57" s="260">
        <f t="shared" si="5"/>
        <v>30.4</v>
      </c>
      <c r="S57" s="260">
        <f t="shared" si="6"/>
        <v>0.08</v>
      </c>
      <c r="T57" s="260">
        <f t="shared" si="7"/>
        <v>1.21</v>
      </c>
      <c r="U57" s="260">
        <f t="shared" si="8"/>
        <v>1.19</v>
      </c>
      <c r="V57" s="260">
        <f t="shared" si="9"/>
        <v>0.21</v>
      </c>
      <c r="W57" s="260">
        <f t="shared" si="10"/>
        <v>7.0000000000000001E-3</v>
      </c>
      <c r="X57" s="261">
        <f t="shared" si="11"/>
        <v>0.38</v>
      </c>
      <c r="Y57" s="532" t="str" cm="1">
        <f t="array" ref="Y57">_xlfn.IFS(O57&lt;44361, "Before the burn", O57&lt;44403, "During the burn", O57&gt;44403, "After the burn")</f>
        <v>After the burn</v>
      </c>
    </row>
    <row r="58" spans="1:25" x14ac:dyDescent="0.3">
      <c r="A58" s="194" t="str">
        <f>UPPER(LEFT(SPO!B17,2))&amp;RIGHT(SPO!B17,LEN(SPO!B17)-2)</f>
        <v>STb</v>
      </c>
      <c r="B58" s="195" t="str" cm="1">
        <f t="array" ref="B58">_xlfn.IFS(A58="EP", "EP", A58="STa", "SPI", A58="STb", "SPO", A58="MRT", "MRT", A58="RG", "RN", A58="RT", "RU", A58="RW", "RL", A58="RC", "RS")</f>
        <v>SPO</v>
      </c>
      <c r="C58" s="196">
        <f>INT(SPO!A17)</f>
        <v>44398</v>
      </c>
      <c r="D58" s="196" t="str">
        <f t="shared" si="1"/>
        <v>SPO44398</v>
      </c>
      <c r="E58" s="197">
        <f>SPO!D17</f>
        <v>6.57</v>
      </c>
      <c r="F58" s="197">
        <f>SPO!E17</f>
        <v>27.7</v>
      </c>
      <c r="G58" s="197">
        <f>SPO!F17</f>
        <v>2.39</v>
      </c>
      <c r="H58" s="197">
        <f>SPO!H17</f>
        <v>0</v>
      </c>
      <c r="I58" s="197">
        <f>SPO!G17</f>
        <v>2.4300000000000002</v>
      </c>
      <c r="J58" s="197">
        <f>SPO!I17</f>
        <v>0.03</v>
      </c>
      <c r="K58" s="197">
        <f>SPO!J17</f>
        <v>5.0000000000000001E-3</v>
      </c>
      <c r="L58" s="198">
        <f>SPO!K17</f>
        <v>0.4</v>
      </c>
      <c r="N58" s="262" t="str">
        <f t="shared" si="2"/>
        <v>MRT</v>
      </c>
      <c r="O58" s="263">
        <f t="shared" si="3"/>
        <v>44294</v>
      </c>
      <c r="P58" s="264" t="str">
        <f t="array" ref="P58">INDEX($D$2:$D$278,MATCH(0,COUNTIF($P$1:$P57,$D$2:$D$278),0))</f>
        <v>MRT44294</v>
      </c>
      <c r="Q58" s="265">
        <f t="shared" si="4"/>
        <v>6.5533333333333337</v>
      </c>
      <c r="R58" s="265">
        <f t="shared" si="5"/>
        <v>22.633333333333336</v>
      </c>
      <c r="S58" s="265">
        <f t="shared" si="6"/>
        <v>6.2333333333333331E-2</v>
      </c>
      <c r="T58" s="265">
        <f t="shared" si="7"/>
        <v>0.70666666666666667</v>
      </c>
      <c r="U58" s="265">
        <f t="shared" si="8"/>
        <v>1.0899999999999999</v>
      </c>
      <c r="V58" s="265">
        <f t="shared" si="9"/>
        <v>0.33</v>
      </c>
      <c r="W58" s="265">
        <f t="shared" si="10"/>
        <v>0.06</v>
      </c>
      <c r="X58" s="266">
        <f t="shared" si="11"/>
        <v>0.5033333333333333</v>
      </c>
      <c r="Y58" s="533" t="str" cm="1">
        <f t="array" ref="Y58">_xlfn.IFS(O58&lt;44361, "Before the burn", O58&lt;44403, "During the burn", O58&gt;44403, "After the burn")</f>
        <v>Before the burn</v>
      </c>
    </row>
    <row r="59" spans="1:25" x14ac:dyDescent="0.3">
      <c r="A59" s="194" t="str">
        <f>UPPER(LEFT(SPO!B18,2))&amp;RIGHT(SPO!B18,LEN(SPO!B18)-2)</f>
        <v>STb</v>
      </c>
      <c r="B59" s="195" t="str" cm="1">
        <f t="array" ref="B59">_xlfn.IFS(A59="EP", "EP", A59="STa", "SPI", A59="STb", "SPO", A59="MRT", "MRT", A59="RG", "RN", A59="RT", "RU", A59="RW", "RL", A59="RC", "RS")</f>
        <v>SPO</v>
      </c>
      <c r="C59" s="196">
        <f>INT(SPO!A18)</f>
        <v>44405</v>
      </c>
      <c r="D59" s="196" t="str">
        <f t="shared" si="1"/>
        <v>SPO44405</v>
      </c>
      <c r="E59" s="197">
        <f>SPO!D18</f>
        <v>7</v>
      </c>
      <c r="F59" s="197">
        <f>SPO!E18</f>
        <v>28.6</v>
      </c>
      <c r="G59" s="197">
        <f>SPO!F18</f>
        <v>0.05</v>
      </c>
      <c r="H59" s="197">
        <f>SPO!H18</f>
        <v>0.84</v>
      </c>
      <c r="I59" s="197">
        <f>SPO!G18</f>
        <v>1.02</v>
      </c>
      <c r="J59" s="197">
        <f>SPO!I18</f>
        <v>0.16</v>
      </c>
      <c r="K59" s="197">
        <f>SPO!J18</f>
        <v>7.0000000000000001E-3</v>
      </c>
      <c r="L59" s="198">
        <f>SPO!K18</f>
        <v>0.47</v>
      </c>
      <c r="N59" s="252" t="str">
        <f t="shared" si="2"/>
        <v>MRT</v>
      </c>
      <c r="O59" s="253">
        <f t="shared" si="3"/>
        <v>44306</v>
      </c>
      <c r="P59" s="254" t="str">
        <f t="array" ref="P59">INDEX($D$2:$D$278,MATCH(0,COUNTIF($P$1:$P58,$D$2:$D$278),0))</f>
        <v>MRT44306</v>
      </c>
      <c r="Q59" s="255">
        <f t="shared" si="4"/>
        <v>6.75</v>
      </c>
      <c r="R59" s="255">
        <f t="shared" si="5"/>
        <v>23</v>
      </c>
      <c r="S59" s="255">
        <f t="shared" si="6"/>
        <v>7.0000000000000001E-3</v>
      </c>
      <c r="T59" s="255">
        <f t="shared" si="7"/>
        <v>0.65</v>
      </c>
      <c r="U59" s="255">
        <f t="shared" si="8"/>
        <v>0.84</v>
      </c>
      <c r="V59" s="255">
        <f t="shared" si="9"/>
        <v>0.22</v>
      </c>
      <c r="W59" s="255">
        <f t="shared" si="10"/>
        <v>7.0000000000000007E-2</v>
      </c>
      <c r="X59" s="256">
        <f t="shared" si="11"/>
        <v>0.49</v>
      </c>
      <c r="Y59" s="534" t="str" cm="1">
        <f t="array" ref="Y59">_xlfn.IFS(O59&lt;44361, "Before the burn", O59&lt;44403, "During the burn", O59&gt;44403, "After the burn")</f>
        <v>Before the burn</v>
      </c>
    </row>
    <row r="60" spans="1:25" x14ac:dyDescent="0.3">
      <c r="A60" s="194" t="str">
        <f>UPPER(LEFT(SPO!B19,2))&amp;RIGHT(SPO!B19,LEN(SPO!B19)-2)</f>
        <v>STb</v>
      </c>
      <c r="B60" s="195" t="str" cm="1">
        <f t="array" ref="B60">_xlfn.IFS(A60="EP", "EP", A60="STa", "SPI", A60="STb", "SPO", A60="MRT", "MRT", A60="RG", "RN", A60="RT", "RU", A60="RW", "RL", A60="RC", "RS")</f>
        <v>SPO</v>
      </c>
      <c r="C60" s="196">
        <f>INT(SPO!A19)</f>
        <v>44412</v>
      </c>
      <c r="D60" s="196" t="str">
        <f t="shared" si="1"/>
        <v>SPO44412</v>
      </c>
      <c r="E60" s="197">
        <f>SPO!D19</f>
        <v>7.07</v>
      </c>
      <c r="F60" s="197">
        <f>SPO!E19</f>
        <v>28.2</v>
      </c>
      <c r="G60" s="197">
        <f>SPO!F19</f>
        <v>0.1</v>
      </c>
      <c r="H60" s="197">
        <f>SPO!H19</f>
        <v>1.69</v>
      </c>
      <c r="I60" s="197">
        <f>SPO!G19</f>
        <v>1.91</v>
      </c>
      <c r="J60" s="197">
        <f>SPO!I19</f>
        <v>0.25</v>
      </c>
      <c r="K60" s="197">
        <f>SPO!J19</f>
        <v>5.0000000000000001E-3</v>
      </c>
      <c r="L60" s="198">
        <f>SPO!K19</f>
        <v>0.4</v>
      </c>
      <c r="N60" s="252" t="str">
        <f t="shared" si="2"/>
        <v>MRT</v>
      </c>
      <c r="O60" s="253">
        <f t="shared" si="3"/>
        <v>44313</v>
      </c>
      <c r="P60" s="254" t="str">
        <f t="array" ref="P60">INDEX($D$2:$D$278,MATCH(0,COUNTIF($P$1:$P59,$D$2:$D$278),0))</f>
        <v>MRT44313</v>
      </c>
      <c r="Q60" s="255">
        <f t="shared" si="4"/>
        <v>6.62</v>
      </c>
      <c r="R60" s="255">
        <f t="shared" si="5"/>
        <v>22.8</v>
      </c>
      <c r="S60" s="255">
        <f t="shared" si="6"/>
        <v>7.0000000000000007E-2</v>
      </c>
      <c r="T60" s="255">
        <f t="shared" si="7"/>
        <v>0.72</v>
      </c>
      <c r="U60" s="255">
        <f t="shared" si="8"/>
        <v>1.18</v>
      </c>
      <c r="V60" s="255">
        <f t="shared" si="9"/>
        <v>0.39</v>
      </c>
      <c r="W60" s="255">
        <f t="shared" si="10"/>
        <v>4.8000000000000001E-2</v>
      </c>
      <c r="X60" s="256">
        <f t="shared" si="11"/>
        <v>0.51</v>
      </c>
      <c r="Y60" s="534" t="str" cm="1">
        <f t="array" ref="Y60">_xlfn.IFS(O60&lt;44361, "Before the burn", O60&lt;44403, "During the burn", O60&gt;44403, "After the burn")</f>
        <v>Before the burn</v>
      </c>
    </row>
    <row r="61" spans="1:25" x14ac:dyDescent="0.3">
      <c r="A61" s="194" t="str">
        <f>UPPER(LEFT(SPO!B20,2))&amp;RIGHT(SPO!B20,LEN(SPO!B20)-2)</f>
        <v>STb</v>
      </c>
      <c r="B61" s="195" t="str" cm="1">
        <f t="array" ref="B61">_xlfn.IFS(A61="EP", "EP", A61="STa", "SPI", A61="STb", "SPO", A61="MRT", "MRT", A61="RG", "RN", A61="RT", "RU", A61="RW", "RL", A61="RC", "RS")</f>
        <v>SPO</v>
      </c>
      <c r="C61" s="196">
        <f>INT(SPO!A20)</f>
        <v>44419</v>
      </c>
      <c r="D61" s="196" t="str">
        <f t="shared" si="1"/>
        <v>SPO44419</v>
      </c>
      <c r="E61" s="197">
        <f>SPO!D20</f>
        <v>7.09</v>
      </c>
      <c r="F61" s="204">
        <v>29.5</v>
      </c>
      <c r="G61" s="197">
        <f>SPO!F20</f>
        <v>0.11</v>
      </c>
      <c r="H61" s="197">
        <f>SPO!H20</f>
        <v>1.59</v>
      </c>
      <c r="I61" s="197">
        <f>SPO!G20</f>
        <v>1.82</v>
      </c>
      <c r="J61" s="197">
        <f>SPO!I20</f>
        <v>0.18</v>
      </c>
      <c r="K61" s="197">
        <f>SPO!J20</f>
        <v>6.0000000000000001E-3</v>
      </c>
      <c r="L61" s="198">
        <f>SPO!K20</f>
        <v>0.44</v>
      </c>
      <c r="N61" s="252" t="str">
        <f t="shared" si="2"/>
        <v>MRT</v>
      </c>
      <c r="O61" s="253">
        <f t="shared" si="3"/>
        <v>44320</v>
      </c>
      <c r="P61" s="254" t="str">
        <f t="array" ref="P61">INDEX($D$2:$D$278,MATCH(0,COUNTIF($P$1:$P60,$D$2:$D$278),0))</f>
        <v>MRT44320</v>
      </c>
      <c r="Q61" s="255">
        <f t="shared" si="4"/>
        <v>6.54</v>
      </c>
      <c r="R61" s="255">
        <f t="shared" si="5"/>
        <v>24.6</v>
      </c>
      <c r="S61" s="255">
        <f t="shared" si="6"/>
        <v>0.11</v>
      </c>
      <c r="T61" s="255">
        <f t="shared" si="7"/>
        <v>0.6</v>
      </c>
      <c r="U61" s="255">
        <f t="shared" si="8"/>
        <v>0.85</v>
      </c>
      <c r="V61" s="255">
        <f t="shared" si="9"/>
        <v>0.28999999999999998</v>
      </c>
      <c r="W61" s="255">
        <f t="shared" si="10"/>
        <v>7.5999999999999998E-2</v>
      </c>
      <c r="X61" s="256">
        <f t="shared" si="11"/>
        <v>0.49</v>
      </c>
      <c r="Y61" s="534" t="str" cm="1">
        <f t="array" ref="Y61">_xlfn.IFS(O61&lt;44361, "Before the burn", O61&lt;44403, "During the burn", O61&gt;44403, "After the burn")</f>
        <v>Before the burn</v>
      </c>
    </row>
    <row r="62" spans="1:25" x14ac:dyDescent="0.3">
      <c r="A62" s="194" t="str">
        <f>UPPER(LEFT(SPO!B21,2))&amp;RIGHT(SPO!B21,LEN(SPO!B21)-2)</f>
        <v>STb</v>
      </c>
      <c r="B62" s="195" t="str" cm="1">
        <f t="array" ref="B62">_xlfn.IFS(A62="EP", "EP", A62="STa", "SPI", A62="STb", "SPO", A62="MRT", "MRT", A62="RG", "RN", A62="RT", "RU", A62="RW", "RL", A62="RC", "RS")</f>
        <v>SPO</v>
      </c>
      <c r="C62" s="196">
        <f>INT(SPO!A21)</f>
        <v>44426</v>
      </c>
      <c r="D62" s="196" t="str">
        <f t="shared" si="1"/>
        <v>SPO44426</v>
      </c>
      <c r="E62" s="197">
        <f>SPO!D21</f>
        <v>6.7</v>
      </c>
      <c r="F62" s="197">
        <f>SPO!E21</f>
        <v>28.6</v>
      </c>
      <c r="G62" s="197">
        <f>SPO!F21</f>
        <v>0.09</v>
      </c>
      <c r="H62" s="197">
        <f>SPO!H21</f>
        <v>1.61</v>
      </c>
      <c r="I62" s="197">
        <f>SPO!G21</f>
        <v>1.8</v>
      </c>
      <c r="J62" s="197">
        <f>SPO!I21</f>
        <v>0.18</v>
      </c>
      <c r="K62" s="197">
        <f>SPO!J21</f>
        <v>5.0000000000000001E-3</v>
      </c>
      <c r="L62" s="198">
        <f>SPO!K21</f>
        <v>0.38</v>
      </c>
      <c r="N62" s="252" t="str">
        <f t="shared" si="2"/>
        <v>MRT</v>
      </c>
      <c r="O62" s="253">
        <f t="shared" si="3"/>
        <v>44327</v>
      </c>
      <c r="P62" s="254" t="str">
        <f t="array" ref="P62">INDEX($D$2:$D$278,MATCH(0,COUNTIF($P$1:$P61,$D$2:$D$278),0))</f>
        <v>MRT44327</v>
      </c>
      <c r="Q62" s="255">
        <f t="shared" si="4"/>
        <v>6.66</v>
      </c>
      <c r="R62" s="255">
        <f t="shared" si="5"/>
        <v>23.7</v>
      </c>
      <c r="S62" s="255">
        <f t="shared" si="6"/>
        <v>0.08</v>
      </c>
      <c r="T62" s="255">
        <f t="shared" si="7"/>
        <v>0.85</v>
      </c>
      <c r="U62" s="255">
        <f t="shared" si="8"/>
        <v>1.17</v>
      </c>
      <c r="V62" s="255">
        <f t="shared" si="9"/>
        <v>0.23</v>
      </c>
      <c r="W62" s="255">
        <f t="shared" si="10"/>
        <v>5.1999999999999998E-2</v>
      </c>
      <c r="X62" s="256">
        <f t="shared" si="11"/>
        <v>0.49</v>
      </c>
      <c r="Y62" s="534" t="str" cm="1">
        <f t="array" ref="Y62">_xlfn.IFS(O62&lt;44361, "Before the burn", O62&lt;44403, "During the burn", O62&gt;44403, "After the burn")</f>
        <v>Before the burn</v>
      </c>
    </row>
    <row r="63" spans="1:25" ht="16.350000000000001" thickBot="1" x14ac:dyDescent="0.35">
      <c r="A63" s="221" t="str">
        <f>UPPER(LEFT(SPO!B22,2))&amp;RIGHT(SPO!B22,LEN(SPO!B22)-2)</f>
        <v>STb</v>
      </c>
      <c r="B63" s="222" t="str" cm="1">
        <f t="array" ref="B63">_xlfn.IFS(A63="EP", "EP", A63="STa", "SPI", A63="STb", "SPO", A63="MRT", "MRT", A63="RG", "RN", A63="RT", "RU", A63="RW", "RL", A63="RC", "RS")</f>
        <v>SPO</v>
      </c>
      <c r="C63" s="223">
        <f>INT(SPO!A22)</f>
        <v>44433</v>
      </c>
      <c r="D63" s="223" t="str">
        <f t="shared" si="1"/>
        <v>SPO44433</v>
      </c>
      <c r="E63" s="224">
        <f>SPO!D22</f>
        <v>6.7</v>
      </c>
      <c r="F63" s="224">
        <f>SPO!E22</f>
        <v>30.4</v>
      </c>
      <c r="G63" s="224">
        <f>SPO!F22</f>
        <v>0.08</v>
      </c>
      <c r="H63" s="224">
        <f>SPO!H22</f>
        <v>1.21</v>
      </c>
      <c r="I63" s="224">
        <f>SPO!G22</f>
        <v>1.19</v>
      </c>
      <c r="J63" s="224">
        <f>SPO!I22</f>
        <v>0.21</v>
      </c>
      <c r="K63" s="224">
        <f>SPO!J22</f>
        <v>7.0000000000000001E-3</v>
      </c>
      <c r="L63" s="225">
        <f>SPO!K22</f>
        <v>0.38</v>
      </c>
      <c r="N63" s="252" t="str">
        <f t="shared" si="2"/>
        <v>MRT</v>
      </c>
      <c r="O63" s="253">
        <f t="shared" si="3"/>
        <v>44335</v>
      </c>
      <c r="P63" s="254" t="str">
        <f t="array" ref="P63">INDEX($D$2:$D$278,MATCH(0,COUNTIF($P$1:$P62,$D$2:$D$278),0))</f>
        <v>MRT44335</v>
      </c>
      <c r="Q63" s="255">
        <f t="shared" si="4"/>
        <v>6.78</v>
      </c>
      <c r="R63" s="255">
        <f t="shared" si="5"/>
        <v>23.8</v>
      </c>
      <c r="S63" s="255">
        <f t="shared" si="6"/>
        <v>0.15</v>
      </c>
      <c r="T63" s="255">
        <f t="shared" si="7"/>
        <v>0.34</v>
      </c>
      <c r="U63" s="255">
        <f t="shared" si="8"/>
        <v>0.54</v>
      </c>
      <c r="V63" s="255">
        <f t="shared" si="9"/>
        <v>0.17</v>
      </c>
      <c r="W63" s="255">
        <f t="shared" si="10"/>
        <v>6.3E-2</v>
      </c>
      <c r="X63" s="256">
        <f t="shared" si="11"/>
        <v>0.53</v>
      </c>
      <c r="Y63" s="534" t="str" cm="1">
        <f t="array" ref="Y63">_xlfn.IFS(O63&lt;44361, "Before the burn", O63&lt;44403, "During the burn", O63&gt;44403, "After the burn")</f>
        <v>Before the burn</v>
      </c>
    </row>
    <row r="64" spans="1:25" x14ac:dyDescent="0.3">
      <c r="A64" s="226" t="str">
        <f>UPPER(LEFT(MRT!B3,2))&amp;RIGHT(MRT!B3,LEN(MRT!B3)-2)</f>
        <v>MRT</v>
      </c>
      <c r="B64" s="227" t="str" cm="1">
        <f t="array" ref="B64">_xlfn.IFS(A64="EP", "EP", A64="STa", "SPI", A64="STb", "SPO", A64="MRT", "MRT", A64="RG", "RN", A64="RT", "RU", A64="RW", "RL", A64="RC", "RS")</f>
        <v>MRT</v>
      </c>
      <c r="C64" s="228">
        <f>INT(MRT!A3)</f>
        <v>44294</v>
      </c>
      <c r="D64" s="228" t="str">
        <f t="shared" si="1"/>
        <v>MRT44294</v>
      </c>
      <c r="E64" s="229">
        <f>MRT!D3</f>
        <v>6.29</v>
      </c>
      <c r="F64" s="229">
        <f>MRT!E3</f>
        <v>22.1</v>
      </c>
      <c r="G64" s="229">
        <f>MRT!F3</f>
        <v>0.11</v>
      </c>
      <c r="H64" s="229">
        <f>MRT!H3</f>
        <v>0.75</v>
      </c>
      <c r="I64" s="229">
        <f>MRT!G3</f>
        <v>1.25</v>
      </c>
      <c r="J64" s="229">
        <f>MRT!I3</f>
        <v>0.38</v>
      </c>
      <c r="K64" s="229">
        <f>MRT!J3</f>
        <v>6.2E-2</v>
      </c>
      <c r="L64" s="230">
        <f>MRT!K3</f>
        <v>0.51</v>
      </c>
      <c r="N64" s="252" t="str">
        <f t="shared" si="2"/>
        <v>MRT</v>
      </c>
      <c r="O64" s="253">
        <f t="shared" si="3"/>
        <v>44342</v>
      </c>
      <c r="P64" s="254" t="str">
        <f t="array" ref="P64">INDEX($D$2:$D$278,MATCH(0,COUNTIF($P$1:$P63,$D$2:$D$278),0))</f>
        <v>MRT44342</v>
      </c>
      <c r="Q64" s="255">
        <f t="shared" si="4"/>
        <v>6.35</v>
      </c>
      <c r="R64" s="255">
        <f t="shared" si="5"/>
        <v>24.6</v>
      </c>
      <c r="S64" s="255">
        <f t="shared" si="6"/>
        <v>0.04</v>
      </c>
      <c r="T64" s="255">
        <f t="shared" si="7"/>
        <v>0.49</v>
      </c>
      <c r="U64" s="255">
        <f t="shared" si="8"/>
        <v>0.76</v>
      </c>
      <c r="V64" s="255">
        <f t="shared" si="9"/>
        <v>0.19</v>
      </c>
      <c r="W64" s="255">
        <f t="shared" si="10"/>
        <v>7.6999999999999999E-2</v>
      </c>
      <c r="X64" s="256">
        <f t="shared" si="11"/>
        <v>0.48</v>
      </c>
      <c r="Y64" s="534" t="str" cm="1">
        <f t="array" ref="Y64">_xlfn.IFS(O64&lt;44361, "Before the burn", O64&lt;44403, "During the burn", O64&gt;44403, "After the burn")</f>
        <v>Before the burn</v>
      </c>
    </row>
    <row r="65" spans="1:25" x14ac:dyDescent="0.3">
      <c r="A65" s="199" t="str">
        <f>UPPER(LEFT(MRT!B4,2))&amp;RIGHT(MRT!B4,LEN(MRT!B4)-2)</f>
        <v>MRT</v>
      </c>
      <c r="B65" s="200" t="str" cm="1">
        <f t="array" ref="B65">_xlfn.IFS(A65="EP", "EP", A65="STa", "SPI", A65="STb", "SPO", A65="MRT", "MRT", A65="RG", "RN", A65="RT", "RU", A65="RW", "RL", A65="RC", "RS")</f>
        <v>MRT</v>
      </c>
      <c r="C65" s="201">
        <f>INT(MRT!A4)</f>
        <v>44294</v>
      </c>
      <c r="D65" s="201" t="str">
        <f t="shared" si="1"/>
        <v>MRT44294</v>
      </c>
      <c r="E65" s="202">
        <f>MRT!D4</f>
        <v>6.75</v>
      </c>
      <c r="F65" s="202">
        <f>MRT!E4</f>
        <v>23</v>
      </c>
      <c r="G65" s="202">
        <f>MRT!F4</f>
        <v>7.0000000000000001E-3</v>
      </c>
      <c r="H65" s="202">
        <f>MRT!H4</f>
        <v>0.65</v>
      </c>
      <c r="I65" s="202">
        <f>MRT!G4</f>
        <v>0.84</v>
      </c>
      <c r="J65" s="202">
        <f>MRT!I4</f>
        <v>0.22</v>
      </c>
      <c r="K65" s="202">
        <f>MRT!J4</f>
        <v>7.0000000000000007E-2</v>
      </c>
      <c r="L65" s="203">
        <f>MRT!K4</f>
        <v>0.49</v>
      </c>
      <c r="N65" s="252" t="str">
        <f t="shared" si="2"/>
        <v>MRT</v>
      </c>
      <c r="O65" s="253">
        <f t="shared" si="3"/>
        <v>44356</v>
      </c>
      <c r="P65" s="254" t="str">
        <f t="array" ref="P65">INDEX($D$2:$D$278,MATCH(0,COUNTIF($P$1:$P64,$D$2:$D$278),0))</f>
        <v>MRT44356</v>
      </c>
      <c r="Q65" s="255">
        <f t="shared" si="4"/>
        <v>6.61</v>
      </c>
      <c r="R65" s="255">
        <f t="shared" si="5"/>
        <v>26</v>
      </c>
      <c r="S65" s="255">
        <f t="shared" si="6"/>
        <v>7.0000000000000007E-2</v>
      </c>
      <c r="T65" s="255">
        <f t="shared" si="7"/>
        <v>0.73</v>
      </c>
      <c r="U65" s="255">
        <f t="shared" si="8"/>
        <v>0.86</v>
      </c>
      <c r="V65" s="255">
        <f t="shared" si="9"/>
        <v>0.2</v>
      </c>
      <c r="W65" s="255">
        <f t="shared" si="10"/>
        <v>5.5E-2</v>
      </c>
      <c r="X65" s="256">
        <f t="shared" si="11"/>
        <v>0.51</v>
      </c>
      <c r="Y65" s="534" t="str" cm="1">
        <f t="array" ref="Y65">_xlfn.IFS(O65&lt;44361, "Before the burn", O65&lt;44403, "During the burn", O65&gt;44403, "After the burn")</f>
        <v>Before the burn</v>
      </c>
    </row>
    <row r="66" spans="1:25" x14ac:dyDescent="0.3">
      <c r="A66" s="199" t="str">
        <f>UPPER(LEFT(MRT!B5,2))&amp;RIGHT(MRT!B5,LEN(MRT!B5)-2)</f>
        <v>MRT</v>
      </c>
      <c r="B66" s="200" t="str" cm="1">
        <f t="array" ref="B66">_xlfn.IFS(A66="EP", "EP", A66="STa", "SPI", A66="STb", "SPO", A66="MRT", "MRT", A66="RG", "RN", A66="RT", "RU", A66="RW", "RL", A66="RC", "RS")</f>
        <v>MRT</v>
      </c>
      <c r="C66" s="201">
        <f>INT(MRT!A5)</f>
        <v>44294</v>
      </c>
      <c r="D66" s="201" t="str">
        <f t="shared" si="1"/>
        <v>MRT44294</v>
      </c>
      <c r="E66" s="202">
        <f>MRT!D5</f>
        <v>6.62</v>
      </c>
      <c r="F66" s="202">
        <f>MRT!E5</f>
        <v>22.8</v>
      </c>
      <c r="G66" s="202">
        <f>MRT!F5</f>
        <v>7.0000000000000007E-2</v>
      </c>
      <c r="H66" s="202">
        <f>MRT!H5</f>
        <v>0.72</v>
      </c>
      <c r="I66" s="202">
        <f>MRT!G5</f>
        <v>1.18</v>
      </c>
      <c r="J66" s="202">
        <f>MRT!I5</f>
        <v>0.39</v>
      </c>
      <c r="K66" s="202">
        <f>MRT!J5</f>
        <v>4.8000000000000001E-2</v>
      </c>
      <c r="L66" s="203">
        <f>MRT!K5</f>
        <v>0.51</v>
      </c>
      <c r="N66" s="252" t="str">
        <f t="shared" si="2"/>
        <v>MRT</v>
      </c>
      <c r="O66" s="253">
        <f t="shared" si="3"/>
        <v>44363</v>
      </c>
      <c r="P66" s="254" t="str">
        <f t="array" ref="P66">INDEX($D$2:$D$278,MATCH(0,COUNTIF($P$1:$P65,$D$2:$D$278),0))</f>
        <v>MRT44363</v>
      </c>
      <c r="Q66" s="255">
        <f t="shared" si="4"/>
        <v>6.53</v>
      </c>
      <c r="R66" s="255">
        <f t="shared" si="5"/>
        <v>27.1</v>
      </c>
      <c r="S66" s="255">
        <f t="shared" si="6"/>
        <v>7.0000000000000007E-2</v>
      </c>
      <c r="T66" s="255">
        <f t="shared" si="7"/>
        <v>0.71</v>
      </c>
      <c r="U66" s="255">
        <f t="shared" si="8"/>
        <v>1.03</v>
      </c>
      <c r="V66" s="255">
        <f t="shared" si="9"/>
        <v>0.33</v>
      </c>
      <c r="W66" s="255">
        <f t="shared" si="10"/>
        <v>5.0999999999999997E-2</v>
      </c>
      <c r="X66" s="256">
        <f t="shared" si="11"/>
        <v>0.56000000000000005</v>
      </c>
      <c r="Y66" s="534" t="str" cm="1">
        <f t="array" ref="Y66">_xlfn.IFS(O66&lt;44361, "Before the burn", O66&lt;44403, "During the burn", O66&gt;44403, "After the burn")</f>
        <v>During the burn</v>
      </c>
    </row>
    <row r="67" spans="1:25" x14ac:dyDescent="0.3">
      <c r="A67" s="199" t="str">
        <f>UPPER(LEFT(MRT!B6,2))&amp;RIGHT(MRT!B6,LEN(MRT!B6)-2)</f>
        <v>MRT</v>
      </c>
      <c r="B67" s="200" t="str" cm="1">
        <f t="array" ref="B67">_xlfn.IFS(A67="EP", "EP", A67="STa", "SPI", A67="STb", "SPO", A67="MRT", "MRT", A67="RG", "RN", A67="RT", "RU", A67="RW", "RL", A67="RC", "RS")</f>
        <v>MRT</v>
      </c>
      <c r="C67" s="201">
        <f>INT(MRT!A6)</f>
        <v>44306</v>
      </c>
      <c r="D67" s="201" t="str">
        <f t="shared" ref="D67:D130" si="12">B67&amp;C67</f>
        <v>MRT44306</v>
      </c>
      <c r="E67" s="202">
        <f>MRT!D6</f>
        <v>6.75</v>
      </c>
      <c r="F67" s="202">
        <f>MRT!E6</f>
        <v>23</v>
      </c>
      <c r="G67" s="202">
        <f>MRT!F6</f>
        <v>7.0000000000000001E-3</v>
      </c>
      <c r="H67" s="202">
        <f>MRT!H6</f>
        <v>0.65</v>
      </c>
      <c r="I67" s="202">
        <f>MRT!G6</f>
        <v>0.84</v>
      </c>
      <c r="J67" s="202">
        <f>MRT!I6</f>
        <v>0.22</v>
      </c>
      <c r="K67" s="202">
        <f>MRT!J6</f>
        <v>7.0000000000000007E-2</v>
      </c>
      <c r="L67" s="203">
        <f>MRT!K6</f>
        <v>0.49</v>
      </c>
      <c r="N67" s="252" t="str">
        <f t="shared" ref="N67:N130" si="13">LEFT(P67, LEN(P67)-5)</f>
        <v>MRT</v>
      </c>
      <c r="O67" s="253">
        <f t="shared" ref="O67:O130" si="14">INT(RIGHT(P67, 5))</f>
        <v>44370</v>
      </c>
      <c r="P67" s="254" t="str">
        <f t="array" ref="P67">INDEX($D$2:$D$278,MATCH(0,COUNTIF($P$1:$P66,$D$2:$D$278),0))</f>
        <v>MRT44370</v>
      </c>
      <c r="Q67" s="255">
        <f t="shared" ref="Q67:Q130" si="15">AVERAGEIF($D$2:$D$278, $P67, E$2:E$278)</f>
        <v>6.97</v>
      </c>
      <c r="R67" s="255">
        <f t="shared" ref="R67:R130" si="16">AVERAGEIF($D$2:$D$278, $P67, F$2:F$278)</f>
        <v>26.5</v>
      </c>
      <c r="S67" s="255">
        <f t="shared" ref="S67:S130" si="17">AVERAGEIF($D$2:$D$278, $P67, G$2:G$278)</f>
        <v>2.73</v>
      </c>
      <c r="T67" s="255">
        <f t="shared" ref="T67:T130" si="18">AVERAGEIF($D$2:$D$278, $P67, H$2:H$278)</f>
        <v>0.01</v>
      </c>
      <c r="U67" s="255">
        <f t="shared" ref="U67:U130" si="19">AVERAGEIF($D$2:$D$278, $P67, I$2:I$278)</f>
        <v>2.65</v>
      </c>
      <c r="V67" s="255">
        <f t="shared" ref="V67:V130" si="20">AVERAGEIF($D$2:$D$278, $P67, J$2:J$278)</f>
        <v>0.19</v>
      </c>
      <c r="W67" s="255">
        <f t="shared" ref="W67:W130" si="21">AVERAGEIF($D$2:$D$278, $P67, K$2:K$278)</f>
        <v>8.0000000000000002E-3</v>
      </c>
      <c r="X67" s="256">
        <f t="shared" ref="X67:X130" si="22">AVERAGEIF($D$2:$D$278, $P67, L$2:L$278)</f>
        <v>0.53</v>
      </c>
      <c r="Y67" s="534" t="str" cm="1">
        <f t="array" ref="Y67">_xlfn.IFS(O67&lt;44361, "Before the burn", O67&lt;44403, "During the burn", O67&gt;44403, "After the burn")</f>
        <v>During the burn</v>
      </c>
    </row>
    <row r="68" spans="1:25" x14ac:dyDescent="0.3">
      <c r="A68" s="199" t="str">
        <f>UPPER(LEFT(MRT!B7,2))&amp;RIGHT(MRT!B7,LEN(MRT!B7)-2)</f>
        <v>MRT</v>
      </c>
      <c r="B68" s="200" t="str" cm="1">
        <f t="array" ref="B68">_xlfn.IFS(A68="EP", "EP", A68="STa", "SPI", A68="STb", "SPO", A68="MRT", "MRT", A68="RG", "RN", A68="RT", "RU", A68="RW", "RL", A68="RC", "RS")</f>
        <v>MRT</v>
      </c>
      <c r="C68" s="201">
        <f>INT(MRT!A7)</f>
        <v>44313</v>
      </c>
      <c r="D68" s="201" t="str">
        <f t="shared" si="12"/>
        <v>MRT44313</v>
      </c>
      <c r="E68" s="202">
        <f>MRT!D7</f>
        <v>6.62</v>
      </c>
      <c r="F68" s="202">
        <f>MRT!E7</f>
        <v>22.8</v>
      </c>
      <c r="G68" s="202">
        <f>MRT!F7</f>
        <v>7.0000000000000007E-2</v>
      </c>
      <c r="H68" s="202">
        <f>MRT!H7</f>
        <v>0.72</v>
      </c>
      <c r="I68" s="202">
        <f>MRT!G7</f>
        <v>1.18</v>
      </c>
      <c r="J68" s="202">
        <f>MRT!I7</f>
        <v>0.39</v>
      </c>
      <c r="K68" s="202">
        <f>MRT!J7</f>
        <v>4.8000000000000001E-2</v>
      </c>
      <c r="L68" s="203">
        <f>MRT!K7</f>
        <v>0.51</v>
      </c>
      <c r="N68" s="252" t="str">
        <f t="shared" si="13"/>
        <v>MRT</v>
      </c>
      <c r="O68" s="253">
        <f t="shared" si="14"/>
        <v>44377</v>
      </c>
      <c r="P68" s="254" t="str">
        <f t="array" ref="P68">INDEX($D$2:$D$278,MATCH(0,COUNTIF($P$1:$P67,$D$2:$D$278),0))</f>
        <v>MRT44377</v>
      </c>
      <c r="Q68" s="255">
        <f t="shared" si="15"/>
        <v>6.86</v>
      </c>
      <c r="R68" s="255">
        <f t="shared" si="16"/>
        <v>25.9</v>
      </c>
      <c r="S68" s="255">
        <f t="shared" si="17"/>
        <v>2.2200000000000002</v>
      </c>
      <c r="T68" s="255">
        <f t="shared" si="18"/>
        <v>0.01</v>
      </c>
      <c r="U68" s="255">
        <f t="shared" si="19"/>
        <v>2.3199999999999998</v>
      </c>
      <c r="V68" s="255">
        <f t="shared" si="20"/>
        <v>0.1</v>
      </c>
      <c r="W68" s="255">
        <f t="shared" si="21"/>
        <v>1.2E-2</v>
      </c>
      <c r="X68" s="256">
        <f t="shared" si="22"/>
        <v>0.67</v>
      </c>
      <c r="Y68" s="534" t="str" cm="1">
        <f t="array" ref="Y68">_xlfn.IFS(O68&lt;44361, "Before the burn", O68&lt;44403, "During the burn", O68&gt;44403, "After the burn")</f>
        <v>During the burn</v>
      </c>
    </row>
    <row r="69" spans="1:25" x14ac:dyDescent="0.3">
      <c r="A69" s="199" t="str">
        <f>UPPER(LEFT(MRT!B8,2))&amp;RIGHT(MRT!B8,LEN(MRT!B8)-2)</f>
        <v>MRT</v>
      </c>
      <c r="B69" s="200" t="str" cm="1">
        <f t="array" ref="B69">_xlfn.IFS(A69="EP", "EP", A69="STa", "SPI", A69="STb", "SPO", A69="MRT", "MRT", A69="RG", "RN", A69="RT", "RU", A69="RW", "RL", A69="RC", "RS")</f>
        <v>MRT</v>
      </c>
      <c r="C69" s="201">
        <f>INT(MRT!A8)</f>
        <v>44320</v>
      </c>
      <c r="D69" s="201" t="str">
        <f t="shared" si="12"/>
        <v>MRT44320</v>
      </c>
      <c r="E69" s="202">
        <f>MRT!D8</f>
        <v>6.54</v>
      </c>
      <c r="F69" s="202">
        <f>MRT!E8</f>
        <v>24.6</v>
      </c>
      <c r="G69" s="202">
        <f>MRT!F8</f>
        <v>0.11</v>
      </c>
      <c r="H69" s="202">
        <f>MRT!H8</f>
        <v>0.6</v>
      </c>
      <c r="I69" s="202">
        <f>MRT!G8</f>
        <v>0.85</v>
      </c>
      <c r="J69" s="202">
        <f>MRT!I8</f>
        <v>0.28999999999999998</v>
      </c>
      <c r="K69" s="202">
        <f>MRT!J8</f>
        <v>7.5999999999999998E-2</v>
      </c>
      <c r="L69" s="203">
        <f>MRT!K8</f>
        <v>0.49</v>
      </c>
      <c r="N69" s="252" t="str">
        <f t="shared" si="13"/>
        <v>MRT</v>
      </c>
      <c r="O69" s="253">
        <f t="shared" si="14"/>
        <v>44385</v>
      </c>
      <c r="P69" s="254" t="str">
        <f t="array" ref="P69">INDEX($D$2:$D$278,MATCH(0,COUNTIF($P$1:$P68,$D$2:$D$278),0))</f>
        <v>MRT44385</v>
      </c>
      <c r="Q69" s="255">
        <f t="shared" si="15"/>
        <v>6.41</v>
      </c>
      <c r="R69" s="255">
        <f t="shared" si="16"/>
        <v>26.9</v>
      </c>
      <c r="S69" s="255">
        <f t="shared" si="17"/>
        <v>1.77</v>
      </c>
      <c r="T69" s="255">
        <f t="shared" si="18"/>
        <v>0.01</v>
      </c>
      <c r="U69" s="255">
        <f t="shared" si="19"/>
        <v>0.84</v>
      </c>
      <c r="V69" s="255">
        <f t="shared" si="20"/>
        <v>0.05</v>
      </c>
      <c r="W69" s="255">
        <f t="shared" si="21"/>
        <v>6.0000000000000001E-3</v>
      </c>
      <c r="X69" s="256">
        <f t="shared" si="22"/>
        <v>0.65</v>
      </c>
      <c r="Y69" s="534" t="str" cm="1">
        <f t="array" ref="Y69">_xlfn.IFS(O69&lt;44361, "Before the burn", O69&lt;44403, "During the burn", O69&gt;44403, "After the burn")</f>
        <v>During the burn</v>
      </c>
    </row>
    <row r="70" spans="1:25" x14ac:dyDescent="0.3">
      <c r="A70" s="199" t="str">
        <f>UPPER(LEFT(MRT!B9,2))&amp;RIGHT(MRT!B9,LEN(MRT!B9)-2)</f>
        <v>MRT</v>
      </c>
      <c r="B70" s="200" t="str" cm="1">
        <f t="array" ref="B70">_xlfn.IFS(A70="EP", "EP", A70="STa", "SPI", A70="STb", "SPO", A70="MRT", "MRT", A70="RG", "RN", A70="RT", "RU", A70="RW", "RL", A70="RC", "RS")</f>
        <v>MRT</v>
      </c>
      <c r="C70" s="201">
        <f>INT(MRT!A9)</f>
        <v>44327</v>
      </c>
      <c r="D70" s="201" t="str">
        <f t="shared" si="12"/>
        <v>MRT44327</v>
      </c>
      <c r="E70" s="202">
        <f>MRT!D9</f>
        <v>6.66</v>
      </c>
      <c r="F70" s="202">
        <f>MRT!E9</f>
        <v>23.7</v>
      </c>
      <c r="G70" s="202">
        <f>MRT!F9</f>
        <v>0.08</v>
      </c>
      <c r="H70" s="202">
        <f>MRT!H9</f>
        <v>0.85</v>
      </c>
      <c r="I70" s="202">
        <f>MRT!G9</f>
        <v>1.17</v>
      </c>
      <c r="J70" s="202">
        <f>MRT!I9</f>
        <v>0.23</v>
      </c>
      <c r="K70" s="202">
        <f>MRT!J9</f>
        <v>5.1999999999999998E-2</v>
      </c>
      <c r="L70" s="203">
        <f>MRT!K9</f>
        <v>0.49</v>
      </c>
      <c r="N70" s="252" t="str">
        <f t="shared" si="13"/>
        <v>MRT</v>
      </c>
      <c r="O70" s="253">
        <f t="shared" si="14"/>
        <v>44391</v>
      </c>
      <c r="P70" s="254" t="str">
        <f t="array" ref="P70">INDEX($D$2:$D$278,MATCH(0,COUNTIF($P$1:$P69,$D$2:$D$278),0))</f>
        <v>MRT44391</v>
      </c>
      <c r="Q70" s="255">
        <f t="shared" si="15"/>
        <v>6.42</v>
      </c>
      <c r="R70" s="255">
        <f t="shared" si="16"/>
        <v>27.1</v>
      </c>
      <c r="S70" s="255">
        <f t="shared" si="17"/>
        <v>1.35</v>
      </c>
      <c r="T70" s="255">
        <f t="shared" si="18"/>
        <v>0.01</v>
      </c>
      <c r="U70" s="255">
        <f t="shared" si="19"/>
        <v>1.36</v>
      </c>
      <c r="V70" s="255">
        <f t="shared" si="20"/>
        <v>0.01</v>
      </c>
      <c r="W70" s="255">
        <f t="shared" si="21"/>
        <v>8.9999999999999993E-3</v>
      </c>
      <c r="X70" s="256">
        <f t="shared" si="22"/>
        <v>0.54</v>
      </c>
      <c r="Y70" s="534" t="str" cm="1">
        <f t="array" ref="Y70">_xlfn.IFS(O70&lt;44361, "Before the burn", O70&lt;44403, "During the burn", O70&gt;44403, "After the burn")</f>
        <v>During the burn</v>
      </c>
    </row>
    <row r="71" spans="1:25" x14ac:dyDescent="0.3">
      <c r="A71" s="199" t="str">
        <f>UPPER(LEFT(MRT!B10,2))&amp;RIGHT(MRT!B10,LEN(MRT!B10)-2)</f>
        <v>MRT</v>
      </c>
      <c r="B71" s="200" t="str" cm="1">
        <f t="array" ref="B71">_xlfn.IFS(A71="EP", "EP", A71="STa", "SPI", A71="STb", "SPO", A71="MRT", "MRT", A71="RG", "RN", A71="RT", "RU", A71="RW", "RL", A71="RC", "RS")</f>
        <v>MRT</v>
      </c>
      <c r="C71" s="201">
        <f>INT(MRT!A10)</f>
        <v>44335</v>
      </c>
      <c r="D71" s="201" t="str">
        <f t="shared" si="12"/>
        <v>MRT44335</v>
      </c>
      <c r="E71" s="202">
        <f>MRT!D10</f>
        <v>6.78</v>
      </c>
      <c r="F71" s="202">
        <f>MRT!E10</f>
        <v>23.8</v>
      </c>
      <c r="G71" s="202">
        <f>MRT!F10</f>
        <v>0.15</v>
      </c>
      <c r="H71" s="202">
        <f>MRT!H10</f>
        <v>0.34</v>
      </c>
      <c r="I71" s="202">
        <f>MRT!G10</f>
        <v>0.54</v>
      </c>
      <c r="J71" s="202">
        <f>MRT!I10</f>
        <v>0.17</v>
      </c>
      <c r="K71" s="202">
        <f>MRT!J10</f>
        <v>6.3E-2</v>
      </c>
      <c r="L71" s="203">
        <f>MRT!K10</f>
        <v>0.53</v>
      </c>
      <c r="N71" s="252" t="str">
        <f t="shared" si="13"/>
        <v>MRT</v>
      </c>
      <c r="O71" s="253">
        <f t="shared" si="14"/>
        <v>44398</v>
      </c>
      <c r="P71" s="254" t="str">
        <f t="array" ref="P71">INDEX($D$2:$D$278,MATCH(0,COUNTIF($P$1:$P70,$D$2:$D$278),0))</f>
        <v>MRT44398</v>
      </c>
      <c r="Q71" s="255">
        <f t="shared" si="15"/>
        <v>6.83</v>
      </c>
      <c r="R71" s="255">
        <f t="shared" si="16"/>
        <v>26.6</v>
      </c>
      <c r="S71" s="255">
        <f t="shared" si="17"/>
        <v>1.89</v>
      </c>
      <c r="T71" s="255">
        <f t="shared" si="18"/>
        <v>0</v>
      </c>
      <c r="U71" s="255">
        <f t="shared" si="19"/>
        <v>1.89</v>
      </c>
      <c r="V71" s="255">
        <f t="shared" si="20"/>
        <v>0.24</v>
      </c>
      <c r="W71" s="255">
        <f t="shared" si="21"/>
        <v>0.01</v>
      </c>
      <c r="X71" s="256">
        <f t="shared" si="22"/>
        <v>0.69</v>
      </c>
      <c r="Y71" s="534" t="str" cm="1">
        <f t="array" ref="Y71">_xlfn.IFS(O71&lt;44361, "Before the burn", O71&lt;44403, "During the burn", O71&gt;44403, "After the burn")</f>
        <v>During the burn</v>
      </c>
    </row>
    <row r="72" spans="1:25" x14ac:dyDescent="0.3">
      <c r="A72" s="199" t="str">
        <f>UPPER(LEFT(MRT!B11,2))&amp;RIGHT(MRT!B11,LEN(MRT!B11)-2)</f>
        <v>MRT</v>
      </c>
      <c r="B72" s="200" t="str" cm="1">
        <f t="array" ref="B72">_xlfn.IFS(A72="EP", "EP", A72="STa", "SPI", A72="STb", "SPO", A72="MRT", "MRT", A72="RG", "RN", A72="RT", "RU", A72="RW", "RL", A72="RC", "RS")</f>
        <v>MRT</v>
      </c>
      <c r="C72" s="201">
        <f>INT(MRT!A11)</f>
        <v>44342</v>
      </c>
      <c r="D72" s="201" t="str">
        <f t="shared" si="12"/>
        <v>MRT44342</v>
      </c>
      <c r="E72" s="202">
        <f>MRT!D11</f>
        <v>6.35</v>
      </c>
      <c r="F72" s="202">
        <f>MRT!E11</f>
        <v>24.6</v>
      </c>
      <c r="G72" s="202">
        <f>MRT!F11</f>
        <v>0.04</v>
      </c>
      <c r="H72" s="202">
        <f>MRT!H11</f>
        <v>0.49</v>
      </c>
      <c r="I72" s="202">
        <f>MRT!G11</f>
        <v>0.76</v>
      </c>
      <c r="J72" s="202">
        <f>MRT!I11</f>
        <v>0.19</v>
      </c>
      <c r="K72" s="202">
        <f>MRT!J11</f>
        <v>7.6999999999999999E-2</v>
      </c>
      <c r="L72" s="203">
        <f>MRT!K11</f>
        <v>0.48</v>
      </c>
      <c r="N72" s="252" t="str">
        <f t="shared" si="13"/>
        <v>MRT</v>
      </c>
      <c r="O72" s="253">
        <f t="shared" si="14"/>
        <v>44405</v>
      </c>
      <c r="P72" s="254" t="str">
        <f t="array" ref="P72">INDEX($D$2:$D$278,MATCH(0,COUNTIF($P$1:$P71,$D$2:$D$278),0))</f>
        <v>MRT44405</v>
      </c>
      <c r="Q72" s="255">
        <f t="shared" si="15"/>
        <v>6.71</v>
      </c>
      <c r="R72" s="255">
        <f t="shared" si="16"/>
        <v>28.8</v>
      </c>
      <c r="S72" s="255">
        <f t="shared" si="17"/>
        <v>1.86</v>
      </c>
      <c r="T72" s="255">
        <f t="shared" si="18"/>
        <v>0</v>
      </c>
      <c r="U72" s="255">
        <f t="shared" si="19"/>
        <v>1.54</v>
      </c>
      <c r="V72" s="255">
        <f t="shared" si="20"/>
        <v>0.03</v>
      </c>
      <c r="W72" s="255">
        <f t="shared" si="21"/>
        <v>7.0000000000000001E-3</v>
      </c>
      <c r="X72" s="256">
        <f t="shared" si="22"/>
        <v>0.65</v>
      </c>
      <c r="Y72" s="534" t="str" cm="1">
        <f t="array" ref="Y72">_xlfn.IFS(O72&lt;44361, "Before the burn", O72&lt;44403, "During the burn", O72&gt;44403, "After the burn")</f>
        <v>After the burn</v>
      </c>
    </row>
    <row r="73" spans="1:25" x14ac:dyDescent="0.3">
      <c r="A73" s="199" t="str">
        <f>UPPER(LEFT(MRT!B12,2))&amp;RIGHT(MRT!B12,LEN(MRT!B12)-2)</f>
        <v>MRT</v>
      </c>
      <c r="B73" s="200" t="str" cm="1">
        <f t="array" ref="B73">_xlfn.IFS(A73="EP", "EP", A73="STa", "SPI", A73="STb", "SPO", A73="MRT", "MRT", A73="RG", "RN", A73="RT", "RU", A73="RW", "RL", A73="RC", "RS")</f>
        <v>MRT</v>
      </c>
      <c r="C73" s="201">
        <f>INT(MRT!A12)</f>
        <v>44356</v>
      </c>
      <c r="D73" s="201" t="str">
        <f t="shared" si="12"/>
        <v>MRT44356</v>
      </c>
      <c r="E73" s="202">
        <f>MRT!D12</f>
        <v>6.61</v>
      </c>
      <c r="F73" s="202">
        <f>MRT!E12</f>
        <v>26</v>
      </c>
      <c r="G73" s="202">
        <f>MRT!F12</f>
        <v>7.0000000000000007E-2</v>
      </c>
      <c r="H73" s="202">
        <f>MRT!H12</f>
        <v>0.73</v>
      </c>
      <c r="I73" s="202">
        <f>MRT!G12</f>
        <v>0.86</v>
      </c>
      <c r="J73" s="202">
        <f>MRT!I12</f>
        <v>0.2</v>
      </c>
      <c r="K73" s="202">
        <f>MRT!J12</f>
        <v>5.5E-2</v>
      </c>
      <c r="L73" s="203">
        <f>MRT!K12</f>
        <v>0.51</v>
      </c>
      <c r="N73" s="252" t="str">
        <f t="shared" si="13"/>
        <v>MRT</v>
      </c>
      <c r="O73" s="253">
        <f t="shared" si="14"/>
        <v>44432</v>
      </c>
      <c r="P73" s="254" t="str">
        <f t="array" ref="P73">INDEX($D$2:$D$278,MATCH(0,COUNTIF($P$1:$P72,$D$2:$D$278),0))</f>
        <v>MRT44432</v>
      </c>
      <c r="Q73" s="255">
        <f t="shared" si="15"/>
        <v>6.73</v>
      </c>
      <c r="R73" s="255">
        <f t="shared" si="16"/>
        <v>28.4</v>
      </c>
      <c r="S73" s="255">
        <f t="shared" si="17"/>
        <v>0.06</v>
      </c>
      <c r="T73" s="255">
        <f t="shared" si="18"/>
        <v>0.7</v>
      </c>
      <c r="U73" s="255">
        <f t="shared" si="19"/>
        <v>0.82</v>
      </c>
      <c r="V73" s="255">
        <f t="shared" si="20"/>
        <v>0.17</v>
      </c>
      <c r="W73" s="255">
        <f t="shared" si="21"/>
        <v>8.0000000000000002E-3</v>
      </c>
      <c r="X73" s="256">
        <f t="shared" si="22"/>
        <v>0.69</v>
      </c>
      <c r="Y73" s="534" t="str" cm="1">
        <f t="array" ref="Y73">_xlfn.IFS(O73&lt;44361, "Before the burn", O73&lt;44403, "During the burn", O73&gt;44403, "After the burn")</f>
        <v>After the burn</v>
      </c>
    </row>
    <row r="74" spans="1:25" x14ac:dyDescent="0.3">
      <c r="A74" s="199" t="str">
        <f>UPPER(LEFT(MRT!B13,2))&amp;RIGHT(MRT!B13,LEN(MRT!B13)-2)</f>
        <v>MRT</v>
      </c>
      <c r="B74" s="200" t="str" cm="1">
        <f t="array" ref="B74">_xlfn.IFS(A74="EP", "EP", A74="STa", "SPI", A74="STb", "SPO", A74="MRT", "MRT", A74="RG", "RN", A74="RT", "RU", A74="RW", "RL", A74="RC", "RS")</f>
        <v>MRT</v>
      </c>
      <c r="C74" s="201">
        <f>INT(MRT!A13)</f>
        <v>44363</v>
      </c>
      <c r="D74" s="201" t="str">
        <f t="shared" si="12"/>
        <v>MRT44363</v>
      </c>
      <c r="E74" s="202">
        <f>MRT!D13</f>
        <v>6.53</v>
      </c>
      <c r="F74" s="202">
        <f>MRT!E13</f>
        <v>27.1</v>
      </c>
      <c r="G74" s="202">
        <f>MRT!F13</f>
        <v>7.0000000000000007E-2</v>
      </c>
      <c r="H74" s="202">
        <f>MRT!H13</f>
        <v>0.71</v>
      </c>
      <c r="I74" s="202">
        <f>MRT!G13</f>
        <v>1.03</v>
      </c>
      <c r="J74" s="202">
        <f>MRT!I13</f>
        <v>0.33</v>
      </c>
      <c r="K74" s="202">
        <f>MRT!J13</f>
        <v>5.0999999999999997E-2</v>
      </c>
      <c r="L74" s="203">
        <f>MRT!K13</f>
        <v>0.56000000000000005</v>
      </c>
      <c r="N74" s="252" t="str">
        <f t="shared" si="13"/>
        <v>MRT</v>
      </c>
      <c r="O74" s="253">
        <f t="shared" si="14"/>
        <v>44419</v>
      </c>
      <c r="P74" s="254" t="str">
        <f t="array" ref="P74">INDEX($D$2:$D$278,MATCH(0,COUNTIF($P$1:$P73,$D$2:$D$278),0))</f>
        <v>MRT44419</v>
      </c>
      <c r="Q74" s="255">
        <f t="shared" si="15"/>
        <v>6.8</v>
      </c>
      <c r="R74" s="255">
        <f t="shared" si="16"/>
        <v>27.5</v>
      </c>
      <c r="S74" s="255">
        <f t="shared" si="17"/>
        <v>0.1</v>
      </c>
      <c r="T74" s="255">
        <f t="shared" si="18"/>
        <v>0.84</v>
      </c>
      <c r="U74" s="255">
        <f t="shared" si="19"/>
        <v>0.98</v>
      </c>
      <c r="V74" s="255">
        <f t="shared" si="20"/>
        <v>0.19</v>
      </c>
      <c r="W74" s="255">
        <f t="shared" si="21"/>
        <v>7.0000000000000001E-3</v>
      </c>
      <c r="X74" s="256">
        <f t="shared" si="22"/>
        <v>0.7</v>
      </c>
      <c r="Y74" s="534" t="str" cm="1">
        <f t="array" ref="Y74">_xlfn.IFS(O74&lt;44361, "Before the burn", O74&lt;44403, "During the burn", O74&gt;44403, "After the burn")</f>
        <v>After the burn</v>
      </c>
    </row>
    <row r="75" spans="1:25" x14ac:dyDescent="0.3">
      <c r="A75" s="199" t="str">
        <f>UPPER(LEFT(MRT!B14,2))&amp;RIGHT(MRT!B14,LEN(MRT!B14)-2)</f>
        <v>MRT</v>
      </c>
      <c r="B75" s="200" t="str" cm="1">
        <f t="array" ref="B75">_xlfn.IFS(A75="EP", "EP", A75="STa", "SPI", A75="STb", "SPO", A75="MRT", "MRT", A75="RG", "RN", A75="RT", "RU", A75="RW", "RL", A75="RC", "RS")</f>
        <v>MRT</v>
      </c>
      <c r="C75" s="201">
        <f>INT(MRT!A14)</f>
        <v>44370</v>
      </c>
      <c r="D75" s="201" t="str">
        <f t="shared" si="12"/>
        <v>MRT44370</v>
      </c>
      <c r="E75" s="202">
        <f>MRT!D14</f>
        <v>6.97</v>
      </c>
      <c r="F75" s="202">
        <f>MRT!E14</f>
        <v>26.5</v>
      </c>
      <c r="G75" s="202">
        <f>MRT!F14</f>
        <v>2.73</v>
      </c>
      <c r="H75" s="202">
        <f>MRT!H14</f>
        <v>0.01</v>
      </c>
      <c r="I75" s="202">
        <f>MRT!G14</f>
        <v>2.65</v>
      </c>
      <c r="J75" s="202">
        <f>MRT!I14</f>
        <v>0.19</v>
      </c>
      <c r="K75" s="202">
        <f>MRT!J14</f>
        <v>8.0000000000000002E-3</v>
      </c>
      <c r="L75" s="203">
        <f>MRT!K14</f>
        <v>0.53</v>
      </c>
      <c r="N75" s="252" t="str">
        <f t="shared" si="13"/>
        <v>MRT</v>
      </c>
      <c r="O75" s="253">
        <f t="shared" si="14"/>
        <v>44426</v>
      </c>
      <c r="P75" s="254" t="str">
        <f t="array" ref="P75">INDEX($D$2:$D$278,MATCH(0,COUNTIF($P$1:$P74,$D$2:$D$278),0))</f>
        <v>MRT44426</v>
      </c>
      <c r="Q75" s="255">
        <f t="shared" si="15"/>
        <v>6.75</v>
      </c>
      <c r="R75" s="255">
        <f t="shared" si="16"/>
        <v>28.1</v>
      </c>
      <c r="S75" s="255">
        <f t="shared" si="17"/>
        <v>0.04</v>
      </c>
      <c r="T75" s="255">
        <f t="shared" si="18"/>
        <v>0.66</v>
      </c>
      <c r="U75" s="255">
        <f t="shared" si="19"/>
        <v>0.77</v>
      </c>
      <c r="V75" s="255">
        <f t="shared" si="20"/>
        <v>0.24</v>
      </c>
      <c r="W75" s="255">
        <f t="shared" si="21"/>
        <v>7.0000000000000001E-3</v>
      </c>
      <c r="X75" s="256">
        <f t="shared" si="22"/>
        <v>0.69</v>
      </c>
      <c r="Y75" s="534" t="str" cm="1">
        <f t="array" ref="Y75">_xlfn.IFS(O75&lt;44361, "Before the burn", O75&lt;44403, "During the burn", O75&gt;44403, "After the burn")</f>
        <v>After the burn</v>
      </c>
    </row>
    <row r="76" spans="1:25" ht="16.350000000000001" thickBot="1" x14ac:dyDescent="0.35">
      <c r="A76" s="199" t="str">
        <f>UPPER(LEFT(MRT!B15,2))&amp;RIGHT(MRT!B15,LEN(MRT!B15)-2)</f>
        <v>MRT</v>
      </c>
      <c r="B76" s="200" t="str" cm="1">
        <f t="array" ref="B76">_xlfn.IFS(A76="EP", "EP", A76="STa", "SPI", A76="STb", "SPO", A76="MRT", "MRT", A76="RG", "RN", A76="RT", "RU", A76="RW", "RL", A76="RC", "RS")</f>
        <v>MRT</v>
      </c>
      <c r="C76" s="201">
        <f>INT(MRT!A15)</f>
        <v>44377</v>
      </c>
      <c r="D76" s="201" t="str">
        <f t="shared" si="12"/>
        <v>MRT44377</v>
      </c>
      <c r="E76" s="202">
        <f>MRT!D15</f>
        <v>6.86</v>
      </c>
      <c r="F76" s="202">
        <f>MRT!E15</f>
        <v>25.9</v>
      </c>
      <c r="G76" s="202">
        <f>MRT!F15</f>
        <v>2.2200000000000002</v>
      </c>
      <c r="H76" s="202">
        <f>MRT!H15</f>
        <v>0.01</v>
      </c>
      <c r="I76" s="202">
        <f>MRT!G15</f>
        <v>2.3199999999999998</v>
      </c>
      <c r="J76" s="202">
        <f>MRT!I15</f>
        <v>0.1</v>
      </c>
      <c r="K76" s="202">
        <f>MRT!J15</f>
        <v>1.2E-2</v>
      </c>
      <c r="L76" s="203">
        <f>MRT!K15</f>
        <v>0.67</v>
      </c>
      <c r="N76" s="267" t="str">
        <f t="shared" si="13"/>
        <v>MRT</v>
      </c>
      <c r="O76" s="268">
        <f t="shared" si="14"/>
        <v>44433</v>
      </c>
      <c r="P76" s="269" t="str">
        <f t="array" ref="P76">INDEX($D$2:$D$278,MATCH(0,COUNTIF($P$1:$P75,$D$2:$D$278),0))</f>
        <v>MRT44433</v>
      </c>
      <c r="Q76" s="270">
        <f t="shared" si="15"/>
        <v>6.73</v>
      </c>
      <c r="R76" s="270">
        <f t="shared" si="16"/>
        <v>28.6</v>
      </c>
      <c r="S76" s="270">
        <f t="shared" si="17"/>
        <v>0.08</v>
      </c>
      <c r="T76" s="270">
        <f t="shared" si="18"/>
        <v>0.7</v>
      </c>
      <c r="U76" s="270">
        <f t="shared" si="19"/>
        <v>0.64</v>
      </c>
      <c r="V76" s="270">
        <f t="shared" si="20"/>
        <v>0.7</v>
      </c>
      <c r="W76" s="270">
        <f t="shared" si="21"/>
        <v>8.0000000000000002E-3</v>
      </c>
      <c r="X76" s="271">
        <f t="shared" si="22"/>
        <v>0.66</v>
      </c>
      <c r="Y76" s="535" t="str" cm="1">
        <f t="array" ref="Y76">_xlfn.IFS(O76&lt;44361, "Before the burn", O76&lt;44403, "During the burn", O76&gt;44403, "After the burn")</f>
        <v>After the burn</v>
      </c>
    </row>
    <row r="77" spans="1:25" x14ac:dyDescent="0.3">
      <c r="A77" s="199" t="str">
        <f>UPPER(LEFT(MRT!B16,2))&amp;RIGHT(MRT!B16,LEN(MRT!B16)-2)</f>
        <v>MRT</v>
      </c>
      <c r="B77" s="200" t="str" cm="1">
        <f t="array" ref="B77">_xlfn.IFS(A77="EP", "EP", A77="STa", "SPI", A77="STb", "SPO", A77="MRT", "MRT", A77="RG", "RN", A77="RT", "RU", A77="RW", "RL", A77="RC", "RS")</f>
        <v>MRT</v>
      </c>
      <c r="C77" s="201">
        <f>INT(MRT!A16)</f>
        <v>44385</v>
      </c>
      <c r="D77" s="201" t="str">
        <f t="shared" si="12"/>
        <v>MRT44385</v>
      </c>
      <c r="E77" s="202">
        <f>MRT!D16</f>
        <v>6.41</v>
      </c>
      <c r="F77" s="202">
        <f>MRT!E16</f>
        <v>26.9</v>
      </c>
      <c r="G77" s="202">
        <f>MRT!F16</f>
        <v>1.77</v>
      </c>
      <c r="H77" s="202">
        <f>MRT!H16</f>
        <v>0.01</v>
      </c>
      <c r="I77" s="202">
        <f>MRT!G16</f>
        <v>0.84</v>
      </c>
      <c r="J77" s="202">
        <f>MRT!I16</f>
        <v>0.05</v>
      </c>
      <c r="K77" s="202">
        <f>MRT!J16</f>
        <v>6.0000000000000001E-3</v>
      </c>
      <c r="L77" s="203">
        <f>MRT!K16</f>
        <v>0.65</v>
      </c>
      <c r="N77" s="241" t="str">
        <f t="shared" si="13"/>
        <v>RN</v>
      </c>
      <c r="O77" s="242">
        <f t="shared" si="14"/>
        <v>44293</v>
      </c>
      <c r="P77" s="243" t="str">
        <f t="array" ref="P77">INDEX($D$2:$D$278,MATCH(0,COUNTIF($P$1:$P76,$D$2:$D$278),0))</f>
        <v>RN44293</v>
      </c>
      <c r="Q77" s="244">
        <f t="shared" si="15"/>
        <v>6.7666666666666657</v>
      </c>
      <c r="R77" s="244">
        <f t="shared" si="16"/>
        <v>22.400000000000002</v>
      </c>
      <c r="S77" s="244">
        <f t="shared" si="17"/>
        <v>0.08</v>
      </c>
      <c r="T77" s="244">
        <f t="shared" si="18"/>
        <v>1.66</v>
      </c>
      <c r="U77" s="244">
        <f t="shared" si="19"/>
        <v>1.7566666666666666</v>
      </c>
      <c r="V77" s="244">
        <f t="shared" si="20"/>
        <v>0.32333333333333331</v>
      </c>
      <c r="W77" s="244">
        <f t="shared" si="21"/>
        <v>5.0000000000000001E-3</v>
      </c>
      <c r="X77" s="245">
        <f t="shared" si="22"/>
        <v>0.54999999999999993</v>
      </c>
      <c r="Y77" s="530" t="str" cm="1">
        <f t="array" ref="Y77">_xlfn.IFS(O77&lt;44361, "Before the burn", O77&lt;44403, "During the burn", O77&gt;44403, "After the burn")</f>
        <v>Before the burn</v>
      </c>
    </row>
    <row r="78" spans="1:25" x14ac:dyDescent="0.3">
      <c r="A78" s="199" t="str">
        <f>UPPER(LEFT(MRT!B17,2))&amp;RIGHT(MRT!B17,LEN(MRT!B17)-2)</f>
        <v>MRT</v>
      </c>
      <c r="B78" s="200" t="str" cm="1">
        <f t="array" ref="B78">_xlfn.IFS(A78="EP", "EP", A78="STa", "SPI", A78="STb", "SPO", A78="MRT", "MRT", A78="RG", "RN", A78="RT", "RU", A78="RW", "RL", A78="RC", "RS")</f>
        <v>MRT</v>
      </c>
      <c r="C78" s="201">
        <f>INT(MRT!A17)</f>
        <v>44391</v>
      </c>
      <c r="D78" s="201" t="str">
        <f t="shared" si="12"/>
        <v>MRT44391</v>
      </c>
      <c r="E78" s="202">
        <f>MRT!D17</f>
        <v>6.42</v>
      </c>
      <c r="F78" s="202">
        <f>MRT!E17</f>
        <v>27.1</v>
      </c>
      <c r="G78" s="202">
        <f>MRT!F17</f>
        <v>1.35</v>
      </c>
      <c r="H78" s="202">
        <f>MRT!H17</f>
        <v>0.01</v>
      </c>
      <c r="I78" s="202">
        <f>MRT!G17</f>
        <v>1.36</v>
      </c>
      <c r="J78" s="202">
        <f>MRT!I17</f>
        <v>0.01</v>
      </c>
      <c r="K78" s="202">
        <f>MRT!J17</f>
        <v>8.9999999999999993E-3</v>
      </c>
      <c r="L78" s="203">
        <f>MRT!K17</f>
        <v>0.54</v>
      </c>
      <c r="N78" s="236" t="str">
        <f t="shared" si="13"/>
        <v>RN</v>
      </c>
      <c r="O78" s="237">
        <f t="shared" si="14"/>
        <v>44313</v>
      </c>
      <c r="P78" s="238" t="str">
        <f t="array" ref="P78">INDEX($D$2:$D$278,MATCH(0,COUNTIF($P$1:$P77,$D$2:$D$278),0))</f>
        <v>RN44313</v>
      </c>
      <c r="Q78" s="239">
        <f t="shared" si="15"/>
        <v>6.78</v>
      </c>
      <c r="R78" s="239">
        <f t="shared" si="16"/>
        <v>24.2</v>
      </c>
      <c r="S78" s="239">
        <f t="shared" si="17"/>
        <v>0.14000000000000001</v>
      </c>
      <c r="T78" s="239">
        <f t="shared" si="18"/>
        <v>1.49</v>
      </c>
      <c r="U78" s="239">
        <f t="shared" si="19"/>
        <v>1.45</v>
      </c>
      <c r="V78" s="239">
        <f t="shared" si="20"/>
        <v>0.24</v>
      </c>
      <c r="W78" s="239">
        <f t="shared" si="21"/>
        <v>6.0000000000000001E-3</v>
      </c>
      <c r="X78" s="240">
        <f t="shared" si="22"/>
        <v>0.54</v>
      </c>
      <c r="Y78" s="531" t="str" cm="1">
        <f t="array" ref="Y78">_xlfn.IFS(O78&lt;44361, "Before the burn", O78&lt;44403, "During the burn", O78&gt;44403, "After the burn")</f>
        <v>Before the burn</v>
      </c>
    </row>
    <row r="79" spans="1:25" x14ac:dyDescent="0.3">
      <c r="A79" s="199" t="str">
        <f>UPPER(LEFT(MRT!B18,2))&amp;RIGHT(MRT!B18,LEN(MRT!B18)-2)</f>
        <v>MRT</v>
      </c>
      <c r="B79" s="200" t="str" cm="1">
        <f t="array" ref="B79">_xlfn.IFS(A79="EP", "EP", A79="STa", "SPI", A79="STb", "SPO", A79="MRT", "MRT", A79="RG", "RN", A79="RT", "RU", A79="RW", "RL", A79="RC", "RS")</f>
        <v>MRT</v>
      </c>
      <c r="C79" s="201">
        <f>INT(MRT!A18)</f>
        <v>44398</v>
      </c>
      <c r="D79" s="201" t="str">
        <f t="shared" si="12"/>
        <v>MRT44398</v>
      </c>
      <c r="E79" s="202">
        <f>MRT!D18</f>
        <v>6.83</v>
      </c>
      <c r="F79" s="202">
        <f>MRT!E18</f>
        <v>26.6</v>
      </c>
      <c r="G79" s="202">
        <f>MRT!F18</f>
        <v>1.89</v>
      </c>
      <c r="H79" s="202">
        <f>MRT!H18</f>
        <v>0</v>
      </c>
      <c r="I79" s="202">
        <f>MRT!G18</f>
        <v>1.89</v>
      </c>
      <c r="J79" s="202">
        <f>MRT!I18</f>
        <v>0.24</v>
      </c>
      <c r="K79" s="202">
        <f>MRT!J18</f>
        <v>0.01</v>
      </c>
      <c r="L79" s="203">
        <f>MRT!K18</f>
        <v>0.69</v>
      </c>
      <c r="N79" s="236" t="str">
        <f t="shared" si="13"/>
        <v>RN</v>
      </c>
      <c r="O79" s="237">
        <f t="shared" si="14"/>
        <v>44327</v>
      </c>
      <c r="P79" s="238" t="str">
        <f t="array" ref="P79">INDEX($D$2:$D$278,MATCH(0,COUNTIF($P$1:$P78,$D$2:$D$278),0))</f>
        <v>RN44327</v>
      </c>
      <c r="Q79" s="239">
        <f t="shared" si="15"/>
        <v>6.74</v>
      </c>
      <c r="R79" s="239">
        <f t="shared" si="16"/>
        <v>26.7</v>
      </c>
      <c r="S79" s="239">
        <f t="shared" si="17"/>
        <v>0.14000000000000001</v>
      </c>
      <c r="T79" s="239">
        <f t="shared" si="18"/>
        <v>1.48</v>
      </c>
      <c r="U79" s="239">
        <f t="shared" si="19"/>
        <v>1.39</v>
      </c>
      <c r="V79" s="239">
        <f t="shared" si="20"/>
        <v>0.28999999999999998</v>
      </c>
      <c r="W79" s="239">
        <f t="shared" si="21"/>
        <v>7.0000000000000001E-3</v>
      </c>
      <c r="X79" s="240">
        <f t="shared" si="22"/>
        <v>0.53</v>
      </c>
      <c r="Y79" s="531" t="str" cm="1">
        <f t="array" ref="Y79">_xlfn.IFS(O79&lt;44361, "Before the burn", O79&lt;44403, "During the burn", O79&gt;44403, "After the burn")</f>
        <v>Before the burn</v>
      </c>
    </row>
    <row r="80" spans="1:25" x14ac:dyDescent="0.3">
      <c r="A80" s="199" t="str">
        <f>UPPER(LEFT(MRT!B19,2))&amp;RIGHT(MRT!B19,LEN(MRT!B19)-2)</f>
        <v>MRT</v>
      </c>
      <c r="B80" s="200" t="str" cm="1">
        <f t="array" ref="B80">_xlfn.IFS(A80="EP", "EP", A80="STa", "SPI", A80="STb", "SPO", A80="MRT", "MRT", A80="RG", "RN", A80="RT", "RU", A80="RW", "RL", A80="RC", "RS")</f>
        <v>MRT</v>
      </c>
      <c r="C80" s="201">
        <f>INT(MRT!A19)</f>
        <v>44405</v>
      </c>
      <c r="D80" s="201" t="str">
        <f t="shared" si="12"/>
        <v>MRT44405</v>
      </c>
      <c r="E80" s="202">
        <f>MRT!D19</f>
        <v>6.71</v>
      </c>
      <c r="F80" s="202">
        <f>MRT!E19</f>
        <v>28.8</v>
      </c>
      <c r="G80" s="202">
        <f>MRT!F19</f>
        <v>1.86</v>
      </c>
      <c r="H80" s="202">
        <f>MRT!H19</f>
        <v>0</v>
      </c>
      <c r="I80" s="202">
        <f>MRT!G19</f>
        <v>1.54</v>
      </c>
      <c r="J80" s="202">
        <f>MRT!I19</f>
        <v>0.03</v>
      </c>
      <c r="K80" s="202">
        <f>MRT!J19</f>
        <v>7.0000000000000001E-3</v>
      </c>
      <c r="L80" s="203">
        <f>MRT!K19</f>
        <v>0.65</v>
      </c>
      <c r="N80" s="236" t="str">
        <f t="shared" si="13"/>
        <v>RN</v>
      </c>
      <c r="O80" s="237">
        <f t="shared" si="14"/>
        <v>44334</v>
      </c>
      <c r="P80" s="238" t="str">
        <f t="array" ref="P80">INDEX($D$2:$D$278,MATCH(0,COUNTIF($P$1:$P79,$D$2:$D$278),0))</f>
        <v>RN44334</v>
      </c>
      <c r="Q80" s="239">
        <f t="shared" si="15"/>
        <v>7.09</v>
      </c>
      <c r="R80" s="239">
        <f t="shared" si="16"/>
        <v>25</v>
      </c>
      <c r="S80" s="239">
        <f t="shared" si="17"/>
        <v>0.06</v>
      </c>
      <c r="T80" s="239">
        <f t="shared" si="18"/>
        <v>1.36</v>
      </c>
      <c r="U80" s="239">
        <f t="shared" si="19"/>
        <v>1.31</v>
      </c>
      <c r="V80" s="239">
        <f t="shared" si="20"/>
        <v>0.28000000000000003</v>
      </c>
      <c r="W80" s="239">
        <f t="shared" si="21"/>
        <v>7.0000000000000001E-3</v>
      </c>
      <c r="X80" s="240">
        <f t="shared" si="22"/>
        <v>0.55000000000000004</v>
      </c>
      <c r="Y80" s="531" t="str" cm="1">
        <f t="array" ref="Y80">_xlfn.IFS(O80&lt;44361, "Before the burn", O80&lt;44403, "During the burn", O80&gt;44403, "After the burn")</f>
        <v>Before the burn</v>
      </c>
    </row>
    <row r="81" spans="1:25" x14ac:dyDescent="0.3">
      <c r="A81" s="199" t="str">
        <f>UPPER(LEFT(MRT!B20,2))&amp;RIGHT(MRT!B20,LEN(MRT!B20)-2)</f>
        <v>MRT</v>
      </c>
      <c r="B81" s="200" t="str" cm="1">
        <f t="array" ref="B81">_xlfn.IFS(A81="EP", "EP", A81="STa", "SPI", A81="STb", "SPO", A81="MRT", "MRT", A81="RG", "RN", A81="RT", "RU", A81="RW", "RL", A81="RC", "RS")</f>
        <v>MRT</v>
      </c>
      <c r="C81" s="201">
        <f>INT(MRT!A20)</f>
        <v>44432</v>
      </c>
      <c r="D81" s="201" t="str">
        <f t="shared" si="12"/>
        <v>MRT44432</v>
      </c>
      <c r="E81" s="202">
        <f>MRT!D20</f>
        <v>6.73</v>
      </c>
      <c r="F81" s="202">
        <f>MRT!E20</f>
        <v>28.4</v>
      </c>
      <c r="G81" s="202">
        <f>MRT!F20</f>
        <v>0.06</v>
      </c>
      <c r="H81" s="202">
        <f>MRT!H20</f>
        <v>0.7</v>
      </c>
      <c r="I81" s="202">
        <f>MRT!G20</f>
        <v>0.82</v>
      </c>
      <c r="J81" s="202">
        <f>MRT!I20</f>
        <v>0.17</v>
      </c>
      <c r="K81" s="202">
        <f>MRT!J20</f>
        <v>8.0000000000000002E-3</v>
      </c>
      <c r="L81" s="203">
        <f>MRT!K20</f>
        <v>0.69</v>
      </c>
      <c r="N81" s="236" t="str">
        <f t="shared" si="13"/>
        <v>RN</v>
      </c>
      <c r="O81" s="237">
        <f t="shared" si="14"/>
        <v>44335</v>
      </c>
      <c r="P81" s="238" t="str">
        <f t="array" ref="P81">INDEX($D$2:$D$278,MATCH(0,COUNTIF($P$1:$P80,$D$2:$D$278),0))</f>
        <v>RN44335</v>
      </c>
      <c r="Q81" s="239">
        <f t="shared" si="15"/>
        <v>6.82</v>
      </c>
      <c r="R81" s="239">
        <f t="shared" si="16"/>
        <v>24.8</v>
      </c>
      <c r="S81" s="239">
        <f t="shared" si="17"/>
        <v>7.4999999999999997E-2</v>
      </c>
      <c r="T81" s="239">
        <f t="shared" si="18"/>
        <v>1.6800000000000002</v>
      </c>
      <c r="U81" s="239">
        <f t="shared" si="19"/>
        <v>1.7949999999999999</v>
      </c>
      <c r="V81" s="239">
        <f t="shared" si="20"/>
        <v>0.33999999999999997</v>
      </c>
      <c r="W81" s="239">
        <f t="shared" si="21"/>
        <v>6.5000000000000006E-3</v>
      </c>
      <c r="X81" s="240">
        <f t="shared" si="22"/>
        <v>0.46500000000000002</v>
      </c>
      <c r="Y81" s="531" t="str" cm="1">
        <f t="array" ref="Y81">_xlfn.IFS(O81&lt;44361, "Before the burn", O81&lt;44403, "During the burn", O81&gt;44403, "After the burn")</f>
        <v>Before the burn</v>
      </c>
    </row>
    <row r="82" spans="1:25" x14ac:dyDescent="0.3">
      <c r="A82" s="199" t="str">
        <f>UPPER(LEFT(MRT!B21,2))&amp;RIGHT(MRT!B21,LEN(MRT!B21)-2)</f>
        <v>MRT</v>
      </c>
      <c r="B82" s="200" t="str" cm="1">
        <f t="array" ref="B82">_xlfn.IFS(A82="EP", "EP", A82="STa", "SPI", A82="STb", "SPO", A82="MRT", "MRT", A82="RG", "RN", A82="RT", "RU", A82="RW", "RL", A82="RC", "RS")</f>
        <v>MRT</v>
      </c>
      <c r="C82" s="201">
        <f>INT(MRT!A21)</f>
        <v>44419</v>
      </c>
      <c r="D82" s="201" t="str">
        <f t="shared" si="12"/>
        <v>MRT44419</v>
      </c>
      <c r="E82" s="202">
        <f>MRT!D21</f>
        <v>6.8</v>
      </c>
      <c r="F82" s="202">
        <f>MRT!E21</f>
        <v>27.5</v>
      </c>
      <c r="G82" s="202">
        <f>MRT!F21</f>
        <v>0.1</v>
      </c>
      <c r="H82" s="202">
        <f>MRT!H21</f>
        <v>0.84</v>
      </c>
      <c r="I82" s="202">
        <f>MRT!G21</f>
        <v>0.98</v>
      </c>
      <c r="J82" s="202">
        <f>MRT!I21</f>
        <v>0.19</v>
      </c>
      <c r="K82" s="202">
        <f>MRT!J21</f>
        <v>7.0000000000000001E-3</v>
      </c>
      <c r="L82" s="203">
        <f>MRT!K21</f>
        <v>0.7</v>
      </c>
      <c r="N82" s="236" t="str">
        <f t="shared" si="13"/>
        <v>RN</v>
      </c>
      <c r="O82" s="237">
        <f t="shared" si="14"/>
        <v>44341</v>
      </c>
      <c r="P82" s="238" t="str">
        <f t="array" ref="P82">INDEX($D$2:$D$278,MATCH(0,COUNTIF($P$1:$P81,$D$2:$D$278),0))</f>
        <v>RN44341</v>
      </c>
      <c r="Q82" s="239">
        <f t="shared" si="15"/>
        <v>6.95</v>
      </c>
      <c r="R82" s="239">
        <f t="shared" si="16"/>
        <v>25.6</v>
      </c>
      <c r="S82" s="239">
        <f t="shared" si="17"/>
        <v>7.0000000000000007E-2</v>
      </c>
      <c r="T82" s="239">
        <f t="shared" si="18"/>
        <v>1.44</v>
      </c>
      <c r="U82" s="239">
        <f t="shared" si="19"/>
        <v>1.34</v>
      </c>
      <c r="V82" s="239">
        <f t="shared" si="20"/>
        <v>0.28000000000000003</v>
      </c>
      <c r="W82" s="239">
        <f t="shared" si="21"/>
        <v>6.0000000000000001E-3</v>
      </c>
      <c r="X82" s="240">
        <f t="shared" si="22"/>
        <v>0.55000000000000004</v>
      </c>
      <c r="Y82" s="531" t="str" cm="1">
        <f t="array" ref="Y82">_xlfn.IFS(O82&lt;44361, "Before the burn", O82&lt;44403, "During the burn", O82&gt;44403, "After the burn")</f>
        <v>Before the burn</v>
      </c>
    </row>
    <row r="83" spans="1:25" x14ac:dyDescent="0.3">
      <c r="A83" s="199" t="str">
        <f>UPPER(LEFT(MRT!B22,2))&amp;RIGHT(MRT!B22,LEN(MRT!B22)-2)</f>
        <v>MRT</v>
      </c>
      <c r="B83" s="200" t="str" cm="1">
        <f t="array" ref="B83">_xlfn.IFS(A83="EP", "EP", A83="STa", "SPI", A83="STb", "SPO", A83="MRT", "MRT", A83="RG", "RN", A83="RT", "RU", A83="RW", "RL", A83="RC", "RS")</f>
        <v>MRT</v>
      </c>
      <c r="C83" s="201">
        <f>INT(MRT!A22)</f>
        <v>44426</v>
      </c>
      <c r="D83" s="201" t="str">
        <f t="shared" si="12"/>
        <v>MRT44426</v>
      </c>
      <c r="E83" s="202">
        <f>MRT!D22</f>
        <v>6.75</v>
      </c>
      <c r="F83" s="202">
        <f>MRT!E22</f>
        <v>28.1</v>
      </c>
      <c r="G83" s="202">
        <f>MRT!F22</f>
        <v>0.04</v>
      </c>
      <c r="H83" s="202">
        <f>MRT!H22</f>
        <v>0.66</v>
      </c>
      <c r="I83" s="202">
        <f>MRT!G22</f>
        <v>0.77</v>
      </c>
      <c r="J83" s="202">
        <f>MRT!I22</f>
        <v>0.24</v>
      </c>
      <c r="K83" s="202">
        <f>MRT!J22</f>
        <v>7.0000000000000001E-3</v>
      </c>
      <c r="L83" s="203">
        <f>MRT!K22</f>
        <v>0.69</v>
      </c>
      <c r="N83" s="236" t="str">
        <f t="shared" si="13"/>
        <v>RN</v>
      </c>
      <c r="O83" s="237">
        <f t="shared" si="14"/>
        <v>44342</v>
      </c>
      <c r="P83" s="238" t="str">
        <f t="array" ref="P83">INDEX($D$2:$D$278,MATCH(0,COUNTIF($P$1:$P82,$D$2:$D$278),0))</f>
        <v>RN44342</v>
      </c>
      <c r="Q83" s="239">
        <f t="shared" si="15"/>
        <v>6.7200000000000006</v>
      </c>
      <c r="R83" s="239">
        <f t="shared" si="16"/>
        <v>25.65</v>
      </c>
      <c r="S83" s="239">
        <f t="shared" si="17"/>
        <v>6.0000000000000005E-2</v>
      </c>
      <c r="T83" s="239">
        <f t="shared" si="18"/>
        <v>1.65</v>
      </c>
      <c r="U83" s="239">
        <f t="shared" si="19"/>
        <v>1.75</v>
      </c>
      <c r="V83" s="239">
        <f t="shared" si="20"/>
        <v>0.32</v>
      </c>
      <c r="W83" s="239">
        <f t="shared" si="21"/>
        <v>7.0000000000000001E-3</v>
      </c>
      <c r="X83" s="240">
        <f t="shared" si="22"/>
        <v>0.505</v>
      </c>
      <c r="Y83" s="531" t="str" cm="1">
        <f t="array" ref="Y83">_xlfn.IFS(O83&lt;44361, "Before the burn", O83&lt;44403, "During the burn", O83&gt;44403, "After the burn")</f>
        <v>Before the burn</v>
      </c>
    </row>
    <row r="84" spans="1:25" ht="16.350000000000001" thickBot="1" x14ac:dyDescent="0.35">
      <c r="A84" s="231" t="str">
        <f>UPPER(LEFT(MRT!B23,2))&amp;RIGHT(MRT!B23,LEN(MRT!B23)-2)</f>
        <v>MRT</v>
      </c>
      <c r="B84" s="232" t="str" cm="1">
        <f t="array" ref="B84">_xlfn.IFS(A84="EP", "EP", A84="STa", "SPI", A84="STb", "SPO", A84="MRT", "MRT", A84="RG", "RN", A84="RT", "RU", A84="RW", "RL", A84="RC", "RS")</f>
        <v>MRT</v>
      </c>
      <c r="C84" s="233">
        <f>INT(MRT!A23)</f>
        <v>44433</v>
      </c>
      <c r="D84" s="233" t="str">
        <f t="shared" si="12"/>
        <v>MRT44433</v>
      </c>
      <c r="E84" s="234">
        <f>MRT!D23</f>
        <v>6.73</v>
      </c>
      <c r="F84" s="234">
        <f>MRT!E23</f>
        <v>28.6</v>
      </c>
      <c r="G84" s="234">
        <f>MRT!F23</f>
        <v>0.08</v>
      </c>
      <c r="H84" s="234">
        <f>MRT!H23</f>
        <v>0.7</v>
      </c>
      <c r="I84" s="234">
        <f>MRT!G23</f>
        <v>0.64</v>
      </c>
      <c r="J84" s="277">
        <v>0.7</v>
      </c>
      <c r="K84" s="234">
        <f>MRT!J23</f>
        <v>8.0000000000000002E-3</v>
      </c>
      <c r="L84" s="235">
        <f>MRT!K23</f>
        <v>0.66</v>
      </c>
      <c r="N84" s="236" t="str">
        <f t="shared" si="13"/>
        <v>RN</v>
      </c>
      <c r="O84" s="237">
        <f t="shared" si="14"/>
        <v>44349</v>
      </c>
      <c r="P84" s="238" t="str">
        <f t="array" ref="P84">INDEX($D$2:$D$278,MATCH(0,COUNTIF($P$1:$P83,$D$2:$D$278),0))</f>
        <v>RN44349</v>
      </c>
      <c r="Q84" s="239">
        <f t="shared" si="15"/>
        <v>6.81</v>
      </c>
      <c r="R84" s="239">
        <f t="shared" si="16"/>
        <v>26.7</v>
      </c>
      <c r="S84" s="239">
        <f t="shared" si="17"/>
        <v>0.09</v>
      </c>
      <c r="T84" s="239">
        <f t="shared" si="18"/>
        <v>1.75</v>
      </c>
      <c r="U84" s="239">
        <f t="shared" si="19"/>
        <v>1.68</v>
      </c>
      <c r="V84" s="239">
        <f t="shared" si="20"/>
        <v>0.34</v>
      </c>
      <c r="W84" s="239">
        <f t="shared" si="21"/>
        <v>7.0000000000000001E-3</v>
      </c>
      <c r="X84" s="240">
        <f t="shared" si="22"/>
        <v>0.56000000000000005</v>
      </c>
      <c r="Y84" s="531" t="str" cm="1">
        <f t="array" ref="Y84">_xlfn.IFS(O84&lt;44361, "Before the burn", O84&lt;44403, "During the burn", O84&gt;44403, "After the burn")</f>
        <v>Before the burn</v>
      </c>
    </row>
    <row r="85" spans="1:25" x14ac:dyDescent="0.3">
      <c r="A85" s="210" t="str">
        <f>UPPER(LEFT(RN!B3,2))&amp;RIGHT(RN!B3,LEN(RN!B3)-2)</f>
        <v>RG</v>
      </c>
      <c r="B85" s="211" t="str" cm="1">
        <f t="array" ref="B85">_xlfn.IFS(A85="EP", "EP", A85="STa", "SPI", A85="STb", "SPO", A85="MRT", "MRT", A85="RG", "RN", A85="RT", "RU", A85="RW", "RL", A85="RC", "RS")</f>
        <v>RN</v>
      </c>
      <c r="C85" s="212">
        <f>INT(RN!A3)</f>
        <v>44293</v>
      </c>
      <c r="D85" s="212" t="str">
        <f t="shared" si="12"/>
        <v>RN44293</v>
      </c>
      <c r="E85" s="213">
        <f>RN!D3</f>
        <v>6.86</v>
      </c>
      <c r="F85" s="213">
        <f>RN!E3</f>
        <v>22.8</v>
      </c>
      <c r="G85" s="213">
        <f>RN!F3</f>
        <v>7.0000000000000007E-2</v>
      </c>
      <c r="H85" s="213">
        <f>RN!H3</f>
        <v>1.63</v>
      </c>
      <c r="I85" s="213">
        <f>RN!G3</f>
        <v>1.51</v>
      </c>
      <c r="J85" s="213">
        <f>RN!I3</f>
        <v>0.36</v>
      </c>
      <c r="K85" s="213">
        <f>RN!J3</f>
        <v>5.0000000000000001E-3</v>
      </c>
      <c r="L85" s="214">
        <f>RN!K3</f>
        <v>0.62</v>
      </c>
      <c r="N85" s="236" t="str">
        <f t="shared" si="13"/>
        <v>RN</v>
      </c>
      <c r="O85" s="237">
        <f t="shared" si="14"/>
        <v>44350</v>
      </c>
      <c r="P85" s="238" t="str">
        <f t="array" ref="P85">INDEX($D$2:$D$278,MATCH(0,COUNTIF($P$1:$P84,$D$2:$D$278),0))</f>
        <v>RN44350</v>
      </c>
      <c r="Q85" s="239">
        <f t="shared" si="15"/>
        <v>6.7050000000000001</v>
      </c>
      <c r="R85" s="239">
        <f t="shared" si="16"/>
        <v>26.35</v>
      </c>
      <c r="S85" s="239">
        <f t="shared" si="17"/>
        <v>0.08</v>
      </c>
      <c r="T85" s="239">
        <f t="shared" si="18"/>
        <v>1.32</v>
      </c>
      <c r="U85" s="239">
        <f t="shared" si="19"/>
        <v>1.51</v>
      </c>
      <c r="V85" s="239">
        <f t="shared" si="20"/>
        <v>0.29000000000000004</v>
      </c>
      <c r="W85" s="239">
        <f t="shared" si="21"/>
        <v>6.0000000000000001E-3</v>
      </c>
      <c r="X85" s="240">
        <f t="shared" si="22"/>
        <v>0.61499999999999999</v>
      </c>
      <c r="Y85" s="531" t="str" cm="1">
        <f t="array" ref="Y85">_xlfn.IFS(O85&lt;44361, "Before the burn", O85&lt;44403, "During the burn", O85&gt;44403, "After the burn")</f>
        <v>Before the burn</v>
      </c>
    </row>
    <row r="86" spans="1:25" x14ac:dyDescent="0.3">
      <c r="A86" s="194" t="str">
        <f>UPPER(LEFT(RN!B4,2))&amp;RIGHT(RN!B4,LEN(RN!B4)-2)</f>
        <v>RG</v>
      </c>
      <c r="B86" s="195" t="str" cm="1">
        <f t="array" ref="B86">_xlfn.IFS(A86="EP", "EP", A86="STa", "SPI", A86="STb", "SPO", A86="MRT", "MRT", A86="RG", "RN", A86="RT", "RU", A86="RW", "RL", A86="RC", "RS")</f>
        <v>RN</v>
      </c>
      <c r="C86" s="196">
        <f>INT(RN!A4)</f>
        <v>44293</v>
      </c>
      <c r="D86" s="196" t="str">
        <f t="shared" si="12"/>
        <v>RN44293</v>
      </c>
      <c r="E86" s="197">
        <f>RN!D4</f>
        <v>6.84</v>
      </c>
      <c r="F86" s="197">
        <f>RN!E4</f>
        <v>22.4</v>
      </c>
      <c r="G86" s="197">
        <f>RN!F4</f>
        <v>0.08</v>
      </c>
      <c r="H86" s="197">
        <f>RN!H4</f>
        <v>2.59</v>
      </c>
      <c r="I86" s="197">
        <f>RN!G4</f>
        <v>3.09</v>
      </c>
      <c r="J86" s="197">
        <f>RN!I4</f>
        <v>0.19</v>
      </c>
      <c r="K86" s="197">
        <f>RN!J4</f>
        <v>5.0000000000000001E-3</v>
      </c>
      <c r="L86" s="198">
        <f>RN!K4</f>
        <v>0.35</v>
      </c>
      <c r="N86" s="236" t="str">
        <f t="shared" si="13"/>
        <v>RN</v>
      </c>
      <c r="O86" s="237">
        <f t="shared" si="14"/>
        <v>44355</v>
      </c>
      <c r="P86" s="238" t="str">
        <f t="array" ref="P86">INDEX($D$2:$D$278,MATCH(0,COUNTIF($P$1:$P85,$D$2:$D$278),0))</f>
        <v>RN44355</v>
      </c>
      <c r="Q86" s="239">
        <f t="shared" si="15"/>
        <v>6.75</v>
      </c>
      <c r="R86" s="239">
        <f t="shared" si="16"/>
        <v>27.1</v>
      </c>
      <c r="S86" s="239">
        <f t="shared" si="17"/>
        <v>0.12</v>
      </c>
      <c r="T86" s="239">
        <f t="shared" si="18"/>
        <v>1.45</v>
      </c>
      <c r="U86" s="239">
        <f t="shared" si="19"/>
        <v>1.46</v>
      </c>
      <c r="V86" s="239">
        <f t="shared" si="20"/>
        <v>0.31</v>
      </c>
      <c r="W86" s="239">
        <f t="shared" si="21"/>
        <v>6.0000000000000001E-3</v>
      </c>
      <c r="X86" s="240">
        <f t="shared" si="22"/>
        <v>0.56000000000000005</v>
      </c>
      <c r="Y86" s="531" t="str" cm="1">
        <f t="array" ref="Y86">_xlfn.IFS(O86&lt;44361, "Before the burn", O86&lt;44403, "During the burn", O86&gt;44403, "After the burn")</f>
        <v>Before the burn</v>
      </c>
    </row>
    <row r="87" spans="1:25" x14ac:dyDescent="0.3">
      <c r="A87" s="194" t="str">
        <f>UPPER(LEFT(RN!B5,2))&amp;RIGHT(RN!B5,LEN(RN!B5)-2)</f>
        <v>RG</v>
      </c>
      <c r="B87" s="195" t="str" cm="1">
        <f t="array" ref="B87">_xlfn.IFS(A87="EP", "EP", A87="STa", "SPI", A87="STb", "SPO", A87="MRT", "MRT", A87="RG", "RN", A87="RT", "RU", A87="RW", "RL", A87="RC", "RS")</f>
        <v>RN</v>
      </c>
      <c r="C87" s="196">
        <f>INT(RN!A5)</f>
        <v>44293</v>
      </c>
      <c r="D87" s="196" t="str">
        <f t="shared" si="12"/>
        <v>RN44293</v>
      </c>
      <c r="E87" s="197">
        <f>RN!D5</f>
        <v>6.6</v>
      </c>
      <c r="F87" s="197">
        <f>RN!E5</f>
        <v>22</v>
      </c>
      <c r="G87" s="197">
        <f>RN!F5</f>
        <v>0.09</v>
      </c>
      <c r="H87" s="197">
        <f>RN!H5</f>
        <v>0.76</v>
      </c>
      <c r="I87" s="197">
        <f>RN!G5</f>
        <v>0.67</v>
      </c>
      <c r="J87" s="197">
        <f>RN!I5</f>
        <v>0.42</v>
      </c>
      <c r="K87" s="197">
        <f>RN!J5</f>
        <v>5.0000000000000001E-3</v>
      </c>
      <c r="L87" s="198">
        <f>RN!K5</f>
        <v>0.68</v>
      </c>
      <c r="N87" s="236" t="str">
        <f t="shared" si="13"/>
        <v>RN</v>
      </c>
      <c r="O87" s="237">
        <f t="shared" si="14"/>
        <v>44356</v>
      </c>
      <c r="P87" s="238" t="str">
        <f t="array" ref="P87">INDEX($D$2:$D$278,MATCH(0,COUNTIF($P$1:$P86,$D$2:$D$278),0))</f>
        <v>RN44356</v>
      </c>
      <c r="Q87" s="239">
        <f t="shared" si="15"/>
        <v>6.7449999999999992</v>
      </c>
      <c r="R87" s="239">
        <f t="shared" si="16"/>
        <v>27.25</v>
      </c>
      <c r="S87" s="239">
        <f t="shared" si="17"/>
        <v>0.13500000000000001</v>
      </c>
      <c r="T87" s="239">
        <f t="shared" si="18"/>
        <v>1.365</v>
      </c>
      <c r="U87" s="239">
        <f t="shared" si="19"/>
        <v>1.2850000000000001</v>
      </c>
      <c r="V87" s="239">
        <f t="shared" si="20"/>
        <v>0.41500000000000004</v>
      </c>
      <c r="W87" s="239">
        <f t="shared" si="21"/>
        <v>7.0000000000000001E-3</v>
      </c>
      <c r="X87" s="240">
        <f t="shared" si="22"/>
        <v>0.55499999999999994</v>
      </c>
      <c r="Y87" s="531" t="str" cm="1">
        <f t="array" ref="Y87">_xlfn.IFS(O87&lt;44361, "Before the burn", O87&lt;44403, "During the burn", O87&gt;44403, "After the burn")</f>
        <v>Before the burn</v>
      </c>
    </row>
    <row r="88" spans="1:25" x14ac:dyDescent="0.3">
      <c r="A88" s="194" t="str">
        <f>UPPER(LEFT(RN!B6,2))&amp;RIGHT(RN!B6,LEN(RN!B6)-2)</f>
        <v>RG</v>
      </c>
      <c r="B88" s="195" t="str" cm="1">
        <f t="array" ref="B88">_xlfn.IFS(A88="EP", "EP", A88="STa", "SPI", A88="STb", "SPO", A88="MRT", "MRT", A88="RG", "RN", A88="RT", "RU", A88="RW", "RL", A88="RC", "RS")</f>
        <v>RN</v>
      </c>
      <c r="C88" s="196">
        <f>INT(RN!A6)</f>
        <v>44313</v>
      </c>
      <c r="D88" s="196" t="str">
        <f t="shared" si="12"/>
        <v>RN44313</v>
      </c>
      <c r="E88" s="197">
        <f>RN!D6</f>
        <v>6.78</v>
      </c>
      <c r="F88" s="197">
        <f>RN!E6</f>
        <v>24.2</v>
      </c>
      <c r="G88" s="197">
        <f>RN!F6</f>
        <v>0.14000000000000001</v>
      </c>
      <c r="H88" s="197">
        <f>RN!H6</f>
        <v>1.49</v>
      </c>
      <c r="I88" s="197">
        <f>RN!G6</f>
        <v>1.45</v>
      </c>
      <c r="J88" s="197">
        <f>RN!I6</f>
        <v>0.24</v>
      </c>
      <c r="K88" s="197">
        <f>RN!J6</f>
        <v>6.0000000000000001E-3</v>
      </c>
      <c r="L88" s="198">
        <f>RN!K6</f>
        <v>0.54</v>
      </c>
      <c r="N88" s="236" t="str">
        <f t="shared" si="13"/>
        <v>RN</v>
      </c>
      <c r="O88" s="237">
        <f t="shared" si="14"/>
        <v>44362</v>
      </c>
      <c r="P88" s="238" t="str">
        <f t="array" ref="P88">INDEX($D$2:$D$278,MATCH(0,COUNTIF($P$1:$P87,$D$2:$D$278),0))</f>
        <v>RN44362</v>
      </c>
      <c r="Q88" s="239">
        <f t="shared" si="15"/>
        <v>6.76</v>
      </c>
      <c r="R88" s="239">
        <f t="shared" si="16"/>
        <v>28.7</v>
      </c>
      <c r="S88" s="239">
        <f t="shared" si="17"/>
        <v>0.09</v>
      </c>
      <c r="T88" s="239">
        <f t="shared" si="18"/>
        <v>1.27</v>
      </c>
      <c r="U88" s="239">
        <f t="shared" si="19"/>
        <v>1.1100000000000001</v>
      </c>
      <c r="V88" s="239">
        <f t="shared" si="20"/>
        <v>0.49</v>
      </c>
      <c r="W88" s="239">
        <f t="shared" si="21"/>
        <v>6.0000000000000001E-3</v>
      </c>
      <c r="X88" s="240">
        <f t="shared" si="22"/>
        <v>0.7</v>
      </c>
      <c r="Y88" s="531" t="str" cm="1">
        <f t="array" ref="Y88">_xlfn.IFS(O88&lt;44361, "Before the burn", O88&lt;44403, "During the burn", O88&gt;44403, "After the burn")</f>
        <v>During the burn</v>
      </c>
    </row>
    <row r="89" spans="1:25" x14ac:dyDescent="0.3">
      <c r="A89" s="194" t="str">
        <f>UPPER(LEFT(RN!B7,2))&amp;RIGHT(RN!B7,LEN(RN!B7)-2)</f>
        <v>RG</v>
      </c>
      <c r="B89" s="195" t="str" cm="1">
        <f t="array" ref="B89">_xlfn.IFS(A89="EP", "EP", A89="STa", "SPI", A89="STb", "SPO", A89="MRT", "MRT", A89="RG", "RN", A89="RT", "RU", A89="RW", "RL", A89="RC", "RS")</f>
        <v>RN</v>
      </c>
      <c r="C89" s="196">
        <f>INT(RN!A7)</f>
        <v>44327</v>
      </c>
      <c r="D89" s="196" t="str">
        <f t="shared" si="12"/>
        <v>RN44327</v>
      </c>
      <c r="E89" s="197">
        <f>RN!D7</f>
        <v>6.74</v>
      </c>
      <c r="F89" s="197">
        <f>RN!E7</f>
        <v>26.7</v>
      </c>
      <c r="G89" s="197">
        <f>RN!F7</f>
        <v>0.14000000000000001</v>
      </c>
      <c r="H89" s="197">
        <f>RN!H7</f>
        <v>1.48</v>
      </c>
      <c r="I89" s="197">
        <f>RN!G7</f>
        <v>1.39</v>
      </c>
      <c r="J89" s="197">
        <f>RN!I7</f>
        <v>0.28999999999999998</v>
      </c>
      <c r="K89" s="197">
        <f>RN!J7</f>
        <v>7.0000000000000001E-3</v>
      </c>
      <c r="L89" s="198">
        <f>RN!K7</f>
        <v>0.53</v>
      </c>
      <c r="N89" s="236" t="str">
        <f t="shared" si="13"/>
        <v>RN</v>
      </c>
      <c r="O89" s="237">
        <f t="shared" si="14"/>
        <v>44363</v>
      </c>
      <c r="P89" s="238" t="str">
        <f t="array" ref="P89">INDEX($D$2:$D$278,MATCH(0,COUNTIF($P$1:$P88,$D$2:$D$278),0))</f>
        <v>RN44363</v>
      </c>
      <c r="Q89" s="239">
        <f t="shared" si="15"/>
        <v>6.74</v>
      </c>
      <c r="R89" s="239">
        <f t="shared" si="16"/>
        <v>28</v>
      </c>
      <c r="S89" s="239">
        <f t="shared" si="17"/>
        <v>0.70500000000000007</v>
      </c>
      <c r="T89" s="239">
        <f t="shared" si="18"/>
        <v>6.0000000000000005E-2</v>
      </c>
      <c r="U89" s="239">
        <f t="shared" si="19"/>
        <v>0.85499999999999998</v>
      </c>
      <c r="V89" s="239">
        <f t="shared" si="20"/>
        <v>0.13500000000000001</v>
      </c>
      <c r="W89" s="239">
        <f t="shared" si="21"/>
        <v>6.0000000000000001E-3</v>
      </c>
      <c r="X89" s="240">
        <f t="shared" si="22"/>
        <v>0.57000000000000006</v>
      </c>
      <c r="Y89" s="531" t="str" cm="1">
        <f t="array" ref="Y89">_xlfn.IFS(O89&lt;44361, "Before the burn", O89&lt;44403, "During the burn", O89&gt;44403, "After the burn")</f>
        <v>During the burn</v>
      </c>
    </row>
    <row r="90" spans="1:25" x14ac:dyDescent="0.3">
      <c r="A90" s="194" t="str">
        <f>UPPER(LEFT(RN!B8,2))&amp;RIGHT(RN!B8,LEN(RN!B8)-2)</f>
        <v>RG</v>
      </c>
      <c r="B90" s="195" t="str" cm="1">
        <f t="array" ref="B90">_xlfn.IFS(A90="EP", "EP", A90="STa", "SPI", A90="STb", "SPO", A90="MRT", "MRT", A90="RG", "RN", A90="RT", "RU", A90="RW", "RL", A90="RC", "RS")</f>
        <v>RN</v>
      </c>
      <c r="C90" s="196">
        <f>INT(RN!A8)</f>
        <v>44334</v>
      </c>
      <c r="D90" s="196" t="str">
        <f t="shared" si="12"/>
        <v>RN44334</v>
      </c>
      <c r="E90" s="197">
        <f>RN!D8</f>
        <v>7.09</v>
      </c>
      <c r="F90" s="197">
        <f>RN!E8</f>
        <v>25</v>
      </c>
      <c r="G90" s="197">
        <f>RN!F8</f>
        <v>0.06</v>
      </c>
      <c r="H90" s="197">
        <f>RN!H8</f>
        <v>1.36</v>
      </c>
      <c r="I90" s="197">
        <f>RN!G8</f>
        <v>1.31</v>
      </c>
      <c r="J90" s="197">
        <f>RN!I8</f>
        <v>0.28000000000000003</v>
      </c>
      <c r="K90" s="197">
        <f>RN!J8</f>
        <v>7.0000000000000001E-3</v>
      </c>
      <c r="L90" s="198">
        <f>RN!K8</f>
        <v>0.55000000000000004</v>
      </c>
      <c r="N90" s="236" t="str">
        <f t="shared" si="13"/>
        <v>RN</v>
      </c>
      <c r="O90" s="237">
        <f t="shared" si="14"/>
        <v>44369</v>
      </c>
      <c r="P90" s="238" t="str">
        <f t="array" ref="P90">INDEX($D$2:$D$278,MATCH(0,COUNTIF($P$1:$P89,$D$2:$D$278),0))</f>
        <v>RN44369</v>
      </c>
      <c r="Q90" s="239">
        <f t="shared" si="15"/>
        <v>6.72</v>
      </c>
      <c r="R90" s="239">
        <f t="shared" si="16"/>
        <v>27.3</v>
      </c>
      <c r="S90" s="239">
        <f t="shared" si="17"/>
        <v>0.99</v>
      </c>
      <c r="T90" s="239">
        <f t="shared" si="18"/>
        <v>0.04</v>
      </c>
      <c r="U90" s="239">
        <f t="shared" si="19"/>
        <v>0.99</v>
      </c>
      <c r="V90" s="239">
        <f t="shared" si="20"/>
        <v>0.23</v>
      </c>
      <c r="W90" s="239">
        <f t="shared" si="21"/>
        <v>6.0000000000000001E-3</v>
      </c>
      <c r="X90" s="240">
        <f t="shared" si="22"/>
        <v>0.7</v>
      </c>
      <c r="Y90" s="531" t="str" cm="1">
        <f t="array" ref="Y90">_xlfn.IFS(O90&lt;44361, "Before the burn", O90&lt;44403, "During the burn", O90&gt;44403, "After the burn")</f>
        <v>During the burn</v>
      </c>
    </row>
    <row r="91" spans="1:25" x14ac:dyDescent="0.3">
      <c r="A91" s="194" t="str">
        <f>UPPER(LEFT(RN!B9,2))&amp;RIGHT(RN!B9,LEN(RN!B9)-2)</f>
        <v>RG</v>
      </c>
      <c r="B91" s="195" t="str" cm="1">
        <f t="array" ref="B91">_xlfn.IFS(A91="EP", "EP", A91="STa", "SPI", A91="STb", "SPO", A91="MRT", "MRT", A91="RG", "RN", A91="RT", "RU", A91="RW", "RL", A91="RC", "RS")</f>
        <v>RN</v>
      </c>
      <c r="C91" s="196">
        <f>INT(RN!A9)</f>
        <v>44335</v>
      </c>
      <c r="D91" s="196" t="str">
        <f t="shared" si="12"/>
        <v>RN44335</v>
      </c>
      <c r="E91" s="197">
        <f>RN!D9</f>
        <v>6.94</v>
      </c>
      <c r="F91" s="197">
        <f>RN!E9</f>
        <v>25</v>
      </c>
      <c r="G91" s="197">
        <f>RN!F9</f>
        <v>0.09</v>
      </c>
      <c r="H91" s="197">
        <f>RN!H9</f>
        <v>1.22</v>
      </c>
      <c r="I91" s="197">
        <f>RN!G9</f>
        <v>1.07</v>
      </c>
      <c r="J91" s="197">
        <f>RN!I9</f>
        <v>0.43</v>
      </c>
      <c r="K91" s="197">
        <f>RN!J9</f>
        <v>6.0000000000000001E-3</v>
      </c>
      <c r="L91" s="198">
        <f>RN!K9</f>
        <v>0.54</v>
      </c>
      <c r="N91" s="236" t="str">
        <f t="shared" si="13"/>
        <v>RN</v>
      </c>
      <c r="O91" s="237">
        <f t="shared" si="14"/>
        <v>44370</v>
      </c>
      <c r="P91" s="238" t="str">
        <f t="array" ref="P91">INDEX($D$2:$D$278,MATCH(0,COUNTIF($P$1:$P90,$D$2:$D$278),0))</f>
        <v>RN44370</v>
      </c>
      <c r="Q91" s="239">
        <f t="shared" si="15"/>
        <v>6.7949999999999999</v>
      </c>
      <c r="R91" s="239">
        <f t="shared" si="16"/>
        <v>27.75</v>
      </c>
      <c r="S91" s="239">
        <f t="shared" si="17"/>
        <v>2.2549999999999999</v>
      </c>
      <c r="T91" s="239">
        <f t="shared" si="18"/>
        <v>7.0000000000000007E-2</v>
      </c>
      <c r="U91" s="239">
        <f t="shared" si="19"/>
        <v>2.3849999999999998</v>
      </c>
      <c r="V91" s="239">
        <f t="shared" si="20"/>
        <v>2.5000000000000001E-2</v>
      </c>
      <c r="W91" s="239">
        <f t="shared" si="21"/>
        <v>6.0000000000000001E-3</v>
      </c>
      <c r="X91" s="240">
        <f t="shared" si="22"/>
        <v>0.53</v>
      </c>
      <c r="Y91" s="531" t="str" cm="1">
        <f t="array" ref="Y91">_xlfn.IFS(O91&lt;44361, "Before the burn", O91&lt;44403, "During the burn", O91&gt;44403, "After the burn")</f>
        <v>During the burn</v>
      </c>
    </row>
    <row r="92" spans="1:25" x14ac:dyDescent="0.3">
      <c r="A92" s="194" t="str">
        <f>UPPER(LEFT(RN!B10,2))&amp;RIGHT(RN!B10,LEN(RN!B10)-2)</f>
        <v>RG</v>
      </c>
      <c r="B92" s="195" t="str" cm="1">
        <f t="array" ref="B92">_xlfn.IFS(A92="EP", "EP", A92="STa", "SPI", A92="STb", "SPO", A92="MRT", "MRT", A92="RG", "RN", A92="RT", "RU", A92="RW", "RL", A92="RC", "RS")</f>
        <v>RN</v>
      </c>
      <c r="C92" s="196">
        <f>INT(RN!A10)</f>
        <v>44335</v>
      </c>
      <c r="D92" s="196" t="str">
        <f t="shared" si="12"/>
        <v>RN44335</v>
      </c>
      <c r="E92" s="197">
        <f>RN!D10</f>
        <v>6.7</v>
      </c>
      <c r="F92" s="197">
        <f>RN!E10</f>
        <v>24.6</v>
      </c>
      <c r="G92" s="197">
        <f>RN!F10</f>
        <v>0.06</v>
      </c>
      <c r="H92" s="197">
        <f>RN!H10</f>
        <v>2.14</v>
      </c>
      <c r="I92" s="197">
        <f>RN!G10</f>
        <v>2.52</v>
      </c>
      <c r="J92" s="197">
        <f>RN!I10</f>
        <v>0.25</v>
      </c>
      <c r="K92" s="197">
        <f>RN!J10</f>
        <v>7.0000000000000001E-3</v>
      </c>
      <c r="L92" s="198">
        <f>RN!K10</f>
        <v>0.39</v>
      </c>
      <c r="N92" s="236" t="str">
        <f t="shared" si="13"/>
        <v>RN</v>
      </c>
      <c r="O92" s="237">
        <f t="shared" si="14"/>
        <v>44376</v>
      </c>
      <c r="P92" s="238" t="str">
        <f t="array" ref="P92">INDEX($D$2:$D$278,MATCH(0,COUNTIF($P$1:$P91,$D$2:$D$278),0))</f>
        <v>RN44376</v>
      </c>
      <c r="Q92" s="239">
        <f t="shared" si="15"/>
        <v>6.7</v>
      </c>
      <c r="R92" s="239">
        <f t="shared" si="16"/>
        <v>27.7</v>
      </c>
      <c r="S92" s="239">
        <f t="shared" si="17"/>
        <v>1.06</v>
      </c>
      <c r="T92" s="239">
        <f t="shared" si="18"/>
        <v>0.04</v>
      </c>
      <c r="U92" s="239">
        <f t="shared" si="19"/>
        <v>1.02</v>
      </c>
      <c r="V92" s="239">
        <f t="shared" si="20"/>
        <v>0.09</v>
      </c>
      <c r="W92" s="239">
        <f t="shared" si="21"/>
        <v>7.0000000000000001E-3</v>
      </c>
      <c r="X92" s="240">
        <f t="shared" si="22"/>
        <v>0.74</v>
      </c>
      <c r="Y92" s="531" t="str" cm="1">
        <f t="array" ref="Y92">_xlfn.IFS(O92&lt;44361, "Before the burn", O92&lt;44403, "During the burn", O92&gt;44403, "After the burn")</f>
        <v>During the burn</v>
      </c>
    </row>
    <row r="93" spans="1:25" x14ac:dyDescent="0.3">
      <c r="A93" s="194" t="str">
        <f>UPPER(LEFT(RN!B11,2))&amp;RIGHT(RN!B11,LEN(RN!B11)-2)</f>
        <v>RG</v>
      </c>
      <c r="B93" s="195" t="str" cm="1">
        <f t="array" ref="B93">_xlfn.IFS(A93="EP", "EP", A93="STa", "SPI", A93="STb", "SPO", A93="MRT", "MRT", A93="RG", "RN", A93="RT", "RU", A93="RW", "RL", A93="RC", "RS")</f>
        <v>RN</v>
      </c>
      <c r="C93" s="196">
        <f>INT(RN!A11)</f>
        <v>44341</v>
      </c>
      <c r="D93" s="196" t="str">
        <f t="shared" si="12"/>
        <v>RN44341</v>
      </c>
      <c r="E93" s="197">
        <f>RN!D11</f>
        <v>6.95</v>
      </c>
      <c r="F93" s="197">
        <f>RN!E11</f>
        <v>25.6</v>
      </c>
      <c r="G93" s="197">
        <f>RN!F11</f>
        <v>7.0000000000000007E-2</v>
      </c>
      <c r="H93" s="197">
        <f>RN!H11</f>
        <v>1.44</v>
      </c>
      <c r="I93" s="197">
        <f>RN!G11</f>
        <v>1.34</v>
      </c>
      <c r="J93" s="197">
        <f>RN!I11</f>
        <v>0.28000000000000003</v>
      </c>
      <c r="K93" s="197">
        <f>RN!J11</f>
        <v>6.0000000000000001E-3</v>
      </c>
      <c r="L93" s="198">
        <f>RN!K11</f>
        <v>0.55000000000000004</v>
      </c>
      <c r="N93" s="236" t="str">
        <f t="shared" si="13"/>
        <v>RN</v>
      </c>
      <c r="O93" s="237">
        <f t="shared" si="14"/>
        <v>44377</v>
      </c>
      <c r="P93" s="238" t="str">
        <f t="array" ref="P93">INDEX($D$2:$D$278,MATCH(0,COUNTIF($P$1:$P92,$D$2:$D$278),0))</f>
        <v>RN44377</v>
      </c>
      <c r="Q93" s="239">
        <f t="shared" si="15"/>
        <v>6.76</v>
      </c>
      <c r="R93" s="239">
        <f t="shared" si="16"/>
        <v>27.700000000000003</v>
      </c>
      <c r="S93" s="239">
        <f t="shared" si="17"/>
        <v>1.915</v>
      </c>
      <c r="T93" s="239">
        <f t="shared" si="18"/>
        <v>5.5000000000000007E-2</v>
      </c>
      <c r="U93" s="239">
        <f t="shared" si="19"/>
        <v>1.895</v>
      </c>
      <c r="V93" s="239">
        <f t="shared" si="20"/>
        <v>6.5000000000000002E-2</v>
      </c>
      <c r="W93" s="239">
        <f t="shared" si="21"/>
        <v>7.4999999999999997E-3</v>
      </c>
      <c r="X93" s="240">
        <f t="shared" si="22"/>
        <v>0.54499999999999993</v>
      </c>
      <c r="Y93" s="531" t="str" cm="1">
        <f t="array" ref="Y93">_xlfn.IFS(O93&lt;44361, "Before the burn", O93&lt;44403, "During the burn", O93&gt;44403, "After the burn")</f>
        <v>During the burn</v>
      </c>
    </row>
    <row r="94" spans="1:25" x14ac:dyDescent="0.3">
      <c r="A94" s="194" t="str">
        <f>UPPER(LEFT(RN!B12,2))&amp;RIGHT(RN!B12,LEN(RN!B12)-2)</f>
        <v>RG</v>
      </c>
      <c r="B94" s="195" t="str" cm="1">
        <f t="array" ref="B94">_xlfn.IFS(A94="EP", "EP", A94="STa", "SPI", A94="STb", "SPO", A94="MRT", "MRT", A94="RG", "RN", A94="RT", "RU", A94="RW", "RL", A94="RC", "RS")</f>
        <v>RN</v>
      </c>
      <c r="C94" s="196">
        <f>INT(RN!A12)</f>
        <v>44342</v>
      </c>
      <c r="D94" s="196" t="str">
        <f t="shared" si="12"/>
        <v>RN44342</v>
      </c>
      <c r="E94" s="197">
        <f>RN!D12</f>
        <v>6.82</v>
      </c>
      <c r="F94" s="197">
        <f>RN!E12</f>
        <v>25.8</v>
      </c>
      <c r="G94" s="197">
        <f>RN!F12</f>
        <v>0.1</v>
      </c>
      <c r="H94" s="197">
        <f>RN!H12</f>
        <v>1.51</v>
      </c>
      <c r="I94" s="197">
        <f>RN!G12</f>
        <v>1.3</v>
      </c>
      <c r="J94" s="197">
        <f>RN!I12</f>
        <v>0.33</v>
      </c>
      <c r="K94" s="197">
        <f>RN!J12</f>
        <v>7.0000000000000001E-3</v>
      </c>
      <c r="L94" s="198">
        <f>RN!K12</f>
        <v>0.57999999999999996</v>
      </c>
      <c r="N94" s="236" t="str">
        <f t="shared" si="13"/>
        <v>RN</v>
      </c>
      <c r="O94" s="237">
        <f t="shared" si="14"/>
        <v>44384</v>
      </c>
      <c r="P94" s="238" t="str">
        <f t="array" ref="P94">INDEX($D$2:$D$278,MATCH(0,COUNTIF($P$1:$P93,$D$2:$D$278),0))</f>
        <v>RN44384</v>
      </c>
      <c r="Q94" s="239">
        <f t="shared" si="15"/>
        <v>6.8</v>
      </c>
      <c r="R94" s="239">
        <f t="shared" si="16"/>
        <v>28</v>
      </c>
      <c r="S94" s="239">
        <f t="shared" si="17"/>
        <v>1.19</v>
      </c>
      <c r="T94" s="239">
        <f t="shared" si="18"/>
        <v>0.05</v>
      </c>
      <c r="U94" s="239">
        <f t="shared" si="19"/>
        <v>1.21</v>
      </c>
      <c r="V94" s="239">
        <f t="shared" si="20"/>
        <v>0.05</v>
      </c>
      <c r="W94" s="239">
        <f t="shared" si="21"/>
        <v>6.0000000000000001E-3</v>
      </c>
      <c r="X94" s="240">
        <f t="shared" si="22"/>
        <v>0.67</v>
      </c>
      <c r="Y94" s="531" t="str" cm="1">
        <f t="array" ref="Y94">_xlfn.IFS(O94&lt;44361, "Before the burn", O94&lt;44403, "During the burn", O94&gt;44403, "After the burn")</f>
        <v>During the burn</v>
      </c>
    </row>
    <row r="95" spans="1:25" x14ac:dyDescent="0.3">
      <c r="A95" s="194" t="str">
        <f>UPPER(LEFT(RN!B13,2))&amp;RIGHT(RN!B13,LEN(RN!B13)-2)</f>
        <v>RG</v>
      </c>
      <c r="B95" s="195" t="str" cm="1">
        <f t="array" ref="B95">_xlfn.IFS(A95="EP", "EP", A95="STa", "SPI", A95="STb", "SPO", A95="MRT", "MRT", A95="RG", "RN", A95="RT", "RU", A95="RW", "RL", A95="RC", "RS")</f>
        <v>RN</v>
      </c>
      <c r="C95" s="196">
        <f>INT(RN!A13)</f>
        <v>44342</v>
      </c>
      <c r="D95" s="196" t="str">
        <f t="shared" si="12"/>
        <v>RN44342</v>
      </c>
      <c r="E95" s="197">
        <f>RN!D13</f>
        <v>6.62</v>
      </c>
      <c r="F95" s="197">
        <f>RN!E13</f>
        <v>25.5</v>
      </c>
      <c r="G95" s="197">
        <f>RN!F13</f>
        <v>0.02</v>
      </c>
      <c r="H95" s="197">
        <f>RN!H13</f>
        <v>1.79</v>
      </c>
      <c r="I95" s="197">
        <f>RN!G13</f>
        <v>2.2000000000000002</v>
      </c>
      <c r="J95" s="197">
        <f>RN!I13</f>
        <v>0.31</v>
      </c>
      <c r="K95" s="197">
        <f>RN!J13</f>
        <v>7.0000000000000001E-3</v>
      </c>
      <c r="L95" s="198">
        <f>RN!K13</f>
        <v>0.43</v>
      </c>
      <c r="N95" s="236" t="str">
        <f t="shared" si="13"/>
        <v>RN</v>
      </c>
      <c r="O95" s="237">
        <f t="shared" si="14"/>
        <v>44385</v>
      </c>
      <c r="P95" s="238" t="str">
        <f t="array" ref="P95">INDEX($D$2:$D$278,MATCH(0,COUNTIF($P$1:$P94,$D$2:$D$278),0))</f>
        <v>RN44385</v>
      </c>
      <c r="Q95" s="239">
        <f t="shared" si="15"/>
        <v>6.8849999999999998</v>
      </c>
      <c r="R95" s="239">
        <f t="shared" si="16"/>
        <v>28.15</v>
      </c>
      <c r="S95" s="239">
        <f t="shared" si="17"/>
        <v>1.625</v>
      </c>
      <c r="T95" s="239">
        <f t="shared" si="18"/>
        <v>0.03</v>
      </c>
      <c r="U95" s="239">
        <f t="shared" si="19"/>
        <v>1.7050000000000001</v>
      </c>
      <c r="V95" s="239">
        <f t="shared" si="20"/>
        <v>3.5000000000000003E-2</v>
      </c>
      <c r="W95" s="239">
        <f t="shared" si="21"/>
        <v>6.0000000000000001E-3</v>
      </c>
      <c r="X95" s="240">
        <f t="shared" si="22"/>
        <v>0.255</v>
      </c>
      <c r="Y95" s="531" t="str" cm="1">
        <f t="array" ref="Y95">_xlfn.IFS(O95&lt;44361, "Before the burn", O95&lt;44403, "During the burn", O95&gt;44403, "After the burn")</f>
        <v>During the burn</v>
      </c>
    </row>
    <row r="96" spans="1:25" x14ac:dyDescent="0.3">
      <c r="A96" s="194" t="str">
        <f>UPPER(LEFT(RN!B14,2))&amp;RIGHT(RN!B14,LEN(RN!B14)-2)</f>
        <v>RG</v>
      </c>
      <c r="B96" s="195" t="str" cm="1">
        <f t="array" ref="B96">_xlfn.IFS(A96="EP", "EP", A96="STa", "SPI", A96="STb", "SPO", A96="MRT", "MRT", A96="RG", "RN", A96="RT", "RU", A96="RW", "RL", A96="RC", "RS")</f>
        <v>RN</v>
      </c>
      <c r="C96" s="196">
        <f>INT(RN!A14)</f>
        <v>44349</v>
      </c>
      <c r="D96" s="196" t="str">
        <f t="shared" si="12"/>
        <v>RN44349</v>
      </c>
      <c r="E96" s="197">
        <f>RN!D14</f>
        <v>6.81</v>
      </c>
      <c r="F96" s="197">
        <f>RN!E14</f>
        <v>26.7</v>
      </c>
      <c r="G96" s="197">
        <f>RN!F14</f>
        <v>0.09</v>
      </c>
      <c r="H96" s="197">
        <f>RN!H14</f>
        <v>1.75</v>
      </c>
      <c r="I96" s="197">
        <f>RN!G14</f>
        <v>1.68</v>
      </c>
      <c r="J96" s="197">
        <f>RN!I14</f>
        <v>0.34</v>
      </c>
      <c r="K96" s="197">
        <f>RN!J14</f>
        <v>7.0000000000000001E-3</v>
      </c>
      <c r="L96" s="198">
        <f>RN!K14</f>
        <v>0.56000000000000005</v>
      </c>
      <c r="N96" s="236" t="str">
        <f t="shared" si="13"/>
        <v>RN</v>
      </c>
      <c r="O96" s="237">
        <f t="shared" si="14"/>
        <v>44390</v>
      </c>
      <c r="P96" s="238" t="str">
        <f t="array" ref="P96">INDEX($D$2:$D$278,MATCH(0,COUNTIF($P$1:$P95,$D$2:$D$278),0))</f>
        <v>RN44390</v>
      </c>
      <c r="Q96" s="239">
        <f t="shared" si="15"/>
        <v>6.74</v>
      </c>
      <c r="R96" s="239">
        <f t="shared" si="16"/>
        <v>28</v>
      </c>
      <c r="S96" s="239">
        <f t="shared" si="17"/>
        <v>2.14</v>
      </c>
      <c r="T96" s="239">
        <f t="shared" si="18"/>
        <v>0.04</v>
      </c>
      <c r="U96" s="239">
        <f t="shared" si="19"/>
        <v>2.12</v>
      </c>
      <c r="V96" s="239">
        <f t="shared" si="20"/>
        <v>7.0000000000000007E-2</v>
      </c>
      <c r="W96" s="239">
        <f t="shared" si="21"/>
        <v>8.9999999999999993E-3</v>
      </c>
      <c r="X96" s="240">
        <f t="shared" si="22"/>
        <v>0.63</v>
      </c>
      <c r="Y96" s="531" t="str" cm="1">
        <f t="array" ref="Y96">_xlfn.IFS(O96&lt;44361, "Before the burn", O96&lt;44403, "During the burn", O96&gt;44403, "After the burn")</f>
        <v>During the burn</v>
      </c>
    </row>
    <row r="97" spans="1:25" x14ac:dyDescent="0.3">
      <c r="A97" s="194" t="str">
        <f>UPPER(LEFT(RN!B15,2))&amp;RIGHT(RN!B15,LEN(RN!B15)-2)</f>
        <v>RG</v>
      </c>
      <c r="B97" s="195" t="str" cm="1">
        <f t="array" ref="B97">_xlfn.IFS(A97="EP", "EP", A97="STa", "SPI", A97="STb", "SPO", A97="MRT", "MRT", A97="RG", "RN", A97="RT", "RU", A97="RW", "RL", A97="RC", "RS")</f>
        <v>RN</v>
      </c>
      <c r="C97" s="196">
        <f>INT(RN!A15)</f>
        <v>44350</v>
      </c>
      <c r="D97" s="196" t="str">
        <f t="shared" si="12"/>
        <v>RN44350</v>
      </c>
      <c r="E97" s="197">
        <f>RN!D15</f>
        <v>6.68</v>
      </c>
      <c r="F97" s="197">
        <f>RN!E15</f>
        <v>26.6</v>
      </c>
      <c r="G97" s="197">
        <f>RN!F15</f>
        <v>0.08</v>
      </c>
      <c r="H97" s="197">
        <f>RN!H15</f>
        <v>0.6</v>
      </c>
      <c r="I97" s="197">
        <f>RN!G15</f>
        <v>0.62</v>
      </c>
      <c r="J97" s="197">
        <f>RN!I15</f>
        <v>0.4</v>
      </c>
      <c r="K97" s="197">
        <f>RN!J15</f>
        <v>5.0000000000000001E-3</v>
      </c>
      <c r="L97" s="198">
        <f>RN!K15</f>
        <v>0.8</v>
      </c>
      <c r="N97" s="236" t="str">
        <f t="shared" si="13"/>
        <v>RN</v>
      </c>
      <c r="O97" s="237">
        <f t="shared" si="14"/>
        <v>44391</v>
      </c>
      <c r="P97" s="238" t="str">
        <f t="array" ref="P97">INDEX($D$2:$D$278,MATCH(0,COUNTIF($P$1:$P96,$D$2:$D$278),0))</f>
        <v>RN44391</v>
      </c>
      <c r="Q97" s="239">
        <f t="shared" si="15"/>
        <v>6.8849999999999998</v>
      </c>
      <c r="R97" s="239">
        <f t="shared" si="16"/>
        <v>28</v>
      </c>
      <c r="S97" s="239">
        <f t="shared" si="17"/>
        <v>1.8599999999999999</v>
      </c>
      <c r="T97" s="239">
        <f t="shared" si="18"/>
        <v>3.5000000000000003E-2</v>
      </c>
      <c r="U97" s="239">
        <f t="shared" si="19"/>
        <v>1.835</v>
      </c>
      <c r="V97" s="239">
        <f t="shared" si="20"/>
        <v>0.17499999999999999</v>
      </c>
      <c r="W97" s="239">
        <f t="shared" si="21"/>
        <v>6.5000000000000006E-3</v>
      </c>
      <c r="X97" s="240">
        <f t="shared" si="22"/>
        <v>0.6100000000000001</v>
      </c>
      <c r="Y97" s="531" t="str" cm="1">
        <f t="array" ref="Y97">_xlfn.IFS(O97&lt;44361, "Before the burn", O97&lt;44403, "During the burn", O97&gt;44403, "After the burn")</f>
        <v>During the burn</v>
      </c>
    </row>
    <row r="98" spans="1:25" x14ac:dyDescent="0.3">
      <c r="A98" s="194" t="str">
        <f>UPPER(LEFT(RN!B16,2))&amp;RIGHT(RN!B16,LEN(RN!B16)-2)</f>
        <v>RG</v>
      </c>
      <c r="B98" s="195" t="str" cm="1">
        <f t="array" ref="B98">_xlfn.IFS(A98="EP", "EP", A98="STa", "SPI", A98="STb", "SPO", A98="MRT", "MRT", A98="RG", "RN", A98="RT", "RU", A98="RW", "RL", A98="RC", "RS")</f>
        <v>RN</v>
      </c>
      <c r="C98" s="196">
        <f>INT(RN!A16)</f>
        <v>44350</v>
      </c>
      <c r="D98" s="196" t="str">
        <f t="shared" si="12"/>
        <v>RN44350</v>
      </c>
      <c r="E98" s="197">
        <f>RN!D16</f>
        <v>6.73</v>
      </c>
      <c r="F98" s="197">
        <f>RN!E16</f>
        <v>26.1</v>
      </c>
      <c r="G98" s="197">
        <f>RN!F16</f>
        <v>0.08</v>
      </c>
      <c r="H98" s="197">
        <f>RN!H16</f>
        <v>2.04</v>
      </c>
      <c r="I98" s="197">
        <f>RN!G16</f>
        <v>2.4</v>
      </c>
      <c r="J98" s="197">
        <f>RN!I16</f>
        <v>0.18</v>
      </c>
      <c r="K98" s="197">
        <f>RN!J16</f>
        <v>7.0000000000000001E-3</v>
      </c>
      <c r="L98" s="198">
        <f>RN!K16</f>
        <v>0.43</v>
      </c>
      <c r="N98" s="236" t="str">
        <f t="shared" si="13"/>
        <v>RN</v>
      </c>
      <c r="O98" s="237">
        <f t="shared" si="14"/>
        <v>44397</v>
      </c>
      <c r="P98" s="238" t="str">
        <f t="array" ref="P98">INDEX($D$2:$D$278,MATCH(0,COUNTIF($P$1:$P97,$D$2:$D$278),0))</f>
        <v>RN44397</v>
      </c>
      <c r="Q98" s="239">
        <f t="shared" si="15"/>
        <v>6.78</v>
      </c>
      <c r="R98" s="239">
        <f t="shared" si="16"/>
        <v>23.8</v>
      </c>
      <c r="S98" s="239">
        <f t="shared" si="17"/>
        <v>2.39</v>
      </c>
      <c r="T98" s="239">
        <f t="shared" si="18"/>
        <v>0.01</v>
      </c>
      <c r="U98" s="239">
        <f t="shared" si="19"/>
        <v>2.39</v>
      </c>
      <c r="V98" s="239">
        <f t="shared" si="20"/>
        <v>7.0000000000000007E-2</v>
      </c>
      <c r="W98" s="239">
        <f t="shared" si="21"/>
        <v>5.0000000000000001E-3</v>
      </c>
      <c r="X98" s="240">
        <f t="shared" si="22"/>
        <v>0.57999999999999996</v>
      </c>
      <c r="Y98" s="531" t="str" cm="1">
        <f t="array" ref="Y98">_xlfn.IFS(O98&lt;44361, "Before the burn", O98&lt;44403, "During the burn", O98&gt;44403, "After the burn")</f>
        <v>During the burn</v>
      </c>
    </row>
    <row r="99" spans="1:25" x14ac:dyDescent="0.3">
      <c r="A99" s="194" t="str">
        <f>UPPER(LEFT(RN!B17,2))&amp;RIGHT(RN!B17,LEN(RN!B17)-2)</f>
        <v>RG</v>
      </c>
      <c r="B99" s="195" t="str" cm="1">
        <f t="array" ref="B99">_xlfn.IFS(A99="EP", "EP", A99="STa", "SPI", A99="STb", "SPO", A99="MRT", "MRT", A99="RG", "RN", A99="RT", "RU", A99="RW", "RL", A99="RC", "RS")</f>
        <v>RN</v>
      </c>
      <c r="C99" s="196">
        <f>INT(RN!A17)</f>
        <v>44355</v>
      </c>
      <c r="D99" s="196" t="str">
        <f t="shared" si="12"/>
        <v>RN44355</v>
      </c>
      <c r="E99" s="197">
        <f>RN!D17</f>
        <v>6.75</v>
      </c>
      <c r="F99" s="197">
        <f>RN!E17</f>
        <v>27.1</v>
      </c>
      <c r="G99" s="197">
        <f>RN!F17</f>
        <v>0.12</v>
      </c>
      <c r="H99" s="197">
        <f>RN!H17</f>
        <v>1.45</v>
      </c>
      <c r="I99" s="197">
        <f>RN!G17</f>
        <v>1.46</v>
      </c>
      <c r="J99" s="197">
        <f>RN!I17</f>
        <v>0.31</v>
      </c>
      <c r="K99" s="197">
        <f>RN!J17</f>
        <v>6.0000000000000001E-3</v>
      </c>
      <c r="L99" s="198">
        <f>RN!K17</f>
        <v>0.56000000000000005</v>
      </c>
      <c r="N99" s="236" t="str">
        <f t="shared" si="13"/>
        <v>RN</v>
      </c>
      <c r="O99" s="237">
        <f t="shared" si="14"/>
        <v>44398</v>
      </c>
      <c r="P99" s="238" t="str">
        <f t="array" ref="P99">INDEX($D$2:$D$278,MATCH(0,COUNTIF($P$1:$P98,$D$2:$D$278),0))</f>
        <v>RN44398</v>
      </c>
      <c r="Q99" s="239">
        <f t="shared" si="15"/>
        <v>6.8450000000000006</v>
      </c>
      <c r="R99" s="239">
        <f t="shared" si="16"/>
        <v>23.4</v>
      </c>
      <c r="S99" s="239">
        <f t="shared" si="17"/>
        <v>2.21</v>
      </c>
      <c r="T99" s="239">
        <f t="shared" si="18"/>
        <v>0.01</v>
      </c>
      <c r="U99" s="239">
        <f t="shared" si="19"/>
        <v>2.2000000000000002</v>
      </c>
      <c r="V99" s="239">
        <f t="shared" si="20"/>
        <v>6.9999999999999993E-2</v>
      </c>
      <c r="W99" s="239">
        <f t="shared" si="21"/>
        <v>7.0000000000000001E-3</v>
      </c>
      <c r="X99" s="240">
        <f t="shared" si="22"/>
        <v>0.56499999999999995</v>
      </c>
      <c r="Y99" s="531" t="str" cm="1">
        <f t="array" ref="Y99">_xlfn.IFS(O99&lt;44361, "Before the burn", O99&lt;44403, "During the burn", O99&gt;44403, "After the burn")</f>
        <v>During the burn</v>
      </c>
    </row>
    <row r="100" spans="1:25" x14ac:dyDescent="0.3">
      <c r="A100" s="194" t="str">
        <f>UPPER(LEFT(RN!B18,2))&amp;RIGHT(RN!B18,LEN(RN!B18)-2)</f>
        <v>RG</v>
      </c>
      <c r="B100" s="195" t="str" cm="1">
        <f t="array" ref="B100">_xlfn.IFS(A100="EP", "EP", A100="STa", "SPI", A100="STb", "SPO", A100="MRT", "MRT", A100="RG", "RN", A100="RT", "RU", A100="RW", "RL", A100="RC", "RS")</f>
        <v>RN</v>
      </c>
      <c r="C100" s="196">
        <f>INT(RN!A18)</f>
        <v>44356</v>
      </c>
      <c r="D100" s="196" t="str">
        <f t="shared" si="12"/>
        <v>RN44356</v>
      </c>
      <c r="E100" s="197">
        <f>RN!D18</f>
        <v>6.64</v>
      </c>
      <c r="F100" s="197">
        <f>RN!E18</f>
        <v>27.3</v>
      </c>
      <c r="G100" s="197">
        <f>RN!F18</f>
        <v>0.13</v>
      </c>
      <c r="H100" s="197">
        <f>RN!H18</f>
        <v>1.26</v>
      </c>
      <c r="I100" s="197">
        <f>RN!G18</f>
        <v>1.04</v>
      </c>
      <c r="J100" s="197">
        <f>RN!I18</f>
        <v>0.37</v>
      </c>
      <c r="K100" s="197">
        <f>RN!J18</f>
        <v>8.0000000000000002E-3</v>
      </c>
      <c r="L100" s="198">
        <f>RN!K18</f>
        <v>0.63</v>
      </c>
      <c r="N100" s="236" t="str">
        <f t="shared" si="13"/>
        <v>RN</v>
      </c>
      <c r="O100" s="237">
        <f t="shared" si="14"/>
        <v>44404</v>
      </c>
      <c r="P100" s="238" t="str">
        <f t="array" ref="P100">INDEX($D$2:$D$278,MATCH(0,COUNTIF($P$1:$P99,$D$2:$D$278),0))</f>
        <v>RN44404</v>
      </c>
      <c r="Q100" s="239">
        <f t="shared" si="15"/>
        <v>6.74</v>
      </c>
      <c r="R100" s="239">
        <f t="shared" si="16"/>
        <v>24</v>
      </c>
      <c r="S100" s="239">
        <f t="shared" si="17"/>
        <v>1.33</v>
      </c>
      <c r="T100" s="239">
        <f t="shared" si="18"/>
        <v>0</v>
      </c>
      <c r="U100" s="239">
        <f t="shared" si="19"/>
        <v>1.35</v>
      </c>
      <c r="V100" s="239">
        <f t="shared" si="20"/>
        <v>0.06</v>
      </c>
      <c r="W100" s="239">
        <f t="shared" si="21"/>
        <v>6.0000000000000001E-3</v>
      </c>
      <c r="X100" s="240">
        <f t="shared" si="22"/>
        <v>0.68</v>
      </c>
      <c r="Y100" s="531" t="str" cm="1">
        <f t="array" ref="Y100">_xlfn.IFS(O100&lt;44361, "Before the burn", O100&lt;44403, "During the burn", O100&gt;44403, "After the burn")</f>
        <v>After the burn</v>
      </c>
    </row>
    <row r="101" spans="1:25" x14ac:dyDescent="0.3">
      <c r="A101" s="194" t="str">
        <f>UPPER(LEFT(RN!B19,2))&amp;RIGHT(RN!B19,LEN(RN!B19)-2)</f>
        <v>RG</v>
      </c>
      <c r="B101" s="195" t="str" cm="1">
        <f t="array" ref="B101">_xlfn.IFS(A101="EP", "EP", A101="STa", "SPI", A101="STb", "SPO", A101="MRT", "MRT", A101="RG", "RN", A101="RT", "RU", A101="RW", "RL", A101="RC", "RS")</f>
        <v>RN</v>
      </c>
      <c r="C101" s="196">
        <f>INT(RN!A19)</f>
        <v>44356</v>
      </c>
      <c r="D101" s="196" t="str">
        <f t="shared" si="12"/>
        <v>RN44356</v>
      </c>
      <c r="E101" s="197">
        <f>RN!D19</f>
        <v>6.85</v>
      </c>
      <c r="F101" s="197">
        <f>RN!E19</f>
        <v>27.2</v>
      </c>
      <c r="G101" s="197">
        <f>RN!F19</f>
        <v>0.14000000000000001</v>
      </c>
      <c r="H101" s="197">
        <f>RN!H19</f>
        <v>1.47</v>
      </c>
      <c r="I101" s="197">
        <f>RN!G19</f>
        <v>1.53</v>
      </c>
      <c r="J101" s="197">
        <f>RN!I19</f>
        <v>0.46</v>
      </c>
      <c r="K101" s="197">
        <f>RN!J19</f>
        <v>6.0000000000000001E-3</v>
      </c>
      <c r="L101" s="198">
        <f>RN!K19</f>
        <v>0.48</v>
      </c>
      <c r="N101" s="236" t="str">
        <f t="shared" si="13"/>
        <v>RN</v>
      </c>
      <c r="O101" s="237">
        <f t="shared" si="14"/>
        <v>44405</v>
      </c>
      <c r="P101" s="238" t="str">
        <f t="array" ref="P101">INDEX($D$2:$D$278,MATCH(0,COUNTIF($P$1:$P100,$D$2:$D$278),0))</f>
        <v>RN44405</v>
      </c>
      <c r="Q101" s="239">
        <f t="shared" si="15"/>
        <v>6.75</v>
      </c>
      <c r="R101" s="239">
        <f t="shared" si="16"/>
        <v>24.200000000000003</v>
      </c>
      <c r="S101" s="239">
        <f t="shared" si="17"/>
        <v>0.105</v>
      </c>
      <c r="T101" s="239">
        <f t="shared" si="18"/>
        <v>1.32</v>
      </c>
      <c r="U101" s="239">
        <f t="shared" si="19"/>
        <v>1.335</v>
      </c>
      <c r="V101" s="239">
        <f t="shared" si="20"/>
        <v>0.18</v>
      </c>
      <c r="W101" s="239">
        <f t="shared" si="21"/>
        <v>6.5000000000000006E-3</v>
      </c>
      <c r="X101" s="240">
        <f t="shared" si="22"/>
        <v>0.56499999999999995</v>
      </c>
      <c r="Y101" s="531" t="str" cm="1">
        <f t="array" ref="Y101">_xlfn.IFS(O101&lt;44361, "Before the burn", O101&lt;44403, "During the burn", O101&gt;44403, "After the burn")</f>
        <v>After the burn</v>
      </c>
    </row>
    <row r="102" spans="1:25" x14ac:dyDescent="0.3">
      <c r="A102" s="194" t="str">
        <f>UPPER(LEFT(RN!B20,2))&amp;RIGHT(RN!B20,LEN(RN!B20)-2)</f>
        <v>RG</v>
      </c>
      <c r="B102" s="195" t="str" cm="1">
        <f t="array" ref="B102">_xlfn.IFS(A102="EP", "EP", A102="STa", "SPI", A102="STb", "SPO", A102="MRT", "MRT", A102="RG", "RN", A102="RT", "RU", A102="RW", "RL", A102="RC", "RS")</f>
        <v>RN</v>
      </c>
      <c r="C102" s="196">
        <f>INT(RN!A20)</f>
        <v>44362</v>
      </c>
      <c r="D102" s="196" t="str">
        <f t="shared" si="12"/>
        <v>RN44362</v>
      </c>
      <c r="E102" s="197">
        <f>RN!D20</f>
        <v>6.76</v>
      </c>
      <c r="F102" s="197">
        <f>RN!E20</f>
        <v>28.7</v>
      </c>
      <c r="G102" s="197">
        <f>RN!F20</f>
        <v>0.09</v>
      </c>
      <c r="H102" s="197">
        <f>RN!H20</f>
        <v>1.27</v>
      </c>
      <c r="I102" s="197">
        <f>RN!G20</f>
        <v>1.1100000000000001</v>
      </c>
      <c r="J102" s="197">
        <f>RN!I20</f>
        <v>0.49</v>
      </c>
      <c r="K102" s="197">
        <f>RN!J20</f>
        <v>6.0000000000000001E-3</v>
      </c>
      <c r="L102" s="198">
        <f>RN!K20</f>
        <v>0.7</v>
      </c>
      <c r="N102" s="236" t="str">
        <f t="shared" si="13"/>
        <v>RN</v>
      </c>
      <c r="O102" s="237">
        <f t="shared" si="14"/>
        <v>44411</v>
      </c>
      <c r="P102" s="238" t="str">
        <f t="array" ref="P102">INDEX($D$2:$D$278,MATCH(0,COUNTIF($P$1:$P101,$D$2:$D$278),0))</f>
        <v>RN44411</v>
      </c>
      <c r="Q102" s="239">
        <f t="shared" si="15"/>
        <v>6.81</v>
      </c>
      <c r="R102" s="239">
        <f t="shared" si="16"/>
        <v>24.1</v>
      </c>
      <c r="S102" s="239">
        <f t="shared" si="17"/>
        <v>0.11</v>
      </c>
      <c r="T102" s="239">
        <f t="shared" si="18"/>
        <v>1.04</v>
      </c>
      <c r="U102" s="239">
        <f t="shared" si="19"/>
        <v>0.84</v>
      </c>
      <c r="V102" s="239">
        <f t="shared" si="20"/>
        <v>0.21</v>
      </c>
      <c r="W102" s="239">
        <f t="shared" si="21"/>
        <v>7.0000000000000001E-3</v>
      </c>
      <c r="X102" s="240">
        <f t="shared" si="22"/>
        <v>0.67</v>
      </c>
      <c r="Y102" s="531" t="str" cm="1">
        <f t="array" ref="Y102">_xlfn.IFS(O102&lt;44361, "Before the burn", O102&lt;44403, "During the burn", O102&gt;44403, "After the burn")</f>
        <v>After the burn</v>
      </c>
    </row>
    <row r="103" spans="1:25" x14ac:dyDescent="0.3">
      <c r="A103" s="194" t="str">
        <f>UPPER(LEFT(RN!B21,2))&amp;RIGHT(RN!B21,LEN(RN!B21)-2)</f>
        <v>RG</v>
      </c>
      <c r="B103" s="195" t="str" cm="1">
        <f t="array" ref="B103">_xlfn.IFS(A103="EP", "EP", A103="STa", "SPI", A103="STb", "SPO", A103="MRT", "MRT", A103="RG", "RN", A103="RT", "RU", A103="RW", "RL", A103="RC", "RS")</f>
        <v>RN</v>
      </c>
      <c r="C103" s="196">
        <f>INT(RN!A21)</f>
        <v>44363</v>
      </c>
      <c r="D103" s="196" t="str">
        <f t="shared" si="12"/>
        <v>RN44363</v>
      </c>
      <c r="E103" s="197">
        <f>RN!D21</f>
        <v>6.71</v>
      </c>
      <c r="F103" s="197">
        <f>RN!E21</f>
        <v>27.8</v>
      </c>
      <c r="G103" s="197">
        <f>RN!F21</f>
        <v>0.78</v>
      </c>
      <c r="H103" s="197">
        <f>RN!H21</f>
        <v>0.05</v>
      </c>
      <c r="I103" s="197">
        <f>RN!G21</f>
        <v>0.98</v>
      </c>
      <c r="J103" s="197">
        <f>RN!I21</f>
        <v>0.06</v>
      </c>
      <c r="K103" s="197">
        <f>RN!J21</f>
        <v>5.0000000000000001E-3</v>
      </c>
      <c r="L103" s="198">
        <f>RN!K21</f>
        <v>0.59</v>
      </c>
      <c r="N103" s="236" t="str">
        <f t="shared" si="13"/>
        <v>RN</v>
      </c>
      <c r="O103" s="237">
        <f t="shared" si="14"/>
        <v>44412</v>
      </c>
      <c r="P103" s="238" t="str">
        <f t="array" ref="P103">INDEX($D$2:$D$278,MATCH(0,COUNTIF($P$1:$P102,$D$2:$D$278),0))</f>
        <v>RN44412</v>
      </c>
      <c r="Q103" s="239">
        <f t="shared" si="15"/>
        <v>6.74</v>
      </c>
      <c r="R103" s="239">
        <f t="shared" si="16"/>
        <v>23.6</v>
      </c>
      <c r="S103" s="239">
        <f t="shared" si="17"/>
        <v>9.5000000000000001E-2</v>
      </c>
      <c r="T103" s="239">
        <f t="shared" si="18"/>
        <v>0.89000000000000012</v>
      </c>
      <c r="U103" s="239">
        <f t="shared" si="19"/>
        <v>0.8</v>
      </c>
      <c r="V103" s="239">
        <f t="shared" si="20"/>
        <v>0.27</v>
      </c>
      <c r="W103" s="239">
        <f t="shared" si="21"/>
        <v>6.5000000000000006E-3</v>
      </c>
      <c r="X103" s="240">
        <f t="shared" si="22"/>
        <v>0.6100000000000001</v>
      </c>
      <c r="Y103" s="531" t="str" cm="1">
        <f t="array" ref="Y103">_xlfn.IFS(O103&lt;44361, "Before the burn", O103&lt;44403, "During the burn", O103&gt;44403, "After the burn")</f>
        <v>After the burn</v>
      </c>
    </row>
    <row r="104" spans="1:25" x14ac:dyDescent="0.3">
      <c r="A104" s="194" t="str">
        <f>UPPER(LEFT(RN!B22,2))&amp;RIGHT(RN!B22,LEN(RN!B22)-2)</f>
        <v>RG</v>
      </c>
      <c r="B104" s="195" t="str" cm="1">
        <f t="array" ref="B104">_xlfn.IFS(A104="EP", "EP", A104="STa", "SPI", A104="STb", "SPO", A104="MRT", "MRT", A104="RG", "RN", A104="RT", "RU", A104="RW", "RL", A104="RC", "RS")</f>
        <v>RN</v>
      </c>
      <c r="C104" s="196">
        <f>INT(RN!A22)</f>
        <v>44363</v>
      </c>
      <c r="D104" s="196" t="str">
        <f t="shared" si="12"/>
        <v>RN44363</v>
      </c>
      <c r="E104" s="197">
        <f>RN!D22</f>
        <v>6.77</v>
      </c>
      <c r="F104" s="197">
        <f>RN!E22</f>
        <v>28.2</v>
      </c>
      <c r="G104" s="197">
        <f>RN!F22</f>
        <v>0.63</v>
      </c>
      <c r="H104" s="197">
        <f>RN!H22</f>
        <v>7.0000000000000007E-2</v>
      </c>
      <c r="I104" s="197">
        <f>RN!G22</f>
        <v>0.73</v>
      </c>
      <c r="J104" s="197">
        <f>RN!I22</f>
        <v>0.21</v>
      </c>
      <c r="K104" s="197">
        <f>RN!J22</f>
        <v>7.0000000000000001E-3</v>
      </c>
      <c r="L104" s="198">
        <f>RN!K22</f>
        <v>0.55000000000000004</v>
      </c>
      <c r="N104" s="236" t="str">
        <f t="shared" si="13"/>
        <v>RN</v>
      </c>
      <c r="O104" s="237">
        <f t="shared" si="14"/>
        <v>44418</v>
      </c>
      <c r="P104" s="238" t="str">
        <f t="array" ref="P104">INDEX($D$2:$D$278,MATCH(0,COUNTIF($P$1:$P103,$D$2:$D$278),0))</f>
        <v>RN44418</v>
      </c>
      <c r="Q104" s="239">
        <f t="shared" si="15"/>
        <v>6.82</v>
      </c>
      <c r="R104" s="239">
        <f t="shared" si="16"/>
        <v>24</v>
      </c>
      <c r="S104" s="239">
        <f t="shared" si="17"/>
        <v>0.15</v>
      </c>
      <c r="T104" s="239">
        <f t="shared" si="18"/>
        <v>1.35</v>
      </c>
      <c r="U104" s="239">
        <f t="shared" si="19"/>
        <v>1.26</v>
      </c>
      <c r="V104" s="239">
        <f t="shared" si="20"/>
        <v>0.23</v>
      </c>
      <c r="W104" s="239">
        <f t="shared" si="21"/>
        <v>5.0000000000000001E-3</v>
      </c>
      <c r="X104" s="240">
        <f t="shared" si="22"/>
        <v>0.63</v>
      </c>
      <c r="Y104" s="531" t="str" cm="1">
        <f t="array" ref="Y104">_xlfn.IFS(O104&lt;44361, "Before the burn", O104&lt;44403, "During the burn", O104&gt;44403, "After the burn")</f>
        <v>After the burn</v>
      </c>
    </row>
    <row r="105" spans="1:25" x14ac:dyDescent="0.3">
      <c r="A105" s="194" t="str">
        <f>UPPER(LEFT(RN!B23,2))&amp;RIGHT(RN!B23,LEN(RN!B23)-2)</f>
        <v>RG</v>
      </c>
      <c r="B105" s="195" t="str" cm="1">
        <f t="array" ref="B105">_xlfn.IFS(A105="EP", "EP", A105="STa", "SPI", A105="STb", "SPO", A105="MRT", "MRT", A105="RG", "RN", A105="RT", "RU", A105="RW", "RL", A105="RC", "RS")</f>
        <v>RN</v>
      </c>
      <c r="C105" s="196">
        <f>INT(RN!A23)</f>
        <v>44369</v>
      </c>
      <c r="D105" s="196" t="str">
        <f t="shared" si="12"/>
        <v>RN44369</v>
      </c>
      <c r="E105" s="197">
        <f>RN!D23</f>
        <v>6.72</v>
      </c>
      <c r="F105" s="197">
        <f>RN!E23</f>
        <v>27.3</v>
      </c>
      <c r="G105" s="197">
        <f>RN!F23</f>
        <v>0.99</v>
      </c>
      <c r="H105" s="197">
        <f>RN!H23</f>
        <v>0.04</v>
      </c>
      <c r="I105" s="197">
        <f>RN!G23</f>
        <v>0.99</v>
      </c>
      <c r="J105" s="197">
        <f>RN!I23</f>
        <v>0.23</v>
      </c>
      <c r="K105" s="197">
        <f>RN!J23</f>
        <v>6.0000000000000001E-3</v>
      </c>
      <c r="L105" s="198">
        <f>RN!K23</f>
        <v>0.7</v>
      </c>
      <c r="N105" s="236" t="str">
        <f t="shared" si="13"/>
        <v>RN</v>
      </c>
      <c r="O105" s="237">
        <f t="shared" si="14"/>
        <v>44419</v>
      </c>
      <c r="P105" s="238" t="str">
        <f t="array" ref="P105">INDEX($D$2:$D$278,MATCH(0,COUNTIF($P$1:$P104,$D$2:$D$278),0))</f>
        <v>RN44419</v>
      </c>
      <c r="Q105" s="239">
        <f t="shared" si="15"/>
        <v>6.82</v>
      </c>
      <c r="R105" s="239">
        <f t="shared" si="16"/>
        <v>23.1</v>
      </c>
      <c r="S105" s="239">
        <f t="shared" si="17"/>
        <v>0.1</v>
      </c>
      <c r="T105" s="239">
        <f t="shared" si="18"/>
        <v>1.085</v>
      </c>
      <c r="U105" s="239">
        <f t="shared" si="19"/>
        <v>1.095</v>
      </c>
      <c r="V105" s="239">
        <f t="shared" si="20"/>
        <v>0.18</v>
      </c>
      <c r="W105" s="239">
        <f t="shared" si="21"/>
        <v>6.5000000000000006E-3</v>
      </c>
      <c r="X105" s="240">
        <f t="shared" si="22"/>
        <v>0.61</v>
      </c>
      <c r="Y105" s="531" t="str" cm="1">
        <f t="array" ref="Y105">_xlfn.IFS(O105&lt;44361, "Before the burn", O105&lt;44403, "During the burn", O105&gt;44403, "After the burn")</f>
        <v>After the burn</v>
      </c>
    </row>
    <row r="106" spans="1:25" x14ac:dyDescent="0.3">
      <c r="A106" s="194" t="str">
        <f>UPPER(LEFT(RN!B24,2))&amp;RIGHT(RN!B24,LEN(RN!B24)-2)</f>
        <v>RG</v>
      </c>
      <c r="B106" s="195" t="str" cm="1">
        <f t="array" ref="B106">_xlfn.IFS(A106="EP", "EP", A106="STa", "SPI", A106="STb", "SPO", A106="MRT", "MRT", A106="RG", "RN", A106="RT", "RU", A106="RW", "RL", A106="RC", "RS")</f>
        <v>RN</v>
      </c>
      <c r="C106" s="196">
        <f>INT(RN!A24)</f>
        <v>44370</v>
      </c>
      <c r="D106" s="196" t="str">
        <f t="shared" si="12"/>
        <v>RN44370</v>
      </c>
      <c r="E106" s="197">
        <f>RN!D24</f>
        <v>6.76</v>
      </c>
      <c r="F106" s="197">
        <f>RN!E24</f>
        <v>27.9</v>
      </c>
      <c r="G106" s="197">
        <f>RN!F24</f>
        <v>2.1</v>
      </c>
      <c r="H106" s="197">
        <f>RN!H24</f>
        <v>7.0000000000000007E-2</v>
      </c>
      <c r="I106" s="197">
        <f>RN!G24</f>
        <v>2.21</v>
      </c>
      <c r="J106" s="197">
        <f>RN!I24</f>
        <v>0.02</v>
      </c>
      <c r="K106" s="197">
        <f>RN!J24</f>
        <v>6.0000000000000001E-3</v>
      </c>
      <c r="L106" s="198">
        <f>RN!K24</f>
        <v>0.6</v>
      </c>
      <c r="N106" s="236" t="str">
        <f t="shared" si="13"/>
        <v>RN</v>
      </c>
      <c r="O106" s="237">
        <f t="shared" si="14"/>
        <v>44425</v>
      </c>
      <c r="P106" s="238" t="str">
        <f t="array" ref="P106">INDEX($D$2:$D$278,MATCH(0,COUNTIF($P$1:$P105,$D$2:$D$278),0))</f>
        <v>RN44425</v>
      </c>
      <c r="Q106" s="239">
        <f t="shared" si="15"/>
        <v>6.73</v>
      </c>
      <c r="R106" s="239">
        <f t="shared" si="16"/>
        <v>23.4</v>
      </c>
      <c r="S106" s="239">
        <f t="shared" si="17"/>
        <v>0.03</v>
      </c>
      <c r="T106" s="239">
        <f t="shared" si="18"/>
        <v>0.56999999999999995</v>
      </c>
      <c r="U106" s="239">
        <f t="shared" si="19"/>
        <v>0.41</v>
      </c>
      <c r="V106" s="239">
        <f t="shared" si="20"/>
        <v>0.19</v>
      </c>
      <c r="W106" s="239">
        <f t="shared" si="21"/>
        <v>6.0000000000000001E-3</v>
      </c>
      <c r="X106" s="240">
        <f t="shared" si="22"/>
        <v>0.64</v>
      </c>
      <c r="Y106" s="531" t="str" cm="1">
        <f t="array" ref="Y106">_xlfn.IFS(O106&lt;44361, "Before the burn", O106&lt;44403, "During the burn", O106&gt;44403, "After the burn")</f>
        <v>After the burn</v>
      </c>
    </row>
    <row r="107" spans="1:25" x14ac:dyDescent="0.3">
      <c r="A107" s="194" t="str">
        <f>UPPER(LEFT(RN!B25,2))&amp;RIGHT(RN!B25,LEN(RN!B25)-2)</f>
        <v>RG</v>
      </c>
      <c r="B107" s="195" t="str" cm="1">
        <f t="array" ref="B107">_xlfn.IFS(A107="EP", "EP", A107="STa", "SPI", A107="STb", "SPO", A107="MRT", "MRT", A107="RG", "RN", A107="RT", "RU", A107="RW", "RL", A107="RC", "RS")</f>
        <v>RN</v>
      </c>
      <c r="C107" s="196">
        <f>INT(RN!A25)</f>
        <v>44370</v>
      </c>
      <c r="D107" s="196" t="str">
        <f t="shared" si="12"/>
        <v>RN44370</v>
      </c>
      <c r="E107" s="197">
        <f>RN!D25</f>
        <v>6.83</v>
      </c>
      <c r="F107" s="197">
        <f>RN!E25</f>
        <v>27.6</v>
      </c>
      <c r="G107" s="197">
        <f>RN!F25</f>
        <v>2.41</v>
      </c>
      <c r="H107" s="197">
        <f>RN!H25</f>
        <v>7.0000000000000007E-2</v>
      </c>
      <c r="I107" s="197">
        <f>RN!G25</f>
        <v>2.56</v>
      </c>
      <c r="J107" s="197">
        <f>RN!I25</f>
        <v>0.03</v>
      </c>
      <c r="K107" s="197">
        <f>RN!J25</f>
        <v>6.0000000000000001E-3</v>
      </c>
      <c r="L107" s="198">
        <f>RN!K25</f>
        <v>0.46</v>
      </c>
      <c r="N107" s="236" t="str">
        <f t="shared" si="13"/>
        <v>RN</v>
      </c>
      <c r="O107" s="237">
        <f t="shared" si="14"/>
        <v>44426</v>
      </c>
      <c r="P107" s="238" t="str">
        <f t="array" ref="P107">INDEX($D$2:$D$278,MATCH(0,COUNTIF($P$1:$P106,$D$2:$D$278),0))</f>
        <v>RN44426</v>
      </c>
      <c r="Q107" s="239">
        <f t="shared" si="15"/>
        <v>7.1050000000000004</v>
      </c>
      <c r="R107" s="239">
        <f t="shared" si="16"/>
        <v>23.299999999999997</v>
      </c>
      <c r="S107" s="239">
        <f t="shared" si="17"/>
        <v>7.0000000000000007E-2</v>
      </c>
      <c r="T107" s="239">
        <f t="shared" si="18"/>
        <v>1.2549999999999999</v>
      </c>
      <c r="U107" s="239">
        <f t="shared" si="19"/>
        <v>1.2850000000000001</v>
      </c>
      <c r="V107" s="239">
        <f t="shared" si="20"/>
        <v>0.17499999999999999</v>
      </c>
      <c r="W107" s="239">
        <f t="shared" si="21"/>
        <v>5.4000000000000006E-2</v>
      </c>
      <c r="X107" s="240">
        <f t="shared" si="22"/>
        <v>0.66999999999999993</v>
      </c>
      <c r="Y107" s="531" t="str" cm="1">
        <f t="array" ref="Y107">_xlfn.IFS(O107&lt;44361, "Before the burn", O107&lt;44403, "During the burn", O107&gt;44403, "After the burn")</f>
        <v>After the burn</v>
      </c>
    </row>
    <row r="108" spans="1:25" x14ac:dyDescent="0.3">
      <c r="A108" s="194" t="str">
        <f>UPPER(LEFT(RN!B26,2))&amp;RIGHT(RN!B26,LEN(RN!B26)-2)</f>
        <v>RG</v>
      </c>
      <c r="B108" s="195" t="str" cm="1">
        <f t="array" ref="B108">_xlfn.IFS(A108="EP", "EP", A108="STa", "SPI", A108="STb", "SPO", A108="MRT", "MRT", A108="RG", "RN", A108="RT", "RU", A108="RW", "RL", A108="RC", "RS")</f>
        <v>RN</v>
      </c>
      <c r="C108" s="196">
        <f>INT(RN!A26)</f>
        <v>44376</v>
      </c>
      <c r="D108" s="196" t="str">
        <f t="shared" si="12"/>
        <v>RN44376</v>
      </c>
      <c r="E108" s="197">
        <f>RN!D26</f>
        <v>6.7</v>
      </c>
      <c r="F108" s="197">
        <f>RN!E26</f>
        <v>27.7</v>
      </c>
      <c r="G108" s="197">
        <f>RN!F26</f>
        <v>1.06</v>
      </c>
      <c r="H108" s="197">
        <f>RN!H26</f>
        <v>0.04</v>
      </c>
      <c r="I108" s="197">
        <f>RN!G26</f>
        <v>1.02</v>
      </c>
      <c r="J108" s="197">
        <f>RN!I26</f>
        <v>0.09</v>
      </c>
      <c r="K108" s="197">
        <f>RN!J26</f>
        <v>7.0000000000000001E-3</v>
      </c>
      <c r="L108" s="198">
        <f>RN!K26</f>
        <v>0.74</v>
      </c>
      <c r="N108" s="236" t="str">
        <f t="shared" si="13"/>
        <v>RN</v>
      </c>
      <c r="O108" s="237">
        <f t="shared" si="14"/>
        <v>44432</v>
      </c>
      <c r="P108" s="238" t="str">
        <f t="array" ref="P108">INDEX($D$2:$D$278,MATCH(0,COUNTIF($P$1:$P107,$D$2:$D$278),0))</f>
        <v>RN44432</v>
      </c>
      <c r="Q108" s="239">
        <f t="shared" si="15"/>
        <v>6.84</v>
      </c>
      <c r="R108" s="239">
        <f t="shared" si="16"/>
        <v>23.4</v>
      </c>
      <c r="S108" s="239">
        <f t="shared" si="17"/>
        <v>7.0000000000000007E-2</v>
      </c>
      <c r="T108" s="239">
        <f t="shared" si="18"/>
        <v>0.7</v>
      </c>
      <c r="U108" s="239">
        <f t="shared" si="19"/>
        <v>0.55000000000000004</v>
      </c>
      <c r="V108" s="239">
        <f t="shared" si="20"/>
        <v>0.12</v>
      </c>
      <c r="W108" s="239">
        <f t="shared" si="21"/>
        <v>8.9999999999999993E-3</v>
      </c>
      <c r="X108" s="240">
        <f t="shared" si="22"/>
        <v>0.6</v>
      </c>
      <c r="Y108" s="531" t="str" cm="1">
        <f t="array" ref="Y108">_xlfn.IFS(O108&lt;44361, "Before the burn", O108&lt;44403, "During the burn", O108&gt;44403, "After the burn")</f>
        <v>After the burn</v>
      </c>
    </row>
    <row r="109" spans="1:25" ht="16.350000000000001" thickBot="1" x14ac:dyDescent="0.35">
      <c r="A109" s="194" t="str">
        <f>UPPER(LEFT(RN!B27,2))&amp;RIGHT(RN!B27,LEN(RN!B27)-2)</f>
        <v>RG</v>
      </c>
      <c r="B109" s="195" t="str" cm="1">
        <f t="array" ref="B109">_xlfn.IFS(A109="EP", "EP", A109="STa", "SPI", A109="STb", "SPO", A109="MRT", "MRT", A109="RG", "RN", A109="RT", "RU", A109="RW", "RL", A109="RC", "RS")</f>
        <v>RN</v>
      </c>
      <c r="C109" s="196">
        <f>INT(RN!A27)</f>
        <v>44377</v>
      </c>
      <c r="D109" s="196" t="str">
        <f t="shared" si="12"/>
        <v>RN44377</v>
      </c>
      <c r="E109" s="197">
        <f>RN!D27</f>
        <v>6.65</v>
      </c>
      <c r="F109" s="197">
        <f>RN!E27</f>
        <v>27.8</v>
      </c>
      <c r="G109" s="197">
        <f>RN!F27</f>
        <v>2</v>
      </c>
      <c r="H109" s="197">
        <f>RN!H27</f>
        <v>0.04</v>
      </c>
      <c r="I109" s="197">
        <f>RN!G27</f>
        <v>1.98</v>
      </c>
      <c r="J109" s="197">
        <f>RN!I27</f>
        <v>0.06</v>
      </c>
      <c r="K109" s="197">
        <f>RN!J27</f>
        <v>8.0000000000000002E-3</v>
      </c>
      <c r="L109" s="198">
        <f>RN!K27</f>
        <v>0.62</v>
      </c>
      <c r="N109" s="257" t="str">
        <f t="shared" si="13"/>
        <v>RN</v>
      </c>
      <c r="O109" s="258">
        <f t="shared" si="14"/>
        <v>44433</v>
      </c>
      <c r="P109" s="259" t="str">
        <f t="array" ref="P109">INDEX($D$2:$D$278,MATCH(0,COUNTIF($P$1:$P108,$D$2:$D$278),0))</f>
        <v>RN44433</v>
      </c>
      <c r="Q109" s="260">
        <f t="shared" si="15"/>
        <v>6.915</v>
      </c>
      <c r="R109" s="260">
        <f t="shared" si="16"/>
        <v>23.9</v>
      </c>
      <c r="S109" s="260">
        <f t="shared" si="17"/>
        <v>7.0000000000000007E-2</v>
      </c>
      <c r="T109" s="260">
        <f t="shared" si="18"/>
        <v>0.79</v>
      </c>
      <c r="U109" s="260">
        <f t="shared" si="19"/>
        <v>0.64500000000000002</v>
      </c>
      <c r="V109" s="260">
        <f t="shared" si="20"/>
        <v>0.24</v>
      </c>
      <c r="W109" s="260">
        <f t="shared" si="21"/>
        <v>8.5000000000000006E-3</v>
      </c>
      <c r="X109" s="261">
        <f t="shared" si="22"/>
        <v>0.62</v>
      </c>
      <c r="Y109" s="532" t="str" cm="1">
        <f t="array" ref="Y109">_xlfn.IFS(O109&lt;44361, "Before the burn", O109&lt;44403, "During the burn", O109&gt;44403, "After the burn")</f>
        <v>After the burn</v>
      </c>
    </row>
    <row r="110" spans="1:25" x14ac:dyDescent="0.3">
      <c r="A110" s="194" t="str">
        <f>UPPER(LEFT(RN!B28,2))&amp;RIGHT(RN!B28,LEN(RN!B28)-2)</f>
        <v>RG</v>
      </c>
      <c r="B110" s="195" t="str" cm="1">
        <f t="array" ref="B110">_xlfn.IFS(A110="EP", "EP", A110="STa", "SPI", A110="STb", "SPO", A110="MRT", "MRT", A110="RG", "RN", A110="RT", "RU", A110="RW", "RL", A110="RC", "RS")</f>
        <v>RN</v>
      </c>
      <c r="C110" s="196">
        <f>INT(RN!A28)</f>
        <v>44377</v>
      </c>
      <c r="D110" s="196" t="str">
        <f t="shared" si="12"/>
        <v>RN44377</v>
      </c>
      <c r="E110" s="197">
        <f>RN!D28</f>
        <v>6.87</v>
      </c>
      <c r="F110" s="197">
        <f>RN!E28</f>
        <v>27.6</v>
      </c>
      <c r="G110" s="197">
        <f>RN!F28</f>
        <v>1.83</v>
      </c>
      <c r="H110" s="197">
        <f>RN!H28</f>
        <v>7.0000000000000007E-2</v>
      </c>
      <c r="I110" s="197">
        <f>RN!G28</f>
        <v>1.81</v>
      </c>
      <c r="J110" s="197">
        <f>RN!I28</f>
        <v>7.0000000000000007E-2</v>
      </c>
      <c r="K110" s="197">
        <f>RN!J28</f>
        <v>7.0000000000000001E-3</v>
      </c>
      <c r="L110" s="198">
        <f>RN!K28</f>
        <v>0.47</v>
      </c>
      <c r="N110" s="262" t="str">
        <f t="shared" si="13"/>
        <v>RU</v>
      </c>
      <c r="O110" s="263">
        <f t="shared" si="14"/>
        <v>44293</v>
      </c>
      <c r="P110" s="264" t="str">
        <f t="array" ref="P110">INDEX($D$2:$D$278,MATCH(0,COUNTIF($P$1:$P109,$D$2:$D$278),0))</f>
        <v>RU44293</v>
      </c>
      <c r="Q110" s="265">
        <f t="shared" si="15"/>
        <v>6.6400000000000006</v>
      </c>
      <c r="R110" s="265">
        <f t="shared" si="16"/>
        <v>23.5</v>
      </c>
      <c r="S110" s="265">
        <f t="shared" si="17"/>
        <v>7.5000000000000011E-2</v>
      </c>
      <c r="T110" s="265">
        <f t="shared" si="18"/>
        <v>2.6</v>
      </c>
      <c r="U110" s="265">
        <f t="shared" si="19"/>
        <v>2.95</v>
      </c>
      <c r="V110" s="265">
        <f t="shared" si="20"/>
        <v>0.20500000000000002</v>
      </c>
      <c r="W110" s="265">
        <f t="shared" si="21"/>
        <v>1.0500000000000001E-2</v>
      </c>
      <c r="X110" s="266">
        <f t="shared" si="22"/>
        <v>0.36499999999999999</v>
      </c>
      <c r="Y110" s="533" t="str" cm="1">
        <f t="array" ref="Y110">_xlfn.IFS(O110&lt;44361, "Before the burn", O110&lt;44403, "During the burn", O110&gt;44403, "After the burn")</f>
        <v>Before the burn</v>
      </c>
    </row>
    <row r="111" spans="1:25" x14ac:dyDescent="0.3">
      <c r="A111" s="194" t="str">
        <f>UPPER(LEFT(RN!B29,2))&amp;RIGHT(RN!B29,LEN(RN!B29)-2)</f>
        <v>RG</v>
      </c>
      <c r="B111" s="195" t="str" cm="1">
        <f t="array" ref="B111">_xlfn.IFS(A111="EP", "EP", A111="STa", "SPI", A111="STb", "SPO", A111="MRT", "MRT", A111="RG", "RN", A111="RT", "RU", A111="RW", "RL", A111="RC", "RS")</f>
        <v>RN</v>
      </c>
      <c r="C111" s="196">
        <f>INT(RN!A29)</f>
        <v>44384</v>
      </c>
      <c r="D111" s="196" t="str">
        <f t="shared" si="12"/>
        <v>RN44384</v>
      </c>
      <c r="E111" s="197">
        <f>RN!D29</f>
        <v>6.8</v>
      </c>
      <c r="F111" s="197">
        <f>RN!E29</f>
        <v>28</v>
      </c>
      <c r="G111" s="197">
        <f>RN!F29</f>
        <v>1.19</v>
      </c>
      <c r="H111" s="197">
        <f>RN!H29</f>
        <v>0.05</v>
      </c>
      <c r="I111" s="197">
        <f>RN!G29</f>
        <v>1.21</v>
      </c>
      <c r="J111" s="197">
        <f>RN!I29</f>
        <v>0.05</v>
      </c>
      <c r="K111" s="197">
        <f>RN!J29</f>
        <v>6.0000000000000001E-3</v>
      </c>
      <c r="L111" s="198">
        <f>RN!K29</f>
        <v>0.67</v>
      </c>
      <c r="N111" s="252" t="str">
        <f t="shared" si="13"/>
        <v>RU</v>
      </c>
      <c r="O111" s="253">
        <f t="shared" si="14"/>
        <v>44306</v>
      </c>
      <c r="P111" s="254" t="str">
        <f t="array" ref="P111">INDEX($D$2:$D$278,MATCH(0,COUNTIF($P$1:$P110,$D$2:$D$278),0))</f>
        <v>RU44306</v>
      </c>
      <c r="Q111" s="255">
        <f t="shared" si="15"/>
        <v>7.05</v>
      </c>
      <c r="R111" s="255">
        <f t="shared" si="16"/>
        <v>18.899999999999999</v>
      </c>
      <c r="S111" s="255">
        <f t="shared" si="17"/>
        <v>0.15</v>
      </c>
      <c r="T111" s="255">
        <f t="shared" si="18"/>
        <v>2.0499999999999998</v>
      </c>
      <c r="U111" s="255">
        <f t="shared" si="19"/>
        <v>2.69</v>
      </c>
      <c r="V111" s="255">
        <f t="shared" si="20"/>
        <v>0.24</v>
      </c>
      <c r="W111" s="255">
        <f t="shared" si="21"/>
        <v>6.0000000000000001E-3</v>
      </c>
      <c r="X111" s="256">
        <f t="shared" si="22"/>
        <v>0.34</v>
      </c>
      <c r="Y111" s="534" t="str" cm="1">
        <f t="array" ref="Y111">_xlfn.IFS(O111&lt;44361, "Before the burn", O111&lt;44403, "During the burn", O111&gt;44403, "After the burn")</f>
        <v>Before the burn</v>
      </c>
    </row>
    <row r="112" spans="1:25" x14ac:dyDescent="0.3">
      <c r="A112" s="194" t="str">
        <f>UPPER(LEFT(RN!B30,2))&amp;RIGHT(RN!B30,LEN(RN!B30)-2)</f>
        <v>RG</v>
      </c>
      <c r="B112" s="195" t="str" cm="1">
        <f t="array" ref="B112">_xlfn.IFS(A112="EP", "EP", A112="STa", "SPI", A112="STb", "SPO", A112="MRT", "MRT", A112="RG", "RN", A112="RT", "RU", A112="RW", "RL", A112="RC", "RS")</f>
        <v>RN</v>
      </c>
      <c r="C112" s="196">
        <f>INT(RN!A30)</f>
        <v>44385</v>
      </c>
      <c r="D112" s="196" t="str">
        <f t="shared" si="12"/>
        <v>RN44385</v>
      </c>
      <c r="E112" s="197">
        <f>RN!D30</f>
        <v>6.83</v>
      </c>
      <c r="F112" s="197">
        <f>RN!E30</f>
        <v>28.2</v>
      </c>
      <c r="G112" s="197">
        <f>RN!F30</f>
        <v>1.26</v>
      </c>
      <c r="H112" s="197">
        <f>RN!H30</f>
        <v>0.02</v>
      </c>
      <c r="I112" s="197">
        <f>RN!G30</f>
        <v>1.32</v>
      </c>
      <c r="J112" s="197">
        <f>RN!I30</f>
        <v>0.05</v>
      </c>
      <c r="K112" s="197">
        <f>RN!J30</f>
        <v>7.0000000000000001E-3</v>
      </c>
      <c r="L112" s="198">
        <f>RN!K30</f>
        <v>0</v>
      </c>
      <c r="N112" s="252" t="str">
        <f t="shared" si="13"/>
        <v>RU</v>
      </c>
      <c r="O112" s="253">
        <f t="shared" si="14"/>
        <v>44313</v>
      </c>
      <c r="P112" s="254" t="str">
        <f t="array" ref="P112">INDEX($D$2:$D$278,MATCH(0,COUNTIF($P$1:$P111,$D$2:$D$278),0))</f>
        <v>RU44313</v>
      </c>
      <c r="Q112" s="255">
        <f t="shared" si="15"/>
        <v>6.95</v>
      </c>
      <c r="R112" s="255">
        <f t="shared" si="16"/>
        <v>22.7</v>
      </c>
      <c r="S112" s="255">
        <f t="shared" si="17"/>
        <v>0.09</v>
      </c>
      <c r="T112" s="255">
        <f t="shared" si="18"/>
        <v>2.1</v>
      </c>
      <c r="U112" s="255">
        <f t="shared" si="19"/>
        <v>2.69</v>
      </c>
      <c r="V112" s="255">
        <f t="shared" si="20"/>
        <v>0.15</v>
      </c>
      <c r="W112" s="255">
        <f t="shared" si="21"/>
        <v>7.0000000000000001E-3</v>
      </c>
      <c r="X112" s="256">
        <f t="shared" si="22"/>
        <v>0.3</v>
      </c>
      <c r="Y112" s="534" t="str" cm="1">
        <f t="array" ref="Y112">_xlfn.IFS(O112&lt;44361, "Before the burn", O112&lt;44403, "During the burn", O112&gt;44403, "After the burn")</f>
        <v>Before the burn</v>
      </c>
    </row>
    <row r="113" spans="1:25" x14ac:dyDescent="0.3">
      <c r="A113" s="194" t="str">
        <f>UPPER(LEFT(RN!B31,2))&amp;RIGHT(RN!B31,LEN(RN!B31)-2)</f>
        <v>RG</v>
      </c>
      <c r="B113" s="195" t="str" cm="1">
        <f t="array" ref="B113">_xlfn.IFS(A113="EP", "EP", A113="STa", "SPI", A113="STb", "SPO", A113="MRT", "MRT", A113="RG", "RN", A113="RT", "RU", A113="RW", "RL", A113="RC", "RS")</f>
        <v>RN</v>
      </c>
      <c r="C113" s="196">
        <f>INT(RN!A31)</f>
        <v>44385</v>
      </c>
      <c r="D113" s="196" t="str">
        <f t="shared" si="12"/>
        <v>RN44385</v>
      </c>
      <c r="E113" s="197">
        <f>RN!D31</f>
        <v>6.94</v>
      </c>
      <c r="F113" s="197">
        <f>RN!E31</f>
        <v>28.1</v>
      </c>
      <c r="G113" s="197">
        <f>RN!F31</f>
        <v>1.99</v>
      </c>
      <c r="H113" s="197">
        <f>RN!H31</f>
        <v>0.04</v>
      </c>
      <c r="I113" s="197">
        <f>RN!G31</f>
        <v>2.09</v>
      </c>
      <c r="J113" s="197">
        <f>RN!I31</f>
        <v>0.02</v>
      </c>
      <c r="K113" s="197">
        <f>RN!J31</f>
        <v>5.0000000000000001E-3</v>
      </c>
      <c r="L113" s="198">
        <f>RN!K31</f>
        <v>0.51</v>
      </c>
      <c r="N113" s="252" t="str">
        <f t="shared" si="13"/>
        <v>RU</v>
      </c>
      <c r="O113" s="253">
        <f t="shared" si="14"/>
        <v>44327</v>
      </c>
      <c r="P113" s="254" t="str">
        <f t="array" ref="P113">INDEX($D$2:$D$278,MATCH(0,COUNTIF($P$1:$P112,$D$2:$D$278),0))</f>
        <v>RU44327</v>
      </c>
      <c r="Q113" s="255">
        <f t="shared" si="15"/>
        <v>7.41</v>
      </c>
      <c r="R113" s="255">
        <f t="shared" si="16"/>
        <v>24.8</v>
      </c>
      <c r="S113" s="255">
        <f t="shared" si="17"/>
        <v>0.15</v>
      </c>
      <c r="T113" s="255">
        <f t="shared" si="18"/>
        <v>1.48</v>
      </c>
      <c r="U113" s="255">
        <f t="shared" si="19"/>
        <v>1.79</v>
      </c>
      <c r="V113" s="255">
        <f t="shared" si="20"/>
        <v>0.32</v>
      </c>
      <c r="W113" s="255">
        <f t="shared" si="21"/>
        <v>1.2999999999999999E-2</v>
      </c>
      <c r="X113" s="256">
        <f t="shared" si="22"/>
        <v>0.25</v>
      </c>
      <c r="Y113" s="534" t="str" cm="1">
        <f t="array" ref="Y113">_xlfn.IFS(O113&lt;44361, "Before the burn", O113&lt;44403, "During the burn", O113&gt;44403, "After the burn")</f>
        <v>Before the burn</v>
      </c>
    </row>
    <row r="114" spans="1:25" x14ac:dyDescent="0.3">
      <c r="A114" s="194" t="str">
        <f>UPPER(LEFT(RN!B32,2))&amp;RIGHT(RN!B32,LEN(RN!B32)-2)</f>
        <v>RG</v>
      </c>
      <c r="B114" s="195" t="str" cm="1">
        <f t="array" ref="B114">_xlfn.IFS(A114="EP", "EP", A114="STa", "SPI", A114="STb", "SPO", A114="MRT", "MRT", A114="RG", "RN", A114="RT", "RU", A114="RW", "RL", A114="RC", "RS")</f>
        <v>RN</v>
      </c>
      <c r="C114" s="196">
        <f>INT(RN!A32)</f>
        <v>44390</v>
      </c>
      <c r="D114" s="196" t="str">
        <f t="shared" si="12"/>
        <v>RN44390</v>
      </c>
      <c r="E114" s="197">
        <f>RN!D32</f>
        <v>6.74</v>
      </c>
      <c r="F114" s="197">
        <f>RN!E32</f>
        <v>28</v>
      </c>
      <c r="G114" s="197">
        <f>RN!F32</f>
        <v>2.14</v>
      </c>
      <c r="H114" s="197">
        <f>RN!H32</f>
        <v>0.04</v>
      </c>
      <c r="I114" s="197">
        <f>RN!G32</f>
        <v>2.12</v>
      </c>
      <c r="J114" s="197">
        <f>RN!I32</f>
        <v>7.0000000000000007E-2</v>
      </c>
      <c r="K114" s="197">
        <f>RN!J32</f>
        <v>8.9999999999999993E-3</v>
      </c>
      <c r="L114" s="198">
        <f>RN!K32</f>
        <v>0.63</v>
      </c>
      <c r="N114" s="252" t="str">
        <f t="shared" si="13"/>
        <v>RU</v>
      </c>
      <c r="O114" s="253">
        <f t="shared" si="14"/>
        <v>44334</v>
      </c>
      <c r="P114" s="254" t="str">
        <f t="array" ref="P114">INDEX($D$2:$D$278,MATCH(0,COUNTIF($P$1:$P113,$D$2:$D$278),0))</f>
        <v>RU44334</v>
      </c>
      <c r="Q114" s="255">
        <f t="shared" si="15"/>
        <v>7.3</v>
      </c>
      <c r="R114" s="255">
        <f t="shared" si="16"/>
        <v>23.3</v>
      </c>
      <c r="S114" s="255">
        <f t="shared" si="17"/>
        <v>0.13</v>
      </c>
      <c r="T114" s="255">
        <f t="shared" si="18"/>
        <v>1.5</v>
      </c>
      <c r="U114" s="255">
        <f t="shared" si="19"/>
        <v>1.95</v>
      </c>
      <c r="V114" s="255">
        <f t="shared" si="20"/>
        <v>0.43</v>
      </c>
      <c r="W114" s="255">
        <f t="shared" si="21"/>
        <v>2.4E-2</v>
      </c>
      <c r="X114" s="256">
        <f t="shared" si="22"/>
        <v>0.28999999999999998</v>
      </c>
      <c r="Y114" s="534" t="str" cm="1">
        <f t="array" ref="Y114">_xlfn.IFS(O114&lt;44361, "Before the burn", O114&lt;44403, "During the burn", O114&gt;44403, "After the burn")</f>
        <v>Before the burn</v>
      </c>
    </row>
    <row r="115" spans="1:25" x14ac:dyDescent="0.3">
      <c r="A115" s="194" t="str">
        <f>UPPER(LEFT(RN!B33,2))&amp;RIGHT(RN!B33,LEN(RN!B33)-2)</f>
        <v>RG</v>
      </c>
      <c r="B115" s="195" t="str" cm="1">
        <f t="array" ref="B115">_xlfn.IFS(A115="EP", "EP", A115="STa", "SPI", A115="STb", "SPO", A115="MRT", "MRT", A115="RG", "RN", A115="RT", "RU", A115="RW", "RL", A115="RC", "RS")</f>
        <v>RN</v>
      </c>
      <c r="C115" s="196">
        <f>INT(RN!A33)</f>
        <v>44391</v>
      </c>
      <c r="D115" s="196" t="str">
        <f t="shared" si="12"/>
        <v>RN44391</v>
      </c>
      <c r="E115" s="197">
        <f>RN!D33</f>
        <v>6.8</v>
      </c>
      <c r="F115" s="197">
        <f>RN!E33</f>
        <v>28</v>
      </c>
      <c r="G115" s="197">
        <f>RN!F33</f>
        <v>1.89</v>
      </c>
      <c r="H115" s="197">
        <f>RN!H33</f>
        <v>0.02</v>
      </c>
      <c r="I115" s="197">
        <f>RN!G33</f>
        <v>1.85</v>
      </c>
      <c r="J115" s="197">
        <f>RN!I33</f>
        <v>0.28999999999999998</v>
      </c>
      <c r="K115" s="197">
        <f>RN!J33</f>
        <v>6.0000000000000001E-3</v>
      </c>
      <c r="L115" s="198">
        <f>RN!K33</f>
        <v>0.67</v>
      </c>
      <c r="N115" s="252" t="str">
        <f t="shared" si="13"/>
        <v>RU</v>
      </c>
      <c r="O115" s="253">
        <f t="shared" si="14"/>
        <v>44335</v>
      </c>
      <c r="P115" s="254" t="str">
        <f t="array" ref="P115">INDEX($D$2:$D$278,MATCH(0,COUNTIF($P$1:$P114,$D$2:$D$278),0))</f>
        <v>RU44335</v>
      </c>
      <c r="Q115" s="255">
        <f t="shared" si="15"/>
        <v>7.43</v>
      </c>
      <c r="R115" s="255">
        <f t="shared" si="16"/>
        <v>24.5</v>
      </c>
      <c r="S115" s="255">
        <f t="shared" si="17"/>
        <v>8.4999999999999992E-2</v>
      </c>
      <c r="T115" s="255">
        <f t="shared" si="18"/>
        <v>2.4249999999999998</v>
      </c>
      <c r="U115" s="255">
        <f t="shared" si="19"/>
        <v>2.86</v>
      </c>
      <c r="V115" s="255">
        <f t="shared" si="20"/>
        <v>0.28500000000000003</v>
      </c>
      <c r="W115" s="255">
        <f t="shared" si="21"/>
        <v>8.0000000000000002E-3</v>
      </c>
      <c r="X115" s="256">
        <f t="shared" si="22"/>
        <v>0.28500000000000003</v>
      </c>
      <c r="Y115" s="534" t="str" cm="1">
        <f t="array" ref="Y115">_xlfn.IFS(O115&lt;44361, "Before the burn", O115&lt;44403, "During the burn", O115&gt;44403, "After the burn")</f>
        <v>Before the burn</v>
      </c>
    </row>
    <row r="116" spans="1:25" x14ac:dyDescent="0.3">
      <c r="A116" s="194" t="str">
        <f>UPPER(LEFT(RN!B34,2))&amp;RIGHT(RN!B34,LEN(RN!B34)-2)</f>
        <v>RG</v>
      </c>
      <c r="B116" s="195" t="str" cm="1">
        <f t="array" ref="B116">_xlfn.IFS(A116="EP", "EP", A116="STa", "SPI", A116="STb", "SPO", A116="MRT", "MRT", A116="RG", "RN", A116="RT", "RU", A116="RW", "RL", A116="RC", "RS")</f>
        <v>RN</v>
      </c>
      <c r="C116" s="196">
        <f>INT(RN!A34)</f>
        <v>44391</v>
      </c>
      <c r="D116" s="196" t="str">
        <f t="shared" si="12"/>
        <v>RN44391</v>
      </c>
      <c r="E116" s="197">
        <f>RN!D34</f>
        <v>6.97</v>
      </c>
      <c r="F116" s="197">
        <f>RN!E34</f>
        <v>28</v>
      </c>
      <c r="G116" s="197">
        <f>RN!F34</f>
        <v>1.83</v>
      </c>
      <c r="H116" s="197">
        <f>RN!H34</f>
        <v>0.05</v>
      </c>
      <c r="I116" s="197">
        <f>RN!G34</f>
        <v>1.82</v>
      </c>
      <c r="J116" s="197">
        <f>RN!I34</f>
        <v>0.06</v>
      </c>
      <c r="K116" s="197">
        <f>RN!J34</f>
        <v>7.0000000000000001E-3</v>
      </c>
      <c r="L116" s="198">
        <f>RN!K34</f>
        <v>0.55000000000000004</v>
      </c>
      <c r="N116" s="252" t="str">
        <f t="shared" si="13"/>
        <v>RU</v>
      </c>
      <c r="O116" s="253">
        <f t="shared" si="14"/>
        <v>44341</v>
      </c>
      <c r="P116" s="254" t="str">
        <f t="array" ref="P116">INDEX($D$2:$D$278,MATCH(0,COUNTIF($P$1:$P115,$D$2:$D$278),0))</f>
        <v>RU44341</v>
      </c>
      <c r="Q116" s="255">
        <f t="shared" si="15"/>
        <v>7.35</v>
      </c>
      <c r="R116" s="255">
        <f t="shared" si="16"/>
        <v>23.4</v>
      </c>
      <c r="S116" s="255">
        <f t="shared" si="17"/>
        <v>0.1</v>
      </c>
      <c r="T116" s="255">
        <f t="shared" si="18"/>
        <v>2.2000000000000002</v>
      </c>
      <c r="U116" s="255">
        <f t="shared" si="19"/>
        <v>2.85</v>
      </c>
      <c r="V116" s="255">
        <f t="shared" si="20"/>
        <v>0.21</v>
      </c>
      <c r="W116" s="255">
        <f t="shared" si="21"/>
        <v>7.0000000000000001E-3</v>
      </c>
      <c r="X116" s="256">
        <f t="shared" si="22"/>
        <v>0.28000000000000003</v>
      </c>
      <c r="Y116" s="534" t="str" cm="1">
        <f t="array" ref="Y116">_xlfn.IFS(O116&lt;44361, "Before the burn", O116&lt;44403, "During the burn", O116&gt;44403, "After the burn")</f>
        <v>Before the burn</v>
      </c>
    </row>
    <row r="117" spans="1:25" x14ac:dyDescent="0.3">
      <c r="A117" s="194" t="str">
        <f>UPPER(LEFT(RN!B35,2))&amp;RIGHT(RN!B35,LEN(RN!B35)-2)</f>
        <v>RG</v>
      </c>
      <c r="B117" s="195" t="str" cm="1">
        <f t="array" ref="B117">_xlfn.IFS(A117="EP", "EP", A117="STa", "SPI", A117="STb", "SPO", A117="MRT", "MRT", A117="RG", "RN", A117="RT", "RU", A117="RW", "RL", A117="RC", "RS")</f>
        <v>RN</v>
      </c>
      <c r="C117" s="196">
        <f>INT(RN!A35)</f>
        <v>44397</v>
      </c>
      <c r="D117" s="196" t="str">
        <f t="shared" si="12"/>
        <v>RN44397</v>
      </c>
      <c r="E117" s="197">
        <f>RN!D35</f>
        <v>6.78</v>
      </c>
      <c r="F117" s="197">
        <f>RN!E35</f>
        <v>23.8</v>
      </c>
      <c r="G117" s="197">
        <f>RN!F35</f>
        <v>2.39</v>
      </c>
      <c r="H117" s="197">
        <f>RN!H35</f>
        <v>0.01</v>
      </c>
      <c r="I117" s="197">
        <f>RN!G35</f>
        <v>2.39</v>
      </c>
      <c r="J117" s="197">
        <f>RN!I35</f>
        <v>7.0000000000000007E-2</v>
      </c>
      <c r="K117" s="197">
        <f>RN!J35</f>
        <v>5.0000000000000001E-3</v>
      </c>
      <c r="L117" s="198">
        <f>RN!K35</f>
        <v>0.57999999999999996</v>
      </c>
      <c r="N117" s="252" t="str">
        <f t="shared" si="13"/>
        <v>RU</v>
      </c>
      <c r="O117" s="253">
        <f t="shared" si="14"/>
        <v>44342</v>
      </c>
      <c r="P117" s="254" t="str">
        <f t="array" ref="P117">INDEX($D$2:$D$278,MATCH(0,COUNTIF($P$1:$P116,$D$2:$D$278),0))</f>
        <v>RU44342</v>
      </c>
      <c r="Q117" s="255">
        <f t="shared" si="15"/>
        <v>6.88</v>
      </c>
      <c r="R117" s="255">
        <f t="shared" si="16"/>
        <v>25</v>
      </c>
      <c r="S117" s="255">
        <f t="shared" si="17"/>
        <v>0.13500000000000001</v>
      </c>
      <c r="T117" s="255">
        <f t="shared" si="18"/>
        <v>2.39</v>
      </c>
      <c r="U117" s="255">
        <f t="shared" si="19"/>
        <v>2.9950000000000001</v>
      </c>
      <c r="V117" s="255">
        <f t="shared" si="20"/>
        <v>0.2</v>
      </c>
      <c r="W117" s="255">
        <f t="shared" si="21"/>
        <v>7.0000000000000001E-3</v>
      </c>
      <c r="X117" s="256">
        <f t="shared" si="22"/>
        <v>0.27</v>
      </c>
      <c r="Y117" s="534" t="str" cm="1">
        <f t="array" ref="Y117">_xlfn.IFS(O117&lt;44361, "Before the burn", O117&lt;44403, "During the burn", O117&gt;44403, "After the burn")</f>
        <v>Before the burn</v>
      </c>
    </row>
    <row r="118" spans="1:25" x14ac:dyDescent="0.3">
      <c r="A118" s="194" t="str">
        <f>UPPER(LEFT(RN!B36,2))&amp;RIGHT(RN!B36,LEN(RN!B36)-2)</f>
        <v>RG</v>
      </c>
      <c r="B118" s="195" t="str" cm="1">
        <f t="array" ref="B118">_xlfn.IFS(A118="EP", "EP", A118="STa", "SPI", A118="STb", "SPO", A118="MRT", "MRT", A118="RG", "RN", A118="RT", "RU", A118="RW", "RL", A118="RC", "RS")</f>
        <v>RN</v>
      </c>
      <c r="C118" s="196">
        <f>INT(RN!A36)</f>
        <v>44398</v>
      </c>
      <c r="D118" s="196" t="str">
        <f t="shared" si="12"/>
        <v>RN44398</v>
      </c>
      <c r="E118" s="197">
        <f>RN!D36</f>
        <v>6.78</v>
      </c>
      <c r="F118" s="197">
        <f>RN!E36</f>
        <v>24</v>
      </c>
      <c r="G118" s="197">
        <f>RN!F36</f>
        <v>1.96</v>
      </c>
      <c r="H118" s="197">
        <f>RN!H36</f>
        <v>0.02</v>
      </c>
      <c r="I118" s="197">
        <f>RN!G36</f>
        <v>1.99</v>
      </c>
      <c r="J118" s="197">
        <f>RN!I36</f>
        <v>0.12</v>
      </c>
      <c r="K118" s="197">
        <f>RN!J36</f>
        <v>7.0000000000000001E-3</v>
      </c>
      <c r="L118" s="198">
        <f>RN!K36</f>
        <v>0.61</v>
      </c>
      <c r="N118" s="252" t="str">
        <f t="shared" si="13"/>
        <v>RU</v>
      </c>
      <c r="O118" s="253">
        <f t="shared" si="14"/>
        <v>44349</v>
      </c>
      <c r="P118" s="254" t="str">
        <f t="array" ref="P118">INDEX($D$2:$D$278,MATCH(0,COUNTIF($P$1:$P117,$D$2:$D$278),0))</f>
        <v>RU44349</v>
      </c>
      <c r="Q118" s="255">
        <f t="shared" si="15"/>
        <v>7.29</v>
      </c>
      <c r="R118" s="255">
        <f t="shared" si="16"/>
        <v>25</v>
      </c>
      <c r="S118" s="255">
        <f t="shared" si="17"/>
        <v>0.09</v>
      </c>
      <c r="T118" s="255">
        <f t="shared" si="18"/>
        <v>2.16</v>
      </c>
      <c r="U118" s="255">
        <f t="shared" si="19"/>
        <v>2.4300000000000002</v>
      </c>
      <c r="V118" s="255">
        <f t="shared" si="20"/>
        <v>0.25</v>
      </c>
      <c r="W118" s="255">
        <f t="shared" si="21"/>
        <v>5.0000000000000001E-3</v>
      </c>
      <c r="X118" s="256">
        <f t="shared" si="22"/>
        <v>0.41</v>
      </c>
      <c r="Y118" s="534" t="str" cm="1">
        <f t="array" ref="Y118">_xlfn.IFS(O118&lt;44361, "Before the burn", O118&lt;44403, "During the burn", O118&gt;44403, "After the burn")</f>
        <v>Before the burn</v>
      </c>
    </row>
    <row r="119" spans="1:25" x14ac:dyDescent="0.3">
      <c r="A119" s="194" t="str">
        <f>UPPER(LEFT(RN!B37,2))&amp;RIGHT(RN!B37,LEN(RN!B37)-2)</f>
        <v>RG</v>
      </c>
      <c r="B119" s="195" t="str" cm="1">
        <f t="array" ref="B119">_xlfn.IFS(A119="EP", "EP", A119="STa", "SPI", A119="STb", "SPO", A119="MRT", "MRT", A119="RG", "RN", A119="RT", "RU", A119="RW", "RL", A119="RC", "RS")</f>
        <v>RN</v>
      </c>
      <c r="C119" s="196">
        <f>INT(RN!A37)</f>
        <v>44398</v>
      </c>
      <c r="D119" s="196" t="str">
        <f t="shared" si="12"/>
        <v>RN44398</v>
      </c>
      <c r="E119" s="197">
        <f>RN!D37</f>
        <v>6.91</v>
      </c>
      <c r="F119" s="197">
        <f>RN!E37</f>
        <v>22.8</v>
      </c>
      <c r="G119" s="197">
        <f>RN!F37</f>
        <v>2.46</v>
      </c>
      <c r="H119" s="197">
        <f>RN!H37</f>
        <v>0</v>
      </c>
      <c r="I119" s="197">
        <f>RN!G37</f>
        <v>2.41</v>
      </c>
      <c r="J119" s="197">
        <f>RN!I37</f>
        <v>0.02</v>
      </c>
      <c r="K119" s="197">
        <f>RN!J37</f>
        <v>7.0000000000000001E-3</v>
      </c>
      <c r="L119" s="198">
        <f>RN!K37</f>
        <v>0.52</v>
      </c>
      <c r="N119" s="252" t="str">
        <f t="shared" si="13"/>
        <v>RU</v>
      </c>
      <c r="O119" s="253">
        <f t="shared" si="14"/>
        <v>44350</v>
      </c>
      <c r="P119" s="254" t="str">
        <f t="array" ref="P119">INDEX($D$2:$D$278,MATCH(0,COUNTIF($P$1:$P118,$D$2:$D$278),0))</f>
        <v>RU44350</v>
      </c>
      <c r="Q119" s="255">
        <f t="shared" si="15"/>
        <v>7.2449999999999992</v>
      </c>
      <c r="R119" s="255">
        <f t="shared" si="16"/>
        <v>25.05</v>
      </c>
      <c r="S119" s="255">
        <f t="shared" si="17"/>
        <v>7.4999999999999997E-2</v>
      </c>
      <c r="T119" s="255">
        <f t="shared" si="18"/>
        <v>2.34</v>
      </c>
      <c r="U119" s="255">
        <f t="shared" si="19"/>
        <v>2.56</v>
      </c>
      <c r="V119" s="255">
        <f t="shared" si="20"/>
        <v>0.26</v>
      </c>
      <c r="W119" s="255">
        <f t="shared" si="21"/>
        <v>7.0000000000000001E-3</v>
      </c>
      <c r="X119" s="256">
        <f t="shared" si="22"/>
        <v>0.39</v>
      </c>
      <c r="Y119" s="534" t="str" cm="1">
        <f t="array" ref="Y119">_xlfn.IFS(O119&lt;44361, "Before the burn", O119&lt;44403, "During the burn", O119&gt;44403, "After the burn")</f>
        <v>Before the burn</v>
      </c>
    </row>
    <row r="120" spans="1:25" x14ac:dyDescent="0.3">
      <c r="A120" s="194" t="str">
        <f>UPPER(LEFT(RN!B38,2))&amp;RIGHT(RN!B38,LEN(RN!B38)-2)</f>
        <v>RG</v>
      </c>
      <c r="B120" s="195" t="str" cm="1">
        <f t="array" ref="B120">_xlfn.IFS(A120="EP", "EP", A120="STa", "SPI", A120="STb", "SPO", A120="MRT", "MRT", A120="RG", "RN", A120="RT", "RU", A120="RW", "RL", A120="RC", "RS")</f>
        <v>RN</v>
      </c>
      <c r="C120" s="196">
        <f>INT(RN!A38)</f>
        <v>44404</v>
      </c>
      <c r="D120" s="196" t="str">
        <f t="shared" si="12"/>
        <v>RN44404</v>
      </c>
      <c r="E120" s="197">
        <f>RN!D38</f>
        <v>6.74</v>
      </c>
      <c r="F120" s="197">
        <f>RN!E38</f>
        <v>24</v>
      </c>
      <c r="G120" s="197">
        <f>RN!F38</f>
        <v>1.33</v>
      </c>
      <c r="H120" s="197">
        <f>RN!H38</f>
        <v>0</v>
      </c>
      <c r="I120" s="197">
        <f>RN!G38</f>
        <v>1.35</v>
      </c>
      <c r="J120" s="197">
        <f>RN!I38</f>
        <v>0.06</v>
      </c>
      <c r="K120" s="197">
        <f>RN!J38</f>
        <v>6.0000000000000001E-3</v>
      </c>
      <c r="L120" s="198">
        <f>RN!K38</f>
        <v>0.68</v>
      </c>
      <c r="N120" s="252" t="str">
        <f t="shared" si="13"/>
        <v>RU</v>
      </c>
      <c r="O120" s="253">
        <f t="shared" si="14"/>
        <v>44355</v>
      </c>
      <c r="P120" s="254" t="str">
        <f t="array" ref="P120">INDEX($D$2:$D$278,MATCH(0,COUNTIF($P$1:$P119,$D$2:$D$278),0))</f>
        <v>RU44355</v>
      </c>
      <c r="Q120" s="255">
        <f t="shared" si="15"/>
        <v>7.45</v>
      </c>
      <c r="R120" s="255">
        <f t="shared" si="16"/>
        <v>25.3</v>
      </c>
      <c r="S120" s="255">
        <f t="shared" si="17"/>
        <v>0.09</v>
      </c>
      <c r="T120" s="255">
        <f t="shared" si="18"/>
        <v>2.2200000000000002</v>
      </c>
      <c r="U120" s="255">
        <f t="shared" si="19"/>
        <v>2.52</v>
      </c>
      <c r="V120" s="255">
        <f t="shared" si="20"/>
        <v>0.34</v>
      </c>
      <c r="W120" s="255">
        <f t="shared" si="21"/>
        <v>7.0000000000000001E-3</v>
      </c>
      <c r="X120" s="256">
        <f t="shared" si="22"/>
        <v>0.36</v>
      </c>
      <c r="Y120" s="534" t="str" cm="1">
        <f t="array" ref="Y120">_xlfn.IFS(O120&lt;44361, "Before the burn", O120&lt;44403, "During the burn", O120&gt;44403, "After the burn")</f>
        <v>Before the burn</v>
      </c>
    </row>
    <row r="121" spans="1:25" x14ac:dyDescent="0.3">
      <c r="A121" s="194" t="str">
        <f>UPPER(LEFT(RN!B39,2))&amp;RIGHT(RN!B39,LEN(RN!B39)-2)</f>
        <v>RG</v>
      </c>
      <c r="B121" s="195" t="str" cm="1">
        <f t="array" ref="B121">_xlfn.IFS(A121="EP", "EP", A121="STa", "SPI", A121="STb", "SPO", A121="MRT", "MRT", A121="RG", "RN", A121="RT", "RU", A121="RW", "RL", A121="RC", "RS")</f>
        <v>RN</v>
      </c>
      <c r="C121" s="196">
        <f>INT(RN!A39)</f>
        <v>44405</v>
      </c>
      <c r="D121" s="196" t="str">
        <f t="shared" si="12"/>
        <v>RN44405</v>
      </c>
      <c r="E121" s="197">
        <f>RN!D39</f>
        <v>6.73</v>
      </c>
      <c r="F121" s="197">
        <f>RN!E39</f>
        <v>24.1</v>
      </c>
      <c r="G121" s="197">
        <f>RN!F39</f>
        <v>0.06</v>
      </c>
      <c r="H121" s="197">
        <f>RN!H39</f>
        <v>1.35</v>
      </c>
      <c r="I121" s="197">
        <f>RN!G39</f>
        <v>1.1599999999999999</v>
      </c>
      <c r="J121" s="197">
        <f>RN!I39</f>
        <v>0.14000000000000001</v>
      </c>
      <c r="K121" s="197">
        <f>RN!J39</f>
        <v>6.0000000000000001E-3</v>
      </c>
      <c r="L121" s="198">
        <f>RN!K39</f>
        <v>0.62</v>
      </c>
      <c r="N121" s="252" t="str">
        <f t="shared" si="13"/>
        <v>RU</v>
      </c>
      <c r="O121" s="253">
        <f t="shared" si="14"/>
        <v>44356</v>
      </c>
      <c r="P121" s="254" t="str">
        <f t="array" ref="P121">INDEX($D$2:$D$278,MATCH(0,COUNTIF($P$1:$P120,$D$2:$D$278),0))</f>
        <v>RU44356</v>
      </c>
      <c r="Q121" s="255">
        <f t="shared" si="15"/>
        <v>6.8149999999999995</v>
      </c>
      <c r="R121" s="255">
        <f t="shared" si="16"/>
        <v>26.95</v>
      </c>
      <c r="S121" s="255">
        <f t="shared" si="17"/>
        <v>0.1</v>
      </c>
      <c r="T121" s="255">
        <f t="shared" si="18"/>
        <v>2.6100000000000003</v>
      </c>
      <c r="U121" s="255">
        <f t="shared" si="19"/>
        <v>2.87</v>
      </c>
      <c r="V121" s="255">
        <f t="shared" si="20"/>
        <v>0.155</v>
      </c>
      <c r="W121" s="255">
        <f t="shared" si="21"/>
        <v>8.0000000000000002E-3</v>
      </c>
      <c r="X121" s="256">
        <f t="shared" si="22"/>
        <v>0.33999999999999997</v>
      </c>
      <c r="Y121" s="534" t="str" cm="1">
        <f t="array" ref="Y121">_xlfn.IFS(O121&lt;44361, "Before the burn", O121&lt;44403, "During the burn", O121&gt;44403, "After the burn")</f>
        <v>Before the burn</v>
      </c>
    </row>
    <row r="122" spans="1:25" x14ac:dyDescent="0.3">
      <c r="A122" s="194" t="str">
        <f>UPPER(LEFT(RN!B40,2))&amp;RIGHT(RN!B40,LEN(RN!B40)-2)</f>
        <v>RG</v>
      </c>
      <c r="B122" s="195" t="str" cm="1">
        <f t="array" ref="B122">_xlfn.IFS(A122="EP", "EP", A122="STa", "SPI", A122="STb", "SPO", A122="MRT", "MRT", A122="RG", "RN", A122="RT", "RU", A122="RW", "RL", A122="RC", "RS")</f>
        <v>RN</v>
      </c>
      <c r="C122" s="196">
        <f>INT(RN!A40)</f>
        <v>44405</v>
      </c>
      <c r="D122" s="196" t="str">
        <f t="shared" si="12"/>
        <v>RN44405</v>
      </c>
      <c r="E122" s="197">
        <f>RN!D40</f>
        <v>6.77</v>
      </c>
      <c r="F122" s="197">
        <f>RN!E40</f>
        <v>24.3</v>
      </c>
      <c r="G122" s="197">
        <f>RN!F40</f>
        <v>0.15</v>
      </c>
      <c r="H122" s="197">
        <f>RN!H40</f>
        <v>1.29</v>
      </c>
      <c r="I122" s="197">
        <f>RN!G40</f>
        <v>1.51</v>
      </c>
      <c r="J122" s="197">
        <f>RN!I40</f>
        <v>0.22</v>
      </c>
      <c r="K122" s="197">
        <f>RN!J40</f>
        <v>7.0000000000000001E-3</v>
      </c>
      <c r="L122" s="198">
        <f>RN!K40</f>
        <v>0.51</v>
      </c>
      <c r="N122" s="252" t="str">
        <f t="shared" si="13"/>
        <v>RU</v>
      </c>
      <c r="O122" s="253">
        <f t="shared" si="14"/>
        <v>44362</v>
      </c>
      <c r="P122" s="254" t="str">
        <f t="array" ref="P122">INDEX($D$2:$D$278,MATCH(0,COUNTIF($P$1:$P121,$D$2:$D$278),0))</f>
        <v>RU44362</v>
      </c>
      <c r="Q122" s="255">
        <f t="shared" si="15"/>
        <v>6.92</v>
      </c>
      <c r="R122" s="255">
        <f t="shared" si="16"/>
        <v>24.1</v>
      </c>
      <c r="S122" s="255">
        <f t="shared" si="17"/>
        <v>0.1</v>
      </c>
      <c r="T122" s="255">
        <f t="shared" si="18"/>
        <v>0.23</v>
      </c>
      <c r="U122" s="255">
        <f t="shared" si="19"/>
        <v>0.39</v>
      </c>
      <c r="V122" s="255">
        <f t="shared" si="20"/>
        <v>0.1</v>
      </c>
      <c r="W122" s="255">
        <f t="shared" si="21"/>
        <v>1.0999999999999999E-2</v>
      </c>
      <c r="X122" s="256">
        <f t="shared" si="22"/>
        <v>0.56000000000000005</v>
      </c>
      <c r="Y122" s="534" t="str" cm="1">
        <f t="array" ref="Y122">_xlfn.IFS(O122&lt;44361, "Before the burn", O122&lt;44403, "During the burn", O122&gt;44403, "After the burn")</f>
        <v>During the burn</v>
      </c>
    </row>
    <row r="123" spans="1:25" x14ac:dyDescent="0.3">
      <c r="A123" s="194" t="str">
        <f>UPPER(LEFT(RN!B41,2))&amp;RIGHT(RN!B41,LEN(RN!B41)-2)</f>
        <v>RG</v>
      </c>
      <c r="B123" s="195" t="str" cm="1">
        <f t="array" ref="B123">_xlfn.IFS(A123="EP", "EP", A123="STa", "SPI", A123="STb", "SPO", A123="MRT", "MRT", A123="RG", "RN", A123="RT", "RU", A123="RW", "RL", A123="RC", "RS")</f>
        <v>RN</v>
      </c>
      <c r="C123" s="196">
        <f>INT(RN!A41)</f>
        <v>44411</v>
      </c>
      <c r="D123" s="196" t="str">
        <f t="shared" si="12"/>
        <v>RN44411</v>
      </c>
      <c r="E123" s="197">
        <f>RN!D41</f>
        <v>6.81</v>
      </c>
      <c r="F123" s="197">
        <f>RN!E41</f>
        <v>24.1</v>
      </c>
      <c r="G123" s="197">
        <f>RN!F41</f>
        <v>0.11</v>
      </c>
      <c r="H123" s="197">
        <f>RN!H41</f>
        <v>1.04</v>
      </c>
      <c r="I123" s="197">
        <f>RN!G41</f>
        <v>0.84</v>
      </c>
      <c r="J123" s="197">
        <f>RN!I41</f>
        <v>0.21</v>
      </c>
      <c r="K123" s="197">
        <f>RN!J41</f>
        <v>7.0000000000000001E-3</v>
      </c>
      <c r="L123" s="198">
        <f>RN!K41</f>
        <v>0.67</v>
      </c>
      <c r="N123" s="252" t="str">
        <f t="shared" si="13"/>
        <v>RU</v>
      </c>
      <c r="O123" s="253">
        <f t="shared" si="14"/>
        <v>44363</v>
      </c>
      <c r="P123" s="254" t="str">
        <f t="array" ref="P123">INDEX($D$2:$D$278,MATCH(0,COUNTIF($P$1:$P122,$D$2:$D$278),0))</f>
        <v>RU44363</v>
      </c>
      <c r="Q123" s="255">
        <f t="shared" si="15"/>
        <v>7.12</v>
      </c>
      <c r="R123" s="255">
        <f t="shared" si="16"/>
        <v>28.8</v>
      </c>
      <c r="S123" s="255">
        <f t="shared" si="17"/>
        <v>2.36</v>
      </c>
      <c r="T123" s="255">
        <f t="shared" si="18"/>
        <v>0.02</v>
      </c>
      <c r="U123" s="255">
        <f t="shared" si="19"/>
        <v>2.41</v>
      </c>
      <c r="V123" s="255">
        <f t="shared" si="20"/>
        <v>0.09</v>
      </c>
      <c r="W123" s="255">
        <f t="shared" si="21"/>
        <v>7.0000000000000001E-3</v>
      </c>
      <c r="X123" s="256">
        <f t="shared" si="22"/>
        <v>0.34</v>
      </c>
      <c r="Y123" s="534" t="str" cm="1">
        <f t="array" ref="Y123">_xlfn.IFS(O123&lt;44361, "Before the burn", O123&lt;44403, "During the burn", O123&gt;44403, "After the burn")</f>
        <v>During the burn</v>
      </c>
    </row>
    <row r="124" spans="1:25" x14ac:dyDescent="0.3">
      <c r="A124" s="194" t="str">
        <f>UPPER(LEFT(RN!B42,2))&amp;RIGHT(RN!B42,LEN(RN!B42)-2)</f>
        <v>RG</v>
      </c>
      <c r="B124" s="195" t="str" cm="1">
        <f t="array" ref="B124">_xlfn.IFS(A124="EP", "EP", A124="STa", "SPI", A124="STb", "SPO", A124="MRT", "MRT", A124="RG", "RN", A124="RT", "RU", A124="RW", "RL", A124="RC", "RS")</f>
        <v>RN</v>
      </c>
      <c r="C124" s="196">
        <f>INT(RN!A42)</f>
        <v>44412</v>
      </c>
      <c r="D124" s="196" t="str">
        <f t="shared" si="12"/>
        <v>RN44412</v>
      </c>
      <c r="E124" s="197">
        <f>RN!D42</f>
        <v>6.72</v>
      </c>
      <c r="F124" s="197">
        <f>RN!E42</f>
        <v>23.1</v>
      </c>
      <c r="G124" s="197">
        <f>RN!F42</f>
        <v>0.09</v>
      </c>
      <c r="H124" s="197">
        <f>RN!H42</f>
        <v>0.66</v>
      </c>
      <c r="I124" s="197">
        <f>RN!G42</f>
        <v>0.51</v>
      </c>
      <c r="J124" s="197">
        <f>RN!I42</f>
        <v>0.35</v>
      </c>
      <c r="K124" s="197">
        <f>RN!J42</f>
        <v>6.0000000000000001E-3</v>
      </c>
      <c r="L124" s="198">
        <f>RN!K42</f>
        <v>0.68</v>
      </c>
      <c r="N124" s="252" t="str">
        <f t="shared" si="13"/>
        <v>RU</v>
      </c>
      <c r="O124" s="253">
        <f t="shared" si="14"/>
        <v>44364</v>
      </c>
      <c r="P124" s="254" t="str">
        <f t="array" ref="P124">INDEX($D$2:$D$278,MATCH(0,COUNTIF($P$1:$P123,$D$2:$D$278),0))</f>
        <v>RU44364</v>
      </c>
      <c r="Q124" s="255">
        <f t="shared" si="15"/>
        <v>7.06</v>
      </c>
      <c r="R124" s="255">
        <f t="shared" si="16"/>
        <v>27</v>
      </c>
      <c r="S124" s="255">
        <f t="shared" si="17"/>
        <v>2.37</v>
      </c>
      <c r="T124" s="255">
        <f t="shared" si="18"/>
        <v>0.02</v>
      </c>
      <c r="U124" s="255">
        <f t="shared" si="19"/>
        <v>2.4900000000000002</v>
      </c>
      <c r="V124" s="255">
        <f t="shared" si="20"/>
        <v>0.19</v>
      </c>
      <c r="W124" s="255">
        <f t="shared" si="21"/>
        <v>7.0000000000000001E-3</v>
      </c>
      <c r="X124" s="256">
        <f t="shared" si="22"/>
        <v>0.41</v>
      </c>
      <c r="Y124" s="534" t="str" cm="1">
        <f t="array" ref="Y124">_xlfn.IFS(O124&lt;44361, "Before the burn", O124&lt;44403, "During the burn", O124&gt;44403, "After the burn")</f>
        <v>During the burn</v>
      </c>
    </row>
    <row r="125" spans="1:25" x14ac:dyDescent="0.3">
      <c r="A125" s="194" t="str">
        <f>UPPER(LEFT(RN!B43,2))&amp;RIGHT(RN!B43,LEN(RN!B43)-2)</f>
        <v>RG</v>
      </c>
      <c r="B125" s="195" t="str" cm="1">
        <f t="array" ref="B125">_xlfn.IFS(A125="EP", "EP", A125="STa", "SPI", A125="STb", "SPO", A125="MRT", "MRT", A125="RG", "RN", A125="RT", "RU", A125="RW", "RL", A125="RC", "RS")</f>
        <v>RN</v>
      </c>
      <c r="C125" s="196">
        <f>INT(RN!A43)</f>
        <v>44412</v>
      </c>
      <c r="D125" s="196" t="str">
        <f t="shared" si="12"/>
        <v>RN44412</v>
      </c>
      <c r="E125" s="197">
        <f>RN!D43</f>
        <v>6.76</v>
      </c>
      <c r="F125" s="197">
        <f>RN!E43</f>
        <v>24.1</v>
      </c>
      <c r="G125" s="197">
        <f>RN!F43</f>
        <v>0.1</v>
      </c>
      <c r="H125" s="197">
        <f>RN!H43</f>
        <v>1.1200000000000001</v>
      </c>
      <c r="I125" s="197">
        <f>RN!G43</f>
        <v>1.0900000000000001</v>
      </c>
      <c r="J125" s="197">
        <f>RN!I43</f>
        <v>0.19</v>
      </c>
      <c r="K125" s="197">
        <f>RN!J43</f>
        <v>7.0000000000000001E-3</v>
      </c>
      <c r="L125" s="198">
        <f>RN!K43</f>
        <v>0.54</v>
      </c>
      <c r="N125" s="252" t="str">
        <f t="shared" si="13"/>
        <v>RU</v>
      </c>
      <c r="O125" s="253">
        <f t="shared" si="14"/>
        <v>44369</v>
      </c>
      <c r="P125" s="254" t="str">
        <f t="array" ref="P125">INDEX($D$2:$D$278,MATCH(0,COUNTIF($P$1:$P124,$D$2:$D$278),0))</f>
        <v>RU44369</v>
      </c>
      <c r="Q125" s="255">
        <f t="shared" si="15"/>
        <v>7.33</v>
      </c>
      <c r="R125" s="255">
        <f t="shared" si="16"/>
        <v>25</v>
      </c>
      <c r="S125" s="255">
        <f t="shared" si="17"/>
        <v>2.72</v>
      </c>
      <c r="T125" s="255">
        <f t="shared" si="18"/>
        <v>0.02</v>
      </c>
      <c r="U125" s="255">
        <f t="shared" si="19"/>
        <v>2.79</v>
      </c>
      <c r="V125" s="255">
        <f t="shared" si="20"/>
        <v>0.1</v>
      </c>
      <c r="W125" s="255">
        <f t="shared" si="21"/>
        <v>8.9999999999999993E-3</v>
      </c>
      <c r="X125" s="256">
        <f t="shared" si="22"/>
        <v>0.34</v>
      </c>
      <c r="Y125" s="534" t="str" cm="1">
        <f t="array" ref="Y125">_xlfn.IFS(O125&lt;44361, "Before the burn", O125&lt;44403, "During the burn", O125&gt;44403, "After the burn")</f>
        <v>During the burn</v>
      </c>
    </row>
    <row r="126" spans="1:25" x14ac:dyDescent="0.3">
      <c r="A126" s="194" t="str">
        <f>UPPER(LEFT(RN!B44,2))&amp;RIGHT(RN!B44,LEN(RN!B44)-2)</f>
        <v>RG</v>
      </c>
      <c r="B126" s="195" t="str" cm="1">
        <f t="array" ref="B126">_xlfn.IFS(A126="EP", "EP", A126="STa", "SPI", A126="STb", "SPO", A126="MRT", "MRT", A126="RG", "RN", A126="RT", "RU", A126="RW", "RL", A126="RC", "RS")</f>
        <v>RN</v>
      </c>
      <c r="C126" s="196">
        <f>INT(RN!A44)</f>
        <v>44418</v>
      </c>
      <c r="D126" s="196" t="str">
        <f t="shared" si="12"/>
        <v>RN44418</v>
      </c>
      <c r="E126" s="197">
        <f>RN!D44</f>
        <v>6.82</v>
      </c>
      <c r="F126" s="197">
        <f>RN!E44</f>
        <v>24</v>
      </c>
      <c r="G126" s="197">
        <f>RN!F44</f>
        <v>0.15</v>
      </c>
      <c r="H126" s="197">
        <f>RN!H44</f>
        <v>1.35</v>
      </c>
      <c r="I126" s="197">
        <f>RN!G44</f>
        <v>1.26</v>
      </c>
      <c r="J126" s="197">
        <f>RN!I44</f>
        <v>0.23</v>
      </c>
      <c r="K126" s="197">
        <f>RN!J44</f>
        <v>5.0000000000000001E-3</v>
      </c>
      <c r="L126" s="198">
        <f>RN!K44</f>
        <v>0.63</v>
      </c>
      <c r="N126" s="252" t="str">
        <f t="shared" si="13"/>
        <v>RU</v>
      </c>
      <c r="O126" s="253">
        <f t="shared" si="14"/>
        <v>44370</v>
      </c>
      <c r="P126" s="254" t="str">
        <f t="array" ref="P126">INDEX($D$2:$D$278,MATCH(0,COUNTIF($P$1:$P125,$D$2:$D$278),0))</f>
        <v>RU44370</v>
      </c>
      <c r="Q126" s="255">
        <f t="shared" si="15"/>
        <v>7.1</v>
      </c>
      <c r="R126" s="255">
        <f t="shared" si="16"/>
        <v>27.4</v>
      </c>
      <c r="S126" s="255">
        <f t="shared" si="17"/>
        <v>3.26</v>
      </c>
      <c r="T126" s="255">
        <f t="shared" si="18"/>
        <v>0.01</v>
      </c>
      <c r="U126" s="255">
        <f t="shared" si="19"/>
        <v>3.3</v>
      </c>
      <c r="V126" s="255">
        <f t="shared" si="20"/>
        <v>1.4999999999999999E-2</v>
      </c>
      <c r="W126" s="255">
        <f t="shared" si="21"/>
        <v>6.5000000000000006E-3</v>
      </c>
      <c r="X126" s="256">
        <f t="shared" si="22"/>
        <v>0.32999999999999996</v>
      </c>
      <c r="Y126" s="534" t="str" cm="1">
        <f t="array" ref="Y126">_xlfn.IFS(O126&lt;44361, "Before the burn", O126&lt;44403, "During the burn", O126&gt;44403, "After the burn")</f>
        <v>During the burn</v>
      </c>
    </row>
    <row r="127" spans="1:25" x14ac:dyDescent="0.3">
      <c r="A127" s="194" t="str">
        <f>UPPER(LEFT(RN!B45,2))&amp;RIGHT(RN!B45,LEN(RN!B45)-2)</f>
        <v>RG</v>
      </c>
      <c r="B127" s="195" t="str" cm="1">
        <f t="array" ref="B127">_xlfn.IFS(A127="EP", "EP", A127="STa", "SPI", A127="STb", "SPO", A127="MRT", "MRT", A127="RG", "RN", A127="RT", "RU", A127="RW", "RL", A127="RC", "RS")</f>
        <v>RN</v>
      </c>
      <c r="C127" s="196">
        <f>INT(RN!A45)</f>
        <v>44419</v>
      </c>
      <c r="D127" s="196" t="str">
        <f t="shared" si="12"/>
        <v>RN44419</v>
      </c>
      <c r="E127" s="197">
        <f>RN!D45</f>
        <v>6.8</v>
      </c>
      <c r="F127" s="197">
        <f>RN!E45</f>
        <v>23.1</v>
      </c>
      <c r="G127" s="197">
        <f>RN!F45</f>
        <v>0.09</v>
      </c>
      <c r="H127" s="197">
        <f>RN!H45</f>
        <v>0.6</v>
      </c>
      <c r="I127" s="197">
        <f>RN!G45</f>
        <v>0.47</v>
      </c>
      <c r="J127" s="197">
        <f>RN!I45</f>
        <v>0.19</v>
      </c>
      <c r="K127" s="197">
        <f>RN!J45</f>
        <v>7.0000000000000001E-3</v>
      </c>
      <c r="L127" s="198">
        <f>RN!K45</f>
        <v>0.69</v>
      </c>
      <c r="N127" s="252" t="str">
        <f t="shared" si="13"/>
        <v>RU</v>
      </c>
      <c r="O127" s="253">
        <f t="shared" si="14"/>
        <v>44376</v>
      </c>
      <c r="P127" s="254" t="str">
        <f t="array" ref="P127">INDEX($D$2:$D$278,MATCH(0,COUNTIF($P$1:$P126,$D$2:$D$278),0))</f>
        <v>RU44376</v>
      </c>
      <c r="Q127" s="255">
        <f t="shared" si="15"/>
        <v>7.05</v>
      </c>
      <c r="R127" s="255">
        <f t="shared" si="16"/>
        <v>24.4</v>
      </c>
      <c r="S127" s="255">
        <f t="shared" si="17"/>
        <v>2.58</v>
      </c>
      <c r="T127" s="255">
        <f t="shared" si="18"/>
        <v>0.02</v>
      </c>
      <c r="U127" s="255">
        <f t="shared" si="19"/>
        <v>2.69</v>
      </c>
      <c r="V127" s="255">
        <f t="shared" si="20"/>
        <v>0.1</v>
      </c>
      <c r="W127" s="255">
        <f t="shared" si="21"/>
        <v>7.0000000000000001E-3</v>
      </c>
      <c r="X127" s="256">
        <f t="shared" si="22"/>
        <v>0.42</v>
      </c>
      <c r="Y127" s="534" t="str" cm="1">
        <f t="array" ref="Y127">_xlfn.IFS(O127&lt;44361, "Before the burn", O127&lt;44403, "During the burn", O127&gt;44403, "After the burn")</f>
        <v>During the burn</v>
      </c>
    </row>
    <row r="128" spans="1:25" x14ac:dyDescent="0.3">
      <c r="A128" s="194" t="str">
        <f>UPPER(LEFT(RN!B46,2))&amp;RIGHT(RN!B46,LEN(RN!B46)-2)</f>
        <v>RG</v>
      </c>
      <c r="B128" s="195" t="str" cm="1">
        <f t="array" ref="B128">_xlfn.IFS(A128="EP", "EP", A128="STa", "SPI", A128="STb", "SPO", A128="MRT", "MRT", A128="RG", "RN", A128="RT", "RU", A128="RW", "RL", A128="RC", "RS")</f>
        <v>RN</v>
      </c>
      <c r="C128" s="196">
        <f>INT(RN!A46)</f>
        <v>44419</v>
      </c>
      <c r="D128" s="196" t="str">
        <f t="shared" si="12"/>
        <v>RN44419</v>
      </c>
      <c r="E128" s="197">
        <f>RN!D46</f>
        <v>6.84</v>
      </c>
      <c r="F128" s="197">
        <f>RN!E46</f>
        <v>23.1</v>
      </c>
      <c r="G128" s="197">
        <f>RN!F46</f>
        <v>0.11</v>
      </c>
      <c r="H128" s="197">
        <f>RN!H46</f>
        <v>1.57</v>
      </c>
      <c r="I128" s="197">
        <f>RN!G46</f>
        <v>1.72</v>
      </c>
      <c r="J128" s="197">
        <f>RN!I46</f>
        <v>0.17</v>
      </c>
      <c r="K128" s="197">
        <f>RN!J46</f>
        <v>6.0000000000000001E-3</v>
      </c>
      <c r="L128" s="198">
        <f>RN!K46</f>
        <v>0.53</v>
      </c>
      <c r="N128" s="252" t="str">
        <f t="shared" si="13"/>
        <v>RU</v>
      </c>
      <c r="O128" s="253">
        <f t="shared" si="14"/>
        <v>44377</v>
      </c>
      <c r="P128" s="254" t="str">
        <f t="array" ref="P128">INDEX($D$2:$D$278,MATCH(0,COUNTIF($P$1:$P127,$D$2:$D$278),0))</f>
        <v>RU44377</v>
      </c>
      <c r="Q128" s="255">
        <f t="shared" si="15"/>
        <v>6.9850000000000003</v>
      </c>
      <c r="R128" s="255">
        <f t="shared" si="16"/>
        <v>26.7</v>
      </c>
      <c r="S128" s="255">
        <f t="shared" si="17"/>
        <v>3.08</v>
      </c>
      <c r="T128" s="255">
        <f t="shared" si="18"/>
        <v>0.01</v>
      </c>
      <c r="U128" s="255">
        <f t="shared" si="19"/>
        <v>3.0649999999999999</v>
      </c>
      <c r="V128" s="255">
        <f t="shared" si="20"/>
        <v>0.04</v>
      </c>
      <c r="W128" s="255">
        <f t="shared" si="21"/>
        <v>8.0000000000000002E-3</v>
      </c>
      <c r="X128" s="256">
        <f t="shared" si="22"/>
        <v>0.32</v>
      </c>
      <c r="Y128" s="534" t="str" cm="1">
        <f t="array" ref="Y128">_xlfn.IFS(O128&lt;44361, "Before the burn", O128&lt;44403, "During the burn", O128&gt;44403, "After the burn")</f>
        <v>During the burn</v>
      </c>
    </row>
    <row r="129" spans="1:25" x14ac:dyDescent="0.3">
      <c r="A129" s="194" t="str">
        <f>UPPER(LEFT(RN!B47,2))&amp;RIGHT(RN!B47,LEN(RN!B47)-2)</f>
        <v>RG</v>
      </c>
      <c r="B129" s="195" t="str" cm="1">
        <f t="array" ref="B129">_xlfn.IFS(A129="EP", "EP", A129="STa", "SPI", A129="STb", "SPO", A129="MRT", "MRT", A129="RG", "RN", A129="RT", "RU", A129="RW", "RL", A129="RC", "RS")</f>
        <v>RN</v>
      </c>
      <c r="C129" s="196">
        <f>INT(RN!A47)</f>
        <v>44425</v>
      </c>
      <c r="D129" s="196" t="str">
        <f t="shared" si="12"/>
        <v>RN44425</v>
      </c>
      <c r="E129" s="197">
        <f>RN!D47</f>
        <v>6.73</v>
      </c>
      <c r="F129" s="197">
        <f>RN!E47</f>
        <v>23.4</v>
      </c>
      <c r="G129" s="197">
        <f>RN!F47</f>
        <v>0.03</v>
      </c>
      <c r="H129" s="197">
        <f>RN!H47</f>
        <v>0.56999999999999995</v>
      </c>
      <c r="I129" s="197">
        <f>RN!G47</f>
        <v>0.41</v>
      </c>
      <c r="J129" s="197">
        <f>RN!I47</f>
        <v>0.19</v>
      </c>
      <c r="K129" s="197">
        <f>RN!J47</f>
        <v>6.0000000000000001E-3</v>
      </c>
      <c r="L129" s="198">
        <f>RN!K47</f>
        <v>0.64</v>
      </c>
      <c r="N129" s="252" t="str">
        <f t="shared" si="13"/>
        <v>RU</v>
      </c>
      <c r="O129" s="253">
        <f t="shared" si="14"/>
        <v>44384</v>
      </c>
      <c r="P129" s="254" t="str">
        <f t="array" ref="P129">INDEX($D$2:$D$278,MATCH(0,COUNTIF($P$1:$P128,$D$2:$D$278),0))</f>
        <v>RU44384</v>
      </c>
      <c r="Q129" s="255">
        <f t="shared" si="15"/>
        <v>6.45</v>
      </c>
      <c r="R129" s="255">
        <f t="shared" si="16"/>
        <v>25</v>
      </c>
      <c r="S129" s="255">
        <f t="shared" si="17"/>
        <v>2.29</v>
      </c>
      <c r="T129" s="255">
        <f t="shared" si="18"/>
        <v>0.02</v>
      </c>
      <c r="U129" s="255">
        <f t="shared" si="19"/>
        <v>2.42</v>
      </c>
      <c r="V129" s="255">
        <f t="shared" si="20"/>
        <v>0.03</v>
      </c>
      <c r="W129" s="255">
        <f t="shared" si="21"/>
        <v>7.0000000000000001E-3</v>
      </c>
      <c r="X129" s="256">
        <f t="shared" si="22"/>
        <v>0.4</v>
      </c>
      <c r="Y129" s="534" t="str" cm="1">
        <f t="array" ref="Y129">_xlfn.IFS(O129&lt;44361, "Before the burn", O129&lt;44403, "During the burn", O129&gt;44403, "After the burn")</f>
        <v>During the burn</v>
      </c>
    </row>
    <row r="130" spans="1:25" x14ac:dyDescent="0.3">
      <c r="A130" s="194" t="str">
        <f>UPPER(LEFT(RN!B48,2))&amp;RIGHT(RN!B48,LEN(RN!B48)-2)</f>
        <v>RG</v>
      </c>
      <c r="B130" s="195" t="str" cm="1">
        <f t="array" ref="B130">_xlfn.IFS(A130="EP", "EP", A130="STa", "SPI", A130="STb", "SPO", A130="MRT", "MRT", A130="RG", "RN", A130="RT", "RU", A130="RW", "RL", A130="RC", "RS")</f>
        <v>RN</v>
      </c>
      <c r="C130" s="196">
        <f>INT(RN!A48)</f>
        <v>44426</v>
      </c>
      <c r="D130" s="196" t="str">
        <f t="shared" si="12"/>
        <v>RN44426</v>
      </c>
      <c r="E130" s="197">
        <f>RN!D48</f>
        <v>7.1</v>
      </c>
      <c r="F130" s="197">
        <f>RN!E48</f>
        <v>23.2</v>
      </c>
      <c r="G130" s="197">
        <f>RN!F48</f>
        <v>0.08</v>
      </c>
      <c r="H130" s="197">
        <f>RN!H48</f>
        <v>1.23</v>
      </c>
      <c r="I130" s="197">
        <f>RN!G48</f>
        <v>1.07</v>
      </c>
      <c r="J130" s="197">
        <f>RN!I48</f>
        <v>0.23</v>
      </c>
      <c r="K130" s="197">
        <f>RN!J48</f>
        <v>8.0000000000000002E-3</v>
      </c>
      <c r="L130" s="198">
        <f>RN!K48</f>
        <v>0.61</v>
      </c>
      <c r="N130" s="252" t="str">
        <f t="shared" si="13"/>
        <v>RU</v>
      </c>
      <c r="O130" s="253">
        <f t="shared" si="14"/>
        <v>44385</v>
      </c>
      <c r="P130" s="254" t="str">
        <f t="array" ref="P130">INDEX($D$2:$D$278,MATCH(0,COUNTIF($P$1:$P129,$D$2:$D$278),0))</f>
        <v>RU44385</v>
      </c>
      <c r="Q130" s="255">
        <f t="shared" si="15"/>
        <v>6.7450000000000001</v>
      </c>
      <c r="R130" s="255">
        <f t="shared" si="16"/>
        <v>27.15</v>
      </c>
      <c r="S130" s="255">
        <f t="shared" si="17"/>
        <v>2.6550000000000002</v>
      </c>
      <c r="T130" s="255">
        <f t="shared" si="18"/>
        <v>5.0000000000000001E-3</v>
      </c>
      <c r="U130" s="255">
        <f t="shared" si="19"/>
        <v>2.73</v>
      </c>
      <c r="V130" s="255">
        <f t="shared" si="20"/>
        <v>0.05</v>
      </c>
      <c r="W130" s="255">
        <f t="shared" si="21"/>
        <v>7.0000000000000001E-3</v>
      </c>
      <c r="X130" s="256">
        <f t="shared" si="22"/>
        <v>0.4</v>
      </c>
      <c r="Y130" s="534" t="str" cm="1">
        <f t="array" ref="Y130">_xlfn.IFS(O130&lt;44361, "Before the burn", O130&lt;44403, "During the burn", O130&gt;44403, "After the burn")</f>
        <v>During the burn</v>
      </c>
    </row>
    <row r="131" spans="1:25" x14ac:dyDescent="0.3">
      <c r="A131" s="194" t="str">
        <f>UPPER(LEFT(RN!B49,2))&amp;RIGHT(RN!B49,LEN(RN!B49)-2)</f>
        <v>RG</v>
      </c>
      <c r="B131" s="195" t="str" cm="1">
        <f t="array" ref="B131">_xlfn.IFS(A131="EP", "EP", A131="STa", "SPI", A131="STb", "SPO", A131="MRT", "MRT", A131="RG", "RN", A131="RT", "RU", A131="RW", "RL", A131="RC", "RS")</f>
        <v>RN</v>
      </c>
      <c r="C131" s="196">
        <f>INT(RN!A49)</f>
        <v>44426</v>
      </c>
      <c r="D131" s="196" t="str">
        <f t="shared" ref="D131:D194" si="23">B131&amp;C131</f>
        <v>RN44426</v>
      </c>
      <c r="E131" s="197">
        <f>RN!D49</f>
        <v>7.11</v>
      </c>
      <c r="F131" s="197">
        <f>RN!E49</f>
        <v>23.4</v>
      </c>
      <c r="G131" s="197">
        <f>RN!F49</f>
        <v>0.06</v>
      </c>
      <c r="H131" s="197">
        <f>RN!H49</f>
        <v>1.28</v>
      </c>
      <c r="I131" s="197">
        <f>RN!G49</f>
        <v>1.5</v>
      </c>
      <c r="J131" s="197">
        <f>RN!I49</f>
        <v>0.12</v>
      </c>
      <c r="K131" s="197">
        <f>RN!J49</f>
        <v>0.1</v>
      </c>
      <c r="L131" s="198">
        <f>RN!K49</f>
        <v>0.73</v>
      </c>
      <c r="N131" s="252" t="str">
        <f t="shared" ref="N131:N194" si="24">LEFT(P131, LEN(P131)-5)</f>
        <v>RU</v>
      </c>
      <c r="O131" s="253">
        <f t="shared" ref="O131:O194" si="25">INT(RIGHT(P131, 5))</f>
        <v>44390</v>
      </c>
      <c r="P131" s="254" t="str">
        <f t="array" ref="P131">INDEX($D$2:$D$278,MATCH(0,COUNTIF($P$1:$P130,$D$2:$D$278),0))</f>
        <v>RU44390</v>
      </c>
      <c r="Q131" s="255">
        <f t="shared" ref="Q131:Q194" si="26">AVERAGEIF($D$2:$D$278, $P131, E$2:E$278)</f>
        <v>6.69</v>
      </c>
      <c r="R131" s="255">
        <f t="shared" ref="R131:R194" si="27">AVERAGEIF($D$2:$D$278, $P131, F$2:F$278)</f>
        <v>24.8</v>
      </c>
      <c r="S131" s="255">
        <f t="shared" ref="S131:S194" si="28">AVERAGEIF($D$2:$D$278, $P131, G$2:G$278)</f>
        <v>2.0299999999999998</v>
      </c>
      <c r="T131" s="255">
        <f t="shared" ref="T131:T194" si="29">AVERAGEIF($D$2:$D$278, $P131, H$2:H$278)</f>
        <v>0</v>
      </c>
      <c r="U131" s="255">
        <f t="shared" ref="U131:U194" si="30">AVERAGEIF($D$2:$D$278, $P131, I$2:I$278)</f>
        <v>2.19</v>
      </c>
      <c r="V131" s="255">
        <f t="shared" ref="V131:V194" si="31">AVERAGEIF($D$2:$D$278, $P131, J$2:J$278)</f>
        <v>0.04</v>
      </c>
      <c r="W131" s="255">
        <f t="shared" ref="W131:W194" si="32">AVERAGEIF($D$2:$D$278, $P131, K$2:K$278)</f>
        <v>6.0000000000000001E-3</v>
      </c>
      <c r="X131" s="256">
        <f t="shared" ref="X131:X194" si="33">AVERAGEIF($D$2:$D$278, $P131, L$2:L$278)</f>
        <v>0.41</v>
      </c>
      <c r="Y131" s="534" t="str" cm="1">
        <f t="array" ref="Y131">_xlfn.IFS(O131&lt;44361, "Before the burn", O131&lt;44403, "During the burn", O131&gt;44403, "After the burn")</f>
        <v>During the burn</v>
      </c>
    </row>
    <row r="132" spans="1:25" x14ac:dyDescent="0.3">
      <c r="A132" s="194" t="str">
        <f>UPPER(LEFT(RN!B50,2))&amp;RIGHT(RN!B50,LEN(RN!B50)-2)</f>
        <v>RG</v>
      </c>
      <c r="B132" s="195" t="str" cm="1">
        <f t="array" ref="B132">_xlfn.IFS(A132="EP", "EP", A132="STa", "SPI", A132="STb", "SPO", A132="MRT", "MRT", A132="RG", "RN", A132="RT", "RU", A132="RW", "RL", A132="RC", "RS")</f>
        <v>RN</v>
      </c>
      <c r="C132" s="196">
        <f>INT(RN!A50)</f>
        <v>44432</v>
      </c>
      <c r="D132" s="196" t="str">
        <f t="shared" si="23"/>
        <v>RN44432</v>
      </c>
      <c r="E132" s="197">
        <f>RN!D50</f>
        <v>6.84</v>
      </c>
      <c r="F132" s="197">
        <f>RN!E50</f>
        <v>23.4</v>
      </c>
      <c r="G132" s="197">
        <f>RN!F50</f>
        <v>7.0000000000000007E-2</v>
      </c>
      <c r="H132" s="197">
        <f>RN!H50</f>
        <v>0.7</v>
      </c>
      <c r="I132" s="197">
        <f>RN!G50</f>
        <v>0.55000000000000004</v>
      </c>
      <c r="J132" s="197">
        <f>RN!I50</f>
        <v>0.12</v>
      </c>
      <c r="K132" s="197">
        <f>RN!J50</f>
        <v>8.9999999999999993E-3</v>
      </c>
      <c r="L132" s="198">
        <f>RN!K50</f>
        <v>0.6</v>
      </c>
      <c r="N132" s="252" t="str">
        <f t="shared" si="24"/>
        <v>RU</v>
      </c>
      <c r="O132" s="253">
        <f t="shared" si="25"/>
        <v>44391</v>
      </c>
      <c r="P132" s="254" t="str">
        <f t="array" ref="P132">INDEX($D$2:$D$278,MATCH(0,COUNTIF($P$1:$P131,$D$2:$D$278),0))</f>
        <v>RU44391</v>
      </c>
      <c r="Q132" s="255">
        <f t="shared" si="26"/>
        <v>6.8650000000000002</v>
      </c>
      <c r="R132" s="255">
        <f t="shared" si="27"/>
        <v>27.95</v>
      </c>
      <c r="S132" s="255">
        <f t="shared" si="28"/>
        <v>3.0150000000000001</v>
      </c>
      <c r="T132" s="255">
        <f t="shared" si="29"/>
        <v>0.02</v>
      </c>
      <c r="U132" s="255">
        <f t="shared" si="30"/>
        <v>3.0250000000000004</v>
      </c>
      <c r="V132" s="255">
        <f t="shared" si="31"/>
        <v>9.5000000000000001E-2</v>
      </c>
      <c r="W132" s="255">
        <f t="shared" si="32"/>
        <v>8.0000000000000002E-3</v>
      </c>
      <c r="X132" s="256">
        <f t="shared" si="33"/>
        <v>0.46</v>
      </c>
      <c r="Y132" s="534" t="str" cm="1">
        <f t="array" ref="Y132">_xlfn.IFS(O132&lt;44361, "Before the burn", O132&lt;44403, "During the burn", O132&gt;44403, "After the burn")</f>
        <v>During the burn</v>
      </c>
    </row>
    <row r="133" spans="1:25" x14ac:dyDescent="0.3">
      <c r="A133" s="194" t="str">
        <f>UPPER(LEFT(RN!B51,2))&amp;RIGHT(RN!B51,LEN(RN!B51)-2)</f>
        <v>RG</v>
      </c>
      <c r="B133" s="195" t="str" cm="1">
        <f t="array" ref="B133">_xlfn.IFS(A133="EP", "EP", A133="STa", "SPI", A133="STb", "SPO", A133="MRT", "MRT", A133="RG", "RN", A133="RT", "RU", A133="RW", "RL", A133="RC", "RS")</f>
        <v>RN</v>
      </c>
      <c r="C133" s="196">
        <f>INT(RN!A51)</f>
        <v>44433</v>
      </c>
      <c r="D133" s="196" t="str">
        <f t="shared" si="23"/>
        <v>RN44433</v>
      </c>
      <c r="E133" s="197">
        <f>RN!D51</f>
        <v>6.86</v>
      </c>
      <c r="F133" s="197">
        <f>RN!E51</f>
        <v>23.5</v>
      </c>
      <c r="G133" s="197">
        <f>RN!F51</f>
        <v>7.0000000000000007E-2</v>
      </c>
      <c r="H133" s="197">
        <f>RN!H51</f>
        <v>0.73</v>
      </c>
      <c r="I133" s="197">
        <f>RN!G51</f>
        <v>0.57999999999999996</v>
      </c>
      <c r="J133" s="197">
        <f>RN!I51</f>
        <v>0.19</v>
      </c>
      <c r="K133" s="197">
        <f>RN!J51</f>
        <v>7.0000000000000001E-3</v>
      </c>
      <c r="L133" s="198">
        <f>RN!K51</f>
        <v>0.67</v>
      </c>
      <c r="N133" s="252" t="str">
        <f t="shared" si="24"/>
        <v>RU</v>
      </c>
      <c r="O133" s="253">
        <f t="shared" si="25"/>
        <v>44397</v>
      </c>
      <c r="P133" s="254" t="str">
        <f t="array" ref="P133">INDEX($D$2:$D$278,MATCH(0,COUNTIF($P$1:$P132,$D$2:$D$278),0))</f>
        <v>RU44397</v>
      </c>
      <c r="Q133" s="255">
        <f t="shared" si="26"/>
        <v>6.5966666666666667</v>
      </c>
      <c r="R133" s="255">
        <f t="shared" si="27"/>
        <v>27.5</v>
      </c>
      <c r="S133" s="255">
        <f t="shared" si="28"/>
        <v>2.2399999999999998</v>
      </c>
      <c r="T133" s="255">
        <f t="shared" si="29"/>
        <v>0.01</v>
      </c>
      <c r="U133" s="255">
        <f t="shared" si="30"/>
        <v>2.3566666666666669</v>
      </c>
      <c r="V133" s="255">
        <f t="shared" si="31"/>
        <v>4.6666666666666669E-2</v>
      </c>
      <c r="W133" s="255">
        <f t="shared" si="32"/>
        <v>7.0000000000000001E-3</v>
      </c>
      <c r="X133" s="256">
        <f t="shared" si="33"/>
        <v>0.40666666666666668</v>
      </c>
      <c r="Y133" s="534" t="str" cm="1">
        <f t="array" ref="Y133">_xlfn.IFS(O133&lt;44361, "Before the burn", O133&lt;44403, "During the burn", O133&gt;44403, "After the burn")</f>
        <v>During the burn</v>
      </c>
    </row>
    <row r="134" spans="1:25" ht="16.350000000000001" thickBot="1" x14ac:dyDescent="0.35">
      <c r="A134" s="221" t="str">
        <f>UPPER(LEFT(RN!B52,2))&amp;RIGHT(RN!B52,LEN(RN!B52)-2)</f>
        <v>RG</v>
      </c>
      <c r="B134" s="222" t="str" cm="1">
        <f t="array" ref="B134">_xlfn.IFS(A134="EP", "EP", A134="STa", "SPI", A134="STb", "SPO", A134="MRT", "MRT", A134="RG", "RN", A134="RT", "RU", A134="RW", "RL", A134="RC", "RS")</f>
        <v>RN</v>
      </c>
      <c r="C134" s="223">
        <f>INT(RN!A52)</f>
        <v>44433</v>
      </c>
      <c r="D134" s="223" t="str">
        <f t="shared" si="23"/>
        <v>RN44433</v>
      </c>
      <c r="E134" s="224">
        <f>RN!D52</f>
        <v>6.97</v>
      </c>
      <c r="F134" s="224">
        <f>RN!E52</f>
        <v>24.3</v>
      </c>
      <c r="G134" s="224">
        <f>RN!F52</f>
        <v>7.0000000000000007E-2</v>
      </c>
      <c r="H134" s="224">
        <f>RN!H52</f>
        <v>0.85</v>
      </c>
      <c r="I134" s="224">
        <f>RN!G52</f>
        <v>0.71</v>
      </c>
      <c r="J134" s="224">
        <f>RN!I52</f>
        <v>0.28999999999999998</v>
      </c>
      <c r="K134" s="224">
        <f>RN!J52</f>
        <v>0.01</v>
      </c>
      <c r="L134" s="225">
        <f>RN!K52</f>
        <v>0.56999999999999995</v>
      </c>
      <c r="N134" s="252" t="str">
        <f t="shared" si="24"/>
        <v>RU</v>
      </c>
      <c r="O134" s="253">
        <f t="shared" si="25"/>
        <v>44404</v>
      </c>
      <c r="P134" s="254" t="str">
        <f t="array" ref="P134">INDEX($D$2:$D$278,MATCH(0,COUNTIF($P$1:$P133,$D$2:$D$278),0))</f>
        <v>RU44404</v>
      </c>
      <c r="Q134" s="255">
        <f t="shared" si="26"/>
        <v>6.61</v>
      </c>
      <c r="R134" s="255">
        <f t="shared" si="27"/>
        <v>26.9</v>
      </c>
      <c r="S134" s="255">
        <f t="shared" si="28"/>
        <v>0.13</v>
      </c>
      <c r="T134" s="255">
        <f t="shared" si="29"/>
        <v>1.77</v>
      </c>
      <c r="U134" s="255">
        <f t="shared" si="30"/>
        <v>1.95</v>
      </c>
      <c r="V134" s="255">
        <f t="shared" si="31"/>
        <v>0.18</v>
      </c>
      <c r="W134" s="255">
        <f t="shared" si="32"/>
        <v>6.0000000000000001E-3</v>
      </c>
      <c r="X134" s="256">
        <f t="shared" si="33"/>
        <v>0.42</v>
      </c>
      <c r="Y134" s="534" t="str" cm="1">
        <f t="array" ref="Y134">_xlfn.IFS(O134&lt;44361, "Before the burn", O134&lt;44403, "During the burn", O134&gt;44403, "After the burn")</f>
        <v>After the burn</v>
      </c>
    </row>
    <row r="135" spans="1:25" x14ac:dyDescent="0.3">
      <c r="A135" s="226" t="str">
        <f>UPPER(LEFT(RU!B3,2))&amp;RIGHT(RU!B3,LEN(RU!B3)-2)</f>
        <v>RT</v>
      </c>
      <c r="B135" s="227" t="str" cm="1">
        <f t="array" ref="B135">_xlfn.IFS(A135="EP", "EP", A135="STa", "SPI", A135="STb", "SPO", A135="MRT", "MRT", A135="RG", "RN", A135="RT", "RU", A135="RW", "RL", A135="RC", "RS")</f>
        <v>RU</v>
      </c>
      <c r="C135" s="228">
        <f>INT(RU!A3)</f>
        <v>44293</v>
      </c>
      <c r="D135" s="228" t="str">
        <f t="shared" si="23"/>
        <v>RU44293</v>
      </c>
      <c r="E135" s="229">
        <f>RU!D3</f>
        <v>6.61</v>
      </c>
      <c r="F135" s="229">
        <f>RU!E3</f>
        <v>24.2</v>
      </c>
      <c r="G135" s="229">
        <f>RU!F3</f>
        <v>7.0000000000000007E-2</v>
      </c>
      <c r="H135" s="229">
        <f>RU!H3</f>
        <v>2.62</v>
      </c>
      <c r="I135" s="229">
        <f>RU!G3</f>
        <v>3.05</v>
      </c>
      <c r="J135" s="229">
        <f>RU!I3</f>
        <v>0.2</v>
      </c>
      <c r="K135" s="229">
        <f>RU!J3</f>
        <v>7.0000000000000001E-3</v>
      </c>
      <c r="L135" s="230">
        <f>RU!K3</f>
        <v>0.3</v>
      </c>
      <c r="N135" s="252" t="str">
        <f t="shared" si="24"/>
        <v>RU</v>
      </c>
      <c r="O135" s="253">
        <f t="shared" si="25"/>
        <v>44405</v>
      </c>
      <c r="P135" s="254" t="str">
        <f t="array" ref="P135">INDEX($D$2:$D$278,MATCH(0,COUNTIF($P$1:$P134,$D$2:$D$278),0))</f>
        <v>RU44405</v>
      </c>
      <c r="Q135" s="255">
        <f t="shared" si="26"/>
        <v>6.7450000000000001</v>
      </c>
      <c r="R135" s="255">
        <f t="shared" si="27"/>
        <v>28.15</v>
      </c>
      <c r="S135" s="255">
        <f t="shared" si="28"/>
        <v>0.1</v>
      </c>
      <c r="T135" s="255">
        <f t="shared" si="29"/>
        <v>2.0449999999999999</v>
      </c>
      <c r="U135" s="255">
        <f t="shared" si="30"/>
        <v>2.2549999999999999</v>
      </c>
      <c r="V135" s="255">
        <f t="shared" si="31"/>
        <v>0.14000000000000001</v>
      </c>
      <c r="W135" s="255">
        <f t="shared" si="32"/>
        <v>6.0000000000000001E-3</v>
      </c>
      <c r="X135" s="256">
        <f t="shared" si="33"/>
        <v>0.44</v>
      </c>
      <c r="Y135" s="534" t="str" cm="1">
        <f t="array" ref="Y135">_xlfn.IFS(O135&lt;44361, "Before the burn", O135&lt;44403, "During the burn", O135&gt;44403, "After the burn")</f>
        <v>After the burn</v>
      </c>
    </row>
    <row r="136" spans="1:25" x14ac:dyDescent="0.3">
      <c r="A136" s="199" t="str">
        <f>UPPER(LEFT(RU!B4,2))&amp;RIGHT(RU!B4,LEN(RU!B4)-2)</f>
        <v>RT</v>
      </c>
      <c r="B136" s="200" t="str" cm="1">
        <f t="array" ref="B136">_xlfn.IFS(A136="EP", "EP", A136="STa", "SPI", A136="STb", "SPO", A136="MRT", "MRT", A136="RG", "RN", A136="RT", "RU", A136="RW", "RL", A136="RC", "RS")</f>
        <v>RU</v>
      </c>
      <c r="C136" s="201">
        <f>INT(RU!A4)</f>
        <v>44293</v>
      </c>
      <c r="D136" s="201" t="str">
        <f t="shared" si="23"/>
        <v>RU44293</v>
      </c>
      <c r="E136" s="202">
        <f>RU!D4</f>
        <v>6.67</v>
      </c>
      <c r="F136" s="202">
        <f>RU!E4</f>
        <v>22.8</v>
      </c>
      <c r="G136" s="202">
        <f>RU!F4</f>
        <v>0.08</v>
      </c>
      <c r="H136" s="202">
        <f>RU!H4</f>
        <v>2.58</v>
      </c>
      <c r="I136" s="202">
        <f>RU!G4</f>
        <v>2.85</v>
      </c>
      <c r="J136" s="202">
        <f>RU!I4</f>
        <v>0.21</v>
      </c>
      <c r="K136" s="202">
        <f>RU!J4</f>
        <v>1.4E-2</v>
      </c>
      <c r="L136" s="203">
        <f>RU!K4</f>
        <v>0.43</v>
      </c>
      <c r="N136" s="252" t="str">
        <f t="shared" si="24"/>
        <v>RU</v>
      </c>
      <c r="O136" s="253">
        <f t="shared" si="25"/>
        <v>44411</v>
      </c>
      <c r="P136" s="254" t="str">
        <f t="array" ref="P136">INDEX($D$2:$D$278,MATCH(0,COUNTIF($P$1:$P135,$D$2:$D$278),0))</f>
        <v>RU44411</v>
      </c>
      <c r="Q136" s="255">
        <f t="shared" si="26"/>
        <v>6.61</v>
      </c>
      <c r="R136" s="255">
        <f t="shared" si="27"/>
        <v>26.7</v>
      </c>
      <c r="S136" s="255">
        <f t="shared" si="28"/>
        <v>0.14000000000000001</v>
      </c>
      <c r="T136" s="255">
        <f t="shared" si="29"/>
        <v>2.19</v>
      </c>
      <c r="U136" s="255">
        <f t="shared" si="30"/>
        <v>2.62</v>
      </c>
      <c r="V136" s="255">
        <f t="shared" si="31"/>
        <v>0.11</v>
      </c>
      <c r="W136" s="255">
        <f t="shared" si="32"/>
        <v>7.0000000000000001E-3</v>
      </c>
      <c r="X136" s="256">
        <f t="shared" si="33"/>
        <v>0.34</v>
      </c>
      <c r="Y136" s="534" t="str" cm="1">
        <f t="array" ref="Y136">_xlfn.IFS(O136&lt;44361, "Before the burn", O136&lt;44403, "During the burn", O136&gt;44403, "After the burn")</f>
        <v>After the burn</v>
      </c>
    </row>
    <row r="137" spans="1:25" x14ac:dyDescent="0.3">
      <c r="A137" s="199" t="str">
        <f>UPPER(LEFT(RU!B5,2))&amp;RIGHT(RU!B5,LEN(RU!B5)-2)</f>
        <v>RT</v>
      </c>
      <c r="B137" s="200" t="str" cm="1">
        <f t="array" ref="B137">_xlfn.IFS(A137="EP", "EP", A137="STa", "SPI", A137="STb", "SPO", A137="MRT", "MRT", A137="RG", "RN", A137="RT", "RU", A137="RW", "RL", A137="RC", "RS")</f>
        <v>RU</v>
      </c>
      <c r="C137" s="201">
        <f>INT(RU!A5)</f>
        <v>44306</v>
      </c>
      <c r="D137" s="201" t="str">
        <f t="shared" si="23"/>
        <v>RU44306</v>
      </c>
      <c r="E137" s="202">
        <f>RU!D5</f>
        <v>7.05</v>
      </c>
      <c r="F137" s="202">
        <f>RU!E5</f>
        <v>18.899999999999999</v>
      </c>
      <c r="G137" s="202">
        <f>RU!F5</f>
        <v>0.15</v>
      </c>
      <c r="H137" s="202">
        <f>RU!H5</f>
        <v>2.0499999999999998</v>
      </c>
      <c r="I137" s="202">
        <f>RU!G5</f>
        <v>2.69</v>
      </c>
      <c r="J137" s="202">
        <f>RU!I5</f>
        <v>0.24</v>
      </c>
      <c r="K137" s="202">
        <f>RU!J5</f>
        <v>6.0000000000000001E-3</v>
      </c>
      <c r="L137" s="203">
        <f>RU!K5</f>
        <v>0.34</v>
      </c>
      <c r="N137" s="252" t="str">
        <f t="shared" si="24"/>
        <v>RU</v>
      </c>
      <c r="O137" s="253">
        <f t="shared" si="25"/>
        <v>44412</v>
      </c>
      <c r="P137" s="254" t="str">
        <f t="array" ref="P137">INDEX($D$2:$D$278,MATCH(0,COUNTIF($P$1:$P136,$D$2:$D$278),0))</f>
        <v>RU44412</v>
      </c>
      <c r="Q137" s="255">
        <f t="shared" si="26"/>
        <v>6.66</v>
      </c>
      <c r="R137" s="255">
        <f t="shared" si="27"/>
        <v>26.799999999999997</v>
      </c>
      <c r="S137" s="255">
        <f t="shared" si="28"/>
        <v>0.01</v>
      </c>
      <c r="T137" s="255">
        <f t="shared" si="29"/>
        <v>2.415</v>
      </c>
      <c r="U137" s="255">
        <f t="shared" si="30"/>
        <v>2.7800000000000002</v>
      </c>
      <c r="V137" s="255">
        <f t="shared" si="31"/>
        <v>0.115</v>
      </c>
      <c r="W137" s="255">
        <f t="shared" si="32"/>
        <v>6.5000000000000006E-3</v>
      </c>
      <c r="X137" s="256">
        <f t="shared" si="33"/>
        <v>0.35499999999999998</v>
      </c>
      <c r="Y137" s="534" t="str" cm="1">
        <f t="array" ref="Y137">_xlfn.IFS(O137&lt;44361, "Before the burn", O137&lt;44403, "During the burn", O137&gt;44403, "After the burn")</f>
        <v>After the burn</v>
      </c>
    </row>
    <row r="138" spans="1:25" x14ac:dyDescent="0.3">
      <c r="A138" s="199" t="str">
        <f>UPPER(LEFT(RU!B6,2))&amp;RIGHT(RU!B6,LEN(RU!B6)-2)</f>
        <v>RT</v>
      </c>
      <c r="B138" s="200" t="str" cm="1">
        <f t="array" ref="B138">_xlfn.IFS(A138="EP", "EP", A138="STa", "SPI", A138="STb", "SPO", A138="MRT", "MRT", A138="RG", "RN", A138="RT", "RU", A138="RW", "RL", A138="RC", "RS")</f>
        <v>RU</v>
      </c>
      <c r="C138" s="201">
        <f>INT(RU!A6)</f>
        <v>44313</v>
      </c>
      <c r="D138" s="201" t="str">
        <f t="shared" si="23"/>
        <v>RU44313</v>
      </c>
      <c r="E138" s="202">
        <f>RU!D6</f>
        <v>6.95</v>
      </c>
      <c r="F138" s="202">
        <f>RU!E6</f>
        <v>22.7</v>
      </c>
      <c r="G138" s="202">
        <f>RU!F6</f>
        <v>0.09</v>
      </c>
      <c r="H138" s="202">
        <f>RU!H6</f>
        <v>2.1</v>
      </c>
      <c r="I138" s="202">
        <f>RU!G6</f>
        <v>2.69</v>
      </c>
      <c r="J138" s="202">
        <f>RU!I6</f>
        <v>0.15</v>
      </c>
      <c r="K138" s="202">
        <f>RU!J6</f>
        <v>7.0000000000000001E-3</v>
      </c>
      <c r="L138" s="203">
        <f>RU!K6</f>
        <v>0.3</v>
      </c>
      <c r="N138" s="252" t="str">
        <f t="shared" si="24"/>
        <v>RU</v>
      </c>
      <c r="O138" s="253">
        <f t="shared" si="25"/>
        <v>44418</v>
      </c>
      <c r="P138" s="254" t="str">
        <f t="array" ref="P138">INDEX($D$2:$D$278,MATCH(0,COUNTIF($P$1:$P137,$D$2:$D$278),0))</f>
        <v>RU44418</v>
      </c>
      <c r="Q138" s="255">
        <f t="shared" si="26"/>
        <v>6.64</v>
      </c>
      <c r="R138" s="255">
        <f t="shared" si="27"/>
        <v>26.1</v>
      </c>
      <c r="S138" s="255">
        <f t="shared" si="28"/>
        <v>0.11</v>
      </c>
      <c r="T138" s="255">
        <f t="shared" si="29"/>
        <v>1.93</v>
      </c>
      <c r="U138" s="255">
        <f t="shared" si="30"/>
        <v>2.2200000000000002</v>
      </c>
      <c r="V138" s="255">
        <f t="shared" si="31"/>
        <v>0.14000000000000001</v>
      </c>
      <c r="W138" s="255">
        <f t="shared" si="32"/>
        <v>8.0000000000000002E-3</v>
      </c>
      <c r="X138" s="256">
        <f t="shared" si="33"/>
        <v>0.43</v>
      </c>
      <c r="Y138" s="534" t="str" cm="1">
        <f t="array" ref="Y138">_xlfn.IFS(O138&lt;44361, "Before the burn", O138&lt;44403, "During the burn", O138&gt;44403, "After the burn")</f>
        <v>After the burn</v>
      </c>
    </row>
    <row r="139" spans="1:25" x14ac:dyDescent="0.3">
      <c r="A139" s="199" t="str">
        <f>UPPER(LEFT(RU!B7,2))&amp;RIGHT(RU!B7,LEN(RU!B7)-2)</f>
        <v>RT</v>
      </c>
      <c r="B139" s="200" t="str" cm="1">
        <f t="array" ref="B139">_xlfn.IFS(A139="EP", "EP", A139="STa", "SPI", A139="STb", "SPO", A139="MRT", "MRT", A139="RG", "RN", A139="RT", "RU", A139="RW", "RL", A139="RC", "RS")</f>
        <v>RU</v>
      </c>
      <c r="C139" s="201">
        <f>INT(RU!A7)</f>
        <v>44327</v>
      </c>
      <c r="D139" s="201" t="str">
        <f t="shared" si="23"/>
        <v>RU44327</v>
      </c>
      <c r="E139" s="202">
        <f>RU!D7</f>
        <v>7.41</v>
      </c>
      <c r="F139" s="202">
        <f>RU!E7</f>
        <v>24.8</v>
      </c>
      <c r="G139" s="202">
        <f>RU!F7</f>
        <v>0.15</v>
      </c>
      <c r="H139" s="202">
        <f>RU!H7</f>
        <v>1.48</v>
      </c>
      <c r="I139" s="202">
        <f>RU!G7</f>
        <v>1.79</v>
      </c>
      <c r="J139" s="202">
        <f>RU!I7</f>
        <v>0.32</v>
      </c>
      <c r="K139" s="202">
        <f>RU!J7</f>
        <v>1.2999999999999999E-2</v>
      </c>
      <c r="L139" s="203">
        <f>RU!K7</f>
        <v>0.25</v>
      </c>
      <c r="N139" s="252" t="str">
        <f t="shared" si="24"/>
        <v>RU</v>
      </c>
      <c r="O139" s="253">
        <f t="shared" si="25"/>
        <v>44419</v>
      </c>
      <c r="P139" s="254" t="str">
        <f t="array" ref="P139">INDEX($D$2:$D$278,MATCH(0,COUNTIF($P$1:$P138,$D$2:$D$278),0))</f>
        <v>RU44419</v>
      </c>
      <c r="Q139" s="255">
        <f t="shared" si="26"/>
        <v>6.64</v>
      </c>
      <c r="R139" s="255">
        <f t="shared" si="27"/>
        <v>29.5</v>
      </c>
      <c r="S139" s="255">
        <f t="shared" si="28"/>
        <v>0.09</v>
      </c>
      <c r="T139" s="255">
        <f t="shared" si="29"/>
        <v>2.1950000000000003</v>
      </c>
      <c r="U139" s="255">
        <f t="shared" si="30"/>
        <v>2.665</v>
      </c>
      <c r="V139" s="255">
        <f t="shared" si="31"/>
        <v>0.14499999999999999</v>
      </c>
      <c r="W139" s="255">
        <f t="shared" si="32"/>
        <v>4.5000000000000005E-3</v>
      </c>
      <c r="X139" s="256">
        <f t="shared" si="33"/>
        <v>0.39500000000000002</v>
      </c>
      <c r="Y139" s="534" t="str" cm="1">
        <f t="array" ref="Y139">_xlfn.IFS(O139&lt;44361, "Before the burn", O139&lt;44403, "During the burn", O139&gt;44403, "After the burn")</f>
        <v>After the burn</v>
      </c>
    </row>
    <row r="140" spans="1:25" x14ac:dyDescent="0.3">
      <c r="A140" s="199" t="str">
        <f>UPPER(LEFT(RU!B8,2))&amp;RIGHT(RU!B8,LEN(RU!B8)-2)</f>
        <v>RT</v>
      </c>
      <c r="B140" s="200" t="str" cm="1">
        <f t="array" ref="B140">_xlfn.IFS(A140="EP", "EP", A140="STa", "SPI", A140="STb", "SPO", A140="MRT", "MRT", A140="RG", "RN", A140="RT", "RU", A140="RW", "RL", A140="RC", "RS")</f>
        <v>RU</v>
      </c>
      <c r="C140" s="201">
        <f>INT(RU!A8)</f>
        <v>44334</v>
      </c>
      <c r="D140" s="201" t="str">
        <f t="shared" si="23"/>
        <v>RU44334</v>
      </c>
      <c r="E140" s="202">
        <f>RU!D8</f>
        <v>7.3</v>
      </c>
      <c r="F140" s="202">
        <f>RU!E8</f>
        <v>23.3</v>
      </c>
      <c r="G140" s="202">
        <f>RU!F8</f>
        <v>0.13</v>
      </c>
      <c r="H140" s="202">
        <f>RU!H8</f>
        <v>1.5</v>
      </c>
      <c r="I140" s="202">
        <f>RU!G8</f>
        <v>1.95</v>
      </c>
      <c r="J140" s="202">
        <f>RU!I8</f>
        <v>0.43</v>
      </c>
      <c r="K140" s="202">
        <f>RU!J8</f>
        <v>2.4E-2</v>
      </c>
      <c r="L140" s="203">
        <f>RU!K8</f>
        <v>0.28999999999999998</v>
      </c>
      <c r="N140" s="252" t="str">
        <f t="shared" si="24"/>
        <v>RU</v>
      </c>
      <c r="O140" s="253">
        <f t="shared" si="25"/>
        <v>44425</v>
      </c>
      <c r="P140" s="254" t="str">
        <f t="array" ref="P140">INDEX($D$2:$D$278,MATCH(0,COUNTIF($P$1:$P139,$D$2:$D$278),0))</f>
        <v>RU44425</v>
      </c>
      <c r="Q140" s="255">
        <f t="shared" si="26"/>
        <v>6.71</v>
      </c>
      <c r="R140" s="255">
        <f t="shared" si="27"/>
        <v>26.9</v>
      </c>
      <c r="S140" s="255">
        <f t="shared" si="28"/>
        <v>0.1</v>
      </c>
      <c r="T140" s="255">
        <f t="shared" si="29"/>
        <v>1.72</v>
      </c>
      <c r="U140" s="255">
        <f t="shared" si="30"/>
        <v>1.93</v>
      </c>
      <c r="V140" s="255">
        <f t="shared" si="31"/>
        <v>0.19</v>
      </c>
      <c r="W140" s="255">
        <f t="shared" si="32"/>
        <v>8.9999999999999993E-3</v>
      </c>
      <c r="X140" s="256">
        <f t="shared" si="33"/>
        <v>0.4</v>
      </c>
      <c r="Y140" s="534" t="str" cm="1">
        <f t="array" ref="Y140">_xlfn.IFS(O140&lt;44361, "Before the burn", O140&lt;44403, "During the burn", O140&gt;44403, "After the burn")</f>
        <v>After the burn</v>
      </c>
    </row>
    <row r="141" spans="1:25" x14ac:dyDescent="0.3">
      <c r="A141" s="199" t="str">
        <f>UPPER(LEFT(RU!B9,2))&amp;RIGHT(RU!B9,LEN(RU!B9)-2)</f>
        <v>RT</v>
      </c>
      <c r="B141" s="200" t="str" cm="1">
        <f t="array" ref="B141">_xlfn.IFS(A141="EP", "EP", A141="STa", "SPI", A141="STb", "SPO", A141="MRT", "MRT", A141="RG", "RN", A141="RT", "RU", A141="RW", "RL", A141="RC", "RS")</f>
        <v>RU</v>
      </c>
      <c r="C141" s="201">
        <f>INT(RU!A9)</f>
        <v>44335</v>
      </c>
      <c r="D141" s="201" t="str">
        <f t="shared" si="23"/>
        <v>RU44335</v>
      </c>
      <c r="E141" s="202">
        <f>RU!D9</f>
        <v>7.46</v>
      </c>
      <c r="F141" s="202">
        <f>RU!E9</f>
        <v>23.8</v>
      </c>
      <c r="G141" s="202">
        <f>RU!F9</f>
        <v>0.11</v>
      </c>
      <c r="H141" s="202">
        <f>RU!H9</f>
        <v>2.12</v>
      </c>
      <c r="I141" s="202">
        <f>RU!G9</f>
        <v>2.57</v>
      </c>
      <c r="J141" s="202">
        <f>RU!I9</f>
        <v>0.38</v>
      </c>
      <c r="K141" s="202">
        <f>RU!J9</f>
        <v>8.0000000000000002E-3</v>
      </c>
      <c r="L141" s="203">
        <f>RU!K9</f>
        <v>0.28000000000000003</v>
      </c>
      <c r="N141" s="252" t="str">
        <f t="shared" si="24"/>
        <v>RU</v>
      </c>
      <c r="O141" s="253">
        <f t="shared" si="25"/>
        <v>44426</v>
      </c>
      <c r="P141" s="254" t="str">
        <f t="array" ref="P141">INDEX($D$2:$D$278,MATCH(0,COUNTIF($P$1:$P140,$D$2:$D$278),0))</f>
        <v>RU44426</v>
      </c>
      <c r="Q141" s="255">
        <f t="shared" si="26"/>
        <v>6.6549999999999994</v>
      </c>
      <c r="R141" s="255">
        <f t="shared" si="27"/>
        <v>28.3</v>
      </c>
      <c r="S141" s="255">
        <f t="shared" si="28"/>
        <v>0.11</v>
      </c>
      <c r="T141" s="255">
        <f t="shared" si="29"/>
        <v>2.27</v>
      </c>
      <c r="U141" s="255">
        <f t="shared" si="30"/>
        <v>2.7350000000000003</v>
      </c>
      <c r="V141" s="255">
        <f t="shared" si="31"/>
        <v>0.13500000000000001</v>
      </c>
      <c r="W141" s="255">
        <f t="shared" si="32"/>
        <v>6.5000000000000006E-3</v>
      </c>
      <c r="X141" s="256">
        <f t="shared" si="33"/>
        <v>0.34</v>
      </c>
      <c r="Y141" s="534" t="str" cm="1">
        <f t="array" ref="Y141">_xlfn.IFS(O141&lt;44361, "Before the burn", O141&lt;44403, "During the burn", O141&gt;44403, "After the burn")</f>
        <v>After the burn</v>
      </c>
    </row>
    <row r="142" spans="1:25" x14ac:dyDescent="0.3">
      <c r="A142" s="199" t="str">
        <f>UPPER(LEFT(RU!B10,2))&amp;RIGHT(RU!B10,LEN(RU!B10)-2)</f>
        <v>RT</v>
      </c>
      <c r="B142" s="200" t="str" cm="1">
        <f t="array" ref="B142">_xlfn.IFS(A142="EP", "EP", A142="STa", "SPI", A142="STb", "SPO", A142="MRT", "MRT", A142="RG", "RN", A142="RT", "RU", A142="RW", "RL", A142="RC", "RS")</f>
        <v>RU</v>
      </c>
      <c r="C142" s="201">
        <f>INT(RU!A10)</f>
        <v>44335</v>
      </c>
      <c r="D142" s="201" t="str">
        <f t="shared" si="23"/>
        <v>RU44335</v>
      </c>
      <c r="E142" s="202">
        <f>RU!D10</f>
        <v>7.4</v>
      </c>
      <c r="F142" s="202">
        <f>RU!E10</f>
        <v>25.2</v>
      </c>
      <c r="G142" s="202">
        <f>RU!F10</f>
        <v>0.06</v>
      </c>
      <c r="H142" s="202">
        <f>RU!H10</f>
        <v>2.73</v>
      </c>
      <c r="I142" s="202">
        <f>RU!G10</f>
        <v>3.15</v>
      </c>
      <c r="J142" s="202">
        <f>RU!I10</f>
        <v>0.19</v>
      </c>
      <c r="K142" s="202">
        <f>RU!J10</f>
        <v>8.0000000000000002E-3</v>
      </c>
      <c r="L142" s="203">
        <f>RU!K10</f>
        <v>0.28999999999999998</v>
      </c>
      <c r="N142" s="252" t="str">
        <f t="shared" si="24"/>
        <v>RU</v>
      </c>
      <c r="O142" s="253">
        <f t="shared" si="25"/>
        <v>44432</v>
      </c>
      <c r="P142" s="254" t="str">
        <f t="array" ref="P142">INDEX($D$2:$D$278,MATCH(0,COUNTIF($P$1:$P141,$D$2:$D$278),0))</f>
        <v>RU44432</v>
      </c>
      <c r="Q142" s="255">
        <f t="shared" si="26"/>
        <v>6.73</v>
      </c>
      <c r="R142" s="255">
        <f t="shared" si="27"/>
        <v>28.5</v>
      </c>
      <c r="S142" s="255">
        <f t="shared" si="28"/>
        <v>0.12</v>
      </c>
      <c r="T142" s="255">
        <f t="shared" si="29"/>
        <v>2.35</v>
      </c>
      <c r="U142" s="255">
        <f t="shared" si="30"/>
        <v>2.46</v>
      </c>
      <c r="V142" s="255">
        <f t="shared" si="31"/>
        <v>0.1</v>
      </c>
      <c r="W142" s="255">
        <f t="shared" si="32"/>
        <v>2E-3</v>
      </c>
      <c r="X142" s="256">
        <f t="shared" si="33"/>
        <v>0.39</v>
      </c>
      <c r="Y142" s="534" t="str" cm="1">
        <f t="array" ref="Y142">_xlfn.IFS(O142&lt;44361, "Before the burn", O142&lt;44403, "During the burn", O142&gt;44403, "After the burn")</f>
        <v>After the burn</v>
      </c>
    </row>
    <row r="143" spans="1:25" ht="16.350000000000001" thickBot="1" x14ac:dyDescent="0.35">
      <c r="A143" s="199" t="str">
        <f>UPPER(LEFT(RU!B11,2))&amp;RIGHT(RU!B11,LEN(RU!B11)-2)</f>
        <v>RT</v>
      </c>
      <c r="B143" s="200" t="str" cm="1">
        <f t="array" ref="B143">_xlfn.IFS(A143="EP", "EP", A143="STa", "SPI", A143="STb", "SPO", A143="MRT", "MRT", A143="RG", "RN", A143="RT", "RU", A143="RW", "RL", A143="RC", "RS")</f>
        <v>RU</v>
      </c>
      <c r="C143" s="201">
        <f>INT(RU!A11)</f>
        <v>44341</v>
      </c>
      <c r="D143" s="201" t="str">
        <f t="shared" si="23"/>
        <v>RU44341</v>
      </c>
      <c r="E143" s="202">
        <f>RU!D11</f>
        <v>7.35</v>
      </c>
      <c r="F143" s="202">
        <f>RU!E11</f>
        <v>23.4</v>
      </c>
      <c r="G143" s="202">
        <f>RU!F11</f>
        <v>0.1</v>
      </c>
      <c r="H143" s="202">
        <f>RU!H11</f>
        <v>2.2000000000000002</v>
      </c>
      <c r="I143" s="202">
        <f>RU!G11</f>
        <v>2.85</v>
      </c>
      <c r="J143" s="202">
        <f>RU!I11</f>
        <v>0.21</v>
      </c>
      <c r="K143" s="202">
        <f>RU!J11</f>
        <v>7.0000000000000001E-3</v>
      </c>
      <c r="L143" s="203">
        <f>RU!K11</f>
        <v>0.28000000000000003</v>
      </c>
      <c r="N143" s="267" t="str">
        <f t="shared" si="24"/>
        <v>RU</v>
      </c>
      <c r="O143" s="268">
        <f t="shared" si="25"/>
        <v>44433</v>
      </c>
      <c r="P143" s="269" t="str">
        <f t="array" ref="P143">INDEX($D$2:$D$278,MATCH(0,COUNTIF($P$1:$P142,$D$2:$D$278),0))</f>
        <v>RU44433</v>
      </c>
      <c r="Q143" s="270">
        <f t="shared" si="26"/>
        <v>6.8599999999999994</v>
      </c>
      <c r="R143" s="270">
        <f t="shared" si="27"/>
        <v>29</v>
      </c>
      <c r="S143" s="270">
        <f t="shared" si="28"/>
        <v>0.04</v>
      </c>
      <c r="T143" s="270">
        <f t="shared" si="29"/>
        <v>2.1550000000000002</v>
      </c>
      <c r="U143" s="270">
        <f t="shared" si="30"/>
        <v>2.2850000000000001</v>
      </c>
      <c r="V143" s="270">
        <f t="shared" si="31"/>
        <v>0.245</v>
      </c>
      <c r="W143" s="270">
        <f t="shared" si="32"/>
        <v>2E-3</v>
      </c>
      <c r="X143" s="271">
        <f t="shared" si="33"/>
        <v>0.37</v>
      </c>
      <c r="Y143" s="535" t="str" cm="1">
        <f t="array" ref="Y143">_xlfn.IFS(O143&lt;44361, "Before the burn", O143&lt;44403, "During the burn", O143&gt;44403, "After the burn")</f>
        <v>After the burn</v>
      </c>
    </row>
    <row r="144" spans="1:25" x14ac:dyDescent="0.3">
      <c r="A144" s="199" t="str">
        <f>UPPER(LEFT(RU!B12,2))&amp;RIGHT(RU!B12,LEN(RU!B12)-2)</f>
        <v>RT</v>
      </c>
      <c r="B144" s="200" t="str" cm="1">
        <f t="array" ref="B144">_xlfn.IFS(A144="EP", "EP", A144="STa", "SPI", A144="STb", "SPO", A144="MRT", "MRT", A144="RG", "RN", A144="RT", "RU", A144="RW", "RL", A144="RC", "RS")</f>
        <v>RU</v>
      </c>
      <c r="C144" s="201">
        <f>INT(RU!A12)</f>
        <v>44342</v>
      </c>
      <c r="D144" s="201" t="str">
        <f t="shared" si="23"/>
        <v>RU44342</v>
      </c>
      <c r="E144" s="202">
        <f>RU!D12</f>
        <v>7.2</v>
      </c>
      <c r="F144" s="202">
        <f>RU!E12</f>
        <v>24.5</v>
      </c>
      <c r="G144" s="202">
        <f>RU!F12</f>
        <v>0.16</v>
      </c>
      <c r="H144" s="202">
        <f>RU!H12</f>
        <v>2.14</v>
      </c>
      <c r="I144" s="202">
        <f>RU!G12</f>
        <v>2.78</v>
      </c>
      <c r="J144" s="202">
        <f>RU!I12</f>
        <v>0.24</v>
      </c>
      <c r="K144" s="202">
        <f>RU!J12</f>
        <v>7.0000000000000001E-3</v>
      </c>
      <c r="L144" s="203">
        <f>RU!K12</f>
        <v>0.28000000000000003</v>
      </c>
      <c r="N144" s="241" t="str">
        <f t="shared" si="24"/>
        <v>RL</v>
      </c>
      <c r="O144" s="242">
        <f t="shared" si="25"/>
        <v>44293</v>
      </c>
      <c r="P144" s="243" t="str">
        <f t="array" ref="P144">INDEX($D$2:$D$278,MATCH(0,COUNTIF($P$1:$P143,$D$2:$D$278),0))</f>
        <v>RL44293</v>
      </c>
      <c r="Q144" s="244">
        <f t="shared" si="26"/>
        <v>6.4849999999999994</v>
      </c>
      <c r="R144" s="244">
        <f t="shared" si="27"/>
        <v>20.9</v>
      </c>
      <c r="S144" s="244">
        <f t="shared" si="28"/>
        <v>0.14500000000000002</v>
      </c>
      <c r="T144" s="244">
        <f t="shared" si="29"/>
        <v>2.3650000000000002</v>
      </c>
      <c r="U144" s="244">
        <f t="shared" si="30"/>
        <v>2.5350000000000001</v>
      </c>
      <c r="V144" s="244">
        <f t="shared" si="31"/>
        <v>0.16500000000000001</v>
      </c>
      <c r="W144" s="244">
        <f t="shared" si="32"/>
        <v>5.0000000000000001E-3</v>
      </c>
      <c r="X144" s="245">
        <f t="shared" si="33"/>
        <v>0.35499999999999998</v>
      </c>
      <c r="Y144" s="530" t="str" cm="1">
        <f t="array" ref="Y144">_xlfn.IFS(O144&lt;44361, "Before the burn", O144&lt;44403, "During the burn", O144&gt;44403, "After the burn")</f>
        <v>Before the burn</v>
      </c>
    </row>
    <row r="145" spans="1:25" x14ac:dyDescent="0.3">
      <c r="A145" s="199" t="str">
        <f>UPPER(LEFT(RU!B13,2))&amp;RIGHT(RU!B13,LEN(RU!B13)-2)</f>
        <v>RT</v>
      </c>
      <c r="B145" s="200" t="str" cm="1">
        <f t="array" ref="B145">_xlfn.IFS(A145="EP", "EP", A145="STa", "SPI", A145="STb", "SPO", A145="MRT", "MRT", A145="RG", "RN", A145="RT", "RU", A145="RW", "RL", A145="RC", "RS")</f>
        <v>RU</v>
      </c>
      <c r="C145" s="201">
        <f>INT(RU!A13)</f>
        <v>44342</v>
      </c>
      <c r="D145" s="201" t="str">
        <f t="shared" si="23"/>
        <v>RU44342</v>
      </c>
      <c r="E145" s="202">
        <f>RU!D13</f>
        <v>6.56</v>
      </c>
      <c r="F145" s="202">
        <f>RU!E13</f>
        <v>25.5</v>
      </c>
      <c r="G145" s="202">
        <f>RU!F13</f>
        <v>0.11</v>
      </c>
      <c r="H145" s="202">
        <f>RU!H13</f>
        <v>2.64</v>
      </c>
      <c r="I145" s="202">
        <f>RU!G13</f>
        <v>3.21</v>
      </c>
      <c r="J145" s="202">
        <f>RU!I13</f>
        <v>0.16</v>
      </c>
      <c r="K145" s="202">
        <f>RU!J13</f>
        <v>7.0000000000000001E-3</v>
      </c>
      <c r="L145" s="203">
        <f>RU!K13</f>
        <v>0.26</v>
      </c>
      <c r="N145" s="236" t="str">
        <f t="shared" si="24"/>
        <v>RL</v>
      </c>
      <c r="O145" s="237">
        <f t="shared" si="25"/>
        <v>44306</v>
      </c>
      <c r="P145" s="238" t="str">
        <f t="array" ref="P145">INDEX($D$2:$D$278,MATCH(0,COUNTIF($P$1:$P144,$D$2:$D$278),0))</f>
        <v>RL44306</v>
      </c>
      <c r="Q145" s="239">
        <f t="shared" si="26"/>
        <v>6.86</v>
      </c>
      <c r="R145" s="239">
        <f t="shared" si="27"/>
        <v>20.9</v>
      </c>
      <c r="S145" s="239">
        <f t="shared" si="28"/>
        <v>0.09</v>
      </c>
      <c r="T145" s="239">
        <f t="shared" si="29"/>
        <v>1.72</v>
      </c>
      <c r="U145" s="239">
        <f t="shared" si="30"/>
        <v>2.4</v>
      </c>
      <c r="V145" s="239">
        <f t="shared" si="31"/>
        <v>0.22</v>
      </c>
      <c r="W145" s="239">
        <f t="shared" si="32"/>
        <v>6.0000000000000001E-3</v>
      </c>
      <c r="X145" s="240">
        <f t="shared" si="33"/>
        <v>0.39</v>
      </c>
      <c r="Y145" s="531" t="str" cm="1">
        <f t="array" ref="Y145">_xlfn.IFS(O145&lt;44361, "Before the burn", O145&lt;44403, "During the burn", O145&gt;44403, "After the burn")</f>
        <v>Before the burn</v>
      </c>
    </row>
    <row r="146" spans="1:25" x14ac:dyDescent="0.3">
      <c r="A146" s="199" t="str">
        <f>UPPER(LEFT(RU!B14,2))&amp;RIGHT(RU!B14,LEN(RU!B14)-2)</f>
        <v>RT</v>
      </c>
      <c r="B146" s="200" t="str" cm="1">
        <f t="array" ref="B146">_xlfn.IFS(A146="EP", "EP", A146="STa", "SPI", A146="STb", "SPO", A146="MRT", "MRT", A146="RG", "RN", A146="RT", "RU", A146="RW", "RL", A146="RC", "RS")</f>
        <v>RU</v>
      </c>
      <c r="C146" s="201">
        <f>INT(RU!A14)</f>
        <v>44349</v>
      </c>
      <c r="D146" s="201" t="str">
        <f t="shared" si="23"/>
        <v>RU44349</v>
      </c>
      <c r="E146" s="202">
        <f>RU!D14</f>
        <v>7.29</v>
      </c>
      <c r="F146" s="202">
        <f>RU!E14</f>
        <v>25</v>
      </c>
      <c r="G146" s="202">
        <f>RU!F14</f>
        <v>0.09</v>
      </c>
      <c r="H146" s="202">
        <f>RU!H14</f>
        <v>2.16</v>
      </c>
      <c r="I146" s="202">
        <f>RU!G14</f>
        <v>2.4300000000000002</v>
      </c>
      <c r="J146" s="202">
        <f>RU!I14</f>
        <v>0.25</v>
      </c>
      <c r="K146" s="202">
        <f>RU!J14</f>
        <v>5.0000000000000001E-3</v>
      </c>
      <c r="L146" s="203">
        <f>RU!K14</f>
        <v>0.41</v>
      </c>
      <c r="N146" s="236" t="str">
        <f t="shared" si="24"/>
        <v>RL</v>
      </c>
      <c r="O146" s="237">
        <f t="shared" si="25"/>
        <v>44313</v>
      </c>
      <c r="P146" s="238" t="str">
        <f t="array" ref="P146">INDEX($D$2:$D$278,MATCH(0,COUNTIF($P$1:$P145,$D$2:$D$278),0))</f>
        <v>RL44313</v>
      </c>
      <c r="Q146" s="239">
        <f t="shared" si="26"/>
        <v>7.14</v>
      </c>
      <c r="R146" s="239">
        <f t="shared" si="27"/>
        <v>21.6</v>
      </c>
      <c r="S146" s="239">
        <f t="shared" si="28"/>
        <v>0.05</v>
      </c>
      <c r="T146" s="239">
        <f t="shared" si="29"/>
        <v>1.74</v>
      </c>
      <c r="U146" s="239">
        <f t="shared" si="30"/>
        <v>2.19</v>
      </c>
      <c r="V146" s="239">
        <f t="shared" si="31"/>
        <v>0.18</v>
      </c>
      <c r="W146" s="239">
        <f t="shared" si="32"/>
        <v>6.0000000000000001E-3</v>
      </c>
      <c r="X146" s="240">
        <f t="shared" si="33"/>
        <v>0.36</v>
      </c>
      <c r="Y146" s="531" t="str" cm="1">
        <f t="array" ref="Y146">_xlfn.IFS(O146&lt;44361, "Before the burn", O146&lt;44403, "During the burn", O146&gt;44403, "After the burn")</f>
        <v>Before the burn</v>
      </c>
    </row>
    <row r="147" spans="1:25" x14ac:dyDescent="0.3">
      <c r="A147" s="199" t="str">
        <f>UPPER(LEFT(RU!B15,2))&amp;RIGHT(RU!B15,LEN(RU!B15)-2)</f>
        <v>RT</v>
      </c>
      <c r="B147" s="200" t="str" cm="1">
        <f t="array" ref="B147">_xlfn.IFS(A147="EP", "EP", A147="STa", "SPI", A147="STb", "SPO", A147="MRT", "MRT", A147="RG", "RN", A147="RT", "RU", A147="RW", "RL", A147="RC", "RS")</f>
        <v>RU</v>
      </c>
      <c r="C147" s="201">
        <f>INT(RU!A15)</f>
        <v>44350</v>
      </c>
      <c r="D147" s="201" t="str">
        <f t="shared" si="23"/>
        <v>RU44350</v>
      </c>
      <c r="E147" s="202">
        <f>RU!D15</f>
        <v>7.27</v>
      </c>
      <c r="F147" s="202">
        <f>RU!E15</f>
        <v>24.8</v>
      </c>
      <c r="G147" s="202">
        <f>RU!F15</f>
        <v>0.12</v>
      </c>
      <c r="H147" s="202">
        <f>RU!H15</f>
        <v>2.09</v>
      </c>
      <c r="I147" s="202">
        <f>RU!G15</f>
        <v>2.29</v>
      </c>
      <c r="J147" s="202">
        <f>RU!I15</f>
        <v>0.34</v>
      </c>
      <c r="K147" s="202">
        <f>RU!J15</f>
        <v>8.0000000000000002E-3</v>
      </c>
      <c r="L147" s="203">
        <f>RU!K15</f>
        <v>0.38</v>
      </c>
      <c r="N147" s="236" t="str">
        <f t="shared" si="24"/>
        <v>RL</v>
      </c>
      <c r="O147" s="237">
        <f t="shared" si="25"/>
        <v>44327</v>
      </c>
      <c r="P147" s="238" t="str">
        <f t="array" ref="P147">INDEX($D$2:$D$278,MATCH(0,COUNTIF($P$1:$P146,$D$2:$D$278),0))</f>
        <v>RL44327</v>
      </c>
      <c r="Q147" s="239">
        <f t="shared" si="26"/>
        <v>7.39</v>
      </c>
      <c r="R147" s="239">
        <f t="shared" si="27"/>
        <v>23.2</v>
      </c>
      <c r="S147" s="239">
        <f t="shared" si="28"/>
        <v>0.09</v>
      </c>
      <c r="T147" s="239">
        <f t="shared" si="29"/>
        <v>1.55</v>
      </c>
      <c r="U147" s="239">
        <f t="shared" si="30"/>
        <v>1.75</v>
      </c>
      <c r="V147" s="239">
        <f t="shared" si="31"/>
        <v>0.28999999999999998</v>
      </c>
      <c r="W147" s="239">
        <f t="shared" si="32"/>
        <v>7.0000000000000001E-3</v>
      </c>
      <c r="X147" s="240">
        <f t="shared" si="33"/>
        <v>0.34</v>
      </c>
      <c r="Y147" s="531" t="str" cm="1">
        <f t="array" ref="Y147">_xlfn.IFS(O147&lt;44361, "Before the burn", O147&lt;44403, "During the burn", O147&gt;44403, "After the burn")</f>
        <v>Before the burn</v>
      </c>
    </row>
    <row r="148" spans="1:25" x14ac:dyDescent="0.3">
      <c r="A148" s="199" t="str">
        <f>UPPER(LEFT(RU!B16,2))&amp;RIGHT(RU!B16,LEN(RU!B16)-2)</f>
        <v>RT</v>
      </c>
      <c r="B148" s="200" t="str" cm="1">
        <f t="array" ref="B148">_xlfn.IFS(A148="EP", "EP", A148="STa", "SPI", A148="STb", "SPO", A148="MRT", "MRT", A148="RG", "RN", A148="RT", "RU", A148="RW", "RL", A148="RC", "RS")</f>
        <v>RU</v>
      </c>
      <c r="C148" s="201">
        <f>INT(RU!A16)</f>
        <v>44350</v>
      </c>
      <c r="D148" s="201" t="str">
        <f t="shared" si="23"/>
        <v>RU44350</v>
      </c>
      <c r="E148" s="202">
        <f>RU!D16</f>
        <v>7.22</v>
      </c>
      <c r="F148" s="202">
        <f>RU!E16</f>
        <v>25.3</v>
      </c>
      <c r="G148" s="202">
        <f>RU!F16</f>
        <v>0.03</v>
      </c>
      <c r="H148" s="202">
        <f>RU!H16</f>
        <v>2.59</v>
      </c>
      <c r="I148" s="202">
        <f>RU!G16</f>
        <v>2.83</v>
      </c>
      <c r="J148" s="202">
        <f>RU!I16</f>
        <v>0.18</v>
      </c>
      <c r="K148" s="202">
        <f>RU!J16</f>
        <v>6.0000000000000001E-3</v>
      </c>
      <c r="L148" s="203">
        <f>RU!K16</f>
        <v>0.4</v>
      </c>
      <c r="N148" s="236" t="str">
        <f t="shared" si="24"/>
        <v>RL</v>
      </c>
      <c r="O148" s="237">
        <f t="shared" si="25"/>
        <v>44334</v>
      </c>
      <c r="P148" s="238" t="str">
        <f t="array" ref="P148">INDEX($D$2:$D$278,MATCH(0,COUNTIF($P$1:$P147,$D$2:$D$278),0))</f>
        <v>RL44334</v>
      </c>
      <c r="Q148" s="239">
        <f t="shared" si="26"/>
        <v>7.15</v>
      </c>
      <c r="R148" s="239">
        <f t="shared" si="27"/>
        <v>23.8</v>
      </c>
      <c r="S148" s="239">
        <f t="shared" si="28"/>
        <v>0.1</v>
      </c>
      <c r="T148" s="239">
        <f t="shared" si="29"/>
        <v>1.61</v>
      </c>
      <c r="U148" s="239">
        <f t="shared" si="30"/>
        <v>1.79</v>
      </c>
      <c r="V148" s="239">
        <f t="shared" si="31"/>
        <v>0.2</v>
      </c>
      <c r="W148" s="239">
        <f t="shared" si="32"/>
        <v>6.0000000000000001E-3</v>
      </c>
      <c r="X148" s="240">
        <f t="shared" si="33"/>
        <v>0.38</v>
      </c>
      <c r="Y148" s="531" t="str" cm="1">
        <f t="array" ref="Y148">_xlfn.IFS(O148&lt;44361, "Before the burn", O148&lt;44403, "During the burn", O148&gt;44403, "After the burn")</f>
        <v>Before the burn</v>
      </c>
    </row>
    <row r="149" spans="1:25" x14ac:dyDescent="0.3">
      <c r="A149" s="199" t="str">
        <f>UPPER(LEFT(RU!B17,2))&amp;RIGHT(RU!B17,LEN(RU!B17)-2)</f>
        <v>RT</v>
      </c>
      <c r="B149" s="200" t="str" cm="1">
        <f t="array" ref="B149">_xlfn.IFS(A149="EP", "EP", A149="STa", "SPI", A149="STb", "SPO", A149="MRT", "MRT", A149="RG", "RN", A149="RT", "RU", A149="RW", "RL", A149="RC", "RS")</f>
        <v>RU</v>
      </c>
      <c r="C149" s="201">
        <f>INT(RU!A17)</f>
        <v>44355</v>
      </c>
      <c r="D149" s="201" t="str">
        <f t="shared" si="23"/>
        <v>RU44355</v>
      </c>
      <c r="E149" s="202">
        <f>RU!D17</f>
        <v>7.45</v>
      </c>
      <c r="F149" s="202">
        <f>RU!E17</f>
        <v>25.3</v>
      </c>
      <c r="G149" s="202">
        <f>RU!F17</f>
        <v>0.09</v>
      </c>
      <c r="H149" s="202">
        <f>RU!H17</f>
        <v>2.2200000000000002</v>
      </c>
      <c r="I149" s="202">
        <f>RU!G17</f>
        <v>2.52</v>
      </c>
      <c r="J149" s="202">
        <f>RU!I17</f>
        <v>0.34</v>
      </c>
      <c r="K149" s="202">
        <f>RU!J17</f>
        <v>7.0000000000000001E-3</v>
      </c>
      <c r="L149" s="203">
        <f>RU!K17</f>
        <v>0.36</v>
      </c>
      <c r="N149" s="236" t="str">
        <f t="shared" si="24"/>
        <v>RL</v>
      </c>
      <c r="O149" s="237">
        <f t="shared" si="25"/>
        <v>44335</v>
      </c>
      <c r="P149" s="238" t="str">
        <f t="array" ref="P149">INDEX($D$2:$D$278,MATCH(0,COUNTIF($P$1:$P148,$D$2:$D$278),0))</f>
        <v>RL44335</v>
      </c>
      <c r="Q149" s="239">
        <f t="shared" si="26"/>
        <v>7.0449999999999999</v>
      </c>
      <c r="R149" s="239">
        <f t="shared" si="27"/>
        <v>23.549999999999997</v>
      </c>
      <c r="S149" s="239">
        <f t="shared" si="28"/>
        <v>0.19</v>
      </c>
      <c r="T149" s="239">
        <f t="shared" si="29"/>
        <v>1.52</v>
      </c>
      <c r="U149" s="239">
        <f t="shared" si="30"/>
        <v>1.7650000000000001</v>
      </c>
      <c r="V149" s="239">
        <f t="shared" si="31"/>
        <v>0.27</v>
      </c>
      <c r="W149" s="239">
        <f t="shared" si="32"/>
        <v>6.5000000000000006E-3</v>
      </c>
      <c r="X149" s="240">
        <f t="shared" si="33"/>
        <v>0.38</v>
      </c>
      <c r="Y149" s="531" t="str" cm="1">
        <f t="array" ref="Y149">_xlfn.IFS(O149&lt;44361, "Before the burn", O149&lt;44403, "During the burn", O149&gt;44403, "After the burn")</f>
        <v>Before the burn</v>
      </c>
    </row>
    <row r="150" spans="1:25" x14ac:dyDescent="0.3">
      <c r="A150" s="199" t="str">
        <f>UPPER(LEFT(RU!B18,2))&amp;RIGHT(RU!B18,LEN(RU!B18)-2)</f>
        <v>RT</v>
      </c>
      <c r="B150" s="200" t="str" cm="1">
        <f t="array" ref="B150">_xlfn.IFS(A150="EP", "EP", A150="STa", "SPI", A150="STb", "SPO", A150="MRT", "MRT", A150="RG", "RN", A150="RT", "RU", A150="RW", "RL", A150="RC", "RS")</f>
        <v>RU</v>
      </c>
      <c r="C150" s="201">
        <f>INT(RU!A18)</f>
        <v>44356</v>
      </c>
      <c r="D150" s="201" t="str">
        <f t="shared" si="23"/>
        <v>RU44356</v>
      </c>
      <c r="E150" s="202">
        <f>RU!D18</f>
        <v>7.47</v>
      </c>
      <c r="F150" s="202">
        <f>RU!E18</f>
        <v>26.5</v>
      </c>
      <c r="G150" s="202">
        <f>RU!F18</f>
        <v>0.11</v>
      </c>
      <c r="H150" s="202">
        <f>RU!H18</f>
        <v>2.68</v>
      </c>
      <c r="I150" s="202">
        <f>RU!G18</f>
        <v>2.93</v>
      </c>
      <c r="J150" s="202">
        <f>RU!I18</f>
        <v>0.15</v>
      </c>
      <c r="K150" s="202">
        <f>RU!J18</f>
        <v>7.0000000000000001E-3</v>
      </c>
      <c r="L150" s="203">
        <f>RU!K18</f>
        <v>0.33</v>
      </c>
      <c r="N150" s="236" t="str">
        <f t="shared" si="24"/>
        <v>RL</v>
      </c>
      <c r="O150" s="237">
        <f t="shared" si="25"/>
        <v>44341</v>
      </c>
      <c r="P150" s="238" t="str">
        <f t="array" ref="P150">INDEX($D$2:$D$278,MATCH(0,COUNTIF($P$1:$P149,$D$2:$D$278),0))</f>
        <v>RL44341</v>
      </c>
      <c r="Q150" s="239">
        <f t="shared" si="26"/>
        <v>7.12</v>
      </c>
      <c r="R150" s="239">
        <f t="shared" si="27"/>
        <v>23.5</v>
      </c>
      <c r="S150" s="239">
        <f t="shared" si="28"/>
        <v>0.16</v>
      </c>
      <c r="T150" s="239">
        <f t="shared" si="29"/>
        <v>1.1599999999999999</v>
      </c>
      <c r="U150" s="239">
        <f t="shared" si="30"/>
        <v>1.99</v>
      </c>
      <c r="V150" s="239">
        <f t="shared" si="31"/>
        <v>0.24</v>
      </c>
      <c r="W150" s="239">
        <f t="shared" si="32"/>
        <v>8.0000000000000002E-3</v>
      </c>
      <c r="X150" s="240">
        <f t="shared" si="33"/>
        <v>0.38</v>
      </c>
      <c r="Y150" s="531" t="str" cm="1">
        <f t="array" ref="Y150">_xlfn.IFS(O150&lt;44361, "Before the burn", O150&lt;44403, "During the burn", O150&gt;44403, "After the burn")</f>
        <v>Before the burn</v>
      </c>
    </row>
    <row r="151" spans="1:25" x14ac:dyDescent="0.3">
      <c r="A151" s="199" t="str">
        <f>UPPER(LEFT(RU!B19,2))&amp;RIGHT(RU!B19,LEN(RU!B19)-2)</f>
        <v>RT</v>
      </c>
      <c r="B151" s="200" t="str" cm="1">
        <f t="array" ref="B151">_xlfn.IFS(A151="EP", "EP", A151="STa", "SPI", A151="STb", "SPO", A151="MRT", "MRT", A151="RG", "RN", A151="RT", "RU", A151="RW", "RL", A151="RC", "RS")</f>
        <v>RU</v>
      </c>
      <c r="C151" s="201">
        <f>INT(RU!A19)</f>
        <v>44356</v>
      </c>
      <c r="D151" s="201" t="str">
        <f t="shared" si="23"/>
        <v>RU44356</v>
      </c>
      <c r="E151" s="202">
        <f>RU!D19</f>
        <v>6.16</v>
      </c>
      <c r="F151" s="202">
        <f>RU!E19</f>
        <v>27.4</v>
      </c>
      <c r="G151" s="202">
        <f>RU!F19</f>
        <v>0.09</v>
      </c>
      <c r="H151" s="202">
        <f>RU!H19</f>
        <v>2.54</v>
      </c>
      <c r="I151" s="202">
        <f>RU!G19</f>
        <v>2.81</v>
      </c>
      <c r="J151" s="202">
        <f>RU!I19</f>
        <v>0.16</v>
      </c>
      <c r="K151" s="202">
        <f>RU!J19</f>
        <v>8.9999999999999993E-3</v>
      </c>
      <c r="L151" s="203">
        <f>RU!K19</f>
        <v>0.35</v>
      </c>
      <c r="N151" s="236" t="str">
        <f t="shared" si="24"/>
        <v>RL</v>
      </c>
      <c r="O151" s="237">
        <f t="shared" si="25"/>
        <v>44342</v>
      </c>
      <c r="P151" s="238" t="str">
        <f t="array" ref="P151">INDEX($D$2:$D$278,MATCH(0,COUNTIF($P$1:$P150,$D$2:$D$278),0))</f>
        <v>RL44342</v>
      </c>
      <c r="Q151" s="239">
        <f t="shared" si="26"/>
        <v>6.87</v>
      </c>
      <c r="R151" s="239">
        <f t="shared" si="27"/>
        <v>23.65</v>
      </c>
      <c r="S151" s="239">
        <f t="shared" si="28"/>
        <v>0.09</v>
      </c>
      <c r="T151" s="239">
        <f t="shared" si="29"/>
        <v>1.56</v>
      </c>
      <c r="U151" s="239">
        <f t="shared" si="30"/>
        <v>1.885</v>
      </c>
      <c r="V151" s="239">
        <f t="shared" si="31"/>
        <v>0.21000000000000002</v>
      </c>
      <c r="W151" s="239">
        <f t="shared" si="32"/>
        <v>7.0000000000000001E-3</v>
      </c>
      <c r="X151" s="240">
        <f t="shared" si="33"/>
        <v>0.32999999999999996</v>
      </c>
      <c r="Y151" s="531" t="str" cm="1">
        <f t="array" ref="Y151">_xlfn.IFS(O151&lt;44361, "Before the burn", O151&lt;44403, "During the burn", O151&gt;44403, "After the burn")</f>
        <v>Before the burn</v>
      </c>
    </row>
    <row r="152" spans="1:25" x14ac:dyDescent="0.3">
      <c r="A152" s="199" t="str">
        <f>UPPER(LEFT(RU!B20,2))&amp;RIGHT(RU!B20,LEN(RU!B20)-2)</f>
        <v>RT</v>
      </c>
      <c r="B152" s="200" t="str" cm="1">
        <f t="array" ref="B152">_xlfn.IFS(A152="EP", "EP", A152="STa", "SPI", A152="STb", "SPO", A152="MRT", "MRT", A152="RG", "RN", A152="RT", "RU", A152="RW", "RL", A152="RC", "RS")</f>
        <v>RU</v>
      </c>
      <c r="C152" s="201">
        <f>INT(RU!A20)</f>
        <v>44362</v>
      </c>
      <c r="D152" s="201" t="str">
        <f t="shared" si="23"/>
        <v>RU44362</v>
      </c>
      <c r="E152" s="202">
        <f>RU!D20</f>
        <v>6.92</v>
      </c>
      <c r="F152" s="202">
        <f>RU!E20</f>
        <v>24.1</v>
      </c>
      <c r="G152" s="202">
        <f>RU!F20</f>
        <v>0.1</v>
      </c>
      <c r="H152" s="202">
        <f>RU!H20</f>
        <v>0.23</v>
      </c>
      <c r="I152" s="202">
        <f>RU!G20</f>
        <v>0.39</v>
      </c>
      <c r="J152" s="202">
        <f>RU!I20</f>
        <v>0.1</v>
      </c>
      <c r="K152" s="202">
        <f>RU!J20</f>
        <v>1.0999999999999999E-2</v>
      </c>
      <c r="L152" s="203">
        <f>RU!K20</f>
        <v>0.56000000000000005</v>
      </c>
      <c r="N152" s="236" t="str">
        <f t="shared" si="24"/>
        <v>RL</v>
      </c>
      <c r="O152" s="237">
        <f t="shared" si="25"/>
        <v>44349</v>
      </c>
      <c r="P152" s="238" t="str">
        <f t="array" ref="P152">INDEX($D$2:$D$278,MATCH(0,COUNTIF($P$1:$P151,$D$2:$D$278),0))</f>
        <v>RL44349</v>
      </c>
      <c r="Q152" s="239">
        <f t="shared" si="26"/>
        <v>7.72</v>
      </c>
      <c r="R152" s="239">
        <f t="shared" si="27"/>
        <v>23.7</v>
      </c>
      <c r="S152" s="239">
        <f t="shared" si="28"/>
        <v>0.1</v>
      </c>
      <c r="T152" s="239">
        <f t="shared" si="29"/>
        <v>1.61</v>
      </c>
      <c r="U152" s="239">
        <f t="shared" si="30"/>
        <v>1.76</v>
      </c>
      <c r="V152" s="239">
        <f t="shared" si="31"/>
        <v>0.18</v>
      </c>
      <c r="W152" s="239">
        <f t="shared" si="32"/>
        <v>6.0000000000000001E-3</v>
      </c>
      <c r="X152" s="240">
        <f t="shared" si="33"/>
        <v>0.35</v>
      </c>
      <c r="Y152" s="531" t="str" cm="1">
        <f t="array" ref="Y152">_xlfn.IFS(O152&lt;44361, "Before the burn", O152&lt;44403, "During the burn", O152&gt;44403, "After the burn")</f>
        <v>Before the burn</v>
      </c>
    </row>
    <row r="153" spans="1:25" x14ac:dyDescent="0.3">
      <c r="A153" s="199" t="str">
        <f>UPPER(LEFT(RU!B21,2))&amp;RIGHT(RU!B21,LEN(RU!B21)-2)</f>
        <v>RT</v>
      </c>
      <c r="B153" s="200" t="str" cm="1">
        <f t="array" ref="B153">_xlfn.IFS(A153="EP", "EP", A153="STa", "SPI", A153="STb", "SPO", A153="MRT", "MRT", A153="RG", "RN", A153="RT", "RU", A153="RW", "RL", A153="RC", "RS")</f>
        <v>RU</v>
      </c>
      <c r="C153" s="201">
        <f>INT(RU!A21)</f>
        <v>44363</v>
      </c>
      <c r="D153" s="201" t="str">
        <f t="shared" si="23"/>
        <v>RU44363</v>
      </c>
      <c r="E153" s="202">
        <f>RU!D21</f>
        <v>7.12</v>
      </c>
      <c r="F153" s="202">
        <f>RU!E21</f>
        <v>28.8</v>
      </c>
      <c r="G153" s="202">
        <f>RU!F21</f>
        <v>2.36</v>
      </c>
      <c r="H153" s="202">
        <f>RU!H21</f>
        <v>0.02</v>
      </c>
      <c r="I153" s="202">
        <f>RU!G21</f>
        <v>2.41</v>
      </c>
      <c r="J153" s="202">
        <f>RU!I21</f>
        <v>0.09</v>
      </c>
      <c r="K153" s="202">
        <f>RU!J21</f>
        <v>7.0000000000000001E-3</v>
      </c>
      <c r="L153" s="203">
        <f>RU!K21</f>
        <v>0.34</v>
      </c>
      <c r="N153" s="236" t="str">
        <f t="shared" si="24"/>
        <v>RL</v>
      </c>
      <c r="O153" s="237">
        <f t="shared" si="25"/>
        <v>44350</v>
      </c>
      <c r="P153" s="238" t="str">
        <f t="array" ref="P153">INDEX($D$2:$D$278,MATCH(0,COUNTIF($P$1:$P152,$D$2:$D$278),0))</f>
        <v>RL44350</v>
      </c>
      <c r="Q153" s="239">
        <f t="shared" si="26"/>
        <v>7.0250000000000004</v>
      </c>
      <c r="R153" s="239">
        <f t="shared" si="27"/>
        <v>24.35</v>
      </c>
      <c r="S153" s="239">
        <f t="shared" si="28"/>
        <v>0.125</v>
      </c>
      <c r="T153" s="239">
        <f t="shared" si="29"/>
        <v>1.4950000000000001</v>
      </c>
      <c r="U153" s="239">
        <f t="shared" si="30"/>
        <v>1.585</v>
      </c>
      <c r="V153" s="239">
        <f t="shared" si="31"/>
        <v>0.27500000000000002</v>
      </c>
      <c r="W153" s="239">
        <f t="shared" si="32"/>
        <v>7.0000000000000001E-3</v>
      </c>
      <c r="X153" s="240">
        <f t="shared" si="33"/>
        <v>0.41000000000000003</v>
      </c>
      <c r="Y153" s="531" t="str" cm="1">
        <f t="array" ref="Y153">_xlfn.IFS(O153&lt;44361, "Before the burn", O153&lt;44403, "During the burn", O153&gt;44403, "After the burn")</f>
        <v>Before the burn</v>
      </c>
    </row>
    <row r="154" spans="1:25" x14ac:dyDescent="0.3">
      <c r="A154" s="199" t="str">
        <f>UPPER(LEFT(RU!B22,2))&amp;RIGHT(RU!B22,LEN(RU!B22)-2)</f>
        <v>RT</v>
      </c>
      <c r="B154" s="200" t="str" cm="1">
        <f t="array" ref="B154">_xlfn.IFS(A154="EP", "EP", A154="STa", "SPI", A154="STb", "SPO", A154="MRT", "MRT", A154="RG", "RN", A154="RT", "RU", A154="RW", "RL", A154="RC", "RS")</f>
        <v>RU</v>
      </c>
      <c r="C154" s="201">
        <f>INT(RU!A22)</f>
        <v>44364</v>
      </c>
      <c r="D154" s="201" t="str">
        <f t="shared" si="23"/>
        <v>RU44364</v>
      </c>
      <c r="E154" s="202">
        <f>RU!D22</f>
        <v>7.06</v>
      </c>
      <c r="F154" s="202">
        <f>RU!E22</f>
        <v>27</v>
      </c>
      <c r="G154" s="202">
        <f>RU!F22</f>
        <v>2.37</v>
      </c>
      <c r="H154" s="202">
        <f>RU!H22</f>
        <v>0.02</v>
      </c>
      <c r="I154" s="202">
        <f>RU!G22</f>
        <v>2.4900000000000002</v>
      </c>
      <c r="J154" s="202">
        <f>RU!I22</f>
        <v>0.19</v>
      </c>
      <c r="K154" s="202">
        <f>RU!J22</f>
        <v>7.0000000000000001E-3</v>
      </c>
      <c r="L154" s="203">
        <f>RU!K22</f>
        <v>0.41</v>
      </c>
      <c r="N154" s="236" t="str">
        <f t="shared" si="24"/>
        <v>RL</v>
      </c>
      <c r="O154" s="237">
        <f t="shared" si="25"/>
        <v>44355</v>
      </c>
      <c r="P154" s="238" t="str">
        <f t="array" ref="P154">INDEX($D$2:$D$278,MATCH(0,COUNTIF($P$1:$P153,$D$2:$D$278),0))</f>
        <v>RL44355</v>
      </c>
      <c r="Q154" s="239">
        <f t="shared" si="26"/>
        <v>7.2</v>
      </c>
      <c r="R154" s="239">
        <f t="shared" si="27"/>
        <v>24.4</v>
      </c>
      <c r="S154" s="239">
        <f t="shared" si="28"/>
        <v>0.14000000000000001</v>
      </c>
      <c r="T154" s="239">
        <f t="shared" si="29"/>
        <v>1.65</v>
      </c>
      <c r="U154" s="239">
        <f t="shared" si="30"/>
        <v>1.68</v>
      </c>
      <c r="V154" s="239">
        <f t="shared" si="31"/>
        <v>0.27</v>
      </c>
      <c r="W154" s="239">
        <f t="shared" si="32"/>
        <v>6.0000000000000001E-3</v>
      </c>
      <c r="X154" s="240">
        <f t="shared" si="33"/>
        <v>0.41</v>
      </c>
      <c r="Y154" s="531" t="str" cm="1">
        <f t="array" ref="Y154">_xlfn.IFS(O154&lt;44361, "Before the burn", O154&lt;44403, "During the burn", O154&gt;44403, "After the burn")</f>
        <v>Before the burn</v>
      </c>
    </row>
    <row r="155" spans="1:25" x14ac:dyDescent="0.3">
      <c r="A155" s="199" t="str">
        <f>UPPER(LEFT(RU!B23,2))&amp;RIGHT(RU!B23,LEN(RU!B23)-2)</f>
        <v>RT</v>
      </c>
      <c r="B155" s="200" t="str" cm="1">
        <f t="array" ref="B155">_xlfn.IFS(A155="EP", "EP", A155="STa", "SPI", A155="STb", "SPO", A155="MRT", "MRT", A155="RG", "RN", A155="RT", "RU", A155="RW", "RL", A155="RC", "RS")</f>
        <v>RU</v>
      </c>
      <c r="C155" s="201">
        <f>INT(RU!A23)</f>
        <v>44369</v>
      </c>
      <c r="D155" s="201" t="str">
        <f t="shared" si="23"/>
        <v>RU44369</v>
      </c>
      <c r="E155" s="202">
        <f>RU!D23</f>
        <v>7.33</v>
      </c>
      <c r="F155" s="202">
        <f>RU!E23</f>
        <v>25</v>
      </c>
      <c r="G155" s="202">
        <f>RU!F23</f>
        <v>2.72</v>
      </c>
      <c r="H155" s="202">
        <f>RU!H23</f>
        <v>0.02</v>
      </c>
      <c r="I155" s="202">
        <f>RU!G23</f>
        <v>2.79</v>
      </c>
      <c r="J155" s="202">
        <f>RU!I23</f>
        <v>0.1</v>
      </c>
      <c r="K155" s="202">
        <f>RU!J23</f>
        <v>8.9999999999999993E-3</v>
      </c>
      <c r="L155" s="203">
        <f>RU!K23</f>
        <v>0.34</v>
      </c>
      <c r="N155" s="236" t="str">
        <f t="shared" si="24"/>
        <v>RL</v>
      </c>
      <c r="O155" s="237">
        <f t="shared" si="25"/>
        <v>44356</v>
      </c>
      <c r="P155" s="238" t="str">
        <f t="array" ref="P155">INDEX($D$2:$D$278,MATCH(0,COUNTIF($P$1:$P154,$D$2:$D$278),0))</f>
        <v>RL44356</v>
      </c>
      <c r="Q155" s="239">
        <f t="shared" si="26"/>
        <v>6.9249999999999998</v>
      </c>
      <c r="R155" s="239">
        <f t="shared" si="27"/>
        <v>24.75</v>
      </c>
      <c r="S155" s="239">
        <f t="shared" si="28"/>
        <v>8.4999999999999992E-2</v>
      </c>
      <c r="T155" s="239">
        <f t="shared" si="29"/>
        <v>1.6549999999999998</v>
      </c>
      <c r="U155" s="239">
        <f t="shared" si="30"/>
        <v>1.635</v>
      </c>
      <c r="V155" s="239">
        <f t="shared" si="31"/>
        <v>0.21500000000000002</v>
      </c>
      <c r="W155" s="239">
        <f t="shared" si="32"/>
        <v>6.0000000000000001E-3</v>
      </c>
      <c r="X155" s="240">
        <f t="shared" si="33"/>
        <v>0.39</v>
      </c>
      <c r="Y155" s="531" t="str" cm="1">
        <f t="array" ref="Y155">_xlfn.IFS(O155&lt;44361, "Before the burn", O155&lt;44403, "During the burn", O155&gt;44403, "After the burn")</f>
        <v>Before the burn</v>
      </c>
    </row>
    <row r="156" spans="1:25" x14ac:dyDescent="0.3">
      <c r="A156" s="199" t="str">
        <f>UPPER(LEFT(RU!B24,2))&amp;RIGHT(RU!B24,LEN(RU!B24)-2)</f>
        <v>RT</v>
      </c>
      <c r="B156" s="200" t="str" cm="1">
        <f t="array" ref="B156">_xlfn.IFS(A156="EP", "EP", A156="STa", "SPI", A156="STb", "SPO", A156="MRT", "MRT", A156="RG", "RN", A156="RT", "RU", A156="RW", "RL", A156="RC", "RS")</f>
        <v>RU</v>
      </c>
      <c r="C156" s="201">
        <f>INT(RU!A24)</f>
        <v>44370</v>
      </c>
      <c r="D156" s="201" t="str">
        <f t="shared" si="23"/>
        <v>RU44370</v>
      </c>
      <c r="E156" s="202">
        <f>RU!D24</f>
        <v>7.15</v>
      </c>
      <c r="F156" s="202">
        <f>RU!E24</f>
        <v>27.6</v>
      </c>
      <c r="G156" s="202">
        <f>RU!F24</f>
        <v>3.36</v>
      </c>
      <c r="H156" s="202">
        <f>RU!H24</f>
        <v>0.01</v>
      </c>
      <c r="I156" s="202">
        <f>RU!G24</f>
        <v>3.39</v>
      </c>
      <c r="J156" s="202">
        <f>RU!I24</f>
        <v>0.02</v>
      </c>
      <c r="K156" s="202">
        <f>RU!J24</f>
        <v>7.0000000000000001E-3</v>
      </c>
      <c r="L156" s="203">
        <f>RU!K24</f>
        <v>0.35</v>
      </c>
      <c r="N156" s="236" t="str">
        <f t="shared" si="24"/>
        <v>RL</v>
      </c>
      <c r="O156" s="237">
        <f t="shared" si="25"/>
        <v>44362</v>
      </c>
      <c r="P156" s="238" t="str">
        <f t="array" ref="P156">INDEX($D$2:$D$278,MATCH(0,COUNTIF($P$1:$P155,$D$2:$D$278),0))</f>
        <v>RL44362</v>
      </c>
      <c r="Q156" s="239">
        <f t="shared" si="26"/>
        <v>7.29</v>
      </c>
      <c r="R156" s="239">
        <f t="shared" si="27"/>
        <v>27.4</v>
      </c>
      <c r="S156" s="239">
        <f t="shared" si="28"/>
        <v>0.91</v>
      </c>
      <c r="T156" s="239">
        <f t="shared" si="29"/>
        <v>0.02</v>
      </c>
      <c r="U156" s="239">
        <f t="shared" si="30"/>
        <v>1.1000000000000001</v>
      </c>
      <c r="V156" s="239">
        <f t="shared" si="31"/>
        <v>0.05</v>
      </c>
      <c r="W156" s="239">
        <f t="shared" si="32"/>
        <v>7.0000000000000001E-3</v>
      </c>
      <c r="X156" s="240">
        <f t="shared" si="33"/>
        <v>0.42</v>
      </c>
      <c r="Y156" s="531" t="str" cm="1">
        <f t="array" ref="Y156">_xlfn.IFS(O156&lt;44361, "Before the burn", O156&lt;44403, "During the burn", O156&gt;44403, "After the burn")</f>
        <v>During the burn</v>
      </c>
    </row>
    <row r="157" spans="1:25" x14ac:dyDescent="0.3">
      <c r="A157" s="199" t="str">
        <f>UPPER(LEFT(RU!B25,2))&amp;RIGHT(RU!B25,LEN(RU!B25)-2)</f>
        <v>RT</v>
      </c>
      <c r="B157" s="200" t="str" cm="1">
        <f t="array" ref="B157">_xlfn.IFS(A157="EP", "EP", A157="STa", "SPI", A157="STb", "SPO", A157="MRT", "MRT", A157="RG", "RN", A157="RT", "RU", A157="RW", "RL", A157="RC", "RS")</f>
        <v>RU</v>
      </c>
      <c r="C157" s="201">
        <f>INT(RU!A25)</f>
        <v>44370</v>
      </c>
      <c r="D157" s="201" t="str">
        <f t="shared" si="23"/>
        <v>RU44370</v>
      </c>
      <c r="E157" s="202">
        <f>RU!D25</f>
        <v>7.05</v>
      </c>
      <c r="F157" s="202">
        <f>RU!E25</f>
        <v>27.2</v>
      </c>
      <c r="G157" s="202">
        <f>RU!F25</f>
        <v>3.16</v>
      </c>
      <c r="H157" s="202">
        <f>RU!H25</f>
        <v>0.01</v>
      </c>
      <c r="I157" s="202">
        <f>RU!G25</f>
        <v>3.21</v>
      </c>
      <c r="J157" s="202">
        <f>RU!I25</f>
        <v>0.01</v>
      </c>
      <c r="K157" s="202">
        <f>RU!J25</f>
        <v>6.0000000000000001E-3</v>
      </c>
      <c r="L157" s="203">
        <f>RU!K25</f>
        <v>0.31</v>
      </c>
      <c r="N157" s="236" t="str">
        <f t="shared" si="24"/>
        <v>RL</v>
      </c>
      <c r="O157" s="237">
        <f t="shared" si="25"/>
        <v>44363</v>
      </c>
      <c r="P157" s="238" t="str">
        <f t="array" ref="P157">INDEX($D$2:$D$278,MATCH(0,COUNTIF($P$1:$P156,$D$2:$D$278),0))</f>
        <v>RL44363</v>
      </c>
      <c r="Q157" s="239">
        <f t="shared" si="26"/>
        <v>7.0350000000000001</v>
      </c>
      <c r="R157" s="239">
        <f t="shared" si="27"/>
        <v>26.450000000000003</v>
      </c>
      <c r="S157" s="239">
        <f t="shared" si="28"/>
        <v>1.4849999999999999</v>
      </c>
      <c r="T157" s="239">
        <f t="shared" si="29"/>
        <v>1.4999999999999999E-2</v>
      </c>
      <c r="U157" s="239">
        <f t="shared" si="30"/>
        <v>1.53</v>
      </c>
      <c r="V157" s="239">
        <f t="shared" si="31"/>
        <v>0.155</v>
      </c>
      <c r="W157" s="239">
        <f t="shared" si="32"/>
        <v>2.5000000000000001E-3</v>
      </c>
      <c r="X157" s="240">
        <f t="shared" si="33"/>
        <v>0.44</v>
      </c>
      <c r="Y157" s="531" t="str" cm="1">
        <f t="array" ref="Y157">_xlfn.IFS(O157&lt;44361, "Before the burn", O157&lt;44403, "During the burn", O157&gt;44403, "After the burn")</f>
        <v>During the burn</v>
      </c>
    </row>
    <row r="158" spans="1:25" x14ac:dyDescent="0.3">
      <c r="A158" s="199" t="str">
        <f>UPPER(LEFT(RU!B26,2))&amp;RIGHT(RU!B26,LEN(RU!B26)-2)</f>
        <v>RT</v>
      </c>
      <c r="B158" s="200" t="str" cm="1">
        <f t="array" ref="B158">_xlfn.IFS(A158="EP", "EP", A158="STa", "SPI", A158="STb", "SPO", A158="MRT", "MRT", A158="RG", "RN", A158="RT", "RU", A158="RW", "RL", A158="RC", "RS")</f>
        <v>RU</v>
      </c>
      <c r="C158" s="201">
        <f>INT(RU!A26)</f>
        <v>44376</v>
      </c>
      <c r="D158" s="201" t="str">
        <f t="shared" si="23"/>
        <v>RU44376</v>
      </c>
      <c r="E158" s="202">
        <f>RU!D26</f>
        <v>7.05</v>
      </c>
      <c r="F158" s="202">
        <f>RU!E26</f>
        <v>24.4</v>
      </c>
      <c r="G158" s="202">
        <f>RU!F26</f>
        <v>2.58</v>
      </c>
      <c r="H158" s="202">
        <f>RU!H26</f>
        <v>0.02</v>
      </c>
      <c r="I158" s="202">
        <f>RU!G26</f>
        <v>2.69</v>
      </c>
      <c r="J158" s="202">
        <f>RU!I26</f>
        <v>0.1</v>
      </c>
      <c r="K158" s="202">
        <f>RU!J26</f>
        <v>7.0000000000000001E-3</v>
      </c>
      <c r="L158" s="203">
        <f>RU!K26</f>
        <v>0.42</v>
      </c>
      <c r="N158" s="236" t="str">
        <f t="shared" si="24"/>
        <v>RL</v>
      </c>
      <c r="O158" s="237">
        <f t="shared" si="25"/>
        <v>44369</v>
      </c>
      <c r="P158" s="238" t="str">
        <f t="array" ref="P158">INDEX($D$2:$D$278,MATCH(0,COUNTIF($P$1:$P157,$D$2:$D$278),0))</f>
        <v>RL44369</v>
      </c>
      <c r="Q158" s="239">
        <f t="shared" si="26"/>
        <v>7.18</v>
      </c>
      <c r="R158" s="239">
        <f t="shared" si="27"/>
        <v>25.8</v>
      </c>
      <c r="S158" s="239">
        <f t="shared" si="28"/>
        <v>2.15</v>
      </c>
      <c r="T158" s="239">
        <f t="shared" si="29"/>
        <v>0</v>
      </c>
      <c r="U158" s="239">
        <f t="shared" si="30"/>
        <v>2.04</v>
      </c>
      <c r="V158" s="239">
        <f t="shared" si="31"/>
        <v>0.12</v>
      </c>
      <c r="W158" s="239">
        <f t="shared" si="32"/>
        <v>6.0000000000000001E-3</v>
      </c>
      <c r="X158" s="240">
        <f t="shared" si="33"/>
        <v>0.43</v>
      </c>
      <c r="Y158" s="531" t="str" cm="1">
        <f t="array" ref="Y158">_xlfn.IFS(O158&lt;44361, "Before the burn", O158&lt;44403, "During the burn", O158&gt;44403, "After the burn")</f>
        <v>During the burn</v>
      </c>
    </row>
    <row r="159" spans="1:25" x14ac:dyDescent="0.3">
      <c r="A159" s="199" t="str">
        <f>UPPER(LEFT(RU!B27,2))&amp;RIGHT(RU!B27,LEN(RU!B27)-2)</f>
        <v>RT</v>
      </c>
      <c r="B159" s="200" t="str" cm="1">
        <f t="array" ref="B159">_xlfn.IFS(A159="EP", "EP", A159="STa", "SPI", A159="STb", "SPO", A159="MRT", "MRT", A159="RG", "RN", A159="RT", "RU", A159="RW", "RL", A159="RC", "RS")</f>
        <v>RU</v>
      </c>
      <c r="C159" s="201">
        <f>INT(RU!A27)</f>
        <v>44377</v>
      </c>
      <c r="D159" s="201" t="str">
        <f t="shared" si="23"/>
        <v>RU44377</v>
      </c>
      <c r="E159" s="202">
        <f>RU!D27</f>
        <v>7.15</v>
      </c>
      <c r="F159" s="202">
        <f>RU!E27</f>
        <v>27.5</v>
      </c>
      <c r="G159" s="202">
        <f>RU!F27</f>
        <v>3.09</v>
      </c>
      <c r="H159" s="202">
        <f>RU!H27</f>
        <v>0</v>
      </c>
      <c r="I159" s="202">
        <f>RU!G27</f>
        <v>3.02</v>
      </c>
      <c r="J159" s="202">
        <f>RU!I27</f>
        <v>0.03</v>
      </c>
      <c r="K159" s="202">
        <f>RU!J27</f>
        <v>8.0000000000000002E-3</v>
      </c>
      <c r="L159" s="203">
        <f>RU!K27</f>
        <v>0.32</v>
      </c>
      <c r="N159" s="236" t="str">
        <f t="shared" si="24"/>
        <v>RL</v>
      </c>
      <c r="O159" s="237">
        <f t="shared" si="25"/>
        <v>44370</v>
      </c>
      <c r="P159" s="238" t="str">
        <f t="array" ref="P159">INDEX($D$2:$D$278,MATCH(0,COUNTIF($P$1:$P158,$D$2:$D$278),0))</f>
        <v>RL44370</v>
      </c>
      <c r="Q159" s="239">
        <f t="shared" si="26"/>
        <v>6.9850000000000003</v>
      </c>
      <c r="R159" s="239">
        <f t="shared" si="27"/>
        <v>26.1</v>
      </c>
      <c r="S159" s="239">
        <f t="shared" si="28"/>
        <v>2.14</v>
      </c>
      <c r="T159" s="239">
        <f t="shared" si="29"/>
        <v>5.0000000000000001E-3</v>
      </c>
      <c r="U159" s="239">
        <f t="shared" si="30"/>
        <v>2.165</v>
      </c>
      <c r="V159" s="239">
        <f t="shared" si="31"/>
        <v>0.08</v>
      </c>
      <c r="W159" s="239">
        <f t="shared" si="32"/>
        <v>5.4999999999999997E-3</v>
      </c>
      <c r="X159" s="240">
        <f t="shared" si="33"/>
        <v>0.42</v>
      </c>
      <c r="Y159" s="531" t="str" cm="1">
        <f t="array" ref="Y159">_xlfn.IFS(O159&lt;44361, "Before the burn", O159&lt;44403, "During the burn", O159&gt;44403, "After the burn")</f>
        <v>During the burn</v>
      </c>
    </row>
    <row r="160" spans="1:25" x14ac:dyDescent="0.3">
      <c r="A160" s="199" t="str">
        <f>UPPER(LEFT(RU!B28,2))&amp;RIGHT(RU!B28,LEN(RU!B28)-2)</f>
        <v>RT</v>
      </c>
      <c r="B160" s="200" t="str" cm="1">
        <f t="array" ref="B160">_xlfn.IFS(A160="EP", "EP", A160="STa", "SPI", A160="STb", "SPO", A160="MRT", "MRT", A160="RG", "RN", A160="RT", "RU", A160="RW", "RL", A160="RC", "RS")</f>
        <v>RU</v>
      </c>
      <c r="C160" s="201">
        <f>INT(RU!A28)</f>
        <v>44377</v>
      </c>
      <c r="D160" s="201" t="str">
        <f t="shared" si="23"/>
        <v>RU44377</v>
      </c>
      <c r="E160" s="202">
        <f>RU!D28</f>
        <v>6.82</v>
      </c>
      <c r="F160" s="202">
        <f>RU!E28</f>
        <v>25.9</v>
      </c>
      <c r="G160" s="202">
        <f>RU!F28</f>
        <v>3.07</v>
      </c>
      <c r="H160" s="202">
        <f>RU!H28</f>
        <v>0.02</v>
      </c>
      <c r="I160" s="202">
        <f>RU!G28</f>
        <v>3.11</v>
      </c>
      <c r="J160" s="202">
        <f>RU!I28</f>
        <v>0.05</v>
      </c>
      <c r="K160" s="202">
        <f>RU!J28</f>
        <v>8.0000000000000002E-3</v>
      </c>
      <c r="L160" s="203">
        <f>RU!K28</f>
        <v>0.32</v>
      </c>
      <c r="N160" s="236" t="str">
        <f t="shared" si="24"/>
        <v>RL</v>
      </c>
      <c r="O160" s="237">
        <f t="shared" si="25"/>
        <v>44384</v>
      </c>
      <c r="P160" s="238" t="str">
        <f t="array" ref="P160">INDEX($D$2:$D$278,MATCH(0,COUNTIF($P$1:$P159,$D$2:$D$278),0))</f>
        <v>RL44384</v>
      </c>
      <c r="Q160" s="239">
        <f t="shared" si="26"/>
        <v>6.98</v>
      </c>
      <c r="R160" s="239">
        <f t="shared" si="27"/>
        <v>26.7</v>
      </c>
      <c r="S160" s="239">
        <f t="shared" si="28"/>
        <v>2.09</v>
      </c>
      <c r="T160" s="239">
        <f t="shared" si="29"/>
        <v>0.03</v>
      </c>
      <c r="U160" s="239">
        <f t="shared" si="30"/>
        <v>2.27</v>
      </c>
      <c r="V160" s="239">
        <f t="shared" si="31"/>
        <v>0.02</v>
      </c>
      <c r="W160" s="239">
        <f t="shared" si="32"/>
        <v>5.0000000000000001E-3</v>
      </c>
      <c r="X160" s="240">
        <f t="shared" si="33"/>
        <v>0.46</v>
      </c>
      <c r="Y160" s="531" t="str" cm="1">
        <f t="array" ref="Y160">_xlfn.IFS(O160&lt;44361, "Before the burn", O160&lt;44403, "During the burn", O160&gt;44403, "After the burn")</f>
        <v>During the burn</v>
      </c>
    </row>
    <row r="161" spans="1:25" x14ac:dyDescent="0.3">
      <c r="A161" s="199" t="str">
        <f>UPPER(LEFT(RU!B29,2))&amp;RIGHT(RU!B29,LEN(RU!B29)-2)</f>
        <v>RT</v>
      </c>
      <c r="B161" s="200" t="str" cm="1">
        <f t="array" ref="B161">_xlfn.IFS(A161="EP", "EP", A161="STa", "SPI", A161="STb", "SPO", A161="MRT", "MRT", A161="RG", "RN", A161="RT", "RU", A161="RW", "RL", A161="RC", "RS")</f>
        <v>RU</v>
      </c>
      <c r="C161" s="201">
        <f>INT(RU!A29)</f>
        <v>44384</v>
      </c>
      <c r="D161" s="201" t="str">
        <f t="shared" si="23"/>
        <v>RU44384</v>
      </c>
      <c r="E161" s="202">
        <f>RU!D29</f>
        <v>6.45</v>
      </c>
      <c r="F161" s="202">
        <f>RU!E29</f>
        <v>25</v>
      </c>
      <c r="G161" s="202">
        <f>RU!F29</f>
        <v>2.29</v>
      </c>
      <c r="H161" s="202">
        <f>RU!H29</f>
        <v>0.02</v>
      </c>
      <c r="I161" s="202">
        <f>RU!G29</f>
        <v>2.42</v>
      </c>
      <c r="J161" s="202">
        <f>RU!I29</f>
        <v>0.03</v>
      </c>
      <c r="K161" s="202">
        <f>RU!J29</f>
        <v>7.0000000000000001E-3</v>
      </c>
      <c r="L161" s="203">
        <f>RU!K29</f>
        <v>0.4</v>
      </c>
      <c r="N161" s="236" t="str">
        <f t="shared" si="24"/>
        <v>RL</v>
      </c>
      <c r="O161" s="237">
        <f t="shared" si="25"/>
        <v>44385</v>
      </c>
      <c r="P161" s="238" t="str">
        <f t="array" ref="P161">INDEX($D$2:$D$278,MATCH(0,COUNTIF($P$1:$P160,$D$2:$D$278),0))</f>
        <v>RL44385</v>
      </c>
      <c r="Q161" s="239">
        <f t="shared" si="26"/>
        <v>6.915</v>
      </c>
      <c r="R161" s="239">
        <f t="shared" si="27"/>
        <v>26.6</v>
      </c>
      <c r="S161" s="239">
        <f t="shared" si="28"/>
        <v>1.9849999999999999</v>
      </c>
      <c r="T161" s="239">
        <f t="shared" si="29"/>
        <v>5.0000000000000001E-3</v>
      </c>
      <c r="U161" s="239">
        <f t="shared" si="30"/>
        <v>2.4500000000000002</v>
      </c>
      <c r="V161" s="239">
        <f t="shared" si="31"/>
        <v>0.04</v>
      </c>
      <c r="W161" s="239">
        <f t="shared" si="32"/>
        <v>6.0000000000000001E-3</v>
      </c>
      <c r="X161" s="240">
        <f t="shared" si="33"/>
        <v>0.47499999999999998</v>
      </c>
      <c r="Y161" s="531" t="str" cm="1">
        <f t="array" ref="Y161">_xlfn.IFS(O161&lt;44361, "Before the burn", O161&lt;44403, "During the burn", O161&gt;44403, "After the burn")</f>
        <v>During the burn</v>
      </c>
    </row>
    <row r="162" spans="1:25" x14ac:dyDescent="0.3">
      <c r="A162" s="199" t="str">
        <f>UPPER(LEFT(RU!B30,2))&amp;RIGHT(RU!B30,LEN(RU!B30)-2)</f>
        <v>RT</v>
      </c>
      <c r="B162" s="200" t="str" cm="1">
        <f t="array" ref="B162">_xlfn.IFS(A162="EP", "EP", A162="STa", "SPI", A162="STb", "SPO", A162="MRT", "MRT", A162="RG", "RN", A162="RT", "RU", A162="RW", "RL", A162="RC", "RS")</f>
        <v>RU</v>
      </c>
      <c r="C162" s="201">
        <f>INT(RU!A30)</f>
        <v>44385</v>
      </c>
      <c r="D162" s="201" t="str">
        <f t="shared" si="23"/>
        <v>RU44385</v>
      </c>
      <c r="E162" s="202">
        <f>RU!D30</f>
        <v>6.62</v>
      </c>
      <c r="F162" s="202">
        <f>RU!E30</f>
        <v>26.7</v>
      </c>
      <c r="G162" s="202">
        <f>RU!F30</f>
        <v>2.44</v>
      </c>
      <c r="H162" s="202">
        <f>RU!H30</f>
        <v>0.01</v>
      </c>
      <c r="I162" s="202">
        <f>RU!G30</f>
        <v>2.56</v>
      </c>
      <c r="J162" s="202">
        <f>RU!I30</f>
        <v>7.0000000000000007E-2</v>
      </c>
      <c r="K162" s="202">
        <f>RU!J30</f>
        <v>7.0000000000000001E-3</v>
      </c>
      <c r="L162" s="203">
        <f>RU!K30</f>
        <v>0.44</v>
      </c>
      <c r="N162" s="236" t="str">
        <f t="shared" si="24"/>
        <v>RL</v>
      </c>
      <c r="O162" s="237">
        <f t="shared" si="25"/>
        <v>44390</v>
      </c>
      <c r="P162" s="238" t="str">
        <f t="array" ref="P162">INDEX($D$2:$D$278,MATCH(0,COUNTIF($P$1:$P161,$D$2:$D$278),0))</f>
        <v>RL44390</v>
      </c>
      <c r="Q162" s="239">
        <f t="shared" si="26"/>
        <v>6.81</v>
      </c>
      <c r="R162" s="239">
        <f t="shared" si="27"/>
        <v>25.3</v>
      </c>
      <c r="S162" s="239">
        <f t="shared" si="28"/>
        <v>1.49</v>
      </c>
      <c r="T162" s="239">
        <f t="shared" si="29"/>
        <v>0.04</v>
      </c>
      <c r="U162" s="239">
        <f t="shared" si="30"/>
        <v>2.38</v>
      </c>
      <c r="V162" s="239">
        <f t="shared" si="31"/>
        <v>0.01</v>
      </c>
      <c r="W162" s="239">
        <f t="shared" si="32"/>
        <v>6.0000000000000001E-3</v>
      </c>
      <c r="X162" s="240">
        <f t="shared" si="33"/>
        <v>0.45</v>
      </c>
      <c r="Y162" s="531" t="str" cm="1">
        <f t="array" ref="Y162">_xlfn.IFS(O162&lt;44361, "Before the burn", O162&lt;44403, "During the burn", O162&gt;44403, "After the burn")</f>
        <v>During the burn</v>
      </c>
    </row>
    <row r="163" spans="1:25" x14ac:dyDescent="0.3">
      <c r="A163" s="199" t="str">
        <f>UPPER(LEFT(RU!B31,2))&amp;RIGHT(RU!B31,LEN(RU!B31)-2)</f>
        <v>RT</v>
      </c>
      <c r="B163" s="200" t="str" cm="1">
        <f t="array" ref="B163">_xlfn.IFS(A163="EP", "EP", A163="STa", "SPI", A163="STb", "SPO", A163="MRT", "MRT", A163="RG", "RN", A163="RT", "RU", A163="RW", "RL", A163="RC", "RS")</f>
        <v>RU</v>
      </c>
      <c r="C163" s="201">
        <f>INT(RU!A31)</f>
        <v>44385</v>
      </c>
      <c r="D163" s="201" t="str">
        <f t="shared" si="23"/>
        <v>RU44385</v>
      </c>
      <c r="E163" s="202">
        <f>RU!D31</f>
        <v>6.87</v>
      </c>
      <c r="F163" s="202">
        <f>RU!E31</f>
        <v>27.6</v>
      </c>
      <c r="G163" s="202">
        <f>RU!F31</f>
        <v>2.87</v>
      </c>
      <c r="H163" s="202">
        <f>RU!H31</f>
        <v>0</v>
      </c>
      <c r="I163" s="202">
        <f>RU!G31</f>
        <v>2.9</v>
      </c>
      <c r="J163" s="202">
        <f>RU!I31</f>
        <v>0.03</v>
      </c>
      <c r="K163" s="202">
        <f>RU!J31</f>
        <v>7.0000000000000001E-3</v>
      </c>
      <c r="L163" s="203">
        <f>RU!K31</f>
        <v>0.36</v>
      </c>
      <c r="N163" s="236" t="str">
        <f t="shared" si="24"/>
        <v>RL</v>
      </c>
      <c r="O163" s="237">
        <f t="shared" si="25"/>
        <v>44391</v>
      </c>
      <c r="P163" s="238" t="str">
        <f t="array" ref="P163">INDEX($D$2:$D$278,MATCH(0,COUNTIF($P$1:$P162,$D$2:$D$278),0))</f>
        <v>RL44391</v>
      </c>
      <c r="Q163" s="239">
        <f t="shared" si="26"/>
        <v>6.8800000000000008</v>
      </c>
      <c r="R163" s="239">
        <f t="shared" si="27"/>
        <v>26.55</v>
      </c>
      <c r="S163" s="239">
        <f t="shared" si="28"/>
        <v>2.4750000000000001</v>
      </c>
      <c r="T163" s="239">
        <f t="shared" si="29"/>
        <v>0.02</v>
      </c>
      <c r="U163" s="239">
        <f t="shared" si="30"/>
        <v>2.6949999999999998</v>
      </c>
      <c r="V163" s="239">
        <f t="shared" si="31"/>
        <v>1.4999999999999999E-2</v>
      </c>
      <c r="W163" s="239">
        <f t="shared" si="32"/>
        <v>5.4999999999999997E-3</v>
      </c>
      <c r="X163" s="240">
        <f t="shared" si="33"/>
        <v>0.45499999999999996</v>
      </c>
      <c r="Y163" s="531" t="str" cm="1">
        <f t="array" ref="Y163">_xlfn.IFS(O163&lt;44361, "Before the burn", O163&lt;44403, "During the burn", O163&gt;44403, "After the burn")</f>
        <v>During the burn</v>
      </c>
    </row>
    <row r="164" spans="1:25" x14ac:dyDescent="0.3">
      <c r="A164" s="199" t="str">
        <f>UPPER(LEFT(RU!B32,2))&amp;RIGHT(RU!B32,LEN(RU!B32)-2)</f>
        <v>RT</v>
      </c>
      <c r="B164" s="200" t="str" cm="1">
        <f t="array" ref="B164">_xlfn.IFS(A164="EP", "EP", A164="STa", "SPI", A164="STb", "SPO", A164="MRT", "MRT", A164="RG", "RN", A164="RT", "RU", A164="RW", "RL", A164="RC", "RS")</f>
        <v>RU</v>
      </c>
      <c r="C164" s="201">
        <f>INT(RU!A32)</f>
        <v>44390</v>
      </c>
      <c r="D164" s="201" t="str">
        <f t="shared" si="23"/>
        <v>RU44390</v>
      </c>
      <c r="E164" s="202">
        <f>RU!D32</f>
        <v>6.69</v>
      </c>
      <c r="F164" s="202">
        <f>RU!E32</f>
        <v>24.8</v>
      </c>
      <c r="G164" s="202">
        <f>RU!F32</f>
        <v>2.0299999999999998</v>
      </c>
      <c r="H164" s="202">
        <f>RU!H32</f>
        <v>0</v>
      </c>
      <c r="I164" s="202">
        <f>RU!G32</f>
        <v>2.19</v>
      </c>
      <c r="J164" s="202">
        <f>RU!I32</f>
        <v>0.04</v>
      </c>
      <c r="K164" s="202">
        <f>RU!J32</f>
        <v>6.0000000000000001E-3</v>
      </c>
      <c r="L164" s="203">
        <f>RU!K32</f>
        <v>0.41</v>
      </c>
      <c r="N164" s="236" t="str">
        <f t="shared" si="24"/>
        <v>RL</v>
      </c>
      <c r="O164" s="237">
        <f t="shared" si="25"/>
        <v>44397</v>
      </c>
      <c r="P164" s="238" t="str">
        <f t="array" ref="P164">INDEX($D$2:$D$278,MATCH(0,COUNTIF($P$1:$P163,$D$2:$D$278),0))</f>
        <v>RL44397</v>
      </c>
      <c r="Q164" s="239">
        <f t="shared" si="26"/>
        <v>6.85</v>
      </c>
      <c r="R164" s="239">
        <f t="shared" si="27"/>
        <v>25.4</v>
      </c>
      <c r="S164" s="239">
        <f t="shared" si="28"/>
        <v>2.14</v>
      </c>
      <c r="T164" s="239">
        <f t="shared" si="29"/>
        <v>0.04</v>
      </c>
      <c r="U164" s="239">
        <f t="shared" si="30"/>
        <v>2.14</v>
      </c>
      <c r="V164" s="239">
        <f t="shared" si="31"/>
        <v>0.09</v>
      </c>
      <c r="W164" s="239">
        <f t="shared" si="32"/>
        <v>6.0000000000000001E-3</v>
      </c>
      <c r="X164" s="240">
        <f t="shared" si="33"/>
        <v>0.54</v>
      </c>
      <c r="Y164" s="531" t="str" cm="1">
        <f t="array" ref="Y164">_xlfn.IFS(O164&lt;44361, "Before the burn", O164&lt;44403, "During the burn", O164&gt;44403, "After the burn")</f>
        <v>During the burn</v>
      </c>
    </row>
    <row r="165" spans="1:25" x14ac:dyDescent="0.3">
      <c r="A165" s="199" t="str">
        <f>UPPER(LEFT(RU!B33,2))&amp;RIGHT(RU!B33,LEN(RU!B33)-2)</f>
        <v>RT</v>
      </c>
      <c r="B165" s="200" t="str" cm="1">
        <f t="array" ref="B165">_xlfn.IFS(A165="EP", "EP", A165="STa", "SPI", A165="STb", "SPO", A165="MRT", "MRT", A165="RG", "RN", A165="RT", "RU", A165="RW", "RL", A165="RC", "RS")</f>
        <v>RU</v>
      </c>
      <c r="C165" s="201">
        <f>INT(RU!A33)</f>
        <v>44391</v>
      </c>
      <c r="D165" s="201" t="str">
        <f t="shared" si="23"/>
        <v>RU44391</v>
      </c>
      <c r="E165" s="202">
        <f>RU!D33</f>
        <v>6.76</v>
      </c>
      <c r="F165" s="202">
        <f>RU!E33</f>
        <v>27.5</v>
      </c>
      <c r="G165" s="202">
        <f>RU!F33</f>
        <v>3.08</v>
      </c>
      <c r="H165" s="202">
        <f>RU!H33</f>
        <v>0.03</v>
      </c>
      <c r="I165" s="202">
        <f>RU!G33</f>
        <v>3.1</v>
      </c>
      <c r="J165" s="202">
        <f>RU!I33</f>
        <v>0.11</v>
      </c>
      <c r="K165" s="202">
        <f>RU!J33</f>
        <v>8.0000000000000002E-3</v>
      </c>
      <c r="L165" s="203">
        <f>RU!K33</f>
        <v>0.54</v>
      </c>
      <c r="N165" s="236" t="str">
        <f t="shared" si="24"/>
        <v>RL</v>
      </c>
      <c r="O165" s="237">
        <f t="shared" si="25"/>
        <v>44398</v>
      </c>
      <c r="P165" s="238" t="str">
        <f t="array" ref="P165">INDEX($D$2:$D$278,MATCH(0,COUNTIF($P$1:$P164,$D$2:$D$278),0))</f>
        <v>RL44398</v>
      </c>
      <c r="Q165" s="239">
        <f t="shared" si="26"/>
        <v>6.8149999999999995</v>
      </c>
      <c r="R165" s="239">
        <f t="shared" si="27"/>
        <v>26.85</v>
      </c>
      <c r="S165" s="239">
        <f t="shared" si="28"/>
        <v>1.85</v>
      </c>
      <c r="T165" s="239">
        <f t="shared" si="29"/>
        <v>0.01</v>
      </c>
      <c r="U165" s="239">
        <f t="shared" si="30"/>
        <v>2.2549999999999999</v>
      </c>
      <c r="V165" s="239">
        <f t="shared" si="31"/>
        <v>0.02</v>
      </c>
      <c r="W165" s="239">
        <f t="shared" si="32"/>
        <v>5.4999999999999997E-3</v>
      </c>
      <c r="X165" s="240">
        <f t="shared" si="33"/>
        <v>0.49</v>
      </c>
      <c r="Y165" s="531" t="str" cm="1">
        <f t="array" ref="Y165">_xlfn.IFS(O165&lt;44361, "Before the burn", O165&lt;44403, "During the burn", O165&gt;44403, "After the burn")</f>
        <v>During the burn</v>
      </c>
    </row>
    <row r="166" spans="1:25" x14ac:dyDescent="0.3">
      <c r="A166" s="199" t="str">
        <f>UPPER(LEFT(RU!B34,2))&amp;RIGHT(RU!B34,LEN(RU!B34)-2)</f>
        <v>RT</v>
      </c>
      <c r="B166" s="200" t="str" cm="1">
        <f t="array" ref="B166">_xlfn.IFS(A166="EP", "EP", A166="STa", "SPI", A166="STb", "SPO", A166="MRT", "MRT", A166="RG", "RN", A166="RT", "RU", A166="RW", "RL", A166="RC", "RS")</f>
        <v>RU</v>
      </c>
      <c r="C166" s="201">
        <f>INT(RU!A34)</f>
        <v>44391</v>
      </c>
      <c r="D166" s="201" t="str">
        <f t="shared" si="23"/>
        <v>RU44391</v>
      </c>
      <c r="E166" s="202">
        <f>RU!D34</f>
        <v>6.97</v>
      </c>
      <c r="F166" s="202">
        <f>RU!E34</f>
        <v>28.4</v>
      </c>
      <c r="G166" s="202">
        <f>RU!F34</f>
        <v>2.95</v>
      </c>
      <c r="H166" s="202">
        <f>RU!H34</f>
        <v>0.01</v>
      </c>
      <c r="I166" s="202">
        <f>RU!G34</f>
        <v>2.95</v>
      </c>
      <c r="J166" s="202">
        <f>RU!I34</f>
        <v>0.08</v>
      </c>
      <c r="K166" s="202">
        <f>RU!J34</f>
        <v>8.0000000000000002E-3</v>
      </c>
      <c r="L166" s="203">
        <f>RU!K34</f>
        <v>0.38</v>
      </c>
      <c r="N166" s="236" t="str">
        <f t="shared" si="24"/>
        <v>RL</v>
      </c>
      <c r="O166" s="237">
        <f t="shared" si="25"/>
        <v>44404</v>
      </c>
      <c r="P166" s="238" t="str">
        <f t="array" ref="P166">INDEX($D$2:$D$278,MATCH(0,COUNTIF($P$1:$P165,$D$2:$D$278),0))</f>
        <v>RL44404</v>
      </c>
      <c r="Q166" s="239">
        <f t="shared" si="26"/>
        <v>6.72</v>
      </c>
      <c r="R166" s="239">
        <f t="shared" si="27"/>
        <v>28.3</v>
      </c>
      <c r="S166" s="239">
        <f t="shared" si="28"/>
        <v>0.09</v>
      </c>
      <c r="T166" s="239">
        <f t="shared" si="29"/>
        <v>0.74</v>
      </c>
      <c r="U166" s="239">
        <f t="shared" si="30"/>
        <v>0.93</v>
      </c>
      <c r="V166" s="239">
        <f t="shared" si="31"/>
        <v>0.04</v>
      </c>
      <c r="W166" s="239">
        <f t="shared" si="32"/>
        <v>6.0000000000000001E-3</v>
      </c>
      <c r="X166" s="240">
        <f t="shared" si="33"/>
        <v>0.49</v>
      </c>
      <c r="Y166" s="531" t="str" cm="1">
        <f t="array" ref="Y166">_xlfn.IFS(O166&lt;44361, "Before the burn", O166&lt;44403, "During the burn", O166&gt;44403, "After the burn")</f>
        <v>After the burn</v>
      </c>
    </row>
    <row r="167" spans="1:25" x14ac:dyDescent="0.3">
      <c r="A167" s="199" t="str">
        <f>UPPER(LEFT(RU!B35,2))&amp;RIGHT(RU!B35,LEN(RU!B35)-2)</f>
        <v>RT</v>
      </c>
      <c r="B167" s="200" t="str" cm="1">
        <f t="array" ref="B167">_xlfn.IFS(A167="EP", "EP", A167="STa", "SPI", A167="STb", "SPO", A167="MRT", "MRT", A167="RG", "RN", A167="RT", "RU", A167="RW", "RL", A167="RC", "RS")</f>
        <v>RU</v>
      </c>
      <c r="C167" s="201">
        <f>INT(RU!A35)</f>
        <v>44397</v>
      </c>
      <c r="D167" s="201" t="str">
        <f t="shared" si="23"/>
        <v>RU44397</v>
      </c>
      <c r="E167" s="202">
        <f>RU!D35</f>
        <v>6.63</v>
      </c>
      <c r="F167" s="202">
        <f>RU!E35</f>
        <v>27</v>
      </c>
      <c r="G167" s="202">
        <f>RU!F35</f>
        <v>1.87</v>
      </c>
      <c r="H167" s="202">
        <f>RU!H35</f>
        <v>0.02</v>
      </c>
      <c r="I167" s="202">
        <f>RU!G35</f>
        <v>2.02</v>
      </c>
      <c r="J167" s="202">
        <f>RU!I35</f>
        <v>0.05</v>
      </c>
      <c r="K167" s="202">
        <f>RU!J35</f>
        <v>7.0000000000000001E-3</v>
      </c>
      <c r="L167" s="203">
        <f>RU!K35</f>
        <v>0.4</v>
      </c>
      <c r="N167" s="236" t="str">
        <f t="shared" si="24"/>
        <v>RL</v>
      </c>
      <c r="O167" s="237">
        <f t="shared" si="25"/>
        <v>44405</v>
      </c>
      <c r="P167" s="238" t="str">
        <f t="array" ref="P167">INDEX($D$2:$D$278,MATCH(0,COUNTIF($P$1:$P166,$D$2:$D$278),0))</f>
        <v>RL44405</v>
      </c>
      <c r="Q167" s="239">
        <f t="shared" si="26"/>
        <v>6.4649999999999999</v>
      </c>
      <c r="R167" s="239">
        <f t="shared" si="27"/>
        <v>27.6</v>
      </c>
      <c r="S167" s="239">
        <f t="shared" si="28"/>
        <v>9.5000000000000001E-2</v>
      </c>
      <c r="T167" s="239">
        <f t="shared" si="29"/>
        <v>1.9849999999999999</v>
      </c>
      <c r="U167" s="239">
        <f t="shared" si="30"/>
        <v>2.1349999999999998</v>
      </c>
      <c r="V167" s="239">
        <f t="shared" si="31"/>
        <v>0.15</v>
      </c>
      <c r="W167" s="239">
        <f t="shared" si="32"/>
        <v>7.0000000000000001E-3</v>
      </c>
      <c r="X167" s="240">
        <f t="shared" si="33"/>
        <v>0.44999999999999996</v>
      </c>
      <c r="Y167" s="531" t="str" cm="1">
        <f t="array" ref="Y167">_xlfn.IFS(O167&lt;44361, "Before the burn", O167&lt;44403, "During the burn", O167&gt;44403, "After the burn")</f>
        <v>After the burn</v>
      </c>
    </row>
    <row r="168" spans="1:25" x14ac:dyDescent="0.3">
      <c r="A168" s="199" t="str">
        <f>UPPER(LEFT(RU!B36,2))&amp;RIGHT(RU!B36,LEN(RU!B36)-2)</f>
        <v>RT</v>
      </c>
      <c r="B168" s="200" t="str" cm="1">
        <f t="array" ref="B168">_xlfn.IFS(A168="EP", "EP", A168="STa", "SPI", A168="STb", "SPO", A168="MRT", "MRT", A168="RG", "RN", A168="RT", "RU", A168="RW", "RL", A168="RC", "RS")</f>
        <v>RU</v>
      </c>
      <c r="C168" s="201">
        <f>INT(RU!A36)</f>
        <v>44397</v>
      </c>
      <c r="D168" s="201" t="str">
        <f t="shared" si="23"/>
        <v>RU44397</v>
      </c>
      <c r="E168" s="202">
        <f>RU!D36</f>
        <v>6.53</v>
      </c>
      <c r="F168" s="202">
        <f>RU!E36</f>
        <v>28.3</v>
      </c>
      <c r="G168" s="202">
        <f>RU!F36</f>
        <v>2.15</v>
      </c>
      <c r="H168" s="202">
        <f>RU!H36</f>
        <v>0.01</v>
      </c>
      <c r="I168" s="202">
        <f>RU!G36</f>
        <v>2.2400000000000002</v>
      </c>
      <c r="J168" s="202">
        <f>RU!I36</f>
        <v>0.06</v>
      </c>
      <c r="K168" s="202">
        <f>RU!J36</f>
        <v>7.0000000000000001E-3</v>
      </c>
      <c r="L168" s="203">
        <f>RU!K36</f>
        <v>0.47</v>
      </c>
      <c r="N168" s="236" t="str">
        <f t="shared" si="24"/>
        <v>RL</v>
      </c>
      <c r="O168" s="237">
        <f t="shared" si="25"/>
        <v>44411</v>
      </c>
      <c r="P168" s="238" t="str">
        <f t="array" ref="P168">INDEX($D$2:$D$278,MATCH(0,COUNTIF($P$1:$P167,$D$2:$D$278),0))</f>
        <v>RL44411</v>
      </c>
      <c r="Q168" s="239">
        <f t="shared" si="26"/>
        <v>6.37</v>
      </c>
      <c r="R168" s="239">
        <f t="shared" si="27"/>
        <v>27.3</v>
      </c>
      <c r="S168" s="239">
        <f t="shared" si="28"/>
        <v>0.14000000000000001</v>
      </c>
      <c r="T168" s="239">
        <f t="shared" si="29"/>
        <v>1.97</v>
      </c>
      <c r="U168" s="239">
        <f t="shared" si="30"/>
        <v>2.06</v>
      </c>
      <c r="V168" s="239">
        <f t="shared" si="31"/>
        <v>0.24</v>
      </c>
      <c r="W168" s="239">
        <f t="shared" si="32"/>
        <v>6.0000000000000001E-3</v>
      </c>
      <c r="X168" s="240">
        <f t="shared" si="33"/>
        <v>0.44</v>
      </c>
      <c r="Y168" s="531" t="str" cm="1">
        <f t="array" ref="Y168">_xlfn.IFS(O168&lt;44361, "Before the burn", O168&lt;44403, "During the burn", O168&gt;44403, "After the burn")</f>
        <v>After the burn</v>
      </c>
    </row>
    <row r="169" spans="1:25" x14ac:dyDescent="0.3">
      <c r="A169" s="199" t="str">
        <f>UPPER(LEFT(RU!B37,2))&amp;RIGHT(RU!B37,LEN(RU!B37)-2)</f>
        <v>RT</v>
      </c>
      <c r="B169" s="200" t="str" cm="1">
        <f t="array" ref="B169">_xlfn.IFS(A169="EP", "EP", A169="STa", "SPI", A169="STb", "SPO", A169="MRT", "MRT", A169="RG", "RN", A169="RT", "RU", A169="RW", "RL", A169="RC", "RS")</f>
        <v>RU</v>
      </c>
      <c r="C169" s="201">
        <f>INT(RU!A37)</f>
        <v>44397</v>
      </c>
      <c r="D169" s="201" t="str">
        <f t="shared" si="23"/>
        <v>RU44397</v>
      </c>
      <c r="E169" s="202">
        <f>RU!D37</f>
        <v>6.63</v>
      </c>
      <c r="F169" s="202">
        <f>RU!E37</f>
        <v>27.2</v>
      </c>
      <c r="G169" s="202">
        <f>RU!F37</f>
        <v>2.7</v>
      </c>
      <c r="H169" s="202">
        <f>RU!H37</f>
        <v>0</v>
      </c>
      <c r="I169" s="202">
        <f>RU!G37</f>
        <v>2.81</v>
      </c>
      <c r="J169" s="202">
        <f>RU!I37</f>
        <v>0.03</v>
      </c>
      <c r="K169" s="202">
        <f>RU!J37</f>
        <v>7.0000000000000001E-3</v>
      </c>
      <c r="L169" s="203">
        <f>RU!K37</f>
        <v>0.35</v>
      </c>
      <c r="N169" s="236" t="str">
        <f t="shared" si="24"/>
        <v>RL</v>
      </c>
      <c r="O169" s="237">
        <f t="shared" si="25"/>
        <v>44412</v>
      </c>
      <c r="P169" s="238" t="str">
        <f t="array" ref="P169">INDEX($D$2:$D$278,MATCH(0,COUNTIF($P$1:$P168,$D$2:$D$278),0))</f>
        <v>RL44412</v>
      </c>
      <c r="Q169" s="239">
        <f t="shared" si="26"/>
        <v>6.9049999999999994</v>
      </c>
      <c r="R169" s="239">
        <f t="shared" si="27"/>
        <v>27.2</v>
      </c>
      <c r="S169" s="239">
        <f t="shared" si="28"/>
        <v>7.0000000000000007E-2</v>
      </c>
      <c r="T169" s="239">
        <f t="shared" si="29"/>
        <v>2.0199999999999996</v>
      </c>
      <c r="U169" s="239">
        <f t="shared" si="30"/>
        <v>2.2999999999999998</v>
      </c>
      <c r="V169" s="239">
        <f t="shared" si="31"/>
        <v>0.16500000000000001</v>
      </c>
      <c r="W169" s="239">
        <f t="shared" si="32"/>
        <v>7.0000000000000001E-3</v>
      </c>
      <c r="X169" s="240">
        <f t="shared" si="33"/>
        <v>0.47</v>
      </c>
      <c r="Y169" s="531" t="str" cm="1">
        <f t="array" ref="Y169">_xlfn.IFS(O169&lt;44361, "Before the burn", O169&lt;44403, "During the burn", O169&gt;44403, "After the burn")</f>
        <v>After the burn</v>
      </c>
    </row>
    <row r="170" spans="1:25" x14ac:dyDescent="0.3">
      <c r="A170" s="199" t="str">
        <f>UPPER(LEFT(RU!B38,2))&amp;RIGHT(RU!B38,LEN(RU!B38)-2)</f>
        <v>RT</v>
      </c>
      <c r="B170" s="200" t="str" cm="1">
        <f t="array" ref="B170">_xlfn.IFS(A170="EP", "EP", A170="STa", "SPI", A170="STb", "SPO", A170="MRT", "MRT", A170="RG", "RN", A170="RT", "RU", A170="RW", "RL", A170="RC", "RS")</f>
        <v>RU</v>
      </c>
      <c r="C170" s="201">
        <f>INT(RU!A38)</f>
        <v>44404</v>
      </c>
      <c r="D170" s="201" t="str">
        <f t="shared" si="23"/>
        <v>RU44404</v>
      </c>
      <c r="E170" s="202">
        <f>RU!D38</f>
        <v>6.61</v>
      </c>
      <c r="F170" s="202">
        <f>RU!E38</f>
        <v>26.9</v>
      </c>
      <c r="G170" s="202">
        <f>RU!F38</f>
        <v>0.13</v>
      </c>
      <c r="H170" s="202">
        <f>RU!H38</f>
        <v>1.77</v>
      </c>
      <c r="I170" s="202">
        <f>RU!G38</f>
        <v>1.95</v>
      </c>
      <c r="J170" s="202">
        <f>RU!I38</f>
        <v>0.18</v>
      </c>
      <c r="K170" s="202">
        <f>RU!J38</f>
        <v>6.0000000000000001E-3</v>
      </c>
      <c r="L170" s="203">
        <f>RU!K38</f>
        <v>0.42</v>
      </c>
      <c r="N170" s="236" t="str">
        <f t="shared" si="24"/>
        <v>RL</v>
      </c>
      <c r="O170" s="237">
        <f t="shared" si="25"/>
        <v>44418</v>
      </c>
      <c r="P170" s="238" t="str">
        <f t="array" ref="P170">INDEX($D$2:$D$278,MATCH(0,COUNTIF($P$1:$P169,$D$2:$D$278),0))</f>
        <v>RL44418</v>
      </c>
      <c r="Q170" s="239">
        <f t="shared" si="26"/>
        <v>6.37</v>
      </c>
      <c r="R170" s="239">
        <f t="shared" si="27"/>
        <v>27.9</v>
      </c>
      <c r="S170" s="239">
        <f t="shared" si="28"/>
        <v>0.12</v>
      </c>
      <c r="T170" s="239">
        <f t="shared" si="29"/>
        <v>1.89</v>
      </c>
      <c r="U170" s="239">
        <f t="shared" si="30"/>
        <v>2.21</v>
      </c>
      <c r="V170" s="239">
        <f t="shared" si="31"/>
        <v>0.1</v>
      </c>
      <c r="W170" s="239">
        <f t="shared" si="32"/>
        <v>6.0000000000000001E-3</v>
      </c>
      <c r="X170" s="240">
        <f t="shared" si="33"/>
        <v>0.48</v>
      </c>
      <c r="Y170" s="531" t="str" cm="1">
        <f t="array" ref="Y170">_xlfn.IFS(O170&lt;44361, "Before the burn", O170&lt;44403, "During the burn", O170&gt;44403, "After the burn")</f>
        <v>After the burn</v>
      </c>
    </row>
    <row r="171" spans="1:25" x14ac:dyDescent="0.3">
      <c r="A171" s="199" t="str">
        <f>UPPER(LEFT(RU!B39,2))&amp;RIGHT(RU!B39,LEN(RU!B39)-2)</f>
        <v>RT</v>
      </c>
      <c r="B171" s="200" t="str" cm="1">
        <f t="array" ref="B171">_xlfn.IFS(A171="EP", "EP", A171="STa", "SPI", A171="STb", "SPO", A171="MRT", "MRT", A171="RG", "RN", A171="RT", "RU", A171="RW", "RL", A171="RC", "RS")</f>
        <v>RU</v>
      </c>
      <c r="C171" s="201">
        <f>INT(RU!A39)</f>
        <v>44405</v>
      </c>
      <c r="D171" s="201" t="str">
        <f t="shared" si="23"/>
        <v>RU44405</v>
      </c>
      <c r="E171" s="202">
        <f>RU!D39</f>
        <v>6.73</v>
      </c>
      <c r="F171" s="202">
        <f>RU!E39</f>
        <v>27.5</v>
      </c>
      <c r="G171" s="202">
        <f>RU!F39</f>
        <v>0.13</v>
      </c>
      <c r="H171" s="202">
        <f>RU!H39</f>
        <v>1.85</v>
      </c>
      <c r="I171" s="202">
        <f>RU!G39</f>
        <v>2.0499999999999998</v>
      </c>
      <c r="J171" s="202">
        <f>RU!I39</f>
        <v>0.17</v>
      </c>
      <c r="K171" s="202">
        <f>RU!J39</f>
        <v>6.0000000000000001E-3</v>
      </c>
      <c r="L171" s="203">
        <f>RU!K39</f>
        <v>0.44</v>
      </c>
      <c r="N171" s="236" t="str">
        <f t="shared" si="24"/>
        <v>RL</v>
      </c>
      <c r="O171" s="237">
        <f t="shared" si="25"/>
        <v>44419</v>
      </c>
      <c r="P171" s="238" t="str">
        <f t="array" ref="P171">INDEX($D$2:$D$278,MATCH(0,COUNTIF($P$1:$P170,$D$2:$D$278),0))</f>
        <v>RL44419</v>
      </c>
      <c r="Q171" s="239">
        <f t="shared" si="26"/>
        <v>6.4049999999999994</v>
      </c>
      <c r="R171" s="239">
        <f t="shared" si="27"/>
        <v>27.950000000000003</v>
      </c>
      <c r="S171" s="239">
        <f t="shared" si="28"/>
        <v>0.125</v>
      </c>
      <c r="T171" s="239">
        <f t="shared" si="29"/>
        <v>1.855</v>
      </c>
      <c r="U171" s="239">
        <f t="shared" si="30"/>
        <v>2.0350000000000001</v>
      </c>
      <c r="V171" s="239">
        <f t="shared" si="31"/>
        <v>0.15000000000000002</v>
      </c>
      <c r="W171" s="239">
        <f t="shared" si="32"/>
        <v>7.4999999999999997E-3</v>
      </c>
      <c r="X171" s="240">
        <f t="shared" si="33"/>
        <v>0.5</v>
      </c>
      <c r="Y171" s="531" t="str" cm="1">
        <f t="array" ref="Y171">_xlfn.IFS(O171&lt;44361, "Before the burn", O171&lt;44403, "During the burn", O171&gt;44403, "After the burn")</f>
        <v>After the burn</v>
      </c>
    </row>
    <row r="172" spans="1:25" x14ac:dyDescent="0.3">
      <c r="A172" s="199" t="str">
        <f>UPPER(LEFT(RU!B40,2))&amp;RIGHT(RU!B40,LEN(RU!B40)-2)</f>
        <v>RT</v>
      </c>
      <c r="B172" s="200" t="str" cm="1">
        <f t="array" ref="B172">_xlfn.IFS(A172="EP", "EP", A172="STa", "SPI", A172="STb", "SPO", A172="MRT", "MRT", A172="RG", "RN", A172="RT", "RU", A172="RW", "RL", A172="RC", "RS")</f>
        <v>RU</v>
      </c>
      <c r="C172" s="201">
        <f>INT(RU!A40)</f>
        <v>44405</v>
      </c>
      <c r="D172" s="201" t="str">
        <f t="shared" si="23"/>
        <v>RU44405</v>
      </c>
      <c r="E172" s="202">
        <f>RU!D40</f>
        <v>6.76</v>
      </c>
      <c r="F172" s="202">
        <f>RU!E40</f>
        <v>28.8</v>
      </c>
      <c r="G172" s="202">
        <f>RU!F40</f>
        <v>7.0000000000000007E-2</v>
      </c>
      <c r="H172" s="202">
        <f>RU!H40</f>
        <v>2.2400000000000002</v>
      </c>
      <c r="I172" s="202">
        <f>RU!G40</f>
        <v>2.46</v>
      </c>
      <c r="J172" s="202">
        <f>RU!I40</f>
        <v>0.11</v>
      </c>
      <c r="K172" s="202">
        <f>RU!J40</f>
        <v>6.0000000000000001E-3</v>
      </c>
      <c r="L172" s="203">
        <f>RU!K40</f>
        <v>0.44</v>
      </c>
      <c r="N172" s="236" t="str">
        <f t="shared" si="24"/>
        <v>RL</v>
      </c>
      <c r="O172" s="237">
        <f t="shared" si="25"/>
        <v>44425</v>
      </c>
      <c r="P172" s="238" t="str">
        <f t="array" ref="P172">INDEX($D$2:$D$278,MATCH(0,COUNTIF($P$1:$P171,$D$2:$D$278),0))</f>
        <v>RL44425</v>
      </c>
      <c r="Q172" s="239">
        <f t="shared" si="26"/>
        <v>6.48</v>
      </c>
      <c r="R172" s="239">
        <f t="shared" si="27"/>
        <v>26.7</v>
      </c>
      <c r="S172" s="239">
        <f t="shared" si="28"/>
        <v>0.17</v>
      </c>
      <c r="T172" s="239">
        <f t="shared" si="29"/>
        <v>1.67</v>
      </c>
      <c r="U172" s="239">
        <f t="shared" si="30"/>
        <v>2.0299999999999998</v>
      </c>
      <c r="V172" s="239">
        <f t="shared" si="31"/>
        <v>0.16</v>
      </c>
      <c r="W172" s="239">
        <f t="shared" si="32"/>
        <v>1E-3</v>
      </c>
      <c r="X172" s="240">
        <f t="shared" si="33"/>
        <v>0.43</v>
      </c>
      <c r="Y172" s="531" t="str" cm="1">
        <f t="array" ref="Y172">_xlfn.IFS(O172&lt;44361, "Before the burn", O172&lt;44403, "During the burn", O172&gt;44403, "After the burn")</f>
        <v>After the burn</v>
      </c>
    </row>
    <row r="173" spans="1:25" x14ac:dyDescent="0.3">
      <c r="A173" s="199" t="str">
        <f>UPPER(LEFT(RU!B41,2))&amp;RIGHT(RU!B41,LEN(RU!B41)-2)</f>
        <v>RT</v>
      </c>
      <c r="B173" s="200" t="str" cm="1">
        <f t="array" ref="B173">_xlfn.IFS(A173="EP", "EP", A173="STa", "SPI", A173="STb", "SPO", A173="MRT", "MRT", A173="RG", "RN", A173="RT", "RU", A173="RW", "RL", A173="RC", "RS")</f>
        <v>RU</v>
      </c>
      <c r="C173" s="201">
        <f>INT(RU!A41)</f>
        <v>44411</v>
      </c>
      <c r="D173" s="201" t="str">
        <f t="shared" si="23"/>
        <v>RU44411</v>
      </c>
      <c r="E173" s="202">
        <f>RU!D41</f>
        <v>6.61</v>
      </c>
      <c r="F173" s="202">
        <f>RU!E41</f>
        <v>26.7</v>
      </c>
      <c r="G173" s="202">
        <f>RU!F41</f>
        <v>0.14000000000000001</v>
      </c>
      <c r="H173" s="202">
        <f>RU!H41</f>
        <v>2.19</v>
      </c>
      <c r="I173" s="202">
        <f>RU!G41</f>
        <v>2.62</v>
      </c>
      <c r="J173" s="202">
        <f>RU!I41</f>
        <v>0.11</v>
      </c>
      <c r="K173" s="202">
        <f>RU!J41</f>
        <v>7.0000000000000001E-3</v>
      </c>
      <c r="L173" s="203">
        <f>RU!K41</f>
        <v>0.34</v>
      </c>
      <c r="N173" s="236" t="str">
        <f t="shared" si="24"/>
        <v>RL</v>
      </c>
      <c r="O173" s="237">
        <f t="shared" si="25"/>
        <v>44426</v>
      </c>
      <c r="P173" s="238" t="str">
        <f t="array" ref="P173">INDEX($D$2:$D$278,MATCH(0,COUNTIF($P$1:$P172,$D$2:$D$278),0))</f>
        <v>RL44426</v>
      </c>
      <c r="Q173" s="239">
        <f t="shared" si="26"/>
        <v>6.8849999999999998</v>
      </c>
      <c r="R173" s="239">
        <f t="shared" si="27"/>
        <v>27.35</v>
      </c>
      <c r="S173" s="239">
        <f t="shared" si="28"/>
        <v>6.5000000000000002E-2</v>
      </c>
      <c r="T173" s="239">
        <f t="shared" si="29"/>
        <v>1.87</v>
      </c>
      <c r="U173" s="239">
        <f t="shared" si="30"/>
        <v>2.2000000000000002</v>
      </c>
      <c r="V173" s="239">
        <f t="shared" si="31"/>
        <v>0.23</v>
      </c>
      <c r="W173" s="239">
        <f t="shared" si="32"/>
        <v>2E-3</v>
      </c>
      <c r="X173" s="240">
        <f t="shared" si="33"/>
        <v>0.375</v>
      </c>
      <c r="Y173" s="531" t="str" cm="1">
        <f t="array" ref="Y173">_xlfn.IFS(O173&lt;44361, "Before the burn", O173&lt;44403, "During the burn", O173&gt;44403, "After the burn")</f>
        <v>After the burn</v>
      </c>
    </row>
    <row r="174" spans="1:25" x14ac:dyDescent="0.3">
      <c r="A174" s="199" t="str">
        <f>UPPER(LEFT(RU!B42,2))&amp;RIGHT(RU!B42,LEN(RU!B42)-2)</f>
        <v>RT</v>
      </c>
      <c r="B174" s="200" t="str" cm="1">
        <f t="array" ref="B174">_xlfn.IFS(A174="EP", "EP", A174="STa", "SPI", A174="STb", "SPO", A174="MRT", "MRT", A174="RG", "RN", A174="RT", "RU", A174="RW", "RL", A174="RC", "RS")</f>
        <v>RU</v>
      </c>
      <c r="C174" s="201">
        <f>INT(RU!A42)</f>
        <v>44412</v>
      </c>
      <c r="D174" s="201" t="str">
        <f t="shared" si="23"/>
        <v>RU44412</v>
      </c>
      <c r="E174" s="202">
        <f>RU!D42</f>
        <v>6.71</v>
      </c>
      <c r="F174" s="202">
        <f>RU!E42</f>
        <v>24.9</v>
      </c>
      <c r="G174" s="202">
        <f>RU!F42</f>
        <v>0.02</v>
      </c>
      <c r="H174" s="202">
        <f>RU!H42</f>
        <v>2.35</v>
      </c>
      <c r="I174" s="202">
        <f>RU!G42</f>
        <v>2.65</v>
      </c>
      <c r="J174" s="202">
        <f>RU!I42</f>
        <v>0.13</v>
      </c>
      <c r="K174" s="202">
        <f>RU!J42</f>
        <v>6.0000000000000001E-3</v>
      </c>
      <c r="L174" s="203">
        <f>RU!K42</f>
        <v>0.39</v>
      </c>
      <c r="N174" s="236" t="str">
        <f t="shared" si="24"/>
        <v>RL</v>
      </c>
      <c r="O174" s="237">
        <f t="shared" si="25"/>
        <v>44432</v>
      </c>
      <c r="P174" s="238" t="str">
        <f t="array" ref="P174">INDEX($D$2:$D$278,MATCH(0,COUNTIF($P$1:$P173,$D$2:$D$278),0))</f>
        <v>RL44432</v>
      </c>
      <c r="Q174" s="239">
        <f t="shared" si="26"/>
        <v>6.96</v>
      </c>
      <c r="R174" s="239">
        <f t="shared" si="27"/>
        <v>27.9</v>
      </c>
      <c r="S174" s="239">
        <f t="shared" si="28"/>
        <v>0.08</v>
      </c>
      <c r="T174" s="239">
        <f t="shared" si="29"/>
        <v>1.18</v>
      </c>
      <c r="U174" s="239">
        <f t="shared" si="30"/>
        <v>1.19</v>
      </c>
      <c r="V174" s="239">
        <f t="shared" si="31"/>
        <v>0.14000000000000001</v>
      </c>
      <c r="W174" s="239">
        <f t="shared" si="32"/>
        <v>2E-3</v>
      </c>
      <c r="X174" s="240">
        <f t="shared" si="33"/>
        <v>0.5</v>
      </c>
      <c r="Y174" s="531" t="str" cm="1">
        <f t="array" ref="Y174">_xlfn.IFS(O174&lt;44361, "Before the burn", O174&lt;44403, "During the burn", O174&gt;44403, "After the burn")</f>
        <v>After the burn</v>
      </c>
    </row>
    <row r="175" spans="1:25" ht="16.350000000000001" thickBot="1" x14ac:dyDescent="0.35">
      <c r="A175" s="199" t="str">
        <f>UPPER(LEFT(RU!B43,2))&amp;RIGHT(RU!B43,LEN(RU!B43)-2)</f>
        <v>RT</v>
      </c>
      <c r="B175" s="200" t="str" cm="1">
        <f t="array" ref="B175">_xlfn.IFS(A175="EP", "EP", A175="STa", "SPI", A175="STb", "SPO", A175="MRT", "MRT", A175="RG", "RN", A175="RT", "RU", A175="RW", "RL", A175="RC", "RS")</f>
        <v>RU</v>
      </c>
      <c r="C175" s="201">
        <f>INT(RU!A43)</f>
        <v>44412</v>
      </c>
      <c r="D175" s="201" t="str">
        <f t="shared" si="23"/>
        <v>RU44412</v>
      </c>
      <c r="E175" s="202">
        <f>RU!D43</f>
        <v>6.61</v>
      </c>
      <c r="F175" s="202">
        <f>RU!E43</f>
        <v>28.7</v>
      </c>
      <c r="G175" s="202">
        <f>RU!F43</f>
        <v>0</v>
      </c>
      <c r="H175" s="202">
        <f>RU!H43</f>
        <v>2.48</v>
      </c>
      <c r="I175" s="202">
        <f>RU!G43</f>
        <v>2.91</v>
      </c>
      <c r="J175" s="202">
        <f>RU!I43</f>
        <v>0.1</v>
      </c>
      <c r="K175" s="202">
        <f>RU!J43</f>
        <v>7.0000000000000001E-3</v>
      </c>
      <c r="L175" s="203">
        <f>RU!K43</f>
        <v>0.32</v>
      </c>
      <c r="N175" s="257" t="str">
        <f t="shared" si="24"/>
        <v>RL</v>
      </c>
      <c r="O175" s="258">
        <f t="shared" si="25"/>
        <v>44433</v>
      </c>
      <c r="P175" s="259" t="str">
        <f t="array" ref="P175">INDEX($D$2:$D$278,MATCH(0,COUNTIF($P$1:$P174,$D$2:$D$278),0))</f>
        <v>RL44433</v>
      </c>
      <c r="Q175" s="260">
        <f t="shared" si="26"/>
        <v>7.0049999999999999</v>
      </c>
      <c r="R175" s="260">
        <f t="shared" si="27"/>
        <v>27.95</v>
      </c>
      <c r="S175" s="260">
        <f t="shared" si="28"/>
        <v>6.0000000000000005E-2</v>
      </c>
      <c r="T175" s="260">
        <f t="shared" si="29"/>
        <v>1.34</v>
      </c>
      <c r="U175" s="260">
        <f t="shared" si="30"/>
        <v>1.3050000000000002</v>
      </c>
      <c r="V175" s="260">
        <f t="shared" si="31"/>
        <v>0.17</v>
      </c>
      <c r="W175" s="260">
        <f t="shared" si="32"/>
        <v>4.5000000000000005E-3</v>
      </c>
      <c r="X175" s="261">
        <f t="shared" si="33"/>
        <v>0.51</v>
      </c>
      <c r="Y175" s="532" t="str" cm="1">
        <f t="array" ref="Y175">_xlfn.IFS(O175&lt;44361, "Before the burn", O175&lt;44403, "During the burn", O175&gt;44403, "After the burn")</f>
        <v>After the burn</v>
      </c>
    </row>
    <row r="176" spans="1:25" x14ac:dyDescent="0.3">
      <c r="A176" s="199" t="str">
        <f>UPPER(LEFT(RU!B44,2))&amp;RIGHT(RU!B44,LEN(RU!B44)-2)</f>
        <v>RT</v>
      </c>
      <c r="B176" s="200" t="str" cm="1">
        <f t="array" ref="B176">_xlfn.IFS(A176="EP", "EP", A176="STa", "SPI", A176="STb", "SPO", A176="MRT", "MRT", A176="RG", "RN", A176="RT", "RU", A176="RW", "RL", A176="RC", "RS")</f>
        <v>RU</v>
      </c>
      <c r="C176" s="201">
        <f>INT(RU!A44)</f>
        <v>44418</v>
      </c>
      <c r="D176" s="201" t="str">
        <f t="shared" si="23"/>
        <v>RU44418</v>
      </c>
      <c r="E176" s="202">
        <f>RU!D44</f>
        <v>6.64</v>
      </c>
      <c r="F176" s="202">
        <f>RU!E44</f>
        <v>26.1</v>
      </c>
      <c r="G176" s="202">
        <f>RU!F44</f>
        <v>0.11</v>
      </c>
      <c r="H176" s="202">
        <f>RU!H44</f>
        <v>1.93</v>
      </c>
      <c r="I176" s="202">
        <f>RU!G44</f>
        <v>2.2200000000000002</v>
      </c>
      <c r="J176" s="202">
        <f>RU!I44</f>
        <v>0.14000000000000001</v>
      </c>
      <c r="K176" s="202">
        <f>RU!J44</f>
        <v>8.0000000000000002E-3</v>
      </c>
      <c r="L176" s="203">
        <f>RU!K44</f>
        <v>0.43</v>
      </c>
      <c r="N176" s="262" t="str">
        <f t="shared" si="24"/>
        <v>RS</v>
      </c>
      <c r="O176" s="263">
        <f t="shared" si="25"/>
        <v>44293</v>
      </c>
      <c r="P176" s="264" t="str">
        <f t="array" ref="P176">INDEX($D$2:$D$278,MATCH(0,COUNTIF($P$1:$P175,$D$2:$D$278),0))</f>
        <v>RS44293</v>
      </c>
      <c r="Q176" s="265">
        <f t="shared" si="26"/>
        <v>6.7750000000000004</v>
      </c>
      <c r="R176" s="265">
        <f t="shared" si="27"/>
        <v>22.35</v>
      </c>
      <c r="S176" s="265">
        <f t="shared" si="28"/>
        <v>2.5000000000000001E-2</v>
      </c>
      <c r="T176" s="265">
        <f t="shared" si="29"/>
        <v>1.6400000000000001</v>
      </c>
      <c r="U176" s="265">
        <f t="shared" si="30"/>
        <v>2.125</v>
      </c>
      <c r="V176" s="265">
        <f t="shared" si="31"/>
        <v>0.23499999999999999</v>
      </c>
      <c r="W176" s="265">
        <f t="shared" si="32"/>
        <v>1.3000000000000001E-2</v>
      </c>
      <c r="X176" s="266">
        <f t="shared" si="33"/>
        <v>0.47499999999999998</v>
      </c>
      <c r="Y176" s="533" t="str" cm="1">
        <f t="array" ref="Y176">_xlfn.IFS(O176&lt;44361, "Before the burn", O176&lt;44403, "During the burn", O176&gt;44403, "After the burn")</f>
        <v>Before the burn</v>
      </c>
    </row>
    <row r="177" spans="1:25" x14ac:dyDescent="0.3">
      <c r="A177" s="199" t="str">
        <f>UPPER(LEFT(RU!B45,2))&amp;RIGHT(RU!B45,LEN(RU!B45)-2)</f>
        <v>RT</v>
      </c>
      <c r="B177" s="200" t="str" cm="1">
        <f t="array" ref="B177">_xlfn.IFS(A177="EP", "EP", A177="STa", "SPI", A177="STb", "SPO", A177="MRT", "MRT", A177="RG", "RN", A177="RT", "RU", A177="RW", "RL", A177="RC", "RS")</f>
        <v>RU</v>
      </c>
      <c r="C177" s="201">
        <f>INT(RU!A45)</f>
        <v>44419</v>
      </c>
      <c r="D177" s="201" t="str">
        <f t="shared" si="23"/>
        <v>RU44419</v>
      </c>
      <c r="E177" s="202">
        <f>RU!D45</f>
        <v>6.68</v>
      </c>
      <c r="F177" s="202">
        <f>RU!E45</f>
        <v>28.1</v>
      </c>
      <c r="G177" s="202">
        <f>RU!F45</f>
        <v>7.0000000000000007E-2</v>
      </c>
      <c r="H177" s="202">
        <f>RU!H45</f>
        <v>2.2400000000000002</v>
      </c>
      <c r="I177" s="202">
        <f>RU!G45</f>
        <v>2.79</v>
      </c>
      <c r="J177" s="202">
        <f>RU!I45</f>
        <v>0.18</v>
      </c>
      <c r="K177" s="202">
        <f>RU!J45</f>
        <v>7.0000000000000001E-3</v>
      </c>
      <c r="L177" s="203">
        <f>RU!K45</f>
        <v>0.38</v>
      </c>
      <c r="N177" s="252" t="str">
        <f t="shared" si="24"/>
        <v>RS</v>
      </c>
      <c r="O177" s="253">
        <f t="shared" si="25"/>
        <v>44306</v>
      </c>
      <c r="P177" s="254" t="str">
        <f t="array" ref="P177">INDEX($D$2:$D$278,MATCH(0,COUNTIF($P$1:$P176,$D$2:$D$278),0))</f>
        <v>RS44306</v>
      </c>
      <c r="Q177" s="255">
        <f t="shared" si="26"/>
        <v>6.61</v>
      </c>
      <c r="R177" s="255">
        <f t="shared" si="27"/>
        <v>19</v>
      </c>
      <c r="S177" s="255">
        <f t="shared" si="28"/>
        <v>0.09</v>
      </c>
      <c r="T177" s="255">
        <f t="shared" si="29"/>
        <v>1.42</v>
      </c>
      <c r="U177" s="255">
        <f t="shared" si="30"/>
        <v>1.95</v>
      </c>
      <c r="V177" s="255">
        <f t="shared" si="31"/>
        <v>0.27</v>
      </c>
      <c r="W177" s="255">
        <f t="shared" si="32"/>
        <v>7.0000000000000001E-3</v>
      </c>
      <c r="X177" s="256">
        <f t="shared" si="33"/>
        <v>0.49</v>
      </c>
      <c r="Y177" s="534" t="str" cm="1">
        <f t="array" ref="Y177">_xlfn.IFS(O177&lt;44361, "Before the burn", O177&lt;44403, "During the burn", O177&gt;44403, "After the burn")</f>
        <v>Before the burn</v>
      </c>
    </row>
    <row r="178" spans="1:25" x14ac:dyDescent="0.3">
      <c r="A178" s="199" t="str">
        <f>UPPER(LEFT(RU!B46,2))&amp;RIGHT(RU!B46,LEN(RU!B46)-2)</f>
        <v>RT</v>
      </c>
      <c r="B178" s="200" t="str" cm="1">
        <f t="array" ref="B178">_xlfn.IFS(A178="EP", "EP", A178="STa", "SPI", A178="STb", "SPO", A178="MRT", "MRT", A178="RG", "RN", A178="RT", "RU", A178="RW", "RL", A178="RC", "RS")</f>
        <v>RU</v>
      </c>
      <c r="C178" s="201">
        <f>INT(RU!A46)</f>
        <v>44419</v>
      </c>
      <c r="D178" s="201" t="str">
        <f t="shared" si="23"/>
        <v>RU44419</v>
      </c>
      <c r="E178" s="202">
        <f>RU!D46</f>
        <v>6.6</v>
      </c>
      <c r="F178" s="202">
        <f>RU!E46</f>
        <v>30.9</v>
      </c>
      <c r="G178" s="202">
        <f>RU!F46</f>
        <v>0.11</v>
      </c>
      <c r="H178" s="202">
        <f>RU!H46</f>
        <v>2.15</v>
      </c>
      <c r="I178" s="202">
        <f>RU!G46</f>
        <v>2.54</v>
      </c>
      <c r="J178" s="202">
        <f>RU!I46</f>
        <v>0.11</v>
      </c>
      <c r="K178" s="202">
        <f>RU!J46</f>
        <v>2E-3</v>
      </c>
      <c r="L178" s="203">
        <f>RU!K46</f>
        <v>0.41</v>
      </c>
      <c r="N178" s="252" t="str">
        <f t="shared" si="24"/>
        <v>RS</v>
      </c>
      <c r="O178" s="253">
        <f t="shared" si="25"/>
        <v>44313</v>
      </c>
      <c r="P178" s="254" t="str">
        <f t="array" ref="P178">INDEX($D$2:$D$278,MATCH(0,COUNTIF($P$1:$P177,$D$2:$D$278),0))</f>
        <v>RS44313</v>
      </c>
      <c r="Q178" s="255">
        <f t="shared" si="26"/>
        <v>6.74</v>
      </c>
      <c r="R178" s="255">
        <f t="shared" si="27"/>
        <v>22.6</v>
      </c>
      <c r="S178" s="255">
        <f t="shared" si="28"/>
        <v>0.06</v>
      </c>
      <c r="T178" s="255">
        <f t="shared" si="29"/>
        <v>1.29</v>
      </c>
      <c r="U178" s="255">
        <f t="shared" si="30"/>
        <v>1.35</v>
      </c>
      <c r="V178" s="255">
        <f t="shared" si="31"/>
        <v>0.27</v>
      </c>
      <c r="W178" s="255">
        <f t="shared" si="32"/>
        <v>8.0000000000000002E-3</v>
      </c>
      <c r="X178" s="256">
        <f t="shared" si="33"/>
        <v>0.47</v>
      </c>
      <c r="Y178" s="534" t="str" cm="1">
        <f t="array" ref="Y178">_xlfn.IFS(O178&lt;44361, "Before the burn", O178&lt;44403, "During the burn", O178&gt;44403, "After the burn")</f>
        <v>Before the burn</v>
      </c>
    </row>
    <row r="179" spans="1:25" x14ac:dyDescent="0.3">
      <c r="A179" s="199" t="str">
        <f>UPPER(LEFT(RU!B47,2))&amp;RIGHT(RU!B47,LEN(RU!B47)-2)</f>
        <v>RT</v>
      </c>
      <c r="B179" s="200" t="str" cm="1">
        <f t="array" ref="B179">_xlfn.IFS(A179="EP", "EP", A179="STa", "SPI", A179="STb", "SPO", A179="MRT", "MRT", A179="RG", "RN", A179="RT", "RU", A179="RW", "RL", A179="RC", "RS")</f>
        <v>RU</v>
      </c>
      <c r="C179" s="201">
        <f>INT(RU!A47)</f>
        <v>44425</v>
      </c>
      <c r="D179" s="201" t="str">
        <f t="shared" si="23"/>
        <v>RU44425</v>
      </c>
      <c r="E179" s="202">
        <f>RU!D47</f>
        <v>6.71</v>
      </c>
      <c r="F179" s="202">
        <f>RU!E47</f>
        <v>26.9</v>
      </c>
      <c r="G179" s="202">
        <f>RU!F47</f>
        <v>0.1</v>
      </c>
      <c r="H179" s="202">
        <f>RU!H47</f>
        <v>1.72</v>
      </c>
      <c r="I179" s="202">
        <f>RU!G47</f>
        <v>1.93</v>
      </c>
      <c r="J179" s="202">
        <f>RU!I47</f>
        <v>0.19</v>
      </c>
      <c r="K179" s="202">
        <f>RU!J47</f>
        <v>8.9999999999999993E-3</v>
      </c>
      <c r="L179" s="203">
        <f>RU!K47</f>
        <v>0.4</v>
      </c>
      <c r="N179" s="252" t="str">
        <f t="shared" si="24"/>
        <v>RS</v>
      </c>
      <c r="O179" s="253">
        <f t="shared" si="25"/>
        <v>44327</v>
      </c>
      <c r="P179" s="254" t="str">
        <f t="array" ref="P179">INDEX($D$2:$D$278,MATCH(0,COUNTIF($P$1:$P178,$D$2:$D$278),0))</f>
        <v>RS44327</v>
      </c>
      <c r="Q179" s="255">
        <f t="shared" si="26"/>
        <v>6.79</v>
      </c>
      <c r="R179" s="255">
        <f t="shared" si="27"/>
        <v>24.7</v>
      </c>
      <c r="S179" s="255">
        <f t="shared" si="28"/>
        <v>0.06</v>
      </c>
      <c r="T179" s="255">
        <f t="shared" si="29"/>
        <v>1.1599999999999999</v>
      </c>
      <c r="U179" s="255">
        <f t="shared" si="30"/>
        <v>1.08</v>
      </c>
      <c r="V179" s="255">
        <f t="shared" si="31"/>
        <v>0.22</v>
      </c>
      <c r="W179" s="255">
        <f t="shared" si="32"/>
        <v>6.0000000000000001E-3</v>
      </c>
      <c r="X179" s="256">
        <f t="shared" si="33"/>
        <v>0.41</v>
      </c>
      <c r="Y179" s="534" t="str" cm="1">
        <f t="array" ref="Y179">_xlfn.IFS(O179&lt;44361, "Before the burn", O179&lt;44403, "During the burn", O179&gt;44403, "After the burn")</f>
        <v>Before the burn</v>
      </c>
    </row>
    <row r="180" spans="1:25" x14ac:dyDescent="0.3">
      <c r="A180" s="199" t="str">
        <f>UPPER(LEFT(RU!B48,2))&amp;RIGHT(RU!B48,LEN(RU!B48)-2)</f>
        <v>RT</v>
      </c>
      <c r="B180" s="200" t="str" cm="1">
        <f t="array" ref="B180">_xlfn.IFS(A180="EP", "EP", A180="STa", "SPI", A180="STb", "SPO", A180="MRT", "MRT", A180="RG", "RN", A180="RT", "RU", A180="RW", "RL", A180="RC", "RS")</f>
        <v>RU</v>
      </c>
      <c r="C180" s="201">
        <f>INT(RU!A48)</f>
        <v>44426</v>
      </c>
      <c r="D180" s="201" t="str">
        <f t="shared" si="23"/>
        <v>RU44426</v>
      </c>
      <c r="E180" s="202">
        <f>RU!D48</f>
        <v>6.68</v>
      </c>
      <c r="F180" s="202">
        <f>RU!E48</f>
        <v>28</v>
      </c>
      <c r="G180" s="202">
        <f>RU!F48</f>
        <v>0.09</v>
      </c>
      <c r="H180" s="202">
        <f>RU!H48</f>
        <v>2.31</v>
      </c>
      <c r="I180" s="202">
        <f>RU!G48</f>
        <v>2.7</v>
      </c>
      <c r="J180" s="202">
        <f>RU!I48</f>
        <v>0.15</v>
      </c>
      <c r="K180" s="202">
        <f>RU!J48</f>
        <v>6.0000000000000001E-3</v>
      </c>
      <c r="L180" s="203">
        <f>RU!K48</f>
        <v>0.34</v>
      </c>
      <c r="N180" s="252" t="str">
        <f t="shared" si="24"/>
        <v>RS</v>
      </c>
      <c r="O180" s="253">
        <f t="shared" si="25"/>
        <v>44334</v>
      </c>
      <c r="P180" s="254" t="str">
        <f t="array" ref="P180">INDEX($D$2:$D$278,MATCH(0,COUNTIF($P$1:$P179,$D$2:$D$278),0))</f>
        <v>RS44334</v>
      </c>
      <c r="Q180" s="255">
        <f t="shared" si="26"/>
        <v>6.8</v>
      </c>
      <c r="R180" s="255">
        <f t="shared" si="27"/>
        <v>22.7</v>
      </c>
      <c r="S180" s="255">
        <f t="shared" si="28"/>
        <v>0</v>
      </c>
      <c r="T180" s="255">
        <f t="shared" si="29"/>
        <v>1.1499999999999999</v>
      </c>
      <c r="U180" s="255">
        <f t="shared" si="30"/>
        <v>1.42</v>
      </c>
      <c r="V180" s="255">
        <f t="shared" si="31"/>
        <v>0.25</v>
      </c>
      <c r="W180" s="255">
        <f t="shared" si="32"/>
        <v>6.0000000000000001E-3</v>
      </c>
      <c r="X180" s="256">
        <f t="shared" si="33"/>
        <v>0.4</v>
      </c>
      <c r="Y180" s="534" t="str" cm="1">
        <f t="array" ref="Y180">_xlfn.IFS(O180&lt;44361, "Before the burn", O180&lt;44403, "During the burn", O180&gt;44403, "After the burn")</f>
        <v>Before the burn</v>
      </c>
    </row>
    <row r="181" spans="1:25" x14ac:dyDescent="0.3">
      <c r="A181" s="199" t="str">
        <f>UPPER(LEFT(RU!B49,2))&amp;RIGHT(RU!B49,LEN(RU!B49)-2)</f>
        <v>RT</v>
      </c>
      <c r="B181" s="200" t="str" cm="1">
        <f t="array" ref="B181">_xlfn.IFS(A181="EP", "EP", A181="STa", "SPI", A181="STb", "SPO", A181="MRT", "MRT", A181="RG", "RN", A181="RT", "RU", A181="RW", "RL", A181="RC", "RS")</f>
        <v>RU</v>
      </c>
      <c r="C181" s="201">
        <f>INT(RU!A49)</f>
        <v>44426</v>
      </c>
      <c r="D181" s="201" t="str">
        <f t="shared" si="23"/>
        <v>RU44426</v>
      </c>
      <c r="E181" s="202">
        <f>RU!D49</f>
        <v>6.63</v>
      </c>
      <c r="F181" s="202">
        <f>RU!E49</f>
        <v>28.6</v>
      </c>
      <c r="G181" s="202">
        <f>RU!F49</f>
        <v>0.13</v>
      </c>
      <c r="H181" s="202">
        <f>RU!H49</f>
        <v>2.23</v>
      </c>
      <c r="I181" s="202">
        <f>RU!G49</f>
        <v>2.77</v>
      </c>
      <c r="J181" s="202">
        <f>RU!I49</f>
        <v>0.12</v>
      </c>
      <c r="K181" s="202">
        <f>RU!J49</f>
        <v>7.0000000000000001E-3</v>
      </c>
      <c r="L181" s="203">
        <f>RU!K49</f>
        <v>0.34</v>
      </c>
      <c r="N181" s="252" t="str">
        <f t="shared" si="24"/>
        <v>RS</v>
      </c>
      <c r="O181" s="253">
        <f t="shared" si="25"/>
        <v>44335</v>
      </c>
      <c r="P181" s="254" t="str">
        <f t="array" ref="P181">INDEX($D$2:$D$278,MATCH(0,COUNTIF($P$1:$P180,$D$2:$D$278),0))</f>
        <v>RS44335</v>
      </c>
      <c r="Q181" s="255">
        <f t="shared" si="26"/>
        <v>6.7850000000000001</v>
      </c>
      <c r="R181" s="255">
        <f t="shared" si="27"/>
        <v>22.85</v>
      </c>
      <c r="S181" s="255">
        <f t="shared" si="28"/>
        <v>0.08</v>
      </c>
      <c r="T181" s="255">
        <f t="shared" si="29"/>
        <v>1.01</v>
      </c>
      <c r="U181" s="255">
        <f t="shared" si="30"/>
        <v>1.0649999999999999</v>
      </c>
      <c r="V181" s="255">
        <f t="shared" si="31"/>
        <v>0.25</v>
      </c>
      <c r="W181" s="255">
        <f t="shared" si="32"/>
        <v>7.4999999999999997E-3</v>
      </c>
      <c r="X181" s="256">
        <f t="shared" si="33"/>
        <v>0.435</v>
      </c>
      <c r="Y181" s="534" t="str" cm="1">
        <f t="array" ref="Y181">_xlfn.IFS(O181&lt;44361, "Before the burn", O181&lt;44403, "During the burn", O181&gt;44403, "After the burn")</f>
        <v>Before the burn</v>
      </c>
    </row>
    <row r="182" spans="1:25" x14ac:dyDescent="0.3">
      <c r="A182" s="199" t="str">
        <f>UPPER(LEFT(RU!B50,2))&amp;RIGHT(RU!B50,LEN(RU!B50)-2)</f>
        <v>RT</v>
      </c>
      <c r="B182" s="200" t="str" cm="1">
        <f t="array" ref="B182">_xlfn.IFS(A182="EP", "EP", A182="STa", "SPI", A182="STb", "SPO", A182="MRT", "MRT", A182="RG", "RN", A182="RT", "RU", A182="RW", "RL", A182="RC", "RS")</f>
        <v>RU</v>
      </c>
      <c r="C182" s="201">
        <f>INT(RU!A50)</f>
        <v>44432</v>
      </c>
      <c r="D182" s="201" t="str">
        <f t="shared" si="23"/>
        <v>RU44432</v>
      </c>
      <c r="E182" s="202">
        <f>RU!D50</f>
        <v>6.73</v>
      </c>
      <c r="F182" s="202">
        <f>RU!E50</f>
        <v>28.5</v>
      </c>
      <c r="G182" s="202">
        <f>RU!F50</f>
        <v>0.12</v>
      </c>
      <c r="H182" s="202">
        <f>RU!H50</f>
        <v>2.35</v>
      </c>
      <c r="I182" s="202">
        <f>RU!G50</f>
        <v>2.46</v>
      </c>
      <c r="J182" s="202">
        <f>RU!I50</f>
        <v>0.1</v>
      </c>
      <c r="K182" s="202">
        <f>RU!J50</f>
        <v>2E-3</v>
      </c>
      <c r="L182" s="203">
        <f>RU!K50</f>
        <v>0.39</v>
      </c>
      <c r="N182" s="252" t="str">
        <f t="shared" si="24"/>
        <v>RS</v>
      </c>
      <c r="O182" s="253">
        <f t="shared" si="25"/>
        <v>44341</v>
      </c>
      <c r="P182" s="254" t="str">
        <f t="array" ref="P182">INDEX($D$2:$D$278,MATCH(0,COUNTIF($P$1:$P181,$D$2:$D$278),0))</f>
        <v>RS44341</v>
      </c>
      <c r="Q182" s="255">
        <f t="shared" si="26"/>
        <v>6.72</v>
      </c>
      <c r="R182" s="255">
        <f t="shared" si="27"/>
        <v>22.2</v>
      </c>
      <c r="S182" s="255">
        <f t="shared" si="28"/>
        <v>0.08</v>
      </c>
      <c r="T182" s="255">
        <f t="shared" si="29"/>
        <v>1.05</v>
      </c>
      <c r="U182" s="255">
        <f t="shared" si="30"/>
        <v>1.44</v>
      </c>
      <c r="V182" s="255">
        <f t="shared" si="31"/>
        <v>0.22</v>
      </c>
      <c r="W182" s="255">
        <f t="shared" si="32"/>
        <v>4.0000000000000001E-3</v>
      </c>
      <c r="X182" s="256">
        <f t="shared" si="33"/>
        <v>0.41</v>
      </c>
      <c r="Y182" s="534" t="str" cm="1">
        <f t="array" ref="Y182">_xlfn.IFS(O182&lt;44361, "Before the burn", O182&lt;44403, "During the burn", O182&gt;44403, "After the burn")</f>
        <v>Before the burn</v>
      </c>
    </row>
    <row r="183" spans="1:25" x14ac:dyDescent="0.3">
      <c r="A183" s="199" t="str">
        <f>UPPER(LEFT(RU!B51,2))&amp;RIGHT(RU!B51,LEN(RU!B51)-2)</f>
        <v>RT</v>
      </c>
      <c r="B183" s="200" t="str" cm="1">
        <f t="array" ref="B183">_xlfn.IFS(A183="EP", "EP", A183="STa", "SPI", A183="STb", "SPO", A183="MRT", "MRT", A183="RG", "RN", A183="RT", "RU", A183="RW", "RL", A183="RC", "RS")</f>
        <v>RU</v>
      </c>
      <c r="C183" s="201">
        <f>INT(RU!A51)</f>
        <v>44433</v>
      </c>
      <c r="D183" s="201" t="str">
        <f t="shared" si="23"/>
        <v>RU44433</v>
      </c>
      <c r="E183" s="202">
        <f>RU!D51</f>
        <v>6.77</v>
      </c>
      <c r="F183" s="202">
        <f>RU!E51</f>
        <v>29</v>
      </c>
      <c r="G183" s="202">
        <f>RU!F51</f>
        <v>0.08</v>
      </c>
      <c r="H183" s="202">
        <f>RU!H51</f>
        <v>2.2400000000000002</v>
      </c>
      <c r="I183" s="202">
        <f>RU!G51</f>
        <v>2.37</v>
      </c>
      <c r="J183" s="202">
        <f>RU!I51</f>
        <v>0.33</v>
      </c>
      <c r="K183" s="202">
        <f>RU!J51</f>
        <v>1E-3</v>
      </c>
      <c r="L183" s="203">
        <f>RU!K51</f>
        <v>0.38</v>
      </c>
      <c r="N183" s="252" t="str">
        <f t="shared" si="24"/>
        <v>RS</v>
      </c>
      <c r="O183" s="253">
        <f t="shared" si="25"/>
        <v>44342</v>
      </c>
      <c r="P183" s="254" t="str">
        <f t="array" ref="P183">INDEX($D$2:$D$278,MATCH(0,COUNTIF($P$1:$P182,$D$2:$D$278),0))</f>
        <v>RS44342</v>
      </c>
      <c r="Q183" s="255">
        <f t="shared" si="26"/>
        <v>6.7050000000000001</v>
      </c>
      <c r="R183" s="255">
        <f t="shared" si="27"/>
        <v>23.15</v>
      </c>
      <c r="S183" s="255">
        <f t="shared" si="28"/>
        <v>0.05</v>
      </c>
      <c r="T183" s="255">
        <f t="shared" si="29"/>
        <v>0.90500000000000003</v>
      </c>
      <c r="U183" s="255">
        <f t="shared" si="30"/>
        <v>1.2450000000000001</v>
      </c>
      <c r="V183" s="255">
        <f t="shared" si="31"/>
        <v>0.23499999999999999</v>
      </c>
      <c r="W183" s="255">
        <f t="shared" si="32"/>
        <v>3.5000000000000001E-3</v>
      </c>
      <c r="X183" s="256">
        <f t="shared" si="33"/>
        <v>0.53</v>
      </c>
      <c r="Y183" s="534" t="str" cm="1">
        <f t="array" ref="Y183">_xlfn.IFS(O183&lt;44361, "Before the burn", O183&lt;44403, "During the burn", O183&gt;44403, "After the burn")</f>
        <v>Before the burn</v>
      </c>
    </row>
    <row r="184" spans="1:25" ht="16.350000000000001" thickBot="1" x14ac:dyDescent="0.35">
      <c r="A184" s="231" t="str">
        <f>UPPER(LEFT(RU!B52,2))&amp;RIGHT(RU!B52,LEN(RU!B52)-2)</f>
        <v>RT</v>
      </c>
      <c r="B184" s="232" t="str" cm="1">
        <f t="array" ref="B184">_xlfn.IFS(A184="EP", "EP", A184="STa", "SPI", A184="STb", "SPO", A184="MRT", "MRT", A184="RG", "RN", A184="RT", "RU", A184="RW", "RL", A184="RC", "RS")</f>
        <v>RU</v>
      </c>
      <c r="C184" s="233">
        <f>INT(RU!A52)</f>
        <v>44433</v>
      </c>
      <c r="D184" s="233" t="str">
        <f t="shared" si="23"/>
        <v>RU44433</v>
      </c>
      <c r="E184" s="234">
        <f>RU!D52</f>
        <v>6.95</v>
      </c>
      <c r="F184" s="234">
        <f>RU!E52</f>
        <v>29</v>
      </c>
      <c r="G184" s="234">
        <f>RU!F52</f>
        <v>0</v>
      </c>
      <c r="H184" s="234">
        <f>RU!H52</f>
        <v>2.0699999999999998</v>
      </c>
      <c r="I184" s="234">
        <f>RU!G52</f>
        <v>2.2000000000000002</v>
      </c>
      <c r="J184" s="234">
        <f>RU!I52</f>
        <v>0.16</v>
      </c>
      <c r="K184" s="234">
        <f>RU!J52</f>
        <v>3.0000000000000001E-3</v>
      </c>
      <c r="L184" s="235">
        <f>RU!K52</f>
        <v>0.36</v>
      </c>
      <c r="N184" s="252" t="str">
        <f t="shared" si="24"/>
        <v>RS</v>
      </c>
      <c r="O184" s="253">
        <f t="shared" si="25"/>
        <v>44349</v>
      </c>
      <c r="P184" s="254" t="str">
        <f t="array" ref="P184">INDEX($D$2:$D$278,MATCH(0,COUNTIF($P$1:$P183,$D$2:$D$278),0))</f>
        <v>RS44349</v>
      </c>
      <c r="Q184" s="255">
        <f t="shared" si="26"/>
        <v>6.76</v>
      </c>
      <c r="R184" s="255">
        <f t="shared" si="27"/>
        <v>24.3</v>
      </c>
      <c r="S184" s="255">
        <f t="shared" si="28"/>
        <v>7.0000000000000007E-2</v>
      </c>
      <c r="T184" s="255">
        <f t="shared" si="29"/>
        <v>1.08</v>
      </c>
      <c r="U184" s="255">
        <f t="shared" si="30"/>
        <v>1.29</v>
      </c>
      <c r="V184" s="255">
        <f t="shared" si="31"/>
        <v>0.24</v>
      </c>
      <c r="W184" s="255">
        <f t="shared" si="32"/>
        <v>8.9999999999999993E-3</v>
      </c>
      <c r="X184" s="256">
        <f t="shared" si="33"/>
        <v>0.49</v>
      </c>
      <c r="Y184" s="534" t="str" cm="1">
        <f t="array" ref="Y184">_xlfn.IFS(O184&lt;44361, "Before the burn", O184&lt;44403, "During the burn", O184&gt;44403, "After the burn")</f>
        <v>Before the burn</v>
      </c>
    </row>
    <row r="185" spans="1:25" x14ac:dyDescent="0.3">
      <c r="A185" s="210" t="str">
        <f>UPPER(LEFT(RL!B3,2))&amp;RIGHT(RL!B3,LEN(RL!B3)-2)</f>
        <v>RW</v>
      </c>
      <c r="B185" s="211" t="str" cm="1">
        <f t="array" ref="B185">_xlfn.IFS(A185="EP", "EP", A185="STa", "SPI", A185="STb", "SPO", A185="MRT", "MRT", A185="RG", "RN", A185="RT", "RU", A185="RW", "RL", A185="RC", "RS")</f>
        <v>RL</v>
      </c>
      <c r="C185" s="212">
        <f>INT(RL!A3)</f>
        <v>44293</v>
      </c>
      <c r="D185" s="212" t="str">
        <f t="shared" si="23"/>
        <v>RL44293</v>
      </c>
      <c r="E185" s="213">
        <f>RL!D3</f>
        <v>6.43</v>
      </c>
      <c r="F185" s="213">
        <f>RL!E3</f>
        <v>20.9</v>
      </c>
      <c r="G185" s="213">
        <f>RL!F3</f>
        <v>0.19</v>
      </c>
      <c r="H185" s="213">
        <f>RL!H3</f>
        <v>2.42</v>
      </c>
      <c r="I185" s="213">
        <f>RL!G3</f>
        <v>2.5</v>
      </c>
      <c r="J185" s="213">
        <f>RL!I3</f>
        <v>0.16</v>
      </c>
      <c r="K185" s="213">
        <f>RL!J3</f>
        <v>5.0000000000000001E-3</v>
      </c>
      <c r="L185" s="214">
        <f>RL!K3</f>
        <v>0.38</v>
      </c>
      <c r="N185" s="252" t="str">
        <f t="shared" si="24"/>
        <v>RS</v>
      </c>
      <c r="O185" s="253">
        <f t="shared" si="25"/>
        <v>44350</v>
      </c>
      <c r="P185" s="254" t="str">
        <f t="array" ref="P185">INDEX($D$2:$D$278,MATCH(0,COUNTIF($P$1:$P184,$D$2:$D$278),0))</f>
        <v>RS44350</v>
      </c>
      <c r="Q185" s="255">
        <f t="shared" si="26"/>
        <v>6.7750000000000004</v>
      </c>
      <c r="R185" s="255">
        <f t="shared" si="27"/>
        <v>23.799999999999997</v>
      </c>
      <c r="S185" s="255">
        <f t="shared" si="28"/>
        <v>0.13</v>
      </c>
      <c r="T185" s="255">
        <f t="shared" si="29"/>
        <v>0.69</v>
      </c>
      <c r="U185" s="255">
        <f t="shared" si="30"/>
        <v>0.64500000000000002</v>
      </c>
      <c r="V185" s="255">
        <f t="shared" si="31"/>
        <v>0.33499999999999996</v>
      </c>
      <c r="W185" s="255">
        <f t="shared" si="32"/>
        <v>9.4999999999999998E-3</v>
      </c>
      <c r="X185" s="256">
        <f t="shared" si="33"/>
        <v>0.48</v>
      </c>
      <c r="Y185" s="534" t="str" cm="1">
        <f t="array" ref="Y185">_xlfn.IFS(O185&lt;44361, "Before the burn", O185&lt;44403, "During the burn", O185&gt;44403, "After the burn")</f>
        <v>Before the burn</v>
      </c>
    </row>
    <row r="186" spans="1:25" x14ac:dyDescent="0.3">
      <c r="A186" s="194" t="str">
        <f>UPPER(LEFT(RL!B4,2))&amp;RIGHT(RL!B4,LEN(RL!B4)-2)</f>
        <v>RW</v>
      </c>
      <c r="B186" s="195" t="str" cm="1">
        <f t="array" ref="B186">_xlfn.IFS(A186="EP", "EP", A186="STa", "SPI", A186="STb", "SPO", A186="MRT", "MRT", A186="RG", "RN", A186="RT", "RU", A186="RW", "RL", A186="RC", "RS")</f>
        <v>RL</v>
      </c>
      <c r="C186" s="196">
        <f>INT(RL!A4)</f>
        <v>44293</v>
      </c>
      <c r="D186" s="196" t="str">
        <f t="shared" si="23"/>
        <v>RL44293</v>
      </c>
      <c r="E186" s="197">
        <f>RL!D4</f>
        <v>6.54</v>
      </c>
      <c r="F186" s="197">
        <f>RL!E4</f>
        <v>20.9</v>
      </c>
      <c r="G186" s="197">
        <f>RL!F4</f>
        <v>0.1</v>
      </c>
      <c r="H186" s="197">
        <f>RL!H4</f>
        <v>2.31</v>
      </c>
      <c r="I186" s="197">
        <f>RL!G4</f>
        <v>2.57</v>
      </c>
      <c r="J186" s="197">
        <f>RL!I4</f>
        <v>0.17</v>
      </c>
      <c r="K186" s="197">
        <f>RL!J4</f>
        <v>5.0000000000000001E-3</v>
      </c>
      <c r="L186" s="198">
        <f>RL!K4</f>
        <v>0.33</v>
      </c>
      <c r="N186" s="252" t="str">
        <f t="shared" si="24"/>
        <v>RS</v>
      </c>
      <c r="O186" s="253">
        <f t="shared" si="25"/>
        <v>44362</v>
      </c>
      <c r="P186" s="254" t="str">
        <f t="array" ref="P186">INDEX($D$2:$D$278,MATCH(0,COUNTIF($P$1:$P185,$D$2:$D$278),0))</f>
        <v>RS44362</v>
      </c>
      <c r="Q186" s="255">
        <f t="shared" si="26"/>
        <v>7.01</v>
      </c>
      <c r="R186" s="255">
        <f t="shared" si="27"/>
        <v>27.9</v>
      </c>
      <c r="S186" s="255">
        <f t="shared" si="28"/>
        <v>0.14000000000000001</v>
      </c>
      <c r="T186" s="255">
        <f t="shared" si="29"/>
        <v>0.09</v>
      </c>
      <c r="U186" s="255">
        <f t="shared" si="30"/>
        <v>0.15</v>
      </c>
      <c r="V186" s="255">
        <f t="shared" si="31"/>
        <v>0.01</v>
      </c>
      <c r="W186" s="255">
        <f t="shared" si="32"/>
        <v>6.0000000000000001E-3</v>
      </c>
      <c r="X186" s="256">
        <f t="shared" si="33"/>
        <v>0.44</v>
      </c>
      <c r="Y186" s="534" t="str" cm="1">
        <f t="array" ref="Y186">_xlfn.IFS(O186&lt;44361, "Before the burn", O186&lt;44403, "During the burn", O186&gt;44403, "After the burn")</f>
        <v>During the burn</v>
      </c>
    </row>
    <row r="187" spans="1:25" x14ac:dyDescent="0.3">
      <c r="A187" s="194" t="str">
        <f>UPPER(LEFT(RL!B5,2))&amp;RIGHT(RL!B5,LEN(RL!B5)-2)</f>
        <v>RW</v>
      </c>
      <c r="B187" s="195" t="str" cm="1">
        <f t="array" ref="B187">_xlfn.IFS(A187="EP", "EP", A187="STa", "SPI", A187="STb", "SPO", A187="MRT", "MRT", A187="RG", "RN", A187="RT", "RU", A187="RW", "RL", A187="RC", "RS")</f>
        <v>RL</v>
      </c>
      <c r="C187" s="196">
        <f>INT(RL!A5)</f>
        <v>44306</v>
      </c>
      <c r="D187" s="196" t="str">
        <f t="shared" si="23"/>
        <v>RL44306</v>
      </c>
      <c r="E187" s="197">
        <f>RL!D5</f>
        <v>6.86</v>
      </c>
      <c r="F187" s="197">
        <f>RL!E5</f>
        <v>20.9</v>
      </c>
      <c r="G187" s="197">
        <f>RL!F5</f>
        <v>0.09</v>
      </c>
      <c r="H187" s="197">
        <f>RL!H5</f>
        <v>1.72</v>
      </c>
      <c r="I187" s="197">
        <f>RL!G5</f>
        <v>2.4</v>
      </c>
      <c r="J187" s="197">
        <f>RL!I5</f>
        <v>0.22</v>
      </c>
      <c r="K187" s="197">
        <f>RL!J5</f>
        <v>6.0000000000000001E-3</v>
      </c>
      <c r="L187" s="198">
        <f>RL!K5</f>
        <v>0.39</v>
      </c>
      <c r="N187" s="252" t="str">
        <f t="shared" si="24"/>
        <v>RS</v>
      </c>
      <c r="O187" s="253">
        <f t="shared" si="25"/>
        <v>44363</v>
      </c>
      <c r="P187" s="254" t="str">
        <f t="array" ref="P187">INDEX($D$2:$D$278,MATCH(0,COUNTIF($P$1:$P186,$D$2:$D$278),0))</f>
        <v>RS44363</v>
      </c>
      <c r="Q187" s="255">
        <f t="shared" si="26"/>
        <v>6.8900000000000006</v>
      </c>
      <c r="R187" s="255">
        <f t="shared" si="27"/>
        <v>24.35</v>
      </c>
      <c r="S187" s="255">
        <f t="shared" si="28"/>
        <v>0.02</v>
      </c>
      <c r="T187" s="255">
        <f t="shared" si="29"/>
        <v>1.4999999999999999E-2</v>
      </c>
      <c r="U187" s="255">
        <f t="shared" si="30"/>
        <v>0.12</v>
      </c>
      <c r="V187" s="255">
        <f t="shared" si="31"/>
        <v>6.5000000000000002E-2</v>
      </c>
      <c r="W187" s="255">
        <f t="shared" si="32"/>
        <v>1.3499999999999998E-2</v>
      </c>
      <c r="X187" s="256">
        <f t="shared" si="33"/>
        <v>0.57000000000000006</v>
      </c>
      <c r="Y187" s="534" t="str" cm="1">
        <f t="array" ref="Y187">_xlfn.IFS(O187&lt;44361, "Before the burn", O187&lt;44403, "During the burn", O187&gt;44403, "After the burn")</f>
        <v>During the burn</v>
      </c>
    </row>
    <row r="188" spans="1:25" x14ac:dyDescent="0.3">
      <c r="A188" s="194" t="str">
        <f>UPPER(LEFT(RL!B6,2))&amp;RIGHT(RL!B6,LEN(RL!B6)-2)</f>
        <v>RW</v>
      </c>
      <c r="B188" s="195" t="str" cm="1">
        <f t="array" ref="B188">_xlfn.IFS(A188="EP", "EP", A188="STa", "SPI", A188="STb", "SPO", A188="MRT", "MRT", A188="RG", "RN", A188="RT", "RU", A188="RW", "RL", A188="RC", "RS")</f>
        <v>RL</v>
      </c>
      <c r="C188" s="196">
        <f>INT(RL!A6)</f>
        <v>44313</v>
      </c>
      <c r="D188" s="196" t="str">
        <f t="shared" si="23"/>
        <v>RL44313</v>
      </c>
      <c r="E188" s="197">
        <f>RL!D6</f>
        <v>7.14</v>
      </c>
      <c r="F188" s="197">
        <f>RL!E6</f>
        <v>21.6</v>
      </c>
      <c r="G188" s="197">
        <f>RL!F6</f>
        <v>0.05</v>
      </c>
      <c r="H188" s="197">
        <f>RL!H6</f>
        <v>1.74</v>
      </c>
      <c r="I188" s="197">
        <f>RL!G6</f>
        <v>2.19</v>
      </c>
      <c r="J188" s="197">
        <f>RL!I6</f>
        <v>0.18</v>
      </c>
      <c r="K188" s="197">
        <f>RL!J6</f>
        <v>6.0000000000000001E-3</v>
      </c>
      <c r="L188" s="198">
        <f>RL!K6</f>
        <v>0.36</v>
      </c>
      <c r="N188" s="252" t="str">
        <f t="shared" si="24"/>
        <v>RS</v>
      </c>
      <c r="O188" s="253">
        <f t="shared" si="25"/>
        <v>44369</v>
      </c>
      <c r="P188" s="254" t="str">
        <f t="array" ref="P188">INDEX($D$2:$D$278,MATCH(0,COUNTIF($P$1:$P187,$D$2:$D$278),0))</f>
        <v>RS44369</v>
      </c>
      <c r="Q188" s="255">
        <f t="shared" si="26"/>
        <v>6.94</v>
      </c>
      <c r="R188" s="255">
        <f t="shared" si="27"/>
        <v>23.8</v>
      </c>
      <c r="S188" s="255">
        <f t="shared" si="28"/>
        <v>1.7</v>
      </c>
      <c r="T188" s="255">
        <f t="shared" si="29"/>
        <v>0.02</v>
      </c>
      <c r="U188" s="255">
        <f t="shared" si="30"/>
        <v>1.94</v>
      </c>
      <c r="V188" s="255">
        <f t="shared" si="31"/>
        <v>0.03</v>
      </c>
      <c r="W188" s="255">
        <f t="shared" si="32"/>
        <v>6.0000000000000001E-3</v>
      </c>
      <c r="X188" s="256">
        <f t="shared" si="33"/>
        <v>0.56999999999999995</v>
      </c>
      <c r="Y188" s="534" t="str" cm="1">
        <f t="array" ref="Y188">_xlfn.IFS(O188&lt;44361, "Before the burn", O188&lt;44403, "During the burn", O188&gt;44403, "After the burn")</f>
        <v>During the burn</v>
      </c>
    </row>
    <row r="189" spans="1:25" x14ac:dyDescent="0.3">
      <c r="A189" s="194" t="str">
        <f>UPPER(LEFT(RL!B7,2))&amp;RIGHT(RL!B7,LEN(RL!B7)-2)</f>
        <v>RW</v>
      </c>
      <c r="B189" s="195" t="str" cm="1">
        <f t="array" ref="B189">_xlfn.IFS(A189="EP", "EP", A189="STa", "SPI", A189="STb", "SPO", A189="MRT", "MRT", A189="RG", "RN", A189="RT", "RU", A189="RW", "RL", A189="RC", "RS")</f>
        <v>RL</v>
      </c>
      <c r="C189" s="196">
        <f>INT(RL!A7)</f>
        <v>44327</v>
      </c>
      <c r="D189" s="196" t="str">
        <f t="shared" si="23"/>
        <v>RL44327</v>
      </c>
      <c r="E189" s="197">
        <f>RL!D7</f>
        <v>7.39</v>
      </c>
      <c r="F189" s="197">
        <f>RL!E7</f>
        <v>23.2</v>
      </c>
      <c r="G189" s="197">
        <f>RL!F7</f>
        <v>0.09</v>
      </c>
      <c r="H189" s="197">
        <f>RL!H7</f>
        <v>1.55</v>
      </c>
      <c r="I189" s="197">
        <f>RL!G7</f>
        <v>1.75</v>
      </c>
      <c r="J189" s="197">
        <f>RL!I7</f>
        <v>0.28999999999999998</v>
      </c>
      <c r="K189" s="197">
        <f>RL!J7</f>
        <v>7.0000000000000001E-3</v>
      </c>
      <c r="L189" s="198">
        <f>RL!K7</f>
        <v>0.34</v>
      </c>
      <c r="N189" s="252" t="str">
        <f t="shared" si="24"/>
        <v>RS</v>
      </c>
      <c r="O189" s="253">
        <f t="shared" si="25"/>
        <v>44370</v>
      </c>
      <c r="P189" s="254" t="str">
        <f t="array" ref="P189">INDEX($D$2:$D$278,MATCH(0,COUNTIF($P$1:$P188,$D$2:$D$278),0))</f>
        <v>RS44370</v>
      </c>
      <c r="Q189" s="255">
        <f t="shared" si="26"/>
        <v>7.0600000000000005</v>
      </c>
      <c r="R189" s="255">
        <f t="shared" si="27"/>
        <v>24.5</v>
      </c>
      <c r="S189" s="255">
        <f t="shared" si="28"/>
        <v>1.375</v>
      </c>
      <c r="T189" s="255">
        <f t="shared" si="29"/>
        <v>0.28500000000000003</v>
      </c>
      <c r="U189" s="255">
        <f t="shared" si="30"/>
        <v>1.53</v>
      </c>
      <c r="V189" s="255">
        <f t="shared" si="31"/>
        <v>8.4999999999999992E-2</v>
      </c>
      <c r="W189" s="255">
        <f t="shared" si="32"/>
        <v>6.0000000000000001E-3</v>
      </c>
      <c r="X189" s="256">
        <f t="shared" si="33"/>
        <v>0.53500000000000003</v>
      </c>
      <c r="Y189" s="534" t="str" cm="1">
        <f t="array" ref="Y189">_xlfn.IFS(O189&lt;44361, "Before the burn", O189&lt;44403, "During the burn", O189&gt;44403, "After the burn")</f>
        <v>During the burn</v>
      </c>
    </row>
    <row r="190" spans="1:25" x14ac:dyDescent="0.3">
      <c r="A190" s="194" t="str">
        <f>UPPER(LEFT(RL!B8,2))&amp;RIGHT(RL!B8,LEN(RL!B8)-2)</f>
        <v>RW</v>
      </c>
      <c r="B190" s="195" t="str" cm="1">
        <f t="array" ref="B190">_xlfn.IFS(A190="EP", "EP", A190="STa", "SPI", A190="STb", "SPO", A190="MRT", "MRT", A190="RG", "RN", A190="RT", "RU", A190="RW", "RL", A190="RC", "RS")</f>
        <v>RL</v>
      </c>
      <c r="C190" s="196">
        <f>INT(RL!A8)</f>
        <v>44334</v>
      </c>
      <c r="D190" s="196" t="str">
        <f t="shared" si="23"/>
        <v>RL44334</v>
      </c>
      <c r="E190" s="197">
        <f>RL!D8</f>
        <v>7.15</v>
      </c>
      <c r="F190" s="197">
        <f>RL!E8</f>
        <v>23.8</v>
      </c>
      <c r="G190" s="197">
        <f>RL!F8</f>
        <v>0.1</v>
      </c>
      <c r="H190" s="197">
        <f>RL!H8</f>
        <v>1.61</v>
      </c>
      <c r="I190" s="197">
        <f>RL!G8</f>
        <v>1.79</v>
      </c>
      <c r="J190" s="197">
        <f>RL!I8</f>
        <v>0.2</v>
      </c>
      <c r="K190" s="197">
        <f>RL!J8</f>
        <v>6.0000000000000001E-3</v>
      </c>
      <c r="L190" s="198">
        <f>RL!K8</f>
        <v>0.38</v>
      </c>
      <c r="N190" s="252" t="str">
        <f t="shared" si="24"/>
        <v>RS</v>
      </c>
      <c r="O190" s="253">
        <f t="shared" si="25"/>
        <v>44376</v>
      </c>
      <c r="P190" s="254" t="str">
        <f t="array" ref="P190">INDEX($D$2:$D$278,MATCH(0,COUNTIF($P$1:$P189,$D$2:$D$278),0))</f>
        <v>RS44376</v>
      </c>
      <c r="Q190" s="255">
        <f t="shared" si="26"/>
        <v>7.01</v>
      </c>
      <c r="R190" s="255">
        <f t="shared" si="27"/>
        <v>23.8</v>
      </c>
      <c r="S190" s="255">
        <f t="shared" si="28"/>
        <v>1.37</v>
      </c>
      <c r="T190" s="255">
        <f t="shared" si="29"/>
        <v>0.02</v>
      </c>
      <c r="U190" s="255">
        <f t="shared" si="30"/>
        <v>1.52</v>
      </c>
      <c r="V190" s="255">
        <f t="shared" si="31"/>
        <v>0.02</v>
      </c>
      <c r="W190" s="255">
        <f t="shared" si="32"/>
        <v>6.0000000000000001E-3</v>
      </c>
      <c r="X190" s="256">
        <f t="shared" si="33"/>
        <v>0.54</v>
      </c>
      <c r="Y190" s="534" t="str" cm="1">
        <f t="array" ref="Y190">_xlfn.IFS(O190&lt;44361, "Before the burn", O190&lt;44403, "During the burn", O190&gt;44403, "After the burn")</f>
        <v>During the burn</v>
      </c>
    </row>
    <row r="191" spans="1:25" x14ac:dyDescent="0.3">
      <c r="A191" s="194" t="str">
        <f>UPPER(LEFT(RL!B9,2))&amp;RIGHT(RL!B9,LEN(RL!B9)-2)</f>
        <v>RW</v>
      </c>
      <c r="B191" s="195" t="str" cm="1">
        <f t="array" ref="B191">_xlfn.IFS(A191="EP", "EP", A191="STa", "SPI", A191="STb", "SPO", A191="MRT", "MRT", A191="RG", "RN", A191="RT", "RU", A191="RW", "RL", A191="RC", "RS")</f>
        <v>RL</v>
      </c>
      <c r="C191" s="196">
        <f>INT(RL!A9)</f>
        <v>44335</v>
      </c>
      <c r="D191" s="196" t="str">
        <f t="shared" si="23"/>
        <v>RL44335</v>
      </c>
      <c r="E191" s="197">
        <f>RL!D9</f>
        <v>7.24</v>
      </c>
      <c r="F191" s="197">
        <f>RL!E9</f>
        <v>22.9</v>
      </c>
      <c r="G191" s="197">
        <f>RL!F9</f>
        <v>0.23</v>
      </c>
      <c r="H191" s="197">
        <f>RL!H9</f>
        <v>1.54</v>
      </c>
      <c r="I191" s="197">
        <f>RL!G9</f>
        <v>1.76</v>
      </c>
      <c r="J191" s="197">
        <f>RL!I9</f>
        <v>0.21</v>
      </c>
      <c r="K191" s="197">
        <f>RL!J9</f>
        <v>6.0000000000000001E-3</v>
      </c>
      <c r="L191" s="198">
        <f>RL!K9</f>
        <v>0.35</v>
      </c>
      <c r="N191" s="252" t="str">
        <f t="shared" si="24"/>
        <v>RS</v>
      </c>
      <c r="O191" s="253">
        <f t="shared" si="25"/>
        <v>44377</v>
      </c>
      <c r="P191" s="254" t="str">
        <f t="array" ref="P191">INDEX($D$2:$D$278,MATCH(0,COUNTIF($P$1:$P190,$D$2:$D$278),0))</f>
        <v>RS44377</v>
      </c>
      <c r="Q191" s="255">
        <f t="shared" si="26"/>
        <v>7.02</v>
      </c>
      <c r="R191" s="255">
        <f t="shared" si="27"/>
        <v>24.1</v>
      </c>
      <c r="S191" s="255">
        <f t="shared" si="28"/>
        <v>1.45</v>
      </c>
      <c r="T191" s="255">
        <f t="shared" si="29"/>
        <v>0.06</v>
      </c>
      <c r="U191" s="255">
        <f t="shared" si="30"/>
        <v>1.615</v>
      </c>
      <c r="V191" s="255">
        <f t="shared" si="31"/>
        <v>0.08</v>
      </c>
      <c r="W191" s="255">
        <f t="shared" si="32"/>
        <v>6.0000000000000001E-3</v>
      </c>
      <c r="X191" s="256">
        <f t="shared" si="33"/>
        <v>0.59</v>
      </c>
      <c r="Y191" s="534" t="str" cm="1">
        <f t="array" ref="Y191">_xlfn.IFS(O191&lt;44361, "Before the burn", O191&lt;44403, "During the burn", O191&gt;44403, "After the burn")</f>
        <v>During the burn</v>
      </c>
    </row>
    <row r="192" spans="1:25" x14ac:dyDescent="0.3">
      <c r="A192" s="194" t="str">
        <f>UPPER(LEFT(RL!B10,2))&amp;RIGHT(RL!B10,LEN(RL!B10)-2)</f>
        <v>RW</v>
      </c>
      <c r="B192" s="195" t="str" cm="1">
        <f t="array" ref="B192">_xlfn.IFS(A192="EP", "EP", A192="STa", "SPI", A192="STb", "SPO", A192="MRT", "MRT", A192="RG", "RN", A192="RT", "RU", A192="RW", "RL", A192="RC", "RS")</f>
        <v>RL</v>
      </c>
      <c r="C192" s="196">
        <f>INT(RL!A10)</f>
        <v>44335</v>
      </c>
      <c r="D192" s="196" t="str">
        <f t="shared" si="23"/>
        <v>RL44335</v>
      </c>
      <c r="E192" s="197">
        <f>RL!D10</f>
        <v>6.85</v>
      </c>
      <c r="F192" s="197">
        <f>RL!E10</f>
        <v>24.2</v>
      </c>
      <c r="G192" s="197">
        <f>RL!F10</f>
        <v>0.15</v>
      </c>
      <c r="H192" s="197">
        <f>RL!H10</f>
        <v>1.5</v>
      </c>
      <c r="I192" s="197">
        <f>RL!G10</f>
        <v>1.77</v>
      </c>
      <c r="J192" s="197">
        <f>RL!I10</f>
        <v>0.33</v>
      </c>
      <c r="K192" s="197">
        <f>RL!J10</f>
        <v>7.0000000000000001E-3</v>
      </c>
      <c r="L192" s="198">
        <f>RL!K10</f>
        <v>0.41</v>
      </c>
      <c r="N192" s="252" t="str">
        <f t="shared" si="24"/>
        <v>RS</v>
      </c>
      <c r="O192" s="253">
        <f t="shared" si="25"/>
        <v>44384</v>
      </c>
      <c r="P192" s="254" t="str">
        <f t="array" ref="P192">INDEX($D$2:$D$278,MATCH(0,COUNTIF($P$1:$P191,$D$2:$D$278),0))</f>
        <v>RS44384</v>
      </c>
      <c r="Q192" s="255">
        <f t="shared" si="26"/>
        <v>7.01</v>
      </c>
      <c r="R192" s="255">
        <f t="shared" si="27"/>
        <v>24.4</v>
      </c>
      <c r="S192" s="255">
        <f t="shared" si="28"/>
        <v>1.74</v>
      </c>
      <c r="T192" s="255">
        <f t="shared" si="29"/>
        <v>0</v>
      </c>
      <c r="U192" s="255">
        <f t="shared" si="30"/>
        <v>1.97</v>
      </c>
      <c r="V192" s="255">
        <f t="shared" si="31"/>
        <v>0.02</v>
      </c>
      <c r="W192" s="255">
        <f t="shared" si="32"/>
        <v>7.0000000000000001E-3</v>
      </c>
      <c r="X192" s="256">
        <f t="shared" si="33"/>
        <v>0.52</v>
      </c>
      <c r="Y192" s="534" t="str" cm="1">
        <f t="array" ref="Y192">_xlfn.IFS(O192&lt;44361, "Before the burn", O192&lt;44403, "During the burn", O192&gt;44403, "After the burn")</f>
        <v>During the burn</v>
      </c>
    </row>
    <row r="193" spans="1:25" x14ac:dyDescent="0.3">
      <c r="A193" s="194" t="str">
        <f>UPPER(LEFT(RL!B11,2))&amp;RIGHT(RL!B11,LEN(RL!B11)-2)</f>
        <v>RW</v>
      </c>
      <c r="B193" s="195" t="str" cm="1">
        <f t="array" ref="B193">_xlfn.IFS(A193="EP", "EP", A193="STa", "SPI", A193="STb", "SPO", A193="MRT", "MRT", A193="RG", "RN", A193="RT", "RU", A193="RW", "RL", A193="RC", "RS")</f>
        <v>RL</v>
      </c>
      <c r="C193" s="196">
        <f>INT(RL!A11)</f>
        <v>44341</v>
      </c>
      <c r="D193" s="196" t="str">
        <f t="shared" si="23"/>
        <v>RL44341</v>
      </c>
      <c r="E193" s="197">
        <f>RL!D11</f>
        <v>7.12</v>
      </c>
      <c r="F193" s="197">
        <f>RL!E11</f>
        <v>23.5</v>
      </c>
      <c r="G193" s="197">
        <f>RL!F11</f>
        <v>0.16</v>
      </c>
      <c r="H193" s="197">
        <f>RL!H11</f>
        <v>1.1599999999999999</v>
      </c>
      <c r="I193" s="197">
        <f>RL!G11</f>
        <v>1.99</v>
      </c>
      <c r="J193" s="197">
        <f>RL!I11</f>
        <v>0.24</v>
      </c>
      <c r="K193" s="197">
        <f>RL!J11</f>
        <v>8.0000000000000002E-3</v>
      </c>
      <c r="L193" s="198">
        <f>RL!K11</f>
        <v>0.38</v>
      </c>
      <c r="N193" s="252" t="str">
        <f t="shared" si="24"/>
        <v>RS</v>
      </c>
      <c r="O193" s="253">
        <f t="shared" si="25"/>
        <v>44385</v>
      </c>
      <c r="P193" s="254" t="str">
        <f t="array" ref="P193">INDEX($D$2:$D$278,MATCH(0,COUNTIF($P$1:$P192,$D$2:$D$278),0))</f>
        <v>RS44385</v>
      </c>
      <c r="Q193" s="255">
        <f t="shared" si="26"/>
        <v>6.9949999999999992</v>
      </c>
      <c r="R193" s="255">
        <f t="shared" si="27"/>
        <v>24.4</v>
      </c>
      <c r="S193" s="255">
        <f t="shared" si="28"/>
        <v>1.2050000000000001</v>
      </c>
      <c r="T193" s="255">
        <f t="shared" si="29"/>
        <v>0.01</v>
      </c>
      <c r="U193" s="255">
        <f t="shared" si="30"/>
        <v>1.585</v>
      </c>
      <c r="V193" s="255">
        <f t="shared" si="31"/>
        <v>0.12000000000000001</v>
      </c>
      <c r="W193" s="255">
        <f t="shared" si="32"/>
        <v>6.0000000000000001E-3</v>
      </c>
      <c r="X193" s="256">
        <f t="shared" si="33"/>
        <v>0.54499999999999993</v>
      </c>
      <c r="Y193" s="534" t="str" cm="1">
        <f t="array" ref="Y193">_xlfn.IFS(O193&lt;44361, "Before the burn", O193&lt;44403, "During the burn", O193&gt;44403, "After the burn")</f>
        <v>During the burn</v>
      </c>
    </row>
    <row r="194" spans="1:25" x14ac:dyDescent="0.3">
      <c r="A194" s="194" t="str">
        <f>UPPER(LEFT(RL!B12,2))&amp;RIGHT(RL!B12,LEN(RL!B12)-2)</f>
        <v>RW</v>
      </c>
      <c r="B194" s="195" t="str" cm="1">
        <f t="array" ref="B194">_xlfn.IFS(A194="EP", "EP", A194="STa", "SPI", A194="STb", "SPO", A194="MRT", "MRT", A194="RG", "RN", A194="RT", "RU", A194="RW", "RL", A194="RC", "RS")</f>
        <v>RL</v>
      </c>
      <c r="C194" s="196">
        <f>INT(RL!A12)</f>
        <v>44342</v>
      </c>
      <c r="D194" s="196" t="str">
        <f t="shared" si="23"/>
        <v>RL44342</v>
      </c>
      <c r="E194" s="197">
        <f>RL!D12</f>
        <v>7.12</v>
      </c>
      <c r="F194" s="197">
        <f>RL!E12</f>
        <v>23.8</v>
      </c>
      <c r="G194" s="197">
        <f>RL!F12</f>
        <v>0.09</v>
      </c>
      <c r="H194" s="197">
        <f>RL!H12</f>
        <v>1.59</v>
      </c>
      <c r="I194" s="197">
        <f>RL!G12</f>
        <v>1.94</v>
      </c>
      <c r="J194" s="197">
        <f>RL!I12</f>
        <v>0.2</v>
      </c>
      <c r="K194" s="197">
        <f>RL!J12</f>
        <v>6.0000000000000001E-3</v>
      </c>
      <c r="L194" s="198">
        <f>RL!K12</f>
        <v>0.35</v>
      </c>
      <c r="N194" s="252" t="str">
        <f t="shared" si="24"/>
        <v>RS</v>
      </c>
      <c r="O194" s="253">
        <f t="shared" si="25"/>
        <v>44390</v>
      </c>
      <c r="P194" s="254" t="str">
        <f t="array" ref="P194">INDEX($D$2:$D$278,MATCH(0,COUNTIF($P$1:$P193,$D$2:$D$278),0))</f>
        <v>RS44390</v>
      </c>
      <c r="Q194" s="255">
        <f t="shared" si="26"/>
        <v>6.9</v>
      </c>
      <c r="R194" s="255">
        <f t="shared" si="27"/>
        <v>23.7</v>
      </c>
      <c r="S194" s="255">
        <f t="shared" si="28"/>
        <v>1.84</v>
      </c>
      <c r="T194" s="255">
        <f t="shared" si="29"/>
        <v>0.02</v>
      </c>
      <c r="U194" s="255">
        <f t="shared" si="30"/>
        <v>2.09</v>
      </c>
      <c r="V194" s="255">
        <f t="shared" si="31"/>
        <v>0.02</v>
      </c>
      <c r="W194" s="255">
        <f t="shared" si="32"/>
        <v>7.0000000000000001E-3</v>
      </c>
      <c r="X194" s="256">
        <f t="shared" si="33"/>
        <v>0.55000000000000004</v>
      </c>
      <c r="Y194" s="534" t="str" cm="1">
        <f t="array" ref="Y194">_xlfn.IFS(O194&lt;44361, "Before the burn", O194&lt;44403, "During the burn", O194&gt;44403, "After the burn")</f>
        <v>During the burn</v>
      </c>
    </row>
    <row r="195" spans="1:25" x14ac:dyDescent="0.3">
      <c r="A195" s="194" t="str">
        <f>UPPER(LEFT(RL!B13,2))&amp;RIGHT(RL!B13,LEN(RL!B13)-2)</f>
        <v>RW</v>
      </c>
      <c r="B195" s="195" t="str" cm="1">
        <f t="array" ref="B195">_xlfn.IFS(A195="EP", "EP", A195="STa", "SPI", A195="STb", "SPO", A195="MRT", "MRT", A195="RG", "RN", A195="RT", "RU", A195="RW", "RL", A195="RC", "RS")</f>
        <v>RL</v>
      </c>
      <c r="C195" s="196">
        <f>INT(RL!A13)</f>
        <v>44342</v>
      </c>
      <c r="D195" s="196" t="str">
        <f t="shared" ref="D195:D258" si="34">B195&amp;C195</f>
        <v>RL44342</v>
      </c>
      <c r="E195" s="197">
        <f>RL!D13</f>
        <v>6.62</v>
      </c>
      <c r="F195" s="197">
        <f>RL!E13</f>
        <v>23.5</v>
      </c>
      <c r="G195" s="197">
        <f>RL!F13</f>
        <v>0.09</v>
      </c>
      <c r="H195" s="197">
        <f>RL!H13</f>
        <v>1.53</v>
      </c>
      <c r="I195" s="197">
        <f>RL!G13</f>
        <v>1.83</v>
      </c>
      <c r="J195" s="197">
        <f>RL!I13</f>
        <v>0.22</v>
      </c>
      <c r="K195" s="197">
        <f>RL!J13</f>
        <v>8.0000000000000002E-3</v>
      </c>
      <c r="L195" s="198">
        <f>RL!K13</f>
        <v>0.31</v>
      </c>
      <c r="N195" s="252" t="str">
        <f t="shared" ref="N195:N207" si="35">LEFT(P195, LEN(P195)-5)</f>
        <v>RS</v>
      </c>
      <c r="O195" s="253">
        <f t="shared" ref="O195:O207" si="36">INT(RIGHT(P195, 5))</f>
        <v>44391</v>
      </c>
      <c r="P195" s="254" t="str">
        <f t="array" ref="P195">INDEX($D$2:$D$278,MATCH(0,COUNTIF($P$1:$P194,$D$2:$D$278),0))</f>
        <v>RS44391</v>
      </c>
      <c r="Q195" s="255">
        <f t="shared" ref="Q195:Q207" si="37">AVERAGEIF($D$2:$D$278, $P195, E$2:E$278)</f>
        <v>6.9450000000000003</v>
      </c>
      <c r="R195" s="255">
        <f t="shared" ref="R195:R207" si="38">AVERAGEIF($D$2:$D$278, $P195, F$2:F$278)</f>
        <v>24.2</v>
      </c>
      <c r="S195" s="255">
        <f t="shared" ref="S195:S207" si="39">AVERAGEIF($D$2:$D$278, $P195, G$2:G$278)</f>
        <v>1.76</v>
      </c>
      <c r="T195" s="255">
        <f t="shared" ref="T195:T207" si="40">AVERAGEIF($D$2:$D$278, $P195, H$2:H$278)</f>
        <v>0.01</v>
      </c>
      <c r="U195" s="255">
        <f t="shared" ref="U195:U207" si="41">AVERAGEIF($D$2:$D$278, $P195, I$2:I$278)</f>
        <v>1.9350000000000001</v>
      </c>
      <c r="V195" s="255">
        <f t="shared" ref="V195:V207" si="42">AVERAGEIF($D$2:$D$278, $P195, J$2:J$278)</f>
        <v>3.5000000000000003E-2</v>
      </c>
      <c r="W195" s="255">
        <f t="shared" ref="W195:W207" si="43">AVERAGEIF($D$2:$D$278, $P195, K$2:K$278)</f>
        <v>7.0000000000000001E-3</v>
      </c>
      <c r="X195" s="256">
        <f t="shared" ref="X195:X207" si="44">AVERAGEIF($D$2:$D$278, $P195, L$2:L$278)</f>
        <v>0.57000000000000006</v>
      </c>
      <c r="Y195" s="534" t="str" cm="1">
        <f t="array" ref="Y195">_xlfn.IFS(O195&lt;44361, "Before the burn", O195&lt;44403, "During the burn", O195&gt;44403, "After the burn")</f>
        <v>During the burn</v>
      </c>
    </row>
    <row r="196" spans="1:25" x14ac:dyDescent="0.3">
      <c r="A196" s="194" t="str">
        <f>UPPER(LEFT(RL!B14,2))&amp;RIGHT(RL!B14,LEN(RL!B14)-2)</f>
        <v>RW</v>
      </c>
      <c r="B196" s="195" t="str" cm="1">
        <f t="array" ref="B196">_xlfn.IFS(A196="EP", "EP", A196="STa", "SPI", A196="STb", "SPO", A196="MRT", "MRT", A196="RG", "RN", A196="RT", "RU", A196="RW", "RL", A196="RC", "RS")</f>
        <v>RL</v>
      </c>
      <c r="C196" s="196">
        <f>INT(RL!A14)</f>
        <v>44349</v>
      </c>
      <c r="D196" s="196" t="str">
        <f t="shared" si="34"/>
        <v>RL44349</v>
      </c>
      <c r="E196" s="197">
        <f>RL!D14</f>
        <v>7.72</v>
      </c>
      <c r="F196" s="197">
        <f>RL!E14</f>
        <v>23.7</v>
      </c>
      <c r="G196" s="197">
        <f>RL!F14</f>
        <v>0.1</v>
      </c>
      <c r="H196" s="197">
        <f>RL!H14</f>
        <v>1.61</v>
      </c>
      <c r="I196" s="197">
        <f>RL!G14</f>
        <v>1.76</v>
      </c>
      <c r="J196" s="197">
        <f>RL!I14</f>
        <v>0.18</v>
      </c>
      <c r="K196" s="197">
        <f>RL!J14</f>
        <v>6.0000000000000001E-3</v>
      </c>
      <c r="L196" s="198">
        <f>RL!K14</f>
        <v>0.35</v>
      </c>
      <c r="N196" s="252" t="str">
        <f t="shared" si="35"/>
        <v>RS</v>
      </c>
      <c r="O196" s="253">
        <f t="shared" si="36"/>
        <v>44397</v>
      </c>
      <c r="P196" s="254" t="str">
        <f t="array" ref="P196">INDEX($D$2:$D$278,MATCH(0,COUNTIF($P$1:$P195,$D$2:$D$278),0))</f>
        <v>RS44397</v>
      </c>
      <c r="Q196" s="255">
        <f t="shared" si="37"/>
        <v>6.92</v>
      </c>
      <c r="R196" s="255">
        <f t="shared" si="38"/>
        <v>24.4</v>
      </c>
      <c r="S196" s="255">
        <f t="shared" si="39"/>
        <v>1.58</v>
      </c>
      <c r="T196" s="255">
        <f t="shared" si="40"/>
        <v>0.01</v>
      </c>
      <c r="U196" s="255">
        <f t="shared" si="41"/>
        <v>2.11</v>
      </c>
      <c r="V196" s="255">
        <f t="shared" si="42"/>
        <v>0.03</v>
      </c>
      <c r="W196" s="255">
        <f t="shared" si="43"/>
        <v>5.0000000000000001E-3</v>
      </c>
      <c r="X196" s="256">
        <f t="shared" si="44"/>
        <v>0.56000000000000005</v>
      </c>
      <c r="Y196" s="534" t="str" cm="1">
        <f t="array" ref="Y196">_xlfn.IFS(O196&lt;44361, "Before the burn", O196&lt;44403, "During the burn", O196&gt;44403, "After the burn")</f>
        <v>During the burn</v>
      </c>
    </row>
    <row r="197" spans="1:25" x14ac:dyDescent="0.3">
      <c r="A197" s="194" t="str">
        <f>UPPER(LEFT(RL!B15,2))&amp;RIGHT(RL!B15,LEN(RL!B15)-2)</f>
        <v>RW</v>
      </c>
      <c r="B197" s="195" t="str" cm="1">
        <f t="array" ref="B197">_xlfn.IFS(A197="EP", "EP", A197="STa", "SPI", A197="STb", "SPO", A197="MRT", "MRT", A197="RG", "RN", A197="RT", "RU", A197="RW", "RL", A197="RC", "RS")</f>
        <v>RL</v>
      </c>
      <c r="C197" s="196">
        <f>INT(RL!A15)</f>
        <v>44350</v>
      </c>
      <c r="D197" s="196" t="str">
        <f t="shared" si="34"/>
        <v>RL44350</v>
      </c>
      <c r="E197" s="197">
        <f>RL!D15</f>
        <v>7.14</v>
      </c>
      <c r="F197" s="197">
        <f>RL!E15</f>
        <v>24.9</v>
      </c>
      <c r="G197" s="197">
        <f>RL!F15</f>
        <v>7.0000000000000007E-2</v>
      </c>
      <c r="H197" s="197">
        <f>RL!H15</f>
        <v>1.49</v>
      </c>
      <c r="I197" s="197">
        <f>RL!G15</f>
        <v>1.57</v>
      </c>
      <c r="J197" s="197">
        <f>RL!I15</f>
        <v>0.25</v>
      </c>
      <c r="K197" s="197">
        <f>RL!J15</f>
        <v>7.0000000000000001E-3</v>
      </c>
      <c r="L197" s="198">
        <f>RL!K15</f>
        <v>0.42</v>
      </c>
      <c r="N197" s="252" t="str">
        <f t="shared" si="35"/>
        <v>RS</v>
      </c>
      <c r="O197" s="253">
        <f t="shared" si="36"/>
        <v>44398</v>
      </c>
      <c r="P197" s="254" t="str">
        <f t="array" ref="P197">INDEX($D$2:$D$278,MATCH(0,COUNTIF($P$1:$P196,$D$2:$D$278),0))</f>
        <v>RS44398</v>
      </c>
      <c r="Q197" s="255">
        <f t="shared" si="37"/>
        <v>6.9250000000000007</v>
      </c>
      <c r="R197" s="255">
        <f t="shared" si="38"/>
        <v>24.299999999999997</v>
      </c>
      <c r="S197" s="255">
        <f t="shared" si="39"/>
        <v>1.7349999999999999</v>
      </c>
      <c r="T197" s="255">
        <f t="shared" si="40"/>
        <v>0.01</v>
      </c>
      <c r="U197" s="255">
        <f t="shared" si="41"/>
        <v>1.9650000000000001</v>
      </c>
      <c r="V197" s="255">
        <f t="shared" si="42"/>
        <v>0.02</v>
      </c>
      <c r="W197" s="255">
        <f t="shared" si="43"/>
        <v>5.4999999999999997E-3</v>
      </c>
      <c r="X197" s="256">
        <f t="shared" si="44"/>
        <v>0.59</v>
      </c>
      <c r="Y197" s="534" t="str" cm="1">
        <f t="array" ref="Y197">_xlfn.IFS(O197&lt;44361, "Before the burn", O197&lt;44403, "During the burn", O197&gt;44403, "After the burn")</f>
        <v>During the burn</v>
      </c>
    </row>
    <row r="198" spans="1:25" x14ac:dyDescent="0.3">
      <c r="A198" s="194" t="str">
        <f>UPPER(LEFT(RL!B16,2))&amp;RIGHT(RL!B16,LEN(RL!B16)-2)</f>
        <v>RW</v>
      </c>
      <c r="B198" s="195" t="str" cm="1">
        <f t="array" ref="B198">_xlfn.IFS(A198="EP", "EP", A198="STa", "SPI", A198="STb", "SPO", A198="MRT", "MRT", A198="RG", "RN", A198="RT", "RU", A198="RW", "RL", A198="RC", "RS")</f>
        <v>RL</v>
      </c>
      <c r="C198" s="196">
        <f>INT(RL!A16)</f>
        <v>44350</v>
      </c>
      <c r="D198" s="196" t="str">
        <f t="shared" si="34"/>
        <v>RL44350</v>
      </c>
      <c r="E198" s="197">
        <f>RL!D16</f>
        <v>6.91</v>
      </c>
      <c r="F198" s="197">
        <f>RL!E16</f>
        <v>23.8</v>
      </c>
      <c r="G198" s="197">
        <f>RL!F16</f>
        <v>0.18</v>
      </c>
      <c r="H198" s="197">
        <f>RL!H16</f>
        <v>1.5</v>
      </c>
      <c r="I198" s="197">
        <f>RL!G16</f>
        <v>1.6</v>
      </c>
      <c r="J198" s="197">
        <f>RL!I16</f>
        <v>0.3</v>
      </c>
      <c r="K198" s="197">
        <f>RL!J16</f>
        <v>7.0000000000000001E-3</v>
      </c>
      <c r="L198" s="198">
        <f>RL!K16</f>
        <v>0.4</v>
      </c>
      <c r="N198" s="252" t="str">
        <f t="shared" si="35"/>
        <v>RS</v>
      </c>
      <c r="O198" s="253">
        <f t="shared" si="36"/>
        <v>44404</v>
      </c>
      <c r="P198" s="254" t="str">
        <f t="array" ref="P198">INDEX($D$2:$D$278,MATCH(0,COUNTIF($P$1:$P197,$D$2:$D$278),0))</f>
        <v>RS44404</v>
      </c>
      <c r="Q198" s="255">
        <f t="shared" si="37"/>
        <v>6.9</v>
      </c>
      <c r="R198" s="255">
        <f t="shared" si="38"/>
        <v>24</v>
      </c>
      <c r="S198" s="255">
        <f t="shared" si="39"/>
        <v>1.37</v>
      </c>
      <c r="T198" s="255">
        <f t="shared" si="40"/>
        <v>0.02</v>
      </c>
      <c r="U198" s="255">
        <f t="shared" si="41"/>
        <v>1.54</v>
      </c>
      <c r="V198" s="255">
        <f t="shared" si="42"/>
        <v>0.04</v>
      </c>
      <c r="W198" s="255">
        <f t="shared" si="43"/>
        <v>6.0000000000000001E-3</v>
      </c>
      <c r="X198" s="256">
        <f t="shared" si="44"/>
        <v>0.64</v>
      </c>
      <c r="Y198" s="534" t="str" cm="1">
        <f t="array" ref="Y198">_xlfn.IFS(O198&lt;44361, "Before the burn", O198&lt;44403, "During the burn", O198&gt;44403, "After the burn")</f>
        <v>After the burn</v>
      </c>
    </row>
    <row r="199" spans="1:25" x14ac:dyDescent="0.3">
      <c r="A199" s="194" t="str">
        <f>UPPER(LEFT(RL!B17,2))&amp;RIGHT(RL!B17,LEN(RL!B17)-2)</f>
        <v>RW</v>
      </c>
      <c r="B199" s="195" t="str" cm="1">
        <f t="array" ref="B199">_xlfn.IFS(A199="EP", "EP", A199="STa", "SPI", A199="STb", "SPO", A199="MRT", "MRT", A199="RG", "RN", A199="RT", "RU", A199="RW", "RL", A199="RC", "RS")</f>
        <v>RL</v>
      </c>
      <c r="C199" s="196">
        <f>INT(RL!A17)</f>
        <v>44355</v>
      </c>
      <c r="D199" s="196" t="str">
        <f t="shared" si="34"/>
        <v>RL44355</v>
      </c>
      <c r="E199" s="197">
        <f>RL!D17</f>
        <v>7.2</v>
      </c>
      <c r="F199" s="197">
        <f>RL!E17</f>
        <v>24.4</v>
      </c>
      <c r="G199" s="197">
        <f>RL!F17</f>
        <v>0.14000000000000001</v>
      </c>
      <c r="H199" s="197">
        <f>RL!H17</f>
        <v>1.65</v>
      </c>
      <c r="I199" s="197">
        <f>RL!G17</f>
        <v>1.68</v>
      </c>
      <c r="J199" s="197">
        <f>RL!I17</f>
        <v>0.27</v>
      </c>
      <c r="K199" s="197">
        <f>RL!J17</f>
        <v>6.0000000000000001E-3</v>
      </c>
      <c r="L199" s="198">
        <f>RL!K17</f>
        <v>0.41</v>
      </c>
      <c r="N199" s="252" t="str">
        <f t="shared" si="35"/>
        <v>RS</v>
      </c>
      <c r="O199" s="253">
        <f t="shared" si="36"/>
        <v>44405</v>
      </c>
      <c r="P199" s="254" t="str">
        <f t="array" ref="P199">INDEX($D$2:$D$278,MATCH(0,COUNTIF($P$1:$P198,$D$2:$D$278),0))</f>
        <v>RS44405</v>
      </c>
      <c r="Q199" s="255">
        <f t="shared" si="37"/>
        <v>6.915</v>
      </c>
      <c r="R199" s="255">
        <f t="shared" si="38"/>
        <v>24.725000000000001</v>
      </c>
      <c r="S199" s="255">
        <f t="shared" si="39"/>
        <v>0.05</v>
      </c>
      <c r="T199" s="255">
        <f t="shared" si="40"/>
        <v>0.60499999999999998</v>
      </c>
      <c r="U199" s="255">
        <f t="shared" si="41"/>
        <v>0.70500000000000007</v>
      </c>
      <c r="V199" s="255">
        <f t="shared" si="42"/>
        <v>0.15000000000000002</v>
      </c>
      <c r="W199" s="255">
        <f t="shared" si="43"/>
        <v>8.0000000000000002E-3</v>
      </c>
      <c r="X199" s="256">
        <f t="shared" si="44"/>
        <v>0.57499999999999996</v>
      </c>
      <c r="Y199" s="534" t="str" cm="1">
        <f t="array" ref="Y199">_xlfn.IFS(O199&lt;44361, "Before the burn", O199&lt;44403, "During the burn", O199&gt;44403, "After the burn")</f>
        <v>After the burn</v>
      </c>
    </row>
    <row r="200" spans="1:25" x14ac:dyDescent="0.3">
      <c r="A200" s="194" t="str">
        <f>UPPER(LEFT(RL!B18,2))&amp;RIGHT(RL!B18,LEN(RL!B18)-2)</f>
        <v>RW</v>
      </c>
      <c r="B200" s="195" t="str" cm="1">
        <f t="array" ref="B200">_xlfn.IFS(A200="EP", "EP", A200="STa", "SPI", A200="STb", "SPO", A200="MRT", "MRT", A200="RG", "RN", A200="RT", "RU", A200="RW", "RL", A200="RC", "RS")</f>
        <v>RL</v>
      </c>
      <c r="C200" s="196">
        <f>INT(RL!A18)</f>
        <v>44356</v>
      </c>
      <c r="D200" s="196" t="str">
        <f t="shared" si="34"/>
        <v>RL44356</v>
      </c>
      <c r="E200" s="197">
        <f>RL!D18</f>
        <v>7.17</v>
      </c>
      <c r="F200" s="197">
        <f>RL!E18</f>
        <v>24.7</v>
      </c>
      <c r="G200" s="197">
        <f>RL!F18</f>
        <v>0.11</v>
      </c>
      <c r="H200" s="197">
        <f>RL!H18</f>
        <v>1.64</v>
      </c>
      <c r="I200" s="197">
        <f>RL!G18</f>
        <v>1.65</v>
      </c>
      <c r="J200" s="197">
        <f>RL!I18</f>
        <v>0.23</v>
      </c>
      <c r="K200" s="197">
        <f>RL!J18</f>
        <v>6.0000000000000001E-3</v>
      </c>
      <c r="L200" s="198">
        <f>RL!K18</f>
        <v>0.42</v>
      </c>
      <c r="N200" s="252" t="str">
        <f t="shared" si="35"/>
        <v>RS</v>
      </c>
      <c r="O200" s="253">
        <f t="shared" si="36"/>
        <v>44411</v>
      </c>
      <c r="P200" s="254" t="str">
        <f t="array" ref="P200">INDEX($D$2:$D$278,MATCH(0,COUNTIF($P$1:$P199,$D$2:$D$278),0))</f>
        <v>RS44411</v>
      </c>
      <c r="Q200" s="255">
        <f t="shared" si="37"/>
        <v>6.85</v>
      </c>
      <c r="R200" s="255">
        <f t="shared" si="38"/>
        <v>24.3</v>
      </c>
      <c r="S200" s="255">
        <f t="shared" si="39"/>
        <v>0</v>
      </c>
      <c r="T200" s="255">
        <f t="shared" si="40"/>
        <v>1.1299999999999999</v>
      </c>
      <c r="U200" s="255">
        <f t="shared" si="41"/>
        <v>1.25</v>
      </c>
      <c r="V200" s="255">
        <f t="shared" si="42"/>
        <v>0.19</v>
      </c>
      <c r="W200" s="255">
        <f t="shared" si="43"/>
        <v>6.0000000000000001E-3</v>
      </c>
      <c r="X200" s="256">
        <f t="shared" si="44"/>
        <v>0.64</v>
      </c>
      <c r="Y200" s="534" t="str" cm="1">
        <f t="array" ref="Y200">_xlfn.IFS(O200&lt;44361, "Before the burn", O200&lt;44403, "During the burn", O200&gt;44403, "After the burn")</f>
        <v>After the burn</v>
      </c>
    </row>
    <row r="201" spans="1:25" x14ac:dyDescent="0.3">
      <c r="A201" s="194" t="str">
        <f>UPPER(LEFT(RL!B19,2))&amp;RIGHT(RL!B19,LEN(RL!B19)-2)</f>
        <v>RW</v>
      </c>
      <c r="B201" s="195" t="str" cm="1">
        <f t="array" ref="B201">_xlfn.IFS(A201="EP", "EP", A201="STa", "SPI", A201="STb", "SPO", A201="MRT", "MRT", A201="RG", "RN", A201="RT", "RU", A201="RW", "RL", A201="RC", "RS")</f>
        <v>RL</v>
      </c>
      <c r="C201" s="196">
        <f>INT(RL!A19)</f>
        <v>44356</v>
      </c>
      <c r="D201" s="196" t="str">
        <f t="shared" si="34"/>
        <v>RL44356</v>
      </c>
      <c r="E201" s="197">
        <f>RL!D19</f>
        <v>6.68</v>
      </c>
      <c r="F201" s="197">
        <f>RL!E19</f>
        <v>24.8</v>
      </c>
      <c r="G201" s="197">
        <f>RL!F19</f>
        <v>0.06</v>
      </c>
      <c r="H201" s="197">
        <f>RL!H19</f>
        <v>1.67</v>
      </c>
      <c r="I201" s="197">
        <f>RL!G19</f>
        <v>1.62</v>
      </c>
      <c r="J201" s="197">
        <f>RL!I19</f>
        <v>0.2</v>
      </c>
      <c r="K201" s="197">
        <f>RL!J19</f>
        <v>6.0000000000000001E-3</v>
      </c>
      <c r="L201" s="198">
        <f>RL!K19</f>
        <v>0.36</v>
      </c>
      <c r="N201" s="252" t="str">
        <f t="shared" si="35"/>
        <v>RS</v>
      </c>
      <c r="O201" s="253">
        <f t="shared" si="36"/>
        <v>44412</v>
      </c>
      <c r="P201" s="254" t="str">
        <f t="array" ref="P201">INDEX($D$2:$D$278,MATCH(0,COUNTIF($P$1:$P200,$D$2:$D$278),0))</f>
        <v>RS44412</v>
      </c>
      <c r="Q201" s="255">
        <f t="shared" si="37"/>
        <v>6.875</v>
      </c>
      <c r="R201" s="255">
        <f t="shared" si="38"/>
        <v>24.6</v>
      </c>
      <c r="S201" s="255">
        <f t="shared" si="39"/>
        <v>7.0000000000000007E-2</v>
      </c>
      <c r="T201" s="255">
        <f t="shared" si="40"/>
        <v>1.02</v>
      </c>
      <c r="U201" s="255">
        <f t="shared" si="41"/>
        <v>1.105</v>
      </c>
      <c r="V201" s="255">
        <f t="shared" si="42"/>
        <v>0.20500000000000002</v>
      </c>
      <c r="W201" s="255">
        <f t="shared" si="43"/>
        <v>7.4999999999999997E-3</v>
      </c>
      <c r="X201" s="256">
        <f t="shared" si="44"/>
        <v>0.63</v>
      </c>
      <c r="Y201" s="534" t="str" cm="1">
        <f t="array" ref="Y201">_xlfn.IFS(O201&lt;44361, "Before the burn", O201&lt;44403, "During the burn", O201&gt;44403, "After the burn")</f>
        <v>After the burn</v>
      </c>
    </row>
    <row r="202" spans="1:25" x14ac:dyDescent="0.3">
      <c r="A202" s="194" t="str">
        <f>UPPER(LEFT(RL!B20,2))&amp;RIGHT(RL!B20,LEN(RL!B20)-2)</f>
        <v>RW</v>
      </c>
      <c r="B202" s="195" t="str" cm="1">
        <f t="array" ref="B202">_xlfn.IFS(A202="EP", "EP", A202="STa", "SPI", A202="STb", "SPO", A202="MRT", "MRT", A202="RG", "RN", A202="RT", "RU", A202="RW", "RL", A202="RC", "RS")</f>
        <v>RL</v>
      </c>
      <c r="C202" s="196">
        <f>INT(RL!A20)</f>
        <v>44362</v>
      </c>
      <c r="D202" s="196" t="str">
        <f t="shared" si="34"/>
        <v>RL44362</v>
      </c>
      <c r="E202" s="197">
        <f>RL!D20</f>
        <v>7.29</v>
      </c>
      <c r="F202" s="197">
        <f>RL!E20</f>
        <v>27.4</v>
      </c>
      <c r="G202" s="197">
        <f>RL!F20</f>
        <v>0.91</v>
      </c>
      <c r="H202" s="197">
        <f>RL!H20</f>
        <v>0.02</v>
      </c>
      <c r="I202" s="197">
        <f>RL!G20</f>
        <v>1.1000000000000001</v>
      </c>
      <c r="J202" s="197">
        <f>RL!I20</f>
        <v>0.05</v>
      </c>
      <c r="K202" s="197">
        <f>RL!J20</f>
        <v>7.0000000000000001E-3</v>
      </c>
      <c r="L202" s="198">
        <f>RL!K20</f>
        <v>0.42</v>
      </c>
      <c r="N202" s="252" t="str">
        <f t="shared" si="35"/>
        <v>RS</v>
      </c>
      <c r="O202" s="253">
        <f t="shared" si="36"/>
        <v>44418</v>
      </c>
      <c r="P202" s="254" t="str">
        <f t="array" ref="P202">INDEX($D$2:$D$278,MATCH(0,COUNTIF($P$1:$P201,$D$2:$D$278),0))</f>
        <v>RS44418</v>
      </c>
      <c r="Q202" s="255">
        <f t="shared" si="37"/>
        <v>6.85</v>
      </c>
      <c r="R202" s="255">
        <f t="shared" si="38"/>
        <v>23.9</v>
      </c>
      <c r="S202" s="255">
        <f t="shared" si="39"/>
        <v>0.11</v>
      </c>
      <c r="T202" s="255">
        <f t="shared" si="40"/>
        <v>1.04</v>
      </c>
      <c r="U202" s="255">
        <f t="shared" si="41"/>
        <v>0.93</v>
      </c>
      <c r="V202" s="255">
        <f t="shared" si="42"/>
        <v>0.21</v>
      </c>
      <c r="W202" s="255">
        <f t="shared" si="43"/>
        <v>6.0000000000000001E-3</v>
      </c>
      <c r="X202" s="256">
        <f t="shared" si="44"/>
        <v>0.59</v>
      </c>
      <c r="Y202" s="534" t="str" cm="1">
        <f t="array" ref="Y202">_xlfn.IFS(O202&lt;44361, "Before the burn", O202&lt;44403, "During the burn", O202&gt;44403, "After the burn")</f>
        <v>After the burn</v>
      </c>
    </row>
    <row r="203" spans="1:25" x14ac:dyDescent="0.3">
      <c r="A203" s="194" t="str">
        <f>UPPER(LEFT(RL!B21,2))&amp;RIGHT(RL!B21,LEN(RL!B21)-2)</f>
        <v>RW</v>
      </c>
      <c r="B203" s="195" t="str" cm="1">
        <f t="array" ref="B203">_xlfn.IFS(A203="EP", "EP", A203="STa", "SPI", A203="STb", "SPO", A203="MRT", "MRT", A203="RG", "RN", A203="RT", "RU", A203="RW", "RL", A203="RC", "RS")</f>
        <v>RL</v>
      </c>
      <c r="C203" s="196">
        <f>INT(RL!A21)</f>
        <v>44363</v>
      </c>
      <c r="D203" s="196" t="str">
        <f t="shared" si="34"/>
        <v>RL44363</v>
      </c>
      <c r="E203" s="197">
        <f>RL!D21</f>
        <v>7.1</v>
      </c>
      <c r="F203" s="197">
        <f>RL!E21</f>
        <v>26.1</v>
      </c>
      <c r="G203" s="197">
        <f>RL!F21</f>
        <v>1.56</v>
      </c>
      <c r="H203" s="197">
        <f>RL!H21</f>
        <v>0.01</v>
      </c>
      <c r="I203" s="197">
        <f>RL!G21</f>
        <v>1.56</v>
      </c>
      <c r="J203" s="197">
        <f>RL!I21</f>
        <v>0.24</v>
      </c>
      <c r="K203" s="197">
        <f>RL!J21</f>
        <v>0</v>
      </c>
      <c r="L203" s="198">
        <f>RL!K21</f>
        <v>0.42</v>
      </c>
      <c r="N203" s="252" t="str">
        <f t="shared" si="35"/>
        <v>RS</v>
      </c>
      <c r="O203" s="253">
        <f t="shared" si="36"/>
        <v>44419</v>
      </c>
      <c r="P203" s="254" t="str">
        <f t="array" ref="P203">INDEX($D$2:$D$278,MATCH(0,COUNTIF($P$1:$P202,$D$2:$D$278),0))</f>
        <v>RS44419</v>
      </c>
      <c r="Q203" s="255">
        <f t="shared" si="37"/>
        <v>6.87</v>
      </c>
      <c r="R203" s="255">
        <f t="shared" si="38"/>
        <v>24.65</v>
      </c>
      <c r="S203" s="255">
        <f t="shared" si="39"/>
        <v>6.5000000000000002E-2</v>
      </c>
      <c r="T203" s="255">
        <f t="shared" si="40"/>
        <v>0.76500000000000001</v>
      </c>
      <c r="U203" s="255">
        <f t="shared" si="41"/>
        <v>0.67500000000000004</v>
      </c>
      <c r="V203" s="255">
        <f t="shared" si="42"/>
        <v>0.24</v>
      </c>
      <c r="W203" s="255">
        <f t="shared" si="43"/>
        <v>7.4999999999999997E-3</v>
      </c>
      <c r="X203" s="256">
        <f t="shared" si="44"/>
        <v>0.61</v>
      </c>
      <c r="Y203" s="534" t="str" cm="1">
        <f t="array" ref="Y203">_xlfn.IFS(O203&lt;44361, "Before the burn", O203&lt;44403, "During the burn", O203&gt;44403, "After the burn")</f>
        <v>After the burn</v>
      </c>
    </row>
    <row r="204" spans="1:25" x14ac:dyDescent="0.3">
      <c r="A204" s="194" t="str">
        <f>UPPER(LEFT(RL!B22,2))&amp;RIGHT(RL!B22,LEN(RL!B22)-2)</f>
        <v>RW</v>
      </c>
      <c r="B204" s="195" t="str" cm="1">
        <f t="array" ref="B204">_xlfn.IFS(A204="EP", "EP", A204="STa", "SPI", A204="STb", "SPO", A204="MRT", "MRT", A204="RG", "RN", A204="RT", "RU", A204="RW", "RL", A204="RC", "RS")</f>
        <v>RL</v>
      </c>
      <c r="C204" s="196">
        <f>INT(RL!A22)</f>
        <v>44363</v>
      </c>
      <c r="D204" s="196" t="str">
        <f t="shared" si="34"/>
        <v>RL44363</v>
      </c>
      <c r="E204" s="197">
        <f>RL!D22</f>
        <v>6.97</v>
      </c>
      <c r="F204" s="197">
        <f>RL!E22</f>
        <v>26.8</v>
      </c>
      <c r="G204" s="197">
        <f>RL!F22</f>
        <v>1.41</v>
      </c>
      <c r="H204" s="197">
        <f>RL!H22</f>
        <v>0.02</v>
      </c>
      <c r="I204" s="197">
        <f>RL!G22</f>
        <v>1.5</v>
      </c>
      <c r="J204" s="197">
        <f>RL!I22</f>
        <v>7.0000000000000007E-2</v>
      </c>
      <c r="K204" s="197">
        <f>RL!J22</f>
        <v>5.0000000000000001E-3</v>
      </c>
      <c r="L204" s="198">
        <f>RL!K22</f>
        <v>0.46</v>
      </c>
      <c r="N204" s="252" t="str">
        <f t="shared" si="35"/>
        <v>RS</v>
      </c>
      <c r="O204" s="253">
        <f t="shared" si="36"/>
        <v>44425</v>
      </c>
      <c r="P204" s="254" t="str">
        <f t="array" ref="P204">INDEX($D$2:$D$278,MATCH(0,COUNTIF($P$1:$P203,$D$2:$D$278),0))</f>
        <v>RS44425</v>
      </c>
      <c r="Q204" s="255">
        <f t="shared" si="37"/>
        <v>6.9</v>
      </c>
      <c r="R204" s="255">
        <f t="shared" si="38"/>
        <v>24.4</v>
      </c>
      <c r="S204" s="255">
        <f t="shared" si="39"/>
        <v>0.09</v>
      </c>
      <c r="T204" s="255">
        <f t="shared" si="40"/>
        <v>0.95</v>
      </c>
      <c r="U204" s="255">
        <f t="shared" si="41"/>
        <v>0.85</v>
      </c>
      <c r="V204" s="255">
        <f t="shared" si="42"/>
        <v>0.19</v>
      </c>
      <c r="W204" s="255">
        <f t="shared" si="43"/>
        <v>6.0000000000000001E-3</v>
      </c>
      <c r="X204" s="256">
        <f t="shared" si="44"/>
        <v>0.53</v>
      </c>
      <c r="Y204" s="534" t="str" cm="1">
        <f t="array" ref="Y204">_xlfn.IFS(O204&lt;44361, "Before the burn", O204&lt;44403, "During the burn", O204&gt;44403, "After the burn")</f>
        <v>After the burn</v>
      </c>
    </row>
    <row r="205" spans="1:25" x14ac:dyDescent="0.3">
      <c r="A205" s="194" t="str">
        <f>UPPER(LEFT(RL!B23,2))&amp;RIGHT(RL!B23,LEN(RL!B23)-2)</f>
        <v>RW</v>
      </c>
      <c r="B205" s="195" t="str" cm="1">
        <f t="array" ref="B205">_xlfn.IFS(A205="EP", "EP", A205="STa", "SPI", A205="STb", "SPO", A205="MRT", "MRT", A205="RG", "RN", A205="RT", "RU", A205="RW", "RL", A205="RC", "RS")</f>
        <v>RL</v>
      </c>
      <c r="C205" s="196">
        <f>INT(RL!A23)</f>
        <v>44369</v>
      </c>
      <c r="D205" s="196" t="str">
        <f t="shared" si="34"/>
        <v>RL44369</v>
      </c>
      <c r="E205" s="197">
        <f>RL!D23</f>
        <v>7.18</v>
      </c>
      <c r="F205" s="197">
        <f>RL!E23</f>
        <v>25.8</v>
      </c>
      <c r="G205" s="197">
        <f>RL!F23</f>
        <v>2.15</v>
      </c>
      <c r="H205" s="197">
        <f>RL!H23</f>
        <v>0</v>
      </c>
      <c r="I205" s="197">
        <f>RL!G23</f>
        <v>2.04</v>
      </c>
      <c r="J205" s="197">
        <f>RL!I23</f>
        <v>0.12</v>
      </c>
      <c r="K205" s="197">
        <f>RL!J23</f>
        <v>6.0000000000000001E-3</v>
      </c>
      <c r="L205" s="198">
        <f>RL!K23</f>
        <v>0.43</v>
      </c>
      <c r="N205" s="252" t="str">
        <f t="shared" si="35"/>
        <v>RS</v>
      </c>
      <c r="O205" s="253">
        <f t="shared" si="36"/>
        <v>44426</v>
      </c>
      <c r="P205" s="254" t="str">
        <f t="array" ref="P205">INDEX($D$2:$D$278,MATCH(0,COUNTIF($P$1:$P204,$D$2:$D$278),0))</f>
        <v>RS44426</v>
      </c>
      <c r="Q205" s="255">
        <f t="shared" si="37"/>
        <v>6.8599999999999994</v>
      </c>
      <c r="R205" s="255">
        <f t="shared" si="38"/>
        <v>24.9</v>
      </c>
      <c r="S205" s="255">
        <f t="shared" si="39"/>
        <v>0.05</v>
      </c>
      <c r="T205" s="255">
        <f t="shared" si="40"/>
        <v>0.92500000000000004</v>
      </c>
      <c r="U205" s="255">
        <f t="shared" si="41"/>
        <v>0.95499999999999996</v>
      </c>
      <c r="V205" s="255">
        <f t="shared" si="42"/>
        <v>0.23499999999999999</v>
      </c>
      <c r="W205" s="255">
        <f t="shared" si="43"/>
        <v>7.4999999999999997E-3</v>
      </c>
      <c r="X205" s="256">
        <f t="shared" si="44"/>
        <v>0.59</v>
      </c>
      <c r="Y205" s="534" t="str" cm="1">
        <f t="array" ref="Y205">_xlfn.IFS(O205&lt;44361, "Before the burn", O205&lt;44403, "During the burn", O205&gt;44403, "After the burn")</f>
        <v>After the burn</v>
      </c>
    </row>
    <row r="206" spans="1:25" x14ac:dyDescent="0.3">
      <c r="A206" s="194" t="str">
        <f>UPPER(LEFT(RL!B24,2))&amp;RIGHT(RL!B24,LEN(RL!B24)-2)</f>
        <v>RW</v>
      </c>
      <c r="B206" s="195" t="str" cm="1">
        <f t="array" ref="B206">_xlfn.IFS(A206="EP", "EP", A206="STa", "SPI", A206="STb", "SPO", A206="MRT", "MRT", A206="RG", "RN", A206="RT", "RU", A206="RW", "RL", A206="RC", "RS")</f>
        <v>RL</v>
      </c>
      <c r="C206" s="196">
        <f>INT(RL!A24)</f>
        <v>44370</v>
      </c>
      <c r="D206" s="196" t="str">
        <f t="shared" si="34"/>
        <v>RL44370</v>
      </c>
      <c r="E206" s="197">
        <f>RL!D24</f>
        <v>7.03</v>
      </c>
      <c r="F206" s="197">
        <f>RL!E24</f>
        <v>26.2</v>
      </c>
      <c r="G206" s="197">
        <f>RL!F24</f>
        <v>2.2400000000000002</v>
      </c>
      <c r="H206" s="197">
        <f>RL!H24</f>
        <v>0</v>
      </c>
      <c r="I206" s="197">
        <f>RL!G24</f>
        <v>2.17</v>
      </c>
      <c r="J206" s="197">
        <f>RL!I24</f>
        <v>0.11</v>
      </c>
      <c r="K206" s="197">
        <f>RL!J24</f>
        <v>5.0000000000000001E-3</v>
      </c>
      <c r="L206" s="198">
        <f>RL!K24</f>
        <v>0.42</v>
      </c>
      <c r="N206" s="252" t="str">
        <f t="shared" si="35"/>
        <v>RS</v>
      </c>
      <c r="O206" s="253">
        <f t="shared" si="36"/>
        <v>44432</v>
      </c>
      <c r="P206" s="254" t="str">
        <f t="array" ref="P206">INDEX($D$2:$D$278,MATCH(0,COUNTIF($P$1:$P205,$D$2:$D$278),0))</f>
        <v>RS44432</v>
      </c>
      <c r="Q206" s="255">
        <f t="shared" si="37"/>
        <v>6.95</v>
      </c>
      <c r="R206" s="255">
        <f t="shared" si="38"/>
        <v>24.6</v>
      </c>
      <c r="S206" s="255">
        <f t="shared" si="39"/>
        <v>0.04</v>
      </c>
      <c r="T206" s="255">
        <f t="shared" si="40"/>
        <v>0.75</v>
      </c>
      <c r="U206" s="255">
        <f t="shared" si="41"/>
        <v>0.6</v>
      </c>
      <c r="V206" s="255">
        <f t="shared" si="42"/>
        <v>0.24</v>
      </c>
      <c r="W206" s="255">
        <f t="shared" si="43"/>
        <v>7.0000000000000001E-3</v>
      </c>
      <c r="X206" s="256">
        <f t="shared" si="44"/>
        <v>0.68</v>
      </c>
      <c r="Y206" s="534" t="str" cm="1">
        <f t="array" ref="Y206">_xlfn.IFS(O206&lt;44361, "Before the burn", O206&lt;44403, "During the burn", O206&gt;44403, "After the burn")</f>
        <v>After the burn</v>
      </c>
    </row>
    <row r="207" spans="1:25" ht="16.350000000000001" thickBot="1" x14ac:dyDescent="0.35">
      <c r="A207" s="194" t="str">
        <f>UPPER(LEFT(RL!B25,2))&amp;RIGHT(RL!B25,LEN(RL!B25)-2)</f>
        <v>RW</v>
      </c>
      <c r="B207" s="195" t="str" cm="1">
        <f t="array" ref="B207">_xlfn.IFS(A207="EP", "EP", A207="STa", "SPI", A207="STb", "SPO", A207="MRT", "MRT", A207="RG", "RN", A207="RT", "RU", A207="RW", "RL", A207="RC", "RS")</f>
        <v>RL</v>
      </c>
      <c r="C207" s="196">
        <f>INT(RL!A25)</f>
        <v>44370</v>
      </c>
      <c r="D207" s="196" t="str">
        <f t="shared" si="34"/>
        <v>RL44370</v>
      </c>
      <c r="E207" s="197">
        <f>RL!D25</f>
        <v>6.94</v>
      </c>
      <c r="F207" s="197">
        <f>RL!E25</f>
        <v>26</v>
      </c>
      <c r="G207" s="197">
        <f>RL!F25</f>
        <v>2.04</v>
      </c>
      <c r="H207" s="197">
        <f>RL!H25</f>
        <v>0.01</v>
      </c>
      <c r="I207" s="197">
        <f>RL!G25</f>
        <v>2.16</v>
      </c>
      <c r="J207" s="197">
        <f>RL!I25</f>
        <v>0.05</v>
      </c>
      <c r="K207" s="197">
        <f>RL!J25</f>
        <v>6.0000000000000001E-3</v>
      </c>
      <c r="L207" s="198">
        <f>RL!K25</f>
        <v>0.42</v>
      </c>
      <c r="N207" s="272" t="str">
        <f t="shared" si="35"/>
        <v>RS</v>
      </c>
      <c r="O207" s="273">
        <f t="shared" si="36"/>
        <v>44433</v>
      </c>
      <c r="P207" s="274" t="str">
        <f t="array" ref="P207">INDEX($D$2:$D$278,MATCH(0,COUNTIF($P$1:$P206,$D$2:$D$278),0))</f>
        <v>RS44433</v>
      </c>
      <c r="Q207" s="275">
        <f t="shared" si="37"/>
        <v>7.0049999999999999</v>
      </c>
      <c r="R207" s="275">
        <f t="shared" si="38"/>
        <v>24.45</v>
      </c>
      <c r="S207" s="275">
        <f t="shared" si="39"/>
        <v>0.08</v>
      </c>
      <c r="T207" s="275">
        <f t="shared" si="40"/>
        <v>1.03</v>
      </c>
      <c r="U207" s="275">
        <f t="shared" si="41"/>
        <v>0.89</v>
      </c>
      <c r="V207" s="275">
        <f t="shared" si="42"/>
        <v>0.37</v>
      </c>
      <c r="W207" s="275">
        <f t="shared" si="43"/>
        <v>8.5000000000000006E-3</v>
      </c>
      <c r="X207" s="276">
        <f t="shared" si="44"/>
        <v>0.60499999999999998</v>
      </c>
      <c r="Y207" s="536" t="str" cm="1">
        <f t="array" ref="Y207">_xlfn.IFS(O207&lt;44361, "Before the burn", O207&lt;44403, "During the burn", O207&gt;44403, "After the burn")</f>
        <v>After the burn</v>
      </c>
    </row>
    <row r="208" spans="1:25" ht="16.350000000000001" thickTop="1" x14ac:dyDescent="0.3">
      <c r="A208" s="194" t="str">
        <f>UPPER(LEFT(RL!B26,2))&amp;RIGHT(RL!B26,LEN(RL!B26)-2)</f>
        <v>RW</v>
      </c>
      <c r="B208" s="195" t="str" cm="1">
        <f t="array" ref="B208">_xlfn.IFS(A208="EP", "EP", A208="STa", "SPI", A208="STb", "SPO", A208="MRT", "MRT", A208="RG", "RN", A208="RT", "RU", A208="RW", "RL", A208="RC", "RS")</f>
        <v>RL</v>
      </c>
      <c r="C208" s="196">
        <f>INT(RL!A26)</f>
        <v>44384</v>
      </c>
      <c r="D208" s="196" t="str">
        <f t="shared" si="34"/>
        <v>RL44384</v>
      </c>
      <c r="E208" s="197">
        <f>RL!D26</f>
        <v>6.98</v>
      </c>
      <c r="F208" s="197">
        <f>RL!E26</f>
        <v>26.7</v>
      </c>
      <c r="G208" s="197">
        <f>RL!F26</f>
        <v>2.09</v>
      </c>
      <c r="H208" s="197">
        <f>RL!H26</f>
        <v>0.03</v>
      </c>
      <c r="I208" s="197">
        <f>RL!G26</f>
        <v>2.27</v>
      </c>
      <c r="J208" s="197">
        <f>RL!I26</f>
        <v>0.02</v>
      </c>
      <c r="K208" s="197">
        <f>RL!J26</f>
        <v>5.0000000000000001E-3</v>
      </c>
      <c r="L208" s="198">
        <f>RL!K26</f>
        <v>0.46</v>
      </c>
    </row>
    <row r="209" spans="1:12" x14ac:dyDescent="0.3">
      <c r="A209" s="194" t="str">
        <f>UPPER(LEFT(RL!B27,2))&amp;RIGHT(RL!B27,LEN(RL!B27)-2)</f>
        <v>RW</v>
      </c>
      <c r="B209" s="195" t="str" cm="1">
        <f t="array" ref="B209">_xlfn.IFS(A209="EP", "EP", A209="STa", "SPI", A209="STb", "SPO", A209="MRT", "MRT", A209="RG", "RN", A209="RT", "RU", A209="RW", "RL", A209="RC", "RS")</f>
        <v>RL</v>
      </c>
      <c r="C209" s="196">
        <f>INT(RL!A27)</f>
        <v>44385</v>
      </c>
      <c r="D209" s="196" t="str">
        <f t="shared" si="34"/>
        <v>RL44385</v>
      </c>
      <c r="E209" s="197">
        <f>RL!D27</f>
        <v>6.88</v>
      </c>
      <c r="F209" s="197">
        <f>RL!E27</f>
        <v>26.1</v>
      </c>
      <c r="G209" s="197">
        <f>RL!F27</f>
        <v>2.0699999999999998</v>
      </c>
      <c r="H209" s="197">
        <f>RL!H27</f>
        <v>0.01</v>
      </c>
      <c r="I209" s="197">
        <f>RL!G27</f>
        <v>2.77</v>
      </c>
      <c r="J209" s="197">
        <f>RL!I27</f>
        <v>0.02</v>
      </c>
      <c r="K209" s="197">
        <f>RL!J27</f>
        <v>7.0000000000000001E-3</v>
      </c>
      <c r="L209" s="198">
        <f>RL!K27</f>
        <v>0.46</v>
      </c>
    </row>
    <row r="210" spans="1:12" x14ac:dyDescent="0.3">
      <c r="A210" s="194" t="str">
        <f>UPPER(LEFT(RL!B28,2))&amp;RIGHT(RL!B28,LEN(RL!B28)-2)</f>
        <v>RW</v>
      </c>
      <c r="B210" s="195" t="str" cm="1">
        <f t="array" ref="B210">_xlfn.IFS(A210="EP", "EP", A210="STa", "SPI", A210="STb", "SPO", A210="MRT", "MRT", A210="RG", "RN", A210="RT", "RU", A210="RW", "RL", A210="RC", "RS")</f>
        <v>RL</v>
      </c>
      <c r="C210" s="196">
        <f>INT(RL!A28)</f>
        <v>44385</v>
      </c>
      <c r="D210" s="196" t="str">
        <f t="shared" si="34"/>
        <v>RL44385</v>
      </c>
      <c r="E210" s="197">
        <f>RL!D28</f>
        <v>6.95</v>
      </c>
      <c r="F210" s="197">
        <f>RL!E28</f>
        <v>27.1</v>
      </c>
      <c r="G210" s="197">
        <f>RL!F28</f>
        <v>1.9</v>
      </c>
      <c r="H210" s="197">
        <f>RL!H28</f>
        <v>0</v>
      </c>
      <c r="I210" s="197">
        <f>RL!G28</f>
        <v>2.13</v>
      </c>
      <c r="J210" s="197">
        <f>RL!I28</f>
        <v>0.06</v>
      </c>
      <c r="K210" s="197">
        <f>RL!J28</f>
        <v>5.0000000000000001E-3</v>
      </c>
      <c r="L210" s="198">
        <f>RL!K28</f>
        <v>0.49</v>
      </c>
    </row>
    <row r="211" spans="1:12" x14ac:dyDescent="0.3">
      <c r="A211" s="194" t="str">
        <f>UPPER(LEFT(RL!B29,2))&amp;RIGHT(RL!B29,LEN(RL!B29)-2)</f>
        <v>RW</v>
      </c>
      <c r="B211" s="195" t="str" cm="1">
        <f t="array" ref="B211">_xlfn.IFS(A211="EP", "EP", A211="STa", "SPI", A211="STb", "SPO", A211="MRT", "MRT", A211="RG", "RN", A211="RT", "RU", A211="RW", "RL", A211="RC", "RS")</f>
        <v>RL</v>
      </c>
      <c r="C211" s="196">
        <f>INT(RL!A29)</f>
        <v>44390</v>
      </c>
      <c r="D211" s="196" t="str">
        <f t="shared" si="34"/>
        <v>RL44390</v>
      </c>
      <c r="E211" s="197">
        <f>RL!D29</f>
        <v>6.81</v>
      </c>
      <c r="F211" s="197">
        <f>RL!E29</f>
        <v>25.3</v>
      </c>
      <c r="G211" s="197">
        <f>RL!F29</f>
        <v>1.49</v>
      </c>
      <c r="H211" s="197">
        <f>RL!H29</f>
        <v>0.04</v>
      </c>
      <c r="I211" s="197">
        <f>RL!G29</f>
        <v>2.38</v>
      </c>
      <c r="J211" s="197">
        <f>RL!I29</f>
        <v>0.01</v>
      </c>
      <c r="K211" s="197">
        <f>RL!J29</f>
        <v>6.0000000000000001E-3</v>
      </c>
      <c r="L211" s="198">
        <f>RL!K29</f>
        <v>0.45</v>
      </c>
    </row>
    <row r="212" spans="1:12" x14ac:dyDescent="0.3">
      <c r="A212" s="194" t="str">
        <f>UPPER(LEFT(RL!B30,2))&amp;RIGHT(RL!B30,LEN(RL!B30)-2)</f>
        <v>RW</v>
      </c>
      <c r="B212" s="195" t="str" cm="1">
        <f t="array" ref="B212">_xlfn.IFS(A212="EP", "EP", A212="STa", "SPI", A212="STb", "SPO", A212="MRT", "MRT", A212="RG", "RN", A212="RT", "RU", A212="RW", "RL", A212="RC", "RS")</f>
        <v>RL</v>
      </c>
      <c r="C212" s="196">
        <f>INT(RL!A30)</f>
        <v>44391</v>
      </c>
      <c r="D212" s="196" t="str">
        <f t="shared" si="34"/>
        <v>RL44391</v>
      </c>
      <c r="E212" s="197">
        <f>RL!D30</f>
        <v>6.9</v>
      </c>
      <c r="F212" s="197">
        <f>RL!E30</f>
        <v>26.3</v>
      </c>
      <c r="G212" s="197">
        <f>RL!F30</f>
        <v>2.4900000000000002</v>
      </c>
      <c r="H212" s="197">
        <f>RL!H30</f>
        <v>0.01</v>
      </c>
      <c r="I212" s="197">
        <f>RL!G30</f>
        <v>2.63</v>
      </c>
      <c r="J212" s="197">
        <f>RL!I30</f>
        <v>0.02</v>
      </c>
      <c r="K212" s="197">
        <f>RL!J30</f>
        <v>6.0000000000000001E-3</v>
      </c>
      <c r="L212" s="198">
        <f>RL!K30</f>
        <v>0.48</v>
      </c>
    </row>
    <row r="213" spans="1:12" x14ac:dyDescent="0.3">
      <c r="A213" s="194" t="str">
        <f>UPPER(LEFT(RL!B31,2))&amp;RIGHT(RL!B31,LEN(RL!B31)-2)</f>
        <v>RW</v>
      </c>
      <c r="B213" s="195" t="str" cm="1">
        <f t="array" ref="B213">_xlfn.IFS(A213="EP", "EP", A213="STa", "SPI", A213="STb", "SPO", A213="MRT", "MRT", A213="RG", "RN", A213="RT", "RU", A213="RW", "RL", A213="RC", "RS")</f>
        <v>RL</v>
      </c>
      <c r="C213" s="196">
        <f>INT(RL!A31)</f>
        <v>44391</v>
      </c>
      <c r="D213" s="196" t="str">
        <f t="shared" si="34"/>
        <v>RL44391</v>
      </c>
      <c r="E213" s="197">
        <f>RL!D31</f>
        <v>6.86</v>
      </c>
      <c r="F213" s="197">
        <f>RL!E31</f>
        <v>26.8</v>
      </c>
      <c r="G213" s="197">
        <f>RL!F31</f>
        <v>2.46</v>
      </c>
      <c r="H213" s="197">
        <f>RL!H31</f>
        <v>0.03</v>
      </c>
      <c r="I213" s="197">
        <f>RL!G31</f>
        <v>2.76</v>
      </c>
      <c r="J213" s="197">
        <f>RL!I31</f>
        <v>0.01</v>
      </c>
      <c r="K213" s="197">
        <f>RL!J31</f>
        <v>5.0000000000000001E-3</v>
      </c>
      <c r="L213" s="198">
        <f>RL!K31</f>
        <v>0.43</v>
      </c>
    </row>
    <row r="214" spans="1:12" x14ac:dyDescent="0.3">
      <c r="A214" s="194" t="str">
        <f>UPPER(LEFT(RL!B32,2))&amp;RIGHT(RL!B32,LEN(RL!B32)-2)</f>
        <v>RW</v>
      </c>
      <c r="B214" s="195" t="str" cm="1">
        <f t="array" ref="B214">_xlfn.IFS(A214="EP", "EP", A214="STa", "SPI", A214="STb", "SPO", A214="MRT", "MRT", A214="RG", "RN", A214="RT", "RU", A214="RW", "RL", A214="RC", "RS")</f>
        <v>RL</v>
      </c>
      <c r="C214" s="196">
        <f>INT(RL!A32)</f>
        <v>44397</v>
      </c>
      <c r="D214" s="196" t="str">
        <f t="shared" si="34"/>
        <v>RL44397</v>
      </c>
      <c r="E214" s="197">
        <f>RL!D32</f>
        <v>6.85</v>
      </c>
      <c r="F214" s="197">
        <f>RL!E32</f>
        <v>25.4</v>
      </c>
      <c r="G214" s="197">
        <f>RL!F32</f>
        <v>2.14</v>
      </c>
      <c r="H214" s="197">
        <f>RL!H32</f>
        <v>0.04</v>
      </c>
      <c r="I214" s="197">
        <f>RL!G32</f>
        <v>2.14</v>
      </c>
      <c r="J214" s="197">
        <f>RL!I32</f>
        <v>0.09</v>
      </c>
      <c r="K214" s="197">
        <f>RL!J32</f>
        <v>6.0000000000000001E-3</v>
      </c>
      <c r="L214" s="198">
        <f>RL!K32</f>
        <v>0.54</v>
      </c>
    </row>
    <row r="215" spans="1:12" x14ac:dyDescent="0.3">
      <c r="A215" s="194" t="str">
        <f>UPPER(LEFT(RL!B33,2))&amp;RIGHT(RL!B33,LEN(RL!B33)-2)</f>
        <v>RW</v>
      </c>
      <c r="B215" s="195" t="str" cm="1">
        <f t="array" ref="B215">_xlfn.IFS(A215="EP", "EP", A215="STa", "SPI", A215="STb", "SPO", A215="MRT", "MRT", A215="RG", "RN", A215="RT", "RU", A215="RW", "RL", A215="RC", "RS")</f>
        <v>RL</v>
      </c>
      <c r="C215" s="196">
        <f>INT(RL!A33)</f>
        <v>44398</v>
      </c>
      <c r="D215" s="196" t="str">
        <f t="shared" si="34"/>
        <v>RL44398</v>
      </c>
      <c r="E215" s="197">
        <f>RL!D33</f>
        <v>6.81</v>
      </c>
      <c r="F215" s="197">
        <f>RL!E33</f>
        <v>26.7</v>
      </c>
      <c r="G215" s="197">
        <f>RL!F33</f>
        <v>1.55</v>
      </c>
      <c r="H215" s="197">
        <f>RL!H33</f>
        <v>0</v>
      </c>
      <c r="I215" s="197">
        <f>RL!G33</f>
        <v>2.27</v>
      </c>
      <c r="J215" s="197">
        <f>RL!I33</f>
        <v>0.02</v>
      </c>
      <c r="K215" s="197">
        <f>RL!J33</f>
        <v>5.0000000000000001E-3</v>
      </c>
      <c r="L215" s="198">
        <f>RL!K33</f>
        <v>0.46</v>
      </c>
    </row>
    <row r="216" spans="1:12" x14ac:dyDescent="0.3">
      <c r="A216" s="194" t="str">
        <f>UPPER(LEFT(RL!B34,2))&amp;RIGHT(RL!B34,LEN(RL!B34)-2)</f>
        <v>RW</v>
      </c>
      <c r="B216" s="195" t="str" cm="1">
        <f t="array" ref="B216">_xlfn.IFS(A216="EP", "EP", A216="STa", "SPI", A216="STb", "SPO", A216="MRT", "MRT", A216="RG", "RN", A216="RT", "RU", A216="RW", "RL", A216="RC", "RS")</f>
        <v>RL</v>
      </c>
      <c r="C216" s="196">
        <f>INT(RL!A34)</f>
        <v>44398</v>
      </c>
      <c r="D216" s="196" t="str">
        <f t="shared" si="34"/>
        <v>RL44398</v>
      </c>
      <c r="E216" s="197">
        <f>RL!D34</f>
        <v>6.82</v>
      </c>
      <c r="F216" s="197">
        <f>RL!E34</f>
        <v>27</v>
      </c>
      <c r="G216" s="197">
        <f>RL!F34</f>
        <v>2.15</v>
      </c>
      <c r="H216" s="197">
        <f>RL!H34</f>
        <v>0.02</v>
      </c>
      <c r="I216" s="197">
        <f>RL!G34</f>
        <v>2.2400000000000002</v>
      </c>
      <c r="J216" s="197">
        <f>RL!I34</f>
        <v>0.02</v>
      </c>
      <c r="K216" s="197">
        <f>RL!J34</f>
        <v>6.0000000000000001E-3</v>
      </c>
      <c r="L216" s="198">
        <f>RL!K34</f>
        <v>0.52</v>
      </c>
    </row>
    <row r="217" spans="1:12" x14ac:dyDescent="0.3">
      <c r="A217" s="194" t="str">
        <f>UPPER(LEFT(RL!B35,2))&amp;RIGHT(RL!B35,LEN(RL!B35)-2)</f>
        <v>RW</v>
      </c>
      <c r="B217" s="195" t="str" cm="1">
        <f t="array" ref="B217">_xlfn.IFS(A217="EP", "EP", A217="STa", "SPI", A217="STb", "SPO", A217="MRT", "MRT", A217="RG", "RN", A217="RT", "RU", A217="RW", "RL", A217="RC", "RS")</f>
        <v>RL</v>
      </c>
      <c r="C217" s="196">
        <f>INT(RL!A35)</f>
        <v>44404</v>
      </c>
      <c r="D217" s="196" t="str">
        <f t="shared" si="34"/>
        <v>RL44404</v>
      </c>
      <c r="E217" s="197">
        <f>RL!D35</f>
        <v>6.72</v>
      </c>
      <c r="F217" s="197">
        <f>RL!E35</f>
        <v>28.3</v>
      </c>
      <c r="G217" s="197">
        <f>RL!F35</f>
        <v>0.09</v>
      </c>
      <c r="H217" s="197">
        <f>RL!H35</f>
        <v>0.74</v>
      </c>
      <c r="I217" s="197">
        <f>RL!G35</f>
        <v>0.93</v>
      </c>
      <c r="J217" s="197">
        <f>RL!I35</f>
        <v>0.04</v>
      </c>
      <c r="K217" s="197">
        <f>RL!J35</f>
        <v>6.0000000000000001E-3</v>
      </c>
      <c r="L217" s="198">
        <f>RL!K35</f>
        <v>0.49</v>
      </c>
    </row>
    <row r="218" spans="1:12" x14ac:dyDescent="0.3">
      <c r="A218" s="194" t="str">
        <f>UPPER(LEFT(RL!B36,2))&amp;RIGHT(RL!B36,LEN(RL!B36)-2)</f>
        <v>RW</v>
      </c>
      <c r="B218" s="195" t="str" cm="1">
        <f t="array" ref="B218">_xlfn.IFS(A218="EP", "EP", A218="STa", "SPI", A218="STb", "SPO", A218="MRT", "MRT", A218="RG", "RN", A218="RT", "RU", A218="RW", "RL", A218="RC", "RS")</f>
        <v>RL</v>
      </c>
      <c r="C218" s="196">
        <f>INT(RL!A36)</f>
        <v>44405</v>
      </c>
      <c r="D218" s="196" t="str">
        <f t="shared" si="34"/>
        <v>RL44405</v>
      </c>
      <c r="E218" s="197">
        <f>RL!D36</f>
        <v>6.57</v>
      </c>
      <c r="F218" s="197">
        <f>RL!E36</f>
        <v>27.4</v>
      </c>
      <c r="G218" s="197">
        <f>RL!F36</f>
        <v>0.11</v>
      </c>
      <c r="H218" s="197">
        <f>RL!H36</f>
        <v>1.99</v>
      </c>
      <c r="I218" s="197">
        <f>RL!G36</f>
        <v>2.23</v>
      </c>
      <c r="J218" s="197">
        <f>RL!I36</f>
        <v>0.11</v>
      </c>
      <c r="K218" s="197">
        <f>RL!J36</f>
        <v>7.0000000000000001E-3</v>
      </c>
      <c r="L218" s="198">
        <f>RL!K36</f>
        <v>0.47</v>
      </c>
    </row>
    <row r="219" spans="1:12" x14ac:dyDescent="0.3">
      <c r="A219" s="194" t="str">
        <f>UPPER(LEFT(RL!B37,2))&amp;RIGHT(RL!B37,LEN(RL!B37)-2)</f>
        <v>RW</v>
      </c>
      <c r="B219" s="195" t="str" cm="1">
        <f t="array" ref="B219">_xlfn.IFS(A219="EP", "EP", A219="STa", "SPI", A219="STb", "SPO", A219="MRT", "MRT", A219="RG", "RN", A219="RT", "RU", A219="RW", "RL", A219="RC", "RS")</f>
        <v>RL</v>
      </c>
      <c r="C219" s="196">
        <f>INT(RL!A37)</f>
        <v>44405</v>
      </c>
      <c r="D219" s="196" t="str">
        <f t="shared" si="34"/>
        <v>RL44405</v>
      </c>
      <c r="E219" s="197">
        <f>RL!D37</f>
        <v>6.36</v>
      </c>
      <c r="F219" s="197">
        <f>RL!E37</f>
        <v>27.8</v>
      </c>
      <c r="G219" s="197">
        <f>RL!F37</f>
        <v>0.08</v>
      </c>
      <c r="H219" s="197">
        <f>RL!H37</f>
        <v>1.98</v>
      </c>
      <c r="I219" s="197">
        <f>RL!G37</f>
        <v>2.04</v>
      </c>
      <c r="J219" s="197">
        <f>RL!I37</f>
        <v>0.19</v>
      </c>
      <c r="K219" s="197">
        <f>RL!J37</f>
        <v>7.0000000000000001E-3</v>
      </c>
      <c r="L219" s="198">
        <f>RL!K37</f>
        <v>0.43</v>
      </c>
    </row>
    <row r="220" spans="1:12" x14ac:dyDescent="0.3">
      <c r="A220" s="194" t="str">
        <f>UPPER(LEFT(RL!B38,2))&amp;RIGHT(RL!B38,LEN(RL!B38)-2)</f>
        <v>RW</v>
      </c>
      <c r="B220" s="195" t="str" cm="1">
        <f t="array" ref="B220">_xlfn.IFS(A220="EP", "EP", A220="STa", "SPI", A220="STb", "SPO", A220="MRT", "MRT", A220="RG", "RN", A220="RT", "RU", A220="RW", "RL", A220="RC", "RS")</f>
        <v>RL</v>
      </c>
      <c r="C220" s="196">
        <f>INT(RL!A38)</f>
        <v>44411</v>
      </c>
      <c r="D220" s="196" t="str">
        <f t="shared" si="34"/>
        <v>RL44411</v>
      </c>
      <c r="E220" s="197">
        <f>RL!D38</f>
        <v>6.37</v>
      </c>
      <c r="F220" s="197">
        <f>RL!E38</f>
        <v>27.3</v>
      </c>
      <c r="G220" s="197">
        <f>RL!F38</f>
        <v>0.14000000000000001</v>
      </c>
      <c r="H220" s="197">
        <f>RL!H38</f>
        <v>1.97</v>
      </c>
      <c r="I220" s="197">
        <f>RL!G38</f>
        <v>2.06</v>
      </c>
      <c r="J220" s="197">
        <f>RL!I38</f>
        <v>0.24</v>
      </c>
      <c r="K220" s="197">
        <f>RL!J38</f>
        <v>6.0000000000000001E-3</v>
      </c>
      <c r="L220" s="198">
        <f>RL!K38</f>
        <v>0.44</v>
      </c>
    </row>
    <row r="221" spans="1:12" x14ac:dyDescent="0.3">
      <c r="A221" s="194" t="str">
        <f>UPPER(LEFT(RL!B39,2))&amp;RIGHT(RL!B39,LEN(RL!B39)-2)</f>
        <v>RW</v>
      </c>
      <c r="B221" s="195" t="str" cm="1">
        <f t="array" ref="B221">_xlfn.IFS(A221="EP", "EP", A221="STa", "SPI", A221="STb", "SPO", A221="MRT", "MRT", A221="RG", "RN", A221="RT", "RU", A221="RW", "RL", A221="RC", "RS")</f>
        <v>RL</v>
      </c>
      <c r="C221" s="196">
        <f>INT(RL!A39)</f>
        <v>44412</v>
      </c>
      <c r="D221" s="196" t="str">
        <f t="shared" si="34"/>
        <v>RL44412</v>
      </c>
      <c r="E221" s="197">
        <f>RL!D39</f>
        <v>6.88</v>
      </c>
      <c r="F221" s="197">
        <f>RL!E39</f>
        <v>26.4</v>
      </c>
      <c r="G221" s="197">
        <f>RL!F39</f>
        <v>0.1</v>
      </c>
      <c r="H221" s="197">
        <f>RL!H39</f>
        <v>2.0299999999999998</v>
      </c>
      <c r="I221" s="197">
        <f>RL!G39</f>
        <v>2.31</v>
      </c>
      <c r="J221" s="197">
        <f>RL!I39</f>
        <v>0.23</v>
      </c>
      <c r="K221" s="197">
        <f>RL!J39</f>
        <v>6.0000000000000001E-3</v>
      </c>
      <c r="L221" s="198">
        <f>RL!K39</f>
        <v>0.48</v>
      </c>
    </row>
    <row r="222" spans="1:12" x14ac:dyDescent="0.3">
      <c r="A222" s="194" t="str">
        <f>UPPER(LEFT(RL!B40,2))&amp;RIGHT(RL!B40,LEN(RL!B40)-2)</f>
        <v>RW</v>
      </c>
      <c r="B222" s="195" t="str" cm="1">
        <f t="array" ref="B222">_xlfn.IFS(A222="EP", "EP", A222="STa", "SPI", A222="STb", "SPO", A222="MRT", "MRT", A222="RG", "RN", A222="RT", "RU", A222="RW", "RL", A222="RC", "RS")</f>
        <v>RL</v>
      </c>
      <c r="C222" s="196">
        <f>INT(RL!A40)</f>
        <v>44412</v>
      </c>
      <c r="D222" s="196" t="str">
        <f t="shared" si="34"/>
        <v>RL44412</v>
      </c>
      <c r="E222" s="197">
        <f>RL!D40</f>
        <v>6.93</v>
      </c>
      <c r="F222" s="197">
        <f>RL!E40</f>
        <v>28</v>
      </c>
      <c r="G222" s="197">
        <f>RL!F40</f>
        <v>0.04</v>
      </c>
      <c r="H222" s="197">
        <f>RL!H40</f>
        <v>2.0099999999999998</v>
      </c>
      <c r="I222" s="197">
        <f>RL!G40</f>
        <v>2.29</v>
      </c>
      <c r="J222" s="197">
        <f>RL!I40</f>
        <v>0.1</v>
      </c>
      <c r="K222" s="197">
        <f>RL!J40</f>
        <v>8.0000000000000002E-3</v>
      </c>
      <c r="L222" s="198">
        <f>RL!K40</f>
        <v>0.46</v>
      </c>
    </row>
    <row r="223" spans="1:12" x14ac:dyDescent="0.3">
      <c r="A223" s="194" t="str">
        <f>UPPER(LEFT(RL!B41,2))&amp;RIGHT(RL!B41,LEN(RL!B41)-2)</f>
        <v>RW</v>
      </c>
      <c r="B223" s="195" t="str" cm="1">
        <f t="array" ref="B223">_xlfn.IFS(A223="EP", "EP", A223="STa", "SPI", A223="STb", "SPO", A223="MRT", "MRT", A223="RG", "RN", A223="RT", "RU", A223="RW", "RL", A223="RC", "RS")</f>
        <v>RL</v>
      </c>
      <c r="C223" s="196">
        <f>INT(RL!A41)</f>
        <v>44418</v>
      </c>
      <c r="D223" s="196" t="str">
        <f t="shared" si="34"/>
        <v>RL44418</v>
      </c>
      <c r="E223" s="197">
        <f>RL!D41</f>
        <v>6.37</v>
      </c>
      <c r="F223" s="197">
        <f>RL!E41</f>
        <v>27.9</v>
      </c>
      <c r="G223" s="197">
        <f>RL!F41</f>
        <v>0.12</v>
      </c>
      <c r="H223" s="197">
        <f>RL!H41</f>
        <v>1.89</v>
      </c>
      <c r="I223" s="197">
        <f>RL!G41</f>
        <v>2.21</v>
      </c>
      <c r="J223" s="197">
        <f>RL!I41</f>
        <v>0.1</v>
      </c>
      <c r="K223" s="197">
        <f>RL!J41</f>
        <v>6.0000000000000001E-3</v>
      </c>
      <c r="L223" s="198">
        <f>RL!K41</f>
        <v>0.48</v>
      </c>
    </row>
    <row r="224" spans="1:12" x14ac:dyDescent="0.3">
      <c r="A224" s="194" t="str">
        <f>UPPER(LEFT(RL!B42,2))&amp;RIGHT(RL!B42,LEN(RL!B42)-2)</f>
        <v>RW</v>
      </c>
      <c r="B224" s="195" t="str" cm="1">
        <f t="array" ref="B224">_xlfn.IFS(A224="EP", "EP", A224="STa", "SPI", A224="STb", "SPO", A224="MRT", "MRT", A224="RG", "RN", A224="RT", "RU", A224="RW", "RL", A224="RC", "RS")</f>
        <v>RL</v>
      </c>
      <c r="C224" s="196">
        <f>INT(RL!A42)</f>
        <v>44419</v>
      </c>
      <c r="D224" s="196" t="str">
        <f t="shared" si="34"/>
        <v>RL44419</v>
      </c>
      <c r="E224" s="197">
        <f>RL!D42</f>
        <v>6.42</v>
      </c>
      <c r="F224" s="197">
        <f>RL!E42</f>
        <v>28.8</v>
      </c>
      <c r="G224" s="197">
        <f>RL!F42</f>
        <v>0.15</v>
      </c>
      <c r="H224" s="197">
        <f>RL!H42</f>
        <v>1.86</v>
      </c>
      <c r="I224" s="197">
        <f>RL!G42</f>
        <v>2.0499999999999998</v>
      </c>
      <c r="J224" s="197">
        <f>RL!I42</f>
        <v>0.16</v>
      </c>
      <c r="K224" s="197">
        <f>RL!J42</f>
        <v>7.0000000000000001E-3</v>
      </c>
      <c r="L224" s="198">
        <f>RL!K42</f>
        <v>0.54</v>
      </c>
    </row>
    <row r="225" spans="1:12" x14ac:dyDescent="0.3">
      <c r="A225" s="194" t="str">
        <f>UPPER(LEFT(RL!B43,2))&amp;RIGHT(RL!B43,LEN(RL!B43)-2)</f>
        <v>RW</v>
      </c>
      <c r="B225" s="195" t="str" cm="1">
        <f t="array" ref="B225">_xlfn.IFS(A225="EP", "EP", A225="STa", "SPI", A225="STb", "SPO", A225="MRT", "MRT", A225="RG", "RN", A225="RT", "RU", A225="RW", "RL", A225="RC", "RS")</f>
        <v>RL</v>
      </c>
      <c r="C225" s="196">
        <f>INT(RL!A43)</f>
        <v>44419</v>
      </c>
      <c r="D225" s="196" t="str">
        <f t="shared" si="34"/>
        <v>RL44419</v>
      </c>
      <c r="E225" s="197">
        <f>RL!D43</f>
        <v>6.39</v>
      </c>
      <c r="F225" s="197">
        <f>RL!E43</f>
        <v>27.1</v>
      </c>
      <c r="G225" s="197">
        <f>RL!F43</f>
        <v>0.1</v>
      </c>
      <c r="H225" s="197">
        <f>RL!H43</f>
        <v>1.85</v>
      </c>
      <c r="I225" s="197">
        <f>RL!G43</f>
        <v>2.02</v>
      </c>
      <c r="J225" s="197">
        <f>RL!I43</f>
        <v>0.14000000000000001</v>
      </c>
      <c r="K225" s="197">
        <f>RL!J43</f>
        <v>8.0000000000000002E-3</v>
      </c>
      <c r="L225" s="198">
        <f>RL!K43</f>
        <v>0.46</v>
      </c>
    </row>
    <row r="226" spans="1:12" x14ac:dyDescent="0.3">
      <c r="A226" s="194" t="str">
        <f>UPPER(LEFT(RL!B44,2))&amp;RIGHT(RL!B44,LEN(RL!B44)-2)</f>
        <v>RW</v>
      </c>
      <c r="B226" s="195" t="str" cm="1">
        <f t="array" ref="B226">_xlfn.IFS(A226="EP", "EP", A226="STa", "SPI", A226="STb", "SPO", A226="MRT", "MRT", A226="RG", "RN", A226="RT", "RU", A226="RW", "RL", A226="RC", "RS")</f>
        <v>RL</v>
      </c>
      <c r="C226" s="196">
        <f>INT(RL!A44)</f>
        <v>44425</v>
      </c>
      <c r="D226" s="196" t="str">
        <f t="shared" si="34"/>
        <v>RL44425</v>
      </c>
      <c r="E226" s="197">
        <f>RL!D44</f>
        <v>6.48</v>
      </c>
      <c r="F226" s="197">
        <f>RL!E44</f>
        <v>26.7</v>
      </c>
      <c r="G226" s="197">
        <f>RL!F44</f>
        <v>0.17</v>
      </c>
      <c r="H226" s="197">
        <f>RL!H44</f>
        <v>1.67</v>
      </c>
      <c r="I226" s="197">
        <f>RL!G44</f>
        <v>2.0299999999999998</v>
      </c>
      <c r="J226" s="197">
        <f>RL!I44</f>
        <v>0.16</v>
      </c>
      <c r="K226" s="197">
        <f>RL!J44</f>
        <v>1E-3</v>
      </c>
      <c r="L226" s="198">
        <f>RL!K44</f>
        <v>0.43</v>
      </c>
    </row>
    <row r="227" spans="1:12" x14ac:dyDescent="0.3">
      <c r="A227" s="194" t="str">
        <f>UPPER(LEFT(RL!B45,2))&amp;RIGHT(RL!B45,LEN(RL!B45)-2)</f>
        <v>RW</v>
      </c>
      <c r="B227" s="195" t="str" cm="1">
        <f t="array" ref="B227">_xlfn.IFS(A227="EP", "EP", A227="STa", "SPI", A227="STb", "SPO", A227="MRT", "MRT", A227="RG", "RN", A227="RT", "RU", A227="RW", "RL", A227="RC", "RS")</f>
        <v>RL</v>
      </c>
      <c r="C227" s="196">
        <f>INT(RL!A45)</f>
        <v>44426</v>
      </c>
      <c r="D227" s="196" t="str">
        <f t="shared" si="34"/>
        <v>RL44426</v>
      </c>
      <c r="E227" s="197">
        <f>RL!D45</f>
        <v>6.92</v>
      </c>
      <c r="F227" s="197">
        <f>RL!E45</f>
        <v>27.4</v>
      </c>
      <c r="G227" s="197">
        <f>RL!F45</f>
        <v>7.0000000000000007E-2</v>
      </c>
      <c r="H227" s="197">
        <f>RL!H45</f>
        <v>1.9</v>
      </c>
      <c r="I227" s="197">
        <f>RL!G45</f>
        <v>2.2400000000000002</v>
      </c>
      <c r="J227" s="197">
        <f>RL!I45</f>
        <v>0.12</v>
      </c>
      <c r="K227" s="197">
        <f>RL!J45</f>
        <v>2E-3</v>
      </c>
      <c r="L227" s="198">
        <f>RL!K45</f>
        <v>0.44</v>
      </c>
    </row>
    <row r="228" spans="1:12" x14ac:dyDescent="0.3">
      <c r="A228" s="194" t="str">
        <f>UPPER(LEFT(RL!B46,2))&amp;RIGHT(RL!B46,LEN(RL!B46)-2)</f>
        <v>RW</v>
      </c>
      <c r="B228" s="195" t="str" cm="1">
        <f t="array" ref="B228">_xlfn.IFS(A228="EP", "EP", A228="STa", "SPI", A228="STb", "SPO", A228="MRT", "MRT", A228="RG", "RN", A228="RT", "RU", A228="RW", "RL", A228="RC", "RS")</f>
        <v>RL</v>
      </c>
      <c r="C228" s="196">
        <f>INT(RL!A46)</f>
        <v>44426</v>
      </c>
      <c r="D228" s="196" t="str">
        <f t="shared" si="34"/>
        <v>RL44426</v>
      </c>
      <c r="E228" s="197">
        <f>RL!D46</f>
        <v>6.85</v>
      </c>
      <c r="F228" s="197">
        <f>RL!E46</f>
        <v>27.3</v>
      </c>
      <c r="G228" s="197">
        <f>RL!F46</f>
        <v>0.06</v>
      </c>
      <c r="H228" s="197">
        <f>RL!H46</f>
        <v>1.84</v>
      </c>
      <c r="I228" s="197">
        <f>RL!G46</f>
        <v>2.16</v>
      </c>
      <c r="J228" s="197">
        <f>RL!I46</f>
        <v>0.34</v>
      </c>
      <c r="K228" s="197">
        <f>RL!J46</f>
        <v>2E-3</v>
      </c>
      <c r="L228" s="198">
        <f>RL!K46</f>
        <v>0.31</v>
      </c>
    </row>
    <row r="229" spans="1:12" x14ac:dyDescent="0.3">
      <c r="A229" s="194" t="str">
        <f>UPPER(LEFT(RL!B47,2))&amp;RIGHT(RL!B47,LEN(RL!B47)-2)</f>
        <v>RW</v>
      </c>
      <c r="B229" s="195" t="str" cm="1">
        <f t="array" ref="B229">_xlfn.IFS(A229="EP", "EP", A229="STa", "SPI", A229="STb", "SPO", A229="MRT", "MRT", A229="RG", "RN", A229="RT", "RU", A229="RW", "RL", A229="RC", "RS")</f>
        <v>RL</v>
      </c>
      <c r="C229" s="196">
        <f>INT(RL!A47)</f>
        <v>44432</v>
      </c>
      <c r="D229" s="196" t="str">
        <f t="shared" si="34"/>
        <v>RL44432</v>
      </c>
      <c r="E229" s="197">
        <f>RL!D47</f>
        <v>6.96</v>
      </c>
      <c r="F229" s="197">
        <f>RL!E47</f>
        <v>27.9</v>
      </c>
      <c r="G229" s="197">
        <f>RL!F47</f>
        <v>0.08</v>
      </c>
      <c r="H229" s="197">
        <f>RL!H47</f>
        <v>1.18</v>
      </c>
      <c r="I229" s="197">
        <f>RL!G47</f>
        <v>1.19</v>
      </c>
      <c r="J229" s="197">
        <f>RL!I47</f>
        <v>0.14000000000000001</v>
      </c>
      <c r="K229" s="197">
        <f>RL!J47</f>
        <v>2E-3</v>
      </c>
      <c r="L229" s="198">
        <f>RL!K47</f>
        <v>0.5</v>
      </c>
    </row>
    <row r="230" spans="1:12" x14ac:dyDescent="0.3">
      <c r="A230" s="194" t="str">
        <f>UPPER(LEFT(RL!B48,2))&amp;RIGHT(RL!B48,LEN(RL!B48)-2)</f>
        <v>RW</v>
      </c>
      <c r="B230" s="195" t="str" cm="1">
        <f t="array" ref="B230">_xlfn.IFS(A230="EP", "EP", A230="STa", "SPI", A230="STb", "SPO", A230="MRT", "MRT", A230="RG", "RN", A230="RT", "RU", A230="RW", "RL", A230="RC", "RS")</f>
        <v>RL</v>
      </c>
      <c r="C230" s="196">
        <f>INT(RL!A48)</f>
        <v>44433</v>
      </c>
      <c r="D230" s="196" t="str">
        <f t="shared" si="34"/>
        <v>RL44433</v>
      </c>
      <c r="E230" s="197">
        <f>RL!D48</f>
        <v>6.95</v>
      </c>
      <c r="F230" s="197">
        <f>RL!E48</f>
        <v>27.9</v>
      </c>
      <c r="G230" s="197">
        <f>RL!F48</f>
        <v>7.0000000000000007E-2</v>
      </c>
      <c r="H230" s="197">
        <f>RL!H48</f>
        <v>1.32</v>
      </c>
      <c r="I230" s="197">
        <f>RL!G48</f>
        <v>1.24</v>
      </c>
      <c r="J230" s="197">
        <f>RL!I48</f>
        <v>0.17</v>
      </c>
      <c r="K230" s="197">
        <f>RL!J48</f>
        <v>2E-3</v>
      </c>
      <c r="L230" s="198">
        <f>RL!K48</f>
        <v>0.48</v>
      </c>
    </row>
    <row r="231" spans="1:12" ht="16.350000000000001" thickBot="1" x14ac:dyDescent="0.35">
      <c r="A231" s="221" t="str">
        <f>UPPER(LEFT(RL!B49,2))&amp;RIGHT(RL!B49,LEN(RL!B49)-2)</f>
        <v>RW</v>
      </c>
      <c r="B231" s="222" t="str" cm="1">
        <f t="array" ref="B231">_xlfn.IFS(A231="EP", "EP", A231="STa", "SPI", A231="STb", "SPO", A231="MRT", "MRT", A231="RG", "RN", A231="RT", "RU", A231="RW", "RL", A231="RC", "RS")</f>
        <v>RL</v>
      </c>
      <c r="C231" s="223">
        <f>INT(RL!A49)</f>
        <v>44433</v>
      </c>
      <c r="D231" s="223" t="str">
        <f t="shared" si="34"/>
        <v>RL44433</v>
      </c>
      <c r="E231" s="224">
        <f>RL!D49</f>
        <v>7.06</v>
      </c>
      <c r="F231" s="224">
        <f>RL!E49</f>
        <v>28</v>
      </c>
      <c r="G231" s="224">
        <f>RL!F49</f>
        <v>0.05</v>
      </c>
      <c r="H231" s="224">
        <f>RL!H49</f>
        <v>1.36</v>
      </c>
      <c r="I231" s="224">
        <f>RL!G49</f>
        <v>1.37</v>
      </c>
      <c r="J231" s="224">
        <f>RL!I49</f>
        <v>0.17</v>
      </c>
      <c r="K231" s="224">
        <f>RL!J49</f>
        <v>7.0000000000000001E-3</v>
      </c>
      <c r="L231" s="225">
        <f>RL!K49</f>
        <v>0.54</v>
      </c>
    </row>
    <row r="232" spans="1:12" x14ac:dyDescent="0.3">
      <c r="A232" s="226" t="str">
        <f>UPPER(LEFT(RS!B3,2))&amp;RIGHT(RS!B3,LEN(RS!B3)-2)</f>
        <v>RC</v>
      </c>
      <c r="B232" s="227" t="str" cm="1">
        <f t="array" ref="B232">_xlfn.IFS(A232="EP", "EP", A232="STa", "SPI", A232="STb", "SPO", A232="MRT", "MRT", A232="RG", "RN", A232="RT", "RU", A232="RW", "RL", A232="RC", "RS")</f>
        <v>RS</v>
      </c>
      <c r="C232" s="228">
        <f>INT(RS!A3)</f>
        <v>44293</v>
      </c>
      <c r="D232" s="228" t="str">
        <f t="shared" si="34"/>
        <v>RS44293</v>
      </c>
      <c r="E232" s="229">
        <f>RS!D3</f>
        <v>6.77</v>
      </c>
      <c r="F232" s="229">
        <f>RS!E3</f>
        <v>24.4</v>
      </c>
      <c r="G232" s="229">
        <f>RS!F3</f>
        <v>0.05</v>
      </c>
      <c r="H232" s="229">
        <f>RS!H3</f>
        <v>1.61</v>
      </c>
      <c r="I232" s="229">
        <f>RS!G3</f>
        <v>2.15</v>
      </c>
      <c r="J232" s="229">
        <f>RS!I3</f>
        <v>0.22</v>
      </c>
      <c r="K232" s="229">
        <f>RS!J3</f>
        <v>6.0000000000000001E-3</v>
      </c>
      <c r="L232" s="230">
        <f>RS!K3</f>
        <v>0.46</v>
      </c>
    </row>
    <row r="233" spans="1:12" x14ac:dyDescent="0.3">
      <c r="A233" s="199" t="str">
        <f>UPPER(LEFT(RS!B4,2))&amp;RIGHT(RS!B4,LEN(RS!B4)-2)</f>
        <v>RC</v>
      </c>
      <c r="B233" s="200" t="str" cm="1">
        <f t="array" ref="B233">_xlfn.IFS(A233="EP", "EP", A233="STa", "SPI", A233="STb", "SPO", A233="MRT", "MRT", A233="RG", "RN", A233="RT", "RU", A233="RW", "RL", A233="RC", "RS")</f>
        <v>RS</v>
      </c>
      <c r="C233" s="201">
        <f>INT(RS!A4)</f>
        <v>44293</v>
      </c>
      <c r="D233" s="201" t="str">
        <f t="shared" si="34"/>
        <v>RS44293</v>
      </c>
      <c r="E233" s="202">
        <f>RS!D4</f>
        <v>6.78</v>
      </c>
      <c r="F233" s="202">
        <f>RS!E4</f>
        <v>20.3</v>
      </c>
      <c r="G233" s="202">
        <f>RS!F4</f>
        <v>0</v>
      </c>
      <c r="H233" s="202">
        <f>RS!H4</f>
        <v>1.67</v>
      </c>
      <c r="I233" s="202">
        <f>RS!G4</f>
        <v>2.1</v>
      </c>
      <c r="J233" s="202">
        <f>RS!I4</f>
        <v>0.25</v>
      </c>
      <c r="K233" s="202">
        <f>RS!J4</f>
        <v>0.02</v>
      </c>
      <c r="L233" s="203">
        <f>RS!K4</f>
        <v>0.49</v>
      </c>
    </row>
    <row r="234" spans="1:12" x14ac:dyDescent="0.3">
      <c r="A234" s="199" t="str">
        <f>UPPER(LEFT(RS!B5,2))&amp;RIGHT(RS!B5,LEN(RS!B5)-2)</f>
        <v>RC</v>
      </c>
      <c r="B234" s="200" t="str" cm="1">
        <f t="array" ref="B234">_xlfn.IFS(A234="EP", "EP", A234="STa", "SPI", A234="STb", "SPO", A234="MRT", "MRT", A234="RG", "RN", A234="RT", "RU", A234="RW", "RL", A234="RC", "RS")</f>
        <v>RS</v>
      </c>
      <c r="C234" s="201">
        <f>INT(RS!A5)</f>
        <v>44306</v>
      </c>
      <c r="D234" s="201" t="str">
        <f t="shared" si="34"/>
        <v>RS44306</v>
      </c>
      <c r="E234" s="202">
        <f>RS!D5</f>
        <v>6.61</v>
      </c>
      <c r="F234" s="202">
        <f>RS!E5</f>
        <v>19</v>
      </c>
      <c r="G234" s="202">
        <f>RS!F5</f>
        <v>0.09</v>
      </c>
      <c r="H234" s="202">
        <f>RS!H5</f>
        <v>1.42</v>
      </c>
      <c r="I234" s="202">
        <f>RS!G5</f>
        <v>1.95</v>
      </c>
      <c r="J234" s="202">
        <f>RS!I5</f>
        <v>0.27</v>
      </c>
      <c r="K234" s="202">
        <f>RS!J5</f>
        <v>7.0000000000000001E-3</v>
      </c>
      <c r="L234" s="203">
        <f>RS!K5</f>
        <v>0.49</v>
      </c>
    </row>
    <row r="235" spans="1:12" x14ac:dyDescent="0.3">
      <c r="A235" s="199" t="str">
        <f>UPPER(LEFT(RS!B6,2))&amp;RIGHT(RS!B6,LEN(RS!B6)-2)</f>
        <v>RC</v>
      </c>
      <c r="B235" s="200" t="str" cm="1">
        <f t="array" ref="B235">_xlfn.IFS(A235="EP", "EP", A235="STa", "SPI", A235="STb", "SPO", A235="MRT", "MRT", A235="RG", "RN", A235="RT", "RU", A235="RW", "RL", A235="RC", "RS")</f>
        <v>RS</v>
      </c>
      <c r="C235" s="201">
        <f>INT(RS!A6)</f>
        <v>44313</v>
      </c>
      <c r="D235" s="201" t="str">
        <f t="shared" si="34"/>
        <v>RS44313</v>
      </c>
      <c r="E235" s="202">
        <f>RS!D6</f>
        <v>6.74</v>
      </c>
      <c r="F235" s="202">
        <f>RS!E6</f>
        <v>22.6</v>
      </c>
      <c r="G235" s="202">
        <f>RS!F6</f>
        <v>0.06</v>
      </c>
      <c r="H235" s="202">
        <f>RS!H6</f>
        <v>1.29</v>
      </c>
      <c r="I235" s="202">
        <f>RS!G6</f>
        <v>1.35</v>
      </c>
      <c r="J235" s="202">
        <f>RS!I6</f>
        <v>0.27</v>
      </c>
      <c r="K235" s="202">
        <f>RS!J6</f>
        <v>8.0000000000000002E-3</v>
      </c>
      <c r="L235" s="203">
        <f>RS!K6</f>
        <v>0.47</v>
      </c>
    </row>
    <row r="236" spans="1:12" x14ac:dyDescent="0.3">
      <c r="A236" s="199" t="str">
        <f>UPPER(LEFT(RS!B7,2))&amp;RIGHT(RS!B7,LEN(RS!B7)-2)</f>
        <v>RC</v>
      </c>
      <c r="B236" s="200" t="str" cm="1">
        <f t="array" ref="B236">_xlfn.IFS(A236="EP", "EP", A236="STa", "SPI", A236="STb", "SPO", A236="MRT", "MRT", A236="RG", "RN", A236="RT", "RU", A236="RW", "RL", A236="RC", "RS")</f>
        <v>RS</v>
      </c>
      <c r="C236" s="201">
        <f>INT(RS!A7)</f>
        <v>44327</v>
      </c>
      <c r="D236" s="201" t="str">
        <f t="shared" si="34"/>
        <v>RS44327</v>
      </c>
      <c r="E236" s="202">
        <f>RS!D7</f>
        <v>6.79</v>
      </c>
      <c r="F236" s="202">
        <f>RS!E7</f>
        <v>24.7</v>
      </c>
      <c r="G236" s="202">
        <f>RS!F7</f>
        <v>0.06</v>
      </c>
      <c r="H236" s="202">
        <f>RS!H7</f>
        <v>1.1599999999999999</v>
      </c>
      <c r="I236" s="202">
        <f>RS!G7</f>
        <v>1.08</v>
      </c>
      <c r="J236" s="202">
        <f>RS!I7</f>
        <v>0.22</v>
      </c>
      <c r="K236" s="202">
        <f>RS!J7</f>
        <v>6.0000000000000001E-3</v>
      </c>
      <c r="L236" s="203">
        <f>RS!K7</f>
        <v>0.41</v>
      </c>
    </row>
    <row r="237" spans="1:12" x14ac:dyDescent="0.3">
      <c r="A237" s="199" t="str">
        <f>UPPER(LEFT(RS!B8,2))&amp;RIGHT(RS!B8,LEN(RS!B8)-2)</f>
        <v>RC</v>
      </c>
      <c r="B237" s="200" t="str" cm="1">
        <f t="array" ref="B237">_xlfn.IFS(A237="EP", "EP", A237="STa", "SPI", A237="STb", "SPO", A237="MRT", "MRT", A237="RG", "RN", A237="RT", "RU", A237="RW", "RL", A237="RC", "RS")</f>
        <v>RS</v>
      </c>
      <c r="C237" s="201">
        <f>INT(RS!A8)</f>
        <v>44334</v>
      </c>
      <c r="D237" s="201" t="str">
        <f t="shared" si="34"/>
        <v>RS44334</v>
      </c>
      <c r="E237" s="202">
        <f>RS!D8</f>
        <v>6.8</v>
      </c>
      <c r="F237" s="202">
        <f>RS!E8</f>
        <v>22.7</v>
      </c>
      <c r="G237" s="202">
        <f>RS!F8</f>
        <v>0</v>
      </c>
      <c r="H237" s="202">
        <f>RS!H8</f>
        <v>1.1499999999999999</v>
      </c>
      <c r="I237" s="202">
        <f>RS!G8</f>
        <v>1.42</v>
      </c>
      <c r="J237" s="202">
        <f>RS!I8</f>
        <v>0.25</v>
      </c>
      <c r="K237" s="202">
        <f>RS!J8</f>
        <v>6.0000000000000001E-3</v>
      </c>
      <c r="L237" s="203">
        <f>RS!K8</f>
        <v>0.4</v>
      </c>
    </row>
    <row r="238" spans="1:12" x14ac:dyDescent="0.3">
      <c r="A238" s="199" t="str">
        <f>UPPER(LEFT(RS!B9,2))&amp;RIGHT(RS!B9,LEN(RS!B9)-2)</f>
        <v>RC</v>
      </c>
      <c r="B238" s="200" t="str" cm="1">
        <f t="array" ref="B238">_xlfn.IFS(A238="EP", "EP", A238="STa", "SPI", A238="STb", "SPO", A238="MRT", "MRT", A238="RG", "RN", A238="RT", "RU", A238="RW", "RL", A238="RC", "RS")</f>
        <v>RS</v>
      </c>
      <c r="C238" s="201">
        <f>INT(RS!A9)</f>
        <v>44335</v>
      </c>
      <c r="D238" s="201" t="str">
        <f t="shared" si="34"/>
        <v>RS44335</v>
      </c>
      <c r="E238" s="202">
        <f>RS!D9</f>
        <v>6.78</v>
      </c>
      <c r="F238" s="202">
        <f>RS!E9</f>
        <v>23.2</v>
      </c>
      <c r="G238" s="202">
        <f>RS!F9</f>
        <v>0.08</v>
      </c>
      <c r="H238" s="202">
        <f>RS!H9</f>
        <v>1.04</v>
      </c>
      <c r="I238" s="202">
        <f>RS!G9</f>
        <v>1.1299999999999999</v>
      </c>
      <c r="J238" s="202">
        <f>RS!I9</f>
        <v>0.24</v>
      </c>
      <c r="K238" s="202">
        <f>RS!J9</f>
        <v>7.0000000000000001E-3</v>
      </c>
      <c r="L238" s="203">
        <f>RS!K9</f>
        <v>0.44</v>
      </c>
    </row>
    <row r="239" spans="1:12" x14ac:dyDescent="0.3">
      <c r="A239" s="199" t="str">
        <f>UPPER(LEFT(RS!B10,2))&amp;RIGHT(RS!B10,LEN(RS!B10)-2)</f>
        <v>RC</v>
      </c>
      <c r="B239" s="200" t="str" cm="1">
        <f t="array" ref="B239">_xlfn.IFS(A239="EP", "EP", A239="STa", "SPI", A239="STb", "SPO", A239="MRT", "MRT", A239="RG", "RN", A239="RT", "RU", A239="RW", "RL", A239="RC", "RS")</f>
        <v>RS</v>
      </c>
      <c r="C239" s="201">
        <f>INT(RS!A10)</f>
        <v>44335</v>
      </c>
      <c r="D239" s="201" t="str">
        <f t="shared" si="34"/>
        <v>RS44335</v>
      </c>
      <c r="E239" s="202">
        <f>RS!D10</f>
        <v>6.79</v>
      </c>
      <c r="F239" s="202">
        <f>RS!E10</f>
        <v>22.5</v>
      </c>
      <c r="G239" s="202">
        <f>RS!F10</f>
        <v>0.08</v>
      </c>
      <c r="H239" s="202">
        <f>RS!H10</f>
        <v>0.98</v>
      </c>
      <c r="I239" s="202">
        <f>RS!G10</f>
        <v>1</v>
      </c>
      <c r="J239" s="202">
        <f>RS!I10</f>
        <v>0.26</v>
      </c>
      <c r="K239" s="202">
        <f>RS!J10</f>
        <v>8.0000000000000002E-3</v>
      </c>
      <c r="L239" s="203">
        <f>RS!K10</f>
        <v>0.43</v>
      </c>
    </row>
    <row r="240" spans="1:12" x14ac:dyDescent="0.3">
      <c r="A240" s="199" t="str">
        <f>UPPER(LEFT(RS!B11,2))&amp;RIGHT(RS!B11,LEN(RS!B11)-2)</f>
        <v>RC</v>
      </c>
      <c r="B240" s="200" t="str" cm="1">
        <f t="array" ref="B240">_xlfn.IFS(A240="EP", "EP", A240="STa", "SPI", A240="STb", "SPO", A240="MRT", "MRT", A240="RG", "RN", A240="RT", "RU", A240="RW", "RL", A240="RC", "RS")</f>
        <v>RS</v>
      </c>
      <c r="C240" s="201">
        <f>INT(RS!A11)</f>
        <v>44341</v>
      </c>
      <c r="D240" s="201" t="str">
        <f t="shared" si="34"/>
        <v>RS44341</v>
      </c>
      <c r="E240" s="202">
        <f>RS!D11</f>
        <v>6.72</v>
      </c>
      <c r="F240" s="202">
        <f>RS!E11</f>
        <v>22.2</v>
      </c>
      <c r="G240" s="202">
        <f>RS!F11</f>
        <v>0.08</v>
      </c>
      <c r="H240" s="202">
        <f>RS!H11</f>
        <v>1.05</v>
      </c>
      <c r="I240" s="202">
        <f>RS!G11</f>
        <v>1.44</v>
      </c>
      <c r="J240" s="202">
        <f>RS!I11</f>
        <v>0.22</v>
      </c>
      <c r="K240" s="202">
        <f>RS!J11</f>
        <v>4.0000000000000001E-3</v>
      </c>
      <c r="L240" s="203">
        <f>RS!K11</f>
        <v>0.41</v>
      </c>
    </row>
    <row r="241" spans="1:12" x14ac:dyDescent="0.3">
      <c r="A241" s="199" t="str">
        <f>UPPER(LEFT(RS!B12,2))&amp;RIGHT(RS!B12,LEN(RS!B12)-2)</f>
        <v>RC</v>
      </c>
      <c r="B241" s="200" t="str" cm="1">
        <f t="array" ref="B241">_xlfn.IFS(A241="EP", "EP", A241="STa", "SPI", A241="STb", "SPO", A241="MRT", "MRT", A241="RG", "RN", A241="RT", "RU", A241="RW", "RL", A241="RC", "RS")</f>
        <v>RS</v>
      </c>
      <c r="C241" s="201">
        <f>INT(RS!A12)</f>
        <v>44342</v>
      </c>
      <c r="D241" s="201" t="str">
        <f t="shared" si="34"/>
        <v>RS44342</v>
      </c>
      <c r="E241" s="202">
        <f>RS!D12</f>
        <v>6.71</v>
      </c>
      <c r="F241" s="202">
        <f>RS!E12</f>
        <v>23</v>
      </c>
      <c r="G241" s="202">
        <f>RS!F12</f>
        <v>0.05</v>
      </c>
      <c r="H241" s="202">
        <f>RS!H12</f>
        <v>0.97</v>
      </c>
      <c r="I241" s="202">
        <f>RS!G12</f>
        <v>1.29</v>
      </c>
      <c r="J241" s="202">
        <f>RS!I12</f>
        <v>0.22</v>
      </c>
      <c r="K241" s="202">
        <f>RS!J12</f>
        <v>3.0000000000000001E-3</v>
      </c>
      <c r="L241" s="203">
        <f>RS!K12</f>
        <v>0.52</v>
      </c>
    </row>
    <row r="242" spans="1:12" x14ac:dyDescent="0.3">
      <c r="A242" s="199" t="str">
        <f>UPPER(LEFT(RS!B13,2))&amp;RIGHT(RS!B13,LEN(RS!B13)-2)</f>
        <v>RC</v>
      </c>
      <c r="B242" s="200" t="str" cm="1">
        <f t="array" ref="B242">_xlfn.IFS(A242="EP", "EP", A242="STa", "SPI", A242="STb", "SPO", A242="MRT", "MRT", A242="RG", "RN", A242="RT", "RU", A242="RW", "RL", A242="RC", "RS")</f>
        <v>RS</v>
      </c>
      <c r="C242" s="201">
        <f>INT(RS!A13)</f>
        <v>44342</v>
      </c>
      <c r="D242" s="201" t="str">
        <f t="shared" si="34"/>
        <v>RS44342</v>
      </c>
      <c r="E242" s="202">
        <f>RS!D13</f>
        <v>6.7</v>
      </c>
      <c r="F242" s="202">
        <f>RS!E13</f>
        <v>23.3</v>
      </c>
      <c r="G242" s="202">
        <f>RS!F13</f>
        <v>0.05</v>
      </c>
      <c r="H242" s="202">
        <f>RS!H13</f>
        <v>0.84</v>
      </c>
      <c r="I242" s="202">
        <f>RS!G13</f>
        <v>1.2</v>
      </c>
      <c r="J242" s="202">
        <f>RS!I13</f>
        <v>0.25</v>
      </c>
      <c r="K242" s="202">
        <f>RS!J13</f>
        <v>4.0000000000000001E-3</v>
      </c>
      <c r="L242" s="203">
        <f>RS!K13</f>
        <v>0.54</v>
      </c>
    </row>
    <row r="243" spans="1:12" x14ac:dyDescent="0.3">
      <c r="A243" s="199" t="str">
        <f>UPPER(LEFT(RS!B14,2))&amp;RIGHT(RS!B14,LEN(RS!B14)-2)</f>
        <v>RC</v>
      </c>
      <c r="B243" s="200" t="str" cm="1">
        <f t="array" ref="B243">_xlfn.IFS(A243="EP", "EP", A243="STa", "SPI", A243="STb", "SPO", A243="MRT", "MRT", A243="RG", "RN", A243="RT", "RU", A243="RW", "RL", A243="RC", "RS")</f>
        <v>RS</v>
      </c>
      <c r="C243" s="201">
        <f>INT(RS!A14)</f>
        <v>44349</v>
      </c>
      <c r="D243" s="201" t="str">
        <f t="shared" si="34"/>
        <v>RS44349</v>
      </c>
      <c r="E243" s="202">
        <f>RS!D14</f>
        <v>6.76</v>
      </c>
      <c r="F243" s="202">
        <f>RS!E14</f>
        <v>24.3</v>
      </c>
      <c r="G243" s="202">
        <f>RS!F14</f>
        <v>7.0000000000000007E-2</v>
      </c>
      <c r="H243" s="202">
        <f>RS!H14</f>
        <v>1.08</v>
      </c>
      <c r="I243" s="202">
        <f>RS!G14</f>
        <v>1.29</v>
      </c>
      <c r="J243" s="202">
        <f>RS!I14</f>
        <v>0.24</v>
      </c>
      <c r="K243" s="202">
        <f>RS!J14</f>
        <v>8.9999999999999993E-3</v>
      </c>
      <c r="L243" s="203">
        <f>RS!K14</f>
        <v>0.49</v>
      </c>
    </row>
    <row r="244" spans="1:12" x14ac:dyDescent="0.3">
      <c r="A244" s="199" t="str">
        <f>UPPER(LEFT(RS!B15,2))&amp;RIGHT(RS!B15,LEN(RS!B15)-2)</f>
        <v>RC</v>
      </c>
      <c r="B244" s="200" t="str" cm="1">
        <f t="array" ref="B244">_xlfn.IFS(A244="EP", "EP", A244="STa", "SPI", A244="STb", "SPO", A244="MRT", "MRT", A244="RG", "RN", A244="RT", "RU", A244="RW", "RL", A244="RC", "RS")</f>
        <v>RS</v>
      </c>
      <c r="C244" s="201">
        <f>INT(RS!A15)</f>
        <v>44350</v>
      </c>
      <c r="D244" s="201" t="str">
        <f t="shared" si="34"/>
        <v>RS44350</v>
      </c>
      <c r="E244" s="202">
        <f>RS!D15</f>
        <v>6.75</v>
      </c>
      <c r="F244" s="202">
        <f>RS!E15</f>
        <v>23.7</v>
      </c>
      <c r="G244" s="202">
        <f>RS!F15</f>
        <v>0.21</v>
      </c>
      <c r="H244" s="202">
        <f>RS!H15</f>
        <v>0.79</v>
      </c>
      <c r="I244" s="202">
        <f>RS!G15</f>
        <v>0.73</v>
      </c>
      <c r="J244" s="202">
        <f>RS!I15</f>
        <v>0.26</v>
      </c>
      <c r="K244" s="202">
        <f>RS!J15</f>
        <v>7.0000000000000001E-3</v>
      </c>
      <c r="L244" s="203">
        <f>RS!K15</f>
        <v>0.48</v>
      </c>
    </row>
    <row r="245" spans="1:12" x14ac:dyDescent="0.3">
      <c r="A245" s="199" t="str">
        <f>UPPER(LEFT(RS!B16,2))&amp;RIGHT(RS!B16,LEN(RS!B16)-2)</f>
        <v>RC</v>
      </c>
      <c r="B245" s="200" t="str" cm="1">
        <f t="array" ref="B245">_xlfn.IFS(A245="EP", "EP", A245="STa", "SPI", A245="STb", "SPO", A245="MRT", "MRT", A245="RG", "RN", A245="RT", "RU", A245="RW", "RL", A245="RC", "RS")</f>
        <v>RS</v>
      </c>
      <c r="C245" s="201">
        <f>INT(RS!A16)</f>
        <v>44350</v>
      </c>
      <c r="D245" s="201" t="str">
        <f t="shared" si="34"/>
        <v>RS44350</v>
      </c>
      <c r="E245" s="202">
        <f>RS!D16</f>
        <v>6.8</v>
      </c>
      <c r="F245" s="202">
        <f>RS!E16</f>
        <v>23.9</v>
      </c>
      <c r="G245" s="202">
        <f>RS!F16</f>
        <v>0.05</v>
      </c>
      <c r="H245" s="202">
        <f>RS!H16</f>
        <v>0.59</v>
      </c>
      <c r="I245" s="202">
        <f>RS!G16</f>
        <v>0.56000000000000005</v>
      </c>
      <c r="J245" s="202">
        <f>RS!I16</f>
        <v>0.41</v>
      </c>
      <c r="K245" s="202">
        <f>RS!J16</f>
        <v>1.2E-2</v>
      </c>
      <c r="L245" s="203">
        <f>RS!K16</f>
        <v>0.48</v>
      </c>
    </row>
    <row r="246" spans="1:12" x14ac:dyDescent="0.3">
      <c r="A246" s="199" t="str">
        <f>UPPER(LEFT(RS!B17,2))&amp;RIGHT(RS!B17,LEN(RS!B17)-2)</f>
        <v>RC</v>
      </c>
      <c r="B246" s="200" t="str" cm="1">
        <f t="array" ref="B246">_xlfn.IFS(A246="EP", "EP", A246="STa", "SPI", A246="STb", "SPO", A246="MRT", "MRT", A246="RG", "RN", A246="RT", "RU", A246="RW", "RL", A246="RC", "RS")</f>
        <v>RS</v>
      </c>
      <c r="C246" s="201">
        <f>INT(RS!A17)</f>
        <v>44362</v>
      </c>
      <c r="D246" s="201" t="str">
        <f t="shared" si="34"/>
        <v>RS44362</v>
      </c>
      <c r="E246" s="202">
        <f>RS!D17</f>
        <v>7.01</v>
      </c>
      <c r="F246" s="202">
        <f>RS!E17</f>
        <v>27.9</v>
      </c>
      <c r="G246" s="202">
        <f>RS!F17</f>
        <v>0.14000000000000001</v>
      </c>
      <c r="H246" s="202">
        <f>RS!H17</f>
        <v>0.09</v>
      </c>
      <c r="I246" s="202">
        <f>RS!G17</f>
        <v>0.15</v>
      </c>
      <c r="J246" s="202">
        <f>RS!I17</f>
        <v>0.01</v>
      </c>
      <c r="K246" s="202">
        <f>RS!J17</f>
        <v>6.0000000000000001E-3</v>
      </c>
      <c r="L246" s="203">
        <f>RS!K17</f>
        <v>0.44</v>
      </c>
    </row>
    <row r="247" spans="1:12" x14ac:dyDescent="0.3">
      <c r="A247" s="199" t="str">
        <f>UPPER(LEFT(RS!B18,2))&amp;RIGHT(RS!B18,LEN(RS!B18)-2)</f>
        <v>RC</v>
      </c>
      <c r="B247" s="200" t="str" cm="1">
        <f t="array" ref="B247">_xlfn.IFS(A247="EP", "EP", A247="STa", "SPI", A247="STb", "SPO", A247="MRT", "MRT", A247="RG", "RN", A247="RT", "RU", A247="RW", "RL", A247="RC", "RS")</f>
        <v>RS</v>
      </c>
      <c r="C247" s="201">
        <f>INT(RS!A18)</f>
        <v>44363</v>
      </c>
      <c r="D247" s="201" t="str">
        <f t="shared" si="34"/>
        <v>RS44363</v>
      </c>
      <c r="E247" s="202">
        <f>RS!D18</f>
        <v>6.86</v>
      </c>
      <c r="F247" s="202">
        <f>RS!E18</f>
        <v>23.6</v>
      </c>
      <c r="G247" s="202">
        <f>RS!F18</f>
        <v>0.02</v>
      </c>
      <c r="H247" s="202">
        <f>RS!H18</f>
        <v>0.02</v>
      </c>
      <c r="I247" s="202">
        <f>RS!G18</f>
        <v>0.13</v>
      </c>
      <c r="J247" s="202">
        <f>RS!I18</f>
        <v>7.0000000000000007E-2</v>
      </c>
      <c r="K247" s="202">
        <f>RS!J18</f>
        <v>8.9999999999999993E-3</v>
      </c>
      <c r="L247" s="203">
        <f>RS!K18</f>
        <v>0.56000000000000005</v>
      </c>
    </row>
    <row r="248" spans="1:12" x14ac:dyDescent="0.3">
      <c r="A248" s="199" t="str">
        <f>UPPER(LEFT(RS!B19,2))&amp;RIGHT(RS!B19,LEN(RS!B19)-2)</f>
        <v>RC</v>
      </c>
      <c r="B248" s="200" t="str" cm="1">
        <f t="array" ref="B248">_xlfn.IFS(A248="EP", "EP", A248="STa", "SPI", A248="STb", "SPO", A248="MRT", "MRT", A248="RG", "RN", A248="RT", "RU", A248="RW", "RL", A248="RC", "RS")</f>
        <v>RS</v>
      </c>
      <c r="C248" s="201">
        <f>INT(RS!A19)</f>
        <v>44363</v>
      </c>
      <c r="D248" s="201" t="str">
        <f t="shared" si="34"/>
        <v>RS44363</v>
      </c>
      <c r="E248" s="202">
        <f>RS!D19</f>
        <v>6.92</v>
      </c>
      <c r="F248" s="202">
        <f>RS!E19</f>
        <v>25.1</v>
      </c>
      <c r="G248" s="202">
        <f>RS!F19</f>
        <v>0.02</v>
      </c>
      <c r="H248" s="202">
        <f>RS!H19</f>
        <v>0.01</v>
      </c>
      <c r="I248" s="202">
        <f>RS!G19</f>
        <v>0.11</v>
      </c>
      <c r="J248" s="202">
        <f>RS!I19</f>
        <v>0.06</v>
      </c>
      <c r="K248" s="202">
        <f>RS!J19</f>
        <v>1.7999999999999999E-2</v>
      </c>
      <c r="L248" s="203">
        <f>RS!K19</f>
        <v>0.57999999999999996</v>
      </c>
    </row>
    <row r="249" spans="1:12" x14ac:dyDescent="0.3">
      <c r="A249" s="199" t="str">
        <f>UPPER(LEFT(RS!B20,2))&amp;RIGHT(RS!B20,LEN(RS!B20)-2)</f>
        <v>RC</v>
      </c>
      <c r="B249" s="200" t="str" cm="1">
        <f t="array" ref="B249">_xlfn.IFS(A249="EP", "EP", A249="STa", "SPI", A249="STb", "SPO", A249="MRT", "MRT", A249="RG", "RN", A249="RT", "RU", A249="RW", "RL", A249="RC", "RS")</f>
        <v>RS</v>
      </c>
      <c r="C249" s="201">
        <f>INT(RS!A20)</f>
        <v>44369</v>
      </c>
      <c r="D249" s="201" t="str">
        <f t="shared" si="34"/>
        <v>RS44369</v>
      </c>
      <c r="E249" s="202">
        <f>RS!D20</f>
        <v>6.94</v>
      </c>
      <c r="F249" s="202">
        <f>RS!E20</f>
        <v>23.8</v>
      </c>
      <c r="G249" s="202">
        <f>RS!F20</f>
        <v>1.7</v>
      </c>
      <c r="H249" s="202">
        <f>RS!H20</f>
        <v>0.02</v>
      </c>
      <c r="I249" s="202">
        <f>RS!G20</f>
        <v>1.94</v>
      </c>
      <c r="J249" s="202">
        <f>RS!I20</f>
        <v>0.03</v>
      </c>
      <c r="K249" s="202">
        <f>RS!J20</f>
        <v>6.0000000000000001E-3</v>
      </c>
      <c r="L249" s="203">
        <f>RS!K20</f>
        <v>0.56999999999999995</v>
      </c>
    </row>
    <row r="250" spans="1:12" x14ac:dyDescent="0.3">
      <c r="A250" s="199" t="str">
        <f>UPPER(LEFT(RS!B21,2))&amp;RIGHT(RS!B21,LEN(RS!B21)-2)</f>
        <v>RC</v>
      </c>
      <c r="B250" s="200" t="str" cm="1">
        <f t="array" ref="B250">_xlfn.IFS(A250="EP", "EP", A250="STa", "SPI", A250="STb", "SPO", A250="MRT", "MRT", A250="RG", "RN", A250="RT", "RU", A250="RW", "RL", A250="RC", "RS")</f>
        <v>RS</v>
      </c>
      <c r="C250" s="201">
        <f>INT(RS!A21)</f>
        <v>44370</v>
      </c>
      <c r="D250" s="201" t="str">
        <f t="shared" si="34"/>
        <v>RS44370</v>
      </c>
      <c r="E250" s="202">
        <f>RS!D21</f>
        <v>7.07</v>
      </c>
      <c r="F250" s="202">
        <f>RS!E21</f>
        <v>24.5</v>
      </c>
      <c r="G250" s="202">
        <f>RS!F21</f>
        <v>1.55</v>
      </c>
      <c r="H250" s="202">
        <f>RS!H21</f>
        <v>0.56000000000000005</v>
      </c>
      <c r="I250" s="202">
        <f>RS!G21</f>
        <v>1.76</v>
      </c>
      <c r="J250" s="202">
        <f>RS!I21</f>
        <v>0.09</v>
      </c>
      <c r="K250" s="202">
        <f>RS!J21</f>
        <v>6.0000000000000001E-3</v>
      </c>
      <c r="L250" s="203">
        <f>RS!K21</f>
        <v>0.53</v>
      </c>
    </row>
    <row r="251" spans="1:12" x14ac:dyDescent="0.3">
      <c r="A251" s="199" t="str">
        <f>UPPER(LEFT(RS!B22,2))&amp;RIGHT(RS!B22,LEN(RS!B22)-2)</f>
        <v>RC</v>
      </c>
      <c r="B251" s="200" t="str" cm="1">
        <f t="array" ref="B251">_xlfn.IFS(A251="EP", "EP", A251="STa", "SPI", A251="STb", "SPO", A251="MRT", "MRT", A251="RG", "RN", A251="RT", "RU", A251="RW", "RL", A251="RC", "RS")</f>
        <v>RS</v>
      </c>
      <c r="C251" s="201">
        <f>INT(RS!A22)</f>
        <v>44370</v>
      </c>
      <c r="D251" s="201" t="str">
        <f t="shared" si="34"/>
        <v>RS44370</v>
      </c>
      <c r="E251" s="202">
        <f>RS!D22</f>
        <v>7.05</v>
      </c>
      <c r="F251" s="202">
        <f>RS!E22</f>
        <v>24.5</v>
      </c>
      <c r="G251" s="202">
        <f>RS!F22</f>
        <v>1.2</v>
      </c>
      <c r="H251" s="202">
        <f>RS!H22</f>
        <v>0.01</v>
      </c>
      <c r="I251" s="202">
        <f>RS!G22</f>
        <v>1.3</v>
      </c>
      <c r="J251" s="202">
        <f>RS!I22</f>
        <v>0.08</v>
      </c>
      <c r="K251" s="202">
        <f>RS!J22</f>
        <v>6.0000000000000001E-3</v>
      </c>
      <c r="L251" s="203">
        <f>RS!K22</f>
        <v>0.54</v>
      </c>
    </row>
    <row r="252" spans="1:12" x14ac:dyDescent="0.3">
      <c r="A252" s="199" t="str">
        <f>UPPER(LEFT(RS!B23,2))&amp;RIGHT(RS!B23,LEN(RS!B23)-2)</f>
        <v>RC</v>
      </c>
      <c r="B252" s="200" t="str" cm="1">
        <f t="array" ref="B252">_xlfn.IFS(A252="EP", "EP", A252="STa", "SPI", A252="STb", "SPO", A252="MRT", "MRT", A252="RG", "RN", A252="RT", "RU", A252="RW", "RL", A252="RC", "RS")</f>
        <v>RS</v>
      </c>
      <c r="C252" s="201">
        <f>INT(RS!A23)</f>
        <v>44376</v>
      </c>
      <c r="D252" s="201" t="str">
        <f t="shared" si="34"/>
        <v>RS44376</v>
      </c>
      <c r="E252" s="202">
        <f>RS!D23</f>
        <v>7.01</v>
      </c>
      <c r="F252" s="202">
        <f>RS!E23</f>
        <v>23.8</v>
      </c>
      <c r="G252" s="202">
        <f>RS!F23</f>
        <v>1.37</v>
      </c>
      <c r="H252" s="202">
        <f>RS!H23</f>
        <v>0.02</v>
      </c>
      <c r="I252" s="202">
        <f>RS!G23</f>
        <v>1.52</v>
      </c>
      <c r="J252" s="202">
        <f>RS!I23</f>
        <v>0.02</v>
      </c>
      <c r="K252" s="202">
        <f>RS!J23</f>
        <v>6.0000000000000001E-3</v>
      </c>
      <c r="L252" s="203">
        <f>RS!K23</f>
        <v>0.54</v>
      </c>
    </row>
    <row r="253" spans="1:12" x14ac:dyDescent="0.3">
      <c r="A253" s="199" t="str">
        <f>UPPER(LEFT(RS!B24,2))&amp;RIGHT(RS!B24,LEN(RS!B24)-2)</f>
        <v>RC</v>
      </c>
      <c r="B253" s="200" t="str" cm="1">
        <f t="array" ref="B253">_xlfn.IFS(A253="EP", "EP", A253="STa", "SPI", A253="STb", "SPO", A253="MRT", "MRT", A253="RG", "RN", A253="RT", "RU", A253="RW", "RL", A253="RC", "RS")</f>
        <v>RS</v>
      </c>
      <c r="C253" s="201">
        <f>INT(RS!A24)</f>
        <v>44377</v>
      </c>
      <c r="D253" s="201" t="str">
        <f t="shared" si="34"/>
        <v>RS44377</v>
      </c>
      <c r="E253" s="202">
        <f>RS!D24</f>
        <v>7.02</v>
      </c>
      <c r="F253" s="202">
        <f>RS!E24</f>
        <v>23.7</v>
      </c>
      <c r="G253" s="202">
        <f>RS!F24</f>
        <v>1.71</v>
      </c>
      <c r="H253" s="202">
        <f>RS!H24</f>
        <v>0.01</v>
      </c>
      <c r="I253" s="202">
        <f>RS!G24</f>
        <v>1.9</v>
      </c>
      <c r="J253" s="202">
        <f>RS!I24</f>
        <v>7.0000000000000007E-2</v>
      </c>
      <c r="K253" s="202">
        <f>RS!J24</f>
        <v>6.0000000000000001E-3</v>
      </c>
      <c r="L253" s="203">
        <f>RS!K24</f>
        <v>0.57999999999999996</v>
      </c>
    </row>
    <row r="254" spans="1:12" x14ac:dyDescent="0.3">
      <c r="A254" s="199" t="str">
        <f>UPPER(LEFT(RS!B25,2))&amp;RIGHT(RS!B25,LEN(RS!B25)-2)</f>
        <v>RC</v>
      </c>
      <c r="B254" s="200" t="str" cm="1">
        <f t="array" ref="B254">_xlfn.IFS(A254="EP", "EP", A254="STa", "SPI", A254="STb", "SPO", A254="MRT", "MRT", A254="RG", "RN", A254="RT", "RU", A254="RW", "RL", A254="RC", "RS")</f>
        <v>RS</v>
      </c>
      <c r="C254" s="201">
        <f>INT(RS!A25)</f>
        <v>44377</v>
      </c>
      <c r="D254" s="201" t="str">
        <f t="shared" si="34"/>
        <v>RS44377</v>
      </c>
      <c r="E254" s="202">
        <f>RS!D25</f>
        <v>7.02</v>
      </c>
      <c r="F254" s="202">
        <f>RS!E25</f>
        <v>24.5</v>
      </c>
      <c r="G254" s="202">
        <f>RS!F25</f>
        <v>1.19</v>
      </c>
      <c r="H254" s="202">
        <f>RS!H25</f>
        <v>0.11</v>
      </c>
      <c r="I254" s="202">
        <f>RS!G25</f>
        <v>1.33</v>
      </c>
      <c r="J254" s="202">
        <f>RS!I25</f>
        <v>0.09</v>
      </c>
      <c r="K254" s="202">
        <f>RS!J25</f>
        <v>6.0000000000000001E-3</v>
      </c>
      <c r="L254" s="203">
        <f>RS!K25</f>
        <v>0.6</v>
      </c>
    </row>
    <row r="255" spans="1:12" x14ac:dyDescent="0.3">
      <c r="A255" s="199" t="str">
        <f>UPPER(LEFT(RS!B26,2))&amp;RIGHT(RS!B26,LEN(RS!B26)-2)</f>
        <v>RC</v>
      </c>
      <c r="B255" s="200" t="str" cm="1">
        <f t="array" ref="B255">_xlfn.IFS(A255="EP", "EP", A255="STa", "SPI", A255="STb", "SPO", A255="MRT", "MRT", A255="RG", "RN", A255="RT", "RU", A255="RW", "RL", A255="RC", "RS")</f>
        <v>RS</v>
      </c>
      <c r="C255" s="201">
        <f>INT(RS!A26)</f>
        <v>44384</v>
      </c>
      <c r="D255" s="201" t="str">
        <f t="shared" si="34"/>
        <v>RS44384</v>
      </c>
      <c r="E255" s="202">
        <f>RS!D26</f>
        <v>7.01</v>
      </c>
      <c r="F255" s="202">
        <f>RS!E26</f>
        <v>24.4</v>
      </c>
      <c r="G255" s="202">
        <f>RS!F26</f>
        <v>1.74</v>
      </c>
      <c r="H255" s="202">
        <f>RS!H26</f>
        <v>0</v>
      </c>
      <c r="I255" s="202">
        <f>RS!G26</f>
        <v>1.97</v>
      </c>
      <c r="J255" s="202">
        <f>RS!I26</f>
        <v>0.02</v>
      </c>
      <c r="K255" s="202">
        <f>RS!J26</f>
        <v>7.0000000000000001E-3</v>
      </c>
      <c r="L255" s="203">
        <f>RS!K26</f>
        <v>0.52</v>
      </c>
    </row>
    <row r="256" spans="1:12" x14ac:dyDescent="0.3">
      <c r="A256" s="199" t="str">
        <f>UPPER(LEFT(RS!B27,2))&amp;RIGHT(RS!B27,LEN(RS!B27)-2)</f>
        <v>RC</v>
      </c>
      <c r="B256" s="200" t="str" cm="1">
        <f t="array" ref="B256">_xlfn.IFS(A256="EP", "EP", A256="STa", "SPI", A256="STb", "SPO", A256="MRT", "MRT", A256="RG", "RN", A256="RT", "RU", A256="RW", "RL", A256="RC", "RS")</f>
        <v>RS</v>
      </c>
      <c r="C256" s="201">
        <f>INT(RS!A27)</f>
        <v>44385</v>
      </c>
      <c r="D256" s="201" t="str">
        <f t="shared" si="34"/>
        <v>RS44385</v>
      </c>
      <c r="E256" s="202">
        <f>RS!D27</f>
        <v>6.97</v>
      </c>
      <c r="F256" s="202">
        <f>RS!E27</f>
        <v>24.2</v>
      </c>
      <c r="G256" s="202">
        <f>RS!F27</f>
        <v>1.73</v>
      </c>
      <c r="H256" s="202">
        <f>RS!H27</f>
        <v>0.02</v>
      </c>
      <c r="I256" s="202">
        <f>RS!G27</f>
        <v>1.95</v>
      </c>
      <c r="J256" s="202">
        <f>RS!I27</f>
        <v>0.1</v>
      </c>
      <c r="K256" s="202">
        <f>RS!J27</f>
        <v>6.0000000000000001E-3</v>
      </c>
      <c r="L256" s="203">
        <f>RS!K27</f>
        <v>0.56999999999999995</v>
      </c>
    </row>
    <row r="257" spans="1:12" x14ac:dyDescent="0.3">
      <c r="A257" s="199" t="str">
        <f>UPPER(LEFT(RS!B28,2))&amp;RIGHT(RS!B28,LEN(RS!B28)-2)</f>
        <v>RC</v>
      </c>
      <c r="B257" s="200" t="str" cm="1">
        <f t="array" ref="B257">_xlfn.IFS(A257="EP", "EP", A257="STa", "SPI", A257="STb", "SPO", A257="MRT", "MRT", A257="RG", "RN", A257="RT", "RU", A257="RW", "RL", A257="RC", "RS")</f>
        <v>RS</v>
      </c>
      <c r="C257" s="201">
        <f>INT(RS!A28)</f>
        <v>44385</v>
      </c>
      <c r="D257" s="201" t="str">
        <f t="shared" si="34"/>
        <v>RS44385</v>
      </c>
      <c r="E257" s="202">
        <f>RS!D28</f>
        <v>7.02</v>
      </c>
      <c r="F257" s="202">
        <f>RS!E28</f>
        <v>24.6</v>
      </c>
      <c r="G257" s="202">
        <f>RS!F28</f>
        <v>0.68</v>
      </c>
      <c r="H257" s="202">
        <f>RS!H28</f>
        <v>0</v>
      </c>
      <c r="I257" s="202">
        <f>RS!G28</f>
        <v>1.22</v>
      </c>
      <c r="J257" s="202">
        <f>RS!I28</f>
        <v>0.14000000000000001</v>
      </c>
      <c r="K257" s="202">
        <f>RS!J28</f>
        <v>6.0000000000000001E-3</v>
      </c>
      <c r="L257" s="203">
        <f>RS!K28</f>
        <v>0.52</v>
      </c>
    </row>
    <row r="258" spans="1:12" x14ac:dyDescent="0.3">
      <c r="A258" s="199" t="str">
        <f>UPPER(LEFT(RS!B29,2))&amp;RIGHT(RS!B29,LEN(RS!B29)-2)</f>
        <v>RC</v>
      </c>
      <c r="B258" s="200" t="str" cm="1">
        <f t="array" ref="B258">_xlfn.IFS(A258="EP", "EP", A258="STa", "SPI", A258="STb", "SPO", A258="MRT", "MRT", A258="RG", "RN", A258="RT", "RU", A258="RW", "RL", A258="RC", "RS")</f>
        <v>RS</v>
      </c>
      <c r="C258" s="201">
        <f>INT(RS!A29)</f>
        <v>44390</v>
      </c>
      <c r="D258" s="201" t="str">
        <f t="shared" si="34"/>
        <v>RS44390</v>
      </c>
      <c r="E258" s="202">
        <f>RS!D29</f>
        <v>6.9</v>
      </c>
      <c r="F258" s="202">
        <f>RS!E29</f>
        <v>23.7</v>
      </c>
      <c r="G258" s="202">
        <f>RS!F29</f>
        <v>1.84</v>
      </c>
      <c r="H258" s="202">
        <f>RS!H29</f>
        <v>0.02</v>
      </c>
      <c r="I258" s="202">
        <f>RS!G29</f>
        <v>2.09</v>
      </c>
      <c r="J258" s="202">
        <f>RS!I29</f>
        <v>0.02</v>
      </c>
      <c r="K258" s="202">
        <f>RS!J29</f>
        <v>7.0000000000000001E-3</v>
      </c>
      <c r="L258" s="203">
        <f>RS!K29</f>
        <v>0.55000000000000004</v>
      </c>
    </row>
    <row r="259" spans="1:12" x14ac:dyDescent="0.3">
      <c r="A259" s="199" t="str">
        <f>UPPER(LEFT(RS!B30,2))&amp;RIGHT(RS!B30,LEN(RS!B30)-2)</f>
        <v>RC</v>
      </c>
      <c r="B259" s="200" t="str" cm="1">
        <f t="array" ref="B259">_xlfn.IFS(A259="EP", "EP", A259="STa", "SPI", A259="STb", "SPO", A259="MRT", "MRT", A259="RG", "RN", A259="RT", "RU", A259="RW", "RL", A259="RC", "RS")</f>
        <v>RS</v>
      </c>
      <c r="C259" s="201">
        <f>INT(RS!A30)</f>
        <v>44391</v>
      </c>
      <c r="D259" s="201" t="str">
        <f t="shared" ref="D259:D278" si="45">B259&amp;C259</f>
        <v>RS44391</v>
      </c>
      <c r="E259" s="202">
        <f>RS!D30</f>
        <v>6.9</v>
      </c>
      <c r="F259" s="202">
        <f>RS!E30</f>
        <v>23.9</v>
      </c>
      <c r="G259" s="202">
        <f>RS!F30</f>
        <v>1.97</v>
      </c>
      <c r="H259" s="202">
        <f>RS!H30</f>
        <v>0.02</v>
      </c>
      <c r="I259" s="202">
        <f>RS!G30</f>
        <v>2.16</v>
      </c>
      <c r="J259" s="202">
        <f>RS!I30</f>
        <v>0.05</v>
      </c>
      <c r="K259" s="202">
        <f>RS!J30</f>
        <v>6.0000000000000001E-3</v>
      </c>
      <c r="L259" s="203">
        <f>RS!K30</f>
        <v>0.56000000000000005</v>
      </c>
    </row>
    <row r="260" spans="1:12" x14ac:dyDescent="0.3">
      <c r="A260" s="199" t="str">
        <f>UPPER(LEFT(RS!B31,2))&amp;RIGHT(RS!B31,LEN(RS!B31)-2)</f>
        <v>RC</v>
      </c>
      <c r="B260" s="200" t="str" cm="1">
        <f t="array" ref="B260">_xlfn.IFS(A260="EP", "EP", A260="STa", "SPI", A260="STb", "SPO", A260="MRT", "MRT", A260="RG", "RN", A260="RT", "RU", A260="RW", "RL", A260="RC", "RS")</f>
        <v>RS</v>
      </c>
      <c r="C260" s="201">
        <f>INT(RS!A31)</f>
        <v>44391</v>
      </c>
      <c r="D260" s="201" t="str">
        <f t="shared" si="45"/>
        <v>RS44391</v>
      </c>
      <c r="E260" s="202">
        <f>RS!D31</f>
        <v>6.99</v>
      </c>
      <c r="F260" s="202">
        <f>RS!E31</f>
        <v>24.5</v>
      </c>
      <c r="G260" s="202">
        <f>RS!F31</f>
        <v>1.55</v>
      </c>
      <c r="H260" s="202">
        <f>RS!H31</f>
        <v>0</v>
      </c>
      <c r="I260" s="202">
        <f>RS!G31</f>
        <v>1.71</v>
      </c>
      <c r="J260" s="202">
        <f>RS!I31</f>
        <v>0.02</v>
      </c>
      <c r="K260" s="202">
        <f>RS!J31</f>
        <v>8.0000000000000002E-3</v>
      </c>
      <c r="L260" s="203">
        <f>RS!K31</f>
        <v>0.57999999999999996</v>
      </c>
    </row>
    <row r="261" spans="1:12" x14ac:dyDescent="0.3">
      <c r="A261" s="199" t="str">
        <f>UPPER(LEFT(RS!B32,2))&amp;RIGHT(RS!B32,LEN(RS!B32)-2)</f>
        <v>RC</v>
      </c>
      <c r="B261" s="200" t="str" cm="1">
        <f t="array" ref="B261">_xlfn.IFS(A261="EP", "EP", A261="STa", "SPI", A261="STb", "SPO", A261="MRT", "MRT", A261="RG", "RN", A261="RT", "RU", A261="RW", "RL", A261="RC", "RS")</f>
        <v>RS</v>
      </c>
      <c r="C261" s="201">
        <f>INT(RS!A32)</f>
        <v>44397</v>
      </c>
      <c r="D261" s="201" t="str">
        <f t="shared" si="45"/>
        <v>RS44397</v>
      </c>
      <c r="E261" s="202">
        <f>RS!D32</f>
        <v>6.92</v>
      </c>
      <c r="F261" s="202">
        <f>RS!E32</f>
        <v>24.4</v>
      </c>
      <c r="G261" s="202">
        <f>RS!F32</f>
        <v>1.58</v>
      </c>
      <c r="H261" s="202">
        <f>RS!H32</f>
        <v>0.01</v>
      </c>
      <c r="I261" s="202">
        <f>RS!G32</f>
        <v>2.11</v>
      </c>
      <c r="J261" s="202">
        <f>RS!I32</f>
        <v>0.03</v>
      </c>
      <c r="K261" s="202">
        <f>RS!J32</f>
        <v>5.0000000000000001E-3</v>
      </c>
      <c r="L261" s="203">
        <f>RS!K32</f>
        <v>0.56000000000000005</v>
      </c>
    </row>
    <row r="262" spans="1:12" x14ac:dyDescent="0.3">
      <c r="A262" s="199" t="str">
        <f>UPPER(LEFT(RS!B33,2))&amp;RIGHT(RS!B33,LEN(RS!B33)-2)</f>
        <v>RC</v>
      </c>
      <c r="B262" s="200" t="str" cm="1">
        <f t="array" ref="B262">_xlfn.IFS(A262="EP", "EP", A262="STa", "SPI", A262="STb", "SPO", A262="MRT", "MRT", A262="RG", "RN", A262="RT", "RU", A262="RW", "RL", A262="RC", "RS")</f>
        <v>RS</v>
      </c>
      <c r="C262" s="201">
        <f>INT(RS!A33)</f>
        <v>44398</v>
      </c>
      <c r="D262" s="201" t="str">
        <f t="shared" si="45"/>
        <v>RS44398</v>
      </c>
      <c r="E262" s="202">
        <f>RS!D33</f>
        <v>6.9</v>
      </c>
      <c r="F262" s="202">
        <f>RS!E33</f>
        <v>23.9</v>
      </c>
      <c r="G262" s="202">
        <f>RS!F33</f>
        <v>1.9</v>
      </c>
      <c r="H262" s="202">
        <f>RS!H33</f>
        <v>0</v>
      </c>
      <c r="I262" s="202">
        <f>RS!G33</f>
        <v>2.1800000000000002</v>
      </c>
      <c r="J262" s="202">
        <f>RS!I33</f>
        <v>0.02</v>
      </c>
      <c r="K262" s="202">
        <f>RS!J33</f>
        <v>5.0000000000000001E-3</v>
      </c>
      <c r="L262" s="203">
        <f>RS!K33</f>
        <v>0.59</v>
      </c>
    </row>
    <row r="263" spans="1:12" x14ac:dyDescent="0.3">
      <c r="A263" s="199" t="str">
        <f>UPPER(LEFT(RS!B34,2))&amp;RIGHT(RS!B34,LEN(RS!B34)-2)</f>
        <v>RC</v>
      </c>
      <c r="B263" s="200" t="str" cm="1">
        <f t="array" ref="B263">_xlfn.IFS(A263="EP", "EP", A263="STa", "SPI", A263="STb", "SPO", A263="MRT", "MRT", A263="RG", "RN", A263="RT", "RU", A263="RW", "RL", A263="RC", "RS")</f>
        <v>RS</v>
      </c>
      <c r="C263" s="201">
        <f>INT(RS!A34)</f>
        <v>44398</v>
      </c>
      <c r="D263" s="201" t="str">
        <f t="shared" si="45"/>
        <v>RS44398</v>
      </c>
      <c r="E263" s="202">
        <f>RS!D34</f>
        <v>6.95</v>
      </c>
      <c r="F263" s="202">
        <f>RS!E34</f>
        <v>24.7</v>
      </c>
      <c r="G263" s="202">
        <f>RS!F34</f>
        <v>1.57</v>
      </c>
      <c r="H263" s="202">
        <f>RS!H34</f>
        <v>0.02</v>
      </c>
      <c r="I263" s="202">
        <f>RS!G34</f>
        <v>1.75</v>
      </c>
      <c r="J263" s="202">
        <f>RS!I34</f>
        <v>0.02</v>
      </c>
      <c r="K263" s="202">
        <f>RS!J34</f>
        <v>6.0000000000000001E-3</v>
      </c>
      <c r="L263" s="203">
        <f>RS!K34</f>
        <v>0.59</v>
      </c>
    </row>
    <row r="264" spans="1:12" x14ac:dyDescent="0.3">
      <c r="A264" s="199" t="str">
        <f>UPPER(LEFT(RS!B35,2))&amp;RIGHT(RS!B35,LEN(RS!B35)-2)</f>
        <v>RC</v>
      </c>
      <c r="B264" s="200" t="str" cm="1">
        <f t="array" ref="B264">_xlfn.IFS(A264="EP", "EP", A264="STa", "SPI", A264="STb", "SPO", A264="MRT", "MRT", A264="RG", "RN", A264="RT", "RU", A264="RW", "RL", A264="RC", "RS")</f>
        <v>RS</v>
      </c>
      <c r="C264" s="201">
        <f>INT(RS!A35)</f>
        <v>44404</v>
      </c>
      <c r="D264" s="201" t="str">
        <f t="shared" si="45"/>
        <v>RS44404</v>
      </c>
      <c r="E264" s="202">
        <f>RS!D35</f>
        <v>6.9</v>
      </c>
      <c r="F264" s="202">
        <f>RS!E35</f>
        <v>24</v>
      </c>
      <c r="G264" s="202">
        <f>RS!F35</f>
        <v>1.37</v>
      </c>
      <c r="H264" s="202">
        <f>RS!H35</f>
        <v>0.02</v>
      </c>
      <c r="I264" s="202">
        <f>RS!G35</f>
        <v>1.54</v>
      </c>
      <c r="J264" s="202">
        <f>RS!I35</f>
        <v>0.04</v>
      </c>
      <c r="K264" s="202">
        <f>RS!J35</f>
        <v>6.0000000000000001E-3</v>
      </c>
      <c r="L264" s="203">
        <f>RS!K35</f>
        <v>0.64</v>
      </c>
    </row>
    <row r="265" spans="1:12" x14ac:dyDescent="0.3">
      <c r="A265" s="199" t="str">
        <f>UPPER(LEFT(RS!B36,2))&amp;RIGHT(RS!B36,LEN(RS!B36)-2)</f>
        <v>RC</v>
      </c>
      <c r="B265" s="200" t="str" cm="1">
        <f t="array" ref="B265">_xlfn.IFS(A265="EP", "EP", A265="STa", "SPI", A265="STb", "SPO", A265="MRT", "MRT", A265="RG", "RN", A265="RT", "RU", A265="RW", "RL", A265="RC", "RS")</f>
        <v>RS</v>
      </c>
      <c r="C265" s="201">
        <f>INT(RS!A36)</f>
        <v>44405</v>
      </c>
      <c r="D265" s="201" t="str">
        <f t="shared" si="45"/>
        <v>RS44405</v>
      </c>
      <c r="E265" s="202">
        <f>RS!D36</f>
        <v>6.88</v>
      </c>
      <c r="F265" s="202">
        <f>RS!E36</f>
        <v>24.05</v>
      </c>
      <c r="G265" s="202">
        <f>RS!F36</f>
        <v>0.06</v>
      </c>
      <c r="H265" s="202">
        <f>RS!H36</f>
        <v>0.7</v>
      </c>
      <c r="I265" s="202">
        <f>RS!G36</f>
        <v>0.8</v>
      </c>
      <c r="J265" s="202">
        <f>RS!I36</f>
        <v>0.1</v>
      </c>
      <c r="K265" s="202">
        <f>RS!J36</f>
        <v>7.0000000000000001E-3</v>
      </c>
      <c r="L265" s="203">
        <f>RS!K36</f>
        <v>0.52</v>
      </c>
    </row>
    <row r="266" spans="1:12" x14ac:dyDescent="0.3">
      <c r="A266" s="199" t="str">
        <f>UPPER(LEFT(RS!B37,2))&amp;RIGHT(RS!B37,LEN(RS!B37)-2)</f>
        <v>RC</v>
      </c>
      <c r="B266" s="200" t="str" cm="1">
        <f t="array" ref="B266">_xlfn.IFS(A266="EP", "EP", A266="STa", "SPI", A266="STb", "SPO", A266="MRT", "MRT", A266="RG", "RN", A266="RT", "RU", A266="RW", "RL", A266="RC", "RS")</f>
        <v>RS</v>
      </c>
      <c r="C266" s="201">
        <f>INT(RS!A37)</f>
        <v>44405</v>
      </c>
      <c r="D266" s="201" t="str">
        <f t="shared" si="45"/>
        <v>RS44405</v>
      </c>
      <c r="E266" s="202">
        <f>RS!D37</f>
        <v>6.95</v>
      </c>
      <c r="F266" s="202">
        <f>RS!E37</f>
        <v>25.4</v>
      </c>
      <c r="G266" s="202">
        <f>RS!F37</f>
        <v>0.04</v>
      </c>
      <c r="H266" s="202">
        <f>RS!H37</f>
        <v>0.51</v>
      </c>
      <c r="I266" s="202">
        <f>RS!G37</f>
        <v>0.61</v>
      </c>
      <c r="J266" s="202">
        <f>RS!I37</f>
        <v>0.2</v>
      </c>
      <c r="K266" s="202">
        <f>RS!J37</f>
        <v>8.9999999999999993E-3</v>
      </c>
      <c r="L266" s="203">
        <f>RS!K37</f>
        <v>0.63</v>
      </c>
    </row>
    <row r="267" spans="1:12" x14ac:dyDescent="0.3">
      <c r="A267" s="199" t="str">
        <f>UPPER(LEFT(RS!B38,2))&amp;RIGHT(RS!B38,LEN(RS!B38)-2)</f>
        <v>RC</v>
      </c>
      <c r="B267" s="200" t="str" cm="1">
        <f t="array" ref="B267">_xlfn.IFS(A267="EP", "EP", A267="STa", "SPI", A267="STb", "SPO", A267="MRT", "MRT", A267="RG", "RN", A267="RT", "RU", A267="RW", "RL", A267="RC", "RS")</f>
        <v>RS</v>
      </c>
      <c r="C267" s="201">
        <f>INT(RS!A38)</f>
        <v>44411</v>
      </c>
      <c r="D267" s="201" t="str">
        <f t="shared" si="45"/>
        <v>RS44411</v>
      </c>
      <c r="E267" s="202">
        <f>RS!D38</f>
        <v>6.85</v>
      </c>
      <c r="F267" s="202">
        <f>RS!E38</f>
        <v>24.3</v>
      </c>
      <c r="G267" s="202">
        <f>RS!F38</f>
        <v>0</v>
      </c>
      <c r="H267" s="202">
        <f>RS!H38</f>
        <v>1.1299999999999999</v>
      </c>
      <c r="I267" s="202">
        <f>RS!G38</f>
        <v>1.25</v>
      </c>
      <c r="J267" s="202">
        <f>RS!I38</f>
        <v>0.19</v>
      </c>
      <c r="K267" s="202">
        <f>RS!J38</f>
        <v>6.0000000000000001E-3</v>
      </c>
      <c r="L267" s="203">
        <f>RS!K38</f>
        <v>0.64</v>
      </c>
    </row>
    <row r="268" spans="1:12" x14ac:dyDescent="0.3">
      <c r="A268" s="199" t="str">
        <f>UPPER(LEFT(RS!B39,2))&amp;RIGHT(RS!B39,LEN(RS!B39)-2)</f>
        <v>RC</v>
      </c>
      <c r="B268" s="200" t="str" cm="1">
        <f t="array" ref="B268">_xlfn.IFS(A268="EP", "EP", A268="STa", "SPI", A268="STb", "SPO", A268="MRT", "MRT", A268="RG", "RN", A268="RT", "RU", A268="RW", "RL", A268="RC", "RS")</f>
        <v>RS</v>
      </c>
      <c r="C268" s="201">
        <f>INT(RS!A39)</f>
        <v>44412</v>
      </c>
      <c r="D268" s="201" t="str">
        <f t="shared" si="45"/>
        <v>RS44412</v>
      </c>
      <c r="E268" s="204">
        <f>RS!E39</f>
        <v>6.86</v>
      </c>
      <c r="F268" s="204">
        <f>RS!D39</f>
        <v>24</v>
      </c>
      <c r="G268" s="202">
        <f>RS!F39</f>
        <v>7.0000000000000007E-2</v>
      </c>
      <c r="H268" s="202">
        <f>RS!H39</f>
        <v>1.1100000000000001</v>
      </c>
      <c r="I268" s="202">
        <f>RS!G39</f>
        <v>1.21</v>
      </c>
      <c r="J268" s="202">
        <f>RS!I39</f>
        <v>0.18</v>
      </c>
      <c r="K268" s="202">
        <f>RS!J39</f>
        <v>7.0000000000000001E-3</v>
      </c>
      <c r="L268" s="203">
        <f>RS!K39</f>
        <v>0.59</v>
      </c>
    </row>
    <row r="269" spans="1:12" x14ac:dyDescent="0.3">
      <c r="A269" s="199" t="str">
        <f>UPPER(LEFT(RS!B40,2))&amp;RIGHT(RS!B40,LEN(RS!B40)-2)</f>
        <v>RC</v>
      </c>
      <c r="B269" s="200" t="str" cm="1">
        <f t="array" ref="B269">_xlfn.IFS(A269="EP", "EP", A269="STa", "SPI", A269="STb", "SPO", A269="MRT", "MRT", A269="RG", "RN", A269="RT", "RU", A269="RW", "RL", A269="RC", "RS")</f>
        <v>RS</v>
      </c>
      <c r="C269" s="201">
        <f>INT(RS!A40)</f>
        <v>44412</v>
      </c>
      <c r="D269" s="201" t="str">
        <f t="shared" si="45"/>
        <v>RS44412</v>
      </c>
      <c r="E269" s="204">
        <f>RS!E40</f>
        <v>6.89</v>
      </c>
      <c r="F269" s="204">
        <f>RS!D40</f>
        <v>25.2</v>
      </c>
      <c r="G269" s="202">
        <f>RS!F40</f>
        <v>7.0000000000000007E-2</v>
      </c>
      <c r="H269" s="202">
        <f>RS!H40</f>
        <v>0.93</v>
      </c>
      <c r="I269" s="202">
        <f>RS!G40</f>
        <v>1</v>
      </c>
      <c r="J269" s="202">
        <f>RS!I40</f>
        <v>0.23</v>
      </c>
      <c r="K269" s="202">
        <f>RS!J40</f>
        <v>8.0000000000000002E-3</v>
      </c>
      <c r="L269" s="203">
        <f>RS!K40</f>
        <v>0.67</v>
      </c>
    </row>
    <row r="270" spans="1:12" x14ac:dyDescent="0.3">
      <c r="A270" s="199" t="str">
        <f>UPPER(LEFT(RS!B41,2))&amp;RIGHT(RS!B41,LEN(RS!B41)-2)</f>
        <v>RC</v>
      </c>
      <c r="B270" s="200" t="str" cm="1">
        <f t="array" ref="B270">_xlfn.IFS(A270="EP", "EP", A270="STa", "SPI", A270="STb", "SPO", A270="MRT", "MRT", A270="RG", "RN", A270="RT", "RU", A270="RW", "RL", A270="RC", "RS")</f>
        <v>RS</v>
      </c>
      <c r="C270" s="201">
        <f>INT(RS!A41)</f>
        <v>44418</v>
      </c>
      <c r="D270" s="201" t="str">
        <f t="shared" si="45"/>
        <v>RS44418</v>
      </c>
      <c r="E270" s="202">
        <f>RS!D41</f>
        <v>6.85</v>
      </c>
      <c r="F270" s="202">
        <f>RS!E41</f>
        <v>23.9</v>
      </c>
      <c r="G270" s="202">
        <f>RS!F41</f>
        <v>0.11</v>
      </c>
      <c r="H270" s="202">
        <f>RS!H41</f>
        <v>1.04</v>
      </c>
      <c r="I270" s="202">
        <f>RS!G41</f>
        <v>0.93</v>
      </c>
      <c r="J270" s="202">
        <f>RS!I41</f>
        <v>0.21</v>
      </c>
      <c r="K270" s="202">
        <f>RS!J41</f>
        <v>6.0000000000000001E-3</v>
      </c>
      <c r="L270" s="203">
        <f>RS!K41</f>
        <v>0.59</v>
      </c>
    </row>
    <row r="271" spans="1:12" x14ac:dyDescent="0.3">
      <c r="A271" s="199" t="str">
        <f>UPPER(LEFT(RS!B42,2))&amp;RIGHT(RS!B42,LEN(RS!B42)-2)</f>
        <v>RC</v>
      </c>
      <c r="B271" s="200" t="str" cm="1">
        <f t="array" ref="B271">_xlfn.IFS(A271="EP", "EP", A271="STa", "SPI", A271="STb", "SPO", A271="MRT", "MRT", A271="RG", "RN", A271="RT", "RU", A271="RW", "RL", A271="RC", "RS")</f>
        <v>RS</v>
      </c>
      <c r="C271" s="201">
        <f>INT(RS!A42)</f>
        <v>44419</v>
      </c>
      <c r="D271" s="201" t="str">
        <f t="shared" si="45"/>
        <v>RS44419</v>
      </c>
      <c r="E271" s="202">
        <f>RS!D42</f>
        <v>6.87</v>
      </c>
      <c r="F271" s="202">
        <f>RS!E42</f>
        <v>23.7</v>
      </c>
      <c r="G271" s="202">
        <f>RS!F42</f>
        <v>7.0000000000000007E-2</v>
      </c>
      <c r="H271" s="202">
        <f>RS!H42</f>
        <v>0.86</v>
      </c>
      <c r="I271" s="202">
        <f>RS!G42</f>
        <v>0.74</v>
      </c>
      <c r="J271" s="202">
        <f>RS!I42</f>
        <v>0.25</v>
      </c>
      <c r="K271" s="202">
        <f>RS!J42</f>
        <v>7.0000000000000001E-3</v>
      </c>
      <c r="L271" s="203">
        <f>RS!K42</f>
        <v>0.6</v>
      </c>
    </row>
    <row r="272" spans="1:12" x14ac:dyDescent="0.3">
      <c r="A272" s="199" t="str">
        <f>UPPER(LEFT(RS!B43,2))&amp;RIGHT(RS!B43,LEN(RS!B43)-2)</f>
        <v>RC</v>
      </c>
      <c r="B272" s="200" t="str" cm="1">
        <f t="array" ref="B272">_xlfn.IFS(A272="EP", "EP", A272="STa", "SPI", A272="STb", "SPO", A272="MRT", "MRT", A272="RG", "RN", A272="RT", "RU", A272="RW", "RL", A272="RC", "RS")</f>
        <v>RS</v>
      </c>
      <c r="C272" s="201">
        <f>INT(RS!A43)</f>
        <v>44419</v>
      </c>
      <c r="D272" s="201" t="str">
        <f t="shared" si="45"/>
        <v>RS44419</v>
      </c>
      <c r="E272" s="202">
        <f>RS!D43</f>
        <v>6.87</v>
      </c>
      <c r="F272" s="202">
        <f>RS!E43</f>
        <v>25.6</v>
      </c>
      <c r="G272" s="202">
        <f>RS!F43</f>
        <v>0.06</v>
      </c>
      <c r="H272" s="202">
        <f>RS!H43</f>
        <v>0.67</v>
      </c>
      <c r="I272" s="202">
        <f>RS!G43</f>
        <v>0.61</v>
      </c>
      <c r="J272" s="202">
        <f>RS!I43</f>
        <v>0.23</v>
      </c>
      <c r="K272" s="202">
        <f>RS!J43</f>
        <v>8.0000000000000002E-3</v>
      </c>
      <c r="L272" s="203">
        <f>RS!K43</f>
        <v>0.62</v>
      </c>
    </row>
    <row r="273" spans="1:12" x14ac:dyDescent="0.3">
      <c r="A273" s="199" t="str">
        <f>UPPER(LEFT(RS!B44,2))&amp;RIGHT(RS!B44,LEN(RS!B44)-2)</f>
        <v>RC</v>
      </c>
      <c r="B273" s="200" t="str" cm="1">
        <f t="array" ref="B273">_xlfn.IFS(A273="EP", "EP", A273="STa", "SPI", A273="STb", "SPO", A273="MRT", "MRT", A273="RG", "RN", A273="RT", "RU", A273="RW", "RL", A273="RC", "RS")</f>
        <v>RS</v>
      </c>
      <c r="C273" s="201">
        <f>INT(RS!A44)</f>
        <v>44425</v>
      </c>
      <c r="D273" s="201" t="str">
        <f t="shared" si="45"/>
        <v>RS44425</v>
      </c>
      <c r="E273" s="202">
        <f>RS!D44</f>
        <v>6.9</v>
      </c>
      <c r="F273" s="202">
        <f>RS!E44</f>
        <v>24.4</v>
      </c>
      <c r="G273" s="202">
        <f>RS!F44</f>
        <v>0.09</v>
      </c>
      <c r="H273" s="202">
        <f>RS!H44</f>
        <v>0.95</v>
      </c>
      <c r="I273" s="202">
        <f>RS!G44</f>
        <v>0.85</v>
      </c>
      <c r="J273" s="202">
        <f>RS!I44</f>
        <v>0.19</v>
      </c>
      <c r="K273" s="202">
        <f>RS!J44</f>
        <v>6.0000000000000001E-3</v>
      </c>
      <c r="L273" s="203">
        <f>RS!K44</f>
        <v>0.53</v>
      </c>
    </row>
    <row r="274" spans="1:12" x14ac:dyDescent="0.3">
      <c r="A274" s="199" t="str">
        <f>UPPER(LEFT(RS!B45,2))&amp;RIGHT(RS!B45,LEN(RS!B45)-2)</f>
        <v>RC</v>
      </c>
      <c r="B274" s="200" t="str" cm="1">
        <f t="array" ref="B274">_xlfn.IFS(A274="EP", "EP", A274="STa", "SPI", A274="STb", "SPO", A274="MRT", "MRT", A274="RG", "RN", A274="RT", "RU", A274="RW", "RL", A274="RC", "RS")</f>
        <v>RS</v>
      </c>
      <c r="C274" s="201">
        <f>INT(RS!A45)</f>
        <v>44426</v>
      </c>
      <c r="D274" s="201" t="str">
        <f t="shared" si="45"/>
        <v>RS44426</v>
      </c>
      <c r="E274" s="202">
        <f>RS!D45</f>
        <v>6.84</v>
      </c>
      <c r="F274" s="202">
        <f>RS!E45</f>
        <v>24.4</v>
      </c>
      <c r="G274" s="202">
        <f>RS!F45</f>
        <v>0.04</v>
      </c>
      <c r="H274" s="202">
        <f>RS!H45</f>
        <v>0.98</v>
      </c>
      <c r="I274" s="202">
        <f>RS!G45</f>
        <v>0.95</v>
      </c>
      <c r="J274" s="202">
        <f>RS!I45</f>
        <v>0.24</v>
      </c>
      <c r="K274" s="202">
        <f>RS!J45</f>
        <v>7.0000000000000001E-3</v>
      </c>
      <c r="L274" s="203">
        <f>RS!K45</f>
        <v>0.57999999999999996</v>
      </c>
    </row>
    <row r="275" spans="1:12" x14ac:dyDescent="0.3">
      <c r="A275" s="199" t="str">
        <f>UPPER(LEFT(RS!B46,2))&amp;RIGHT(RS!B46,LEN(RS!B46)-2)</f>
        <v>RC</v>
      </c>
      <c r="B275" s="200" t="str" cm="1">
        <f t="array" ref="B275">_xlfn.IFS(A275="EP", "EP", A275="STa", "SPI", A275="STb", "SPO", A275="MRT", "MRT", A275="RG", "RN", A275="RT", "RU", A275="RW", "RL", A275="RC", "RS")</f>
        <v>RS</v>
      </c>
      <c r="C275" s="201">
        <f>INT(RS!A46)</f>
        <v>44426</v>
      </c>
      <c r="D275" s="201" t="str">
        <f t="shared" si="45"/>
        <v>RS44426</v>
      </c>
      <c r="E275" s="202">
        <f>RS!D46</f>
        <v>6.88</v>
      </c>
      <c r="F275" s="202">
        <f>RS!E46</f>
        <v>25.4</v>
      </c>
      <c r="G275" s="202">
        <f>RS!F46</f>
        <v>0.06</v>
      </c>
      <c r="H275" s="202">
        <f>RS!H46</f>
        <v>0.87</v>
      </c>
      <c r="I275" s="202">
        <f>RS!G46</f>
        <v>0.96</v>
      </c>
      <c r="J275" s="202">
        <f>RS!I46</f>
        <v>0.23</v>
      </c>
      <c r="K275" s="202">
        <f>RS!J46</f>
        <v>8.0000000000000002E-3</v>
      </c>
      <c r="L275" s="203">
        <f>RS!K46</f>
        <v>0.6</v>
      </c>
    </row>
    <row r="276" spans="1:12" x14ac:dyDescent="0.3">
      <c r="A276" s="199" t="str">
        <f>UPPER(LEFT(RS!B47,2))&amp;RIGHT(RS!B47,LEN(RS!B47)-2)</f>
        <v>RC</v>
      </c>
      <c r="B276" s="200" t="str" cm="1">
        <f t="array" ref="B276">_xlfn.IFS(A276="EP", "EP", A276="STa", "SPI", A276="STb", "SPO", A276="MRT", "MRT", A276="RG", "RN", A276="RT", "RU", A276="RW", "RL", A276="RC", "RS")</f>
        <v>RS</v>
      </c>
      <c r="C276" s="201">
        <f>INT(RS!A47)</f>
        <v>44432</v>
      </c>
      <c r="D276" s="201" t="str">
        <f t="shared" si="45"/>
        <v>RS44432</v>
      </c>
      <c r="E276" s="202">
        <f>RS!D47</f>
        <v>6.95</v>
      </c>
      <c r="F276" s="202">
        <f>RS!E47</f>
        <v>24.6</v>
      </c>
      <c r="G276" s="202">
        <f>RS!F47</f>
        <v>0.04</v>
      </c>
      <c r="H276" s="202">
        <f>RS!H47</f>
        <v>0.75</v>
      </c>
      <c r="I276" s="202">
        <f>RS!G47</f>
        <v>0.6</v>
      </c>
      <c r="J276" s="202">
        <f>RS!I47</f>
        <v>0.24</v>
      </c>
      <c r="K276" s="202">
        <f>RS!J47</f>
        <v>7.0000000000000001E-3</v>
      </c>
      <c r="L276" s="203">
        <f>RS!K47</f>
        <v>0.68</v>
      </c>
    </row>
    <row r="277" spans="1:12" x14ac:dyDescent="0.3">
      <c r="A277" s="199" t="str">
        <f>UPPER(LEFT(RS!B48,2))&amp;RIGHT(RS!B48,LEN(RS!B48)-2)</f>
        <v>RC</v>
      </c>
      <c r="B277" s="200" t="str" cm="1">
        <f t="array" ref="B277">_xlfn.IFS(A277="EP", "EP", A277="STa", "SPI", A277="STb", "SPO", A277="MRT", "MRT", A277="RG", "RN", A277="RT", "RU", A277="RW", "RL", A277="RC", "RS")</f>
        <v>RS</v>
      </c>
      <c r="C277" s="201">
        <f>INT(RS!A48)</f>
        <v>44433</v>
      </c>
      <c r="D277" s="201" t="str">
        <f t="shared" si="45"/>
        <v>RS44433</v>
      </c>
      <c r="E277" s="202">
        <f>RS!D48</f>
        <v>6.96</v>
      </c>
      <c r="F277" s="202">
        <f>RS!E48</f>
        <v>23.7</v>
      </c>
      <c r="G277" s="202">
        <f>RS!F48</f>
        <v>0.08</v>
      </c>
      <c r="H277" s="202">
        <f>RS!H48</f>
        <v>1.1499999999999999</v>
      </c>
      <c r="I277" s="202">
        <f>RS!G48</f>
        <v>1.01</v>
      </c>
      <c r="J277" s="202">
        <f>RS!I48</f>
        <v>0.28000000000000003</v>
      </c>
      <c r="K277" s="202">
        <f>RS!J48</f>
        <v>7.0000000000000001E-3</v>
      </c>
      <c r="L277" s="203">
        <f>RS!K48</f>
        <v>0.57999999999999996</v>
      </c>
    </row>
    <row r="278" spans="1:12" ht="16.350000000000001" thickBot="1" x14ac:dyDescent="0.35">
      <c r="A278" s="205" t="str">
        <f>UPPER(LEFT(RS!B49,2))&amp;RIGHT(RS!B49,LEN(RS!B49)-2)</f>
        <v>RC</v>
      </c>
      <c r="B278" s="206" t="str" cm="1">
        <f t="array" ref="B278">_xlfn.IFS(A278="EP", "EP", A278="STa", "SPI", A278="STb", "SPO", A278="MRT", "MRT", A278="RG", "RN", A278="RT", "RU", A278="RW", "RL", A278="RC", "RS")</f>
        <v>RS</v>
      </c>
      <c r="C278" s="207">
        <f>INT(RS!A49)</f>
        <v>44433</v>
      </c>
      <c r="D278" s="207" t="str">
        <f t="shared" si="45"/>
        <v>RS44433</v>
      </c>
      <c r="E278" s="208">
        <f>RS!D49</f>
        <v>7.05</v>
      </c>
      <c r="F278" s="208">
        <f>RS!E49</f>
        <v>25.2</v>
      </c>
      <c r="G278" s="208">
        <f>RS!F49</f>
        <v>0.08</v>
      </c>
      <c r="H278" s="208">
        <f>RS!H49</f>
        <v>0.91</v>
      </c>
      <c r="I278" s="208">
        <f>RS!G49</f>
        <v>0.77</v>
      </c>
      <c r="J278" s="208">
        <f>RS!I49</f>
        <v>0.46</v>
      </c>
      <c r="K278" s="208">
        <f>RS!J49</f>
        <v>0.01</v>
      </c>
      <c r="L278" s="209">
        <f>RS!K49</f>
        <v>0.63</v>
      </c>
    </row>
    <row r="279" spans="1:12" ht="16.350000000000001" thickTop="1" x14ac:dyDescent="0.3"/>
  </sheetData>
  <sheetProtection algorithmName="SHA-512" hashValue="OrDgcQWqbEbdPI7tjM/JbQpWJvsqXxUf2iVcWxKs2zg9iy2HdMGfX+wmpYXR/wK+tBLZFgo4YhaKkhMU3ZjaMQ==" saltValue="euR0RIcHWs2bQPUfO1SteQ==" spinCount="100000" sheet="1" objects="1" scenarios="1"/>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0ABA5B-CAE5-4E69-A22A-9E68FA2C16A3}">
  <dimension ref="A1:L208"/>
  <sheetViews>
    <sheetView workbookViewId="0">
      <selection activeCell="H2" sqref="H2:H207"/>
    </sheetView>
  </sheetViews>
  <sheetFormatPr defaultRowHeight="15.75" x14ac:dyDescent="0.3"/>
  <cols>
    <col min="1" max="1" width="7.5546875" style="62" customWidth="1"/>
    <col min="2" max="2" width="12.21875" style="280" customWidth="1"/>
    <col min="3" max="3" width="12.44140625" style="62" customWidth="1"/>
    <col min="4" max="4" width="8.88671875" style="282"/>
    <col min="5" max="5" width="14.6640625" style="282" customWidth="1"/>
    <col min="6" max="6" width="13.6640625" style="282" customWidth="1"/>
    <col min="7" max="7" width="17.88671875" style="282" customWidth="1"/>
    <col min="8" max="8" width="16" style="282" customWidth="1"/>
    <col min="9" max="9" width="14.33203125" style="282" customWidth="1"/>
    <col min="10" max="10" width="13.5546875" style="282" customWidth="1"/>
    <col min="11" max="11" width="17" style="282" customWidth="1"/>
    <col min="12" max="12" width="15" style="62" customWidth="1"/>
    <col min="13" max="16384" width="8.88671875" style="62"/>
  </cols>
  <sheetData>
    <row r="1" spans="1:12" s="380" customFormat="1" ht="43" customHeight="1" thickTop="1" thickBot="1" x14ac:dyDescent="0.35">
      <c r="A1" s="1429" t="s">
        <v>149</v>
      </c>
      <c r="B1" s="1433" t="s">
        <v>55</v>
      </c>
      <c r="C1" s="1432" t="s">
        <v>174</v>
      </c>
      <c r="D1" s="1430" t="s">
        <v>97</v>
      </c>
      <c r="E1" s="1431" t="s">
        <v>209</v>
      </c>
      <c r="F1" s="1431" t="s">
        <v>202</v>
      </c>
      <c r="G1" s="1431" t="s">
        <v>203</v>
      </c>
      <c r="H1" s="1431" t="s">
        <v>204</v>
      </c>
      <c r="I1" s="1431" t="s">
        <v>205</v>
      </c>
      <c r="J1" s="1431" t="s">
        <v>206</v>
      </c>
      <c r="K1" s="1431" t="s">
        <v>207</v>
      </c>
      <c r="L1" s="1437" t="s">
        <v>232</v>
      </c>
    </row>
    <row r="2" spans="1:12" s="1428" customFormat="1" x14ac:dyDescent="0.3">
      <c r="A2" s="562" t="str" cm="1">
        <f t="array" ref="A2:L207">_xlfn._xlws.SORT(Physicochemical_Managed!N2:Y207, 12, 1)</f>
        <v>EP</v>
      </c>
      <c r="B2" s="1436">
        <v>44405</v>
      </c>
      <c r="C2" s="563" t="str">
        <v>EP44405</v>
      </c>
      <c r="D2" s="1451">
        <v>6.71</v>
      </c>
      <c r="E2" s="1451">
        <v>31.9</v>
      </c>
      <c r="F2" s="1451">
        <v>0.09</v>
      </c>
      <c r="G2" s="1451">
        <v>3.49</v>
      </c>
      <c r="H2" s="1451">
        <v>4.0599999999999996</v>
      </c>
      <c r="I2" s="1451">
        <v>0.04</v>
      </c>
      <c r="J2" s="1451">
        <v>7.0000000000000001E-3</v>
      </c>
      <c r="K2" s="1451">
        <v>0.3</v>
      </c>
      <c r="L2" s="564" t="str">
        <v>After the burn</v>
      </c>
    </row>
    <row r="3" spans="1:12" s="1428" customFormat="1" x14ac:dyDescent="0.3">
      <c r="A3" s="556" t="str">
        <v>EP</v>
      </c>
      <c r="B3" s="1434">
        <v>44412</v>
      </c>
      <c r="C3" s="557" t="str">
        <v>EP44412</v>
      </c>
      <c r="D3" s="1452">
        <v>6.76</v>
      </c>
      <c r="E3" s="1452">
        <v>29.4</v>
      </c>
      <c r="F3" s="1452">
        <v>0.15</v>
      </c>
      <c r="G3" s="1452">
        <v>3.53</v>
      </c>
      <c r="H3" s="1452">
        <v>3.57</v>
      </c>
      <c r="I3" s="1452">
        <v>0.01</v>
      </c>
      <c r="J3" s="1452">
        <v>8.0000000000000002E-3</v>
      </c>
      <c r="K3" s="1452">
        <v>0.32</v>
      </c>
      <c r="L3" s="558" t="str">
        <v>After the burn</v>
      </c>
    </row>
    <row r="4" spans="1:12" s="1428" customFormat="1" x14ac:dyDescent="0.3">
      <c r="A4" s="556" t="str">
        <v>EP</v>
      </c>
      <c r="B4" s="1434">
        <v>44419</v>
      </c>
      <c r="C4" s="557" t="str">
        <v>EP44419</v>
      </c>
      <c r="D4" s="1452">
        <v>6.67</v>
      </c>
      <c r="E4" s="1452">
        <v>30.2</v>
      </c>
      <c r="F4" s="1452">
        <v>0.14000000000000001</v>
      </c>
      <c r="G4" s="1452">
        <v>3.26</v>
      </c>
      <c r="H4" s="1452">
        <v>3.89</v>
      </c>
      <c r="I4" s="1452">
        <v>0.36</v>
      </c>
      <c r="J4" s="1452">
        <v>8.9999999999999993E-3</v>
      </c>
      <c r="K4" s="1452">
        <v>0.27</v>
      </c>
      <c r="L4" s="558" t="str">
        <v>After the burn</v>
      </c>
    </row>
    <row r="5" spans="1:12" s="1428" customFormat="1" x14ac:dyDescent="0.3">
      <c r="A5" s="556" t="str">
        <v>EP</v>
      </c>
      <c r="B5" s="1434">
        <v>44426</v>
      </c>
      <c r="C5" s="557" t="str">
        <v>EP44426</v>
      </c>
      <c r="D5" s="1452">
        <v>6.71</v>
      </c>
      <c r="E5" s="1452">
        <v>32.799999999999997</v>
      </c>
      <c r="F5" s="1452">
        <v>0.18</v>
      </c>
      <c r="G5" s="1452">
        <v>3.66</v>
      </c>
      <c r="H5" s="1452">
        <v>3.82</v>
      </c>
      <c r="I5" s="1452">
        <v>0.03</v>
      </c>
      <c r="J5" s="1452">
        <v>8.0000000000000002E-3</v>
      </c>
      <c r="K5" s="1452">
        <v>0.28999999999999998</v>
      </c>
      <c r="L5" s="558" t="str">
        <v>After the burn</v>
      </c>
    </row>
    <row r="6" spans="1:12" s="1428" customFormat="1" x14ac:dyDescent="0.3">
      <c r="A6" s="556" t="str">
        <v>EP</v>
      </c>
      <c r="B6" s="1434">
        <v>44433</v>
      </c>
      <c r="C6" s="557" t="str">
        <v>EP44433</v>
      </c>
      <c r="D6" s="1452">
        <v>6.84</v>
      </c>
      <c r="E6" s="1452">
        <v>33.5</v>
      </c>
      <c r="F6" s="1452">
        <v>0.21</v>
      </c>
      <c r="G6" s="1452">
        <v>3.94</v>
      </c>
      <c r="H6" s="1452">
        <v>3.94</v>
      </c>
      <c r="I6" s="1452">
        <v>0</v>
      </c>
      <c r="J6" s="1452">
        <v>7.0000000000000001E-3</v>
      </c>
      <c r="K6" s="1452">
        <v>0.28999999999999998</v>
      </c>
      <c r="L6" s="558" t="str">
        <v>After the burn</v>
      </c>
    </row>
    <row r="7" spans="1:12" s="1428" customFormat="1" x14ac:dyDescent="0.3">
      <c r="A7" s="556" t="str">
        <v>SPI</v>
      </c>
      <c r="B7" s="1434">
        <v>44405</v>
      </c>
      <c r="C7" s="557" t="str">
        <v>SPI44405</v>
      </c>
      <c r="D7" s="1452">
        <v>6.74</v>
      </c>
      <c r="E7" s="1452">
        <v>29.7</v>
      </c>
      <c r="F7" s="1452">
        <v>0.04</v>
      </c>
      <c r="G7" s="1452">
        <v>0.02</v>
      </c>
      <c r="H7" s="1452">
        <v>0.04</v>
      </c>
      <c r="I7" s="1452">
        <v>0.02</v>
      </c>
      <c r="J7" s="1452">
        <v>7.0000000000000001E-3</v>
      </c>
      <c r="K7" s="1452">
        <v>0.48</v>
      </c>
      <c r="L7" s="558" t="str">
        <v>After the burn</v>
      </c>
    </row>
    <row r="8" spans="1:12" s="1428" customFormat="1" x14ac:dyDescent="0.3">
      <c r="A8" s="556" t="str">
        <v>SPI</v>
      </c>
      <c r="B8" s="1434">
        <v>44412</v>
      </c>
      <c r="C8" s="557" t="str">
        <v>SPI44412</v>
      </c>
      <c r="D8" s="1452">
        <v>6.7</v>
      </c>
      <c r="E8" s="1452">
        <v>29.7</v>
      </c>
      <c r="F8" s="1452">
        <v>0.06</v>
      </c>
      <c r="G8" s="1452">
        <v>2.19</v>
      </c>
      <c r="H8" s="1452">
        <v>2.48</v>
      </c>
      <c r="I8" s="1452">
        <v>0.19</v>
      </c>
      <c r="J8" s="1452">
        <v>7.0000000000000001E-3</v>
      </c>
      <c r="K8" s="1452">
        <v>0.43</v>
      </c>
      <c r="L8" s="558" t="str">
        <v>After the burn</v>
      </c>
    </row>
    <row r="9" spans="1:12" s="1428" customFormat="1" x14ac:dyDescent="0.3">
      <c r="A9" s="556" t="str">
        <v>SPI</v>
      </c>
      <c r="B9" s="1434">
        <v>44419</v>
      </c>
      <c r="C9" s="557" t="str">
        <v>SPI44419</v>
      </c>
      <c r="D9" s="1452">
        <v>6.68</v>
      </c>
      <c r="E9" s="1452">
        <v>29.7</v>
      </c>
      <c r="F9" s="1452">
        <v>0.1</v>
      </c>
      <c r="G9" s="1452">
        <v>2.0099999999999998</v>
      </c>
      <c r="H9" s="1452">
        <v>2.35</v>
      </c>
      <c r="I9" s="1452">
        <v>0.18</v>
      </c>
      <c r="J9" s="1452">
        <v>6.0000000000000001E-3</v>
      </c>
      <c r="K9" s="1452">
        <v>0.32</v>
      </c>
      <c r="L9" s="558" t="str">
        <v>After the burn</v>
      </c>
    </row>
    <row r="10" spans="1:12" s="1428" customFormat="1" x14ac:dyDescent="0.3">
      <c r="A10" s="556" t="str">
        <v>SPI</v>
      </c>
      <c r="B10" s="1434">
        <v>44426</v>
      </c>
      <c r="C10" s="557" t="str">
        <v>SPI44426</v>
      </c>
      <c r="D10" s="1452">
        <v>6.78</v>
      </c>
      <c r="E10" s="1452">
        <v>29.9</v>
      </c>
      <c r="F10" s="1452">
        <v>7.0000000000000007E-2</v>
      </c>
      <c r="G10" s="1452">
        <v>1.96</v>
      </c>
      <c r="H10" s="1452">
        <v>2.36</v>
      </c>
      <c r="I10" s="1452">
        <v>0.11</v>
      </c>
      <c r="J10" s="1452">
        <v>2E-3</v>
      </c>
      <c r="K10" s="1452">
        <v>0.4</v>
      </c>
      <c r="L10" s="558" t="str">
        <v>After the burn</v>
      </c>
    </row>
    <row r="11" spans="1:12" s="1428" customFormat="1" x14ac:dyDescent="0.3">
      <c r="A11" s="556" t="str">
        <v>SPI</v>
      </c>
      <c r="B11" s="1434">
        <v>44433</v>
      </c>
      <c r="C11" s="557" t="str">
        <v>SPI44433</v>
      </c>
      <c r="D11" s="1452">
        <v>6.85</v>
      </c>
      <c r="E11" s="1452">
        <v>29.6</v>
      </c>
      <c r="F11" s="1452">
        <v>0.11</v>
      </c>
      <c r="G11" s="1452">
        <v>1.24</v>
      </c>
      <c r="H11" s="1452">
        <v>1.21</v>
      </c>
      <c r="I11" s="1452">
        <v>0.16</v>
      </c>
      <c r="J11" s="1452">
        <v>1E-3</v>
      </c>
      <c r="K11" s="1452">
        <v>0.42</v>
      </c>
      <c r="L11" s="558" t="str">
        <v>After the burn</v>
      </c>
    </row>
    <row r="12" spans="1:12" s="1428" customFormat="1" x14ac:dyDescent="0.3">
      <c r="A12" s="556" t="str">
        <v>SPO</v>
      </c>
      <c r="B12" s="1434">
        <v>44405</v>
      </c>
      <c r="C12" s="557" t="str">
        <v>SPO44405</v>
      </c>
      <c r="D12" s="1452">
        <v>7</v>
      </c>
      <c r="E12" s="1452">
        <v>28.6</v>
      </c>
      <c r="F12" s="1452">
        <v>0.05</v>
      </c>
      <c r="G12" s="1452">
        <v>0.84</v>
      </c>
      <c r="H12" s="1452">
        <v>1.02</v>
      </c>
      <c r="I12" s="1452">
        <v>0.16</v>
      </c>
      <c r="J12" s="1452">
        <v>7.0000000000000001E-3</v>
      </c>
      <c r="K12" s="1452">
        <v>0.47</v>
      </c>
      <c r="L12" s="558" t="str">
        <v>After the burn</v>
      </c>
    </row>
    <row r="13" spans="1:12" s="1428" customFormat="1" x14ac:dyDescent="0.3">
      <c r="A13" s="556" t="str">
        <v>SPO</v>
      </c>
      <c r="B13" s="1434">
        <v>44412</v>
      </c>
      <c r="C13" s="557" t="str">
        <v>SPO44412</v>
      </c>
      <c r="D13" s="1452">
        <v>7.07</v>
      </c>
      <c r="E13" s="1452">
        <v>28.2</v>
      </c>
      <c r="F13" s="1452">
        <v>0.1</v>
      </c>
      <c r="G13" s="1452">
        <v>1.69</v>
      </c>
      <c r="H13" s="1452">
        <v>1.91</v>
      </c>
      <c r="I13" s="1452">
        <v>0.25</v>
      </c>
      <c r="J13" s="1452">
        <v>5.0000000000000001E-3</v>
      </c>
      <c r="K13" s="1452">
        <v>0.4</v>
      </c>
      <c r="L13" s="558" t="str">
        <v>After the burn</v>
      </c>
    </row>
    <row r="14" spans="1:12" s="1428" customFormat="1" x14ac:dyDescent="0.3">
      <c r="A14" s="556" t="str">
        <v>SPO</v>
      </c>
      <c r="B14" s="1434">
        <v>44419</v>
      </c>
      <c r="C14" s="557" t="str">
        <v>SPO44419</v>
      </c>
      <c r="D14" s="1452">
        <v>7.09</v>
      </c>
      <c r="E14" s="1452">
        <v>29.5</v>
      </c>
      <c r="F14" s="1452">
        <v>0.11</v>
      </c>
      <c r="G14" s="1452">
        <v>1.59</v>
      </c>
      <c r="H14" s="1452">
        <v>1.82</v>
      </c>
      <c r="I14" s="1452">
        <v>0.18</v>
      </c>
      <c r="J14" s="1452">
        <v>6.0000000000000001E-3</v>
      </c>
      <c r="K14" s="1452">
        <v>0.44</v>
      </c>
      <c r="L14" s="558" t="str">
        <v>After the burn</v>
      </c>
    </row>
    <row r="15" spans="1:12" s="1428" customFormat="1" x14ac:dyDescent="0.3">
      <c r="A15" s="556" t="str">
        <v>SPO</v>
      </c>
      <c r="B15" s="1434">
        <v>44426</v>
      </c>
      <c r="C15" s="557" t="str">
        <v>SPO44426</v>
      </c>
      <c r="D15" s="1452">
        <v>6.7</v>
      </c>
      <c r="E15" s="1452">
        <v>28.6</v>
      </c>
      <c r="F15" s="1452">
        <v>0.09</v>
      </c>
      <c r="G15" s="1452">
        <v>1.61</v>
      </c>
      <c r="H15" s="1452">
        <v>1.8</v>
      </c>
      <c r="I15" s="1452">
        <v>0.18</v>
      </c>
      <c r="J15" s="1452">
        <v>5.0000000000000001E-3</v>
      </c>
      <c r="K15" s="1452">
        <v>0.38</v>
      </c>
      <c r="L15" s="558" t="str">
        <v>After the burn</v>
      </c>
    </row>
    <row r="16" spans="1:12" s="1428" customFormat="1" x14ac:dyDescent="0.3">
      <c r="A16" s="556" t="str">
        <v>SPO</v>
      </c>
      <c r="B16" s="1434">
        <v>44433</v>
      </c>
      <c r="C16" s="557" t="str">
        <v>SPO44433</v>
      </c>
      <c r="D16" s="1452">
        <v>6.7</v>
      </c>
      <c r="E16" s="1452">
        <v>30.4</v>
      </c>
      <c r="F16" s="1452">
        <v>0.08</v>
      </c>
      <c r="G16" s="1452">
        <v>1.21</v>
      </c>
      <c r="H16" s="1452">
        <v>1.19</v>
      </c>
      <c r="I16" s="1452">
        <v>0.21</v>
      </c>
      <c r="J16" s="1452">
        <v>7.0000000000000001E-3</v>
      </c>
      <c r="K16" s="1452">
        <v>0.38</v>
      </c>
      <c r="L16" s="558" t="str">
        <v>After the burn</v>
      </c>
    </row>
    <row r="17" spans="1:12" s="1428" customFormat="1" x14ac:dyDescent="0.3">
      <c r="A17" s="556" t="str">
        <v>MRT</v>
      </c>
      <c r="B17" s="1434">
        <v>44405</v>
      </c>
      <c r="C17" s="557" t="str">
        <v>MRT44405</v>
      </c>
      <c r="D17" s="1452">
        <v>6.71</v>
      </c>
      <c r="E17" s="1452">
        <v>28.8</v>
      </c>
      <c r="F17" s="1452">
        <v>1.86</v>
      </c>
      <c r="G17" s="1452">
        <v>0</v>
      </c>
      <c r="H17" s="1452">
        <v>1.54</v>
      </c>
      <c r="I17" s="1452">
        <v>0.03</v>
      </c>
      <c r="J17" s="1452">
        <v>7.0000000000000001E-3</v>
      </c>
      <c r="K17" s="1452">
        <v>0.65</v>
      </c>
      <c r="L17" s="558" t="str">
        <v>After the burn</v>
      </c>
    </row>
    <row r="18" spans="1:12" s="1428" customFormat="1" x14ac:dyDescent="0.3">
      <c r="A18" s="556" t="str">
        <v>MRT</v>
      </c>
      <c r="B18" s="1434">
        <v>44432</v>
      </c>
      <c r="C18" s="557" t="str">
        <v>MRT44432</v>
      </c>
      <c r="D18" s="1452">
        <v>6.73</v>
      </c>
      <c r="E18" s="1452">
        <v>28.4</v>
      </c>
      <c r="F18" s="1452">
        <v>0.06</v>
      </c>
      <c r="G18" s="1452">
        <v>0.7</v>
      </c>
      <c r="H18" s="1452">
        <v>0.82</v>
      </c>
      <c r="I18" s="1452">
        <v>0.17</v>
      </c>
      <c r="J18" s="1452">
        <v>8.0000000000000002E-3</v>
      </c>
      <c r="K18" s="1452">
        <v>0.69</v>
      </c>
      <c r="L18" s="558" t="str">
        <v>After the burn</v>
      </c>
    </row>
    <row r="19" spans="1:12" s="1428" customFormat="1" x14ac:dyDescent="0.3">
      <c r="A19" s="556" t="str">
        <v>MRT</v>
      </c>
      <c r="B19" s="1434">
        <v>44419</v>
      </c>
      <c r="C19" s="557" t="str">
        <v>MRT44419</v>
      </c>
      <c r="D19" s="1452">
        <v>6.8</v>
      </c>
      <c r="E19" s="1452">
        <v>27.5</v>
      </c>
      <c r="F19" s="1452">
        <v>0.1</v>
      </c>
      <c r="G19" s="1452">
        <v>0.84</v>
      </c>
      <c r="H19" s="1452">
        <v>0.98</v>
      </c>
      <c r="I19" s="1452">
        <v>0.19</v>
      </c>
      <c r="J19" s="1452">
        <v>7.0000000000000001E-3</v>
      </c>
      <c r="K19" s="1452">
        <v>0.7</v>
      </c>
      <c r="L19" s="558" t="str">
        <v>After the burn</v>
      </c>
    </row>
    <row r="20" spans="1:12" s="1428" customFormat="1" x14ac:dyDescent="0.3">
      <c r="A20" s="556" t="str">
        <v>MRT</v>
      </c>
      <c r="B20" s="1434">
        <v>44426</v>
      </c>
      <c r="C20" s="557" t="str">
        <v>MRT44426</v>
      </c>
      <c r="D20" s="1452">
        <v>6.75</v>
      </c>
      <c r="E20" s="1452">
        <v>28.1</v>
      </c>
      <c r="F20" s="1452">
        <v>0.04</v>
      </c>
      <c r="G20" s="1452">
        <v>0.66</v>
      </c>
      <c r="H20" s="1452">
        <v>0.77</v>
      </c>
      <c r="I20" s="1452">
        <v>0.24</v>
      </c>
      <c r="J20" s="1452">
        <v>7.0000000000000001E-3</v>
      </c>
      <c r="K20" s="1452">
        <v>0.69</v>
      </c>
      <c r="L20" s="558" t="str">
        <v>After the burn</v>
      </c>
    </row>
    <row r="21" spans="1:12" s="1428" customFormat="1" x14ac:dyDescent="0.3">
      <c r="A21" s="556" t="str">
        <v>MRT</v>
      </c>
      <c r="B21" s="1434">
        <v>44433</v>
      </c>
      <c r="C21" s="557" t="str">
        <v>MRT44433</v>
      </c>
      <c r="D21" s="1452">
        <v>6.73</v>
      </c>
      <c r="E21" s="1452">
        <v>28.6</v>
      </c>
      <c r="F21" s="1452">
        <v>0.08</v>
      </c>
      <c r="G21" s="1452">
        <v>0.7</v>
      </c>
      <c r="H21" s="1452">
        <v>0.64</v>
      </c>
      <c r="I21" s="1452">
        <v>0.7</v>
      </c>
      <c r="J21" s="1452">
        <v>8.0000000000000002E-3</v>
      </c>
      <c r="K21" s="1452">
        <v>0.66</v>
      </c>
      <c r="L21" s="558" t="str">
        <v>After the burn</v>
      </c>
    </row>
    <row r="22" spans="1:12" s="1428" customFormat="1" x14ac:dyDescent="0.3">
      <c r="A22" s="556" t="str">
        <v>RN</v>
      </c>
      <c r="B22" s="1434">
        <v>44404</v>
      </c>
      <c r="C22" s="557" t="str">
        <v>RN44404</v>
      </c>
      <c r="D22" s="1452">
        <v>6.74</v>
      </c>
      <c r="E22" s="1452">
        <v>24</v>
      </c>
      <c r="F22" s="1452">
        <v>1.33</v>
      </c>
      <c r="G22" s="1452">
        <v>0</v>
      </c>
      <c r="H22" s="1452">
        <v>1.35</v>
      </c>
      <c r="I22" s="1452">
        <v>0.06</v>
      </c>
      <c r="J22" s="1452">
        <v>6.0000000000000001E-3</v>
      </c>
      <c r="K22" s="1452">
        <v>0.68</v>
      </c>
      <c r="L22" s="558" t="str">
        <v>After the burn</v>
      </c>
    </row>
    <row r="23" spans="1:12" s="1428" customFormat="1" x14ac:dyDescent="0.3">
      <c r="A23" s="556" t="str">
        <v>RN</v>
      </c>
      <c r="B23" s="1434">
        <v>44405</v>
      </c>
      <c r="C23" s="557" t="str">
        <v>RN44405</v>
      </c>
      <c r="D23" s="1452">
        <v>6.75</v>
      </c>
      <c r="E23" s="1452">
        <v>24.200000000000003</v>
      </c>
      <c r="F23" s="1452">
        <v>0.105</v>
      </c>
      <c r="G23" s="1452">
        <v>1.32</v>
      </c>
      <c r="H23" s="1452">
        <v>1.335</v>
      </c>
      <c r="I23" s="1452">
        <v>0.18</v>
      </c>
      <c r="J23" s="1452">
        <v>6.5000000000000006E-3</v>
      </c>
      <c r="K23" s="1452">
        <v>0.56499999999999995</v>
      </c>
      <c r="L23" s="558" t="str">
        <v>After the burn</v>
      </c>
    </row>
    <row r="24" spans="1:12" s="1428" customFormat="1" x14ac:dyDescent="0.3">
      <c r="A24" s="556" t="str">
        <v>RN</v>
      </c>
      <c r="B24" s="1434">
        <v>44411</v>
      </c>
      <c r="C24" s="557" t="str">
        <v>RN44411</v>
      </c>
      <c r="D24" s="1452">
        <v>6.81</v>
      </c>
      <c r="E24" s="1452">
        <v>24.1</v>
      </c>
      <c r="F24" s="1452">
        <v>0.11</v>
      </c>
      <c r="G24" s="1452">
        <v>1.04</v>
      </c>
      <c r="H24" s="1452">
        <v>0.84</v>
      </c>
      <c r="I24" s="1452">
        <v>0.21</v>
      </c>
      <c r="J24" s="1452">
        <v>7.0000000000000001E-3</v>
      </c>
      <c r="K24" s="1452">
        <v>0.67</v>
      </c>
      <c r="L24" s="558" t="str">
        <v>After the burn</v>
      </c>
    </row>
    <row r="25" spans="1:12" s="1428" customFormat="1" x14ac:dyDescent="0.3">
      <c r="A25" s="556" t="str">
        <v>RN</v>
      </c>
      <c r="B25" s="1434">
        <v>44412</v>
      </c>
      <c r="C25" s="557" t="str">
        <v>RN44412</v>
      </c>
      <c r="D25" s="1452">
        <v>6.74</v>
      </c>
      <c r="E25" s="1452">
        <v>23.6</v>
      </c>
      <c r="F25" s="1452">
        <v>9.5000000000000001E-2</v>
      </c>
      <c r="G25" s="1452">
        <v>0.89000000000000012</v>
      </c>
      <c r="H25" s="1452">
        <v>0.8</v>
      </c>
      <c r="I25" s="1452">
        <v>0.27</v>
      </c>
      <c r="J25" s="1452">
        <v>6.5000000000000006E-3</v>
      </c>
      <c r="K25" s="1452">
        <v>0.6100000000000001</v>
      </c>
      <c r="L25" s="558" t="str">
        <v>After the burn</v>
      </c>
    </row>
    <row r="26" spans="1:12" s="1428" customFormat="1" x14ac:dyDescent="0.3">
      <c r="A26" s="556" t="str">
        <v>RN</v>
      </c>
      <c r="B26" s="1434">
        <v>44418</v>
      </c>
      <c r="C26" s="557" t="str">
        <v>RN44418</v>
      </c>
      <c r="D26" s="1452">
        <v>6.82</v>
      </c>
      <c r="E26" s="1452">
        <v>24</v>
      </c>
      <c r="F26" s="1452">
        <v>0.15</v>
      </c>
      <c r="G26" s="1452">
        <v>1.35</v>
      </c>
      <c r="H26" s="1452">
        <v>1.26</v>
      </c>
      <c r="I26" s="1452">
        <v>0.23</v>
      </c>
      <c r="J26" s="1452">
        <v>5.0000000000000001E-3</v>
      </c>
      <c r="K26" s="1452">
        <v>0.63</v>
      </c>
      <c r="L26" s="558" t="str">
        <v>After the burn</v>
      </c>
    </row>
    <row r="27" spans="1:12" s="1428" customFormat="1" x14ac:dyDescent="0.3">
      <c r="A27" s="556" t="str">
        <v>RN</v>
      </c>
      <c r="B27" s="1434">
        <v>44419</v>
      </c>
      <c r="C27" s="557" t="str">
        <v>RN44419</v>
      </c>
      <c r="D27" s="1452">
        <v>6.82</v>
      </c>
      <c r="E27" s="1452">
        <v>23.1</v>
      </c>
      <c r="F27" s="1452">
        <v>0.1</v>
      </c>
      <c r="G27" s="1452">
        <v>1.085</v>
      </c>
      <c r="H27" s="1452">
        <v>1.095</v>
      </c>
      <c r="I27" s="1452">
        <v>0.18</v>
      </c>
      <c r="J27" s="1452">
        <v>6.5000000000000006E-3</v>
      </c>
      <c r="K27" s="1452">
        <v>0.61</v>
      </c>
      <c r="L27" s="558" t="str">
        <v>After the burn</v>
      </c>
    </row>
    <row r="28" spans="1:12" s="1428" customFormat="1" x14ac:dyDescent="0.3">
      <c r="A28" s="556" t="str">
        <v>RN</v>
      </c>
      <c r="B28" s="1434">
        <v>44425</v>
      </c>
      <c r="C28" s="557" t="str">
        <v>RN44425</v>
      </c>
      <c r="D28" s="1452">
        <v>6.73</v>
      </c>
      <c r="E28" s="1452">
        <v>23.4</v>
      </c>
      <c r="F28" s="1452">
        <v>0.03</v>
      </c>
      <c r="G28" s="1452">
        <v>0.56999999999999995</v>
      </c>
      <c r="H28" s="1452">
        <v>0.41</v>
      </c>
      <c r="I28" s="1452">
        <v>0.19</v>
      </c>
      <c r="J28" s="1452">
        <v>6.0000000000000001E-3</v>
      </c>
      <c r="K28" s="1452">
        <v>0.64</v>
      </c>
      <c r="L28" s="558" t="str">
        <v>After the burn</v>
      </c>
    </row>
    <row r="29" spans="1:12" s="1428" customFormat="1" x14ac:dyDescent="0.3">
      <c r="A29" s="556" t="str">
        <v>RN</v>
      </c>
      <c r="B29" s="1434">
        <v>44426</v>
      </c>
      <c r="C29" s="557" t="str">
        <v>RN44426</v>
      </c>
      <c r="D29" s="1452">
        <v>7.1050000000000004</v>
      </c>
      <c r="E29" s="1452">
        <v>23.299999999999997</v>
      </c>
      <c r="F29" s="1452">
        <v>7.0000000000000007E-2</v>
      </c>
      <c r="G29" s="1452">
        <v>1.2549999999999999</v>
      </c>
      <c r="H29" s="1452">
        <v>1.2850000000000001</v>
      </c>
      <c r="I29" s="1452">
        <v>0.17499999999999999</v>
      </c>
      <c r="J29" s="1452">
        <v>5.4000000000000006E-2</v>
      </c>
      <c r="K29" s="1452">
        <v>0.66999999999999993</v>
      </c>
      <c r="L29" s="558" t="str">
        <v>After the burn</v>
      </c>
    </row>
    <row r="30" spans="1:12" s="1428" customFormat="1" x14ac:dyDescent="0.3">
      <c r="A30" s="556" t="str">
        <v>RN</v>
      </c>
      <c r="B30" s="1434">
        <v>44432</v>
      </c>
      <c r="C30" s="557" t="str">
        <v>RN44432</v>
      </c>
      <c r="D30" s="1452">
        <v>6.84</v>
      </c>
      <c r="E30" s="1452">
        <v>23.4</v>
      </c>
      <c r="F30" s="1452">
        <v>7.0000000000000007E-2</v>
      </c>
      <c r="G30" s="1452">
        <v>0.7</v>
      </c>
      <c r="H30" s="1452">
        <v>0.55000000000000004</v>
      </c>
      <c r="I30" s="1452">
        <v>0.12</v>
      </c>
      <c r="J30" s="1452">
        <v>8.9999999999999993E-3</v>
      </c>
      <c r="K30" s="1452">
        <v>0.6</v>
      </c>
      <c r="L30" s="558" t="str">
        <v>After the burn</v>
      </c>
    </row>
    <row r="31" spans="1:12" s="1428" customFormat="1" x14ac:dyDescent="0.3">
      <c r="A31" s="556" t="str">
        <v>RN</v>
      </c>
      <c r="B31" s="1434">
        <v>44433</v>
      </c>
      <c r="C31" s="557" t="str">
        <v>RN44433</v>
      </c>
      <c r="D31" s="1452">
        <v>6.915</v>
      </c>
      <c r="E31" s="1452">
        <v>23.9</v>
      </c>
      <c r="F31" s="1452">
        <v>7.0000000000000007E-2</v>
      </c>
      <c r="G31" s="1452">
        <v>0.79</v>
      </c>
      <c r="H31" s="1452">
        <v>0.64500000000000002</v>
      </c>
      <c r="I31" s="1452">
        <v>0.24</v>
      </c>
      <c r="J31" s="1452">
        <v>8.5000000000000006E-3</v>
      </c>
      <c r="K31" s="1452">
        <v>0.62</v>
      </c>
      <c r="L31" s="558" t="str">
        <v>After the burn</v>
      </c>
    </row>
    <row r="32" spans="1:12" s="1428" customFormat="1" x14ac:dyDescent="0.3">
      <c r="A32" s="556" t="str">
        <v>RU</v>
      </c>
      <c r="B32" s="1434">
        <v>44404</v>
      </c>
      <c r="C32" s="557" t="str">
        <v>RU44404</v>
      </c>
      <c r="D32" s="1452">
        <v>6.61</v>
      </c>
      <c r="E32" s="1452">
        <v>26.9</v>
      </c>
      <c r="F32" s="1452">
        <v>0.13</v>
      </c>
      <c r="G32" s="1452">
        <v>1.77</v>
      </c>
      <c r="H32" s="1452">
        <v>1.95</v>
      </c>
      <c r="I32" s="1452">
        <v>0.18</v>
      </c>
      <c r="J32" s="1452">
        <v>6.0000000000000001E-3</v>
      </c>
      <c r="K32" s="1452">
        <v>0.42</v>
      </c>
      <c r="L32" s="558" t="str">
        <v>After the burn</v>
      </c>
    </row>
    <row r="33" spans="1:12" s="1428" customFormat="1" x14ac:dyDescent="0.3">
      <c r="A33" s="556" t="str">
        <v>RU</v>
      </c>
      <c r="B33" s="1434">
        <v>44405</v>
      </c>
      <c r="C33" s="557" t="str">
        <v>RU44405</v>
      </c>
      <c r="D33" s="1452">
        <v>6.7450000000000001</v>
      </c>
      <c r="E33" s="1452">
        <v>28.15</v>
      </c>
      <c r="F33" s="1452">
        <v>0.1</v>
      </c>
      <c r="G33" s="1452">
        <v>2.0449999999999999</v>
      </c>
      <c r="H33" s="1452">
        <v>2.2549999999999999</v>
      </c>
      <c r="I33" s="1452">
        <v>0.14000000000000001</v>
      </c>
      <c r="J33" s="1452">
        <v>6.0000000000000001E-3</v>
      </c>
      <c r="K33" s="1452">
        <v>0.44</v>
      </c>
      <c r="L33" s="558" t="str">
        <v>After the burn</v>
      </c>
    </row>
    <row r="34" spans="1:12" s="1428" customFormat="1" x14ac:dyDescent="0.3">
      <c r="A34" s="556" t="str">
        <v>RU</v>
      </c>
      <c r="B34" s="1434">
        <v>44411</v>
      </c>
      <c r="C34" s="557" t="str">
        <v>RU44411</v>
      </c>
      <c r="D34" s="1452">
        <v>6.61</v>
      </c>
      <c r="E34" s="1452">
        <v>26.7</v>
      </c>
      <c r="F34" s="1452">
        <v>0.14000000000000001</v>
      </c>
      <c r="G34" s="1452">
        <v>2.19</v>
      </c>
      <c r="H34" s="1452">
        <v>2.62</v>
      </c>
      <c r="I34" s="1452">
        <v>0.11</v>
      </c>
      <c r="J34" s="1452">
        <v>7.0000000000000001E-3</v>
      </c>
      <c r="K34" s="1452">
        <v>0.34</v>
      </c>
      <c r="L34" s="558" t="str">
        <v>After the burn</v>
      </c>
    </row>
    <row r="35" spans="1:12" s="1428" customFormat="1" x14ac:dyDescent="0.3">
      <c r="A35" s="556" t="str">
        <v>RU</v>
      </c>
      <c r="B35" s="1434">
        <v>44412</v>
      </c>
      <c r="C35" s="557" t="str">
        <v>RU44412</v>
      </c>
      <c r="D35" s="1452">
        <v>6.66</v>
      </c>
      <c r="E35" s="1452">
        <v>26.799999999999997</v>
      </c>
      <c r="F35" s="1452">
        <v>0.01</v>
      </c>
      <c r="G35" s="1452">
        <v>2.415</v>
      </c>
      <c r="H35" s="1452">
        <v>2.7800000000000002</v>
      </c>
      <c r="I35" s="1452">
        <v>0.115</v>
      </c>
      <c r="J35" s="1452">
        <v>6.5000000000000006E-3</v>
      </c>
      <c r="K35" s="1452">
        <v>0.35499999999999998</v>
      </c>
      <c r="L35" s="558" t="str">
        <v>After the burn</v>
      </c>
    </row>
    <row r="36" spans="1:12" s="1428" customFormat="1" x14ac:dyDescent="0.3">
      <c r="A36" s="556" t="str">
        <v>RU</v>
      </c>
      <c r="B36" s="1434">
        <v>44418</v>
      </c>
      <c r="C36" s="557" t="str">
        <v>RU44418</v>
      </c>
      <c r="D36" s="1452">
        <v>6.64</v>
      </c>
      <c r="E36" s="1452">
        <v>26.1</v>
      </c>
      <c r="F36" s="1452">
        <v>0.11</v>
      </c>
      <c r="G36" s="1452">
        <v>1.93</v>
      </c>
      <c r="H36" s="1452">
        <v>2.2200000000000002</v>
      </c>
      <c r="I36" s="1452">
        <v>0.14000000000000001</v>
      </c>
      <c r="J36" s="1452">
        <v>8.0000000000000002E-3</v>
      </c>
      <c r="K36" s="1452">
        <v>0.43</v>
      </c>
      <c r="L36" s="558" t="str">
        <v>After the burn</v>
      </c>
    </row>
    <row r="37" spans="1:12" s="1428" customFormat="1" x14ac:dyDescent="0.3">
      <c r="A37" s="556" t="str">
        <v>RU</v>
      </c>
      <c r="B37" s="1434">
        <v>44419</v>
      </c>
      <c r="C37" s="557" t="str">
        <v>RU44419</v>
      </c>
      <c r="D37" s="1452">
        <v>6.64</v>
      </c>
      <c r="E37" s="1452">
        <v>29.5</v>
      </c>
      <c r="F37" s="1452">
        <v>0.09</v>
      </c>
      <c r="G37" s="1452">
        <v>2.1950000000000003</v>
      </c>
      <c r="H37" s="1452">
        <v>2.665</v>
      </c>
      <c r="I37" s="1452">
        <v>0.14499999999999999</v>
      </c>
      <c r="J37" s="1452">
        <v>4.5000000000000005E-3</v>
      </c>
      <c r="K37" s="1452">
        <v>0.39500000000000002</v>
      </c>
      <c r="L37" s="558" t="str">
        <v>After the burn</v>
      </c>
    </row>
    <row r="38" spans="1:12" s="1428" customFormat="1" x14ac:dyDescent="0.3">
      <c r="A38" s="556" t="str">
        <v>RU</v>
      </c>
      <c r="B38" s="1434">
        <v>44425</v>
      </c>
      <c r="C38" s="557" t="str">
        <v>RU44425</v>
      </c>
      <c r="D38" s="1452">
        <v>6.71</v>
      </c>
      <c r="E38" s="1452">
        <v>26.9</v>
      </c>
      <c r="F38" s="1452">
        <v>0.1</v>
      </c>
      <c r="G38" s="1452">
        <v>1.72</v>
      </c>
      <c r="H38" s="1452">
        <v>1.93</v>
      </c>
      <c r="I38" s="1452">
        <v>0.19</v>
      </c>
      <c r="J38" s="1452">
        <v>8.9999999999999993E-3</v>
      </c>
      <c r="K38" s="1452">
        <v>0.4</v>
      </c>
      <c r="L38" s="558" t="str">
        <v>After the burn</v>
      </c>
    </row>
    <row r="39" spans="1:12" s="1428" customFormat="1" x14ac:dyDescent="0.3">
      <c r="A39" s="556" t="str">
        <v>RU</v>
      </c>
      <c r="B39" s="1434">
        <v>44426</v>
      </c>
      <c r="C39" s="557" t="str">
        <v>RU44426</v>
      </c>
      <c r="D39" s="1452">
        <v>6.6549999999999994</v>
      </c>
      <c r="E39" s="1452">
        <v>28.3</v>
      </c>
      <c r="F39" s="1452">
        <v>0.11</v>
      </c>
      <c r="G39" s="1452">
        <v>2.27</v>
      </c>
      <c r="H39" s="1452">
        <v>2.7350000000000003</v>
      </c>
      <c r="I39" s="1452">
        <v>0.13500000000000001</v>
      </c>
      <c r="J39" s="1452">
        <v>6.5000000000000006E-3</v>
      </c>
      <c r="K39" s="1452">
        <v>0.34</v>
      </c>
      <c r="L39" s="558" t="str">
        <v>After the burn</v>
      </c>
    </row>
    <row r="40" spans="1:12" s="1428" customFormat="1" x14ac:dyDescent="0.3">
      <c r="A40" s="556" t="str">
        <v>RU</v>
      </c>
      <c r="B40" s="1434">
        <v>44432</v>
      </c>
      <c r="C40" s="557" t="str">
        <v>RU44432</v>
      </c>
      <c r="D40" s="1452">
        <v>6.73</v>
      </c>
      <c r="E40" s="1452">
        <v>28.5</v>
      </c>
      <c r="F40" s="1452">
        <v>0.12</v>
      </c>
      <c r="G40" s="1452">
        <v>2.35</v>
      </c>
      <c r="H40" s="1452">
        <v>2.46</v>
      </c>
      <c r="I40" s="1452">
        <v>0.1</v>
      </c>
      <c r="J40" s="1452">
        <v>2E-3</v>
      </c>
      <c r="K40" s="1452">
        <v>0.39</v>
      </c>
      <c r="L40" s="558" t="str">
        <v>After the burn</v>
      </c>
    </row>
    <row r="41" spans="1:12" s="1428" customFormat="1" x14ac:dyDescent="0.3">
      <c r="A41" s="556" t="str">
        <v>RU</v>
      </c>
      <c r="B41" s="1434">
        <v>44433</v>
      </c>
      <c r="C41" s="557" t="str">
        <v>RU44433</v>
      </c>
      <c r="D41" s="1452">
        <v>6.8599999999999994</v>
      </c>
      <c r="E41" s="1452">
        <v>29</v>
      </c>
      <c r="F41" s="1452">
        <v>0.04</v>
      </c>
      <c r="G41" s="1452">
        <v>2.1550000000000002</v>
      </c>
      <c r="H41" s="1452">
        <v>2.2850000000000001</v>
      </c>
      <c r="I41" s="1452">
        <v>0.245</v>
      </c>
      <c r="J41" s="1452">
        <v>2E-3</v>
      </c>
      <c r="K41" s="1452">
        <v>0.37</v>
      </c>
      <c r="L41" s="558" t="str">
        <v>After the burn</v>
      </c>
    </row>
    <row r="42" spans="1:12" s="1428" customFormat="1" x14ac:dyDescent="0.3">
      <c r="A42" s="556" t="str">
        <v>RL</v>
      </c>
      <c r="B42" s="1434">
        <v>44404</v>
      </c>
      <c r="C42" s="557" t="str">
        <v>RL44404</v>
      </c>
      <c r="D42" s="1452">
        <v>6.72</v>
      </c>
      <c r="E42" s="1452">
        <v>28.3</v>
      </c>
      <c r="F42" s="1452">
        <v>0.09</v>
      </c>
      <c r="G42" s="1452">
        <v>0.74</v>
      </c>
      <c r="H42" s="1452">
        <v>0.93</v>
      </c>
      <c r="I42" s="1452">
        <v>0.04</v>
      </c>
      <c r="J42" s="1452">
        <v>6.0000000000000001E-3</v>
      </c>
      <c r="K42" s="1452">
        <v>0.49</v>
      </c>
      <c r="L42" s="558" t="str">
        <v>After the burn</v>
      </c>
    </row>
    <row r="43" spans="1:12" s="1428" customFormat="1" x14ac:dyDescent="0.3">
      <c r="A43" s="556" t="str">
        <v>RL</v>
      </c>
      <c r="B43" s="1434">
        <v>44405</v>
      </c>
      <c r="C43" s="557" t="str">
        <v>RL44405</v>
      </c>
      <c r="D43" s="1452">
        <v>6.4649999999999999</v>
      </c>
      <c r="E43" s="1452">
        <v>27.6</v>
      </c>
      <c r="F43" s="1452">
        <v>9.5000000000000001E-2</v>
      </c>
      <c r="G43" s="1452">
        <v>1.9849999999999999</v>
      </c>
      <c r="H43" s="1452">
        <v>2.1349999999999998</v>
      </c>
      <c r="I43" s="1452">
        <v>0.15</v>
      </c>
      <c r="J43" s="1452">
        <v>7.0000000000000001E-3</v>
      </c>
      <c r="K43" s="1452">
        <v>0.44999999999999996</v>
      </c>
      <c r="L43" s="558" t="str">
        <v>After the burn</v>
      </c>
    </row>
    <row r="44" spans="1:12" s="1428" customFormat="1" x14ac:dyDescent="0.3">
      <c r="A44" s="556" t="str">
        <v>RL</v>
      </c>
      <c r="B44" s="1434">
        <v>44411</v>
      </c>
      <c r="C44" s="557" t="str">
        <v>RL44411</v>
      </c>
      <c r="D44" s="1452">
        <v>6.37</v>
      </c>
      <c r="E44" s="1452">
        <v>27.3</v>
      </c>
      <c r="F44" s="1452">
        <v>0.14000000000000001</v>
      </c>
      <c r="G44" s="1452">
        <v>1.97</v>
      </c>
      <c r="H44" s="1452">
        <v>2.06</v>
      </c>
      <c r="I44" s="1452">
        <v>0.24</v>
      </c>
      <c r="J44" s="1452">
        <v>6.0000000000000001E-3</v>
      </c>
      <c r="K44" s="1452">
        <v>0.44</v>
      </c>
      <c r="L44" s="558" t="str">
        <v>After the burn</v>
      </c>
    </row>
    <row r="45" spans="1:12" s="1428" customFormat="1" x14ac:dyDescent="0.3">
      <c r="A45" s="556" t="str">
        <v>RL</v>
      </c>
      <c r="B45" s="1434">
        <v>44412</v>
      </c>
      <c r="C45" s="557" t="str">
        <v>RL44412</v>
      </c>
      <c r="D45" s="1452">
        <v>6.9049999999999994</v>
      </c>
      <c r="E45" s="1452">
        <v>27.2</v>
      </c>
      <c r="F45" s="1452">
        <v>7.0000000000000007E-2</v>
      </c>
      <c r="G45" s="1452">
        <v>2.0199999999999996</v>
      </c>
      <c r="H45" s="1452">
        <v>2.2999999999999998</v>
      </c>
      <c r="I45" s="1452">
        <v>0.16500000000000001</v>
      </c>
      <c r="J45" s="1452">
        <v>7.0000000000000001E-3</v>
      </c>
      <c r="K45" s="1452">
        <v>0.47</v>
      </c>
      <c r="L45" s="558" t="str">
        <v>After the burn</v>
      </c>
    </row>
    <row r="46" spans="1:12" s="1428" customFormat="1" x14ac:dyDescent="0.3">
      <c r="A46" s="556" t="str">
        <v>RL</v>
      </c>
      <c r="B46" s="1434">
        <v>44418</v>
      </c>
      <c r="C46" s="557" t="str">
        <v>RL44418</v>
      </c>
      <c r="D46" s="1452">
        <v>6.37</v>
      </c>
      <c r="E46" s="1452">
        <v>27.9</v>
      </c>
      <c r="F46" s="1452">
        <v>0.12</v>
      </c>
      <c r="G46" s="1452">
        <v>1.89</v>
      </c>
      <c r="H46" s="1452">
        <v>2.21</v>
      </c>
      <c r="I46" s="1452">
        <v>0.1</v>
      </c>
      <c r="J46" s="1452">
        <v>6.0000000000000001E-3</v>
      </c>
      <c r="K46" s="1452">
        <v>0.48</v>
      </c>
      <c r="L46" s="558" t="str">
        <v>After the burn</v>
      </c>
    </row>
    <row r="47" spans="1:12" s="1428" customFormat="1" x14ac:dyDescent="0.3">
      <c r="A47" s="556" t="str">
        <v>RL</v>
      </c>
      <c r="B47" s="1434">
        <v>44419</v>
      </c>
      <c r="C47" s="557" t="str">
        <v>RL44419</v>
      </c>
      <c r="D47" s="1452">
        <v>6.4049999999999994</v>
      </c>
      <c r="E47" s="1452">
        <v>27.950000000000003</v>
      </c>
      <c r="F47" s="1452">
        <v>0.125</v>
      </c>
      <c r="G47" s="1452">
        <v>1.855</v>
      </c>
      <c r="H47" s="1452">
        <v>2.0350000000000001</v>
      </c>
      <c r="I47" s="1452">
        <v>0.15000000000000002</v>
      </c>
      <c r="J47" s="1452">
        <v>7.4999999999999997E-3</v>
      </c>
      <c r="K47" s="1452">
        <v>0.5</v>
      </c>
      <c r="L47" s="558" t="str">
        <v>After the burn</v>
      </c>
    </row>
    <row r="48" spans="1:12" s="1428" customFormat="1" x14ac:dyDescent="0.3">
      <c r="A48" s="556" t="str">
        <v>RL</v>
      </c>
      <c r="B48" s="1434">
        <v>44425</v>
      </c>
      <c r="C48" s="557" t="str">
        <v>RL44425</v>
      </c>
      <c r="D48" s="1452">
        <v>6.48</v>
      </c>
      <c r="E48" s="1452">
        <v>26.7</v>
      </c>
      <c r="F48" s="1452">
        <v>0.17</v>
      </c>
      <c r="G48" s="1452">
        <v>1.67</v>
      </c>
      <c r="H48" s="1452">
        <v>2.0299999999999998</v>
      </c>
      <c r="I48" s="1452">
        <v>0.16</v>
      </c>
      <c r="J48" s="1452">
        <v>1E-3</v>
      </c>
      <c r="K48" s="1452">
        <v>0.43</v>
      </c>
      <c r="L48" s="558" t="str">
        <v>After the burn</v>
      </c>
    </row>
    <row r="49" spans="1:12" s="1428" customFormat="1" x14ac:dyDescent="0.3">
      <c r="A49" s="556" t="str">
        <v>RL</v>
      </c>
      <c r="B49" s="1434">
        <v>44426</v>
      </c>
      <c r="C49" s="557" t="str">
        <v>RL44426</v>
      </c>
      <c r="D49" s="1452">
        <v>6.8849999999999998</v>
      </c>
      <c r="E49" s="1452">
        <v>27.35</v>
      </c>
      <c r="F49" s="1452">
        <v>6.5000000000000002E-2</v>
      </c>
      <c r="G49" s="1452">
        <v>1.87</v>
      </c>
      <c r="H49" s="1452">
        <v>2.2000000000000002</v>
      </c>
      <c r="I49" s="1452">
        <v>0.23</v>
      </c>
      <c r="J49" s="1452">
        <v>2E-3</v>
      </c>
      <c r="K49" s="1452">
        <v>0.375</v>
      </c>
      <c r="L49" s="558" t="str">
        <v>After the burn</v>
      </c>
    </row>
    <row r="50" spans="1:12" s="1428" customFormat="1" x14ac:dyDescent="0.3">
      <c r="A50" s="556" t="str">
        <v>RL</v>
      </c>
      <c r="B50" s="1434">
        <v>44432</v>
      </c>
      <c r="C50" s="557" t="str">
        <v>RL44432</v>
      </c>
      <c r="D50" s="1452">
        <v>6.96</v>
      </c>
      <c r="E50" s="1452">
        <v>27.9</v>
      </c>
      <c r="F50" s="1452">
        <v>0.08</v>
      </c>
      <c r="G50" s="1452">
        <v>1.18</v>
      </c>
      <c r="H50" s="1452">
        <v>1.19</v>
      </c>
      <c r="I50" s="1452">
        <v>0.14000000000000001</v>
      </c>
      <c r="J50" s="1452">
        <v>2E-3</v>
      </c>
      <c r="K50" s="1452">
        <v>0.5</v>
      </c>
      <c r="L50" s="558" t="str">
        <v>After the burn</v>
      </c>
    </row>
    <row r="51" spans="1:12" s="1428" customFormat="1" x14ac:dyDescent="0.3">
      <c r="A51" s="556" t="str">
        <v>RL</v>
      </c>
      <c r="B51" s="1434">
        <v>44433</v>
      </c>
      <c r="C51" s="557" t="str">
        <v>RL44433</v>
      </c>
      <c r="D51" s="1452">
        <v>7.0049999999999999</v>
      </c>
      <c r="E51" s="1452">
        <v>27.95</v>
      </c>
      <c r="F51" s="1452">
        <v>6.0000000000000005E-2</v>
      </c>
      <c r="G51" s="1452">
        <v>1.34</v>
      </c>
      <c r="H51" s="1452">
        <v>1.3050000000000002</v>
      </c>
      <c r="I51" s="1452">
        <v>0.17</v>
      </c>
      <c r="J51" s="1452">
        <v>4.5000000000000005E-3</v>
      </c>
      <c r="K51" s="1452">
        <v>0.51</v>
      </c>
      <c r="L51" s="558" t="str">
        <v>After the burn</v>
      </c>
    </row>
    <row r="52" spans="1:12" s="1428" customFormat="1" x14ac:dyDescent="0.3">
      <c r="A52" s="556" t="str">
        <v>RS</v>
      </c>
      <c r="B52" s="1434">
        <v>44404</v>
      </c>
      <c r="C52" s="557" t="str">
        <v>RS44404</v>
      </c>
      <c r="D52" s="1452">
        <v>6.9</v>
      </c>
      <c r="E52" s="1452">
        <v>24</v>
      </c>
      <c r="F52" s="1452">
        <v>1.37</v>
      </c>
      <c r="G52" s="1452">
        <v>0.02</v>
      </c>
      <c r="H52" s="1452">
        <v>1.54</v>
      </c>
      <c r="I52" s="1452">
        <v>0.04</v>
      </c>
      <c r="J52" s="1452">
        <v>6.0000000000000001E-3</v>
      </c>
      <c r="K52" s="1452">
        <v>0.64</v>
      </c>
      <c r="L52" s="558" t="str">
        <v>After the burn</v>
      </c>
    </row>
    <row r="53" spans="1:12" s="1428" customFormat="1" x14ac:dyDescent="0.3">
      <c r="A53" s="556" t="str">
        <v>RS</v>
      </c>
      <c r="B53" s="1434">
        <v>44405</v>
      </c>
      <c r="C53" s="557" t="str">
        <v>RS44405</v>
      </c>
      <c r="D53" s="1452">
        <v>6.915</v>
      </c>
      <c r="E53" s="1452">
        <v>24.725000000000001</v>
      </c>
      <c r="F53" s="1452">
        <v>0.05</v>
      </c>
      <c r="G53" s="1452">
        <v>0.60499999999999998</v>
      </c>
      <c r="H53" s="1452">
        <v>0.70500000000000007</v>
      </c>
      <c r="I53" s="1452">
        <v>0.15000000000000002</v>
      </c>
      <c r="J53" s="1452">
        <v>8.0000000000000002E-3</v>
      </c>
      <c r="K53" s="1452">
        <v>0.57499999999999996</v>
      </c>
      <c r="L53" s="558" t="str">
        <v>After the burn</v>
      </c>
    </row>
    <row r="54" spans="1:12" s="1428" customFormat="1" x14ac:dyDescent="0.3">
      <c r="A54" s="556" t="str">
        <v>RS</v>
      </c>
      <c r="B54" s="1434">
        <v>44411</v>
      </c>
      <c r="C54" s="557" t="str">
        <v>RS44411</v>
      </c>
      <c r="D54" s="1452">
        <v>6.85</v>
      </c>
      <c r="E54" s="1452">
        <v>24.3</v>
      </c>
      <c r="F54" s="1452">
        <v>0</v>
      </c>
      <c r="G54" s="1452">
        <v>1.1299999999999999</v>
      </c>
      <c r="H54" s="1452">
        <v>1.25</v>
      </c>
      <c r="I54" s="1452">
        <v>0.19</v>
      </c>
      <c r="J54" s="1452">
        <v>6.0000000000000001E-3</v>
      </c>
      <c r="K54" s="1452">
        <v>0.64</v>
      </c>
      <c r="L54" s="558" t="str">
        <v>After the burn</v>
      </c>
    </row>
    <row r="55" spans="1:12" s="1428" customFormat="1" x14ac:dyDescent="0.3">
      <c r="A55" s="556" t="str">
        <v>RS</v>
      </c>
      <c r="B55" s="1434">
        <v>44412</v>
      </c>
      <c r="C55" s="557" t="str">
        <v>RS44412</v>
      </c>
      <c r="D55" s="1452">
        <v>6.875</v>
      </c>
      <c r="E55" s="1452">
        <v>24.6</v>
      </c>
      <c r="F55" s="1452">
        <v>7.0000000000000007E-2</v>
      </c>
      <c r="G55" s="1452">
        <v>1.02</v>
      </c>
      <c r="H55" s="1452">
        <v>1.105</v>
      </c>
      <c r="I55" s="1452">
        <v>0.20500000000000002</v>
      </c>
      <c r="J55" s="1452">
        <v>7.4999999999999997E-3</v>
      </c>
      <c r="K55" s="1452">
        <v>0.63</v>
      </c>
      <c r="L55" s="558" t="str">
        <v>After the burn</v>
      </c>
    </row>
    <row r="56" spans="1:12" s="1428" customFormat="1" x14ac:dyDescent="0.3">
      <c r="A56" s="556" t="str">
        <v>RS</v>
      </c>
      <c r="B56" s="1434">
        <v>44418</v>
      </c>
      <c r="C56" s="557" t="str">
        <v>RS44418</v>
      </c>
      <c r="D56" s="1452">
        <v>6.85</v>
      </c>
      <c r="E56" s="1452">
        <v>23.9</v>
      </c>
      <c r="F56" s="1452">
        <v>0.11</v>
      </c>
      <c r="G56" s="1452">
        <v>1.04</v>
      </c>
      <c r="H56" s="1452">
        <v>0.93</v>
      </c>
      <c r="I56" s="1452">
        <v>0.21</v>
      </c>
      <c r="J56" s="1452">
        <v>6.0000000000000001E-3</v>
      </c>
      <c r="K56" s="1452">
        <v>0.59</v>
      </c>
      <c r="L56" s="558" t="str">
        <v>After the burn</v>
      </c>
    </row>
    <row r="57" spans="1:12" s="1428" customFormat="1" x14ac:dyDescent="0.3">
      <c r="A57" s="556" t="str">
        <v>RS</v>
      </c>
      <c r="B57" s="1434">
        <v>44419</v>
      </c>
      <c r="C57" s="557" t="str">
        <v>RS44419</v>
      </c>
      <c r="D57" s="1452">
        <v>6.87</v>
      </c>
      <c r="E57" s="1452">
        <v>24.65</v>
      </c>
      <c r="F57" s="1452">
        <v>6.5000000000000002E-2</v>
      </c>
      <c r="G57" s="1452">
        <v>0.76500000000000001</v>
      </c>
      <c r="H57" s="1452">
        <v>0.67500000000000004</v>
      </c>
      <c r="I57" s="1452">
        <v>0.24</v>
      </c>
      <c r="J57" s="1452">
        <v>7.4999999999999997E-3</v>
      </c>
      <c r="K57" s="1452">
        <v>0.61</v>
      </c>
      <c r="L57" s="558" t="str">
        <v>After the burn</v>
      </c>
    </row>
    <row r="58" spans="1:12" s="1428" customFormat="1" x14ac:dyDescent="0.3">
      <c r="A58" s="556" t="str">
        <v>RS</v>
      </c>
      <c r="B58" s="1434">
        <v>44425</v>
      </c>
      <c r="C58" s="557" t="str">
        <v>RS44425</v>
      </c>
      <c r="D58" s="1452">
        <v>6.9</v>
      </c>
      <c r="E58" s="1452">
        <v>24.4</v>
      </c>
      <c r="F58" s="1452">
        <v>0.09</v>
      </c>
      <c r="G58" s="1452">
        <v>0.95</v>
      </c>
      <c r="H58" s="1452">
        <v>0.85</v>
      </c>
      <c r="I58" s="1452">
        <v>0.19</v>
      </c>
      <c r="J58" s="1452">
        <v>6.0000000000000001E-3</v>
      </c>
      <c r="K58" s="1452">
        <v>0.53</v>
      </c>
      <c r="L58" s="558" t="str">
        <v>After the burn</v>
      </c>
    </row>
    <row r="59" spans="1:12" s="1428" customFormat="1" x14ac:dyDescent="0.3">
      <c r="A59" s="556" t="str">
        <v>RS</v>
      </c>
      <c r="B59" s="1434">
        <v>44426</v>
      </c>
      <c r="C59" s="557" t="str">
        <v>RS44426</v>
      </c>
      <c r="D59" s="1452">
        <v>6.8599999999999994</v>
      </c>
      <c r="E59" s="1452">
        <v>24.9</v>
      </c>
      <c r="F59" s="1452">
        <v>0.05</v>
      </c>
      <c r="G59" s="1452">
        <v>0.92500000000000004</v>
      </c>
      <c r="H59" s="1452">
        <v>0.95499999999999996</v>
      </c>
      <c r="I59" s="1452">
        <v>0.23499999999999999</v>
      </c>
      <c r="J59" s="1452">
        <v>7.4999999999999997E-3</v>
      </c>
      <c r="K59" s="1452">
        <v>0.59</v>
      </c>
      <c r="L59" s="558" t="str">
        <v>After the burn</v>
      </c>
    </row>
    <row r="60" spans="1:12" s="1428" customFormat="1" x14ac:dyDescent="0.3">
      <c r="A60" s="556" t="str">
        <v>RS</v>
      </c>
      <c r="B60" s="1434">
        <v>44432</v>
      </c>
      <c r="C60" s="557" t="str">
        <v>RS44432</v>
      </c>
      <c r="D60" s="1452">
        <v>6.95</v>
      </c>
      <c r="E60" s="1452">
        <v>24.6</v>
      </c>
      <c r="F60" s="1452">
        <v>0.04</v>
      </c>
      <c r="G60" s="1452">
        <v>0.75</v>
      </c>
      <c r="H60" s="1452">
        <v>0.6</v>
      </c>
      <c r="I60" s="1452">
        <v>0.24</v>
      </c>
      <c r="J60" s="1452">
        <v>7.0000000000000001E-3</v>
      </c>
      <c r="K60" s="1452">
        <v>0.68</v>
      </c>
      <c r="L60" s="558" t="str">
        <v>After the burn</v>
      </c>
    </row>
    <row r="61" spans="1:12" s="1428" customFormat="1" ht="16.350000000000001" thickBot="1" x14ac:dyDescent="0.35">
      <c r="A61" s="1217" t="str">
        <v>RS</v>
      </c>
      <c r="B61" s="1438">
        <v>44433</v>
      </c>
      <c r="C61" s="1218" t="str">
        <v>RS44433</v>
      </c>
      <c r="D61" s="1453">
        <v>7.0049999999999999</v>
      </c>
      <c r="E61" s="1453">
        <v>24.45</v>
      </c>
      <c r="F61" s="1453">
        <v>0.08</v>
      </c>
      <c r="G61" s="1453">
        <v>1.03</v>
      </c>
      <c r="H61" s="1453">
        <v>0.89</v>
      </c>
      <c r="I61" s="1453">
        <v>0.37</v>
      </c>
      <c r="J61" s="1453">
        <v>8.5000000000000006E-3</v>
      </c>
      <c r="K61" s="1453">
        <v>0.60499999999999998</v>
      </c>
      <c r="L61" s="1227" t="str">
        <v>After the burn</v>
      </c>
    </row>
    <row r="62" spans="1:12" s="1428" customFormat="1" x14ac:dyDescent="0.3">
      <c r="A62" s="1439" t="str">
        <v>EP</v>
      </c>
      <c r="B62" s="1440">
        <v>44294</v>
      </c>
      <c r="C62" s="1441" t="str">
        <v>EP44294</v>
      </c>
      <c r="D62" s="1454">
        <v>6.75</v>
      </c>
      <c r="E62" s="1454">
        <v>23.3</v>
      </c>
      <c r="F62" s="1454">
        <v>7.0000000000000007E-2</v>
      </c>
      <c r="G62" s="1454">
        <v>3.3733333333333335</v>
      </c>
      <c r="H62" s="1454">
        <v>3.6300000000000003</v>
      </c>
      <c r="I62" s="1454">
        <v>0.11</v>
      </c>
      <c r="J62" s="1454">
        <v>6.9999999999999993E-3</v>
      </c>
      <c r="K62" s="1454">
        <v>0.22666666666666666</v>
      </c>
      <c r="L62" s="1442" t="str">
        <v>Before the burn</v>
      </c>
    </row>
    <row r="63" spans="1:12" s="1428" customFormat="1" x14ac:dyDescent="0.3">
      <c r="A63" s="1443" t="str">
        <v>EP</v>
      </c>
      <c r="B63" s="1444">
        <v>44306</v>
      </c>
      <c r="C63" s="1445" t="str">
        <v>EP44306</v>
      </c>
      <c r="D63" s="1455">
        <v>6.85</v>
      </c>
      <c r="E63" s="1455">
        <v>22.3</v>
      </c>
      <c r="F63" s="1455">
        <v>0.05</v>
      </c>
      <c r="G63" s="1455">
        <v>3.21</v>
      </c>
      <c r="H63" s="1455">
        <v>3.68</v>
      </c>
      <c r="I63" s="1455">
        <v>0.19</v>
      </c>
      <c r="J63" s="1455">
        <v>0.01</v>
      </c>
      <c r="K63" s="1455">
        <v>0.15</v>
      </c>
      <c r="L63" s="1446" t="str">
        <v>Before the burn</v>
      </c>
    </row>
    <row r="64" spans="1:12" s="1428" customFormat="1" x14ac:dyDescent="0.3">
      <c r="A64" s="1443" t="str">
        <v>EP</v>
      </c>
      <c r="B64" s="1444">
        <v>44313</v>
      </c>
      <c r="C64" s="1445" t="str">
        <v>EP44313</v>
      </c>
      <c r="D64" s="1455">
        <v>6.7</v>
      </c>
      <c r="E64" s="1455">
        <v>24.4</v>
      </c>
      <c r="F64" s="1455">
        <v>0.16</v>
      </c>
      <c r="G64" s="1455">
        <v>3.37</v>
      </c>
      <c r="H64" s="1455">
        <v>3.64</v>
      </c>
      <c r="I64" s="1455">
        <v>7.0000000000000007E-2</v>
      </c>
      <c r="J64" s="1455">
        <v>6.0000000000000001E-3</v>
      </c>
      <c r="K64" s="1455">
        <v>0.2</v>
      </c>
      <c r="L64" s="1446" t="str">
        <v>Before the burn</v>
      </c>
    </row>
    <row r="65" spans="1:12" s="1428" customFormat="1" x14ac:dyDescent="0.3">
      <c r="A65" s="1443" t="str">
        <v>EP</v>
      </c>
      <c r="B65" s="1444">
        <v>44320</v>
      </c>
      <c r="C65" s="1445" t="str">
        <v>EP44320</v>
      </c>
      <c r="D65" s="1455">
        <v>6.7</v>
      </c>
      <c r="E65" s="1455">
        <v>26.9</v>
      </c>
      <c r="F65" s="1455">
        <v>0.12</v>
      </c>
      <c r="G65" s="1455">
        <v>3.62</v>
      </c>
      <c r="H65" s="1455">
        <v>3.86</v>
      </c>
      <c r="I65" s="1455">
        <v>0.09</v>
      </c>
      <c r="J65" s="1455">
        <v>1.0999999999999999E-2</v>
      </c>
      <c r="K65" s="1455">
        <v>0.19</v>
      </c>
      <c r="L65" s="1446" t="str">
        <v>Before the burn</v>
      </c>
    </row>
    <row r="66" spans="1:12" s="1428" customFormat="1" x14ac:dyDescent="0.3">
      <c r="A66" s="1443" t="str">
        <v>EP</v>
      </c>
      <c r="B66" s="1444">
        <v>44327</v>
      </c>
      <c r="C66" s="1445" t="str">
        <v>EP44327</v>
      </c>
      <c r="D66" s="1455">
        <v>6.69</v>
      </c>
      <c r="E66" s="1455">
        <v>26.2</v>
      </c>
      <c r="F66" s="1455">
        <v>0.21</v>
      </c>
      <c r="G66" s="1455">
        <v>3.61</v>
      </c>
      <c r="H66" s="1455">
        <v>3.95</v>
      </c>
      <c r="I66" s="1455">
        <v>0.06</v>
      </c>
      <c r="J66" s="1455">
        <v>5.0000000000000001E-3</v>
      </c>
      <c r="K66" s="1455">
        <v>0.21</v>
      </c>
      <c r="L66" s="1446" t="str">
        <v>Before the burn</v>
      </c>
    </row>
    <row r="67" spans="1:12" s="1428" customFormat="1" x14ac:dyDescent="0.3">
      <c r="A67" s="1443" t="str">
        <v>EP</v>
      </c>
      <c r="B67" s="1444">
        <v>44335</v>
      </c>
      <c r="C67" s="1445" t="str">
        <v>EP44335</v>
      </c>
      <c r="D67" s="1455">
        <v>6.72</v>
      </c>
      <c r="E67" s="1455">
        <v>25.2</v>
      </c>
      <c r="F67" s="1455">
        <v>0.17</v>
      </c>
      <c r="G67" s="1455">
        <v>3.6</v>
      </c>
      <c r="H67" s="1455">
        <v>3.86</v>
      </c>
      <c r="I67" s="1455">
        <v>0.25</v>
      </c>
      <c r="J67" s="1455">
        <v>8.0000000000000002E-3</v>
      </c>
      <c r="K67" s="1455">
        <v>0.24</v>
      </c>
      <c r="L67" s="1446" t="str">
        <v>Before the burn</v>
      </c>
    </row>
    <row r="68" spans="1:12" s="1428" customFormat="1" x14ac:dyDescent="0.3">
      <c r="A68" s="1443" t="str">
        <v>EP</v>
      </c>
      <c r="B68" s="1444">
        <v>44342</v>
      </c>
      <c r="C68" s="1445" t="str">
        <v>EP44342</v>
      </c>
      <c r="D68" s="1455">
        <v>6.66</v>
      </c>
      <c r="E68" s="1455">
        <v>28.1</v>
      </c>
      <c r="F68" s="1455">
        <v>0.08</v>
      </c>
      <c r="G68" s="1455">
        <v>3.5</v>
      </c>
      <c r="H68" s="1455">
        <v>3.83</v>
      </c>
      <c r="I68" s="1455">
        <v>7.0000000000000007E-2</v>
      </c>
      <c r="J68" s="1455">
        <v>7.0000000000000001E-3</v>
      </c>
      <c r="K68" s="1455">
        <v>0.24</v>
      </c>
      <c r="L68" s="1446" t="str">
        <v>Before the burn</v>
      </c>
    </row>
    <row r="69" spans="1:12" s="1428" customFormat="1" x14ac:dyDescent="0.3">
      <c r="A69" s="1443" t="str">
        <v>EP</v>
      </c>
      <c r="B69" s="1444">
        <v>44350</v>
      </c>
      <c r="C69" s="1445" t="str">
        <v>EP44350</v>
      </c>
      <c r="D69" s="1455">
        <v>6.58</v>
      </c>
      <c r="E69" s="1455">
        <v>29.6</v>
      </c>
      <c r="F69" s="1455">
        <v>0.08</v>
      </c>
      <c r="G69" s="1455">
        <v>3.32</v>
      </c>
      <c r="H69" s="1455">
        <v>3.64</v>
      </c>
      <c r="I69" s="1455">
        <v>0.56000000000000005</v>
      </c>
      <c r="J69" s="1455">
        <v>8.0000000000000002E-3</v>
      </c>
      <c r="K69" s="1455">
        <v>0.28000000000000003</v>
      </c>
      <c r="L69" s="1446" t="str">
        <v>Before the burn</v>
      </c>
    </row>
    <row r="70" spans="1:12" s="1428" customFormat="1" x14ac:dyDescent="0.3">
      <c r="A70" s="1443" t="str">
        <v>EP</v>
      </c>
      <c r="B70" s="1444">
        <v>44356</v>
      </c>
      <c r="C70" s="1445" t="str">
        <v>EP44356</v>
      </c>
      <c r="D70" s="1455">
        <v>6.69</v>
      </c>
      <c r="E70" s="1455">
        <v>28.6</v>
      </c>
      <c r="F70" s="1455">
        <v>0.08</v>
      </c>
      <c r="G70" s="1455">
        <v>3.91</v>
      </c>
      <c r="H70" s="1455">
        <v>4.08</v>
      </c>
      <c r="I70" s="1455">
        <v>0.14000000000000001</v>
      </c>
      <c r="J70" s="1455">
        <v>8.0000000000000002E-3</v>
      </c>
      <c r="K70" s="1455">
        <v>0.27</v>
      </c>
      <c r="L70" s="1446" t="str">
        <v>Before the burn</v>
      </c>
    </row>
    <row r="71" spans="1:12" s="1428" customFormat="1" x14ac:dyDescent="0.3">
      <c r="A71" s="1443" t="str">
        <v>SPI</v>
      </c>
      <c r="B71" s="1444">
        <v>44294</v>
      </c>
      <c r="C71" s="1445" t="str">
        <v>SPI44294</v>
      </c>
      <c r="D71" s="1455">
        <v>6.3533333333333326</v>
      </c>
      <c r="E71" s="1455">
        <v>22.033333333333331</v>
      </c>
      <c r="F71" s="1455">
        <v>9.3333333333333324E-2</v>
      </c>
      <c r="G71" s="1455">
        <v>2.2066666666666666</v>
      </c>
      <c r="H71" s="1455">
        <v>2.7566666666666664</v>
      </c>
      <c r="I71" s="1455">
        <v>0.2233333333333333</v>
      </c>
      <c r="J71" s="1455">
        <v>5.0000000000000001E-3</v>
      </c>
      <c r="K71" s="1455">
        <v>0.27999999999999997</v>
      </c>
      <c r="L71" s="1446" t="str">
        <v>Before the burn</v>
      </c>
    </row>
    <row r="72" spans="1:12" s="1428" customFormat="1" x14ac:dyDescent="0.3">
      <c r="A72" s="1443" t="str">
        <v>SPI</v>
      </c>
      <c r="B72" s="1444">
        <v>44306</v>
      </c>
      <c r="C72" s="1445" t="str">
        <v>SPI44306</v>
      </c>
      <c r="D72" s="1455">
        <v>6.24</v>
      </c>
      <c r="E72" s="1455">
        <v>21.2</v>
      </c>
      <c r="F72" s="1455">
        <v>0.15</v>
      </c>
      <c r="G72" s="1455">
        <v>2.15</v>
      </c>
      <c r="H72" s="1455">
        <v>2.89</v>
      </c>
      <c r="I72" s="1455">
        <v>0.15</v>
      </c>
      <c r="J72" s="1455">
        <v>6.0000000000000001E-3</v>
      </c>
      <c r="K72" s="1455">
        <v>0.28999999999999998</v>
      </c>
      <c r="L72" s="1446" t="str">
        <v>Before the burn</v>
      </c>
    </row>
    <row r="73" spans="1:12" s="1428" customFormat="1" x14ac:dyDescent="0.3">
      <c r="A73" s="1443" t="str">
        <v>SPI</v>
      </c>
      <c r="B73" s="1444">
        <v>44313</v>
      </c>
      <c r="C73" s="1445" t="str">
        <v>SPI44313</v>
      </c>
      <c r="D73" s="1455">
        <v>6.55</v>
      </c>
      <c r="E73" s="1455">
        <v>23.3</v>
      </c>
      <c r="F73" s="1455">
        <v>0.04</v>
      </c>
      <c r="G73" s="1455">
        <v>2.2000000000000002</v>
      </c>
      <c r="H73" s="1455">
        <v>2.61</v>
      </c>
      <c r="I73" s="1455">
        <v>0.34</v>
      </c>
      <c r="J73" s="1455">
        <v>5.0000000000000001E-3</v>
      </c>
      <c r="K73" s="1455">
        <v>0.2</v>
      </c>
      <c r="L73" s="1446" t="str">
        <v>Before the burn</v>
      </c>
    </row>
    <row r="74" spans="1:12" s="1428" customFormat="1" x14ac:dyDescent="0.3">
      <c r="A74" s="1443" t="str">
        <v>SPI</v>
      </c>
      <c r="B74" s="1444">
        <v>44320</v>
      </c>
      <c r="C74" s="1445" t="str">
        <v>SPI44320</v>
      </c>
      <c r="D74" s="1455">
        <v>6.43</v>
      </c>
      <c r="E74" s="1455">
        <v>24.6</v>
      </c>
      <c r="F74" s="1455">
        <v>0.08</v>
      </c>
      <c r="G74" s="1455">
        <v>2.0299999999999998</v>
      </c>
      <c r="H74" s="1455">
        <v>2.25</v>
      </c>
      <c r="I74" s="1455">
        <v>0.18</v>
      </c>
      <c r="J74" s="1455">
        <v>4.0000000000000001E-3</v>
      </c>
      <c r="K74" s="1455">
        <v>0.28999999999999998</v>
      </c>
      <c r="L74" s="1446" t="str">
        <v>Before the burn</v>
      </c>
    </row>
    <row r="75" spans="1:12" s="1428" customFormat="1" x14ac:dyDescent="0.3">
      <c r="A75" s="1443" t="str">
        <v>SPI</v>
      </c>
      <c r="B75" s="1444">
        <v>44327</v>
      </c>
      <c r="C75" s="1445" t="str">
        <v>SPI44327</v>
      </c>
      <c r="D75" s="1455">
        <v>6.44</v>
      </c>
      <c r="E75" s="1455">
        <v>25.1</v>
      </c>
      <c r="F75" s="1455">
        <v>0.18</v>
      </c>
      <c r="G75" s="1455">
        <v>2.04</v>
      </c>
      <c r="H75" s="1455">
        <v>2.34</v>
      </c>
      <c r="I75" s="1455">
        <v>0.13</v>
      </c>
      <c r="J75" s="1455">
        <v>6.0000000000000001E-3</v>
      </c>
      <c r="K75" s="1455">
        <v>0.28000000000000003</v>
      </c>
      <c r="L75" s="1446" t="str">
        <v>Before the burn</v>
      </c>
    </row>
    <row r="76" spans="1:12" s="1428" customFormat="1" x14ac:dyDescent="0.3">
      <c r="A76" s="1443" t="str">
        <v>SPI</v>
      </c>
      <c r="B76" s="1444">
        <v>44335</v>
      </c>
      <c r="C76" s="1445" t="str">
        <v>SPI44335</v>
      </c>
      <c r="D76" s="1455">
        <v>6.62</v>
      </c>
      <c r="E76" s="1455">
        <v>24.4</v>
      </c>
      <c r="F76" s="1455">
        <v>0.17</v>
      </c>
      <c r="G76" s="1455">
        <v>1.99</v>
      </c>
      <c r="H76" s="1455">
        <v>2.25</v>
      </c>
      <c r="I76" s="1455">
        <v>0.2</v>
      </c>
      <c r="J76" s="1455">
        <v>5.0000000000000001E-3</v>
      </c>
      <c r="K76" s="1455">
        <v>0.26</v>
      </c>
      <c r="L76" s="1446" t="str">
        <v>Before the burn</v>
      </c>
    </row>
    <row r="77" spans="1:12" s="1428" customFormat="1" x14ac:dyDescent="0.3">
      <c r="A77" s="1443" t="str">
        <v>SPI</v>
      </c>
      <c r="B77" s="1444">
        <v>44342</v>
      </c>
      <c r="C77" s="1445" t="str">
        <v>SPI44342</v>
      </c>
      <c r="D77" s="1455">
        <v>6.56</v>
      </c>
      <c r="E77" s="1455">
        <v>25.8</v>
      </c>
      <c r="F77" s="1455">
        <v>0.11</v>
      </c>
      <c r="G77" s="1455">
        <v>2.2799999999999998</v>
      </c>
      <c r="H77" s="1455">
        <v>2.72</v>
      </c>
      <c r="I77" s="1455">
        <v>0.27</v>
      </c>
      <c r="J77" s="1455">
        <v>5.0000000000000001E-3</v>
      </c>
      <c r="K77" s="1455">
        <v>0.34</v>
      </c>
      <c r="L77" s="1446" t="str">
        <v>Before the burn</v>
      </c>
    </row>
    <row r="78" spans="1:12" s="1428" customFormat="1" x14ac:dyDescent="0.3">
      <c r="A78" s="1443" t="str">
        <v>SPI</v>
      </c>
      <c r="B78" s="1444">
        <v>44356</v>
      </c>
      <c r="C78" s="1445" t="str">
        <v>SPI44356</v>
      </c>
      <c r="D78" s="1455">
        <v>6.87</v>
      </c>
      <c r="E78" s="1455">
        <v>26.4</v>
      </c>
      <c r="F78" s="1455">
        <v>0.11</v>
      </c>
      <c r="G78" s="1455">
        <v>2.2799999999999998</v>
      </c>
      <c r="H78" s="1455">
        <v>2.42</v>
      </c>
      <c r="I78" s="1455">
        <v>0.25</v>
      </c>
      <c r="J78" s="1455">
        <v>7.0000000000000001E-3</v>
      </c>
      <c r="K78" s="1455">
        <v>0.35</v>
      </c>
      <c r="L78" s="1446" t="str">
        <v>Before the burn</v>
      </c>
    </row>
    <row r="79" spans="1:12" s="1428" customFormat="1" x14ac:dyDescent="0.3">
      <c r="A79" s="1443" t="str">
        <v>SPO</v>
      </c>
      <c r="B79" s="1444">
        <v>44294</v>
      </c>
      <c r="C79" s="1445" t="str">
        <v>SPO44294</v>
      </c>
      <c r="D79" s="1455">
        <v>6.43</v>
      </c>
      <c r="E79" s="1455">
        <v>21.533333333333331</v>
      </c>
      <c r="F79" s="1455">
        <v>1.0133333333333334</v>
      </c>
      <c r="G79" s="1455">
        <v>1.9000000000000001</v>
      </c>
      <c r="H79" s="1455">
        <v>1.7599999999999998</v>
      </c>
      <c r="I79" s="1455">
        <v>0.29666666666666669</v>
      </c>
      <c r="J79" s="1455">
        <v>5.3333333333333332E-3</v>
      </c>
      <c r="K79" s="1455">
        <v>0.33</v>
      </c>
      <c r="L79" s="1446" t="str">
        <v>Before the burn</v>
      </c>
    </row>
    <row r="80" spans="1:12" s="1428" customFormat="1" x14ac:dyDescent="0.3">
      <c r="A80" s="1443" t="str">
        <v>SPO</v>
      </c>
      <c r="B80" s="1444">
        <v>44306</v>
      </c>
      <c r="C80" s="1445" t="str">
        <v>SPO44306</v>
      </c>
      <c r="D80" s="1455">
        <v>6.66</v>
      </c>
      <c r="E80" s="1455">
        <v>20.6</v>
      </c>
      <c r="F80" s="1455">
        <v>2.77</v>
      </c>
      <c r="G80" s="1455">
        <v>1.83</v>
      </c>
      <c r="H80" s="1455">
        <v>0.13</v>
      </c>
      <c r="I80" s="1455">
        <v>0.24</v>
      </c>
      <c r="J80" s="1455">
        <v>5.0000000000000001E-3</v>
      </c>
      <c r="K80" s="1455">
        <v>0.33</v>
      </c>
      <c r="L80" s="1446" t="str">
        <v>Before the burn</v>
      </c>
    </row>
    <row r="81" spans="1:12" s="1428" customFormat="1" x14ac:dyDescent="0.3">
      <c r="A81" s="1443" t="str">
        <v>SPO</v>
      </c>
      <c r="B81" s="1444">
        <v>44313</v>
      </c>
      <c r="C81" s="1445" t="str">
        <v>SPO44313</v>
      </c>
      <c r="D81" s="1455">
        <v>6.31</v>
      </c>
      <c r="E81" s="1455">
        <v>22</v>
      </c>
      <c r="F81" s="1455">
        <v>0.21</v>
      </c>
      <c r="G81" s="1455">
        <v>1.88</v>
      </c>
      <c r="H81" s="1455">
        <v>2.52</v>
      </c>
      <c r="I81" s="1455">
        <v>0.34</v>
      </c>
      <c r="J81" s="1455">
        <v>6.0000000000000001E-3</v>
      </c>
      <c r="K81" s="1455">
        <v>0.32</v>
      </c>
      <c r="L81" s="1446" t="str">
        <v>Before the burn</v>
      </c>
    </row>
    <row r="82" spans="1:12" s="1428" customFormat="1" x14ac:dyDescent="0.3">
      <c r="A82" s="1443" t="str">
        <v>SPO</v>
      </c>
      <c r="B82" s="1444">
        <v>44320</v>
      </c>
      <c r="C82" s="1445" t="str">
        <v>SPO44320</v>
      </c>
      <c r="D82" s="1455">
        <v>6.43</v>
      </c>
      <c r="E82" s="1455">
        <v>24.3</v>
      </c>
      <c r="F82" s="1455">
        <v>0.08</v>
      </c>
      <c r="G82" s="1455">
        <v>1.87</v>
      </c>
      <c r="H82" s="1455">
        <v>2.2200000000000002</v>
      </c>
      <c r="I82" s="1455">
        <v>0.22</v>
      </c>
      <c r="J82" s="1455">
        <v>6.0000000000000001E-3</v>
      </c>
      <c r="K82" s="1455">
        <v>0.32</v>
      </c>
      <c r="L82" s="1446" t="str">
        <v>Before the burn</v>
      </c>
    </row>
    <row r="83" spans="1:12" s="1428" customFormat="1" x14ac:dyDescent="0.3">
      <c r="A83" s="1443" t="str">
        <v>SPO</v>
      </c>
      <c r="B83" s="1444">
        <v>44327</v>
      </c>
      <c r="C83" s="1445" t="str">
        <v>SPO44327</v>
      </c>
      <c r="D83" s="1455">
        <v>6.65</v>
      </c>
      <c r="E83" s="1455">
        <v>24.4</v>
      </c>
      <c r="F83" s="1455">
        <v>0.09</v>
      </c>
      <c r="G83" s="1455">
        <v>1.78</v>
      </c>
      <c r="H83" s="1455">
        <v>2.13</v>
      </c>
      <c r="I83" s="1455">
        <v>0.21</v>
      </c>
      <c r="J83" s="1455">
        <v>7.0000000000000001E-3</v>
      </c>
      <c r="K83" s="1455">
        <v>0.3</v>
      </c>
      <c r="L83" s="1446" t="str">
        <v>Before the burn</v>
      </c>
    </row>
    <row r="84" spans="1:12" s="1428" customFormat="1" x14ac:dyDescent="0.3">
      <c r="A84" s="1443" t="str">
        <v>SPO</v>
      </c>
      <c r="B84" s="1444">
        <v>44335</v>
      </c>
      <c r="C84" s="1445" t="str">
        <v>SPO44335</v>
      </c>
      <c r="D84" s="1455">
        <v>6.53</v>
      </c>
      <c r="E84" s="1455">
        <v>24.8</v>
      </c>
      <c r="F84" s="1455">
        <v>0.11</v>
      </c>
      <c r="G84" s="1455">
        <v>1.77</v>
      </c>
      <c r="H84" s="1455">
        <v>2.23</v>
      </c>
      <c r="I84" s="1455">
        <v>0.33</v>
      </c>
      <c r="J84" s="1455">
        <v>5.0000000000000001E-3</v>
      </c>
      <c r="K84" s="1455">
        <v>0.26</v>
      </c>
      <c r="L84" s="1446" t="str">
        <v>Before the burn</v>
      </c>
    </row>
    <row r="85" spans="1:12" s="1428" customFormat="1" x14ac:dyDescent="0.3">
      <c r="A85" s="1443" t="str">
        <v>SPO</v>
      </c>
      <c r="B85" s="1444">
        <v>44342</v>
      </c>
      <c r="C85" s="1445" t="str">
        <v>SPO44342</v>
      </c>
      <c r="D85" s="1455">
        <v>6.62</v>
      </c>
      <c r="E85" s="1455">
        <v>25.3</v>
      </c>
      <c r="F85" s="1455">
        <v>0.09</v>
      </c>
      <c r="G85" s="1455">
        <v>1.72</v>
      </c>
      <c r="H85" s="1455">
        <v>2.34</v>
      </c>
      <c r="I85" s="1455">
        <v>0.25</v>
      </c>
      <c r="J85" s="1455">
        <v>5.0000000000000001E-3</v>
      </c>
      <c r="K85" s="1455">
        <v>0.35</v>
      </c>
      <c r="L85" s="1446" t="str">
        <v>Before the burn</v>
      </c>
    </row>
    <row r="86" spans="1:12" s="1428" customFormat="1" x14ac:dyDescent="0.3">
      <c r="A86" s="1443" t="str">
        <v>SPO</v>
      </c>
      <c r="B86" s="1444">
        <v>44356</v>
      </c>
      <c r="C86" s="1445" t="str">
        <v>SPO44356</v>
      </c>
      <c r="D86" s="1455">
        <v>7.2</v>
      </c>
      <c r="E86" s="1455">
        <v>25.2</v>
      </c>
      <c r="F86" s="1455">
        <v>0.09</v>
      </c>
      <c r="G86" s="1455">
        <v>1.82</v>
      </c>
      <c r="H86" s="1455">
        <v>2.2599999999999998</v>
      </c>
      <c r="I86" s="1455">
        <v>0.14000000000000001</v>
      </c>
      <c r="J86" s="1455">
        <v>1E-3</v>
      </c>
      <c r="K86" s="1455">
        <v>0.36</v>
      </c>
      <c r="L86" s="1446" t="str">
        <v>Before the burn</v>
      </c>
    </row>
    <row r="87" spans="1:12" s="1428" customFormat="1" x14ac:dyDescent="0.3">
      <c r="A87" s="1443" t="str">
        <v>MRT</v>
      </c>
      <c r="B87" s="1444">
        <v>44294</v>
      </c>
      <c r="C87" s="1445" t="str">
        <v>MRT44294</v>
      </c>
      <c r="D87" s="1455">
        <v>6.5533333333333337</v>
      </c>
      <c r="E87" s="1455">
        <v>22.633333333333336</v>
      </c>
      <c r="F87" s="1455">
        <v>6.2333333333333331E-2</v>
      </c>
      <c r="G87" s="1455">
        <v>0.70666666666666667</v>
      </c>
      <c r="H87" s="1455">
        <v>1.0899999999999999</v>
      </c>
      <c r="I87" s="1455">
        <v>0.33</v>
      </c>
      <c r="J87" s="1455">
        <v>0.06</v>
      </c>
      <c r="K87" s="1455">
        <v>0.5033333333333333</v>
      </c>
      <c r="L87" s="1446" t="str">
        <v>Before the burn</v>
      </c>
    </row>
    <row r="88" spans="1:12" s="1428" customFormat="1" x14ac:dyDescent="0.3">
      <c r="A88" s="1443" t="str">
        <v>MRT</v>
      </c>
      <c r="B88" s="1444">
        <v>44306</v>
      </c>
      <c r="C88" s="1445" t="str">
        <v>MRT44306</v>
      </c>
      <c r="D88" s="1455">
        <v>6.75</v>
      </c>
      <c r="E88" s="1455">
        <v>23</v>
      </c>
      <c r="F88" s="1455">
        <v>7.0000000000000001E-3</v>
      </c>
      <c r="G88" s="1455">
        <v>0.65</v>
      </c>
      <c r="H88" s="1455">
        <v>0.84</v>
      </c>
      <c r="I88" s="1455">
        <v>0.22</v>
      </c>
      <c r="J88" s="1455">
        <v>7.0000000000000007E-2</v>
      </c>
      <c r="K88" s="1455">
        <v>0.49</v>
      </c>
      <c r="L88" s="1446" t="str">
        <v>Before the burn</v>
      </c>
    </row>
    <row r="89" spans="1:12" s="1428" customFormat="1" x14ac:dyDescent="0.3">
      <c r="A89" s="1443" t="str">
        <v>MRT</v>
      </c>
      <c r="B89" s="1444">
        <v>44313</v>
      </c>
      <c r="C89" s="1445" t="str">
        <v>MRT44313</v>
      </c>
      <c r="D89" s="1455">
        <v>6.62</v>
      </c>
      <c r="E89" s="1455">
        <v>22.8</v>
      </c>
      <c r="F89" s="1455">
        <v>7.0000000000000007E-2</v>
      </c>
      <c r="G89" s="1455">
        <v>0.72</v>
      </c>
      <c r="H89" s="1455">
        <v>1.18</v>
      </c>
      <c r="I89" s="1455">
        <v>0.39</v>
      </c>
      <c r="J89" s="1455">
        <v>4.8000000000000001E-2</v>
      </c>
      <c r="K89" s="1455">
        <v>0.51</v>
      </c>
      <c r="L89" s="1446" t="str">
        <v>Before the burn</v>
      </c>
    </row>
    <row r="90" spans="1:12" s="1428" customFormat="1" x14ac:dyDescent="0.3">
      <c r="A90" s="1443" t="str">
        <v>MRT</v>
      </c>
      <c r="B90" s="1444">
        <v>44320</v>
      </c>
      <c r="C90" s="1445" t="str">
        <v>MRT44320</v>
      </c>
      <c r="D90" s="1455">
        <v>6.54</v>
      </c>
      <c r="E90" s="1455">
        <v>24.6</v>
      </c>
      <c r="F90" s="1455">
        <v>0.11</v>
      </c>
      <c r="G90" s="1455">
        <v>0.6</v>
      </c>
      <c r="H90" s="1455">
        <v>0.85</v>
      </c>
      <c r="I90" s="1455">
        <v>0.28999999999999998</v>
      </c>
      <c r="J90" s="1455">
        <v>7.5999999999999998E-2</v>
      </c>
      <c r="K90" s="1455">
        <v>0.49</v>
      </c>
      <c r="L90" s="1446" t="str">
        <v>Before the burn</v>
      </c>
    </row>
    <row r="91" spans="1:12" s="1428" customFormat="1" x14ac:dyDescent="0.3">
      <c r="A91" s="1443" t="str">
        <v>MRT</v>
      </c>
      <c r="B91" s="1444">
        <v>44327</v>
      </c>
      <c r="C91" s="1445" t="str">
        <v>MRT44327</v>
      </c>
      <c r="D91" s="1455">
        <v>6.66</v>
      </c>
      <c r="E91" s="1455">
        <v>23.7</v>
      </c>
      <c r="F91" s="1455">
        <v>0.08</v>
      </c>
      <c r="G91" s="1455">
        <v>0.85</v>
      </c>
      <c r="H91" s="1455">
        <v>1.17</v>
      </c>
      <c r="I91" s="1455">
        <v>0.23</v>
      </c>
      <c r="J91" s="1455">
        <v>5.1999999999999998E-2</v>
      </c>
      <c r="K91" s="1455">
        <v>0.49</v>
      </c>
      <c r="L91" s="1446" t="str">
        <v>Before the burn</v>
      </c>
    </row>
    <row r="92" spans="1:12" s="1428" customFormat="1" x14ac:dyDescent="0.3">
      <c r="A92" s="1443" t="str">
        <v>MRT</v>
      </c>
      <c r="B92" s="1444">
        <v>44335</v>
      </c>
      <c r="C92" s="1445" t="str">
        <v>MRT44335</v>
      </c>
      <c r="D92" s="1455">
        <v>6.78</v>
      </c>
      <c r="E92" s="1455">
        <v>23.8</v>
      </c>
      <c r="F92" s="1455">
        <v>0.15</v>
      </c>
      <c r="G92" s="1455">
        <v>0.34</v>
      </c>
      <c r="H92" s="1455">
        <v>0.54</v>
      </c>
      <c r="I92" s="1455">
        <v>0.17</v>
      </c>
      <c r="J92" s="1455">
        <v>6.3E-2</v>
      </c>
      <c r="K92" s="1455">
        <v>0.53</v>
      </c>
      <c r="L92" s="1446" t="str">
        <v>Before the burn</v>
      </c>
    </row>
    <row r="93" spans="1:12" s="1428" customFormat="1" x14ac:dyDescent="0.3">
      <c r="A93" s="1443" t="str">
        <v>MRT</v>
      </c>
      <c r="B93" s="1444">
        <v>44342</v>
      </c>
      <c r="C93" s="1445" t="str">
        <v>MRT44342</v>
      </c>
      <c r="D93" s="1455">
        <v>6.35</v>
      </c>
      <c r="E93" s="1455">
        <v>24.6</v>
      </c>
      <c r="F93" s="1455">
        <v>0.04</v>
      </c>
      <c r="G93" s="1455">
        <v>0.49</v>
      </c>
      <c r="H93" s="1455">
        <v>0.76</v>
      </c>
      <c r="I93" s="1455">
        <v>0.19</v>
      </c>
      <c r="J93" s="1455">
        <v>7.6999999999999999E-2</v>
      </c>
      <c r="K93" s="1455">
        <v>0.48</v>
      </c>
      <c r="L93" s="1446" t="str">
        <v>Before the burn</v>
      </c>
    </row>
    <row r="94" spans="1:12" s="1428" customFormat="1" x14ac:dyDescent="0.3">
      <c r="A94" s="1443" t="str">
        <v>MRT</v>
      </c>
      <c r="B94" s="1444">
        <v>44356</v>
      </c>
      <c r="C94" s="1445" t="str">
        <v>MRT44356</v>
      </c>
      <c r="D94" s="1455">
        <v>6.61</v>
      </c>
      <c r="E94" s="1455">
        <v>26</v>
      </c>
      <c r="F94" s="1455">
        <v>7.0000000000000007E-2</v>
      </c>
      <c r="G94" s="1455">
        <v>0.73</v>
      </c>
      <c r="H94" s="1455">
        <v>0.86</v>
      </c>
      <c r="I94" s="1455">
        <v>0.2</v>
      </c>
      <c r="J94" s="1455">
        <v>5.5E-2</v>
      </c>
      <c r="K94" s="1455">
        <v>0.51</v>
      </c>
      <c r="L94" s="1446" t="str">
        <v>Before the burn</v>
      </c>
    </row>
    <row r="95" spans="1:12" s="1428" customFormat="1" x14ac:dyDescent="0.3">
      <c r="A95" s="1443" t="str">
        <v>RN</v>
      </c>
      <c r="B95" s="1444">
        <v>44293</v>
      </c>
      <c r="C95" s="1445" t="str">
        <v>RN44293</v>
      </c>
      <c r="D95" s="1455">
        <v>6.7666666666666657</v>
      </c>
      <c r="E95" s="1455">
        <v>22.400000000000002</v>
      </c>
      <c r="F95" s="1455">
        <v>0.08</v>
      </c>
      <c r="G95" s="1455">
        <v>1.66</v>
      </c>
      <c r="H95" s="1455">
        <v>1.7566666666666666</v>
      </c>
      <c r="I95" s="1455">
        <v>0.32333333333333331</v>
      </c>
      <c r="J95" s="1455">
        <v>5.0000000000000001E-3</v>
      </c>
      <c r="K95" s="1455">
        <v>0.54999999999999993</v>
      </c>
      <c r="L95" s="1446" t="str">
        <v>Before the burn</v>
      </c>
    </row>
    <row r="96" spans="1:12" s="1428" customFormat="1" x14ac:dyDescent="0.3">
      <c r="A96" s="1443" t="str">
        <v>RN</v>
      </c>
      <c r="B96" s="1444">
        <v>44313</v>
      </c>
      <c r="C96" s="1445" t="str">
        <v>RN44313</v>
      </c>
      <c r="D96" s="1455">
        <v>6.78</v>
      </c>
      <c r="E96" s="1455">
        <v>24.2</v>
      </c>
      <c r="F96" s="1455">
        <v>0.14000000000000001</v>
      </c>
      <c r="G96" s="1455">
        <v>1.49</v>
      </c>
      <c r="H96" s="1455">
        <v>1.45</v>
      </c>
      <c r="I96" s="1455">
        <v>0.24</v>
      </c>
      <c r="J96" s="1455">
        <v>6.0000000000000001E-3</v>
      </c>
      <c r="K96" s="1455">
        <v>0.54</v>
      </c>
      <c r="L96" s="1446" t="str">
        <v>Before the burn</v>
      </c>
    </row>
    <row r="97" spans="1:12" s="1428" customFormat="1" x14ac:dyDescent="0.3">
      <c r="A97" s="1443" t="str">
        <v>RN</v>
      </c>
      <c r="B97" s="1444">
        <v>44327</v>
      </c>
      <c r="C97" s="1445" t="str">
        <v>RN44327</v>
      </c>
      <c r="D97" s="1455">
        <v>6.74</v>
      </c>
      <c r="E97" s="1455">
        <v>26.7</v>
      </c>
      <c r="F97" s="1455">
        <v>0.14000000000000001</v>
      </c>
      <c r="G97" s="1455">
        <v>1.48</v>
      </c>
      <c r="H97" s="1455">
        <v>1.39</v>
      </c>
      <c r="I97" s="1455">
        <v>0.28999999999999998</v>
      </c>
      <c r="J97" s="1455">
        <v>7.0000000000000001E-3</v>
      </c>
      <c r="K97" s="1455">
        <v>0.53</v>
      </c>
      <c r="L97" s="1446" t="str">
        <v>Before the burn</v>
      </c>
    </row>
    <row r="98" spans="1:12" s="1428" customFormat="1" x14ac:dyDescent="0.3">
      <c r="A98" s="1443" t="str">
        <v>RN</v>
      </c>
      <c r="B98" s="1444">
        <v>44334</v>
      </c>
      <c r="C98" s="1445" t="str">
        <v>RN44334</v>
      </c>
      <c r="D98" s="1455">
        <v>7.09</v>
      </c>
      <c r="E98" s="1455">
        <v>25</v>
      </c>
      <c r="F98" s="1455">
        <v>0.06</v>
      </c>
      <c r="G98" s="1455">
        <v>1.36</v>
      </c>
      <c r="H98" s="1455">
        <v>1.31</v>
      </c>
      <c r="I98" s="1455">
        <v>0.28000000000000003</v>
      </c>
      <c r="J98" s="1455">
        <v>7.0000000000000001E-3</v>
      </c>
      <c r="K98" s="1455">
        <v>0.55000000000000004</v>
      </c>
      <c r="L98" s="1446" t="str">
        <v>Before the burn</v>
      </c>
    </row>
    <row r="99" spans="1:12" s="1428" customFormat="1" x14ac:dyDescent="0.3">
      <c r="A99" s="1443" t="str">
        <v>RN</v>
      </c>
      <c r="B99" s="1444">
        <v>44335</v>
      </c>
      <c r="C99" s="1445" t="str">
        <v>RN44335</v>
      </c>
      <c r="D99" s="1455">
        <v>6.82</v>
      </c>
      <c r="E99" s="1455">
        <v>24.8</v>
      </c>
      <c r="F99" s="1455">
        <v>7.4999999999999997E-2</v>
      </c>
      <c r="G99" s="1455">
        <v>1.6800000000000002</v>
      </c>
      <c r="H99" s="1455">
        <v>1.7949999999999999</v>
      </c>
      <c r="I99" s="1455">
        <v>0.33999999999999997</v>
      </c>
      <c r="J99" s="1455">
        <v>6.5000000000000006E-3</v>
      </c>
      <c r="K99" s="1455">
        <v>0.46500000000000002</v>
      </c>
      <c r="L99" s="1446" t="str">
        <v>Before the burn</v>
      </c>
    </row>
    <row r="100" spans="1:12" s="1428" customFormat="1" x14ac:dyDescent="0.3">
      <c r="A100" s="1443" t="str">
        <v>RN</v>
      </c>
      <c r="B100" s="1444">
        <v>44341</v>
      </c>
      <c r="C100" s="1445" t="str">
        <v>RN44341</v>
      </c>
      <c r="D100" s="1455">
        <v>6.95</v>
      </c>
      <c r="E100" s="1455">
        <v>25.6</v>
      </c>
      <c r="F100" s="1455">
        <v>7.0000000000000007E-2</v>
      </c>
      <c r="G100" s="1455">
        <v>1.44</v>
      </c>
      <c r="H100" s="1455">
        <v>1.34</v>
      </c>
      <c r="I100" s="1455">
        <v>0.28000000000000003</v>
      </c>
      <c r="J100" s="1455">
        <v>6.0000000000000001E-3</v>
      </c>
      <c r="K100" s="1455">
        <v>0.55000000000000004</v>
      </c>
      <c r="L100" s="1446" t="str">
        <v>Before the burn</v>
      </c>
    </row>
    <row r="101" spans="1:12" s="1428" customFormat="1" x14ac:dyDescent="0.3">
      <c r="A101" s="1443" t="str">
        <v>RN</v>
      </c>
      <c r="B101" s="1444">
        <v>44342</v>
      </c>
      <c r="C101" s="1445" t="str">
        <v>RN44342</v>
      </c>
      <c r="D101" s="1455">
        <v>6.7200000000000006</v>
      </c>
      <c r="E101" s="1455">
        <v>25.65</v>
      </c>
      <c r="F101" s="1455">
        <v>6.0000000000000005E-2</v>
      </c>
      <c r="G101" s="1455">
        <v>1.65</v>
      </c>
      <c r="H101" s="1455">
        <v>1.75</v>
      </c>
      <c r="I101" s="1455">
        <v>0.32</v>
      </c>
      <c r="J101" s="1455">
        <v>7.0000000000000001E-3</v>
      </c>
      <c r="K101" s="1455">
        <v>0.505</v>
      </c>
      <c r="L101" s="1446" t="str">
        <v>Before the burn</v>
      </c>
    </row>
    <row r="102" spans="1:12" s="1428" customFormat="1" x14ac:dyDescent="0.3">
      <c r="A102" s="1443" t="str">
        <v>RN</v>
      </c>
      <c r="B102" s="1444">
        <v>44349</v>
      </c>
      <c r="C102" s="1445" t="str">
        <v>RN44349</v>
      </c>
      <c r="D102" s="1455">
        <v>6.81</v>
      </c>
      <c r="E102" s="1455">
        <v>26.7</v>
      </c>
      <c r="F102" s="1455">
        <v>0.09</v>
      </c>
      <c r="G102" s="1455">
        <v>1.75</v>
      </c>
      <c r="H102" s="1455">
        <v>1.68</v>
      </c>
      <c r="I102" s="1455">
        <v>0.34</v>
      </c>
      <c r="J102" s="1455">
        <v>7.0000000000000001E-3</v>
      </c>
      <c r="K102" s="1455">
        <v>0.56000000000000005</v>
      </c>
      <c r="L102" s="1446" t="str">
        <v>Before the burn</v>
      </c>
    </row>
    <row r="103" spans="1:12" s="1428" customFormat="1" x14ac:dyDescent="0.3">
      <c r="A103" s="1443" t="str">
        <v>RN</v>
      </c>
      <c r="B103" s="1444">
        <v>44350</v>
      </c>
      <c r="C103" s="1445" t="str">
        <v>RN44350</v>
      </c>
      <c r="D103" s="1455">
        <v>6.7050000000000001</v>
      </c>
      <c r="E103" s="1455">
        <v>26.35</v>
      </c>
      <c r="F103" s="1455">
        <v>0.08</v>
      </c>
      <c r="G103" s="1455">
        <v>1.32</v>
      </c>
      <c r="H103" s="1455">
        <v>1.51</v>
      </c>
      <c r="I103" s="1455">
        <v>0.29000000000000004</v>
      </c>
      <c r="J103" s="1455">
        <v>6.0000000000000001E-3</v>
      </c>
      <c r="K103" s="1455">
        <v>0.61499999999999999</v>
      </c>
      <c r="L103" s="1446" t="str">
        <v>Before the burn</v>
      </c>
    </row>
    <row r="104" spans="1:12" s="1428" customFormat="1" x14ac:dyDescent="0.3">
      <c r="A104" s="1443" t="str">
        <v>RN</v>
      </c>
      <c r="B104" s="1444">
        <v>44355</v>
      </c>
      <c r="C104" s="1445" t="str">
        <v>RN44355</v>
      </c>
      <c r="D104" s="1455">
        <v>6.75</v>
      </c>
      <c r="E104" s="1455">
        <v>27.1</v>
      </c>
      <c r="F104" s="1455">
        <v>0.12</v>
      </c>
      <c r="G104" s="1455">
        <v>1.45</v>
      </c>
      <c r="H104" s="1455">
        <v>1.46</v>
      </c>
      <c r="I104" s="1455">
        <v>0.31</v>
      </c>
      <c r="J104" s="1455">
        <v>6.0000000000000001E-3</v>
      </c>
      <c r="K104" s="1455">
        <v>0.56000000000000005</v>
      </c>
      <c r="L104" s="1446" t="str">
        <v>Before the burn</v>
      </c>
    </row>
    <row r="105" spans="1:12" s="1428" customFormat="1" x14ac:dyDescent="0.3">
      <c r="A105" s="1443" t="str">
        <v>RN</v>
      </c>
      <c r="B105" s="1444">
        <v>44356</v>
      </c>
      <c r="C105" s="1445" t="str">
        <v>RN44356</v>
      </c>
      <c r="D105" s="1455">
        <v>6.7449999999999992</v>
      </c>
      <c r="E105" s="1455">
        <v>27.25</v>
      </c>
      <c r="F105" s="1455">
        <v>0.13500000000000001</v>
      </c>
      <c r="G105" s="1455">
        <v>1.365</v>
      </c>
      <c r="H105" s="1455">
        <v>1.2850000000000001</v>
      </c>
      <c r="I105" s="1455">
        <v>0.41500000000000004</v>
      </c>
      <c r="J105" s="1455">
        <v>7.0000000000000001E-3</v>
      </c>
      <c r="K105" s="1455">
        <v>0.55499999999999994</v>
      </c>
      <c r="L105" s="1446" t="str">
        <v>Before the burn</v>
      </c>
    </row>
    <row r="106" spans="1:12" s="1428" customFormat="1" x14ac:dyDescent="0.3">
      <c r="A106" s="1443" t="str">
        <v>RU</v>
      </c>
      <c r="B106" s="1444">
        <v>44293</v>
      </c>
      <c r="C106" s="1445" t="str">
        <v>RU44293</v>
      </c>
      <c r="D106" s="1455">
        <v>6.6400000000000006</v>
      </c>
      <c r="E106" s="1455">
        <v>23.5</v>
      </c>
      <c r="F106" s="1455">
        <v>7.5000000000000011E-2</v>
      </c>
      <c r="G106" s="1455">
        <v>2.6</v>
      </c>
      <c r="H106" s="1455">
        <v>2.95</v>
      </c>
      <c r="I106" s="1455">
        <v>0.20500000000000002</v>
      </c>
      <c r="J106" s="1455">
        <v>1.0500000000000001E-2</v>
      </c>
      <c r="K106" s="1455">
        <v>0.36499999999999999</v>
      </c>
      <c r="L106" s="1446" t="str">
        <v>Before the burn</v>
      </c>
    </row>
    <row r="107" spans="1:12" s="1428" customFormat="1" x14ac:dyDescent="0.3">
      <c r="A107" s="1443" t="str">
        <v>RU</v>
      </c>
      <c r="B107" s="1444">
        <v>44306</v>
      </c>
      <c r="C107" s="1445" t="str">
        <v>RU44306</v>
      </c>
      <c r="D107" s="1455">
        <v>7.05</v>
      </c>
      <c r="E107" s="1455">
        <v>18.899999999999999</v>
      </c>
      <c r="F107" s="1455">
        <v>0.15</v>
      </c>
      <c r="G107" s="1455">
        <v>2.0499999999999998</v>
      </c>
      <c r="H107" s="1455">
        <v>2.69</v>
      </c>
      <c r="I107" s="1455">
        <v>0.24</v>
      </c>
      <c r="J107" s="1455">
        <v>6.0000000000000001E-3</v>
      </c>
      <c r="K107" s="1455">
        <v>0.34</v>
      </c>
      <c r="L107" s="1446" t="str">
        <v>Before the burn</v>
      </c>
    </row>
    <row r="108" spans="1:12" s="1428" customFormat="1" x14ac:dyDescent="0.3">
      <c r="A108" s="1443" t="str">
        <v>RU</v>
      </c>
      <c r="B108" s="1444">
        <v>44313</v>
      </c>
      <c r="C108" s="1445" t="str">
        <v>RU44313</v>
      </c>
      <c r="D108" s="1455">
        <v>6.95</v>
      </c>
      <c r="E108" s="1455">
        <v>22.7</v>
      </c>
      <c r="F108" s="1455">
        <v>0.09</v>
      </c>
      <c r="G108" s="1455">
        <v>2.1</v>
      </c>
      <c r="H108" s="1455">
        <v>2.69</v>
      </c>
      <c r="I108" s="1455">
        <v>0.15</v>
      </c>
      <c r="J108" s="1455">
        <v>7.0000000000000001E-3</v>
      </c>
      <c r="K108" s="1455">
        <v>0.3</v>
      </c>
      <c r="L108" s="1446" t="str">
        <v>Before the burn</v>
      </c>
    </row>
    <row r="109" spans="1:12" s="1428" customFormat="1" x14ac:dyDescent="0.3">
      <c r="A109" s="1443" t="str">
        <v>RU</v>
      </c>
      <c r="B109" s="1444">
        <v>44327</v>
      </c>
      <c r="C109" s="1445" t="str">
        <v>RU44327</v>
      </c>
      <c r="D109" s="1455">
        <v>7.41</v>
      </c>
      <c r="E109" s="1455">
        <v>24.8</v>
      </c>
      <c r="F109" s="1455">
        <v>0.15</v>
      </c>
      <c r="G109" s="1455">
        <v>1.48</v>
      </c>
      <c r="H109" s="1455">
        <v>1.79</v>
      </c>
      <c r="I109" s="1455">
        <v>0.32</v>
      </c>
      <c r="J109" s="1455">
        <v>1.2999999999999999E-2</v>
      </c>
      <c r="K109" s="1455">
        <v>0.25</v>
      </c>
      <c r="L109" s="1446" t="str">
        <v>Before the burn</v>
      </c>
    </row>
    <row r="110" spans="1:12" s="1428" customFormat="1" x14ac:dyDescent="0.3">
      <c r="A110" s="1443" t="str">
        <v>RU</v>
      </c>
      <c r="B110" s="1444">
        <v>44334</v>
      </c>
      <c r="C110" s="1445" t="str">
        <v>RU44334</v>
      </c>
      <c r="D110" s="1455">
        <v>7.3</v>
      </c>
      <c r="E110" s="1455">
        <v>23.3</v>
      </c>
      <c r="F110" s="1455">
        <v>0.13</v>
      </c>
      <c r="G110" s="1455">
        <v>1.5</v>
      </c>
      <c r="H110" s="1455">
        <v>1.95</v>
      </c>
      <c r="I110" s="1455">
        <v>0.43</v>
      </c>
      <c r="J110" s="1455">
        <v>2.4E-2</v>
      </c>
      <c r="K110" s="1455">
        <v>0.28999999999999998</v>
      </c>
      <c r="L110" s="1446" t="str">
        <v>Before the burn</v>
      </c>
    </row>
    <row r="111" spans="1:12" s="1428" customFormat="1" x14ac:dyDescent="0.3">
      <c r="A111" s="1443" t="str">
        <v>RU</v>
      </c>
      <c r="B111" s="1444">
        <v>44335</v>
      </c>
      <c r="C111" s="1445" t="str">
        <v>RU44335</v>
      </c>
      <c r="D111" s="1455">
        <v>7.43</v>
      </c>
      <c r="E111" s="1455">
        <v>24.5</v>
      </c>
      <c r="F111" s="1455">
        <v>8.4999999999999992E-2</v>
      </c>
      <c r="G111" s="1455">
        <v>2.4249999999999998</v>
      </c>
      <c r="H111" s="1455">
        <v>2.86</v>
      </c>
      <c r="I111" s="1455">
        <v>0.28500000000000003</v>
      </c>
      <c r="J111" s="1455">
        <v>8.0000000000000002E-3</v>
      </c>
      <c r="K111" s="1455">
        <v>0.28500000000000003</v>
      </c>
      <c r="L111" s="1446" t="str">
        <v>Before the burn</v>
      </c>
    </row>
    <row r="112" spans="1:12" s="1428" customFormat="1" x14ac:dyDescent="0.3">
      <c r="A112" s="1443" t="str">
        <v>RU</v>
      </c>
      <c r="B112" s="1444">
        <v>44341</v>
      </c>
      <c r="C112" s="1445" t="str">
        <v>RU44341</v>
      </c>
      <c r="D112" s="1455">
        <v>7.35</v>
      </c>
      <c r="E112" s="1455">
        <v>23.4</v>
      </c>
      <c r="F112" s="1455">
        <v>0.1</v>
      </c>
      <c r="G112" s="1455">
        <v>2.2000000000000002</v>
      </c>
      <c r="H112" s="1455">
        <v>2.85</v>
      </c>
      <c r="I112" s="1455">
        <v>0.21</v>
      </c>
      <c r="J112" s="1455">
        <v>7.0000000000000001E-3</v>
      </c>
      <c r="K112" s="1455">
        <v>0.28000000000000003</v>
      </c>
      <c r="L112" s="1446" t="str">
        <v>Before the burn</v>
      </c>
    </row>
    <row r="113" spans="1:12" s="1428" customFormat="1" x14ac:dyDescent="0.3">
      <c r="A113" s="1443" t="str">
        <v>RU</v>
      </c>
      <c r="B113" s="1444">
        <v>44342</v>
      </c>
      <c r="C113" s="1445" t="str">
        <v>RU44342</v>
      </c>
      <c r="D113" s="1455">
        <v>6.88</v>
      </c>
      <c r="E113" s="1455">
        <v>25</v>
      </c>
      <c r="F113" s="1455">
        <v>0.13500000000000001</v>
      </c>
      <c r="G113" s="1455">
        <v>2.39</v>
      </c>
      <c r="H113" s="1455">
        <v>2.9950000000000001</v>
      </c>
      <c r="I113" s="1455">
        <v>0.2</v>
      </c>
      <c r="J113" s="1455">
        <v>7.0000000000000001E-3</v>
      </c>
      <c r="K113" s="1455">
        <v>0.27</v>
      </c>
      <c r="L113" s="1446" t="str">
        <v>Before the burn</v>
      </c>
    </row>
    <row r="114" spans="1:12" s="1428" customFormat="1" x14ac:dyDescent="0.3">
      <c r="A114" s="1443" t="str">
        <v>RU</v>
      </c>
      <c r="B114" s="1444">
        <v>44349</v>
      </c>
      <c r="C114" s="1445" t="str">
        <v>RU44349</v>
      </c>
      <c r="D114" s="1455">
        <v>7.29</v>
      </c>
      <c r="E114" s="1455">
        <v>25</v>
      </c>
      <c r="F114" s="1455">
        <v>0.09</v>
      </c>
      <c r="G114" s="1455">
        <v>2.16</v>
      </c>
      <c r="H114" s="1455">
        <v>2.4300000000000002</v>
      </c>
      <c r="I114" s="1455">
        <v>0.25</v>
      </c>
      <c r="J114" s="1455">
        <v>5.0000000000000001E-3</v>
      </c>
      <c r="K114" s="1455">
        <v>0.41</v>
      </c>
      <c r="L114" s="1446" t="str">
        <v>Before the burn</v>
      </c>
    </row>
    <row r="115" spans="1:12" s="1428" customFormat="1" x14ac:dyDescent="0.3">
      <c r="A115" s="1443" t="str">
        <v>RU</v>
      </c>
      <c r="B115" s="1444">
        <v>44350</v>
      </c>
      <c r="C115" s="1445" t="str">
        <v>RU44350</v>
      </c>
      <c r="D115" s="1455">
        <v>7.2449999999999992</v>
      </c>
      <c r="E115" s="1455">
        <v>25.05</v>
      </c>
      <c r="F115" s="1455">
        <v>7.4999999999999997E-2</v>
      </c>
      <c r="G115" s="1455">
        <v>2.34</v>
      </c>
      <c r="H115" s="1455">
        <v>2.56</v>
      </c>
      <c r="I115" s="1455">
        <v>0.26</v>
      </c>
      <c r="J115" s="1455">
        <v>7.0000000000000001E-3</v>
      </c>
      <c r="K115" s="1455">
        <v>0.39</v>
      </c>
      <c r="L115" s="1446" t="str">
        <v>Before the burn</v>
      </c>
    </row>
    <row r="116" spans="1:12" s="1428" customFormat="1" x14ac:dyDescent="0.3">
      <c r="A116" s="1443" t="str">
        <v>RU</v>
      </c>
      <c r="B116" s="1444">
        <v>44355</v>
      </c>
      <c r="C116" s="1445" t="str">
        <v>RU44355</v>
      </c>
      <c r="D116" s="1455">
        <v>7.45</v>
      </c>
      <c r="E116" s="1455">
        <v>25.3</v>
      </c>
      <c r="F116" s="1455">
        <v>0.09</v>
      </c>
      <c r="G116" s="1455">
        <v>2.2200000000000002</v>
      </c>
      <c r="H116" s="1455">
        <v>2.52</v>
      </c>
      <c r="I116" s="1455">
        <v>0.34</v>
      </c>
      <c r="J116" s="1455">
        <v>7.0000000000000001E-3</v>
      </c>
      <c r="K116" s="1455">
        <v>0.36</v>
      </c>
      <c r="L116" s="1446" t="str">
        <v>Before the burn</v>
      </c>
    </row>
    <row r="117" spans="1:12" s="1428" customFormat="1" x14ac:dyDescent="0.3">
      <c r="A117" s="1443" t="str">
        <v>RU</v>
      </c>
      <c r="B117" s="1444">
        <v>44356</v>
      </c>
      <c r="C117" s="1445" t="str">
        <v>RU44356</v>
      </c>
      <c r="D117" s="1455">
        <v>6.8149999999999995</v>
      </c>
      <c r="E117" s="1455">
        <v>26.95</v>
      </c>
      <c r="F117" s="1455">
        <v>0.1</v>
      </c>
      <c r="G117" s="1455">
        <v>2.6100000000000003</v>
      </c>
      <c r="H117" s="1455">
        <v>2.87</v>
      </c>
      <c r="I117" s="1455">
        <v>0.155</v>
      </c>
      <c r="J117" s="1455">
        <v>8.0000000000000002E-3</v>
      </c>
      <c r="K117" s="1455">
        <v>0.33999999999999997</v>
      </c>
      <c r="L117" s="1446" t="str">
        <v>Before the burn</v>
      </c>
    </row>
    <row r="118" spans="1:12" s="1428" customFormat="1" x14ac:dyDescent="0.3">
      <c r="A118" s="1443" t="str">
        <v>RL</v>
      </c>
      <c r="B118" s="1444">
        <v>44293</v>
      </c>
      <c r="C118" s="1445" t="str">
        <v>RL44293</v>
      </c>
      <c r="D118" s="1455">
        <v>6.4849999999999994</v>
      </c>
      <c r="E118" s="1455">
        <v>20.9</v>
      </c>
      <c r="F118" s="1455">
        <v>0.14500000000000002</v>
      </c>
      <c r="G118" s="1455">
        <v>2.3650000000000002</v>
      </c>
      <c r="H118" s="1455">
        <v>2.5350000000000001</v>
      </c>
      <c r="I118" s="1455">
        <v>0.16500000000000001</v>
      </c>
      <c r="J118" s="1455">
        <v>5.0000000000000001E-3</v>
      </c>
      <c r="K118" s="1455">
        <v>0.35499999999999998</v>
      </c>
      <c r="L118" s="1446" t="str">
        <v>Before the burn</v>
      </c>
    </row>
    <row r="119" spans="1:12" s="1428" customFormat="1" x14ac:dyDescent="0.3">
      <c r="A119" s="1443" t="str">
        <v>RL</v>
      </c>
      <c r="B119" s="1444">
        <v>44306</v>
      </c>
      <c r="C119" s="1445" t="str">
        <v>RL44306</v>
      </c>
      <c r="D119" s="1455">
        <v>6.86</v>
      </c>
      <c r="E119" s="1455">
        <v>20.9</v>
      </c>
      <c r="F119" s="1455">
        <v>0.09</v>
      </c>
      <c r="G119" s="1455">
        <v>1.72</v>
      </c>
      <c r="H119" s="1455">
        <v>2.4</v>
      </c>
      <c r="I119" s="1455">
        <v>0.22</v>
      </c>
      <c r="J119" s="1455">
        <v>6.0000000000000001E-3</v>
      </c>
      <c r="K119" s="1455">
        <v>0.39</v>
      </c>
      <c r="L119" s="1446" t="str">
        <v>Before the burn</v>
      </c>
    </row>
    <row r="120" spans="1:12" s="1428" customFormat="1" x14ac:dyDescent="0.3">
      <c r="A120" s="1443" t="str">
        <v>RL</v>
      </c>
      <c r="B120" s="1444">
        <v>44313</v>
      </c>
      <c r="C120" s="1445" t="str">
        <v>RL44313</v>
      </c>
      <c r="D120" s="1455">
        <v>7.14</v>
      </c>
      <c r="E120" s="1455">
        <v>21.6</v>
      </c>
      <c r="F120" s="1455">
        <v>0.05</v>
      </c>
      <c r="G120" s="1455">
        <v>1.74</v>
      </c>
      <c r="H120" s="1455">
        <v>2.19</v>
      </c>
      <c r="I120" s="1455">
        <v>0.18</v>
      </c>
      <c r="J120" s="1455">
        <v>6.0000000000000001E-3</v>
      </c>
      <c r="K120" s="1455">
        <v>0.36</v>
      </c>
      <c r="L120" s="1446" t="str">
        <v>Before the burn</v>
      </c>
    </row>
    <row r="121" spans="1:12" s="1428" customFormat="1" x14ac:dyDescent="0.3">
      <c r="A121" s="1443" t="str">
        <v>RL</v>
      </c>
      <c r="B121" s="1444">
        <v>44327</v>
      </c>
      <c r="C121" s="1445" t="str">
        <v>RL44327</v>
      </c>
      <c r="D121" s="1455">
        <v>7.39</v>
      </c>
      <c r="E121" s="1455">
        <v>23.2</v>
      </c>
      <c r="F121" s="1455">
        <v>0.09</v>
      </c>
      <c r="G121" s="1455">
        <v>1.55</v>
      </c>
      <c r="H121" s="1455">
        <v>1.75</v>
      </c>
      <c r="I121" s="1455">
        <v>0.28999999999999998</v>
      </c>
      <c r="J121" s="1455">
        <v>7.0000000000000001E-3</v>
      </c>
      <c r="K121" s="1455">
        <v>0.34</v>
      </c>
      <c r="L121" s="1446" t="str">
        <v>Before the burn</v>
      </c>
    </row>
    <row r="122" spans="1:12" s="1428" customFormat="1" x14ac:dyDescent="0.3">
      <c r="A122" s="1443" t="str">
        <v>RL</v>
      </c>
      <c r="B122" s="1444">
        <v>44334</v>
      </c>
      <c r="C122" s="1445" t="str">
        <v>RL44334</v>
      </c>
      <c r="D122" s="1455">
        <v>7.15</v>
      </c>
      <c r="E122" s="1455">
        <v>23.8</v>
      </c>
      <c r="F122" s="1455">
        <v>0.1</v>
      </c>
      <c r="G122" s="1455">
        <v>1.61</v>
      </c>
      <c r="H122" s="1455">
        <v>1.79</v>
      </c>
      <c r="I122" s="1455">
        <v>0.2</v>
      </c>
      <c r="J122" s="1455">
        <v>6.0000000000000001E-3</v>
      </c>
      <c r="K122" s="1455">
        <v>0.38</v>
      </c>
      <c r="L122" s="1446" t="str">
        <v>Before the burn</v>
      </c>
    </row>
    <row r="123" spans="1:12" s="1428" customFormat="1" x14ac:dyDescent="0.3">
      <c r="A123" s="1443" t="str">
        <v>RL</v>
      </c>
      <c r="B123" s="1444">
        <v>44335</v>
      </c>
      <c r="C123" s="1445" t="str">
        <v>RL44335</v>
      </c>
      <c r="D123" s="1455">
        <v>7.0449999999999999</v>
      </c>
      <c r="E123" s="1455">
        <v>23.549999999999997</v>
      </c>
      <c r="F123" s="1455">
        <v>0.19</v>
      </c>
      <c r="G123" s="1455">
        <v>1.52</v>
      </c>
      <c r="H123" s="1455">
        <v>1.7650000000000001</v>
      </c>
      <c r="I123" s="1455">
        <v>0.27</v>
      </c>
      <c r="J123" s="1455">
        <v>6.5000000000000006E-3</v>
      </c>
      <c r="K123" s="1455">
        <v>0.38</v>
      </c>
      <c r="L123" s="1446" t="str">
        <v>Before the burn</v>
      </c>
    </row>
    <row r="124" spans="1:12" s="1428" customFormat="1" x14ac:dyDescent="0.3">
      <c r="A124" s="1443" t="str">
        <v>RL</v>
      </c>
      <c r="B124" s="1444">
        <v>44341</v>
      </c>
      <c r="C124" s="1445" t="str">
        <v>RL44341</v>
      </c>
      <c r="D124" s="1455">
        <v>7.12</v>
      </c>
      <c r="E124" s="1455">
        <v>23.5</v>
      </c>
      <c r="F124" s="1455">
        <v>0.16</v>
      </c>
      <c r="G124" s="1455">
        <v>1.1599999999999999</v>
      </c>
      <c r="H124" s="1455">
        <v>1.99</v>
      </c>
      <c r="I124" s="1455">
        <v>0.24</v>
      </c>
      <c r="J124" s="1455">
        <v>8.0000000000000002E-3</v>
      </c>
      <c r="K124" s="1455">
        <v>0.38</v>
      </c>
      <c r="L124" s="1446" t="str">
        <v>Before the burn</v>
      </c>
    </row>
    <row r="125" spans="1:12" s="1428" customFormat="1" x14ac:dyDescent="0.3">
      <c r="A125" s="1443" t="str">
        <v>RL</v>
      </c>
      <c r="B125" s="1444">
        <v>44342</v>
      </c>
      <c r="C125" s="1445" t="str">
        <v>RL44342</v>
      </c>
      <c r="D125" s="1455">
        <v>6.87</v>
      </c>
      <c r="E125" s="1455">
        <v>23.65</v>
      </c>
      <c r="F125" s="1455">
        <v>0.09</v>
      </c>
      <c r="G125" s="1455">
        <v>1.56</v>
      </c>
      <c r="H125" s="1455">
        <v>1.885</v>
      </c>
      <c r="I125" s="1455">
        <v>0.21000000000000002</v>
      </c>
      <c r="J125" s="1455">
        <v>7.0000000000000001E-3</v>
      </c>
      <c r="K125" s="1455">
        <v>0.32999999999999996</v>
      </c>
      <c r="L125" s="1446" t="str">
        <v>Before the burn</v>
      </c>
    </row>
    <row r="126" spans="1:12" s="1428" customFormat="1" x14ac:dyDescent="0.3">
      <c r="A126" s="1443" t="str">
        <v>RL</v>
      </c>
      <c r="B126" s="1444">
        <v>44349</v>
      </c>
      <c r="C126" s="1445" t="str">
        <v>RL44349</v>
      </c>
      <c r="D126" s="1455">
        <v>7.72</v>
      </c>
      <c r="E126" s="1455">
        <v>23.7</v>
      </c>
      <c r="F126" s="1455">
        <v>0.1</v>
      </c>
      <c r="G126" s="1455">
        <v>1.61</v>
      </c>
      <c r="H126" s="1455">
        <v>1.76</v>
      </c>
      <c r="I126" s="1455">
        <v>0.18</v>
      </c>
      <c r="J126" s="1455">
        <v>6.0000000000000001E-3</v>
      </c>
      <c r="K126" s="1455">
        <v>0.35</v>
      </c>
      <c r="L126" s="1446" t="str">
        <v>Before the burn</v>
      </c>
    </row>
    <row r="127" spans="1:12" s="1428" customFormat="1" x14ac:dyDescent="0.3">
      <c r="A127" s="1443" t="str">
        <v>RL</v>
      </c>
      <c r="B127" s="1444">
        <v>44350</v>
      </c>
      <c r="C127" s="1445" t="str">
        <v>RL44350</v>
      </c>
      <c r="D127" s="1455">
        <v>7.0250000000000004</v>
      </c>
      <c r="E127" s="1455">
        <v>24.35</v>
      </c>
      <c r="F127" s="1455">
        <v>0.125</v>
      </c>
      <c r="G127" s="1455">
        <v>1.4950000000000001</v>
      </c>
      <c r="H127" s="1455">
        <v>1.585</v>
      </c>
      <c r="I127" s="1455">
        <v>0.27500000000000002</v>
      </c>
      <c r="J127" s="1455">
        <v>7.0000000000000001E-3</v>
      </c>
      <c r="K127" s="1455">
        <v>0.41000000000000003</v>
      </c>
      <c r="L127" s="1446" t="str">
        <v>Before the burn</v>
      </c>
    </row>
    <row r="128" spans="1:12" s="1428" customFormat="1" x14ac:dyDescent="0.3">
      <c r="A128" s="1443" t="str">
        <v>RL</v>
      </c>
      <c r="B128" s="1444">
        <v>44355</v>
      </c>
      <c r="C128" s="1445" t="str">
        <v>RL44355</v>
      </c>
      <c r="D128" s="1455">
        <v>7.2</v>
      </c>
      <c r="E128" s="1455">
        <v>24.4</v>
      </c>
      <c r="F128" s="1455">
        <v>0.14000000000000001</v>
      </c>
      <c r="G128" s="1455">
        <v>1.65</v>
      </c>
      <c r="H128" s="1455">
        <v>1.68</v>
      </c>
      <c r="I128" s="1455">
        <v>0.27</v>
      </c>
      <c r="J128" s="1455">
        <v>6.0000000000000001E-3</v>
      </c>
      <c r="K128" s="1455">
        <v>0.41</v>
      </c>
      <c r="L128" s="1446" t="str">
        <v>Before the burn</v>
      </c>
    </row>
    <row r="129" spans="1:12" s="1428" customFormat="1" x14ac:dyDescent="0.3">
      <c r="A129" s="1443" t="str">
        <v>RL</v>
      </c>
      <c r="B129" s="1444">
        <v>44356</v>
      </c>
      <c r="C129" s="1445" t="str">
        <v>RL44356</v>
      </c>
      <c r="D129" s="1455">
        <v>6.9249999999999998</v>
      </c>
      <c r="E129" s="1455">
        <v>24.75</v>
      </c>
      <c r="F129" s="1455">
        <v>8.4999999999999992E-2</v>
      </c>
      <c r="G129" s="1455">
        <v>1.6549999999999998</v>
      </c>
      <c r="H129" s="1455">
        <v>1.635</v>
      </c>
      <c r="I129" s="1455">
        <v>0.21500000000000002</v>
      </c>
      <c r="J129" s="1455">
        <v>6.0000000000000001E-3</v>
      </c>
      <c r="K129" s="1455">
        <v>0.39</v>
      </c>
      <c r="L129" s="1446" t="str">
        <v>Before the burn</v>
      </c>
    </row>
    <row r="130" spans="1:12" s="1428" customFormat="1" x14ac:dyDescent="0.3">
      <c r="A130" s="1443" t="str">
        <v>RS</v>
      </c>
      <c r="B130" s="1444">
        <v>44293</v>
      </c>
      <c r="C130" s="1445" t="str">
        <v>RS44293</v>
      </c>
      <c r="D130" s="1455">
        <v>6.7750000000000004</v>
      </c>
      <c r="E130" s="1455">
        <v>22.35</v>
      </c>
      <c r="F130" s="1455">
        <v>2.5000000000000001E-2</v>
      </c>
      <c r="G130" s="1455">
        <v>1.6400000000000001</v>
      </c>
      <c r="H130" s="1455">
        <v>2.125</v>
      </c>
      <c r="I130" s="1455">
        <v>0.23499999999999999</v>
      </c>
      <c r="J130" s="1455">
        <v>1.3000000000000001E-2</v>
      </c>
      <c r="K130" s="1455">
        <v>0.47499999999999998</v>
      </c>
      <c r="L130" s="1446" t="str">
        <v>Before the burn</v>
      </c>
    </row>
    <row r="131" spans="1:12" s="1428" customFormat="1" x14ac:dyDescent="0.3">
      <c r="A131" s="1443" t="str">
        <v>RS</v>
      </c>
      <c r="B131" s="1444">
        <v>44306</v>
      </c>
      <c r="C131" s="1445" t="str">
        <v>RS44306</v>
      </c>
      <c r="D131" s="1455">
        <v>6.61</v>
      </c>
      <c r="E131" s="1455">
        <v>19</v>
      </c>
      <c r="F131" s="1455">
        <v>0.09</v>
      </c>
      <c r="G131" s="1455">
        <v>1.42</v>
      </c>
      <c r="H131" s="1455">
        <v>1.95</v>
      </c>
      <c r="I131" s="1455">
        <v>0.27</v>
      </c>
      <c r="J131" s="1455">
        <v>7.0000000000000001E-3</v>
      </c>
      <c r="K131" s="1455">
        <v>0.49</v>
      </c>
      <c r="L131" s="1446" t="str">
        <v>Before the burn</v>
      </c>
    </row>
    <row r="132" spans="1:12" s="1428" customFormat="1" x14ac:dyDescent="0.3">
      <c r="A132" s="1443" t="str">
        <v>RS</v>
      </c>
      <c r="B132" s="1444">
        <v>44313</v>
      </c>
      <c r="C132" s="1445" t="str">
        <v>RS44313</v>
      </c>
      <c r="D132" s="1455">
        <v>6.74</v>
      </c>
      <c r="E132" s="1455">
        <v>22.6</v>
      </c>
      <c r="F132" s="1455">
        <v>0.06</v>
      </c>
      <c r="G132" s="1455">
        <v>1.29</v>
      </c>
      <c r="H132" s="1455">
        <v>1.35</v>
      </c>
      <c r="I132" s="1455">
        <v>0.27</v>
      </c>
      <c r="J132" s="1455">
        <v>8.0000000000000002E-3</v>
      </c>
      <c r="K132" s="1455">
        <v>0.47</v>
      </c>
      <c r="L132" s="1446" t="str">
        <v>Before the burn</v>
      </c>
    </row>
    <row r="133" spans="1:12" s="1428" customFormat="1" x14ac:dyDescent="0.3">
      <c r="A133" s="1443" t="str">
        <v>RS</v>
      </c>
      <c r="B133" s="1444">
        <v>44327</v>
      </c>
      <c r="C133" s="1445" t="str">
        <v>RS44327</v>
      </c>
      <c r="D133" s="1455">
        <v>6.79</v>
      </c>
      <c r="E133" s="1455">
        <v>24.7</v>
      </c>
      <c r="F133" s="1455">
        <v>0.06</v>
      </c>
      <c r="G133" s="1455">
        <v>1.1599999999999999</v>
      </c>
      <c r="H133" s="1455">
        <v>1.08</v>
      </c>
      <c r="I133" s="1455">
        <v>0.22</v>
      </c>
      <c r="J133" s="1455">
        <v>6.0000000000000001E-3</v>
      </c>
      <c r="K133" s="1455">
        <v>0.41</v>
      </c>
      <c r="L133" s="1446" t="str">
        <v>Before the burn</v>
      </c>
    </row>
    <row r="134" spans="1:12" s="1428" customFormat="1" x14ac:dyDescent="0.3">
      <c r="A134" s="1443" t="str">
        <v>RS</v>
      </c>
      <c r="B134" s="1444">
        <v>44334</v>
      </c>
      <c r="C134" s="1445" t="str">
        <v>RS44334</v>
      </c>
      <c r="D134" s="1455">
        <v>6.8</v>
      </c>
      <c r="E134" s="1455">
        <v>22.7</v>
      </c>
      <c r="F134" s="1455">
        <v>0</v>
      </c>
      <c r="G134" s="1455">
        <v>1.1499999999999999</v>
      </c>
      <c r="H134" s="1455">
        <v>1.42</v>
      </c>
      <c r="I134" s="1455">
        <v>0.25</v>
      </c>
      <c r="J134" s="1455">
        <v>6.0000000000000001E-3</v>
      </c>
      <c r="K134" s="1455">
        <v>0.4</v>
      </c>
      <c r="L134" s="1446" t="str">
        <v>Before the burn</v>
      </c>
    </row>
    <row r="135" spans="1:12" s="1428" customFormat="1" x14ac:dyDescent="0.3">
      <c r="A135" s="1443" t="str">
        <v>RS</v>
      </c>
      <c r="B135" s="1444">
        <v>44335</v>
      </c>
      <c r="C135" s="1445" t="str">
        <v>RS44335</v>
      </c>
      <c r="D135" s="1455">
        <v>6.7850000000000001</v>
      </c>
      <c r="E135" s="1455">
        <v>22.85</v>
      </c>
      <c r="F135" s="1455">
        <v>0.08</v>
      </c>
      <c r="G135" s="1455">
        <v>1.01</v>
      </c>
      <c r="H135" s="1455">
        <v>1.0649999999999999</v>
      </c>
      <c r="I135" s="1455">
        <v>0.25</v>
      </c>
      <c r="J135" s="1455">
        <v>7.4999999999999997E-3</v>
      </c>
      <c r="K135" s="1455">
        <v>0.435</v>
      </c>
      <c r="L135" s="1446" t="str">
        <v>Before the burn</v>
      </c>
    </row>
    <row r="136" spans="1:12" s="1428" customFormat="1" x14ac:dyDescent="0.3">
      <c r="A136" s="1443" t="str">
        <v>RS</v>
      </c>
      <c r="B136" s="1444">
        <v>44341</v>
      </c>
      <c r="C136" s="1445" t="str">
        <v>RS44341</v>
      </c>
      <c r="D136" s="1455">
        <v>6.72</v>
      </c>
      <c r="E136" s="1455">
        <v>22.2</v>
      </c>
      <c r="F136" s="1455">
        <v>0.08</v>
      </c>
      <c r="G136" s="1455">
        <v>1.05</v>
      </c>
      <c r="H136" s="1455">
        <v>1.44</v>
      </c>
      <c r="I136" s="1455">
        <v>0.22</v>
      </c>
      <c r="J136" s="1455">
        <v>4.0000000000000001E-3</v>
      </c>
      <c r="K136" s="1455">
        <v>0.41</v>
      </c>
      <c r="L136" s="1446" t="str">
        <v>Before the burn</v>
      </c>
    </row>
    <row r="137" spans="1:12" s="1428" customFormat="1" x14ac:dyDescent="0.3">
      <c r="A137" s="1443" t="str">
        <v>RS</v>
      </c>
      <c r="B137" s="1444">
        <v>44342</v>
      </c>
      <c r="C137" s="1445" t="str">
        <v>RS44342</v>
      </c>
      <c r="D137" s="1455">
        <v>6.7050000000000001</v>
      </c>
      <c r="E137" s="1455">
        <v>23.15</v>
      </c>
      <c r="F137" s="1455">
        <v>0.05</v>
      </c>
      <c r="G137" s="1455">
        <v>0.90500000000000003</v>
      </c>
      <c r="H137" s="1455">
        <v>1.2450000000000001</v>
      </c>
      <c r="I137" s="1455">
        <v>0.23499999999999999</v>
      </c>
      <c r="J137" s="1455">
        <v>3.5000000000000001E-3</v>
      </c>
      <c r="K137" s="1455">
        <v>0.53</v>
      </c>
      <c r="L137" s="1446" t="str">
        <v>Before the burn</v>
      </c>
    </row>
    <row r="138" spans="1:12" s="1428" customFormat="1" x14ac:dyDescent="0.3">
      <c r="A138" s="1443" t="str">
        <v>RS</v>
      </c>
      <c r="B138" s="1444">
        <v>44349</v>
      </c>
      <c r="C138" s="1445" t="str">
        <v>RS44349</v>
      </c>
      <c r="D138" s="1455">
        <v>6.76</v>
      </c>
      <c r="E138" s="1455">
        <v>24.3</v>
      </c>
      <c r="F138" s="1455">
        <v>7.0000000000000007E-2</v>
      </c>
      <c r="G138" s="1455">
        <v>1.08</v>
      </c>
      <c r="H138" s="1455">
        <v>1.29</v>
      </c>
      <c r="I138" s="1455">
        <v>0.24</v>
      </c>
      <c r="J138" s="1455">
        <v>8.9999999999999993E-3</v>
      </c>
      <c r="K138" s="1455">
        <v>0.49</v>
      </c>
      <c r="L138" s="1446" t="str">
        <v>Before the burn</v>
      </c>
    </row>
    <row r="139" spans="1:12" s="1428" customFormat="1" ht="16.350000000000001" thickBot="1" x14ac:dyDescent="0.35">
      <c r="A139" s="1447" t="str">
        <v>RS</v>
      </c>
      <c r="B139" s="1448">
        <v>44350</v>
      </c>
      <c r="C139" s="1449" t="str">
        <v>RS44350</v>
      </c>
      <c r="D139" s="1456">
        <v>6.7750000000000004</v>
      </c>
      <c r="E139" s="1456">
        <v>23.799999999999997</v>
      </c>
      <c r="F139" s="1456">
        <v>0.13</v>
      </c>
      <c r="G139" s="1456">
        <v>0.69</v>
      </c>
      <c r="H139" s="1456">
        <v>0.64500000000000002</v>
      </c>
      <c r="I139" s="1456">
        <v>0.33499999999999996</v>
      </c>
      <c r="J139" s="1456">
        <v>9.4999999999999998E-3</v>
      </c>
      <c r="K139" s="1456">
        <v>0.48</v>
      </c>
      <c r="L139" s="1450" t="str">
        <v>Before the burn</v>
      </c>
    </row>
    <row r="140" spans="1:12" s="1428" customFormat="1" x14ac:dyDescent="0.3">
      <c r="A140" s="562" t="str">
        <v>EP</v>
      </c>
      <c r="B140" s="1436">
        <v>44363</v>
      </c>
      <c r="C140" s="563" t="str">
        <v>EP44363</v>
      </c>
      <c r="D140" s="1451">
        <v>6.79</v>
      </c>
      <c r="E140" s="1451">
        <v>33.9</v>
      </c>
      <c r="F140" s="1451">
        <v>3.82</v>
      </c>
      <c r="G140" s="1451">
        <v>0.01</v>
      </c>
      <c r="H140" s="1451">
        <v>3.89</v>
      </c>
      <c r="I140" s="1451">
        <v>0.08</v>
      </c>
      <c r="J140" s="1451">
        <v>7.0000000000000001E-3</v>
      </c>
      <c r="K140" s="1451">
        <v>0.28000000000000003</v>
      </c>
      <c r="L140" s="564" t="str">
        <v>During the burn</v>
      </c>
    </row>
    <row r="141" spans="1:12" s="1428" customFormat="1" x14ac:dyDescent="0.3">
      <c r="A141" s="556" t="str">
        <v>EP</v>
      </c>
      <c r="B141" s="1434">
        <v>44370</v>
      </c>
      <c r="C141" s="557" t="str">
        <v>EP44370</v>
      </c>
      <c r="D141" s="1452">
        <v>6.98</v>
      </c>
      <c r="E141" s="1452">
        <v>28.3</v>
      </c>
      <c r="F141" s="1452">
        <v>4.0599999999999996</v>
      </c>
      <c r="G141" s="1452">
        <v>0</v>
      </c>
      <c r="H141" s="1452">
        <v>3.83</v>
      </c>
      <c r="I141" s="1452">
        <v>0.03</v>
      </c>
      <c r="J141" s="1452">
        <v>8.0000000000000002E-3</v>
      </c>
      <c r="K141" s="1452">
        <v>0.27</v>
      </c>
      <c r="L141" s="558" t="str">
        <v>During the burn</v>
      </c>
    </row>
    <row r="142" spans="1:12" s="1428" customFormat="1" x14ac:dyDescent="0.3">
      <c r="A142" s="556" t="str">
        <v>EP</v>
      </c>
      <c r="B142" s="1434">
        <v>44377</v>
      </c>
      <c r="C142" s="557" t="str">
        <v>EP44377</v>
      </c>
      <c r="D142" s="1452">
        <v>6.71</v>
      </c>
      <c r="E142" s="1452">
        <v>30.2</v>
      </c>
      <c r="F142" s="1452">
        <v>3.49</v>
      </c>
      <c r="G142" s="1452">
        <v>0.31</v>
      </c>
      <c r="H142" s="1452">
        <v>3.46</v>
      </c>
      <c r="I142" s="1452">
        <v>0.26</v>
      </c>
      <c r="J142" s="1452">
        <v>0</v>
      </c>
      <c r="K142" s="1452">
        <v>0.24</v>
      </c>
      <c r="L142" s="558" t="str">
        <v>During the burn</v>
      </c>
    </row>
    <row r="143" spans="1:12" s="1428" customFormat="1" x14ac:dyDescent="0.3">
      <c r="A143" s="556" t="str">
        <v>EP</v>
      </c>
      <c r="B143" s="1434">
        <v>44385</v>
      </c>
      <c r="C143" s="557" t="str">
        <v>EP44385</v>
      </c>
      <c r="D143" s="1452">
        <v>6.71</v>
      </c>
      <c r="E143" s="1452">
        <v>31.5</v>
      </c>
      <c r="F143" s="1452">
        <v>3.67</v>
      </c>
      <c r="G143" s="1452">
        <v>0</v>
      </c>
      <c r="H143" s="1452">
        <v>3.53</v>
      </c>
      <c r="I143" s="1452">
        <v>0.06</v>
      </c>
      <c r="J143" s="1452">
        <v>7.0000000000000001E-3</v>
      </c>
      <c r="K143" s="1452">
        <v>0.28999999999999998</v>
      </c>
      <c r="L143" s="558" t="str">
        <v>During the burn</v>
      </c>
    </row>
    <row r="144" spans="1:12" s="1428" customFormat="1" x14ac:dyDescent="0.3">
      <c r="A144" s="556" t="str">
        <v>EP</v>
      </c>
      <c r="B144" s="1434">
        <v>44391</v>
      </c>
      <c r="C144" s="557" t="str">
        <v>EP44391</v>
      </c>
      <c r="D144" s="1452">
        <v>6.11</v>
      </c>
      <c r="E144" s="1452">
        <v>29.2</v>
      </c>
      <c r="F144" s="1452">
        <v>3.82</v>
      </c>
      <c r="G144" s="1452">
        <v>0.02</v>
      </c>
      <c r="H144" s="1452">
        <v>3.67</v>
      </c>
      <c r="I144" s="1452">
        <v>7.0000000000000007E-2</v>
      </c>
      <c r="J144" s="1452">
        <v>7.0000000000000001E-3</v>
      </c>
      <c r="K144" s="1452">
        <v>0.23</v>
      </c>
      <c r="L144" s="558" t="str">
        <v>During the burn</v>
      </c>
    </row>
    <row r="145" spans="1:12" s="1428" customFormat="1" x14ac:dyDescent="0.3">
      <c r="A145" s="556" t="str">
        <v>EP</v>
      </c>
      <c r="B145" s="1434">
        <v>44398</v>
      </c>
      <c r="C145" s="557" t="str">
        <v>EP44398</v>
      </c>
      <c r="D145" s="1452">
        <v>6.77</v>
      </c>
      <c r="E145" s="1452">
        <v>27.4</v>
      </c>
      <c r="F145" s="1452">
        <v>3.92</v>
      </c>
      <c r="G145" s="1452">
        <v>0.01</v>
      </c>
      <c r="H145" s="1452">
        <v>3.82</v>
      </c>
      <c r="I145" s="1452">
        <v>0.01</v>
      </c>
      <c r="J145" s="1452">
        <v>6.0000000000000001E-3</v>
      </c>
      <c r="K145" s="1452">
        <v>0.19</v>
      </c>
      <c r="L145" s="558" t="str">
        <v>During the burn</v>
      </c>
    </row>
    <row r="146" spans="1:12" s="1428" customFormat="1" x14ac:dyDescent="0.3">
      <c r="A146" s="556" t="str">
        <v>SPI</v>
      </c>
      <c r="B146" s="1434">
        <v>44370</v>
      </c>
      <c r="C146" s="557" t="str">
        <v>SPI44370</v>
      </c>
      <c r="D146" s="1452">
        <v>6.92</v>
      </c>
      <c r="E146" s="1452">
        <v>27.6</v>
      </c>
      <c r="F146" s="1452">
        <v>3</v>
      </c>
      <c r="G146" s="1452">
        <v>0</v>
      </c>
      <c r="H146" s="1452">
        <v>2.92</v>
      </c>
      <c r="I146" s="1452">
        <v>0</v>
      </c>
      <c r="J146" s="1452">
        <v>7.0000000000000001E-3</v>
      </c>
      <c r="K146" s="1452">
        <v>0.3</v>
      </c>
      <c r="L146" s="558" t="str">
        <v>During the burn</v>
      </c>
    </row>
    <row r="147" spans="1:12" s="1428" customFormat="1" x14ac:dyDescent="0.3">
      <c r="A147" s="556" t="str">
        <v>SPI</v>
      </c>
      <c r="B147" s="1434">
        <v>44377</v>
      </c>
      <c r="C147" s="557" t="str">
        <v>SPI44377</v>
      </c>
      <c r="D147" s="1452">
        <v>7</v>
      </c>
      <c r="E147" s="1452">
        <v>28.1</v>
      </c>
      <c r="F147" s="1452">
        <v>2.78</v>
      </c>
      <c r="G147" s="1452">
        <v>0.01</v>
      </c>
      <c r="H147" s="1452">
        <v>2.8</v>
      </c>
      <c r="I147" s="1452">
        <v>0.25</v>
      </c>
      <c r="J147" s="1452">
        <v>0.1</v>
      </c>
      <c r="K147" s="1452">
        <v>0.37</v>
      </c>
      <c r="L147" s="558" t="str">
        <v>During the burn</v>
      </c>
    </row>
    <row r="148" spans="1:12" s="1428" customFormat="1" x14ac:dyDescent="0.3">
      <c r="A148" s="556" t="str">
        <v>SPI</v>
      </c>
      <c r="B148" s="1434">
        <v>44385</v>
      </c>
      <c r="C148" s="557" t="str">
        <v>SPI44385</v>
      </c>
      <c r="D148" s="1452">
        <v>6.88</v>
      </c>
      <c r="E148" s="1452">
        <v>28.6</v>
      </c>
      <c r="F148" s="1452">
        <v>2.67</v>
      </c>
      <c r="G148" s="1452">
        <v>0.03</v>
      </c>
      <c r="H148" s="1452">
        <v>2.78</v>
      </c>
      <c r="I148" s="1452">
        <v>0.03</v>
      </c>
      <c r="J148" s="1452">
        <v>5.0000000000000001E-3</v>
      </c>
      <c r="K148" s="1452">
        <v>0.35</v>
      </c>
      <c r="L148" s="558" t="str">
        <v>During the burn</v>
      </c>
    </row>
    <row r="149" spans="1:12" s="1428" customFormat="1" x14ac:dyDescent="0.3">
      <c r="A149" s="556" t="str">
        <v>SPI</v>
      </c>
      <c r="B149" s="1434">
        <v>44391</v>
      </c>
      <c r="C149" s="557" t="str">
        <v>SPI44391</v>
      </c>
      <c r="D149" s="1452">
        <v>6.77</v>
      </c>
      <c r="E149" s="1452">
        <v>28.6</v>
      </c>
      <c r="F149" s="1452">
        <v>2.64</v>
      </c>
      <c r="G149" s="1452">
        <v>0.01</v>
      </c>
      <c r="H149" s="1452">
        <v>2.81</v>
      </c>
      <c r="I149" s="1452">
        <v>0.03</v>
      </c>
      <c r="J149" s="1452">
        <v>6.0000000000000001E-3</v>
      </c>
      <c r="K149" s="1452">
        <v>0.42</v>
      </c>
      <c r="L149" s="558" t="str">
        <v>During the burn</v>
      </c>
    </row>
    <row r="150" spans="1:12" s="1428" customFormat="1" x14ac:dyDescent="0.3">
      <c r="A150" s="556" t="str">
        <v>SPI</v>
      </c>
      <c r="B150" s="1434">
        <v>44398</v>
      </c>
      <c r="C150" s="557" t="str">
        <v>SPI44398</v>
      </c>
      <c r="D150" s="1452">
        <v>6.71</v>
      </c>
      <c r="E150" s="1452">
        <v>28.6</v>
      </c>
      <c r="F150" s="1452">
        <v>2.78</v>
      </c>
      <c r="G150" s="1452">
        <v>0.03</v>
      </c>
      <c r="H150" s="1452">
        <v>2.73</v>
      </c>
      <c r="I150" s="1452">
        <v>0.02</v>
      </c>
      <c r="J150" s="1452">
        <v>6.0000000000000001E-3</v>
      </c>
      <c r="K150" s="1452">
        <v>0.38</v>
      </c>
      <c r="L150" s="558" t="str">
        <v>During the burn</v>
      </c>
    </row>
    <row r="151" spans="1:12" s="1428" customFormat="1" x14ac:dyDescent="0.3">
      <c r="A151" s="556" t="str">
        <v>SPO</v>
      </c>
      <c r="B151" s="1434">
        <v>44370</v>
      </c>
      <c r="C151" s="557" t="str">
        <v>SPO44370</v>
      </c>
      <c r="D151" s="1452">
        <v>6.97</v>
      </c>
      <c r="E151" s="1452">
        <v>26.6</v>
      </c>
      <c r="F151" s="1452">
        <v>2.68</v>
      </c>
      <c r="G151" s="1452">
        <v>0</v>
      </c>
      <c r="H151" s="1452">
        <v>2.74</v>
      </c>
      <c r="I151" s="1452">
        <v>0.03</v>
      </c>
      <c r="J151" s="1452">
        <v>6.0000000000000001E-3</v>
      </c>
      <c r="K151" s="1452">
        <v>0.32</v>
      </c>
      <c r="L151" s="558" t="str">
        <v>During the burn</v>
      </c>
    </row>
    <row r="152" spans="1:12" s="1428" customFormat="1" x14ac:dyDescent="0.3">
      <c r="A152" s="556" t="str">
        <v>SPO</v>
      </c>
      <c r="B152" s="1434">
        <v>44377</v>
      </c>
      <c r="C152" s="557" t="str">
        <v>SPO44377</v>
      </c>
      <c r="D152" s="1452">
        <v>6.63</v>
      </c>
      <c r="E152" s="1452">
        <v>27.4</v>
      </c>
      <c r="F152" s="1452">
        <v>2.52</v>
      </c>
      <c r="G152" s="1452">
        <v>0.01</v>
      </c>
      <c r="H152" s="1452">
        <v>2.5499999999999998</v>
      </c>
      <c r="I152" s="1452">
        <v>0.21</v>
      </c>
      <c r="J152" s="1452">
        <v>7.0000000000000001E-3</v>
      </c>
      <c r="K152" s="1452">
        <v>0.37</v>
      </c>
      <c r="L152" s="558" t="str">
        <v>During the burn</v>
      </c>
    </row>
    <row r="153" spans="1:12" s="1428" customFormat="1" x14ac:dyDescent="0.3">
      <c r="A153" s="556" t="str">
        <v>SPO</v>
      </c>
      <c r="B153" s="1434">
        <v>44385</v>
      </c>
      <c r="C153" s="557" t="str">
        <v>SPO44385</v>
      </c>
      <c r="D153" s="1452">
        <v>7.09</v>
      </c>
      <c r="E153" s="1452">
        <v>27.2</v>
      </c>
      <c r="F153" s="1452">
        <v>2.35</v>
      </c>
      <c r="G153" s="1452">
        <v>0</v>
      </c>
      <c r="H153" s="1452">
        <v>2.56</v>
      </c>
      <c r="I153" s="1452">
        <v>0.03</v>
      </c>
      <c r="J153" s="1452">
        <v>7.0000000000000001E-3</v>
      </c>
      <c r="K153" s="1452">
        <v>0.41</v>
      </c>
      <c r="L153" s="558" t="str">
        <v>During the burn</v>
      </c>
    </row>
    <row r="154" spans="1:12" s="1428" customFormat="1" x14ac:dyDescent="0.3">
      <c r="A154" s="556" t="str">
        <v>SPO</v>
      </c>
      <c r="B154" s="1434">
        <v>44391</v>
      </c>
      <c r="C154" s="557" t="str">
        <v>SPO44391</v>
      </c>
      <c r="D154" s="1452">
        <v>6.67</v>
      </c>
      <c r="E154" s="1452">
        <v>27.6</v>
      </c>
      <c r="F154" s="1452">
        <v>2.52</v>
      </c>
      <c r="G154" s="1452">
        <v>0.02</v>
      </c>
      <c r="H154" s="1452">
        <v>2.73</v>
      </c>
      <c r="I154" s="1452">
        <v>0.22</v>
      </c>
      <c r="J154" s="1452">
        <v>6.0000000000000001E-3</v>
      </c>
      <c r="K154" s="1452">
        <v>0.38</v>
      </c>
      <c r="L154" s="558" t="str">
        <v>During the burn</v>
      </c>
    </row>
    <row r="155" spans="1:12" s="1428" customFormat="1" x14ac:dyDescent="0.3">
      <c r="A155" s="556" t="str">
        <v>SPO</v>
      </c>
      <c r="B155" s="1434">
        <v>44398</v>
      </c>
      <c r="C155" s="557" t="str">
        <v>SPO44398</v>
      </c>
      <c r="D155" s="1452">
        <v>6.57</v>
      </c>
      <c r="E155" s="1452">
        <v>27.7</v>
      </c>
      <c r="F155" s="1452">
        <v>2.39</v>
      </c>
      <c r="G155" s="1452">
        <v>0</v>
      </c>
      <c r="H155" s="1452">
        <v>2.4300000000000002</v>
      </c>
      <c r="I155" s="1452">
        <v>0.03</v>
      </c>
      <c r="J155" s="1452">
        <v>5.0000000000000001E-3</v>
      </c>
      <c r="K155" s="1452">
        <v>0.4</v>
      </c>
      <c r="L155" s="558" t="str">
        <v>During the burn</v>
      </c>
    </row>
    <row r="156" spans="1:12" s="1428" customFormat="1" x14ac:dyDescent="0.3">
      <c r="A156" s="556" t="str">
        <v>MRT</v>
      </c>
      <c r="B156" s="1434">
        <v>44363</v>
      </c>
      <c r="C156" s="557" t="str">
        <v>MRT44363</v>
      </c>
      <c r="D156" s="1452">
        <v>6.53</v>
      </c>
      <c r="E156" s="1452">
        <v>27.1</v>
      </c>
      <c r="F156" s="1452">
        <v>7.0000000000000007E-2</v>
      </c>
      <c r="G156" s="1452">
        <v>0.71</v>
      </c>
      <c r="H156" s="1452">
        <v>1.03</v>
      </c>
      <c r="I156" s="1452">
        <v>0.33</v>
      </c>
      <c r="J156" s="1452">
        <v>5.0999999999999997E-2</v>
      </c>
      <c r="K156" s="1452">
        <v>0.56000000000000005</v>
      </c>
      <c r="L156" s="558" t="str">
        <v>During the burn</v>
      </c>
    </row>
    <row r="157" spans="1:12" s="1428" customFormat="1" x14ac:dyDescent="0.3">
      <c r="A157" s="556" t="str">
        <v>MRT</v>
      </c>
      <c r="B157" s="1434">
        <v>44370</v>
      </c>
      <c r="C157" s="557" t="str">
        <v>MRT44370</v>
      </c>
      <c r="D157" s="1452">
        <v>6.97</v>
      </c>
      <c r="E157" s="1452">
        <v>26.5</v>
      </c>
      <c r="F157" s="1452">
        <v>2.73</v>
      </c>
      <c r="G157" s="1452">
        <v>0.01</v>
      </c>
      <c r="H157" s="1452">
        <v>2.65</v>
      </c>
      <c r="I157" s="1452">
        <v>0.19</v>
      </c>
      <c r="J157" s="1452">
        <v>8.0000000000000002E-3</v>
      </c>
      <c r="K157" s="1452">
        <v>0.53</v>
      </c>
      <c r="L157" s="558" t="str">
        <v>During the burn</v>
      </c>
    </row>
    <row r="158" spans="1:12" s="1428" customFormat="1" x14ac:dyDescent="0.3">
      <c r="A158" s="556" t="str">
        <v>MRT</v>
      </c>
      <c r="B158" s="1434">
        <v>44377</v>
      </c>
      <c r="C158" s="557" t="str">
        <v>MRT44377</v>
      </c>
      <c r="D158" s="1452">
        <v>6.86</v>
      </c>
      <c r="E158" s="1452">
        <v>25.9</v>
      </c>
      <c r="F158" s="1452">
        <v>2.2200000000000002</v>
      </c>
      <c r="G158" s="1452">
        <v>0.01</v>
      </c>
      <c r="H158" s="1452">
        <v>2.3199999999999998</v>
      </c>
      <c r="I158" s="1452">
        <v>0.1</v>
      </c>
      <c r="J158" s="1452">
        <v>1.2E-2</v>
      </c>
      <c r="K158" s="1452">
        <v>0.67</v>
      </c>
      <c r="L158" s="558" t="str">
        <v>During the burn</v>
      </c>
    </row>
    <row r="159" spans="1:12" s="1428" customFormat="1" x14ac:dyDescent="0.3">
      <c r="A159" s="556" t="str">
        <v>MRT</v>
      </c>
      <c r="B159" s="1434">
        <v>44385</v>
      </c>
      <c r="C159" s="557" t="str">
        <v>MRT44385</v>
      </c>
      <c r="D159" s="1452">
        <v>6.41</v>
      </c>
      <c r="E159" s="1452">
        <v>26.9</v>
      </c>
      <c r="F159" s="1452">
        <v>1.77</v>
      </c>
      <c r="G159" s="1452">
        <v>0.01</v>
      </c>
      <c r="H159" s="1452">
        <v>0.84</v>
      </c>
      <c r="I159" s="1452">
        <v>0.05</v>
      </c>
      <c r="J159" s="1452">
        <v>6.0000000000000001E-3</v>
      </c>
      <c r="K159" s="1452">
        <v>0.65</v>
      </c>
      <c r="L159" s="558" t="str">
        <v>During the burn</v>
      </c>
    </row>
    <row r="160" spans="1:12" s="1428" customFormat="1" x14ac:dyDescent="0.3">
      <c r="A160" s="556" t="str">
        <v>MRT</v>
      </c>
      <c r="B160" s="1434">
        <v>44391</v>
      </c>
      <c r="C160" s="557" t="str">
        <v>MRT44391</v>
      </c>
      <c r="D160" s="1452">
        <v>6.42</v>
      </c>
      <c r="E160" s="1452">
        <v>27.1</v>
      </c>
      <c r="F160" s="1452">
        <v>1.35</v>
      </c>
      <c r="G160" s="1452">
        <v>0.01</v>
      </c>
      <c r="H160" s="1452">
        <v>1.36</v>
      </c>
      <c r="I160" s="1452">
        <v>0.01</v>
      </c>
      <c r="J160" s="1452">
        <v>8.9999999999999993E-3</v>
      </c>
      <c r="K160" s="1452">
        <v>0.54</v>
      </c>
      <c r="L160" s="558" t="str">
        <v>During the burn</v>
      </c>
    </row>
    <row r="161" spans="1:12" s="1428" customFormat="1" x14ac:dyDescent="0.3">
      <c r="A161" s="556" t="str">
        <v>MRT</v>
      </c>
      <c r="B161" s="1434">
        <v>44398</v>
      </c>
      <c r="C161" s="557" t="str">
        <v>MRT44398</v>
      </c>
      <c r="D161" s="1452">
        <v>6.83</v>
      </c>
      <c r="E161" s="1452">
        <v>26.6</v>
      </c>
      <c r="F161" s="1452">
        <v>1.89</v>
      </c>
      <c r="G161" s="1452">
        <v>0</v>
      </c>
      <c r="H161" s="1452">
        <v>1.89</v>
      </c>
      <c r="I161" s="1452">
        <v>0.24</v>
      </c>
      <c r="J161" s="1452">
        <v>0.01</v>
      </c>
      <c r="K161" s="1452">
        <v>0.69</v>
      </c>
      <c r="L161" s="558" t="str">
        <v>During the burn</v>
      </c>
    </row>
    <row r="162" spans="1:12" s="1428" customFormat="1" x14ac:dyDescent="0.3">
      <c r="A162" s="556" t="str">
        <v>RN</v>
      </c>
      <c r="B162" s="1434">
        <v>44362</v>
      </c>
      <c r="C162" s="557" t="str">
        <v>RN44362</v>
      </c>
      <c r="D162" s="1452">
        <v>6.76</v>
      </c>
      <c r="E162" s="1452">
        <v>28.7</v>
      </c>
      <c r="F162" s="1452">
        <v>0.09</v>
      </c>
      <c r="G162" s="1452">
        <v>1.27</v>
      </c>
      <c r="H162" s="1452">
        <v>1.1100000000000001</v>
      </c>
      <c r="I162" s="1452">
        <v>0.49</v>
      </c>
      <c r="J162" s="1452">
        <v>6.0000000000000001E-3</v>
      </c>
      <c r="K162" s="1452">
        <v>0.7</v>
      </c>
      <c r="L162" s="558" t="str">
        <v>During the burn</v>
      </c>
    </row>
    <row r="163" spans="1:12" s="1428" customFormat="1" x14ac:dyDescent="0.3">
      <c r="A163" s="556" t="str">
        <v>RN</v>
      </c>
      <c r="B163" s="1434">
        <v>44363</v>
      </c>
      <c r="C163" s="557" t="str">
        <v>RN44363</v>
      </c>
      <c r="D163" s="1452">
        <v>6.74</v>
      </c>
      <c r="E163" s="1452">
        <v>28</v>
      </c>
      <c r="F163" s="1452">
        <v>0.70500000000000007</v>
      </c>
      <c r="G163" s="1452">
        <v>6.0000000000000005E-2</v>
      </c>
      <c r="H163" s="1452">
        <v>0.85499999999999998</v>
      </c>
      <c r="I163" s="1452">
        <v>0.13500000000000001</v>
      </c>
      <c r="J163" s="1452">
        <v>6.0000000000000001E-3</v>
      </c>
      <c r="K163" s="1452">
        <v>0.57000000000000006</v>
      </c>
      <c r="L163" s="558" t="str">
        <v>During the burn</v>
      </c>
    </row>
    <row r="164" spans="1:12" s="1428" customFormat="1" x14ac:dyDescent="0.3">
      <c r="A164" s="556" t="str">
        <v>RN</v>
      </c>
      <c r="B164" s="1434">
        <v>44369</v>
      </c>
      <c r="C164" s="557" t="str">
        <v>RN44369</v>
      </c>
      <c r="D164" s="1452">
        <v>6.72</v>
      </c>
      <c r="E164" s="1452">
        <v>27.3</v>
      </c>
      <c r="F164" s="1452">
        <v>0.99</v>
      </c>
      <c r="G164" s="1452">
        <v>0.04</v>
      </c>
      <c r="H164" s="1452">
        <v>0.99</v>
      </c>
      <c r="I164" s="1452">
        <v>0.23</v>
      </c>
      <c r="J164" s="1452">
        <v>6.0000000000000001E-3</v>
      </c>
      <c r="K164" s="1452">
        <v>0.7</v>
      </c>
      <c r="L164" s="558" t="str">
        <v>During the burn</v>
      </c>
    </row>
    <row r="165" spans="1:12" s="1428" customFormat="1" x14ac:dyDescent="0.3">
      <c r="A165" s="556" t="str">
        <v>RN</v>
      </c>
      <c r="B165" s="1434">
        <v>44370</v>
      </c>
      <c r="C165" s="557" t="str">
        <v>RN44370</v>
      </c>
      <c r="D165" s="1452">
        <v>6.7949999999999999</v>
      </c>
      <c r="E165" s="1452">
        <v>27.75</v>
      </c>
      <c r="F165" s="1452">
        <v>2.2549999999999999</v>
      </c>
      <c r="G165" s="1452">
        <v>7.0000000000000007E-2</v>
      </c>
      <c r="H165" s="1452">
        <v>2.3849999999999998</v>
      </c>
      <c r="I165" s="1452">
        <v>2.5000000000000001E-2</v>
      </c>
      <c r="J165" s="1452">
        <v>6.0000000000000001E-3</v>
      </c>
      <c r="K165" s="1452">
        <v>0.53</v>
      </c>
      <c r="L165" s="558" t="str">
        <v>During the burn</v>
      </c>
    </row>
    <row r="166" spans="1:12" s="1428" customFormat="1" x14ac:dyDescent="0.3">
      <c r="A166" s="556" t="str">
        <v>RN</v>
      </c>
      <c r="B166" s="1434">
        <v>44376</v>
      </c>
      <c r="C166" s="557" t="str">
        <v>RN44376</v>
      </c>
      <c r="D166" s="1452">
        <v>6.7</v>
      </c>
      <c r="E166" s="1452">
        <v>27.7</v>
      </c>
      <c r="F166" s="1452">
        <v>1.06</v>
      </c>
      <c r="G166" s="1452">
        <v>0.04</v>
      </c>
      <c r="H166" s="1452">
        <v>1.02</v>
      </c>
      <c r="I166" s="1452">
        <v>0.09</v>
      </c>
      <c r="J166" s="1452">
        <v>7.0000000000000001E-3</v>
      </c>
      <c r="K166" s="1452">
        <v>0.74</v>
      </c>
      <c r="L166" s="558" t="str">
        <v>During the burn</v>
      </c>
    </row>
    <row r="167" spans="1:12" s="1428" customFormat="1" x14ac:dyDescent="0.3">
      <c r="A167" s="556" t="str">
        <v>RN</v>
      </c>
      <c r="B167" s="1434">
        <v>44377</v>
      </c>
      <c r="C167" s="557" t="str">
        <v>RN44377</v>
      </c>
      <c r="D167" s="1452">
        <v>6.76</v>
      </c>
      <c r="E167" s="1452">
        <v>27.700000000000003</v>
      </c>
      <c r="F167" s="1452">
        <v>1.915</v>
      </c>
      <c r="G167" s="1452">
        <v>5.5000000000000007E-2</v>
      </c>
      <c r="H167" s="1452">
        <v>1.895</v>
      </c>
      <c r="I167" s="1452">
        <v>6.5000000000000002E-2</v>
      </c>
      <c r="J167" s="1452">
        <v>7.4999999999999997E-3</v>
      </c>
      <c r="K167" s="1452">
        <v>0.54499999999999993</v>
      </c>
      <c r="L167" s="558" t="str">
        <v>During the burn</v>
      </c>
    </row>
    <row r="168" spans="1:12" s="1428" customFormat="1" x14ac:dyDescent="0.3">
      <c r="A168" s="556" t="str">
        <v>RN</v>
      </c>
      <c r="B168" s="1434">
        <v>44384</v>
      </c>
      <c r="C168" s="557" t="str">
        <v>RN44384</v>
      </c>
      <c r="D168" s="1452">
        <v>6.8</v>
      </c>
      <c r="E168" s="1452">
        <v>28</v>
      </c>
      <c r="F168" s="1452">
        <v>1.19</v>
      </c>
      <c r="G168" s="1452">
        <v>0.05</v>
      </c>
      <c r="H168" s="1452">
        <v>1.21</v>
      </c>
      <c r="I168" s="1452">
        <v>0.05</v>
      </c>
      <c r="J168" s="1452">
        <v>6.0000000000000001E-3</v>
      </c>
      <c r="K168" s="1452">
        <v>0.67</v>
      </c>
      <c r="L168" s="558" t="str">
        <v>During the burn</v>
      </c>
    </row>
    <row r="169" spans="1:12" s="1428" customFormat="1" x14ac:dyDescent="0.3">
      <c r="A169" s="556" t="str">
        <v>RN</v>
      </c>
      <c r="B169" s="1434">
        <v>44385</v>
      </c>
      <c r="C169" s="557" t="str">
        <v>RN44385</v>
      </c>
      <c r="D169" s="1452">
        <v>6.8849999999999998</v>
      </c>
      <c r="E169" s="1452">
        <v>28.15</v>
      </c>
      <c r="F169" s="1452">
        <v>1.625</v>
      </c>
      <c r="G169" s="1452">
        <v>0.03</v>
      </c>
      <c r="H169" s="1452">
        <v>1.7050000000000001</v>
      </c>
      <c r="I169" s="1452">
        <v>3.5000000000000003E-2</v>
      </c>
      <c r="J169" s="1452">
        <v>6.0000000000000001E-3</v>
      </c>
      <c r="K169" s="1452">
        <v>0.255</v>
      </c>
      <c r="L169" s="558" t="str">
        <v>During the burn</v>
      </c>
    </row>
    <row r="170" spans="1:12" s="1428" customFormat="1" x14ac:dyDescent="0.3">
      <c r="A170" s="556" t="str">
        <v>RN</v>
      </c>
      <c r="B170" s="1434">
        <v>44390</v>
      </c>
      <c r="C170" s="557" t="str">
        <v>RN44390</v>
      </c>
      <c r="D170" s="1452">
        <v>6.74</v>
      </c>
      <c r="E170" s="1452">
        <v>28</v>
      </c>
      <c r="F170" s="1452">
        <v>2.14</v>
      </c>
      <c r="G170" s="1452">
        <v>0.04</v>
      </c>
      <c r="H170" s="1452">
        <v>2.12</v>
      </c>
      <c r="I170" s="1452">
        <v>7.0000000000000007E-2</v>
      </c>
      <c r="J170" s="1452">
        <v>8.9999999999999993E-3</v>
      </c>
      <c r="K170" s="1452">
        <v>0.63</v>
      </c>
      <c r="L170" s="558" t="str">
        <v>During the burn</v>
      </c>
    </row>
    <row r="171" spans="1:12" s="1428" customFormat="1" x14ac:dyDescent="0.3">
      <c r="A171" s="556" t="str">
        <v>RN</v>
      </c>
      <c r="B171" s="1434">
        <v>44391</v>
      </c>
      <c r="C171" s="557" t="str">
        <v>RN44391</v>
      </c>
      <c r="D171" s="1452">
        <v>6.8849999999999998</v>
      </c>
      <c r="E171" s="1452">
        <v>28</v>
      </c>
      <c r="F171" s="1452">
        <v>1.8599999999999999</v>
      </c>
      <c r="G171" s="1452">
        <v>3.5000000000000003E-2</v>
      </c>
      <c r="H171" s="1452">
        <v>1.835</v>
      </c>
      <c r="I171" s="1452">
        <v>0.17499999999999999</v>
      </c>
      <c r="J171" s="1452">
        <v>6.5000000000000006E-3</v>
      </c>
      <c r="K171" s="1452">
        <v>0.6100000000000001</v>
      </c>
      <c r="L171" s="558" t="str">
        <v>During the burn</v>
      </c>
    </row>
    <row r="172" spans="1:12" s="1428" customFormat="1" x14ac:dyDescent="0.3">
      <c r="A172" s="556" t="str">
        <v>RN</v>
      </c>
      <c r="B172" s="1434">
        <v>44397</v>
      </c>
      <c r="C172" s="557" t="str">
        <v>RN44397</v>
      </c>
      <c r="D172" s="1452">
        <v>6.78</v>
      </c>
      <c r="E172" s="1452">
        <v>23.8</v>
      </c>
      <c r="F172" s="1452">
        <v>2.39</v>
      </c>
      <c r="G172" s="1452">
        <v>0.01</v>
      </c>
      <c r="H172" s="1452">
        <v>2.39</v>
      </c>
      <c r="I172" s="1452">
        <v>7.0000000000000007E-2</v>
      </c>
      <c r="J172" s="1452">
        <v>5.0000000000000001E-3</v>
      </c>
      <c r="K172" s="1452">
        <v>0.57999999999999996</v>
      </c>
      <c r="L172" s="558" t="str">
        <v>During the burn</v>
      </c>
    </row>
    <row r="173" spans="1:12" s="1428" customFormat="1" x14ac:dyDescent="0.3">
      <c r="A173" s="556" t="str">
        <v>RN</v>
      </c>
      <c r="B173" s="1434">
        <v>44398</v>
      </c>
      <c r="C173" s="557" t="str">
        <v>RN44398</v>
      </c>
      <c r="D173" s="1452">
        <v>6.8450000000000006</v>
      </c>
      <c r="E173" s="1452">
        <v>23.4</v>
      </c>
      <c r="F173" s="1452">
        <v>2.21</v>
      </c>
      <c r="G173" s="1452">
        <v>0.01</v>
      </c>
      <c r="H173" s="1452">
        <v>2.2000000000000002</v>
      </c>
      <c r="I173" s="1452">
        <v>6.9999999999999993E-2</v>
      </c>
      <c r="J173" s="1452">
        <v>7.0000000000000001E-3</v>
      </c>
      <c r="K173" s="1452">
        <v>0.56499999999999995</v>
      </c>
      <c r="L173" s="558" t="str">
        <v>During the burn</v>
      </c>
    </row>
    <row r="174" spans="1:12" s="1428" customFormat="1" x14ac:dyDescent="0.3">
      <c r="A174" s="556" t="str">
        <v>RU</v>
      </c>
      <c r="B174" s="1434">
        <v>44362</v>
      </c>
      <c r="C174" s="557" t="str">
        <v>RU44362</v>
      </c>
      <c r="D174" s="1452">
        <v>6.92</v>
      </c>
      <c r="E174" s="1452">
        <v>24.1</v>
      </c>
      <c r="F174" s="1452">
        <v>0.1</v>
      </c>
      <c r="G174" s="1452">
        <v>0.23</v>
      </c>
      <c r="H174" s="1452">
        <v>0.39</v>
      </c>
      <c r="I174" s="1452">
        <v>0.1</v>
      </c>
      <c r="J174" s="1452">
        <v>1.0999999999999999E-2</v>
      </c>
      <c r="K174" s="1452">
        <v>0.56000000000000005</v>
      </c>
      <c r="L174" s="558" t="str">
        <v>During the burn</v>
      </c>
    </row>
    <row r="175" spans="1:12" s="1428" customFormat="1" x14ac:dyDescent="0.3">
      <c r="A175" s="556" t="str">
        <v>RU</v>
      </c>
      <c r="B175" s="1434">
        <v>44363</v>
      </c>
      <c r="C175" s="557" t="str">
        <v>RU44363</v>
      </c>
      <c r="D175" s="1452">
        <v>7.12</v>
      </c>
      <c r="E175" s="1452">
        <v>28.8</v>
      </c>
      <c r="F175" s="1452">
        <v>2.36</v>
      </c>
      <c r="G175" s="1452">
        <v>0.02</v>
      </c>
      <c r="H175" s="1452">
        <v>2.41</v>
      </c>
      <c r="I175" s="1452">
        <v>0.09</v>
      </c>
      <c r="J175" s="1452">
        <v>7.0000000000000001E-3</v>
      </c>
      <c r="K175" s="1452">
        <v>0.34</v>
      </c>
      <c r="L175" s="558" t="str">
        <v>During the burn</v>
      </c>
    </row>
    <row r="176" spans="1:12" s="1428" customFormat="1" x14ac:dyDescent="0.3">
      <c r="A176" s="556" t="str">
        <v>RU</v>
      </c>
      <c r="B176" s="1434">
        <v>44364</v>
      </c>
      <c r="C176" s="557" t="str">
        <v>RU44364</v>
      </c>
      <c r="D176" s="1452">
        <v>7.06</v>
      </c>
      <c r="E176" s="1452">
        <v>27</v>
      </c>
      <c r="F176" s="1452">
        <v>2.37</v>
      </c>
      <c r="G176" s="1452">
        <v>0.02</v>
      </c>
      <c r="H176" s="1452">
        <v>2.4900000000000002</v>
      </c>
      <c r="I176" s="1452">
        <v>0.19</v>
      </c>
      <c r="J176" s="1452">
        <v>7.0000000000000001E-3</v>
      </c>
      <c r="K176" s="1452">
        <v>0.41</v>
      </c>
      <c r="L176" s="558" t="str">
        <v>During the burn</v>
      </c>
    </row>
    <row r="177" spans="1:12" s="1428" customFormat="1" x14ac:dyDescent="0.3">
      <c r="A177" s="556" t="str">
        <v>RU</v>
      </c>
      <c r="B177" s="1434">
        <v>44369</v>
      </c>
      <c r="C177" s="557" t="str">
        <v>RU44369</v>
      </c>
      <c r="D177" s="1452">
        <v>7.33</v>
      </c>
      <c r="E177" s="1452">
        <v>25</v>
      </c>
      <c r="F177" s="1452">
        <v>2.72</v>
      </c>
      <c r="G177" s="1452">
        <v>0.02</v>
      </c>
      <c r="H177" s="1452">
        <v>2.79</v>
      </c>
      <c r="I177" s="1452">
        <v>0.1</v>
      </c>
      <c r="J177" s="1452">
        <v>8.9999999999999993E-3</v>
      </c>
      <c r="K177" s="1452">
        <v>0.34</v>
      </c>
      <c r="L177" s="558" t="str">
        <v>During the burn</v>
      </c>
    </row>
    <row r="178" spans="1:12" s="1428" customFormat="1" x14ac:dyDescent="0.3">
      <c r="A178" s="556" t="str">
        <v>RU</v>
      </c>
      <c r="B178" s="1434">
        <v>44370</v>
      </c>
      <c r="C178" s="557" t="str">
        <v>RU44370</v>
      </c>
      <c r="D178" s="1452">
        <v>7.1</v>
      </c>
      <c r="E178" s="1452">
        <v>27.4</v>
      </c>
      <c r="F178" s="1452">
        <v>3.26</v>
      </c>
      <c r="G178" s="1452">
        <v>0.01</v>
      </c>
      <c r="H178" s="1452">
        <v>3.3</v>
      </c>
      <c r="I178" s="1452">
        <v>1.4999999999999999E-2</v>
      </c>
      <c r="J178" s="1452">
        <v>6.5000000000000006E-3</v>
      </c>
      <c r="K178" s="1452">
        <v>0.32999999999999996</v>
      </c>
      <c r="L178" s="558" t="str">
        <v>During the burn</v>
      </c>
    </row>
    <row r="179" spans="1:12" s="1428" customFormat="1" x14ac:dyDescent="0.3">
      <c r="A179" s="556" t="str">
        <v>RU</v>
      </c>
      <c r="B179" s="1434">
        <v>44376</v>
      </c>
      <c r="C179" s="557" t="str">
        <v>RU44376</v>
      </c>
      <c r="D179" s="1452">
        <v>7.05</v>
      </c>
      <c r="E179" s="1452">
        <v>24.4</v>
      </c>
      <c r="F179" s="1452">
        <v>2.58</v>
      </c>
      <c r="G179" s="1452">
        <v>0.02</v>
      </c>
      <c r="H179" s="1452">
        <v>2.69</v>
      </c>
      <c r="I179" s="1452">
        <v>0.1</v>
      </c>
      <c r="J179" s="1452">
        <v>7.0000000000000001E-3</v>
      </c>
      <c r="K179" s="1452">
        <v>0.42</v>
      </c>
      <c r="L179" s="558" t="str">
        <v>During the burn</v>
      </c>
    </row>
    <row r="180" spans="1:12" s="1428" customFormat="1" x14ac:dyDescent="0.3">
      <c r="A180" s="556" t="str">
        <v>RU</v>
      </c>
      <c r="B180" s="1434">
        <v>44377</v>
      </c>
      <c r="C180" s="557" t="str">
        <v>RU44377</v>
      </c>
      <c r="D180" s="1452">
        <v>6.9850000000000003</v>
      </c>
      <c r="E180" s="1452">
        <v>26.7</v>
      </c>
      <c r="F180" s="1452">
        <v>3.08</v>
      </c>
      <c r="G180" s="1452">
        <v>0.01</v>
      </c>
      <c r="H180" s="1452">
        <v>3.0649999999999999</v>
      </c>
      <c r="I180" s="1452">
        <v>0.04</v>
      </c>
      <c r="J180" s="1452">
        <v>8.0000000000000002E-3</v>
      </c>
      <c r="K180" s="1452">
        <v>0.32</v>
      </c>
      <c r="L180" s="558" t="str">
        <v>During the burn</v>
      </c>
    </row>
    <row r="181" spans="1:12" s="1428" customFormat="1" x14ac:dyDescent="0.3">
      <c r="A181" s="556" t="str">
        <v>RU</v>
      </c>
      <c r="B181" s="1434">
        <v>44384</v>
      </c>
      <c r="C181" s="557" t="str">
        <v>RU44384</v>
      </c>
      <c r="D181" s="1452">
        <v>6.45</v>
      </c>
      <c r="E181" s="1452">
        <v>25</v>
      </c>
      <c r="F181" s="1452">
        <v>2.29</v>
      </c>
      <c r="G181" s="1452">
        <v>0.02</v>
      </c>
      <c r="H181" s="1452">
        <v>2.42</v>
      </c>
      <c r="I181" s="1452">
        <v>0.03</v>
      </c>
      <c r="J181" s="1452">
        <v>7.0000000000000001E-3</v>
      </c>
      <c r="K181" s="1452">
        <v>0.4</v>
      </c>
      <c r="L181" s="558" t="str">
        <v>During the burn</v>
      </c>
    </row>
    <row r="182" spans="1:12" s="1428" customFormat="1" x14ac:dyDescent="0.3">
      <c r="A182" s="556" t="str">
        <v>RU</v>
      </c>
      <c r="B182" s="1434">
        <v>44385</v>
      </c>
      <c r="C182" s="557" t="str">
        <v>RU44385</v>
      </c>
      <c r="D182" s="1452">
        <v>6.7450000000000001</v>
      </c>
      <c r="E182" s="1452">
        <v>27.15</v>
      </c>
      <c r="F182" s="1452">
        <v>2.6550000000000002</v>
      </c>
      <c r="G182" s="1452">
        <v>5.0000000000000001E-3</v>
      </c>
      <c r="H182" s="1452">
        <v>2.73</v>
      </c>
      <c r="I182" s="1452">
        <v>0.05</v>
      </c>
      <c r="J182" s="1452">
        <v>7.0000000000000001E-3</v>
      </c>
      <c r="K182" s="1452">
        <v>0.4</v>
      </c>
      <c r="L182" s="558" t="str">
        <v>During the burn</v>
      </c>
    </row>
    <row r="183" spans="1:12" s="1428" customFormat="1" x14ac:dyDescent="0.3">
      <c r="A183" s="556" t="str">
        <v>RU</v>
      </c>
      <c r="B183" s="1434">
        <v>44390</v>
      </c>
      <c r="C183" s="557" t="str">
        <v>RU44390</v>
      </c>
      <c r="D183" s="1452">
        <v>6.69</v>
      </c>
      <c r="E183" s="1452">
        <v>24.8</v>
      </c>
      <c r="F183" s="1452">
        <v>2.0299999999999998</v>
      </c>
      <c r="G183" s="1452">
        <v>0</v>
      </c>
      <c r="H183" s="1452">
        <v>2.19</v>
      </c>
      <c r="I183" s="1452">
        <v>0.04</v>
      </c>
      <c r="J183" s="1452">
        <v>6.0000000000000001E-3</v>
      </c>
      <c r="K183" s="1452">
        <v>0.41</v>
      </c>
      <c r="L183" s="558" t="str">
        <v>During the burn</v>
      </c>
    </row>
    <row r="184" spans="1:12" s="1428" customFormat="1" x14ac:dyDescent="0.3">
      <c r="A184" s="556" t="str">
        <v>RU</v>
      </c>
      <c r="B184" s="1434">
        <v>44391</v>
      </c>
      <c r="C184" s="557" t="str">
        <v>RU44391</v>
      </c>
      <c r="D184" s="1452">
        <v>6.8650000000000002</v>
      </c>
      <c r="E184" s="1452">
        <v>27.95</v>
      </c>
      <c r="F184" s="1452">
        <v>3.0150000000000001</v>
      </c>
      <c r="G184" s="1452">
        <v>0.02</v>
      </c>
      <c r="H184" s="1452">
        <v>3.0250000000000004</v>
      </c>
      <c r="I184" s="1452">
        <v>9.5000000000000001E-2</v>
      </c>
      <c r="J184" s="1452">
        <v>8.0000000000000002E-3</v>
      </c>
      <c r="K184" s="1452">
        <v>0.46</v>
      </c>
      <c r="L184" s="558" t="str">
        <v>During the burn</v>
      </c>
    </row>
    <row r="185" spans="1:12" s="1428" customFormat="1" x14ac:dyDescent="0.3">
      <c r="A185" s="556" t="str">
        <v>RU</v>
      </c>
      <c r="B185" s="1434">
        <v>44397</v>
      </c>
      <c r="C185" s="557" t="str">
        <v>RU44397</v>
      </c>
      <c r="D185" s="1452">
        <v>6.5966666666666667</v>
      </c>
      <c r="E185" s="1452">
        <v>27.5</v>
      </c>
      <c r="F185" s="1452">
        <v>2.2399999999999998</v>
      </c>
      <c r="G185" s="1452">
        <v>0.01</v>
      </c>
      <c r="H185" s="1452">
        <v>2.3566666666666669</v>
      </c>
      <c r="I185" s="1452">
        <v>4.6666666666666669E-2</v>
      </c>
      <c r="J185" s="1452">
        <v>7.0000000000000001E-3</v>
      </c>
      <c r="K185" s="1452">
        <v>0.40666666666666668</v>
      </c>
      <c r="L185" s="558" t="str">
        <v>During the burn</v>
      </c>
    </row>
    <row r="186" spans="1:12" s="1428" customFormat="1" x14ac:dyDescent="0.3">
      <c r="A186" s="556" t="str">
        <v>RL</v>
      </c>
      <c r="B186" s="1434">
        <v>44362</v>
      </c>
      <c r="C186" s="557" t="str">
        <v>RL44362</v>
      </c>
      <c r="D186" s="1452">
        <v>7.29</v>
      </c>
      <c r="E186" s="1452">
        <v>27.4</v>
      </c>
      <c r="F186" s="1452">
        <v>0.91</v>
      </c>
      <c r="G186" s="1452">
        <v>0.02</v>
      </c>
      <c r="H186" s="1452">
        <v>1.1000000000000001</v>
      </c>
      <c r="I186" s="1452">
        <v>0.05</v>
      </c>
      <c r="J186" s="1452">
        <v>7.0000000000000001E-3</v>
      </c>
      <c r="K186" s="1452">
        <v>0.42</v>
      </c>
      <c r="L186" s="558" t="str">
        <v>During the burn</v>
      </c>
    </row>
    <row r="187" spans="1:12" s="1428" customFormat="1" x14ac:dyDescent="0.3">
      <c r="A187" s="556" t="str">
        <v>RL</v>
      </c>
      <c r="B187" s="1434">
        <v>44363</v>
      </c>
      <c r="C187" s="557" t="str">
        <v>RL44363</v>
      </c>
      <c r="D187" s="1452">
        <v>7.0350000000000001</v>
      </c>
      <c r="E187" s="1452">
        <v>26.450000000000003</v>
      </c>
      <c r="F187" s="1452">
        <v>1.4849999999999999</v>
      </c>
      <c r="G187" s="1452">
        <v>1.4999999999999999E-2</v>
      </c>
      <c r="H187" s="1452">
        <v>1.53</v>
      </c>
      <c r="I187" s="1452">
        <v>0.155</v>
      </c>
      <c r="J187" s="1452">
        <v>2.5000000000000001E-3</v>
      </c>
      <c r="K187" s="1452">
        <v>0.44</v>
      </c>
      <c r="L187" s="558" t="str">
        <v>During the burn</v>
      </c>
    </row>
    <row r="188" spans="1:12" s="1428" customFormat="1" x14ac:dyDescent="0.3">
      <c r="A188" s="556" t="str">
        <v>RL</v>
      </c>
      <c r="B188" s="1434">
        <v>44369</v>
      </c>
      <c r="C188" s="557" t="str">
        <v>RL44369</v>
      </c>
      <c r="D188" s="1452">
        <v>7.18</v>
      </c>
      <c r="E188" s="1452">
        <v>25.8</v>
      </c>
      <c r="F188" s="1452">
        <v>2.15</v>
      </c>
      <c r="G188" s="1452">
        <v>0</v>
      </c>
      <c r="H188" s="1452">
        <v>2.04</v>
      </c>
      <c r="I188" s="1452">
        <v>0.12</v>
      </c>
      <c r="J188" s="1452">
        <v>6.0000000000000001E-3</v>
      </c>
      <c r="K188" s="1452">
        <v>0.43</v>
      </c>
      <c r="L188" s="558" t="str">
        <v>During the burn</v>
      </c>
    </row>
    <row r="189" spans="1:12" s="1428" customFormat="1" x14ac:dyDescent="0.3">
      <c r="A189" s="556" t="str">
        <v>RL</v>
      </c>
      <c r="B189" s="1434">
        <v>44370</v>
      </c>
      <c r="C189" s="557" t="str">
        <v>RL44370</v>
      </c>
      <c r="D189" s="1452">
        <v>6.9850000000000003</v>
      </c>
      <c r="E189" s="1452">
        <v>26.1</v>
      </c>
      <c r="F189" s="1452">
        <v>2.14</v>
      </c>
      <c r="G189" s="1452">
        <v>5.0000000000000001E-3</v>
      </c>
      <c r="H189" s="1452">
        <v>2.165</v>
      </c>
      <c r="I189" s="1452">
        <v>0.08</v>
      </c>
      <c r="J189" s="1452">
        <v>5.4999999999999997E-3</v>
      </c>
      <c r="K189" s="1452">
        <v>0.42</v>
      </c>
      <c r="L189" s="558" t="str">
        <v>During the burn</v>
      </c>
    </row>
    <row r="190" spans="1:12" s="1428" customFormat="1" x14ac:dyDescent="0.3">
      <c r="A190" s="556" t="str">
        <v>RL</v>
      </c>
      <c r="B190" s="1434">
        <v>44384</v>
      </c>
      <c r="C190" s="557" t="str">
        <v>RL44384</v>
      </c>
      <c r="D190" s="1452">
        <v>6.98</v>
      </c>
      <c r="E190" s="1452">
        <v>26.7</v>
      </c>
      <c r="F190" s="1452">
        <v>2.09</v>
      </c>
      <c r="G190" s="1452">
        <v>0.03</v>
      </c>
      <c r="H190" s="1452">
        <v>2.27</v>
      </c>
      <c r="I190" s="1452">
        <v>0.02</v>
      </c>
      <c r="J190" s="1452">
        <v>5.0000000000000001E-3</v>
      </c>
      <c r="K190" s="1452">
        <v>0.46</v>
      </c>
      <c r="L190" s="558" t="str">
        <v>During the burn</v>
      </c>
    </row>
    <row r="191" spans="1:12" s="1428" customFormat="1" x14ac:dyDescent="0.3">
      <c r="A191" s="556" t="str">
        <v>RL</v>
      </c>
      <c r="B191" s="1434">
        <v>44385</v>
      </c>
      <c r="C191" s="557" t="str">
        <v>RL44385</v>
      </c>
      <c r="D191" s="1452">
        <v>6.915</v>
      </c>
      <c r="E191" s="1452">
        <v>26.6</v>
      </c>
      <c r="F191" s="1452">
        <v>1.9849999999999999</v>
      </c>
      <c r="G191" s="1452">
        <v>5.0000000000000001E-3</v>
      </c>
      <c r="H191" s="1452">
        <v>2.4500000000000002</v>
      </c>
      <c r="I191" s="1452">
        <v>0.04</v>
      </c>
      <c r="J191" s="1452">
        <v>6.0000000000000001E-3</v>
      </c>
      <c r="K191" s="1452">
        <v>0.47499999999999998</v>
      </c>
      <c r="L191" s="558" t="str">
        <v>During the burn</v>
      </c>
    </row>
    <row r="192" spans="1:12" s="1428" customFormat="1" x14ac:dyDescent="0.3">
      <c r="A192" s="556" t="str">
        <v>RL</v>
      </c>
      <c r="B192" s="1434">
        <v>44390</v>
      </c>
      <c r="C192" s="557" t="str">
        <v>RL44390</v>
      </c>
      <c r="D192" s="1452">
        <v>6.81</v>
      </c>
      <c r="E192" s="1452">
        <v>25.3</v>
      </c>
      <c r="F192" s="1452">
        <v>1.49</v>
      </c>
      <c r="G192" s="1452">
        <v>0.04</v>
      </c>
      <c r="H192" s="1452">
        <v>2.38</v>
      </c>
      <c r="I192" s="1452">
        <v>0.01</v>
      </c>
      <c r="J192" s="1452">
        <v>6.0000000000000001E-3</v>
      </c>
      <c r="K192" s="1452">
        <v>0.45</v>
      </c>
      <c r="L192" s="558" t="str">
        <v>During the burn</v>
      </c>
    </row>
    <row r="193" spans="1:12" s="1428" customFormat="1" x14ac:dyDescent="0.3">
      <c r="A193" s="556" t="str">
        <v>RL</v>
      </c>
      <c r="B193" s="1434">
        <v>44391</v>
      </c>
      <c r="C193" s="557" t="str">
        <v>RL44391</v>
      </c>
      <c r="D193" s="1452">
        <v>6.8800000000000008</v>
      </c>
      <c r="E193" s="1452">
        <v>26.55</v>
      </c>
      <c r="F193" s="1452">
        <v>2.4750000000000001</v>
      </c>
      <c r="G193" s="1452">
        <v>0.02</v>
      </c>
      <c r="H193" s="1452">
        <v>2.6949999999999998</v>
      </c>
      <c r="I193" s="1452">
        <v>1.4999999999999999E-2</v>
      </c>
      <c r="J193" s="1452">
        <v>5.4999999999999997E-3</v>
      </c>
      <c r="K193" s="1452">
        <v>0.45499999999999996</v>
      </c>
      <c r="L193" s="558" t="str">
        <v>During the burn</v>
      </c>
    </row>
    <row r="194" spans="1:12" s="1428" customFormat="1" x14ac:dyDescent="0.3">
      <c r="A194" s="556" t="str">
        <v>RL</v>
      </c>
      <c r="B194" s="1434">
        <v>44397</v>
      </c>
      <c r="C194" s="557" t="str">
        <v>RL44397</v>
      </c>
      <c r="D194" s="1452">
        <v>6.85</v>
      </c>
      <c r="E194" s="1452">
        <v>25.4</v>
      </c>
      <c r="F194" s="1452">
        <v>2.14</v>
      </c>
      <c r="G194" s="1452">
        <v>0.04</v>
      </c>
      <c r="H194" s="1452">
        <v>2.14</v>
      </c>
      <c r="I194" s="1452">
        <v>0.09</v>
      </c>
      <c r="J194" s="1452">
        <v>6.0000000000000001E-3</v>
      </c>
      <c r="K194" s="1452">
        <v>0.54</v>
      </c>
      <c r="L194" s="558" t="str">
        <v>During the burn</v>
      </c>
    </row>
    <row r="195" spans="1:12" s="1428" customFormat="1" x14ac:dyDescent="0.3">
      <c r="A195" s="556" t="str">
        <v>RL</v>
      </c>
      <c r="B195" s="1434">
        <v>44398</v>
      </c>
      <c r="C195" s="557" t="str">
        <v>RL44398</v>
      </c>
      <c r="D195" s="1452">
        <v>6.8149999999999995</v>
      </c>
      <c r="E195" s="1452">
        <v>26.85</v>
      </c>
      <c r="F195" s="1452">
        <v>1.85</v>
      </c>
      <c r="G195" s="1452">
        <v>0.01</v>
      </c>
      <c r="H195" s="1452">
        <v>2.2549999999999999</v>
      </c>
      <c r="I195" s="1452">
        <v>0.02</v>
      </c>
      <c r="J195" s="1452">
        <v>5.4999999999999997E-3</v>
      </c>
      <c r="K195" s="1452">
        <v>0.49</v>
      </c>
      <c r="L195" s="558" t="str">
        <v>During the burn</v>
      </c>
    </row>
    <row r="196" spans="1:12" s="1428" customFormat="1" x14ac:dyDescent="0.3">
      <c r="A196" s="556" t="str">
        <v>RS</v>
      </c>
      <c r="B196" s="1434">
        <v>44362</v>
      </c>
      <c r="C196" s="557" t="str">
        <v>RS44362</v>
      </c>
      <c r="D196" s="1452">
        <v>7.01</v>
      </c>
      <c r="E196" s="1452">
        <v>27.9</v>
      </c>
      <c r="F196" s="1452">
        <v>0.14000000000000001</v>
      </c>
      <c r="G196" s="1452">
        <v>0.09</v>
      </c>
      <c r="H196" s="1452">
        <v>0.15</v>
      </c>
      <c r="I196" s="1452">
        <v>0.01</v>
      </c>
      <c r="J196" s="1452">
        <v>6.0000000000000001E-3</v>
      </c>
      <c r="K196" s="1452">
        <v>0.44</v>
      </c>
      <c r="L196" s="558" t="str">
        <v>During the burn</v>
      </c>
    </row>
    <row r="197" spans="1:12" s="1428" customFormat="1" x14ac:dyDescent="0.3">
      <c r="A197" s="556" t="str">
        <v>RS</v>
      </c>
      <c r="B197" s="1434">
        <v>44363</v>
      </c>
      <c r="C197" s="557" t="str">
        <v>RS44363</v>
      </c>
      <c r="D197" s="1452">
        <v>6.8900000000000006</v>
      </c>
      <c r="E197" s="1452">
        <v>24.35</v>
      </c>
      <c r="F197" s="1452">
        <v>0.02</v>
      </c>
      <c r="G197" s="1452">
        <v>1.4999999999999999E-2</v>
      </c>
      <c r="H197" s="1452">
        <v>0.12</v>
      </c>
      <c r="I197" s="1452">
        <v>6.5000000000000002E-2</v>
      </c>
      <c r="J197" s="1452">
        <v>1.3499999999999998E-2</v>
      </c>
      <c r="K197" s="1452">
        <v>0.57000000000000006</v>
      </c>
      <c r="L197" s="558" t="str">
        <v>During the burn</v>
      </c>
    </row>
    <row r="198" spans="1:12" s="1428" customFormat="1" x14ac:dyDescent="0.3">
      <c r="A198" s="556" t="str">
        <v>RS</v>
      </c>
      <c r="B198" s="1434">
        <v>44369</v>
      </c>
      <c r="C198" s="557" t="str">
        <v>RS44369</v>
      </c>
      <c r="D198" s="1452">
        <v>6.94</v>
      </c>
      <c r="E198" s="1452">
        <v>23.8</v>
      </c>
      <c r="F198" s="1452">
        <v>1.7</v>
      </c>
      <c r="G198" s="1452">
        <v>0.02</v>
      </c>
      <c r="H198" s="1452">
        <v>1.94</v>
      </c>
      <c r="I198" s="1452">
        <v>0.03</v>
      </c>
      <c r="J198" s="1452">
        <v>6.0000000000000001E-3</v>
      </c>
      <c r="K198" s="1452">
        <v>0.56999999999999995</v>
      </c>
      <c r="L198" s="558" t="str">
        <v>During the burn</v>
      </c>
    </row>
    <row r="199" spans="1:12" s="1428" customFormat="1" x14ac:dyDescent="0.3">
      <c r="A199" s="556" t="str">
        <v>RS</v>
      </c>
      <c r="B199" s="1434">
        <v>44370</v>
      </c>
      <c r="C199" s="557" t="str">
        <v>RS44370</v>
      </c>
      <c r="D199" s="1452">
        <v>7.0600000000000005</v>
      </c>
      <c r="E199" s="1452">
        <v>24.5</v>
      </c>
      <c r="F199" s="1452">
        <v>1.375</v>
      </c>
      <c r="G199" s="1452">
        <v>0.28500000000000003</v>
      </c>
      <c r="H199" s="1452">
        <v>1.53</v>
      </c>
      <c r="I199" s="1452">
        <v>8.4999999999999992E-2</v>
      </c>
      <c r="J199" s="1452">
        <v>6.0000000000000001E-3</v>
      </c>
      <c r="K199" s="1452">
        <v>0.53500000000000003</v>
      </c>
      <c r="L199" s="558" t="str">
        <v>During the burn</v>
      </c>
    </row>
    <row r="200" spans="1:12" s="1428" customFormat="1" x14ac:dyDescent="0.3">
      <c r="A200" s="556" t="str">
        <v>RS</v>
      </c>
      <c r="B200" s="1434">
        <v>44376</v>
      </c>
      <c r="C200" s="557" t="str">
        <v>RS44376</v>
      </c>
      <c r="D200" s="1452">
        <v>7.01</v>
      </c>
      <c r="E200" s="1452">
        <v>23.8</v>
      </c>
      <c r="F200" s="1452">
        <v>1.37</v>
      </c>
      <c r="G200" s="1452">
        <v>0.02</v>
      </c>
      <c r="H200" s="1452">
        <v>1.52</v>
      </c>
      <c r="I200" s="1452">
        <v>0.02</v>
      </c>
      <c r="J200" s="1452">
        <v>6.0000000000000001E-3</v>
      </c>
      <c r="K200" s="1452">
        <v>0.54</v>
      </c>
      <c r="L200" s="558" t="str">
        <v>During the burn</v>
      </c>
    </row>
    <row r="201" spans="1:12" s="1428" customFormat="1" x14ac:dyDescent="0.3">
      <c r="A201" s="556" t="str">
        <v>RS</v>
      </c>
      <c r="B201" s="1434">
        <v>44377</v>
      </c>
      <c r="C201" s="557" t="str">
        <v>RS44377</v>
      </c>
      <c r="D201" s="1452">
        <v>7.02</v>
      </c>
      <c r="E201" s="1452">
        <v>24.1</v>
      </c>
      <c r="F201" s="1452">
        <v>1.45</v>
      </c>
      <c r="G201" s="1452">
        <v>0.06</v>
      </c>
      <c r="H201" s="1452">
        <v>1.615</v>
      </c>
      <c r="I201" s="1452">
        <v>0.08</v>
      </c>
      <c r="J201" s="1452">
        <v>6.0000000000000001E-3</v>
      </c>
      <c r="K201" s="1452">
        <v>0.59</v>
      </c>
      <c r="L201" s="558" t="str">
        <v>During the burn</v>
      </c>
    </row>
    <row r="202" spans="1:12" s="1428" customFormat="1" x14ac:dyDescent="0.3">
      <c r="A202" s="556" t="str">
        <v>RS</v>
      </c>
      <c r="B202" s="1434">
        <v>44384</v>
      </c>
      <c r="C202" s="557" t="str">
        <v>RS44384</v>
      </c>
      <c r="D202" s="1452">
        <v>7.01</v>
      </c>
      <c r="E202" s="1452">
        <v>24.4</v>
      </c>
      <c r="F202" s="1452">
        <v>1.74</v>
      </c>
      <c r="G202" s="1452">
        <v>0</v>
      </c>
      <c r="H202" s="1452">
        <v>1.97</v>
      </c>
      <c r="I202" s="1452">
        <v>0.02</v>
      </c>
      <c r="J202" s="1452">
        <v>7.0000000000000001E-3</v>
      </c>
      <c r="K202" s="1452">
        <v>0.52</v>
      </c>
      <c r="L202" s="558" t="str">
        <v>During the burn</v>
      </c>
    </row>
    <row r="203" spans="1:12" s="1428" customFormat="1" x14ac:dyDescent="0.3">
      <c r="A203" s="556" t="str">
        <v>RS</v>
      </c>
      <c r="B203" s="1434">
        <v>44385</v>
      </c>
      <c r="C203" s="557" t="str">
        <v>RS44385</v>
      </c>
      <c r="D203" s="1452">
        <v>6.9949999999999992</v>
      </c>
      <c r="E203" s="1452">
        <v>24.4</v>
      </c>
      <c r="F203" s="1452">
        <v>1.2050000000000001</v>
      </c>
      <c r="G203" s="1452">
        <v>0.01</v>
      </c>
      <c r="H203" s="1452">
        <v>1.585</v>
      </c>
      <c r="I203" s="1452">
        <v>0.12000000000000001</v>
      </c>
      <c r="J203" s="1452">
        <v>6.0000000000000001E-3</v>
      </c>
      <c r="K203" s="1452">
        <v>0.54499999999999993</v>
      </c>
      <c r="L203" s="558" t="str">
        <v>During the burn</v>
      </c>
    </row>
    <row r="204" spans="1:12" s="1428" customFormat="1" x14ac:dyDescent="0.3">
      <c r="A204" s="556" t="str">
        <v>RS</v>
      </c>
      <c r="B204" s="1434">
        <v>44390</v>
      </c>
      <c r="C204" s="557" t="str">
        <v>RS44390</v>
      </c>
      <c r="D204" s="1452">
        <v>6.9</v>
      </c>
      <c r="E204" s="1452">
        <v>23.7</v>
      </c>
      <c r="F204" s="1452">
        <v>1.84</v>
      </c>
      <c r="G204" s="1452">
        <v>0.02</v>
      </c>
      <c r="H204" s="1452">
        <v>2.09</v>
      </c>
      <c r="I204" s="1452">
        <v>0.02</v>
      </c>
      <c r="J204" s="1452">
        <v>7.0000000000000001E-3</v>
      </c>
      <c r="K204" s="1452">
        <v>0.55000000000000004</v>
      </c>
      <c r="L204" s="558" t="str">
        <v>During the burn</v>
      </c>
    </row>
    <row r="205" spans="1:12" s="1428" customFormat="1" x14ac:dyDescent="0.3">
      <c r="A205" s="556" t="str">
        <v>RS</v>
      </c>
      <c r="B205" s="1434">
        <v>44391</v>
      </c>
      <c r="C205" s="557" t="str">
        <v>RS44391</v>
      </c>
      <c r="D205" s="1452">
        <v>6.9450000000000003</v>
      </c>
      <c r="E205" s="1452">
        <v>24.2</v>
      </c>
      <c r="F205" s="1452">
        <v>1.76</v>
      </c>
      <c r="G205" s="1452">
        <v>0.01</v>
      </c>
      <c r="H205" s="1452">
        <v>1.9350000000000001</v>
      </c>
      <c r="I205" s="1452">
        <v>3.5000000000000003E-2</v>
      </c>
      <c r="J205" s="1452">
        <v>7.0000000000000001E-3</v>
      </c>
      <c r="K205" s="1452">
        <v>0.57000000000000006</v>
      </c>
      <c r="L205" s="558" t="str">
        <v>During the burn</v>
      </c>
    </row>
    <row r="206" spans="1:12" s="1428" customFormat="1" x14ac:dyDescent="0.3">
      <c r="A206" s="556" t="str">
        <v>RS</v>
      </c>
      <c r="B206" s="1434">
        <v>44397</v>
      </c>
      <c r="C206" s="557" t="str">
        <v>RS44397</v>
      </c>
      <c r="D206" s="1452">
        <v>6.92</v>
      </c>
      <c r="E206" s="1452">
        <v>24.4</v>
      </c>
      <c r="F206" s="1452">
        <v>1.58</v>
      </c>
      <c r="G206" s="1452">
        <v>0.01</v>
      </c>
      <c r="H206" s="1452">
        <v>2.11</v>
      </c>
      <c r="I206" s="1452">
        <v>0.03</v>
      </c>
      <c r="J206" s="1452">
        <v>5.0000000000000001E-3</v>
      </c>
      <c r="K206" s="1452">
        <v>0.56000000000000005</v>
      </c>
      <c r="L206" s="558" t="str">
        <v>During the burn</v>
      </c>
    </row>
    <row r="207" spans="1:12" s="1428" customFormat="1" ht="16.350000000000001" thickBot="1" x14ac:dyDescent="0.35">
      <c r="A207" s="559" t="str">
        <v>RS</v>
      </c>
      <c r="B207" s="1435">
        <v>44398</v>
      </c>
      <c r="C207" s="560" t="str">
        <v>RS44398</v>
      </c>
      <c r="D207" s="1457">
        <v>6.9250000000000007</v>
      </c>
      <c r="E207" s="1457">
        <v>24.299999999999997</v>
      </c>
      <c r="F207" s="1457">
        <v>1.7349999999999999</v>
      </c>
      <c r="G207" s="1457">
        <v>0.01</v>
      </c>
      <c r="H207" s="1457">
        <v>1.9650000000000001</v>
      </c>
      <c r="I207" s="1457">
        <v>0.02</v>
      </c>
      <c r="J207" s="1457">
        <v>5.4999999999999997E-3</v>
      </c>
      <c r="K207" s="1457">
        <v>0.59</v>
      </c>
      <c r="L207" s="561" t="str">
        <v>During the burn</v>
      </c>
    </row>
    <row r="208" spans="1:12" ht="16.350000000000001" thickTop="1" x14ac:dyDescent="0.3"/>
  </sheetData>
  <sheetProtection algorithmName="SHA-512" hashValue="9pzve2bAq48Bob+nwb0kHliN/r8fobRowFhvfiSa175m9YNJdUs1nODtnkjCqNazafVAC4wXGl82JNenmsKN5g==" saltValue="LC4YeBAcMHsDK7ij9REijQ==" spinCount="100000" sheet="1" objects="1" scenarios="1"/>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679E8-1B28-4577-BFBB-150E4ACD5C5F}">
  <dimension ref="A1"/>
  <sheetViews>
    <sheetView workbookViewId="0">
      <selection activeCell="O8" sqref="O8"/>
    </sheetView>
  </sheetViews>
  <sheetFormatPr defaultRowHeight="15.75" x14ac:dyDescent="0.3"/>
  <cols>
    <col min="1" max="16384" width="8.88671875" style="62"/>
  </cols>
  <sheetData/>
  <sheetProtection algorithmName="SHA-512" hashValue="4zeOEebOjxz1KyXuW7HushheD19a1zThnsNoyrd5h6l0cp5rgr3w4hv99400CaPT/MG1sWfedhYEFnCABatj8Q==" saltValue="jV0YA9032qKyO6IK19lhVA==" spinCount="100000" sheet="1" objects="1" scenarios="1"/>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09A5A-B54D-4723-8BBC-FB04228ECC2E}">
  <dimension ref="A1:M324"/>
  <sheetViews>
    <sheetView workbookViewId="0">
      <selection activeCell="M1" sqref="M1"/>
    </sheetView>
  </sheetViews>
  <sheetFormatPr defaultRowHeight="15.75" x14ac:dyDescent="0.3"/>
  <cols>
    <col min="1" max="1" width="13.44140625" style="62" customWidth="1"/>
    <col min="2" max="2" width="12" style="62" customWidth="1"/>
    <col min="3" max="3" width="12.77734375" style="280" customWidth="1"/>
    <col min="4" max="4" width="11.88671875" style="280" customWidth="1"/>
    <col min="5" max="5" width="15.33203125" style="280" customWidth="1"/>
    <col min="6" max="6" width="15.88671875" style="62" customWidth="1"/>
    <col min="7" max="8" width="16.44140625" style="62" customWidth="1"/>
    <col min="9" max="10" width="16.33203125" style="62" customWidth="1"/>
    <col min="11" max="12" width="16.5546875" style="62" customWidth="1"/>
    <col min="13" max="13" width="16.6640625" style="62" customWidth="1"/>
    <col min="14" max="16384" width="8.88671875" style="62"/>
  </cols>
  <sheetData>
    <row r="1" spans="1:13" s="808" customFormat="1" ht="49.65" customHeight="1" thickTop="1" thickBot="1" x14ac:dyDescent="0.35">
      <c r="A1" s="814" t="s">
        <v>274</v>
      </c>
      <c r="B1" s="815" t="s">
        <v>278</v>
      </c>
      <c r="C1" s="816" t="s">
        <v>275</v>
      </c>
      <c r="D1" s="824" t="s">
        <v>276</v>
      </c>
      <c r="E1" s="846" t="s">
        <v>277</v>
      </c>
      <c r="F1" s="838" t="s">
        <v>17</v>
      </c>
      <c r="G1" s="825" t="s">
        <v>20</v>
      </c>
      <c r="H1" s="825" t="s">
        <v>23</v>
      </c>
      <c r="I1" s="825" t="s">
        <v>26</v>
      </c>
      <c r="J1" s="825" t="s">
        <v>29</v>
      </c>
      <c r="K1" s="825" t="s">
        <v>32</v>
      </c>
      <c r="L1" s="825" t="s">
        <v>35</v>
      </c>
      <c r="M1" s="826" t="s">
        <v>38</v>
      </c>
    </row>
    <row r="2" spans="1:13" s="191" customFormat="1" x14ac:dyDescent="0.3">
      <c r="A2" s="241" t="str">
        <f>Physicochemical_Managed!P2</f>
        <v>EP44294</v>
      </c>
      <c r="B2" s="243" t="str" cm="1">
        <f t="array" ref="B2">INDEX($A$2:$A$323,MATCH(0,COUNTIF($B$1:B1,$A$2:$A$323),0))</f>
        <v>EP44294</v>
      </c>
      <c r="C2" s="813">
        <f>INT(RIGHT(B2, 5))</f>
        <v>44294</v>
      </c>
      <c r="D2" s="822" cm="1">
        <f t="array" ref="D2">INDEX($C$2:$C$212,MATCH(0,COUNTIF($D$1:D1,$C$2:$C$212),0))</f>
        <v>44294</v>
      </c>
      <c r="E2" s="847" cm="1">
        <f t="array" ref="E2:E38">_xlfn._xlws.SORT(D2:D38, 1, 1)</f>
        <v>44293</v>
      </c>
      <c r="F2" s="839" t="str" cm="1">
        <f t="array" ref="F2">_xlfn.IFS(AND(COUNTIF(Physicochemical_Managed!$P$2:$P$207,_xlfn.CONCAT(F$1,$E2))=1,COUNTIF(qPCR_Unique!$D$3:$D$118,_xlfn.CONCAT(F$1,$E2))=1),"Both",AND(COUNTIF(Physicochemical_Managed!$P$2:$P$207,_xlfn.CONCAT(F$1,$E2))=1,COUNTIF(qPCR_Unique!$D$3:$D$118,_xlfn.CONCAT(F$1,$E2))=0),"Physicochemical",AND(COUNTIF(Physicochemical_Managed!$P$2:$P$207,_xlfn.CONCAT(F$1,$E2))=0,COUNTIF(qPCR_Unique!$D$3:$D$118,_xlfn.CONCAT(F$1,$E2))=1),"OPs",AND(COUNTIF(Physicochemical_Managed!$P$2:$P$207,_xlfn.CONCAT(F$1,$E2))=0,COUNTIF(qPCR_Unique!$D$3:$D$118,_xlfn.CONCAT(F$1,$E2))=0),"Not assayed")</f>
        <v>Not assayed</v>
      </c>
      <c r="G2" s="211" t="str" cm="1">
        <f t="array" ref="G2">_xlfn.IFS(AND(COUNTIF(Physicochemical_Managed!$P$2:$P$207,_xlfn.CONCAT(G$1,$E2))=1,COUNTIF(qPCR_Unique!$D$3:$D$118,_xlfn.CONCAT(G$1,$E2))=1),"Both",AND(COUNTIF(Physicochemical_Managed!$P$2:$P$207,_xlfn.CONCAT(G$1,$E2))=1,COUNTIF(qPCR_Unique!$D$3:$D$118,_xlfn.CONCAT(G$1,$E2))=0),"Physicochemical",AND(COUNTIF(Physicochemical_Managed!$P$2:$P$207,_xlfn.CONCAT(G$1,$E2))=0,COUNTIF(qPCR_Unique!$D$3:$D$118,_xlfn.CONCAT(G$1,$E2))=1),"OPs",AND(COUNTIF(Physicochemical_Managed!$P$2:$P$207,_xlfn.CONCAT(G$1,$E2))=0,COUNTIF(qPCR_Unique!$D$3:$D$118,_xlfn.CONCAT(G$1,$E2))=0),"Not assayed")</f>
        <v>Not assayed</v>
      </c>
      <c r="H2" s="211" t="str" cm="1">
        <f t="array" ref="H2">_xlfn.IFS(AND(COUNTIF(Physicochemical_Managed!$P$2:$P$207,_xlfn.CONCAT(H$1,$E2))=1,COUNTIF(qPCR_Unique!$D$3:$D$118,_xlfn.CONCAT(H$1,$E2))=1),"Both",AND(COUNTIF(Physicochemical_Managed!$P$2:$P$207,_xlfn.CONCAT(H$1,$E2))=1,COUNTIF(qPCR_Unique!$D$3:$D$118,_xlfn.CONCAT(H$1,$E2))=0),"Physicochemical",AND(COUNTIF(Physicochemical_Managed!$P$2:$P$207,_xlfn.CONCAT(H$1,$E2))=0,COUNTIF(qPCR_Unique!$D$3:$D$118,_xlfn.CONCAT(H$1,$E2))=1),"OPs",AND(COUNTIF(Physicochemical_Managed!$P$2:$P$207,_xlfn.CONCAT(H$1,$E2))=0,COUNTIF(qPCR_Unique!$D$3:$D$118,_xlfn.CONCAT(H$1,$E2))=0),"Not assayed")</f>
        <v>Not assayed</v>
      </c>
      <c r="I2" s="211" t="str" cm="1">
        <f t="array" ref="I2">_xlfn.IFS(AND(COUNTIF(Physicochemical_Managed!$P$2:$P$207,_xlfn.CONCAT(I$1,$E2))=1,COUNTIF(qPCR_Unique!$D$3:$D$118,_xlfn.CONCAT(I$1,$E2))=1),"Both",AND(COUNTIF(Physicochemical_Managed!$P$2:$P$207,_xlfn.CONCAT(I$1,$E2))=1,COUNTIF(qPCR_Unique!$D$3:$D$118,_xlfn.CONCAT(I$1,$E2))=0),"Physicochemical",AND(COUNTIF(Physicochemical_Managed!$P$2:$P$207,_xlfn.CONCAT(I$1,$E2))=0,COUNTIF(qPCR_Unique!$D$3:$D$118,_xlfn.CONCAT(I$1,$E2))=1),"OPs",AND(COUNTIF(Physicochemical_Managed!$P$2:$P$207,_xlfn.CONCAT(I$1,$E2))=0,COUNTIF(qPCR_Unique!$D$3:$D$118,_xlfn.CONCAT(I$1,$E2))=0),"Not assayed")</f>
        <v>Not assayed</v>
      </c>
      <c r="J2" s="211" t="str" cm="1">
        <f t="array" ref="J2">_xlfn.IFS(AND(COUNTIF(Physicochemical_Managed!$P$2:$P$207,_xlfn.CONCAT(J$1,$E2))=1,COUNTIF(qPCR_Unique!$D$3:$D$118,_xlfn.CONCAT(J$1,$E2))=1),"Both",AND(COUNTIF(Physicochemical_Managed!$P$2:$P$207,_xlfn.CONCAT(J$1,$E2))=1,COUNTIF(qPCR_Unique!$D$3:$D$118,_xlfn.CONCAT(J$1,$E2))=0),"Physicochemical",AND(COUNTIF(Physicochemical_Managed!$P$2:$P$207,_xlfn.CONCAT(J$1,$E2))=0,COUNTIF(qPCR_Unique!$D$3:$D$118,_xlfn.CONCAT(J$1,$E2))=1),"OPs",AND(COUNTIF(Physicochemical_Managed!$P$2:$P$207,_xlfn.CONCAT(J$1,$E2))=0,COUNTIF(qPCR_Unique!$D$3:$D$118,_xlfn.CONCAT(J$1,$E2))=0),"Not assayed")</f>
        <v>Physicochemical</v>
      </c>
      <c r="K2" s="211" t="str" cm="1">
        <f t="array" ref="K2">_xlfn.IFS(AND(COUNTIF(Physicochemical_Managed!$P$2:$P$207,_xlfn.CONCAT(K$1,$E2))=1,COUNTIF(qPCR_Unique!$D$3:$D$118,_xlfn.CONCAT(K$1,$E2))=1),"Both",AND(COUNTIF(Physicochemical_Managed!$P$2:$P$207,_xlfn.CONCAT(K$1,$E2))=1,COUNTIF(qPCR_Unique!$D$3:$D$118,_xlfn.CONCAT(K$1,$E2))=0),"Physicochemical",AND(COUNTIF(Physicochemical_Managed!$P$2:$P$207,_xlfn.CONCAT(K$1,$E2))=0,COUNTIF(qPCR_Unique!$D$3:$D$118,_xlfn.CONCAT(K$1,$E2))=1),"OPs",AND(COUNTIF(Physicochemical_Managed!$P$2:$P$207,_xlfn.CONCAT(K$1,$E2))=0,COUNTIF(qPCR_Unique!$D$3:$D$118,_xlfn.CONCAT(K$1,$E2))=0),"Not assayed")</f>
        <v>Physicochemical</v>
      </c>
      <c r="L2" s="211" t="str" cm="1">
        <f t="array" ref="L2">_xlfn.IFS(AND(COUNTIF(Physicochemical_Managed!$P$2:$P$207,_xlfn.CONCAT(L$1,$E2))=1,COUNTIF(qPCR_Unique!$D$3:$D$118,_xlfn.CONCAT(L$1,$E2))=1),"Both",AND(COUNTIF(Physicochemical_Managed!$P$2:$P$207,_xlfn.CONCAT(L$1,$E2))=1,COUNTIF(qPCR_Unique!$D$3:$D$118,_xlfn.CONCAT(L$1,$E2))=0),"Physicochemical",AND(COUNTIF(Physicochemical_Managed!$P$2:$P$207,_xlfn.CONCAT(L$1,$E2))=0,COUNTIF(qPCR_Unique!$D$3:$D$118,_xlfn.CONCAT(L$1,$E2))=1),"OPs",AND(COUNTIF(Physicochemical_Managed!$P$2:$P$207,_xlfn.CONCAT(L$1,$E2))=0,COUNTIF(qPCR_Unique!$D$3:$D$118,_xlfn.CONCAT(L$1,$E2))=0),"Not assayed")</f>
        <v>Physicochemical</v>
      </c>
      <c r="M2" s="823" t="str" cm="1">
        <f t="array" ref="M2">_xlfn.IFS(AND(COUNTIF(Physicochemical_Managed!$P$2:$P$207,_xlfn.CONCAT(M$1,$E2))=1,COUNTIF(qPCR_Unique!$D$3:$D$118,_xlfn.CONCAT(M$1,$E2))=1),"Both",AND(COUNTIF(Physicochemical_Managed!$P$2:$P$207,_xlfn.CONCAT(M$1,$E2))=1,COUNTIF(qPCR_Unique!$D$3:$D$118,_xlfn.CONCAT(M$1,$E2))=0),"Physicochemical",AND(COUNTIF(Physicochemical_Managed!$P$2:$P$207,_xlfn.CONCAT(M$1,$E2))=0,COUNTIF(qPCR_Unique!$D$3:$D$118,_xlfn.CONCAT(M$1,$E2))=1),"OPs",AND(COUNTIF(Physicochemical_Managed!$P$2:$P$207,_xlfn.CONCAT(M$1,$E2))=0,COUNTIF(qPCR_Unique!$D$3:$D$118,_xlfn.CONCAT(M$1,$E2))=0),"Not assayed")</f>
        <v>Physicochemical</v>
      </c>
    </row>
    <row r="3" spans="1:13" s="191" customFormat="1" x14ac:dyDescent="0.3">
      <c r="A3" s="236" t="str">
        <f>Physicochemical_Managed!P3</f>
        <v>EP44306</v>
      </c>
      <c r="B3" s="238" t="str" cm="1">
        <f t="array" ref="B3">INDEX($A$2:$A$323,MATCH(0,COUNTIF($B$1:B2,$A$2:$A$323),0))</f>
        <v>EP44306</v>
      </c>
      <c r="C3" s="809">
        <f t="shared" ref="C3:C66" si="0">INT(RIGHT(B3, 5))</f>
        <v>44306</v>
      </c>
      <c r="D3" s="817" cm="1">
        <f t="array" ref="D3">INDEX($C$2:$C$212,MATCH(0,COUNTIF($D$1:D2,$C$2:$C$212),0))</f>
        <v>44306</v>
      </c>
      <c r="E3" s="848">
        <v>44294</v>
      </c>
      <c r="F3" s="840" t="str" cm="1">
        <f t="array" ref="F3">_xlfn.IFS(AND(COUNTIF(Physicochemical_Managed!$P$2:$P$207,_xlfn.CONCAT(F$1,$E3))=1,COUNTIF(qPCR_Unique!$D$3:$D$118,_xlfn.CONCAT(F$1,$E3))=1),"Both",AND(COUNTIF(Physicochemical_Managed!$P$2:$P$207,_xlfn.CONCAT(F$1,$E3))=1,COUNTIF(qPCR_Unique!$D$3:$D$118,_xlfn.CONCAT(F$1,$E3))=0),"Physicochemical",AND(COUNTIF(Physicochemical_Managed!$P$2:$P$207,_xlfn.CONCAT(F$1,$E3))=0,COUNTIF(qPCR_Unique!$D$3:$D$118,_xlfn.CONCAT(F$1,$E3))=1),"OPs",AND(COUNTIF(Physicochemical_Managed!$P$2:$P$207,_xlfn.CONCAT(F$1,$E3))=0,COUNTIF(qPCR_Unique!$D$3:$D$118,_xlfn.CONCAT(F$1,$E3))=0),"Not assayed")</f>
        <v>Physicochemical</v>
      </c>
      <c r="G3" s="195" t="str" cm="1">
        <f t="array" ref="G3">_xlfn.IFS(AND(COUNTIF(Physicochemical_Managed!$P$2:$P$207,_xlfn.CONCAT(G$1,$E3))=1,COUNTIF(qPCR_Unique!$D$3:$D$118,_xlfn.CONCAT(G$1,$E3))=1),"Both",AND(COUNTIF(Physicochemical_Managed!$P$2:$P$207,_xlfn.CONCAT(G$1,$E3))=1,COUNTIF(qPCR_Unique!$D$3:$D$118,_xlfn.CONCAT(G$1,$E3))=0),"Physicochemical",AND(COUNTIF(Physicochemical_Managed!$P$2:$P$207,_xlfn.CONCAT(G$1,$E3))=0,COUNTIF(qPCR_Unique!$D$3:$D$118,_xlfn.CONCAT(G$1,$E3))=1),"OPs",AND(COUNTIF(Physicochemical_Managed!$P$2:$P$207,_xlfn.CONCAT(G$1,$E3))=0,COUNTIF(qPCR_Unique!$D$3:$D$118,_xlfn.CONCAT(G$1,$E3))=0),"Not assayed")</f>
        <v>Physicochemical</v>
      </c>
      <c r="H3" s="195" t="str" cm="1">
        <f t="array" ref="H3">_xlfn.IFS(AND(COUNTIF(Physicochemical_Managed!$P$2:$P$207,_xlfn.CONCAT(H$1,$E3))=1,COUNTIF(qPCR_Unique!$D$3:$D$118,_xlfn.CONCAT(H$1,$E3))=1),"Both",AND(COUNTIF(Physicochemical_Managed!$P$2:$P$207,_xlfn.CONCAT(H$1,$E3))=1,COUNTIF(qPCR_Unique!$D$3:$D$118,_xlfn.CONCAT(H$1,$E3))=0),"Physicochemical",AND(COUNTIF(Physicochemical_Managed!$P$2:$P$207,_xlfn.CONCAT(H$1,$E3))=0,COUNTIF(qPCR_Unique!$D$3:$D$118,_xlfn.CONCAT(H$1,$E3))=1),"OPs",AND(COUNTIF(Physicochemical_Managed!$P$2:$P$207,_xlfn.CONCAT(H$1,$E3))=0,COUNTIF(qPCR_Unique!$D$3:$D$118,_xlfn.CONCAT(H$1,$E3))=0),"Not assayed")</f>
        <v>Physicochemical</v>
      </c>
      <c r="I3" s="195" t="str" cm="1">
        <f t="array" ref="I3">_xlfn.IFS(AND(COUNTIF(Physicochemical_Managed!$P$2:$P$207,_xlfn.CONCAT(I$1,$E3))=1,COUNTIF(qPCR_Unique!$D$3:$D$118,_xlfn.CONCAT(I$1,$E3))=1),"Both",AND(COUNTIF(Physicochemical_Managed!$P$2:$P$207,_xlfn.CONCAT(I$1,$E3))=1,COUNTIF(qPCR_Unique!$D$3:$D$118,_xlfn.CONCAT(I$1,$E3))=0),"Physicochemical",AND(COUNTIF(Physicochemical_Managed!$P$2:$P$207,_xlfn.CONCAT(I$1,$E3))=0,COUNTIF(qPCR_Unique!$D$3:$D$118,_xlfn.CONCAT(I$1,$E3))=1),"OPs",AND(COUNTIF(Physicochemical_Managed!$P$2:$P$207,_xlfn.CONCAT(I$1,$E3))=0,COUNTIF(qPCR_Unique!$D$3:$D$118,_xlfn.CONCAT(I$1,$E3))=0),"Not assayed")</f>
        <v>Physicochemical</v>
      </c>
      <c r="J3" s="195" t="str" cm="1">
        <f t="array" ref="J3">_xlfn.IFS(AND(COUNTIF(Physicochemical_Managed!$P$2:$P$207,_xlfn.CONCAT(J$1,$E3))=1,COUNTIF(qPCR_Unique!$D$3:$D$118,_xlfn.CONCAT(J$1,$E3))=1),"Both",AND(COUNTIF(Physicochemical_Managed!$P$2:$P$207,_xlfn.CONCAT(J$1,$E3))=1,COUNTIF(qPCR_Unique!$D$3:$D$118,_xlfn.CONCAT(J$1,$E3))=0),"Physicochemical",AND(COUNTIF(Physicochemical_Managed!$P$2:$P$207,_xlfn.CONCAT(J$1,$E3))=0,COUNTIF(qPCR_Unique!$D$3:$D$118,_xlfn.CONCAT(J$1,$E3))=1),"OPs",AND(COUNTIF(Physicochemical_Managed!$P$2:$P$207,_xlfn.CONCAT(J$1,$E3))=0,COUNTIF(qPCR_Unique!$D$3:$D$118,_xlfn.CONCAT(J$1,$E3))=0),"Not assayed")</f>
        <v>Not assayed</v>
      </c>
      <c r="K3" s="195" t="str" cm="1">
        <f t="array" ref="K3">_xlfn.IFS(AND(COUNTIF(Physicochemical_Managed!$P$2:$P$207,_xlfn.CONCAT(K$1,$E3))=1,COUNTIF(qPCR_Unique!$D$3:$D$118,_xlfn.CONCAT(K$1,$E3))=1),"Both",AND(COUNTIF(Physicochemical_Managed!$P$2:$P$207,_xlfn.CONCAT(K$1,$E3))=1,COUNTIF(qPCR_Unique!$D$3:$D$118,_xlfn.CONCAT(K$1,$E3))=0),"Physicochemical",AND(COUNTIF(Physicochemical_Managed!$P$2:$P$207,_xlfn.CONCAT(K$1,$E3))=0,COUNTIF(qPCR_Unique!$D$3:$D$118,_xlfn.CONCAT(K$1,$E3))=1),"OPs",AND(COUNTIF(Physicochemical_Managed!$P$2:$P$207,_xlfn.CONCAT(K$1,$E3))=0,COUNTIF(qPCR_Unique!$D$3:$D$118,_xlfn.CONCAT(K$1,$E3))=0),"Not assayed")</f>
        <v>Not assayed</v>
      </c>
      <c r="L3" s="195" t="str" cm="1">
        <f t="array" ref="L3">_xlfn.IFS(AND(COUNTIF(Physicochemical_Managed!$P$2:$P$207,_xlfn.CONCAT(L$1,$E3))=1,COUNTIF(qPCR_Unique!$D$3:$D$118,_xlfn.CONCAT(L$1,$E3))=1),"Both",AND(COUNTIF(Physicochemical_Managed!$P$2:$P$207,_xlfn.CONCAT(L$1,$E3))=1,COUNTIF(qPCR_Unique!$D$3:$D$118,_xlfn.CONCAT(L$1,$E3))=0),"Physicochemical",AND(COUNTIF(Physicochemical_Managed!$P$2:$P$207,_xlfn.CONCAT(L$1,$E3))=0,COUNTIF(qPCR_Unique!$D$3:$D$118,_xlfn.CONCAT(L$1,$E3))=1),"OPs",AND(COUNTIF(Physicochemical_Managed!$P$2:$P$207,_xlfn.CONCAT(L$1,$E3))=0,COUNTIF(qPCR_Unique!$D$3:$D$118,_xlfn.CONCAT(L$1,$E3))=0),"Not assayed")</f>
        <v>Not assayed</v>
      </c>
      <c r="M3" s="818" t="str" cm="1">
        <f t="array" ref="M3">_xlfn.IFS(AND(COUNTIF(Physicochemical_Managed!$P$2:$P$207,_xlfn.CONCAT(M$1,$E3))=1,COUNTIF(qPCR_Unique!$D$3:$D$118,_xlfn.CONCAT(M$1,$E3))=1),"Both",AND(COUNTIF(Physicochemical_Managed!$P$2:$P$207,_xlfn.CONCAT(M$1,$E3))=1,COUNTIF(qPCR_Unique!$D$3:$D$118,_xlfn.CONCAT(M$1,$E3))=0),"Physicochemical",AND(COUNTIF(Physicochemical_Managed!$P$2:$P$207,_xlfn.CONCAT(M$1,$E3))=0,COUNTIF(qPCR_Unique!$D$3:$D$118,_xlfn.CONCAT(M$1,$E3))=1),"OPs",AND(COUNTIF(Physicochemical_Managed!$P$2:$P$207,_xlfn.CONCAT(M$1,$E3))=0,COUNTIF(qPCR_Unique!$D$3:$D$118,_xlfn.CONCAT(M$1,$E3))=0),"Not assayed")</f>
        <v>Not assayed</v>
      </c>
    </row>
    <row r="4" spans="1:13" s="191" customFormat="1" x14ac:dyDescent="0.3">
      <c r="A4" s="236" t="str">
        <f>Physicochemical_Managed!P4</f>
        <v>EP44313</v>
      </c>
      <c r="B4" s="238" t="str" cm="1">
        <f t="array" ref="B4">INDEX($A$2:$A$323,MATCH(0,COUNTIF($B$1:B3,$A$2:$A$323),0))</f>
        <v>EP44313</v>
      </c>
      <c r="C4" s="809">
        <f t="shared" si="0"/>
        <v>44313</v>
      </c>
      <c r="D4" s="817" cm="1">
        <f t="array" ref="D4">INDEX($C$2:$C$212,MATCH(0,COUNTIF($D$1:D3,$C$2:$C$212),0))</f>
        <v>44313</v>
      </c>
      <c r="E4" s="848">
        <v>44306</v>
      </c>
      <c r="F4" s="840" t="str" cm="1">
        <f t="array" ref="F4">_xlfn.IFS(AND(COUNTIF(Physicochemical_Managed!$P$2:$P$207,_xlfn.CONCAT(F$1,$E4))=1,COUNTIF(qPCR_Unique!$D$3:$D$118,_xlfn.CONCAT(F$1,$E4))=1),"Both",AND(COUNTIF(Physicochemical_Managed!$P$2:$P$207,_xlfn.CONCAT(F$1,$E4))=1,COUNTIF(qPCR_Unique!$D$3:$D$118,_xlfn.CONCAT(F$1,$E4))=0),"Physicochemical",AND(COUNTIF(Physicochemical_Managed!$P$2:$P$207,_xlfn.CONCAT(F$1,$E4))=0,COUNTIF(qPCR_Unique!$D$3:$D$118,_xlfn.CONCAT(F$1,$E4))=1),"OPs",AND(COUNTIF(Physicochemical_Managed!$P$2:$P$207,_xlfn.CONCAT(F$1,$E4))=0,COUNTIF(qPCR_Unique!$D$3:$D$118,_xlfn.CONCAT(F$1,$E4))=0),"Not assayed")</f>
        <v>Physicochemical</v>
      </c>
      <c r="G4" s="195" t="str" cm="1">
        <f t="array" ref="G4">_xlfn.IFS(AND(COUNTIF(Physicochemical_Managed!$P$2:$P$207,_xlfn.CONCAT(G$1,$E4))=1,COUNTIF(qPCR_Unique!$D$3:$D$118,_xlfn.CONCAT(G$1,$E4))=1),"Both",AND(COUNTIF(Physicochemical_Managed!$P$2:$P$207,_xlfn.CONCAT(G$1,$E4))=1,COUNTIF(qPCR_Unique!$D$3:$D$118,_xlfn.CONCAT(G$1,$E4))=0),"Physicochemical",AND(COUNTIF(Physicochemical_Managed!$P$2:$P$207,_xlfn.CONCAT(G$1,$E4))=0,COUNTIF(qPCR_Unique!$D$3:$D$118,_xlfn.CONCAT(G$1,$E4))=1),"OPs",AND(COUNTIF(Physicochemical_Managed!$P$2:$P$207,_xlfn.CONCAT(G$1,$E4))=0,COUNTIF(qPCR_Unique!$D$3:$D$118,_xlfn.CONCAT(G$1,$E4))=0),"Not assayed")</f>
        <v>Physicochemical</v>
      </c>
      <c r="H4" s="195" t="str" cm="1">
        <f t="array" ref="H4">_xlfn.IFS(AND(COUNTIF(Physicochemical_Managed!$P$2:$P$207,_xlfn.CONCAT(H$1,$E4))=1,COUNTIF(qPCR_Unique!$D$3:$D$118,_xlfn.CONCAT(H$1,$E4))=1),"Both",AND(COUNTIF(Physicochemical_Managed!$P$2:$P$207,_xlfn.CONCAT(H$1,$E4))=1,COUNTIF(qPCR_Unique!$D$3:$D$118,_xlfn.CONCAT(H$1,$E4))=0),"Physicochemical",AND(COUNTIF(Physicochemical_Managed!$P$2:$P$207,_xlfn.CONCAT(H$1,$E4))=0,COUNTIF(qPCR_Unique!$D$3:$D$118,_xlfn.CONCAT(H$1,$E4))=1),"OPs",AND(COUNTIF(Physicochemical_Managed!$P$2:$P$207,_xlfn.CONCAT(H$1,$E4))=0,COUNTIF(qPCR_Unique!$D$3:$D$118,_xlfn.CONCAT(H$1,$E4))=0),"Not assayed")</f>
        <v>Physicochemical</v>
      </c>
      <c r="I4" s="195" t="str" cm="1">
        <f t="array" ref="I4">_xlfn.IFS(AND(COUNTIF(Physicochemical_Managed!$P$2:$P$207,_xlfn.CONCAT(I$1,$E4))=1,COUNTIF(qPCR_Unique!$D$3:$D$118,_xlfn.CONCAT(I$1,$E4))=1),"Both",AND(COUNTIF(Physicochemical_Managed!$P$2:$P$207,_xlfn.CONCAT(I$1,$E4))=1,COUNTIF(qPCR_Unique!$D$3:$D$118,_xlfn.CONCAT(I$1,$E4))=0),"Physicochemical",AND(COUNTIF(Physicochemical_Managed!$P$2:$P$207,_xlfn.CONCAT(I$1,$E4))=0,COUNTIF(qPCR_Unique!$D$3:$D$118,_xlfn.CONCAT(I$1,$E4))=1),"OPs",AND(COUNTIF(Physicochemical_Managed!$P$2:$P$207,_xlfn.CONCAT(I$1,$E4))=0,COUNTIF(qPCR_Unique!$D$3:$D$118,_xlfn.CONCAT(I$1,$E4))=0),"Not assayed")</f>
        <v>Physicochemical</v>
      </c>
      <c r="J4" s="195" t="str" cm="1">
        <f t="array" ref="J4">_xlfn.IFS(AND(COUNTIF(Physicochemical_Managed!$P$2:$P$207,_xlfn.CONCAT(J$1,$E4))=1,COUNTIF(qPCR_Unique!$D$3:$D$118,_xlfn.CONCAT(J$1,$E4))=1),"Both",AND(COUNTIF(Physicochemical_Managed!$P$2:$P$207,_xlfn.CONCAT(J$1,$E4))=1,COUNTIF(qPCR_Unique!$D$3:$D$118,_xlfn.CONCAT(J$1,$E4))=0),"Physicochemical",AND(COUNTIF(Physicochemical_Managed!$P$2:$P$207,_xlfn.CONCAT(J$1,$E4))=0,COUNTIF(qPCR_Unique!$D$3:$D$118,_xlfn.CONCAT(J$1,$E4))=1),"OPs",AND(COUNTIF(Physicochemical_Managed!$P$2:$P$207,_xlfn.CONCAT(J$1,$E4))=0,COUNTIF(qPCR_Unique!$D$3:$D$118,_xlfn.CONCAT(J$1,$E4))=0),"Not assayed")</f>
        <v>Not assayed</v>
      </c>
      <c r="K4" s="195" t="str" cm="1">
        <f t="array" ref="K4">_xlfn.IFS(AND(COUNTIF(Physicochemical_Managed!$P$2:$P$207,_xlfn.CONCAT(K$1,$E4))=1,COUNTIF(qPCR_Unique!$D$3:$D$118,_xlfn.CONCAT(K$1,$E4))=1),"Both",AND(COUNTIF(Physicochemical_Managed!$P$2:$P$207,_xlfn.CONCAT(K$1,$E4))=1,COUNTIF(qPCR_Unique!$D$3:$D$118,_xlfn.CONCAT(K$1,$E4))=0),"Physicochemical",AND(COUNTIF(Physicochemical_Managed!$P$2:$P$207,_xlfn.CONCAT(K$1,$E4))=0,COUNTIF(qPCR_Unique!$D$3:$D$118,_xlfn.CONCAT(K$1,$E4))=1),"OPs",AND(COUNTIF(Physicochemical_Managed!$P$2:$P$207,_xlfn.CONCAT(K$1,$E4))=0,COUNTIF(qPCR_Unique!$D$3:$D$118,_xlfn.CONCAT(K$1,$E4))=0),"Not assayed")</f>
        <v>Physicochemical</v>
      </c>
      <c r="L4" s="195" t="str" cm="1">
        <f t="array" ref="L4">_xlfn.IFS(AND(COUNTIF(Physicochemical_Managed!$P$2:$P$207,_xlfn.CONCAT(L$1,$E4))=1,COUNTIF(qPCR_Unique!$D$3:$D$118,_xlfn.CONCAT(L$1,$E4))=1),"Both",AND(COUNTIF(Physicochemical_Managed!$P$2:$P$207,_xlfn.CONCAT(L$1,$E4))=1,COUNTIF(qPCR_Unique!$D$3:$D$118,_xlfn.CONCAT(L$1,$E4))=0),"Physicochemical",AND(COUNTIF(Physicochemical_Managed!$P$2:$P$207,_xlfn.CONCAT(L$1,$E4))=0,COUNTIF(qPCR_Unique!$D$3:$D$118,_xlfn.CONCAT(L$1,$E4))=1),"OPs",AND(COUNTIF(Physicochemical_Managed!$P$2:$P$207,_xlfn.CONCAT(L$1,$E4))=0,COUNTIF(qPCR_Unique!$D$3:$D$118,_xlfn.CONCAT(L$1,$E4))=0),"Not assayed")</f>
        <v>Physicochemical</v>
      </c>
      <c r="M4" s="818" t="str" cm="1">
        <f t="array" ref="M4">_xlfn.IFS(AND(COUNTIF(Physicochemical_Managed!$P$2:$P$207,_xlfn.CONCAT(M$1,$E4))=1,COUNTIF(qPCR_Unique!$D$3:$D$118,_xlfn.CONCAT(M$1,$E4))=1),"Both",AND(COUNTIF(Physicochemical_Managed!$P$2:$P$207,_xlfn.CONCAT(M$1,$E4))=1,COUNTIF(qPCR_Unique!$D$3:$D$118,_xlfn.CONCAT(M$1,$E4))=0),"Physicochemical",AND(COUNTIF(Physicochemical_Managed!$P$2:$P$207,_xlfn.CONCAT(M$1,$E4))=0,COUNTIF(qPCR_Unique!$D$3:$D$118,_xlfn.CONCAT(M$1,$E4))=1),"OPs",AND(COUNTIF(Physicochemical_Managed!$P$2:$P$207,_xlfn.CONCAT(M$1,$E4))=0,COUNTIF(qPCR_Unique!$D$3:$D$118,_xlfn.CONCAT(M$1,$E4))=0),"Not assayed")</f>
        <v>Physicochemical</v>
      </c>
    </row>
    <row r="5" spans="1:13" s="191" customFormat="1" x14ac:dyDescent="0.3">
      <c r="A5" s="236" t="str">
        <f>Physicochemical_Managed!P5</f>
        <v>EP44320</v>
      </c>
      <c r="B5" s="238" t="str" cm="1">
        <f t="array" ref="B5">INDEX($A$2:$A$323,MATCH(0,COUNTIF($B$1:B4,$A$2:$A$323),0))</f>
        <v>EP44320</v>
      </c>
      <c r="C5" s="809">
        <f t="shared" si="0"/>
        <v>44320</v>
      </c>
      <c r="D5" s="817" cm="1">
        <f t="array" ref="D5">INDEX($C$2:$C$212,MATCH(0,COUNTIF($D$1:D4,$C$2:$C$212),0))</f>
        <v>44320</v>
      </c>
      <c r="E5" s="848">
        <v>44313</v>
      </c>
      <c r="F5" s="840" t="str" cm="1">
        <f t="array" ref="F5">_xlfn.IFS(AND(COUNTIF(Physicochemical_Managed!$P$2:$P$207,_xlfn.CONCAT(F$1,$E5))=1,COUNTIF(qPCR_Unique!$D$3:$D$118,_xlfn.CONCAT(F$1,$E5))=1),"Both",AND(COUNTIF(Physicochemical_Managed!$P$2:$P$207,_xlfn.CONCAT(F$1,$E5))=1,COUNTIF(qPCR_Unique!$D$3:$D$118,_xlfn.CONCAT(F$1,$E5))=0),"Physicochemical",AND(COUNTIF(Physicochemical_Managed!$P$2:$P$207,_xlfn.CONCAT(F$1,$E5))=0,COUNTIF(qPCR_Unique!$D$3:$D$118,_xlfn.CONCAT(F$1,$E5))=1),"OPs",AND(COUNTIF(Physicochemical_Managed!$P$2:$P$207,_xlfn.CONCAT(F$1,$E5))=0,COUNTIF(qPCR_Unique!$D$3:$D$118,_xlfn.CONCAT(F$1,$E5))=0),"Not assayed")</f>
        <v>Physicochemical</v>
      </c>
      <c r="G5" s="195" t="str" cm="1">
        <f t="array" ref="G5">_xlfn.IFS(AND(COUNTIF(Physicochemical_Managed!$P$2:$P$207,_xlfn.CONCAT(G$1,$E5))=1,COUNTIF(qPCR_Unique!$D$3:$D$118,_xlfn.CONCAT(G$1,$E5))=1),"Both",AND(COUNTIF(Physicochemical_Managed!$P$2:$P$207,_xlfn.CONCAT(G$1,$E5))=1,COUNTIF(qPCR_Unique!$D$3:$D$118,_xlfn.CONCAT(G$1,$E5))=0),"Physicochemical",AND(COUNTIF(Physicochemical_Managed!$P$2:$P$207,_xlfn.CONCAT(G$1,$E5))=0,COUNTIF(qPCR_Unique!$D$3:$D$118,_xlfn.CONCAT(G$1,$E5))=1),"OPs",AND(COUNTIF(Physicochemical_Managed!$P$2:$P$207,_xlfn.CONCAT(G$1,$E5))=0,COUNTIF(qPCR_Unique!$D$3:$D$118,_xlfn.CONCAT(G$1,$E5))=0),"Not assayed")</f>
        <v>Physicochemical</v>
      </c>
      <c r="H5" s="195" t="str" cm="1">
        <f t="array" ref="H5">_xlfn.IFS(AND(COUNTIF(Physicochemical_Managed!$P$2:$P$207,_xlfn.CONCAT(H$1,$E5))=1,COUNTIF(qPCR_Unique!$D$3:$D$118,_xlfn.CONCAT(H$1,$E5))=1),"Both",AND(COUNTIF(Physicochemical_Managed!$P$2:$P$207,_xlfn.CONCAT(H$1,$E5))=1,COUNTIF(qPCR_Unique!$D$3:$D$118,_xlfn.CONCAT(H$1,$E5))=0),"Physicochemical",AND(COUNTIF(Physicochemical_Managed!$P$2:$P$207,_xlfn.CONCAT(H$1,$E5))=0,COUNTIF(qPCR_Unique!$D$3:$D$118,_xlfn.CONCAT(H$1,$E5))=1),"OPs",AND(COUNTIF(Physicochemical_Managed!$P$2:$P$207,_xlfn.CONCAT(H$1,$E5))=0,COUNTIF(qPCR_Unique!$D$3:$D$118,_xlfn.CONCAT(H$1,$E5))=0),"Not assayed")</f>
        <v>Physicochemical</v>
      </c>
      <c r="I5" s="195" t="str" cm="1">
        <f t="array" ref="I5">_xlfn.IFS(AND(COUNTIF(Physicochemical_Managed!$P$2:$P$207,_xlfn.CONCAT(I$1,$E5))=1,COUNTIF(qPCR_Unique!$D$3:$D$118,_xlfn.CONCAT(I$1,$E5))=1),"Both",AND(COUNTIF(Physicochemical_Managed!$P$2:$P$207,_xlfn.CONCAT(I$1,$E5))=1,COUNTIF(qPCR_Unique!$D$3:$D$118,_xlfn.CONCAT(I$1,$E5))=0),"Physicochemical",AND(COUNTIF(Physicochemical_Managed!$P$2:$P$207,_xlfn.CONCAT(I$1,$E5))=0,COUNTIF(qPCR_Unique!$D$3:$D$118,_xlfn.CONCAT(I$1,$E5))=1),"OPs",AND(COUNTIF(Physicochemical_Managed!$P$2:$P$207,_xlfn.CONCAT(I$1,$E5))=0,COUNTIF(qPCR_Unique!$D$3:$D$118,_xlfn.CONCAT(I$1,$E5))=0),"Not assayed")</f>
        <v>Physicochemical</v>
      </c>
      <c r="J5" s="195" t="str" cm="1">
        <f t="array" ref="J5">_xlfn.IFS(AND(COUNTIF(Physicochemical_Managed!$P$2:$P$207,_xlfn.CONCAT(J$1,$E5))=1,COUNTIF(qPCR_Unique!$D$3:$D$118,_xlfn.CONCAT(J$1,$E5))=1),"Both",AND(COUNTIF(Physicochemical_Managed!$P$2:$P$207,_xlfn.CONCAT(J$1,$E5))=1,COUNTIF(qPCR_Unique!$D$3:$D$118,_xlfn.CONCAT(J$1,$E5))=0),"Physicochemical",AND(COUNTIF(Physicochemical_Managed!$P$2:$P$207,_xlfn.CONCAT(J$1,$E5))=0,COUNTIF(qPCR_Unique!$D$3:$D$118,_xlfn.CONCAT(J$1,$E5))=1),"OPs",AND(COUNTIF(Physicochemical_Managed!$P$2:$P$207,_xlfn.CONCAT(J$1,$E5))=0,COUNTIF(qPCR_Unique!$D$3:$D$118,_xlfn.CONCAT(J$1,$E5))=0),"Not assayed")</f>
        <v>Physicochemical</v>
      </c>
      <c r="K5" s="195" t="str" cm="1">
        <f t="array" ref="K5">_xlfn.IFS(AND(COUNTIF(Physicochemical_Managed!$P$2:$P$207,_xlfn.CONCAT(K$1,$E5))=1,COUNTIF(qPCR_Unique!$D$3:$D$118,_xlfn.CONCAT(K$1,$E5))=1),"Both",AND(COUNTIF(Physicochemical_Managed!$P$2:$P$207,_xlfn.CONCAT(K$1,$E5))=1,COUNTIF(qPCR_Unique!$D$3:$D$118,_xlfn.CONCAT(K$1,$E5))=0),"Physicochemical",AND(COUNTIF(Physicochemical_Managed!$P$2:$P$207,_xlfn.CONCAT(K$1,$E5))=0,COUNTIF(qPCR_Unique!$D$3:$D$118,_xlfn.CONCAT(K$1,$E5))=1),"OPs",AND(COUNTIF(Physicochemical_Managed!$P$2:$P$207,_xlfn.CONCAT(K$1,$E5))=0,COUNTIF(qPCR_Unique!$D$3:$D$118,_xlfn.CONCAT(K$1,$E5))=0),"Not assayed")</f>
        <v>Physicochemical</v>
      </c>
      <c r="L5" s="195" t="str" cm="1">
        <f t="array" ref="L5">_xlfn.IFS(AND(COUNTIF(Physicochemical_Managed!$P$2:$P$207,_xlfn.CONCAT(L$1,$E5))=1,COUNTIF(qPCR_Unique!$D$3:$D$118,_xlfn.CONCAT(L$1,$E5))=1),"Both",AND(COUNTIF(Physicochemical_Managed!$P$2:$P$207,_xlfn.CONCAT(L$1,$E5))=1,COUNTIF(qPCR_Unique!$D$3:$D$118,_xlfn.CONCAT(L$1,$E5))=0),"Physicochemical",AND(COUNTIF(Physicochemical_Managed!$P$2:$P$207,_xlfn.CONCAT(L$1,$E5))=0,COUNTIF(qPCR_Unique!$D$3:$D$118,_xlfn.CONCAT(L$1,$E5))=1),"OPs",AND(COUNTIF(Physicochemical_Managed!$P$2:$P$207,_xlfn.CONCAT(L$1,$E5))=0,COUNTIF(qPCR_Unique!$D$3:$D$118,_xlfn.CONCAT(L$1,$E5))=0),"Not assayed")</f>
        <v>Physicochemical</v>
      </c>
      <c r="M5" s="818" t="str" cm="1">
        <f t="array" ref="M5">_xlfn.IFS(AND(COUNTIF(Physicochemical_Managed!$P$2:$P$207,_xlfn.CONCAT(M$1,$E5))=1,COUNTIF(qPCR_Unique!$D$3:$D$118,_xlfn.CONCAT(M$1,$E5))=1),"Both",AND(COUNTIF(Physicochemical_Managed!$P$2:$P$207,_xlfn.CONCAT(M$1,$E5))=1,COUNTIF(qPCR_Unique!$D$3:$D$118,_xlfn.CONCAT(M$1,$E5))=0),"Physicochemical",AND(COUNTIF(Physicochemical_Managed!$P$2:$P$207,_xlfn.CONCAT(M$1,$E5))=0,COUNTIF(qPCR_Unique!$D$3:$D$118,_xlfn.CONCAT(M$1,$E5))=1),"OPs",AND(COUNTIF(Physicochemical_Managed!$P$2:$P$207,_xlfn.CONCAT(M$1,$E5))=0,COUNTIF(qPCR_Unique!$D$3:$D$118,_xlfn.CONCAT(M$1,$E5))=0),"Not assayed")</f>
        <v>Physicochemical</v>
      </c>
    </row>
    <row r="6" spans="1:13" s="191" customFormat="1" x14ac:dyDescent="0.3">
      <c r="A6" s="236" t="str">
        <f>Physicochemical_Managed!P6</f>
        <v>EP44327</v>
      </c>
      <c r="B6" s="238" t="str" cm="1">
        <f t="array" ref="B6">INDEX($A$2:$A$323,MATCH(0,COUNTIF($B$1:B5,$A$2:$A$323),0))</f>
        <v>EP44327</v>
      </c>
      <c r="C6" s="809">
        <f t="shared" si="0"/>
        <v>44327</v>
      </c>
      <c r="D6" s="817" cm="1">
        <f t="array" ref="D6">INDEX($C$2:$C$212,MATCH(0,COUNTIF($D$1:D5,$C$2:$C$212),0))</f>
        <v>44327</v>
      </c>
      <c r="E6" s="848">
        <v>44320</v>
      </c>
      <c r="F6" s="840" t="str" cm="1">
        <f t="array" ref="F6">_xlfn.IFS(AND(COUNTIF(Physicochemical_Managed!$P$2:$P$207,_xlfn.CONCAT(F$1,$E6))=1,COUNTIF(qPCR_Unique!$D$3:$D$118,_xlfn.CONCAT(F$1,$E6))=1),"Both",AND(COUNTIF(Physicochemical_Managed!$P$2:$P$207,_xlfn.CONCAT(F$1,$E6))=1,COUNTIF(qPCR_Unique!$D$3:$D$118,_xlfn.CONCAT(F$1,$E6))=0),"Physicochemical",AND(COUNTIF(Physicochemical_Managed!$P$2:$P$207,_xlfn.CONCAT(F$1,$E6))=0,COUNTIF(qPCR_Unique!$D$3:$D$118,_xlfn.CONCAT(F$1,$E6))=1),"OPs",AND(COUNTIF(Physicochemical_Managed!$P$2:$P$207,_xlfn.CONCAT(F$1,$E6))=0,COUNTIF(qPCR_Unique!$D$3:$D$118,_xlfn.CONCAT(F$1,$E6))=0),"Not assayed")</f>
        <v>Physicochemical</v>
      </c>
      <c r="G6" s="195" t="str" cm="1">
        <f t="array" ref="G6">_xlfn.IFS(AND(COUNTIF(Physicochemical_Managed!$P$2:$P$207,_xlfn.CONCAT(G$1,$E6))=1,COUNTIF(qPCR_Unique!$D$3:$D$118,_xlfn.CONCAT(G$1,$E6))=1),"Both",AND(COUNTIF(Physicochemical_Managed!$P$2:$P$207,_xlfn.CONCAT(G$1,$E6))=1,COUNTIF(qPCR_Unique!$D$3:$D$118,_xlfn.CONCAT(G$1,$E6))=0),"Physicochemical",AND(COUNTIF(Physicochemical_Managed!$P$2:$P$207,_xlfn.CONCAT(G$1,$E6))=0,COUNTIF(qPCR_Unique!$D$3:$D$118,_xlfn.CONCAT(G$1,$E6))=1),"OPs",AND(COUNTIF(Physicochemical_Managed!$P$2:$P$207,_xlfn.CONCAT(G$1,$E6))=0,COUNTIF(qPCR_Unique!$D$3:$D$118,_xlfn.CONCAT(G$1,$E6))=0),"Not assayed")</f>
        <v>Physicochemical</v>
      </c>
      <c r="H6" s="195" t="str" cm="1">
        <f t="array" ref="H6">_xlfn.IFS(AND(COUNTIF(Physicochemical_Managed!$P$2:$P$207,_xlfn.CONCAT(H$1,$E6))=1,COUNTIF(qPCR_Unique!$D$3:$D$118,_xlfn.CONCAT(H$1,$E6))=1),"Both",AND(COUNTIF(Physicochemical_Managed!$P$2:$P$207,_xlfn.CONCAT(H$1,$E6))=1,COUNTIF(qPCR_Unique!$D$3:$D$118,_xlfn.CONCAT(H$1,$E6))=0),"Physicochemical",AND(COUNTIF(Physicochemical_Managed!$P$2:$P$207,_xlfn.CONCAT(H$1,$E6))=0,COUNTIF(qPCR_Unique!$D$3:$D$118,_xlfn.CONCAT(H$1,$E6))=1),"OPs",AND(COUNTIF(Physicochemical_Managed!$P$2:$P$207,_xlfn.CONCAT(H$1,$E6))=0,COUNTIF(qPCR_Unique!$D$3:$D$118,_xlfn.CONCAT(H$1,$E6))=0),"Not assayed")</f>
        <v>Physicochemical</v>
      </c>
      <c r="I6" s="195" t="str" cm="1">
        <f t="array" ref="I6">_xlfn.IFS(AND(COUNTIF(Physicochemical_Managed!$P$2:$P$207,_xlfn.CONCAT(I$1,$E6))=1,COUNTIF(qPCR_Unique!$D$3:$D$118,_xlfn.CONCAT(I$1,$E6))=1),"Both",AND(COUNTIF(Physicochemical_Managed!$P$2:$P$207,_xlfn.CONCAT(I$1,$E6))=1,COUNTIF(qPCR_Unique!$D$3:$D$118,_xlfn.CONCAT(I$1,$E6))=0),"Physicochemical",AND(COUNTIF(Physicochemical_Managed!$P$2:$P$207,_xlfn.CONCAT(I$1,$E6))=0,COUNTIF(qPCR_Unique!$D$3:$D$118,_xlfn.CONCAT(I$1,$E6))=1),"OPs",AND(COUNTIF(Physicochemical_Managed!$P$2:$P$207,_xlfn.CONCAT(I$1,$E6))=0,COUNTIF(qPCR_Unique!$D$3:$D$118,_xlfn.CONCAT(I$1,$E6))=0),"Not assayed")</f>
        <v>Physicochemical</v>
      </c>
      <c r="J6" s="195" t="str" cm="1">
        <f t="array" ref="J6">_xlfn.IFS(AND(COUNTIF(Physicochemical_Managed!$P$2:$P$207,_xlfn.CONCAT(J$1,$E6))=1,COUNTIF(qPCR_Unique!$D$3:$D$118,_xlfn.CONCAT(J$1,$E6))=1),"Both",AND(COUNTIF(Physicochemical_Managed!$P$2:$P$207,_xlfn.CONCAT(J$1,$E6))=1,COUNTIF(qPCR_Unique!$D$3:$D$118,_xlfn.CONCAT(J$1,$E6))=0),"Physicochemical",AND(COUNTIF(Physicochemical_Managed!$P$2:$P$207,_xlfn.CONCAT(J$1,$E6))=0,COUNTIF(qPCR_Unique!$D$3:$D$118,_xlfn.CONCAT(J$1,$E6))=1),"OPs",AND(COUNTIF(Physicochemical_Managed!$P$2:$P$207,_xlfn.CONCAT(J$1,$E6))=0,COUNTIF(qPCR_Unique!$D$3:$D$118,_xlfn.CONCAT(J$1,$E6))=0),"Not assayed")</f>
        <v>Not assayed</v>
      </c>
      <c r="K6" s="195" t="str" cm="1">
        <f t="array" ref="K6">_xlfn.IFS(AND(COUNTIF(Physicochemical_Managed!$P$2:$P$207,_xlfn.CONCAT(K$1,$E6))=1,COUNTIF(qPCR_Unique!$D$3:$D$118,_xlfn.CONCAT(K$1,$E6))=1),"Both",AND(COUNTIF(Physicochemical_Managed!$P$2:$P$207,_xlfn.CONCAT(K$1,$E6))=1,COUNTIF(qPCR_Unique!$D$3:$D$118,_xlfn.CONCAT(K$1,$E6))=0),"Physicochemical",AND(COUNTIF(Physicochemical_Managed!$P$2:$P$207,_xlfn.CONCAT(K$1,$E6))=0,COUNTIF(qPCR_Unique!$D$3:$D$118,_xlfn.CONCAT(K$1,$E6))=1),"OPs",AND(COUNTIF(Physicochemical_Managed!$P$2:$P$207,_xlfn.CONCAT(K$1,$E6))=0,COUNTIF(qPCR_Unique!$D$3:$D$118,_xlfn.CONCAT(K$1,$E6))=0),"Not assayed")</f>
        <v>Not assayed</v>
      </c>
      <c r="L6" s="195" t="str" cm="1">
        <f t="array" ref="L6">_xlfn.IFS(AND(COUNTIF(Physicochemical_Managed!$P$2:$P$207,_xlfn.CONCAT(L$1,$E6))=1,COUNTIF(qPCR_Unique!$D$3:$D$118,_xlfn.CONCAT(L$1,$E6))=1),"Both",AND(COUNTIF(Physicochemical_Managed!$P$2:$P$207,_xlfn.CONCAT(L$1,$E6))=1,COUNTIF(qPCR_Unique!$D$3:$D$118,_xlfn.CONCAT(L$1,$E6))=0),"Physicochemical",AND(COUNTIF(Physicochemical_Managed!$P$2:$P$207,_xlfn.CONCAT(L$1,$E6))=0,COUNTIF(qPCR_Unique!$D$3:$D$118,_xlfn.CONCAT(L$1,$E6))=1),"OPs",AND(COUNTIF(Physicochemical_Managed!$P$2:$P$207,_xlfn.CONCAT(L$1,$E6))=0,COUNTIF(qPCR_Unique!$D$3:$D$118,_xlfn.CONCAT(L$1,$E6))=0),"Not assayed")</f>
        <v>Not assayed</v>
      </c>
      <c r="M6" s="818" t="str" cm="1">
        <f t="array" ref="M6">_xlfn.IFS(AND(COUNTIF(Physicochemical_Managed!$P$2:$P$207,_xlfn.CONCAT(M$1,$E6))=1,COUNTIF(qPCR_Unique!$D$3:$D$118,_xlfn.CONCAT(M$1,$E6))=1),"Both",AND(COUNTIF(Physicochemical_Managed!$P$2:$P$207,_xlfn.CONCAT(M$1,$E6))=1,COUNTIF(qPCR_Unique!$D$3:$D$118,_xlfn.CONCAT(M$1,$E6))=0),"Physicochemical",AND(COUNTIF(Physicochemical_Managed!$P$2:$P$207,_xlfn.CONCAT(M$1,$E6))=0,COUNTIF(qPCR_Unique!$D$3:$D$118,_xlfn.CONCAT(M$1,$E6))=1),"OPs",AND(COUNTIF(Physicochemical_Managed!$P$2:$P$207,_xlfn.CONCAT(M$1,$E6))=0,COUNTIF(qPCR_Unique!$D$3:$D$118,_xlfn.CONCAT(M$1,$E6))=0),"Not assayed")</f>
        <v>Not assayed</v>
      </c>
    </row>
    <row r="7" spans="1:13" s="191" customFormat="1" x14ac:dyDescent="0.3">
      <c r="A7" s="236" t="str">
        <f>Physicochemical_Managed!P7</f>
        <v>EP44335</v>
      </c>
      <c r="B7" s="238" t="str" cm="1">
        <f t="array" ref="B7">INDEX($A$2:$A$323,MATCH(0,COUNTIF($B$1:B6,$A$2:$A$323),0))</f>
        <v>EP44335</v>
      </c>
      <c r="C7" s="809">
        <f t="shared" si="0"/>
        <v>44335</v>
      </c>
      <c r="D7" s="817" cm="1">
        <f t="array" ref="D7">INDEX($C$2:$C$212,MATCH(0,COUNTIF($D$1:D6,$C$2:$C$212),0))</f>
        <v>44335</v>
      </c>
      <c r="E7" s="848">
        <v>44327</v>
      </c>
      <c r="F7" s="840" t="str" cm="1">
        <f t="array" ref="F7">_xlfn.IFS(AND(COUNTIF(Physicochemical_Managed!$P$2:$P$207,_xlfn.CONCAT(F$1,$E7))=1,COUNTIF(qPCR_Unique!$D$3:$D$118,_xlfn.CONCAT(F$1,$E7))=1),"Both",AND(COUNTIF(Physicochemical_Managed!$P$2:$P$207,_xlfn.CONCAT(F$1,$E7))=1,COUNTIF(qPCR_Unique!$D$3:$D$118,_xlfn.CONCAT(F$1,$E7))=0),"Physicochemical",AND(COUNTIF(Physicochemical_Managed!$P$2:$P$207,_xlfn.CONCAT(F$1,$E7))=0,COUNTIF(qPCR_Unique!$D$3:$D$118,_xlfn.CONCAT(F$1,$E7))=1),"OPs",AND(COUNTIF(Physicochemical_Managed!$P$2:$P$207,_xlfn.CONCAT(F$1,$E7))=0,COUNTIF(qPCR_Unique!$D$3:$D$118,_xlfn.CONCAT(F$1,$E7))=0),"Not assayed")</f>
        <v>Physicochemical</v>
      </c>
      <c r="G7" s="195" t="str" cm="1">
        <f t="array" ref="G7">_xlfn.IFS(AND(COUNTIF(Physicochemical_Managed!$P$2:$P$207,_xlfn.CONCAT(G$1,$E7))=1,COUNTIF(qPCR_Unique!$D$3:$D$118,_xlfn.CONCAT(G$1,$E7))=1),"Both",AND(COUNTIF(Physicochemical_Managed!$P$2:$P$207,_xlfn.CONCAT(G$1,$E7))=1,COUNTIF(qPCR_Unique!$D$3:$D$118,_xlfn.CONCAT(G$1,$E7))=0),"Physicochemical",AND(COUNTIF(Physicochemical_Managed!$P$2:$P$207,_xlfn.CONCAT(G$1,$E7))=0,COUNTIF(qPCR_Unique!$D$3:$D$118,_xlfn.CONCAT(G$1,$E7))=1),"OPs",AND(COUNTIF(Physicochemical_Managed!$P$2:$P$207,_xlfn.CONCAT(G$1,$E7))=0,COUNTIF(qPCR_Unique!$D$3:$D$118,_xlfn.CONCAT(G$1,$E7))=0),"Not assayed")</f>
        <v>Physicochemical</v>
      </c>
      <c r="H7" s="195" t="str" cm="1">
        <f t="array" ref="H7">_xlfn.IFS(AND(COUNTIF(Physicochemical_Managed!$P$2:$P$207,_xlfn.CONCAT(H$1,$E7))=1,COUNTIF(qPCR_Unique!$D$3:$D$118,_xlfn.CONCAT(H$1,$E7))=1),"Both",AND(COUNTIF(Physicochemical_Managed!$P$2:$P$207,_xlfn.CONCAT(H$1,$E7))=1,COUNTIF(qPCR_Unique!$D$3:$D$118,_xlfn.CONCAT(H$1,$E7))=0),"Physicochemical",AND(COUNTIF(Physicochemical_Managed!$P$2:$P$207,_xlfn.CONCAT(H$1,$E7))=0,COUNTIF(qPCR_Unique!$D$3:$D$118,_xlfn.CONCAT(H$1,$E7))=1),"OPs",AND(COUNTIF(Physicochemical_Managed!$P$2:$P$207,_xlfn.CONCAT(H$1,$E7))=0,COUNTIF(qPCR_Unique!$D$3:$D$118,_xlfn.CONCAT(H$1,$E7))=0),"Not assayed")</f>
        <v>Physicochemical</v>
      </c>
      <c r="I7" s="195" t="str" cm="1">
        <f t="array" ref="I7">_xlfn.IFS(AND(COUNTIF(Physicochemical_Managed!$P$2:$P$207,_xlfn.CONCAT(I$1,$E7))=1,COUNTIF(qPCR_Unique!$D$3:$D$118,_xlfn.CONCAT(I$1,$E7))=1),"Both",AND(COUNTIF(Physicochemical_Managed!$P$2:$P$207,_xlfn.CONCAT(I$1,$E7))=1,COUNTIF(qPCR_Unique!$D$3:$D$118,_xlfn.CONCAT(I$1,$E7))=0),"Physicochemical",AND(COUNTIF(Physicochemical_Managed!$P$2:$P$207,_xlfn.CONCAT(I$1,$E7))=0,COUNTIF(qPCR_Unique!$D$3:$D$118,_xlfn.CONCAT(I$1,$E7))=1),"OPs",AND(COUNTIF(Physicochemical_Managed!$P$2:$P$207,_xlfn.CONCAT(I$1,$E7))=0,COUNTIF(qPCR_Unique!$D$3:$D$118,_xlfn.CONCAT(I$1,$E7))=0),"Not assayed")</f>
        <v>Physicochemical</v>
      </c>
      <c r="J7" s="195" t="str" cm="1">
        <f t="array" ref="J7">_xlfn.IFS(AND(COUNTIF(Physicochemical_Managed!$P$2:$P$207,_xlfn.CONCAT(J$1,$E7))=1,COUNTIF(qPCR_Unique!$D$3:$D$118,_xlfn.CONCAT(J$1,$E7))=1),"Both",AND(COUNTIF(Physicochemical_Managed!$P$2:$P$207,_xlfn.CONCAT(J$1,$E7))=1,COUNTIF(qPCR_Unique!$D$3:$D$118,_xlfn.CONCAT(J$1,$E7))=0),"Physicochemical",AND(COUNTIF(Physicochemical_Managed!$P$2:$P$207,_xlfn.CONCAT(J$1,$E7))=0,COUNTIF(qPCR_Unique!$D$3:$D$118,_xlfn.CONCAT(J$1,$E7))=1),"OPs",AND(COUNTIF(Physicochemical_Managed!$P$2:$P$207,_xlfn.CONCAT(J$1,$E7))=0,COUNTIF(qPCR_Unique!$D$3:$D$118,_xlfn.CONCAT(J$1,$E7))=0),"Not assayed")</f>
        <v>Physicochemical</v>
      </c>
      <c r="K7" s="195" t="str" cm="1">
        <f t="array" ref="K7">_xlfn.IFS(AND(COUNTIF(Physicochemical_Managed!$P$2:$P$207,_xlfn.CONCAT(K$1,$E7))=1,COUNTIF(qPCR_Unique!$D$3:$D$118,_xlfn.CONCAT(K$1,$E7))=1),"Both",AND(COUNTIF(Physicochemical_Managed!$P$2:$P$207,_xlfn.CONCAT(K$1,$E7))=1,COUNTIF(qPCR_Unique!$D$3:$D$118,_xlfn.CONCAT(K$1,$E7))=0),"Physicochemical",AND(COUNTIF(Physicochemical_Managed!$P$2:$P$207,_xlfn.CONCAT(K$1,$E7))=0,COUNTIF(qPCR_Unique!$D$3:$D$118,_xlfn.CONCAT(K$1,$E7))=1),"OPs",AND(COUNTIF(Physicochemical_Managed!$P$2:$P$207,_xlfn.CONCAT(K$1,$E7))=0,COUNTIF(qPCR_Unique!$D$3:$D$118,_xlfn.CONCAT(K$1,$E7))=0),"Not assayed")</f>
        <v>Physicochemical</v>
      </c>
      <c r="L7" s="195" t="str" cm="1">
        <f t="array" ref="L7">_xlfn.IFS(AND(COUNTIF(Physicochemical_Managed!$P$2:$P$207,_xlfn.CONCAT(L$1,$E7))=1,COUNTIF(qPCR_Unique!$D$3:$D$118,_xlfn.CONCAT(L$1,$E7))=1),"Both",AND(COUNTIF(Physicochemical_Managed!$P$2:$P$207,_xlfn.CONCAT(L$1,$E7))=1,COUNTIF(qPCR_Unique!$D$3:$D$118,_xlfn.CONCAT(L$1,$E7))=0),"Physicochemical",AND(COUNTIF(Physicochemical_Managed!$P$2:$P$207,_xlfn.CONCAT(L$1,$E7))=0,COUNTIF(qPCR_Unique!$D$3:$D$118,_xlfn.CONCAT(L$1,$E7))=1),"OPs",AND(COUNTIF(Physicochemical_Managed!$P$2:$P$207,_xlfn.CONCAT(L$1,$E7))=0,COUNTIF(qPCR_Unique!$D$3:$D$118,_xlfn.CONCAT(L$1,$E7))=0),"Not assayed")</f>
        <v>Physicochemical</v>
      </c>
      <c r="M7" s="818" t="str" cm="1">
        <f t="array" ref="M7">_xlfn.IFS(AND(COUNTIF(Physicochemical_Managed!$P$2:$P$207,_xlfn.CONCAT(M$1,$E7))=1,COUNTIF(qPCR_Unique!$D$3:$D$118,_xlfn.CONCAT(M$1,$E7))=1),"Both",AND(COUNTIF(Physicochemical_Managed!$P$2:$P$207,_xlfn.CONCAT(M$1,$E7))=1,COUNTIF(qPCR_Unique!$D$3:$D$118,_xlfn.CONCAT(M$1,$E7))=0),"Physicochemical",AND(COUNTIF(Physicochemical_Managed!$P$2:$P$207,_xlfn.CONCAT(M$1,$E7))=0,COUNTIF(qPCR_Unique!$D$3:$D$118,_xlfn.CONCAT(M$1,$E7))=1),"OPs",AND(COUNTIF(Physicochemical_Managed!$P$2:$P$207,_xlfn.CONCAT(M$1,$E7))=0,COUNTIF(qPCR_Unique!$D$3:$D$118,_xlfn.CONCAT(M$1,$E7))=0),"Not assayed")</f>
        <v>Physicochemical</v>
      </c>
    </row>
    <row r="8" spans="1:13" s="191" customFormat="1" x14ac:dyDescent="0.3">
      <c r="A8" s="236" t="str">
        <f>Physicochemical_Managed!P8</f>
        <v>EP44342</v>
      </c>
      <c r="B8" s="238" t="str" cm="1">
        <f t="array" ref="B8">INDEX($A$2:$A$323,MATCH(0,COUNTIF($B$1:B7,$A$2:$A$323),0))</f>
        <v>EP44342</v>
      </c>
      <c r="C8" s="809">
        <f t="shared" si="0"/>
        <v>44342</v>
      </c>
      <c r="D8" s="817" cm="1">
        <f t="array" ref="D8">INDEX($C$2:$C$212,MATCH(0,COUNTIF($D$1:D7,$C$2:$C$212),0))</f>
        <v>44342</v>
      </c>
      <c r="E8" s="848">
        <v>44334</v>
      </c>
      <c r="F8" s="840" t="str" cm="1">
        <f t="array" ref="F8">_xlfn.IFS(AND(COUNTIF(Physicochemical_Managed!$P$2:$P$207,_xlfn.CONCAT(F$1,$E8))=1,COUNTIF(qPCR_Unique!$D$3:$D$118,_xlfn.CONCAT(F$1,$E8))=1),"Both",AND(COUNTIF(Physicochemical_Managed!$P$2:$P$207,_xlfn.CONCAT(F$1,$E8))=1,COUNTIF(qPCR_Unique!$D$3:$D$118,_xlfn.CONCAT(F$1,$E8))=0),"Physicochemical",AND(COUNTIF(Physicochemical_Managed!$P$2:$P$207,_xlfn.CONCAT(F$1,$E8))=0,COUNTIF(qPCR_Unique!$D$3:$D$118,_xlfn.CONCAT(F$1,$E8))=1),"OPs",AND(COUNTIF(Physicochemical_Managed!$P$2:$P$207,_xlfn.CONCAT(F$1,$E8))=0,COUNTIF(qPCR_Unique!$D$3:$D$118,_xlfn.CONCAT(F$1,$E8))=0),"Not assayed")</f>
        <v>Not assayed</v>
      </c>
      <c r="G8" s="195" t="str" cm="1">
        <f t="array" ref="G8">_xlfn.IFS(AND(COUNTIF(Physicochemical_Managed!$P$2:$P$207,_xlfn.CONCAT(G$1,$E8))=1,COUNTIF(qPCR_Unique!$D$3:$D$118,_xlfn.CONCAT(G$1,$E8))=1),"Both",AND(COUNTIF(Physicochemical_Managed!$P$2:$P$207,_xlfn.CONCAT(G$1,$E8))=1,COUNTIF(qPCR_Unique!$D$3:$D$118,_xlfn.CONCAT(G$1,$E8))=0),"Physicochemical",AND(COUNTIF(Physicochemical_Managed!$P$2:$P$207,_xlfn.CONCAT(G$1,$E8))=0,COUNTIF(qPCR_Unique!$D$3:$D$118,_xlfn.CONCAT(G$1,$E8))=1),"OPs",AND(COUNTIF(Physicochemical_Managed!$P$2:$P$207,_xlfn.CONCAT(G$1,$E8))=0,COUNTIF(qPCR_Unique!$D$3:$D$118,_xlfn.CONCAT(G$1,$E8))=0),"Not assayed")</f>
        <v>Not assayed</v>
      </c>
      <c r="H8" s="195" t="str" cm="1">
        <f t="array" ref="H8">_xlfn.IFS(AND(COUNTIF(Physicochemical_Managed!$P$2:$P$207,_xlfn.CONCAT(H$1,$E8))=1,COUNTIF(qPCR_Unique!$D$3:$D$118,_xlfn.CONCAT(H$1,$E8))=1),"Both",AND(COUNTIF(Physicochemical_Managed!$P$2:$P$207,_xlfn.CONCAT(H$1,$E8))=1,COUNTIF(qPCR_Unique!$D$3:$D$118,_xlfn.CONCAT(H$1,$E8))=0),"Physicochemical",AND(COUNTIF(Physicochemical_Managed!$P$2:$P$207,_xlfn.CONCAT(H$1,$E8))=0,COUNTIF(qPCR_Unique!$D$3:$D$118,_xlfn.CONCAT(H$1,$E8))=1),"OPs",AND(COUNTIF(Physicochemical_Managed!$P$2:$P$207,_xlfn.CONCAT(H$1,$E8))=0,COUNTIF(qPCR_Unique!$D$3:$D$118,_xlfn.CONCAT(H$1,$E8))=0),"Not assayed")</f>
        <v>Not assayed</v>
      </c>
      <c r="I8" s="195" t="str" cm="1">
        <f t="array" ref="I8">_xlfn.IFS(AND(COUNTIF(Physicochemical_Managed!$P$2:$P$207,_xlfn.CONCAT(I$1,$E8))=1,COUNTIF(qPCR_Unique!$D$3:$D$118,_xlfn.CONCAT(I$1,$E8))=1),"Both",AND(COUNTIF(Physicochemical_Managed!$P$2:$P$207,_xlfn.CONCAT(I$1,$E8))=1,COUNTIF(qPCR_Unique!$D$3:$D$118,_xlfn.CONCAT(I$1,$E8))=0),"Physicochemical",AND(COUNTIF(Physicochemical_Managed!$P$2:$P$207,_xlfn.CONCAT(I$1,$E8))=0,COUNTIF(qPCR_Unique!$D$3:$D$118,_xlfn.CONCAT(I$1,$E8))=1),"OPs",AND(COUNTIF(Physicochemical_Managed!$P$2:$P$207,_xlfn.CONCAT(I$1,$E8))=0,COUNTIF(qPCR_Unique!$D$3:$D$118,_xlfn.CONCAT(I$1,$E8))=0),"Not assayed")</f>
        <v>Not assayed</v>
      </c>
      <c r="J8" s="195" t="str" cm="1">
        <f t="array" ref="J8">_xlfn.IFS(AND(COUNTIF(Physicochemical_Managed!$P$2:$P$207,_xlfn.CONCAT(J$1,$E8))=1,COUNTIF(qPCR_Unique!$D$3:$D$118,_xlfn.CONCAT(J$1,$E8))=1),"Both",AND(COUNTIF(Physicochemical_Managed!$P$2:$P$207,_xlfn.CONCAT(J$1,$E8))=1,COUNTIF(qPCR_Unique!$D$3:$D$118,_xlfn.CONCAT(J$1,$E8))=0),"Physicochemical",AND(COUNTIF(Physicochemical_Managed!$P$2:$P$207,_xlfn.CONCAT(J$1,$E8))=0,COUNTIF(qPCR_Unique!$D$3:$D$118,_xlfn.CONCAT(J$1,$E8))=1),"OPs",AND(COUNTIF(Physicochemical_Managed!$P$2:$P$207,_xlfn.CONCAT(J$1,$E8))=0,COUNTIF(qPCR_Unique!$D$3:$D$118,_xlfn.CONCAT(J$1,$E8))=0),"Not assayed")</f>
        <v>Physicochemical</v>
      </c>
      <c r="K8" s="195" t="str" cm="1">
        <f t="array" ref="K8">_xlfn.IFS(AND(COUNTIF(Physicochemical_Managed!$P$2:$P$207,_xlfn.CONCAT(K$1,$E8))=1,COUNTIF(qPCR_Unique!$D$3:$D$118,_xlfn.CONCAT(K$1,$E8))=1),"Both",AND(COUNTIF(Physicochemical_Managed!$P$2:$P$207,_xlfn.CONCAT(K$1,$E8))=1,COUNTIF(qPCR_Unique!$D$3:$D$118,_xlfn.CONCAT(K$1,$E8))=0),"Physicochemical",AND(COUNTIF(Physicochemical_Managed!$P$2:$P$207,_xlfn.CONCAT(K$1,$E8))=0,COUNTIF(qPCR_Unique!$D$3:$D$118,_xlfn.CONCAT(K$1,$E8))=1),"OPs",AND(COUNTIF(Physicochemical_Managed!$P$2:$P$207,_xlfn.CONCAT(K$1,$E8))=0,COUNTIF(qPCR_Unique!$D$3:$D$118,_xlfn.CONCAT(K$1,$E8))=0),"Not assayed")</f>
        <v>Physicochemical</v>
      </c>
      <c r="L8" s="195" t="str" cm="1">
        <f t="array" ref="L8">_xlfn.IFS(AND(COUNTIF(Physicochemical_Managed!$P$2:$P$207,_xlfn.CONCAT(L$1,$E8))=1,COUNTIF(qPCR_Unique!$D$3:$D$118,_xlfn.CONCAT(L$1,$E8))=1),"Both",AND(COUNTIF(Physicochemical_Managed!$P$2:$P$207,_xlfn.CONCAT(L$1,$E8))=1,COUNTIF(qPCR_Unique!$D$3:$D$118,_xlfn.CONCAT(L$1,$E8))=0),"Physicochemical",AND(COUNTIF(Physicochemical_Managed!$P$2:$P$207,_xlfn.CONCAT(L$1,$E8))=0,COUNTIF(qPCR_Unique!$D$3:$D$118,_xlfn.CONCAT(L$1,$E8))=1),"OPs",AND(COUNTIF(Physicochemical_Managed!$P$2:$P$207,_xlfn.CONCAT(L$1,$E8))=0,COUNTIF(qPCR_Unique!$D$3:$D$118,_xlfn.CONCAT(L$1,$E8))=0),"Not assayed")</f>
        <v>Physicochemical</v>
      </c>
      <c r="M8" s="818" t="str" cm="1">
        <f t="array" ref="M8">_xlfn.IFS(AND(COUNTIF(Physicochemical_Managed!$P$2:$P$207,_xlfn.CONCAT(M$1,$E8))=1,COUNTIF(qPCR_Unique!$D$3:$D$118,_xlfn.CONCAT(M$1,$E8))=1),"Both",AND(COUNTIF(Physicochemical_Managed!$P$2:$P$207,_xlfn.CONCAT(M$1,$E8))=1,COUNTIF(qPCR_Unique!$D$3:$D$118,_xlfn.CONCAT(M$1,$E8))=0),"Physicochemical",AND(COUNTIF(Physicochemical_Managed!$P$2:$P$207,_xlfn.CONCAT(M$1,$E8))=0,COUNTIF(qPCR_Unique!$D$3:$D$118,_xlfn.CONCAT(M$1,$E8))=1),"OPs",AND(COUNTIF(Physicochemical_Managed!$P$2:$P$207,_xlfn.CONCAT(M$1,$E8))=0,COUNTIF(qPCR_Unique!$D$3:$D$118,_xlfn.CONCAT(M$1,$E8))=0),"Not assayed")</f>
        <v>Physicochemical</v>
      </c>
    </row>
    <row r="9" spans="1:13" s="191" customFormat="1" x14ac:dyDescent="0.3">
      <c r="A9" s="236" t="str">
        <f>Physicochemical_Managed!P9</f>
        <v>EP44350</v>
      </c>
      <c r="B9" s="238" t="str" cm="1">
        <f t="array" ref="B9">INDEX($A$2:$A$323,MATCH(0,COUNTIF($B$1:B8,$A$2:$A$323),0))</f>
        <v>EP44350</v>
      </c>
      <c r="C9" s="809">
        <f t="shared" si="0"/>
        <v>44350</v>
      </c>
      <c r="D9" s="817" cm="1">
        <f t="array" ref="D9">INDEX($C$2:$C$212,MATCH(0,COUNTIF($D$1:D8,$C$2:$C$212),0))</f>
        <v>44350</v>
      </c>
      <c r="E9" s="848">
        <v>44335</v>
      </c>
      <c r="F9" s="840" t="str" cm="1">
        <f t="array" ref="F9">_xlfn.IFS(AND(COUNTIF(Physicochemical_Managed!$P$2:$P$207,_xlfn.CONCAT(F$1,$E9))=1,COUNTIF(qPCR_Unique!$D$3:$D$118,_xlfn.CONCAT(F$1,$E9))=1),"Both",AND(COUNTIF(Physicochemical_Managed!$P$2:$P$207,_xlfn.CONCAT(F$1,$E9))=1,COUNTIF(qPCR_Unique!$D$3:$D$118,_xlfn.CONCAT(F$1,$E9))=0),"Physicochemical",AND(COUNTIF(Physicochemical_Managed!$P$2:$P$207,_xlfn.CONCAT(F$1,$E9))=0,COUNTIF(qPCR_Unique!$D$3:$D$118,_xlfn.CONCAT(F$1,$E9))=1),"OPs",AND(COUNTIF(Physicochemical_Managed!$P$2:$P$207,_xlfn.CONCAT(F$1,$E9))=0,COUNTIF(qPCR_Unique!$D$3:$D$118,_xlfn.CONCAT(F$1,$E9))=0),"Not assayed")</f>
        <v>Both</v>
      </c>
      <c r="G9" s="195" t="str" cm="1">
        <f t="array" ref="G9">_xlfn.IFS(AND(COUNTIF(Physicochemical_Managed!$P$2:$P$207,_xlfn.CONCAT(G$1,$E9))=1,COUNTIF(qPCR_Unique!$D$3:$D$118,_xlfn.CONCAT(G$1,$E9))=1),"Both",AND(COUNTIF(Physicochemical_Managed!$P$2:$P$207,_xlfn.CONCAT(G$1,$E9))=1,COUNTIF(qPCR_Unique!$D$3:$D$118,_xlfn.CONCAT(G$1,$E9))=0),"Physicochemical",AND(COUNTIF(Physicochemical_Managed!$P$2:$P$207,_xlfn.CONCAT(G$1,$E9))=0,COUNTIF(qPCR_Unique!$D$3:$D$118,_xlfn.CONCAT(G$1,$E9))=1),"OPs",AND(COUNTIF(Physicochemical_Managed!$P$2:$P$207,_xlfn.CONCAT(G$1,$E9))=0,COUNTIF(qPCR_Unique!$D$3:$D$118,_xlfn.CONCAT(G$1,$E9))=0),"Not assayed")</f>
        <v>Both</v>
      </c>
      <c r="H9" s="195" t="str" cm="1">
        <f t="array" ref="H9">_xlfn.IFS(AND(COUNTIF(Physicochemical_Managed!$P$2:$P$207,_xlfn.CONCAT(H$1,$E9))=1,COUNTIF(qPCR_Unique!$D$3:$D$118,_xlfn.CONCAT(H$1,$E9))=1),"Both",AND(COUNTIF(Physicochemical_Managed!$P$2:$P$207,_xlfn.CONCAT(H$1,$E9))=1,COUNTIF(qPCR_Unique!$D$3:$D$118,_xlfn.CONCAT(H$1,$E9))=0),"Physicochemical",AND(COUNTIF(Physicochemical_Managed!$P$2:$P$207,_xlfn.CONCAT(H$1,$E9))=0,COUNTIF(qPCR_Unique!$D$3:$D$118,_xlfn.CONCAT(H$1,$E9))=1),"OPs",AND(COUNTIF(Physicochemical_Managed!$P$2:$P$207,_xlfn.CONCAT(H$1,$E9))=0,COUNTIF(qPCR_Unique!$D$3:$D$118,_xlfn.CONCAT(H$1,$E9))=0),"Not assayed")</f>
        <v>Both</v>
      </c>
      <c r="I9" s="195" t="str" cm="1">
        <f t="array" ref="I9">_xlfn.IFS(AND(COUNTIF(Physicochemical_Managed!$P$2:$P$207,_xlfn.CONCAT(I$1,$E9))=1,COUNTIF(qPCR_Unique!$D$3:$D$118,_xlfn.CONCAT(I$1,$E9))=1),"Both",AND(COUNTIF(Physicochemical_Managed!$P$2:$P$207,_xlfn.CONCAT(I$1,$E9))=1,COUNTIF(qPCR_Unique!$D$3:$D$118,_xlfn.CONCAT(I$1,$E9))=0),"Physicochemical",AND(COUNTIF(Physicochemical_Managed!$P$2:$P$207,_xlfn.CONCAT(I$1,$E9))=0,COUNTIF(qPCR_Unique!$D$3:$D$118,_xlfn.CONCAT(I$1,$E9))=1),"OPs",AND(COUNTIF(Physicochemical_Managed!$P$2:$P$207,_xlfn.CONCAT(I$1,$E9))=0,COUNTIF(qPCR_Unique!$D$3:$D$118,_xlfn.CONCAT(I$1,$E9))=0),"Not assayed")</f>
        <v>Both</v>
      </c>
      <c r="J9" s="195" t="str" cm="1">
        <f t="array" ref="J9">_xlfn.IFS(AND(COUNTIF(Physicochemical_Managed!$P$2:$P$207,_xlfn.CONCAT(J$1,$E9))=1,COUNTIF(qPCR_Unique!$D$3:$D$118,_xlfn.CONCAT(J$1,$E9))=1),"Both",AND(COUNTIF(Physicochemical_Managed!$P$2:$P$207,_xlfn.CONCAT(J$1,$E9))=1,COUNTIF(qPCR_Unique!$D$3:$D$118,_xlfn.CONCAT(J$1,$E9))=0),"Physicochemical",AND(COUNTIF(Physicochemical_Managed!$P$2:$P$207,_xlfn.CONCAT(J$1,$E9))=0,COUNTIF(qPCR_Unique!$D$3:$D$118,_xlfn.CONCAT(J$1,$E9))=1),"OPs",AND(COUNTIF(Physicochemical_Managed!$P$2:$P$207,_xlfn.CONCAT(J$1,$E9))=0,COUNTIF(qPCR_Unique!$D$3:$D$118,_xlfn.CONCAT(J$1,$E9))=0),"Not assayed")</f>
        <v>Both</v>
      </c>
      <c r="K9" s="195" t="str" cm="1">
        <f t="array" ref="K9">_xlfn.IFS(AND(COUNTIF(Physicochemical_Managed!$P$2:$P$207,_xlfn.CONCAT(K$1,$E9))=1,COUNTIF(qPCR_Unique!$D$3:$D$118,_xlfn.CONCAT(K$1,$E9))=1),"Both",AND(COUNTIF(Physicochemical_Managed!$P$2:$P$207,_xlfn.CONCAT(K$1,$E9))=1,COUNTIF(qPCR_Unique!$D$3:$D$118,_xlfn.CONCAT(K$1,$E9))=0),"Physicochemical",AND(COUNTIF(Physicochemical_Managed!$P$2:$P$207,_xlfn.CONCAT(K$1,$E9))=0,COUNTIF(qPCR_Unique!$D$3:$D$118,_xlfn.CONCAT(K$1,$E9))=1),"OPs",AND(COUNTIF(Physicochemical_Managed!$P$2:$P$207,_xlfn.CONCAT(K$1,$E9))=0,COUNTIF(qPCR_Unique!$D$3:$D$118,_xlfn.CONCAT(K$1,$E9))=0),"Not assayed")</f>
        <v>Both</v>
      </c>
      <c r="L9" s="195" t="str" cm="1">
        <f t="array" ref="L9">_xlfn.IFS(AND(COUNTIF(Physicochemical_Managed!$P$2:$P$207,_xlfn.CONCAT(L$1,$E9))=1,COUNTIF(qPCR_Unique!$D$3:$D$118,_xlfn.CONCAT(L$1,$E9))=1),"Both",AND(COUNTIF(Physicochemical_Managed!$P$2:$P$207,_xlfn.CONCAT(L$1,$E9))=1,COUNTIF(qPCR_Unique!$D$3:$D$118,_xlfn.CONCAT(L$1,$E9))=0),"Physicochemical",AND(COUNTIF(Physicochemical_Managed!$P$2:$P$207,_xlfn.CONCAT(L$1,$E9))=0,COUNTIF(qPCR_Unique!$D$3:$D$118,_xlfn.CONCAT(L$1,$E9))=1),"OPs",AND(COUNTIF(Physicochemical_Managed!$P$2:$P$207,_xlfn.CONCAT(L$1,$E9))=0,COUNTIF(qPCR_Unique!$D$3:$D$118,_xlfn.CONCAT(L$1,$E9))=0),"Not assayed")</f>
        <v>Both</v>
      </c>
      <c r="M9" s="818" t="str" cm="1">
        <f t="array" ref="M9">_xlfn.IFS(AND(COUNTIF(Physicochemical_Managed!$P$2:$P$207,_xlfn.CONCAT(M$1,$E9))=1,COUNTIF(qPCR_Unique!$D$3:$D$118,_xlfn.CONCAT(M$1,$E9))=1),"Both",AND(COUNTIF(Physicochemical_Managed!$P$2:$P$207,_xlfn.CONCAT(M$1,$E9))=1,COUNTIF(qPCR_Unique!$D$3:$D$118,_xlfn.CONCAT(M$1,$E9))=0),"Physicochemical",AND(COUNTIF(Physicochemical_Managed!$P$2:$P$207,_xlfn.CONCAT(M$1,$E9))=0,COUNTIF(qPCR_Unique!$D$3:$D$118,_xlfn.CONCAT(M$1,$E9))=1),"OPs",AND(COUNTIF(Physicochemical_Managed!$P$2:$P$207,_xlfn.CONCAT(M$1,$E9))=0,COUNTIF(qPCR_Unique!$D$3:$D$118,_xlfn.CONCAT(M$1,$E9))=0),"Not assayed")</f>
        <v>Both</v>
      </c>
    </row>
    <row r="10" spans="1:13" s="191" customFormat="1" ht="16.350000000000001" thickBot="1" x14ac:dyDescent="0.35">
      <c r="A10" s="236" t="str">
        <f>Physicochemical_Managed!P10</f>
        <v>EP44356</v>
      </c>
      <c r="B10" s="238" t="str" cm="1">
        <f t="array" ref="B10">INDEX($A$2:$A$323,MATCH(0,COUNTIF($B$1:B9,$A$2:$A$323),0))</f>
        <v>EP44356</v>
      </c>
      <c r="C10" s="809">
        <f t="shared" si="0"/>
        <v>44356</v>
      </c>
      <c r="D10" s="830" cm="1">
        <f t="array" ref="D10">INDEX($C$2:$C$212,MATCH(0,COUNTIF($D$1:D9,$C$2:$C$212),0))</f>
        <v>44356</v>
      </c>
      <c r="E10" s="849">
        <v>44341</v>
      </c>
      <c r="F10" s="841" t="str" cm="1">
        <f t="array" ref="F10">_xlfn.IFS(AND(COUNTIF(Physicochemical_Managed!$P$2:$P$207,_xlfn.CONCAT(F$1,$E10))=1,COUNTIF(qPCR_Unique!$D$3:$D$118,_xlfn.CONCAT(F$1,$E10))=1),"Both",AND(COUNTIF(Physicochemical_Managed!$P$2:$P$207,_xlfn.CONCAT(F$1,$E10))=1,COUNTIF(qPCR_Unique!$D$3:$D$118,_xlfn.CONCAT(F$1,$E10))=0),"Physicochemical",AND(COUNTIF(Physicochemical_Managed!$P$2:$P$207,_xlfn.CONCAT(F$1,$E10))=0,COUNTIF(qPCR_Unique!$D$3:$D$118,_xlfn.CONCAT(F$1,$E10))=1),"OPs",AND(COUNTIF(Physicochemical_Managed!$P$2:$P$207,_xlfn.CONCAT(F$1,$E10))=0,COUNTIF(qPCR_Unique!$D$3:$D$118,_xlfn.CONCAT(F$1,$E10))=0),"Not assayed")</f>
        <v>Not assayed</v>
      </c>
      <c r="G10" s="222" t="str" cm="1">
        <f t="array" ref="G10">_xlfn.IFS(AND(COUNTIF(Physicochemical_Managed!$P$2:$P$207,_xlfn.CONCAT(G$1,$E10))=1,COUNTIF(qPCR_Unique!$D$3:$D$118,_xlfn.CONCAT(G$1,$E10))=1),"Both",AND(COUNTIF(Physicochemical_Managed!$P$2:$P$207,_xlfn.CONCAT(G$1,$E10))=1,COUNTIF(qPCR_Unique!$D$3:$D$118,_xlfn.CONCAT(G$1,$E10))=0),"Physicochemical",AND(COUNTIF(Physicochemical_Managed!$P$2:$P$207,_xlfn.CONCAT(G$1,$E10))=0,COUNTIF(qPCR_Unique!$D$3:$D$118,_xlfn.CONCAT(G$1,$E10))=1),"OPs",AND(COUNTIF(Physicochemical_Managed!$P$2:$P$207,_xlfn.CONCAT(G$1,$E10))=0,COUNTIF(qPCR_Unique!$D$3:$D$118,_xlfn.CONCAT(G$1,$E10))=0),"Not assayed")</f>
        <v>Not assayed</v>
      </c>
      <c r="H10" s="222" t="str" cm="1">
        <f t="array" ref="H10">_xlfn.IFS(AND(COUNTIF(Physicochemical_Managed!$P$2:$P$207,_xlfn.CONCAT(H$1,$E10))=1,COUNTIF(qPCR_Unique!$D$3:$D$118,_xlfn.CONCAT(H$1,$E10))=1),"Both",AND(COUNTIF(Physicochemical_Managed!$P$2:$P$207,_xlfn.CONCAT(H$1,$E10))=1,COUNTIF(qPCR_Unique!$D$3:$D$118,_xlfn.CONCAT(H$1,$E10))=0),"Physicochemical",AND(COUNTIF(Physicochemical_Managed!$P$2:$P$207,_xlfn.CONCAT(H$1,$E10))=0,COUNTIF(qPCR_Unique!$D$3:$D$118,_xlfn.CONCAT(H$1,$E10))=1),"OPs",AND(COUNTIF(Physicochemical_Managed!$P$2:$P$207,_xlfn.CONCAT(H$1,$E10))=0,COUNTIF(qPCR_Unique!$D$3:$D$118,_xlfn.CONCAT(H$1,$E10))=0),"Not assayed")</f>
        <v>Not assayed</v>
      </c>
      <c r="I10" s="222" t="str" cm="1">
        <f t="array" ref="I10">_xlfn.IFS(AND(COUNTIF(Physicochemical_Managed!$P$2:$P$207,_xlfn.CONCAT(I$1,$E10))=1,COUNTIF(qPCR_Unique!$D$3:$D$118,_xlfn.CONCAT(I$1,$E10))=1),"Both",AND(COUNTIF(Physicochemical_Managed!$P$2:$P$207,_xlfn.CONCAT(I$1,$E10))=1,COUNTIF(qPCR_Unique!$D$3:$D$118,_xlfn.CONCAT(I$1,$E10))=0),"Physicochemical",AND(COUNTIF(Physicochemical_Managed!$P$2:$P$207,_xlfn.CONCAT(I$1,$E10))=0,COUNTIF(qPCR_Unique!$D$3:$D$118,_xlfn.CONCAT(I$1,$E10))=1),"OPs",AND(COUNTIF(Physicochemical_Managed!$P$2:$P$207,_xlfn.CONCAT(I$1,$E10))=0,COUNTIF(qPCR_Unique!$D$3:$D$118,_xlfn.CONCAT(I$1,$E10))=0),"Not assayed")</f>
        <v>Not assayed</v>
      </c>
      <c r="J10" s="222" t="str" cm="1">
        <f t="array" ref="J10">_xlfn.IFS(AND(COUNTIF(Physicochemical_Managed!$P$2:$P$207,_xlfn.CONCAT(J$1,$E10))=1,COUNTIF(qPCR_Unique!$D$3:$D$118,_xlfn.CONCAT(J$1,$E10))=1),"Both",AND(COUNTIF(Physicochemical_Managed!$P$2:$P$207,_xlfn.CONCAT(J$1,$E10))=1,COUNTIF(qPCR_Unique!$D$3:$D$118,_xlfn.CONCAT(J$1,$E10))=0),"Physicochemical",AND(COUNTIF(Physicochemical_Managed!$P$2:$P$207,_xlfn.CONCAT(J$1,$E10))=0,COUNTIF(qPCR_Unique!$D$3:$D$118,_xlfn.CONCAT(J$1,$E10))=1),"OPs",AND(COUNTIF(Physicochemical_Managed!$P$2:$P$207,_xlfn.CONCAT(J$1,$E10))=0,COUNTIF(qPCR_Unique!$D$3:$D$118,_xlfn.CONCAT(J$1,$E10))=0),"Not assayed")</f>
        <v>Physicochemical</v>
      </c>
      <c r="K10" s="222" t="str" cm="1">
        <f t="array" ref="K10">_xlfn.IFS(AND(COUNTIF(Physicochemical_Managed!$P$2:$P$207,_xlfn.CONCAT(K$1,$E10))=1,COUNTIF(qPCR_Unique!$D$3:$D$118,_xlfn.CONCAT(K$1,$E10))=1),"Both",AND(COUNTIF(Physicochemical_Managed!$P$2:$P$207,_xlfn.CONCAT(K$1,$E10))=1,COUNTIF(qPCR_Unique!$D$3:$D$118,_xlfn.CONCAT(K$1,$E10))=0),"Physicochemical",AND(COUNTIF(Physicochemical_Managed!$P$2:$P$207,_xlfn.CONCAT(K$1,$E10))=0,COUNTIF(qPCR_Unique!$D$3:$D$118,_xlfn.CONCAT(K$1,$E10))=1),"OPs",AND(COUNTIF(Physicochemical_Managed!$P$2:$P$207,_xlfn.CONCAT(K$1,$E10))=0,COUNTIF(qPCR_Unique!$D$3:$D$118,_xlfn.CONCAT(K$1,$E10))=0),"Not assayed")</f>
        <v>Physicochemical</v>
      </c>
      <c r="L10" s="222" t="str" cm="1">
        <f t="array" ref="L10">_xlfn.IFS(AND(COUNTIF(Physicochemical_Managed!$P$2:$P$207,_xlfn.CONCAT(L$1,$E10))=1,COUNTIF(qPCR_Unique!$D$3:$D$118,_xlfn.CONCAT(L$1,$E10))=1),"Both",AND(COUNTIF(Physicochemical_Managed!$P$2:$P$207,_xlfn.CONCAT(L$1,$E10))=1,COUNTIF(qPCR_Unique!$D$3:$D$118,_xlfn.CONCAT(L$1,$E10))=0),"Physicochemical",AND(COUNTIF(Physicochemical_Managed!$P$2:$P$207,_xlfn.CONCAT(L$1,$E10))=0,COUNTIF(qPCR_Unique!$D$3:$D$118,_xlfn.CONCAT(L$1,$E10))=1),"OPs",AND(COUNTIF(Physicochemical_Managed!$P$2:$P$207,_xlfn.CONCAT(L$1,$E10))=0,COUNTIF(qPCR_Unique!$D$3:$D$118,_xlfn.CONCAT(L$1,$E10))=0),"Not assayed")</f>
        <v>Physicochemical</v>
      </c>
      <c r="M10" s="831" t="str" cm="1">
        <f t="array" ref="M10">_xlfn.IFS(AND(COUNTIF(Physicochemical_Managed!$P$2:$P$207,_xlfn.CONCAT(M$1,$E10))=1,COUNTIF(qPCR_Unique!$D$3:$D$118,_xlfn.CONCAT(M$1,$E10))=1),"Both",AND(COUNTIF(Physicochemical_Managed!$P$2:$P$207,_xlfn.CONCAT(M$1,$E10))=1,COUNTIF(qPCR_Unique!$D$3:$D$118,_xlfn.CONCAT(M$1,$E10))=0),"Physicochemical",AND(COUNTIF(Physicochemical_Managed!$P$2:$P$207,_xlfn.CONCAT(M$1,$E10))=0,COUNTIF(qPCR_Unique!$D$3:$D$118,_xlfn.CONCAT(M$1,$E10))=1),"OPs",AND(COUNTIF(Physicochemical_Managed!$P$2:$P$207,_xlfn.CONCAT(M$1,$E10))=0,COUNTIF(qPCR_Unique!$D$3:$D$118,_xlfn.CONCAT(M$1,$E10))=0),"Not assayed")</f>
        <v>Physicochemical</v>
      </c>
    </row>
    <row r="11" spans="1:13" s="191" customFormat="1" x14ac:dyDescent="0.3">
      <c r="A11" s="236" t="str">
        <f>Physicochemical_Managed!P11</f>
        <v>EP44363</v>
      </c>
      <c r="B11" s="238" t="str" cm="1">
        <f t="array" ref="B11">INDEX($A$2:$A$323,MATCH(0,COUNTIF($B$1:B10,$A$2:$A$323),0))</f>
        <v>EP44363</v>
      </c>
      <c r="C11" s="809">
        <f t="shared" si="0"/>
        <v>44363</v>
      </c>
      <c r="D11" s="832" cm="1">
        <f t="array" ref="D11">INDEX($C$2:$C$212,MATCH(0,COUNTIF($D$1:D10,$C$2:$C$212),0))</f>
        <v>44363</v>
      </c>
      <c r="E11" s="850">
        <v>44342</v>
      </c>
      <c r="F11" s="842" t="str" cm="1">
        <f t="array" ref="F11">_xlfn.IFS(AND(COUNTIF(Physicochemical_Managed!$P$2:$P$207,_xlfn.CONCAT(F$1,$E11))=1,COUNTIF(qPCR_Unique!$D$3:$D$118,_xlfn.CONCAT(F$1,$E11))=1),"Both",AND(COUNTIF(Physicochemical_Managed!$P$2:$P$207,_xlfn.CONCAT(F$1,$E11))=1,COUNTIF(qPCR_Unique!$D$3:$D$118,_xlfn.CONCAT(F$1,$E11))=0),"Physicochemical",AND(COUNTIF(Physicochemical_Managed!$P$2:$P$207,_xlfn.CONCAT(F$1,$E11))=0,COUNTIF(qPCR_Unique!$D$3:$D$118,_xlfn.CONCAT(F$1,$E11))=1),"OPs",AND(COUNTIF(Physicochemical_Managed!$P$2:$P$207,_xlfn.CONCAT(F$1,$E11))=0,COUNTIF(qPCR_Unique!$D$3:$D$118,_xlfn.CONCAT(F$1,$E11))=0),"Not assayed")</f>
        <v>Both</v>
      </c>
      <c r="G11" s="833" t="str" cm="1">
        <f t="array" ref="G11">_xlfn.IFS(AND(COUNTIF(Physicochemical_Managed!$P$2:$P$207,_xlfn.CONCAT(G$1,$E11))=1,COUNTIF(qPCR_Unique!$D$3:$D$118,_xlfn.CONCAT(G$1,$E11))=1),"Both",AND(COUNTIF(Physicochemical_Managed!$P$2:$P$207,_xlfn.CONCAT(G$1,$E11))=1,COUNTIF(qPCR_Unique!$D$3:$D$118,_xlfn.CONCAT(G$1,$E11))=0),"Physicochemical",AND(COUNTIF(Physicochemical_Managed!$P$2:$P$207,_xlfn.CONCAT(G$1,$E11))=0,COUNTIF(qPCR_Unique!$D$3:$D$118,_xlfn.CONCAT(G$1,$E11))=1),"OPs",AND(COUNTIF(Physicochemical_Managed!$P$2:$P$207,_xlfn.CONCAT(G$1,$E11))=0,COUNTIF(qPCR_Unique!$D$3:$D$118,_xlfn.CONCAT(G$1,$E11))=0),"Not assayed")</f>
        <v>Both</v>
      </c>
      <c r="H11" s="833" t="str" cm="1">
        <f t="array" ref="H11">_xlfn.IFS(AND(COUNTIF(Physicochemical_Managed!$P$2:$P$207,_xlfn.CONCAT(H$1,$E11))=1,COUNTIF(qPCR_Unique!$D$3:$D$118,_xlfn.CONCAT(H$1,$E11))=1),"Both",AND(COUNTIF(Physicochemical_Managed!$P$2:$P$207,_xlfn.CONCAT(H$1,$E11))=1,COUNTIF(qPCR_Unique!$D$3:$D$118,_xlfn.CONCAT(H$1,$E11))=0),"Physicochemical",AND(COUNTIF(Physicochemical_Managed!$P$2:$P$207,_xlfn.CONCAT(H$1,$E11))=0,COUNTIF(qPCR_Unique!$D$3:$D$118,_xlfn.CONCAT(H$1,$E11))=1),"OPs",AND(COUNTIF(Physicochemical_Managed!$P$2:$P$207,_xlfn.CONCAT(H$1,$E11))=0,COUNTIF(qPCR_Unique!$D$3:$D$118,_xlfn.CONCAT(H$1,$E11))=0),"Not assayed")</f>
        <v>Both</v>
      </c>
      <c r="I11" s="833" t="str" cm="1">
        <f t="array" ref="I11">_xlfn.IFS(AND(COUNTIF(Physicochemical_Managed!$P$2:$P$207,_xlfn.CONCAT(I$1,$E11))=1,COUNTIF(qPCR_Unique!$D$3:$D$118,_xlfn.CONCAT(I$1,$E11))=1),"Both",AND(COUNTIF(Physicochemical_Managed!$P$2:$P$207,_xlfn.CONCAT(I$1,$E11))=1,COUNTIF(qPCR_Unique!$D$3:$D$118,_xlfn.CONCAT(I$1,$E11))=0),"Physicochemical",AND(COUNTIF(Physicochemical_Managed!$P$2:$P$207,_xlfn.CONCAT(I$1,$E11))=0,COUNTIF(qPCR_Unique!$D$3:$D$118,_xlfn.CONCAT(I$1,$E11))=1),"OPs",AND(COUNTIF(Physicochemical_Managed!$P$2:$P$207,_xlfn.CONCAT(I$1,$E11))=0,COUNTIF(qPCR_Unique!$D$3:$D$118,_xlfn.CONCAT(I$1,$E11))=0),"Not assayed")</f>
        <v>Both</v>
      </c>
      <c r="J11" s="833" t="str" cm="1">
        <f t="array" ref="J11">_xlfn.IFS(AND(COUNTIF(Physicochemical_Managed!$P$2:$P$207,_xlfn.CONCAT(J$1,$E11))=1,COUNTIF(qPCR_Unique!$D$3:$D$118,_xlfn.CONCAT(J$1,$E11))=1),"Both",AND(COUNTIF(Physicochemical_Managed!$P$2:$P$207,_xlfn.CONCAT(J$1,$E11))=1,COUNTIF(qPCR_Unique!$D$3:$D$118,_xlfn.CONCAT(J$1,$E11))=0),"Physicochemical",AND(COUNTIF(Physicochemical_Managed!$P$2:$P$207,_xlfn.CONCAT(J$1,$E11))=0,COUNTIF(qPCR_Unique!$D$3:$D$118,_xlfn.CONCAT(J$1,$E11))=1),"OPs",AND(COUNTIF(Physicochemical_Managed!$P$2:$P$207,_xlfn.CONCAT(J$1,$E11))=0,COUNTIF(qPCR_Unique!$D$3:$D$118,_xlfn.CONCAT(J$1,$E11))=0),"Not assayed")</f>
        <v>Both</v>
      </c>
      <c r="K11" s="833" t="str" cm="1">
        <f t="array" ref="K11">_xlfn.IFS(AND(COUNTIF(Physicochemical_Managed!$P$2:$P$207,_xlfn.CONCAT(K$1,$E11))=1,COUNTIF(qPCR_Unique!$D$3:$D$118,_xlfn.CONCAT(K$1,$E11))=1),"Both",AND(COUNTIF(Physicochemical_Managed!$P$2:$P$207,_xlfn.CONCAT(K$1,$E11))=1,COUNTIF(qPCR_Unique!$D$3:$D$118,_xlfn.CONCAT(K$1,$E11))=0),"Physicochemical",AND(COUNTIF(Physicochemical_Managed!$P$2:$P$207,_xlfn.CONCAT(K$1,$E11))=0,COUNTIF(qPCR_Unique!$D$3:$D$118,_xlfn.CONCAT(K$1,$E11))=1),"OPs",AND(COUNTIF(Physicochemical_Managed!$P$2:$P$207,_xlfn.CONCAT(K$1,$E11))=0,COUNTIF(qPCR_Unique!$D$3:$D$118,_xlfn.CONCAT(K$1,$E11))=0),"Not assayed")</f>
        <v>Both</v>
      </c>
      <c r="L11" s="833" t="str" cm="1">
        <f t="array" ref="L11">_xlfn.IFS(AND(COUNTIF(Physicochemical_Managed!$P$2:$P$207,_xlfn.CONCAT(L$1,$E11))=1,COUNTIF(qPCR_Unique!$D$3:$D$118,_xlfn.CONCAT(L$1,$E11))=1),"Both",AND(COUNTIF(Physicochemical_Managed!$P$2:$P$207,_xlfn.CONCAT(L$1,$E11))=1,COUNTIF(qPCR_Unique!$D$3:$D$118,_xlfn.CONCAT(L$1,$E11))=0),"Physicochemical",AND(COUNTIF(Physicochemical_Managed!$P$2:$P$207,_xlfn.CONCAT(L$1,$E11))=0,COUNTIF(qPCR_Unique!$D$3:$D$118,_xlfn.CONCAT(L$1,$E11))=1),"OPs",AND(COUNTIF(Physicochemical_Managed!$P$2:$P$207,_xlfn.CONCAT(L$1,$E11))=0,COUNTIF(qPCR_Unique!$D$3:$D$118,_xlfn.CONCAT(L$1,$E11))=0),"Not assayed")</f>
        <v>Both</v>
      </c>
      <c r="M11" s="834" t="str" cm="1">
        <f t="array" ref="M11">_xlfn.IFS(AND(COUNTIF(Physicochemical_Managed!$P$2:$P$207,_xlfn.CONCAT(M$1,$E11))=1,COUNTIF(qPCR_Unique!$D$3:$D$118,_xlfn.CONCAT(M$1,$E11))=1),"Both",AND(COUNTIF(Physicochemical_Managed!$P$2:$P$207,_xlfn.CONCAT(M$1,$E11))=1,COUNTIF(qPCR_Unique!$D$3:$D$118,_xlfn.CONCAT(M$1,$E11))=0),"Physicochemical",AND(COUNTIF(Physicochemical_Managed!$P$2:$P$207,_xlfn.CONCAT(M$1,$E11))=0,COUNTIF(qPCR_Unique!$D$3:$D$118,_xlfn.CONCAT(M$1,$E11))=1),"OPs",AND(COUNTIF(Physicochemical_Managed!$P$2:$P$207,_xlfn.CONCAT(M$1,$E11))=0,COUNTIF(qPCR_Unique!$D$3:$D$118,_xlfn.CONCAT(M$1,$E11))=0),"Not assayed")</f>
        <v>Both</v>
      </c>
    </row>
    <row r="12" spans="1:13" s="191" customFormat="1" x14ac:dyDescent="0.3">
      <c r="A12" s="236" t="str">
        <f>Physicochemical_Managed!P12</f>
        <v>EP44370</v>
      </c>
      <c r="B12" s="238" t="str" cm="1">
        <f t="array" ref="B12">INDEX($A$2:$A$323,MATCH(0,COUNTIF($B$1:B11,$A$2:$A$323),0))</f>
        <v>EP44370</v>
      </c>
      <c r="C12" s="809">
        <f t="shared" si="0"/>
        <v>44370</v>
      </c>
      <c r="D12" s="827" cm="1">
        <f t="array" ref="D12">INDEX($C$2:$C$212,MATCH(0,COUNTIF($D$1:D11,$C$2:$C$212),0))</f>
        <v>44370</v>
      </c>
      <c r="E12" s="851">
        <v>44349</v>
      </c>
      <c r="F12" s="843" t="str" cm="1">
        <f t="array" ref="F12">_xlfn.IFS(AND(COUNTIF(Physicochemical_Managed!$P$2:$P$207,_xlfn.CONCAT(F$1,$E12))=1,COUNTIF(qPCR_Unique!$D$3:$D$118,_xlfn.CONCAT(F$1,$E12))=1),"Both",AND(COUNTIF(Physicochemical_Managed!$P$2:$P$207,_xlfn.CONCAT(F$1,$E12))=1,COUNTIF(qPCR_Unique!$D$3:$D$118,_xlfn.CONCAT(F$1,$E12))=0),"Physicochemical",AND(COUNTIF(Physicochemical_Managed!$P$2:$P$207,_xlfn.CONCAT(F$1,$E12))=0,COUNTIF(qPCR_Unique!$D$3:$D$118,_xlfn.CONCAT(F$1,$E12))=1),"OPs",AND(COUNTIF(Physicochemical_Managed!$P$2:$P$207,_xlfn.CONCAT(F$1,$E12))=0,COUNTIF(qPCR_Unique!$D$3:$D$118,_xlfn.CONCAT(F$1,$E12))=0),"Not assayed")</f>
        <v>Not assayed</v>
      </c>
      <c r="G12" s="828" t="str" cm="1">
        <f t="array" ref="G12">_xlfn.IFS(AND(COUNTIF(Physicochemical_Managed!$P$2:$P$207,_xlfn.CONCAT(G$1,$E12))=1,COUNTIF(qPCR_Unique!$D$3:$D$118,_xlfn.CONCAT(G$1,$E12))=1),"Both",AND(COUNTIF(Physicochemical_Managed!$P$2:$P$207,_xlfn.CONCAT(G$1,$E12))=1,COUNTIF(qPCR_Unique!$D$3:$D$118,_xlfn.CONCAT(G$1,$E12))=0),"Physicochemical",AND(COUNTIF(Physicochemical_Managed!$P$2:$P$207,_xlfn.CONCAT(G$1,$E12))=0,COUNTIF(qPCR_Unique!$D$3:$D$118,_xlfn.CONCAT(G$1,$E12))=1),"OPs",AND(COUNTIF(Physicochemical_Managed!$P$2:$P$207,_xlfn.CONCAT(G$1,$E12))=0,COUNTIF(qPCR_Unique!$D$3:$D$118,_xlfn.CONCAT(G$1,$E12))=0),"Not assayed")</f>
        <v>Not assayed</v>
      </c>
      <c r="H12" s="828" t="str" cm="1">
        <f t="array" ref="H12">_xlfn.IFS(AND(COUNTIF(Physicochemical_Managed!$P$2:$P$207,_xlfn.CONCAT(H$1,$E12))=1,COUNTIF(qPCR_Unique!$D$3:$D$118,_xlfn.CONCAT(H$1,$E12))=1),"Both",AND(COUNTIF(Physicochemical_Managed!$P$2:$P$207,_xlfn.CONCAT(H$1,$E12))=1,COUNTIF(qPCR_Unique!$D$3:$D$118,_xlfn.CONCAT(H$1,$E12))=0),"Physicochemical",AND(COUNTIF(Physicochemical_Managed!$P$2:$P$207,_xlfn.CONCAT(H$1,$E12))=0,COUNTIF(qPCR_Unique!$D$3:$D$118,_xlfn.CONCAT(H$1,$E12))=1),"OPs",AND(COUNTIF(Physicochemical_Managed!$P$2:$P$207,_xlfn.CONCAT(H$1,$E12))=0,COUNTIF(qPCR_Unique!$D$3:$D$118,_xlfn.CONCAT(H$1,$E12))=0),"Not assayed")</f>
        <v>Not assayed</v>
      </c>
      <c r="I12" s="828" t="str" cm="1">
        <f t="array" ref="I12">_xlfn.IFS(AND(COUNTIF(Physicochemical_Managed!$P$2:$P$207,_xlfn.CONCAT(I$1,$E12))=1,COUNTIF(qPCR_Unique!$D$3:$D$118,_xlfn.CONCAT(I$1,$E12))=1),"Both",AND(COUNTIF(Physicochemical_Managed!$P$2:$P$207,_xlfn.CONCAT(I$1,$E12))=1,COUNTIF(qPCR_Unique!$D$3:$D$118,_xlfn.CONCAT(I$1,$E12))=0),"Physicochemical",AND(COUNTIF(Physicochemical_Managed!$P$2:$P$207,_xlfn.CONCAT(I$1,$E12))=0,COUNTIF(qPCR_Unique!$D$3:$D$118,_xlfn.CONCAT(I$1,$E12))=1),"OPs",AND(COUNTIF(Physicochemical_Managed!$P$2:$P$207,_xlfn.CONCAT(I$1,$E12))=0,COUNTIF(qPCR_Unique!$D$3:$D$118,_xlfn.CONCAT(I$1,$E12))=0),"Not assayed")</f>
        <v>Not assayed</v>
      </c>
      <c r="J12" s="828" t="str" cm="1">
        <f t="array" ref="J12">_xlfn.IFS(AND(COUNTIF(Physicochemical_Managed!$P$2:$P$207,_xlfn.CONCAT(J$1,$E12))=1,COUNTIF(qPCR_Unique!$D$3:$D$118,_xlfn.CONCAT(J$1,$E12))=1),"Both",AND(COUNTIF(Physicochemical_Managed!$P$2:$P$207,_xlfn.CONCAT(J$1,$E12))=1,COUNTIF(qPCR_Unique!$D$3:$D$118,_xlfn.CONCAT(J$1,$E12))=0),"Physicochemical",AND(COUNTIF(Physicochemical_Managed!$P$2:$P$207,_xlfn.CONCAT(J$1,$E12))=0,COUNTIF(qPCR_Unique!$D$3:$D$118,_xlfn.CONCAT(J$1,$E12))=1),"OPs",AND(COUNTIF(Physicochemical_Managed!$P$2:$P$207,_xlfn.CONCAT(J$1,$E12))=0,COUNTIF(qPCR_Unique!$D$3:$D$118,_xlfn.CONCAT(J$1,$E12))=0),"Not assayed")</f>
        <v>Physicochemical</v>
      </c>
      <c r="K12" s="828" t="str" cm="1">
        <f t="array" ref="K12">_xlfn.IFS(AND(COUNTIF(Physicochemical_Managed!$P$2:$P$207,_xlfn.CONCAT(K$1,$E12))=1,COUNTIF(qPCR_Unique!$D$3:$D$118,_xlfn.CONCAT(K$1,$E12))=1),"Both",AND(COUNTIF(Physicochemical_Managed!$P$2:$P$207,_xlfn.CONCAT(K$1,$E12))=1,COUNTIF(qPCR_Unique!$D$3:$D$118,_xlfn.CONCAT(K$1,$E12))=0),"Physicochemical",AND(COUNTIF(Physicochemical_Managed!$P$2:$P$207,_xlfn.CONCAT(K$1,$E12))=0,COUNTIF(qPCR_Unique!$D$3:$D$118,_xlfn.CONCAT(K$1,$E12))=1),"OPs",AND(COUNTIF(Physicochemical_Managed!$P$2:$P$207,_xlfn.CONCAT(K$1,$E12))=0,COUNTIF(qPCR_Unique!$D$3:$D$118,_xlfn.CONCAT(K$1,$E12))=0),"Not assayed")</f>
        <v>Physicochemical</v>
      </c>
      <c r="L12" s="828" t="str" cm="1">
        <f t="array" ref="L12">_xlfn.IFS(AND(COUNTIF(Physicochemical_Managed!$P$2:$P$207,_xlfn.CONCAT(L$1,$E12))=1,COUNTIF(qPCR_Unique!$D$3:$D$118,_xlfn.CONCAT(L$1,$E12))=1),"Both",AND(COUNTIF(Physicochemical_Managed!$P$2:$P$207,_xlfn.CONCAT(L$1,$E12))=1,COUNTIF(qPCR_Unique!$D$3:$D$118,_xlfn.CONCAT(L$1,$E12))=0),"Physicochemical",AND(COUNTIF(Physicochemical_Managed!$P$2:$P$207,_xlfn.CONCAT(L$1,$E12))=0,COUNTIF(qPCR_Unique!$D$3:$D$118,_xlfn.CONCAT(L$1,$E12))=1),"OPs",AND(COUNTIF(Physicochemical_Managed!$P$2:$P$207,_xlfn.CONCAT(L$1,$E12))=0,COUNTIF(qPCR_Unique!$D$3:$D$118,_xlfn.CONCAT(L$1,$E12))=0),"Not assayed")</f>
        <v>Physicochemical</v>
      </c>
      <c r="M12" s="829" t="str" cm="1">
        <f t="array" ref="M12">_xlfn.IFS(AND(COUNTIF(Physicochemical_Managed!$P$2:$P$207,_xlfn.CONCAT(M$1,$E12))=1,COUNTIF(qPCR_Unique!$D$3:$D$118,_xlfn.CONCAT(M$1,$E12))=1),"Both",AND(COUNTIF(Physicochemical_Managed!$P$2:$P$207,_xlfn.CONCAT(M$1,$E12))=1,COUNTIF(qPCR_Unique!$D$3:$D$118,_xlfn.CONCAT(M$1,$E12))=0),"Physicochemical",AND(COUNTIF(Physicochemical_Managed!$P$2:$P$207,_xlfn.CONCAT(M$1,$E12))=0,COUNTIF(qPCR_Unique!$D$3:$D$118,_xlfn.CONCAT(M$1,$E12))=1),"OPs",AND(COUNTIF(Physicochemical_Managed!$P$2:$P$207,_xlfn.CONCAT(M$1,$E12))=0,COUNTIF(qPCR_Unique!$D$3:$D$118,_xlfn.CONCAT(M$1,$E12))=0),"Not assayed")</f>
        <v>Physicochemical</v>
      </c>
    </row>
    <row r="13" spans="1:13" s="191" customFormat="1" x14ac:dyDescent="0.3">
      <c r="A13" s="236" t="str">
        <f>Physicochemical_Managed!P13</f>
        <v>EP44377</v>
      </c>
      <c r="B13" s="238" t="str" cm="1">
        <f t="array" ref="B13">INDEX($A$2:$A$323,MATCH(0,COUNTIF($B$1:B12,$A$2:$A$323),0))</f>
        <v>EP44377</v>
      </c>
      <c r="C13" s="809">
        <f t="shared" si="0"/>
        <v>44377</v>
      </c>
      <c r="D13" s="827" cm="1">
        <f t="array" ref="D13">INDEX($C$2:$C$212,MATCH(0,COUNTIF($D$1:D12,$C$2:$C$212),0))</f>
        <v>44377</v>
      </c>
      <c r="E13" s="851">
        <v>44350</v>
      </c>
      <c r="F13" s="843" t="str" cm="1">
        <f t="array" ref="F13">_xlfn.IFS(AND(COUNTIF(Physicochemical_Managed!$P$2:$P$207,_xlfn.CONCAT(F$1,$E13))=1,COUNTIF(qPCR_Unique!$D$3:$D$118,_xlfn.CONCAT(F$1,$E13))=1),"Both",AND(COUNTIF(Physicochemical_Managed!$P$2:$P$207,_xlfn.CONCAT(F$1,$E13))=1,COUNTIF(qPCR_Unique!$D$3:$D$118,_xlfn.CONCAT(F$1,$E13))=0),"Physicochemical",AND(COUNTIF(Physicochemical_Managed!$P$2:$P$207,_xlfn.CONCAT(F$1,$E13))=0,COUNTIF(qPCR_Unique!$D$3:$D$118,_xlfn.CONCAT(F$1,$E13))=1),"OPs",AND(COUNTIF(Physicochemical_Managed!$P$2:$P$207,_xlfn.CONCAT(F$1,$E13))=0,COUNTIF(qPCR_Unique!$D$3:$D$118,_xlfn.CONCAT(F$1,$E13))=0),"Not assayed")</f>
        <v>Both</v>
      </c>
      <c r="G13" s="828" t="str" cm="1">
        <f t="array" ref="G13">_xlfn.IFS(AND(COUNTIF(Physicochemical_Managed!$P$2:$P$207,_xlfn.CONCAT(G$1,$E13))=1,COUNTIF(qPCR_Unique!$D$3:$D$118,_xlfn.CONCAT(G$1,$E13))=1),"Both",AND(COUNTIF(Physicochemical_Managed!$P$2:$P$207,_xlfn.CONCAT(G$1,$E13))=1,COUNTIF(qPCR_Unique!$D$3:$D$118,_xlfn.CONCAT(G$1,$E13))=0),"Physicochemical",AND(COUNTIF(Physicochemical_Managed!$P$2:$P$207,_xlfn.CONCAT(G$1,$E13))=0,COUNTIF(qPCR_Unique!$D$3:$D$118,_xlfn.CONCAT(G$1,$E13))=1),"OPs",AND(COUNTIF(Physicochemical_Managed!$P$2:$P$207,_xlfn.CONCAT(G$1,$E13))=0,COUNTIF(qPCR_Unique!$D$3:$D$118,_xlfn.CONCAT(G$1,$E13))=0),"Not assayed")</f>
        <v>OPs</v>
      </c>
      <c r="H13" s="828" t="str" cm="1">
        <f t="array" ref="H13">_xlfn.IFS(AND(COUNTIF(Physicochemical_Managed!$P$2:$P$207,_xlfn.CONCAT(H$1,$E13))=1,COUNTIF(qPCR_Unique!$D$3:$D$118,_xlfn.CONCAT(H$1,$E13))=1),"Both",AND(COUNTIF(Physicochemical_Managed!$P$2:$P$207,_xlfn.CONCAT(H$1,$E13))=1,COUNTIF(qPCR_Unique!$D$3:$D$118,_xlfn.CONCAT(H$1,$E13))=0),"Physicochemical",AND(COUNTIF(Physicochemical_Managed!$P$2:$P$207,_xlfn.CONCAT(H$1,$E13))=0,COUNTIF(qPCR_Unique!$D$3:$D$118,_xlfn.CONCAT(H$1,$E13))=1),"OPs",AND(COUNTIF(Physicochemical_Managed!$P$2:$P$207,_xlfn.CONCAT(H$1,$E13))=0,COUNTIF(qPCR_Unique!$D$3:$D$118,_xlfn.CONCAT(H$1,$E13))=0),"Not assayed")</f>
        <v>OPs</v>
      </c>
      <c r="I13" s="828" t="str" cm="1">
        <f t="array" ref="I13">_xlfn.IFS(AND(COUNTIF(Physicochemical_Managed!$P$2:$P$207,_xlfn.CONCAT(I$1,$E13))=1,COUNTIF(qPCR_Unique!$D$3:$D$118,_xlfn.CONCAT(I$1,$E13))=1),"Both",AND(COUNTIF(Physicochemical_Managed!$P$2:$P$207,_xlfn.CONCAT(I$1,$E13))=1,COUNTIF(qPCR_Unique!$D$3:$D$118,_xlfn.CONCAT(I$1,$E13))=0),"Physicochemical",AND(COUNTIF(Physicochemical_Managed!$P$2:$P$207,_xlfn.CONCAT(I$1,$E13))=0,COUNTIF(qPCR_Unique!$D$3:$D$118,_xlfn.CONCAT(I$1,$E13))=1),"OPs",AND(COUNTIF(Physicochemical_Managed!$P$2:$P$207,_xlfn.CONCAT(I$1,$E13))=0,COUNTIF(qPCR_Unique!$D$3:$D$118,_xlfn.CONCAT(I$1,$E13))=0),"Not assayed")</f>
        <v>OPs</v>
      </c>
      <c r="J13" s="828" t="str" cm="1">
        <f t="array" ref="J13">_xlfn.IFS(AND(COUNTIF(Physicochemical_Managed!$P$2:$P$207,_xlfn.CONCAT(J$1,$E13))=1,COUNTIF(qPCR_Unique!$D$3:$D$118,_xlfn.CONCAT(J$1,$E13))=1),"Both",AND(COUNTIF(Physicochemical_Managed!$P$2:$P$207,_xlfn.CONCAT(J$1,$E13))=1,COUNTIF(qPCR_Unique!$D$3:$D$118,_xlfn.CONCAT(J$1,$E13))=0),"Physicochemical",AND(COUNTIF(Physicochemical_Managed!$P$2:$P$207,_xlfn.CONCAT(J$1,$E13))=0,COUNTIF(qPCR_Unique!$D$3:$D$118,_xlfn.CONCAT(J$1,$E13))=1),"OPs",AND(COUNTIF(Physicochemical_Managed!$P$2:$P$207,_xlfn.CONCAT(J$1,$E13))=0,COUNTIF(qPCR_Unique!$D$3:$D$118,_xlfn.CONCAT(J$1,$E13))=0),"Not assayed")</f>
        <v>Both</v>
      </c>
      <c r="K13" s="828" t="str" cm="1">
        <f t="array" ref="K13">_xlfn.IFS(AND(COUNTIF(Physicochemical_Managed!$P$2:$P$207,_xlfn.CONCAT(K$1,$E13))=1,COUNTIF(qPCR_Unique!$D$3:$D$118,_xlfn.CONCAT(K$1,$E13))=1),"Both",AND(COUNTIF(Physicochemical_Managed!$P$2:$P$207,_xlfn.CONCAT(K$1,$E13))=1,COUNTIF(qPCR_Unique!$D$3:$D$118,_xlfn.CONCAT(K$1,$E13))=0),"Physicochemical",AND(COUNTIF(Physicochemical_Managed!$P$2:$P$207,_xlfn.CONCAT(K$1,$E13))=0,COUNTIF(qPCR_Unique!$D$3:$D$118,_xlfn.CONCAT(K$1,$E13))=1),"OPs",AND(COUNTIF(Physicochemical_Managed!$P$2:$P$207,_xlfn.CONCAT(K$1,$E13))=0,COUNTIF(qPCR_Unique!$D$3:$D$118,_xlfn.CONCAT(K$1,$E13))=0),"Not assayed")</f>
        <v>Both</v>
      </c>
      <c r="L13" s="828" t="str" cm="1">
        <f t="array" ref="L13">_xlfn.IFS(AND(COUNTIF(Physicochemical_Managed!$P$2:$P$207,_xlfn.CONCAT(L$1,$E13))=1,COUNTIF(qPCR_Unique!$D$3:$D$118,_xlfn.CONCAT(L$1,$E13))=1),"Both",AND(COUNTIF(Physicochemical_Managed!$P$2:$P$207,_xlfn.CONCAT(L$1,$E13))=1,COUNTIF(qPCR_Unique!$D$3:$D$118,_xlfn.CONCAT(L$1,$E13))=0),"Physicochemical",AND(COUNTIF(Physicochemical_Managed!$P$2:$P$207,_xlfn.CONCAT(L$1,$E13))=0,COUNTIF(qPCR_Unique!$D$3:$D$118,_xlfn.CONCAT(L$1,$E13))=1),"OPs",AND(COUNTIF(Physicochemical_Managed!$P$2:$P$207,_xlfn.CONCAT(L$1,$E13))=0,COUNTIF(qPCR_Unique!$D$3:$D$118,_xlfn.CONCAT(L$1,$E13))=0),"Not assayed")</f>
        <v>Both</v>
      </c>
      <c r="M13" s="829" t="str" cm="1">
        <f t="array" ref="M13">_xlfn.IFS(AND(COUNTIF(Physicochemical_Managed!$P$2:$P$207,_xlfn.CONCAT(M$1,$E13))=1,COUNTIF(qPCR_Unique!$D$3:$D$118,_xlfn.CONCAT(M$1,$E13))=1),"Both",AND(COUNTIF(Physicochemical_Managed!$P$2:$P$207,_xlfn.CONCAT(M$1,$E13))=1,COUNTIF(qPCR_Unique!$D$3:$D$118,_xlfn.CONCAT(M$1,$E13))=0),"Physicochemical",AND(COUNTIF(Physicochemical_Managed!$P$2:$P$207,_xlfn.CONCAT(M$1,$E13))=0,COUNTIF(qPCR_Unique!$D$3:$D$118,_xlfn.CONCAT(M$1,$E13))=1),"OPs",AND(COUNTIF(Physicochemical_Managed!$P$2:$P$207,_xlfn.CONCAT(M$1,$E13))=0,COUNTIF(qPCR_Unique!$D$3:$D$118,_xlfn.CONCAT(M$1,$E13))=0),"Not assayed")</f>
        <v>Both</v>
      </c>
    </row>
    <row r="14" spans="1:13" s="191" customFormat="1" x14ac:dyDescent="0.3">
      <c r="A14" s="236" t="str">
        <f>Physicochemical_Managed!P14</f>
        <v>EP44385</v>
      </c>
      <c r="B14" s="238" t="str" cm="1">
        <f t="array" ref="B14">INDEX($A$2:$A$323,MATCH(0,COUNTIF($B$1:B13,$A$2:$A$323),0))</f>
        <v>EP44385</v>
      </c>
      <c r="C14" s="809">
        <f t="shared" si="0"/>
        <v>44385</v>
      </c>
      <c r="D14" s="827" cm="1">
        <f t="array" ref="D14">INDEX($C$2:$C$212,MATCH(0,COUNTIF($D$1:D13,$C$2:$C$212),0))</f>
        <v>44385</v>
      </c>
      <c r="E14" s="851">
        <v>44355</v>
      </c>
      <c r="F14" s="843" t="str" cm="1">
        <f t="array" ref="F14">_xlfn.IFS(AND(COUNTIF(Physicochemical_Managed!$P$2:$P$207,_xlfn.CONCAT(F$1,$E14))=1,COUNTIF(qPCR_Unique!$D$3:$D$118,_xlfn.CONCAT(F$1,$E14))=1),"Both",AND(COUNTIF(Physicochemical_Managed!$P$2:$P$207,_xlfn.CONCAT(F$1,$E14))=1,COUNTIF(qPCR_Unique!$D$3:$D$118,_xlfn.CONCAT(F$1,$E14))=0),"Physicochemical",AND(COUNTIF(Physicochemical_Managed!$P$2:$P$207,_xlfn.CONCAT(F$1,$E14))=0,COUNTIF(qPCR_Unique!$D$3:$D$118,_xlfn.CONCAT(F$1,$E14))=1),"OPs",AND(COUNTIF(Physicochemical_Managed!$P$2:$P$207,_xlfn.CONCAT(F$1,$E14))=0,COUNTIF(qPCR_Unique!$D$3:$D$118,_xlfn.CONCAT(F$1,$E14))=0),"Not assayed")</f>
        <v>Not assayed</v>
      </c>
      <c r="G14" s="828" t="str" cm="1">
        <f t="array" ref="G14">_xlfn.IFS(AND(COUNTIF(Physicochemical_Managed!$P$2:$P$207,_xlfn.CONCAT(G$1,$E14))=1,COUNTIF(qPCR_Unique!$D$3:$D$118,_xlfn.CONCAT(G$1,$E14))=1),"Both",AND(COUNTIF(Physicochemical_Managed!$P$2:$P$207,_xlfn.CONCAT(G$1,$E14))=1,COUNTIF(qPCR_Unique!$D$3:$D$118,_xlfn.CONCAT(G$1,$E14))=0),"Physicochemical",AND(COUNTIF(Physicochemical_Managed!$P$2:$P$207,_xlfn.CONCAT(G$1,$E14))=0,COUNTIF(qPCR_Unique!$D$3:$D$118,_xlfn.CONCAT(G$1,$E14))=1),"OPs",AND(COUNTIF(Physicochemical_Managed!$P$2:$P$207,_xlfn.CONCAT(G$1,$E14))=0,COUNTIF(qPCR_Unique!$D$3:$D$118,_xlfn.CONCAT(G$1,$E14))=0),"Not assayed")</f>
        <v>Not assayed</v>
      </c>
      <c r="H14" s="828" t="str" cm="1">
        <f t="array" ref="H14">_xlfn.IFS(AND(COUNTIF(Physicochemical_Managed!$P$2:$P$207,_xlfn.CONCAT(H$1,$E14))=1,COUNTIF(qPCR_Unique!$D$3:$D$118,_xlfn.CONCAT(H$1,$E14))=1),"Both",AND(COUNTIF(Physicochemical_Managed!$P$2:$P$207,_xlfn.CONCAT(H$1,$E14))=1,COUNTIF(qPCR_Unique!$D$3:$D$118,_xlfn.CONCAT(H$1,$E14))=0),"Physicochemical",AND(COUNTIF(Physicochemical_Managed!$P$2:$P$207,_xlfn.CONCAT(H$1,$E14))=0,COUNTIF(qPCR_Unique!$D$3:$D$118,_xlfn.CONCAT(H$1,$E14))=1),"OPs",AND(COUNTIF(Physicochemical_Managed!$P$2:$P$207,_xlfn.CONCAT(H$1,$E14))=0,COUNTIF(qPCR_Unique!$D$3:$D$118,_xlfn.CONCAT(H$1,$E14))=0),"Not assayed")</f>
        <v>Not assayed</v>
      </c>
      <c r="I14" s="828" t="str" cm="1">
        <f t="array" ref="I14">_xlfn.IFS(AND(COUNTIF(Physicochemical_Managed!$P$2:$P$207,_xlfn.CONCAT(I$1,$E14))=1,COUNTIF(qPCR_Unique!$D$3:$D$118,_xlfn.CONCAT(I$1,$E14))=1),"Both",AND(COUNTIF(Physicochemical_Managed!$P$2:$P$207,_xlfn.CONCAT(I$1,$E14))=1,COUNTIF(qPCR_Unique!$D$3:$D$118,_xlfn.CONCAT(I$1,$E14))=0),"Physicochemical",AND(COUNTIF(Physicochemical_Managed!$P$2:$P$207,_xlfn.CONCAT(I$1,$E14))=0,COUNTIF(qPCR_Unique!$D$3:$D$118,_xlfn.CONCAT(I$1,$E14))=1),"OPs",AND(COUNTIF(Physicochemical_Managed!$P$2:$P$207,_xlfn.CONCAT(I$1,$E14))=0,COUNTIF(qPCR_Unique!$D$3:$D$118,_xlfn.CONCAT(I$1,$E14))=0),"Not assayed")</f>
        <v>Not assayed</v>
      </c>
      <c r="J14" s="828" t="str" cm="1">
        <f t="array" ref="J14">_xlfn.IFS(AND(COUNTIF(Physicochemical_Managed!$P$2:$P$207,_xlfn.CONCAT(J$1,$E14))=1,COUNTIF(qPCR_Unique!$D$3:$D$118,_xlfn.CONCAT(J$1,$E14))=1),"Both",AND(COUNTIF(Physicochemical_Managed!$P$2:$P$207,_xlfn.CONCAT(J$1,$E14))=1,COUNTIF(qPCR_Unique!$D$3:$D$118,_xlfn.CONCAT(J$1,$E14))=0),"Physicochemical",AND(COUNTIF(Physicochemical_Managed!$P$2:$P$207,_xlfn.CONCAT(J$1,$E14))=0,COUNTIF(qPCR_Unique!$D$3:$D$118,_xlfn.CONCAT(J$1,$E14))=1),"OPs",AND(COUNTIF(Physicochemical_Managed!$P$2:$P$207,_xlfn.CONCAT(J$1,$E14))=0,COUNTIF(qPCR_Unique!$D$3:$D$118,_xlfn.CONCAT(J$1,$E14))=0),"Not assayed")</f>
        <v>Physicochemical</v>
      </c>
      <c r="K14" s="828" t="str" cm="1">
        <f t="array" ref="K14">_xlfn.IFS(AND(COUNTIF(Physicochemical_Managed!$P$2:$P$207,_xlfn.CONCAT(K$1,$E14))=1,COUNTIF(qPCR_Unique!$D$3:$D$118,_xlfn.CONCAT(K$1,$E14))=1),"Both",AND(COUNTIF(Physicochemical_Managed!$P$2:$P$207,_xlfn.CONCAT(K$1,$E14))=1,COUNTIF(qPCR_Unique!$D$3:$D$118,_xlfn.CONCAT(K$1,$E14))=0),"Physicochemical",AND(COUNTIF(Physicochemical_Managed!$P$2:$P$207,_xlfn.CONCAT(K$1,$E14))=0,COUNTIF(qPCR_Unique!$D$3:$D$118,_xlfn.CONCAT(K$1,$E14))=1),"OPs",AND(COUNTIF(Physicochemical_Managed!$P$2:$P$207,_xlfn.CONCAT(K$1,$E14))=0,COUNTIF(qPCR_Unique!$D$3:$D$118,_xlfn.CONCAT(K$1,$E14))=0),"Not assayed")</f>
        <v>Physicochemical</v>
      </c>
      <c r="L14" s="828" t="str" cm="1">
        <f t="array" ref="L14">_xlfn.IFS(AND(COUNTIF(Physicochemical_Managed!$P$2:$P$207,_xlfn.CONCAT(L$1,$E14))=1,COUNTIF(qPCR_Unique!$D$3:$D$118,_xlfn.CONCAT(L$1,$E14))=1),"Both",AND(COUNTIF(Physicochemical_Managed!$P$2:$P$207,_xlfn.CONCAT(L$1,$E14))=1,COUNTIF(qPCR_Unique!$D$3:$D$118,_xlfn.CONCAT(L$1,$E14))=0),"Physicochemical",AND(COUNTIF(Physicochemical_Managed!$P$2:$P$207,_xlfn.CONCAT(L$1,$E14))=0,COUNTIF(qPCR_Unique!$D$3:$D$118,_xlfn.CONCAT(L$1,$E14))=1),"OPs",AND(COUNTIF(Physicochemical_Managed!$P$2:$P$207,_xlfn.CONCAT(L$1,$E14))=0,COUNTIF(qPCR_Unique!$D$3:$D$118,_xlfn.CONCAT(L$1,$E14))=0),"Not assayed")</f>
        <v>Physicochemical</v>
      </c>
      <c r="M14" s="829" t="str" cm="1">
        <f t="array" ref="M14">_xlfn.IFS(AND(COUNTIF(Physicochemical_Managed!$P$2:$P$207,_xlfn.CONCAT(M$1,$E14))=1,COUNTIF(qPCR_Unique!$D$3:$D$118,_xlfn.CONCAT(M$1,$E14))=1),"Both",AND(COUNTIF(Physicochemical_Managed!$P$2:$P$207,_xlfn.CONCAT(M$1,$E14))=1,COUNTIF(qPCR_Unique!$D$3:$D$118,_xlfn.CONCAT(M$1,$E14))=0),"Physicochemical",AND(COUNTIF(Physicochemical_Managed!$P$2:$P$207,_xlfn.CONCAT(M$1,$E14))=0,COUNTIF(qPCR_Unique!$D$3:$D$118,_xlfn.CONCAT(M$1,$E14))=1),"OPs",AND(COUNTIF(Physicochemical_Managed!$P$2:$P$207,_xlfn.CONCAT(M$1,$E14))=0,COUNTIF(qPCR_Unique!$D$3:$D$118,_xlfn.CONCAT(M$1,$E14))=0),"Not assayed")</f>
        <v>Not assayed</v>
      </c>
    </row>
    <row r="15" spans="1:13" s="191" customFormat="1" x14ac:dyDescent="0.3">
      <c r="A15" s="236" t="str">
        <f>Physicochemical_Managed!P15</f>
        <v>EP44391</v>
      </c>
      <c r="B15" s="238" t="str" cm="1">
        <f t="array" ref="B15">INDEX($A$2:$A$323,MATCH(0,COUNTIF($B$1:B14,$A$2:$A$323),0))</f>
        <v>EP44391</v>
      </c>
      <c r="C15" s="809">
        <f t="shared" si="0"/>
        <v>44391</v>
      </c>
      <c r="D15" s="827" cm="1">
        <f t="array" ref="D15">INDEX($C$2:$C$212,MATCH(0,COUNTIF($D$1:D14,$C$2:$C$212),0))</f>
        <v>44391</v>
      </c>
      <c r="E15" s="851">
        <v>44356</v>
      </c>
      <c r="F15" s="843" t="str" cm="1">
        <f t="array" ref="F15">_xlfn.IFS(AND(COUNTIF(Physicochemical_Managed!$P$2:$P$207,_xlfn.CONCAT(F$1,$E15))=1,COUNTIF(qPCR_Unique!$D$3:$D$118,_xlfn.CONCAT(F$1,$E15))=1),"Both",AND(COUNTIF(Physicochemical_Managed!$P$2:$P$207,_xlfn.CONCAT(F$1,$E15))=1,COUNTIF(qPCR_Unique!$D$3:$D$118,_xlfn.CONCAT(F$1,$E15))=0),"Physicochemical",AND(COUNTIF(Physicochemical_Managed!$P$2:$P$207,_xlfn.CONCAT(F$1,$E15))=0,COUNTIF(qPCR_Unique!$D$3:$D$118,_xlfn.CONCAT(F$1,$E15))=1),"OPs",AND(COUNTIF(Physicochemical_Managed!$P$2:$P$207,_xlfn.CONCAT(F$1,$E15))=0,COUNTIF(qPCR_Unique!$D$3:$D$118,_xlfn.CONCAT(F$1,$E15))=0),"Not assayed")</f>
        <v>Both</v>
      </c>
      <c r="G15" s="828" t="str" cm="1">
        <f t="array" ref="G15">_xlfn.IFS(AND(COUNTIF(Physicochemical_Managed!$P$2:$P$207,_xlfn.CONCAT(G$1,$E15))=1,COUNTIF(qPCR_Unique!$D$3:$D$118,_xlfn.CONCAT(G$1,$E15))=1),"Both",AND(COUNTIF(Physicochemical_Managed!$P$2:$P$207,_xlfn.CONCAT(G$1,$E15))=1,COUNTIF(qPCR_Unique!$D$3:$D$118,_xlfn.CONCAT(G$1,$E15))=0),"Physicochemical",AND(COUNTIF(Physicochemical_Managed!$P$2:$P$207,_xlfn.CONCAT(G$1,$E15))=0,COUNTIF(qPCR_Unique!$D$3:$D$118,_xlfn.CONCAT(G$1,$E15))=1),"OPs",AND(COUNTIF(Physicochemical_Managed!$P$2:$P$207,_xlfn.CONCAT(G$1,$E15))=0,COUNTIF(qPCR_Unique!$D$3:$D$118,_xlfn.CONCAT(G$1,$E15))=0),"Not assayed")</f>
        <v>Both</v>
      </c>
      <c r="H15" s="828" t="str" cm="1">
        <f t="array" ref="H15">_xlfn.IFS(AND(COUNTIF(Physicochemical_Managed!$P$2:$P$207,_xlfn.CONCAT(H$1,$E15))=1,COUNTIF(qPCR_Unique!$D$3:$D$118,_xlfn.CONCAT(H$1,$E15))=1),"Both",AND(COUNTIF(Physicochemical_Managed!$P$2:$P$207,_xlfn.CONCAT(H$1,$E15))=1,COUNTIF(qPCR_Unique!$D$3:$D$118,_xlfn.CONCAT(H$1,$E15))=0),"Physicochemical",AND(COUNTIF(Physicochemical_Managed!$P$2:$P$207,_xlfn.CONCAT(H$1,$E15))=0,COUNTIF(qPCR_Unique!$D$3:$D$118,_xlfn.CONCAT(H$1,$E15))=1),"OPs",AND(COUNTIF(Physicochemical_Managed!$P$2:$P$207,_xlfn.CONCAT(H$1,$E15))=0,COUNTIF(qPCR_Unique!$D$3:$D$118,_xlfn.CONCAT(H$1,$E15))=0),"Not assayed")</f>
        <v>Both</v>
      </c>
      <c r="I15" s="828" t="str" cm="1">
        <f t="array" ref="I15">_xlfn.IFS(AND(COUNTIF(Physicochemical_Managed!$P$2:$P$207,_xlfn.CONCAT(I$1,$E15))=1,COUNTIF(qPCR_Unique!$D$3:$D$118,_xlfn.CONCAT(I$1,$E15))=1),"Both",AND(COUNTIF(Physicochemical_Managed!$P$2:$P$207,_xlfn.CONCAT(I$1,$E15))=1,COUNTIF(qPCR_Unique!$D$3:$D$118,_xlfn.CONCAT(I$1,$E15))=0),"Physicochemical",AND(COUNTIF(Physicochemical_Managed!$P$2:$P$207,_xlfn.CONCAT(I$1,$E15))=0,COUNTIF(qPCR_Unique!$D$3:$D$118,_xlfn.CONCAT(I$1,$E15))=1),"OPs",AND(COUNTIF(Physicochemical_Managed!$P$2:$P$207,_xlfn.CONCAT(I$1,$E15))=0,COUNTIF(qPCR_Unique!$D$3:$D$118,_xlfn.CONCAT(I$1,$E15))=0),"Not assayed")</f>
        <v>Both</v>
      </c>
      <c r="J15" s="828" t="str" cm="1">
        <f t="array" ref="J15">_xlfn.IFS(AND(COUNTIF(Physicochemical_Managed!$P$2:$P$207,_xlfn.CONCAT(J$1,$E15))=1,COUNTIF(qPCR_Unique!$D$3:$D$118,_xlfn.CONCAT(J$1,$E15))=1),"Both",AND(COUNTIF(Physicochemical_Managed!$P$2:$P$207,_xlfn.CONCAT(J$1,$E15))=1,COUNTIF(qPCR_Unique!$D$3:$D$118,_xlfn.CONCAT(J$1,$E15))=0),"Physicochemical",AND(COUNTIF(Physicochemical_Managed!$P$2:$P$207,_xlfn.CONCAT(J$1,$E15))=0,COUNTIF(qPCR_Unique!$D$3:$D$118,_xlfn.CONCAT(J$1,$E15))=1),"OPs",AND(COUNTIF(Physicochemical_Managed!$P$2:$P$207,_xlfn.CONCAT(J$1,$E15))=0,COUNTIF(qPCR_Unique!$D$3:$D$118,_xlfn.CONCAT(J$1,$E15))=0),"Not assayed")</f>
        <v>Both</v>
      </c>
      <c r="K15" s="828" t="str" cm="1">
        <f t="array" ref="K15">_xlfn.IFS(AND(COUNTIF(Physicochemical_Managed!$P$2:$P$207,_xlfn.CONCAT(K$1,$E15))=1,COUNTIF(qPCR_Unique!$D$3:$D$118,_xlfn.CONCAT(K$1,$E15))=1),"Both",AND(COUNTIF(Physicochemical_Managed!$P$2:$P$207,_xlfn.CONCAT(K$1,$E15))=1,COUNTIF(qPCR_Unique!$D$3:$D$118,_xlfn.CONCAT(K$1,$E15))=0),"Physicochemical",AND(COUNTIF(Physicochemical_Managed!$P$2:$P$207,_xlfn.CONCAT(K$1,$E15))=0,COUNTIF(qPCR_Unique!$D$3:$D$118,_xlfn.CONCAT(K$1,$E15))=1),"OPs",AND(COUNTIF(Physicochemical_Managed!$P$2:$P$207,_xlfn.CONCAT(K$1,$E15))=0,COUNTIF(qPCR_Unique!$D$3:$D$118,_xlfn.CONCAT(K$1,$E15))=0),"Not assayed")</f>
        <v>Both</v>
      </c>
      <c r="L15" s="828" t="str" cm="1">
        <f t="array" ref="L15">_xlfn.IFS(AND(COUNTIF(Physicochemical_Managed!$P$2:$P$207,_xlfn.CONCAT(L$1,$E15))=1,COUNTIF(qPCR_Unique!$D$3:$D$118,_xlfn.CONCAT(L$1,$E15))=1),"Both",AND(COUNTIF(Physicochemical_Managed!$P$2:$P$207,_xlfn.CONCAT(L$1,$E15))=1,COUNTIF(qPCR_Unique!$D$3:$D$118,_xlfn.CONCAT(L$1,$E15))=0),"Physicochemical",AND(COUNTIF(Physicochemical_Managed!$P$2:$P$207,_xlfn.CONCAT(L$1,$E15))=0,COUNTIF(qPCR_Unique!$D$3:$D$118,_xlfn.CONCAT(L$1,$E15))=1),"OPs",AND(COUNTIF(Physicochemical_Managed!$P$2:$P$207,_xlfn.CONCAT(L$1,$E15))=0,COUNTIF(qPCR_Unique!$D$3:$D$118,_xlfn.CONCAT(L$1,$E15))=0),"Not assayed")</f>
        <v>Both</v>
      </c>
      <c r="M15" s="829" t="str" cm="1">
        <f t="array" ref="M15">_xlfn.IFS(AND(COUNTIF(Physicochemical_Managed!$P$2:$P$207,_xlfn.CONCAT(M$1,$E15))=1,COUNTIF(qPCR_Unique!$D$3:$D$118,_xlfn.CONCAT(M$1,$E15))=1),"Both",AND(COUNTIF(Physicochemical_Managed!$P$2:$P$207,_xlfn.CONCAT(M$1,$E15))=1,COUNTIF(qPCR_Unique!$D$3:$D$118,_xlfn.CONCAT(M$1,$E15))=0),"Physicochemical",AND(COUNTIF(Physicochemical_Managed!$P$2:$P$207,_xlfn.CONCAT(M$1,$E15))=0,COUNTIF(qPCR_Unique!$D$3:$D$118,_xlfn.CONCAT(M$1,$E15))=1),"OPs",AND(COUNTIF(Physicochemical_Managed!$P$2:$P$207,_xlfn.CONCAT(M$1,$E15))=0,COUNTIF(qPCR_Unique!$D$3:$D$118,_xlfn.CONCAT(M$1,$E15))=0),"Not assayed")</f>
        <v>Not assayed</v>
      </c>
    </row>
    <row r="16" spans="1:13" s="191" customFormat="1" ht="16.350000000000001" thickBot="1" x14ac:dyDescent="0.35">
      <c r="A16" s="236" t="str">
        <f>Physicochemical_Managed!P16</f>
        <v>EP44398</v>
      </c>
      <c r="B16" s="238" t="str" cm="1">
        <f t="array" ref="B16">INDEX($A$2:$A$323,MATCH(0,COUNTIF($B$1:B15,$A$2:$A$323),0))</f>
        <v>EP44398</v>
      </c>
      <c r="C16" s="809">
        <f t="shared" si="0"/>
        <v>44398</v>
      </c>
      <c r="D16" s="835" cm="1">
        <f t="array" ref="D16">INDEX($C$2:$C$212,MATCH(0,COUNTIF($D$1:D15,$C$2:$C$212),0))</f>
        <v>44398</v>
      </c>
      <c r="E16" s="852">
        <v>44362</v>
      </c>
      <c r="F16" s="844" t="str" cm="1">
        <f t="array" ref="F16">_xlfn.IFS(AND(COUNTIF(Physicochemical_Managed!$P$2:$P$207,_xlfn.CONCAT(F$1,$E16))=1,COUNTIF(qPCR_Unique!$D$3:$D$118,_xlfn.CONCAT(F$1,$E16))=1),"Both",AND(COUNTIF(Physicochemical_Managed!$P$2:$P$207,_xlfn.CONCAT(F$1,$E16))=1,COUNTIF(qPCR_Unique!$D$3:$D$118,_xlfn.CONCAT(F$1,$E16))=0),"Physicochemical",AND(COUNTIF(Physicochemical_Managed!$P$2:$P$207,_xlfn.CONCAT(F$1,$E16))=0,COUNTIF(qPCR_Unique!$D$3:$D$118,_xlfn.CONCAT(F$1,$E16))=1),"OPs",AND(COUNTIF(Physicochemical_Managed!$P$2:$P$207,_xlfn.CONCAT(F$1,$E16))=0,COUNTIF(qPCR_Unique!$D$3:$D$118,_xlfn.CONCAT(F$1,$E16))=0),"Not assayed")</f>
        <v>Not assayed</v>
      </c>
      <c r="G16" s="836" t="str" cm="1">
        <f t="array" ref="G16">_xlfn.IFS(AND(COUNTIF(Physicochemical_Managed!$P$2:$P$207,_xlfn.CONCAT(G$1,$E16))=1,COUNTIF(qPCR_Unique!$D$3:$D$118,_xlfn.CONCAT(G$1,$E16))=1),"Both",AND(COUNTIF(Physicochemical_Managed!$P$2:$P$207,_xlfn.CONCAT(G$1,$E16))=1,COUNTIF(qPCR_Unique!$D$3:$D$118,_xlfn.CONCAT(G$1,$E16))=0),"Physicochemical",AND(COUNTIF(Physicochemical_Managed!$P$2:$P$207,_xlfn.CONCAT(G$1,$E16))=0,COUNTIF(qPCR_Unique!$D$3:$D$118,_xlfn.CONCAT(G$1,$E16))=1),"OPs",AND(COUNTIF(Physicochemical_Managed!$P$2:$P$207,_xlfn.CONCAT(G$1,$E16))=0,COUNTIF(qPCR_Unique!$D$3:$D$118,_xlfn.CONCAT(G$1,$E16))=0),"Not assayed")</f>
        <v>Not assayed</v>
      </c>
      <c r="H16" s="836" t="str" cm="1">
        <f t="array" ref="H16">_xlfn.IFS(AND(COUNTIF(Physicochemical_Managed!$P$2:$P$207,_xlfn.CONCAT(H$1,$E16))=1,COUNTIF(qPCR_Unique!$D$3:$D$118,_xlfn.CONCAT(H$1,$E16))=1),"Both",AND(COUNTIF(Physicochemical_Managed!$P$2:$P$207,_xlfn.CONCAT(H$1,$E16))=1,COUNTIF(qPCR_Unique!$D$3:$D$118,_xlfn.CONCAT(H$1,$E16))=0),"Physicochemical",AND(COUNTIF(Physicochemical_Managed!$P$2:$P$207,_xlfn.CONCAT(H$1,$E16))=0,COUNTIF(qPCR_Unique!$D$3:$D$118,_xlfn.CONCAT(H$1,$E16))=1),"OPs",AND(COUNTIF(Physicochemical_Managed!$P$2:$P$207,_xlfn.CONCAT(H$1,$E16))=0,COUNTIF(qPCR_Unique!$D$3:$D$118,_xlfn.CONCAT(H$1,$E16))=0),"Not assayed")</f>
        <v>Not assayed</v>
      </c>
      <c r="I16" s="836" t="str" cm="1">
        <f t="array" ref="I16">_xlfn.IFS(AND(COUNTIF(Physicochemical_Managed!$P$2:$P$207,_xlfn.CONCAT(I$1,$E16))=1,COUNTIF(qPCR_Unique!$D$3:$D$118,_xlfn.CONCAT(I$1,$E16))=1),"Both",AND(COUNTIF(Physicochemical_Managed!$P$2:$P$207,_xlfn.CONCAT(I$1,$E16))=1,COUNTIF(qPCR_Unique!$D$3:$D$118,_xlfn.CONCAT(I$1,$E16))=0),"Physicochemical",AND(COUNTIF(Physicochemical_Managed!$P$2:$P$207,_xlfn.CONCAT(I$1,$E16))=0,COUNTIF(qPCR_Unique!$D$3:$D$118,_xlfn.CONCAT(I$1,$E16))=1),"OPs",AND(COUNTIF(Physicochemical_Managed!$P$2:$P$207,_xlfn.CONCAT(I$1,$E16))=0,COUNTIF(qPCR_Unique!$D$3:$D$118,_xlfn.CONCAT(I$1,$E16))=0),"Not assayed")</f>
        <v>Not assayed</v>
      </c>
      <c r="J16" s="836" t="str" cm="1">
        <f t="array" ref="J16">_xlfn.IFS(AND(COUNTIF(Physicochemical_Managed!$P$2:$P$207,_xlfn.CONCAT(J$1,$E16))=1,COUNTIF(qPCR_Unique!$D$3:$D$118,_xlfn.CONCAT(J$1,$E16))=1),"Both",AND(COUNTIF(Physicochemical_Managed!$P$2:$P$207,_xlfn.CONCAT(J$1,$E16))=1,COUNTIF(qPCR_Unique!$D$3:$D$118,_xlfn.CONCAT(J$1,$E16))=0),"Physicochemical",AND(COUNTIF(Physicochemical_Managed!$P$2:$P$207,_xlfn.CONCAT(J$1,$E16))=0,COUNTIF(qPCR_Unique!$D$3:$D$118,_xlfn.CONCAT(J$1,$E16))=1),"OPs",AND(COUNTIF(Physicochemical_Managed!$P$2:$P$207,_xlfn.CONCAT(J$1,$E16))=0,COUNTIF(qPCR_Unique!$D$3:$D$118,_xlfn.CONCAT(J$1,$E16))=0),"Not assayed")</f>
        <v>Physicochemical</v>
      </c>
      <c r="K16" s="836" t="str" cm="1">
        <f t="array" ref="K16">_xlfn.IFS(AND(COUNTIF(Physicochemical_Managed!$P$2:$P$207,_xlfn.CONCAT(K$1,$E16))=1,COUNTIF(qPCR_Unique!$D$3:$D$118,_xlfn.CONCAT(K$1,$E16))=1),"Both",AND(COUNTIF(Physicochemical_Managed!$P$2:$P$207,_xlfn.CONCAT(K$1,$E16))=1,COUNTIF(qPCR_Unique!$D$3:$D$118,_xlfn.CONCAT(K$1,$E16))=0),"Physicochemical",AND(COUNTIF(Physicochemical_Managed!$P$2:$P$207,_xlfn.CONCAT(K$1,$E16))=0,COUNTIF(qPCR_Unique!$D$3:$D$118,_xlfn.CONCAT(K$1,$E16))=1),"OPs",AND(COUNTIF(Physicochemical_Managed!$P$2:$P$207,_xlfn.CONCAT(K$1,$E16))=0,COUNTIF(qPCR_Unique!$D$3:$D$118,_xlfn.CONCAT(K$1,$E16))=0),"Not assayed")</f>
        <v>Physicochemical</v>
      </c>
      <c r="L16" s="836" t="str" cm="1">
        <f t="array" ref="L16">_xlfn.IFS(AND(COUNTIF(Physicochemical_Managed!$P$2:$P$207,_xlfn.CONCAT(L$1,$E16))=1,COUNTIF(qPCR_Unique!$D$3:$D$118,_xlfn.CONCAT(L$1,$E16))=1),"Both",AND(COUNTIF(Physicochemical_Managed!$P$2:$P$207,_xlfn.CONCAT(L$1,$E16))=1,COUNTIF(qPCR_Unique!$D$3:$D$118,_xlfn.CONCAT(L$1,$E16))=0),"Physicochemical",AND(COUNTIF(Physicochemical_Managed!$P$2:$P$207,_xlfn.CONCAT(L$1,$E16))=0,COUNTIF(qPCR_Unique!$D$3:$D$118,_xlfn.CONCAT(L$1,$E16))=1),"OPs",AND(COUNTIF(Physicochemical_Managed!$P$2:$P$207,_xlfn.CONCAT(L$1,$E16))=0,COUNTIF(qPCR_Unique!$D$3:$D$118,_xlfn.CONCAT(L$1,$E16))=0),"Not assayed")</f>
        <v>Physicochemical</v>
      </c>
      <c r="M16" s="837" t="str" cm="1">
        <f t="array" ref="M16">_xlfn.IFS(AND(COUNTIF(Physicochemical_Managed!$P$2:$P$207,_xlfn.CONCAT(M$1,$E16))=1,COUNTIF(qPCR_Unique!$D$3:$D$118,_xlfn.CONCAT(M$1,$E16))=1),"Both",AND(COUNTIF(Physicochemical_Managed!$P$2:$P$207,_xlfn.CONCAT(M$1,$E16))=1,COUNTIF(qPCR_Unique!$D$3:$D$118,_xlfn.CONCAT(M$1,$E16))=0),"Physicochemical",AND(COUNTIF(Physicochemical_Managed!$P$2:$P$207,_xlfn.CONCAT(M$1,$E16))=0,COUNTIF(qPCR_Unique!$D$3:$D$118,_xlfn.CONCAT(M$1,$E16))=1),"OPs",AND(COUNTIF(Physicochemical_Managed!$P$2:$P$207,_xlfn.CONCAT(M$1,$E16))=0,COUNTIF(qPCR_Unique!$D$3:$D$118,_xlfn.CONCAT(M$1,$E16))=0),"Not assayed")</f>
        <v>Physicochemical</v>
      </c>
    </row>
    <row r="17" spans="1:13" s="191" customFormat="1" x14ac:dyDescent="0.3">
      <c r="A17" s="236" t="str">
        <f>Physicochemical_Managed!P17</f>
        <v>EP44405</v>
      </c>
      <c r="B17" s="238" t="str" cm="1">
        <f t="array" ref="B17">INDEX($A$2:$A$323,MATCH(0,COUNTIF($B$1:B16,$A$2:$A$323),0))</f>
        <v>EP44405</v>
      </c>
      <c r="C17" s="809">
        <f t="shared" si="0"/>
        <v>44405</v>
      </c>
      <c r="D17" s="822" cm="1">
        <f t="array" ref="D17">INDEX($C$2:$C$212,MATCH(0,COUNTIF($D$1:D16,$C$2:$C$212),0))</f>
        <v>44405</v>
      </c>
      <c r="E17" s="847">
        <v>44363</v>
      </c>
      <c r="F17" s="839" t="str" cm="1">
        <f t="array" ref="F17">_xlfn.IFS(AND(COUNTIF(Physicochemical_Managed!$P$2:$P$207,_xlfn.CONCAT(F$1,$E17))=1,COUNTIF(qPCR_Unique!$D$3:$D$118,_xlfn.CONCAT(F$1,$E17))=1),"Both",AND(COUNTIF(Physicochemical_Managed!$P$2:$P$207,_xlfn.CONCAT(F$1,$E17))=1,COUNTIF(qPCR_Unique!$D$3:$D$118,_xlfn.CONCAT(F$1,$E17))=0),"Physicochemical",AND(COUNTIF(Physicochemical_Managed!$P$2:$P$207,_xlfn.CONCAT(F$1,$E17))=0,COUNTIF(qPCR_Unique!$D$3:$D$118,_xlfn.CONCAT(F$1,$E17))=1),"OPs",AND(COUNTIF(Physicochemical_Managed!$P$2:$P$207,_xlfn.CONCAT(F$1,$E17))=0,COUNTIF(qPCR_Unique!$D$3:$D$118,_xlfn.CONCAT(F$1,$E17))=0),"Not assayed")</f>
        <v>Both</v>
      </c>
      <c r="G17" s="211" t="str" cm="1">
        <f t="array" ref="G17">_xlfn.IFS(AND(COUNTIF(Physicochemical_Managed!$P$2:$P$207,_xlfn.CONCAT(G$1,$E17))=1,COUNTIF(qPCR_Unique!$D$3:$D$118,_xlfn.CONCAT(G$1,$E17))=1),"Both",AND(COUNTIF(Physicochemical_Managed!$P$2:$P$207,_xlfn.CONCAT(G$1,$E17))=1,COUNTIF(qPCR_Unique!$D$3:$D$118,_xlfn.CONCAT(G$1,$E17))=0),"Physicochemical",AND(COUNTIF(Physicochemical_Managed!$P$2:$P$207,_xlfn.CONCAT(G$1,$E17))=0,COUNTIF(qPCR_Unique!$D$3:$D$118,_xlfn.CONCAT(G$1,$E17))=1),"OPs",AND(COUNTIF(Physicochemical_Managed!$P$2:$P$207,_xlfn.CONCAT(G$1,$E17))=0,COUNTIF(qPCR_Unique!$D$3:$D$118,_xlfn.CONCAT(G$1,$E17))=0),"Not assayed")</f>
        <v>Not assayed</v>
      </c>
      <c r="H17" s="211" t="str" cm="1">
        <f t="array" ref="H17">_xlfn.IFS(AND(COUNTIF(Physicochemical_Managed!$P$2:$P$207,_xlfn.CONCAT(H$1,$E17))=1,COUNTIF(qPCR_Unique!$D$3:$D$118,_xlfn.CONCAT(H$1,$E17))=1),"Both",AND(COUNTIF(Physicochemical_Managed!$P$2:$P$207,_xlfn.CONCAT(H$1,$E17))=1,COUNTIF(qPCR_Unique!$D$3:$D$118,_xlfn.CONCAT(H$1,$E17))=0),"Physicochemical",AND(COUNTIF(Physicochemical_Managed!$P$2:$P$207,_xlfn.CONCAT(H$1,$E17))=0,COUNTIF(qPCR_Unique!$D$3:$D$118,_xlfn.CONCAT(H$1,$E17))=1),"OPs",AND(COUNTIF(Physicochemical_Managed!$P$2:$P$207,_xlfn.CONCAT(H$1,$E17))=0,COUNTIF(qPCR_Unique!$D$3:$D$118,_xlfn.CONCAT(H$1,$E17))=0),"Not assayed")</f>
        <v>Not assayed</v>
      </c>
      <c r="I17" s="211" t="str" cm="1">
        <f t="array" ref="I17">_xlfn.IFS(AND(COUNTIF(Physicochemical_Managed!$P$2:$P$207,_xlfn.CONCAT(I$1,$E17))=1,COUNTIF(qPCR_Unique!$D$3:$D$118,_xlfn.CONCAT(I$1,$E17))=1),"Both",AND(COUNTIF(Physicochemical_Managed!$P$2:$P$207,_xlfn.CONCAT(I$1,$E17))=1,COUNTIF(qPCR_Unique!$D$3:$D$118,_xlfn.CONCAT(I$1,$E17))=0),"Physicochemical",AND(COUNTIF(Physicochemical_Managed!$P$2:$P$207,_xlfn.CONCAT(I$1,$E17))=0,COUNTIF(qPCR_Unique!$D$3:$D$118,_xlfn.CONCAT(I$1,$E17))=1),"OPs",AND(COUNTIF(Physicochemical_Managed!$P$2:$P$207,_xlfn.CONCAT(I$1,$E17))=0,COUNTIF(qPCR_Unique!$D$3:$D$118,_xlfn.CONCAT(I$1,$E17))=0),"Not assayed")</f>
        <v>Both</v>
      </c>
      <c r="J17" s="211" t="str" cm="1">
        <f t="array" ref="J17">_xlfn.IFS(AND(COUNTIF(Physicochemical_Managed!$P$2:$P$207,_xlfn.CONCAT(J$1,$E17))=1,COUNTIF(qPCR_Unique!$D$3:$D$118,_xlfn.CONCAT(J$1,$E17))=1),"Both",AND(COUNTIF(Physicochemical_Managed!$P$2:$P$207,_xlfn.CONCAT(J$1,$E17))=1,COUNTIF(qPCR_Unique!$D$3:$D$118,_xlfn.CONCAT(J$1,$E17))=0),"Physicochemical",AND(COUNTIF(Physicochemical_Managed!$P$2:$P$207,_xlfn.CONCAT(J$1,$E17))=0,COUNTIF(qPCR_Unique!$D$3:$D$118,_xlfn.CONCAT(J$1,$E17))=1),"OPs",AND(COUNTIF(Physicochemical_Managed!$P$2:$P$207,_xlfn.CONCAT(J$1,$E17))=0,COUNTIF(qPCR_Unique!$D$3:$D$118,_xlfn.CONCAT(J$1,$E17))=0),"Not assayed")</f>
        <v>Both</v>
      </c>
      <c r="K17" s="211" t="str" cm="1">
        <f t="array" ref="K17">_xlfn.IFS(AND(COUNTIF(Physicochemical_Managed!$P$2:$P$207,_xlfn.CONCAT(K$1,$E17))=1,COUNTIF(qPCR_Unique!$D$3:$D$118,_xlfn.CONCAT(K$1,$E17))=1),"Both",AND(COUNTIF(Physicochemical_Managed!$P$2:$P$207,_xlfn.CONCAT(K$1,$E17))=1,COUNTIF(qPCR_Unique!$D$3:$D$118,_xlfn.CONCAT(K$1,$E17))=0),"Physicochemical",AND(COUNTIF(Physicochemical_Managed!$P$2:$P$207,_xlfn.CONCAT(K$1,$E17))=0,COUNTIF(qPCR_Unique!$D$3:$D$118,_xlfn.CONCAT(K$1,$E17))=1),"OPs",AND(COUNTIF(Physicochemical_Managed!$P$2:$P$207,_xlfn.CONCAT(K$1,$E17))=0,COUNTIF(qPCR_Unique!$D$3:$D$118,_xlfn.CONCAT(K$1,$E17))=0),"Not assayed")</f>
        <v>Both</v>
      </c>
      <c r="L17" s="211" t="str" cm="1">
        <f t="array" ref="L17">_xlfn.IFS(AND(COUNTIF(Physicochemical_Managed!$P$2:$P$207,_xlfn.CONCAT(L$1,$E17))=1,COUNTIF(qPCR_Unique!$D$3:$D$118,_xlfn.CONCAT(L$1,$E17))=1),"Both",AND(COUNTIF(Physicochemical_Managed!$P$2:$P$207,_xlfn.CONCAT(L$1,$E17))=1,COUNTIF(qPCR_Unique!$D$3:$D$118,_xlfn.CONCAT(L$1,$E17))=0),"Physicochemical",AND(COUNTIF(Physicochemical_Managed!$P$2:$P$207,_xlfn.CONCAT(L$1,$E17))=0,COUNTIF(qPCR_Unique!$D$3:$D$118,_xlfn.CONCAT(L$1,$E17))=1),"OPs",AND(COUNTIF(Physicochemical_Managed!$P$2:$P$207,_xlfn.CONCAT(L$1,$E17))=0,COUNTIF(qPCR_Unique!$D$3:$D$118,_xlfn.CONCAT(L$1,$E17))=0),"Not assayed")</f>
        <v>Both</v>
      </c>
      <c r="M17" s="823" t="str" cm="1">
        <f t="array" ref="M17">_xlfn.IFS(AND(COUNTIF(Physicochemical_Managed!$P$2:$P$207,_xlfn.CONCAT(M$1,$E17))=1,COUNTIF(qPCR_Unique!$D$3:$D$118,_xlfn.CONCAT(M$1,$E17))=1),"Both",AND(COUNTIF(Physicochemical_Managed!$P$2:$P$207,_xlfn.CONCAT(M$1,$E17))=1,COUNTIF(qPCR_Unique!$D$3:$D$118,_xlfn.CONCAT(M$1,$E17))=0),"Physicochemical",AND(COUNTIF(Physicochemical_Managed!$P$2:$P$207,_xlfn.CONCAT(M$1,$E17))=0,COUNTIF(qPCR_Unique!$D$3:$D$118,_xlfn.CONCAT(M$1,$E17))=1),"OPs",AND(COUNTIF(Physicochemical_Managed!$P$2:$P$207,_xlfn.CONCAT(M$1,$E17))=0,COUNTIF(qPCR_Unique!$D$3:$D$118,_xlfn.CONCAT(M$1,$E17))=0),"Not assayed")</f>
        <v>Both</v>
      </c>
    </row>
    <row r="18" spans="1:13" s="191" customFormat="1" x14ac:dyDescent="0.3">
      <c r="A18" s="236" t="str">
        <f>Physicochemical_Managed!P18</f>
        <v>EP44412</v>
      </c>
      <c r="B18" s="238" t="str" cm="1">
        <f t="array" ref="B18">INDEX($A$2:$A$323,MATCH(0,COUNTIF($B$1:B17,$A$2:$A$323),0))</f>
        <v>EP44412</v>
      </c>
      <c r="C18" s="809">
        <f t="shared" si="0"/>
        <v>44412</v>
      </c>
      <c r="D18" s="817" cm="1">
        <f t="array" ref="D18">INDEX($C$2:$C$212,MATCH(0,COUNTIF($D$1:D17,$C$2:$C$212),0))</f>
        <v>44412</v>
      </c>
      <c r="E18" s="848">
        <v>44364</v>
      </c>
      <c r="F18" s="840" t="str" cm="1">
        <f t="array" ref="F18">_xlfn.IFS(AND(COUNTIF(Physicochemical_Managed!$P$2:$P$207,_xlfn.CONCAT(F$1,$E18))=1,COUNTIF(qPCR_Unique!$D$3:$D$118,_xlfn.CONCAT(F$1,$E18))=1),"Both",AND(COUNTIF(Physicochemical_Managed!$P$2:$P$207,_xlfn.CONCAT(F$1,$E18))=1,COUNTIF(qPCR_Unique!$D$3:$D$118,_xlfn.CONCAT(F$1,$E18))=0),"Physicochemical",AND(COUNTIF(Physicochemical_Managed!$P$2:$P$207,_xlfn.CONCAT(F$1,$E18))=0,COUNTIF(qPCR_Unique!$D$3:$D$118,_xlfn.CONCAT(F$1,$E18))=1),"OPs",AND(COUNTIF(Physicochemical_Managed!$P$2:$P$207,_xlfn.CONCAT(F$1,$E18))=0,COUNTIF(qPCR_Unique!$D$3:$D$118,_xlfn.CONCAT(F$1,$E18))=0),"Not assayed")</f>
        <v>Not assayed</v>
      </c>
      <c r="G18" s="195" t="str" cm="1">
        <f t="array" ref="G18">_xlfn.IFS(AND(COUNTIF(Physicochemical_Managed!$P$2:$P$207,_xlfn.CONCAT(G$1,$E18))=1,COUNTIF(qPCR_Unique!$D$3:$D$118,_xlfn.CONCAT(G$1,$E18))=1),"Both",AND(COUNTIF(Physicochemical_Managed!$P$2:$P$207,_xlfn.CONCAT(G$1,$E18))=1,COUNTIF(qPCR_Unique!$D$3:$D$118,_xlfn.CONCAT(G$1,$E18))=0),"Physicochemical",AND(COUNTIF(Physicochemical_Managed!$P$2:$P$207,_xlfn.CONCAT(G$1,$E18))=0,COUNTIF(qPCR_Unique!$D$3:$D$118,_xlfn.CONCAT(G$1,$E18))=1),"OPs",AND(COUNTIF(Physicochemical_Managed!$P$2:$P$207,_xlfn.CONCAT(G$1,$E18))=0,COUNTIF(qPCR_Unique!$D$3:$D$118,_xlfn.CONCAT(G$1,$E18))=0),"Not assayed")</f>
        <v>Not assayed</v>
      </c>
      <c r="H18" s="195" t="str" cm="1">
        <f t="array" ref="H18">_xlfn.IFS(AND(COUNTIF(Physicochemical_Managed!$P$2:$P$207,_xlfn.CONCAT(H$1,$E18))=1,COUNTIF(qPCR_Unique!$D$3:$D$118,_xlfn.CONCAT(H$1,$E18))=1),"Both",AND(COUNTIF(Physicochemical_Managed!$P$2:$P$207,_xlfn.CONCAT(H$1,$E18))=1,COUNTIF(qPCR_Unique!$D$3:$D$118,_xlfn.CONCAT(H$1,$E18))=0),"Physicochemical",AND(COUNTIF(Physicochemical_Managed!$P$2:$P$207,_xlfn.CONCAT(H$1,$E18))=0,COUNTIF(qPCR_Unique!$D$3:$D$118,_xlfn.CONCAT(H$1,$E18))=1),"OPs",AND(COUNTIF(Physicochemical_Managed!$P$2:$P$207,_xlfn.CONCAT(H$1,$E18))=0,COUNTIF(qPCR_Unique!$D$3:$D$118,_xlfn.CONCAT(H$1,$E18))=0),"Not assayed")</f>
        <v>Not assayed</v>
      </c>
      <c r="I18" s="195" t="str" cm="1">
        <f t="array" ref="I18">_xlfn.IFS(AND(COUNTIF(Physicochemical_Managed!$P$2:$P$207,_xlfn.CONCAT(I$1,$E18))=1,COUNTIF(qPCR_Unique!$D$3:$D$118,_xlfn.CONCAT(I$1,$E18))=1),"Both",AND(COUNTIF(Physicochemical_Managed!$P$2:$P$207,_xlfn.CONCAT(I$1,$E18))=1,COUNTIF(qPCR_Unique!$D$3:$D$118,_xlfn.CONCAT(I$1,$E18))=0),"Physicochemical",AND(COUNTIF(Physicochemical_Managed!$P$2:$P$207,_xlfn.CONCAT(I$1,$E18))=0,COUNTIF(qPCR_Unique!$D$3:$D$118,_xlfn.CONCAT(I$1,$E18))=1),"OPs",AND(COUNTIF(Physicochemical_Managed!$P$2:$P$207,_xlfn.CONCAT(I$1,$E18))=0,COUNTIF(qPCR_Unique!$D$3:$D$118,_xlfn.CONCAT(I$1,$E18))=0),"Not assayed")</f>
        <v>Not assayed</v>
      </c>
      <c r="J18" s="195" t="str" cm="1">
        <f t="array" ref="J18">_xlfn.IFS(AND(COUNTIF(Physicochemical_Managed!$P$2:$P$207,_xlfn.CONCAT(J$1,$E18))=1,COUNTIF(qPCR_Unique!$D$3:$D$118,_xlfn.CONCAT(J$1,$E18))=1),"Both",AND(COUNTIF(Physicochemical_Managed!$P$2:$P$207,_xlfn.CONCAT(J$1,$E18))=1,COUNTIF(qPCR_Unique!$D$3:$D$118,_xlfn.CONCAT(J$1,$E18))=0),"Physicochemical",AND(COUNTIF(Physicochemical_Managed!$P$2:$P$207,_xlfn.CONCAT(J$1,$E18))=0,COUNTIF(qPCR_Unique!$D$3:$D$118,_xlfn.CONCAT(J$1,$E18))=1),"OPs",AND(COUNTIF(Physicochemical_Managed!$P$2:$P$207,_xlfn.CONCAT(J$1,$E18))=0,COUNTIF(qPCR_Unique!$D$3:$D$118,_xlfn.CONCAT(J$1,$E18))=0),"Not assayed")</f>
        <v>Not assayed</v>
      </c>
      <c r="K18" s="195" t="str" cm="1">
        <f t="array" ref="K18">_xlfn.IFS(AND(COUNTIF(Physicochemical_Managed!$P$2:$P$207,_xlfn.CONCAT(K$1,$E18))=1,COUNTIF(qPCR_Unique!$D$3:$D$118,_xlfn.CONCAT(K$1,$E18))=1),"Both",AND(COUNTIF(Physicochemical_Managed!$P$2:$P$207,_xlfn.CONCAT(K$1,$E18))=1,COUNTIF(qPCR_Unique!$D$3:$D$118,_xlfn.CONCAT(K$1,$E18))=0),"Physicochemical",AND(COUNTIF(Physicochemical_Managed!$P$2:$P$207,_xlfn.CONCAT(K$1,$E18))=0,COUNTIF(qPCR_Unique!$D$3:$D$118,_xlfn.CONCAT(K$1,$E18))=1),"OPs",AND(COUNTIF(Physicochemical_Managed!$P$2:$P$207,_xlfn.CONCAT(K$1,$E18))=0,COUNTIF(qPCR_Unique!$D$3:$D$118,_xlfn.CONCAT(K$1,$E18))=0),"Not assayed")</f>
        <v>Physicochemical</v>
      </c>
      <c r="L18" s="195" t="str" cm="1">
        <f t="array" ref="L18">_xlfn.IFS(AND(COUNTIF(Physicochemical_Managed!$P$2:$P$207,_xlfn.CONCAT(L$1,$E18))=1,COUNTIF(qPCR_Unique!$D$3:$D$118,_xlfn.CONCAT(L$1,$E18))=1),"Both",AND(COUNTIF(Physicochemical_Managed!$P$2:$P$207,_xlfn.CONCAT(L$1,$E18))=1,COUNTIF(qPCR_Unique!$D$3:$D$118,_xlfn.CONCAT(L$1,$E18))=0),"Physicochemical",AND(COUNTIF(Physicochemical_Managed!$P$2:$P$207,_xlfn.CONCAT(L$1,$E18))=0,COUNTIF(qPCR_Unique!$D$3:$D$118,_xlfn.CONCAT(L$1,$E18))=1),"OPs",AND(COUNTIF(Physicochemical_Managed!$P$2:$P$207,_xlfn.CONCAT(L$1,$E18))=0,COUNTIF(qPCR_Unique!$D$3:$D$118,_xlfn.CONCAT(L$1,$E18))=0),"Not assayed")</f>
        <v>Not assayed</v>
      </c>
      <c r="M18" s="818" t="str" cm="1">
        <f t="array" ref="M18">_xlfn.IFS(AND(COUNTIF(Physicochemical_Managed!$P$2:$P$207,_xlfn.CONCAT(M$1,$E18))=1,COUNTIF(qPCR_Unique!$D$3:$D$118,_xlfn.CONCAT(M$1,$E18))=1),"Both",AND(COUNTIF(Physicochemical_Managed!$P$2:$P$207,_xlfn.CONCAT(M$1,$E18))=1,COUNTIF(qPCR_Unique!$D$3:$D$118,_xlfn.CONCAT(M$1,$E18))=0),"Physicochemical",AND(COUNTIF(Physicochemical_Managed!$P$2:$P$207,_xlfn.CONCAT(M$1,$E18))=0,COUNTIF(qPCR_Unique!$D$3:$D$118,_xlfn.CONCAT(M$1,$E18))=1),"OPs",AND(COUNTIF(Physicochemical_Managed!$P$2:$P$207,_xlfn.CONCAT(M$1,$E18))=0,COUNTIF(qPCR_Unique!$D$3:$D$118,_xlfn.CONCAT(M$1,$E18))=0),"Not assayed")</f>
        <v>Not assayed</v>
      </c>
    </row>
    <row r="19" spans="1:13" s="191" customFormat="1" x14ac:dyDescent="0.3">
      <c r="A19" s="236" t="str">
        <f>Physicochemical_Managed!P19</f>
        <v>EP44419</v>
      </c>
      <c r="B19" s="238" t="str" cm="1">
        <f t="array" ref="B19">INDEX($A$2:$A$323,MATCH(0,COUNTIF($B$1:B18,$A$2:$A$323),0))</f>
        <v>EP44419</v>
      </c>
      <c r="C19" s="809">
        <f t="shared" si="0"/>
        <v>44419</v>
      </c>
      <c r="D19" s="817" cm="1">
        <f t="array" ref="D19">INDEX($C$2:$C$212,MATCH(0,COUNTIF($D$1:D18,$C$2:$C$212),0))</f>
        <v>44419</v>
      </c>
      <c r="E19" s="848">
        <v>44369</v>
      </c>
      <c r="F19" s="840" t="str" cm="1">
        <f t="array" ref="F19">_xlfn.IFS(AND(COUNTIF(Physicochemical_Managed!$P$2:$P$207,_xlfn.CONCAT(F$1,$E19))=1,COUNTIF(qPCR_Unique!$D$3:$D$118,_xlfn.CONCAT(F$1,$E19))=1),"Both",AND(COUNTIF(Physicochemical_Managed!$P$2:$P$207,_xlfn.CONCAT(F$1,$E19))=1,COUNTIF(qPCR_Unique!$D$3:$D$118,_xlfn.CONCAT(F$1,$E19))=0),"Physicochemical",AND(COUNTIF(Physicochemical_Managed!$P$2:$P$207,_xlfn.CONCAT(F$1,$E19))=0,COUNTIF(qPCR_Unique!$D$3:$D$118,_xlfn.CONCAT(F$1,$E19))=1),"OPs",AND(COUNTIF(Physicochemical_Managed!$P$2:$P$207,_xlfn.CONCAT(F$1,$E19))=0,COUNTIF(qPCR_Unique!$D$3:$D$118,_xlfn.CONCAT(F$1,$E19))=0),"Not assayed")</f>
        <v>Not assayed</v>
      </c>
      <c r="G19" s="195" t="str" cm="1">
        <f t="array" ref="G19">_xlfn.IFS(AND(COUNTIF(Physicochemical_Managed!$P$2:$P$207,_xlfn.CONCAT(G$1,$E19))=1,COUNTIF(qPCR_Unique!$D$3:$D$118,_xlfn.CONCAT(G$1,$E19))=1),"Both",AND(COUNTIF(Physicochemical_Managed!$P$2:$P$207,_xlfn.CONCAT(G$1,$E19))=1,COUNTIF(qPCR_Unique!$D$3:$D$118,_xlfn.CONCAT(G$1,$E19))=0),"Physicochemical",AND(COUNTIF(Physicochemical_Managed!$P$2:$P$207,_xlfn.CONCAT(G$1,$E19))=0,COUNTIF(qPCR_Unique!$D$3:$D$118,_xlfn.CONCAT(G$1,$E19))=1),"OPs",AND(COUNTIF(Physicochemical_Managed!$P$2:$P$207,_xlfn.CONCAT(G$1,$E19))=0,COUNTIF(qPCR_Unique!$D$3:$D$118,_xlfn.CONCAT(G$1,$E19))=0),"Not assayed")</f>
        <v>Not assayed</v>
      </c>
      <c r="H19" s="195" t="str" cm="1">
        <f t="array" ref="H19">_xlfn.IFS(AND(COUNTIF(Physicochemical_Managed!$P$2:$P$207,_xlfn.CONCAT(H$1,$E19))=1,COUNTIF(qPCR_Unique!$D$3:$D$118,_xlfn.CONCAT(H$1,$E19))=1),"Both",AND(COUNTIF(Physicochemical_Managed!$P$2:$P$207,_xlfn.CONCAT(H$1,$E19))=1,COUNTIF(qPCR_Unique!$D$3:$D$118,_xlfn.CONCAT(H$1,$E19))=0),"Physicochemical",AND(COUNTIF(Physicochemical_Managed!$P$2:$P$207,_xlfn.CONCAT(H$1,$E19))=0,COUNTIF(qPCR_Unique!$D$3:$D$118,_xlfn.CONCAT(H$1,$E19))=1),"OPs",AND(COUNTIF(Physicochemical_Managed!$P$2:$P$207,_xlfn.CONCAT(H$1,$E19))=0,COUNTIF(qPCR_Unique!$D$3:$D$118,_xlfn.CONCAT(H$1,$E19))=0),"Not assayed")</f>
        <v>Not assayed</v>
      </c>
      <c r="I19" s="195" t="str" cm="1">
        <f t="array" ref="I19">_xlfn.IFS(AND(COUNTIF(Physicochemical_Managed!$P$2:$P$207,_xlfn.CONCAT(I$1,$E19))=1,COUNTIF(qPCR_Unique!$D$3:$D$118,_xlfn.CONCAT(I$1,$E19))=1),"Both",AND(COUNTIF(Physicochemical_Managed!$P$2:$P$207,_xlfn.CONCAT(I$1,$E19))=1,COUNTIF(qPCR_Unique!$D$3:$D$118,_xlfn.CONCAT(I$1,$E19))=0),"Physicochemical",AND(COUNTIF(Physicochemical_Managed!$P$2:$P$207,_xlfn.CONCAT(I$1,$E19))=0,COUNTIF(qPCR_Unique!$D$3:$D$118,_xlfn.CONCAT(I$1,$E19))=1),"OPs",AND(COUNTIF(Physicochemical_Managed!$P$2:$P$207,_xlfn.CONCAT(I$1,$E19))=0,COUNTIF(qPCR_Unique!$D$3:$D$118,_xlfn.CONCAT(I$1,$E19))=0),"Not assayed")</f>
        <v>Not assayed</v>
      </c>
      <c r="J19" s="195" t="str" cm="1">
        <f t="array" ref="J19">_xlfn.IFS(AND(COUNTIF(Physicochemical_Managed!$P$2:$P$207,_xlfn.CONCAT(J$1,$E19))=1,COUNTIF(qPCR_Unique!$D$3:$D$118,_xlfn.CONCAT(J$1,$E19))=1),"Both",AND(COUNTIF(Physicochemical_Managed!$P$2:$P$207,_xlfn.CONCAT(J$1,$E19))=1,COUNTIF(qPCR_Unique!$D$3:$D$118,_xlfn.CONCAT(J$1,$E19))=0),"Physicochemical",AND(COUNTIF(Physicochemical_Managed!$P$2:$P$207,_xlfn.CONCAT(J$1,$E19))=0,COUNTIF(qPCR_Unique!$D$3:$D$118,_xlfn.CONCAT(J$1,$E19))=1),"OPs",AND(COUNTIF(Physicochemical_Managed!$P$2:$P$207,_xlfn.CONCAT(J$1,$E19))=0,COUNTIF(qPCR_Unique!$D$3:$D$118,_xlfn.CONCAT(J$1,$E19))=0),"Not assayed")</f>
        <v>Physicochemical</v>
      </c>
      <c r="K19" s="195" t="str" cm="1">
        <f t="array" ref="K19">_xlfn.IFS(AND(COUNTIF(Physicochemical_Managed!$P$2:$P$207,_xlfn.CONCAT(K$1,$E19))=1,COUNTIF(qPCR_Unique!$D$3:$D$118,_xlfn.CONCAT(K$1,$E19))=1),"Both",AND(COUNTIF(Physicochemical_Managed!$P$2:$P$207,_xlfn.CONCAT(K$1,$E19))=1,COUNTIF(qPCR_Unique!$D$3:$D$118,_xlfn.CONCAT(K$1,$E19))=0),"Physicochemical",AND(COUNTIF(Physicochemical_Managed!$P$2:$P$207,_xlfn.CONCAT(K$1,$E19))=0,COUNTIF(qPCR_Unique!$D$3:$D$118,_xlfn.CONCAT(K$1,$E19))=1),"OPs",AND(COUNTIF(Physicochemical_Managed!$P$2:$P$207,_xlfn.CONCAT(K$1,$E19))=0,COUNTIF(qPCR_Unique!$D$3:$D$118,_xlfn.CONCAT(K$1,$E19))=0),"Not assayed")</f>
        <v>Physicochemical</v>
      </c>
      <c r="L19" s="195" t="str" cm="1">
        <f t="array" ref="L19">_xlfn.IFS(AND(COUNTIF(Physicochemical_Managed!$P$2:$P$207,_xlfn.CONCAT(L$1,$E19))=1,COUNTIF(qPCR_Unique!$D$3:$D$118,_xlfn.CONCAT(L$1,$E19))=1),"Both",AND(COUNTIF(Physicochemical_Managed!$P$2:$P$207,_xlfn.CONCAT(L$1,$E19))=1,COUNTIF(qPCR_Unique!$D$3:$D$118,_xlfn.CONCAT(L$1,$E19))=0),"Physicochemical",AND(COUNTIF(Physicochemical_Managed!$P$2:$P$207,_xlfn.CONCAT(L$1,$E19))=0,COUNTIF(qPCR_Unique!$D$3:$D$118,_xlfn.CONCAT(L$1,$E19))=1),"OPs",AND(COUNTIF(Physicochemical_Managed!$P$2:$P$207,_xlfn.CONCAT(L$1,$E19))=0,COUNTIF(qPCR_Unique!$D$3:$D$118,_xlfn.CONCAT(L$1,$E19))=0),"Not assayed")</f>
        <v>Physicochemical</v>
      </c>
      <c r="M19" s="818" t="str" cm="1">
        <f t="array" ref="M19">_xlfn.IFS(AND(COUNTIF(Physicochemical_Managed!$P$2:$P$207,_xlfn.CONCAT(M$1,$E19))=1,COUNTIF(qPCR_Unique!$D$3:$D$118,_xlfn.CONCAT(M$1,$E19))=1),"Both",AND(COUNTIF(Physicochemical_Managed!$P$2:$P$207,_xlfn.CONCAT(M$1,$E19))=1,COUNTIF(qPCR_Unique!$D$3:$D$118,_xlfn.CONCAT(M$1,$E19))=0),"Physicochemical",AND(COUNTIF(Physicochemical_Managed!$P$2:$P$207,_xlfn.CONCAT(M$1,$E19))=0,COUNTIF(qPCR_Unique!$D$3:$D$118,_xlfn.CONCAT(M$1,$E19))=1),"OPs",AND(COUNTIF(Physicochemical_Managed!$P$2:$P$207,_xlfn.CONCAT(M$1,$E19))=0,COUNTIF(qPCR_Unique!$D$3:$D$118,_xlfn.CONCAT(M$1,$E19))=0),"Not assayed")</f>
        <v>Physicochemical</v>
      </c>
    </row>
    <row r="20" spans="1:13" s="191" customFormat="1" x14ac:dyDescent="0.3">
      <c r="A20" s="236" t="str">
        <f>Physicochemical_Managed!P20</f>
        <v>EP44426</v>
      </c>
      <c r="B20" s="238" t="str" cm="1">
        <f t="array" ref="B20">INDEX($A$2:$A$323,MATCH(0,COUNTIF($B$1:B19,$A$2:$A$323),0))</f>
        <v>EP44426</v>
      </c>
      <c r="C20" s="809">
        <f t="shared" si="0"/>
        <v>44426</v>
      </c>
      <c r="D20" s="817" cm="1">
        <f t="array" ref="D20">INDEX($C$2:$C$212,MATCH(0,COUNTIF($D$1:D19,$C$2:$C$212),0))</f>
        <v>44426</v>
      </c>
      <c r="E20" s="848">
        <v>44370</v>
      </c>
      <c r="F20" s="840" t="str" cm="1">
        <f t="array" ref="F20">_xlfn.IFS(AND(COUNTIF(Physicochemical_Managed!$P$2:$P$207,_xlfn.CONCAT(F$1,$E20))=1,COUNTIF(qPCR_Unique!$D$3:$D$118,_xlfn.CONCAT(F$1,$E20))=1),"Both",AND(COUNTIF(Physicochemical_Managed!$P$2:$P$207,_xlfn.CONCAT(F$1,$E20))=1,COUNTIF(qPCR_Unique!$D$3:$D$118,_xlfn.CONCAT(F$1,$E20))=0),"Physicochemical",AND(COUNTIF(Physicochemical_Managed!$P$2:$P$207,_xlfn.CONCAT(F$1,$E20))=0,COUNTIF(qPCR_Unique!$D$3:$D$118,_xlfn.CONCAT(F$1,$E20))=1),"OPs",AND(COUNTIF(Physicochemical_Managed!$P$2:$P$207,_xlfn.CONCAT(F$1,$E20))=0,COUNTIF(qPCR_Unique!$D$3:$D$118,_xlfn.CONCAT(F$1,$E20))=0),"Not assayed")</f>
        <v>Both</v>
      </c>
      <c r="G20" s="195" t="str" cm="1">
        <f t="array" ref="G20">_xlfn.IFS(AND(COUNTIF(Physicochemical_Managed!$P$2:$P$207,_xlfn.CONCAT(G$1,$E20))=1,COUNTIF(qPCR_Unique!$D$3:$D$118,_xlfn.CONCAT(G$1,$E20))=1),"Both",AND(COUNTIF(Physicochemical_Managed!$P$2:$P$207,_xlfn.CONCAT(G$1,$E20))=1,COUNTIF(qPCR_Unique!$D$3:$D$118,_xlfn.CONCAT(G$1,$E20))=0),"Physicochemical",AND(COUNTIF(Physicochemical_Managed!$P$2:$P$207,_xlfn.CONCAT(G$1,$E20))=0,COUNTIF(qPCR_Unique!$D$3:$D$118,_xlfn.CONCAT(G$1,$E20))=1),"OPs",AND(COUNTIF(Physicochemical_Managed!$P$2:$P$207,_xlfn.CONCAT(G$1,$E20))=0,COUNTIF(qPCR_Unique!$D$3:$D$118,_xlfn.CONCAT(G$1,$E20))=0),"Not assayed")</f>
        <v>Both</v>
      </c>
      <c r="H20" s="195" t="str" cm="1">
        <f t="array" ref="H20">_xlfn.IFS(AND(COUNTIF(Physicochemical_Managed!$P$2:$P$207,_xlfn.CONCAT(H$1,$E20))=1,COUNTIF(qPCR_Unique!$D$3:$D$118,_xlfn.CONCAT(H$1,$E20))=1),"Both",AND(COUNTIF(Physicochemical_Managed!$P$2:$P$207,_xlfn.CONCAT(H$1,$E20))=1,COUNTIF(qPCR_Unique!$D$3:$D$118,_xlfn.CONCAT(H$1,$E20))=0),"Physicochemical",AND(COUNTIF(Physicochemical_Managed!$P$2:$P$207,_xlfn.CONCAT(H$1,$E20))=0,COUNTIF(qPCR_Unique!$D$3:$D$118,_xlfn.CONCAT(H$1,$E20))=1),"OPs",AND(COUNTIF(Physicochemical_Managed!$P$2:$P$207,_xlfn.CONCAT(H$1,$E20))=0,COUNTIF(qPCR_Unique!$D$3:$D$118,_xlfn.CONCAT(H$1,$E20))=0),"Not assayed")</f>
        <v>Both</v>
      </c>
      <c r="I20" s="195" t="str" cm="1">
        <f t="array" ref="I20">_xlfn.IFS(AND(COUNTIF(Physicochemical_Managed!$P$2:$P$207,_xlfn.CONCAT(I$1,$E20))=1,COUNTIF(qPCR_Unique!$D$3:$D$118,_xlfn.CONCAT(I$1,$E20))=1),"Both",AND(COUNTIF(Physicochemical_Managed!$P$2:$P$207,_xlfn.CONCAT(I$1,$E20))=1,COUNTIF(qPCR_Unique!$D$3:$D$118,_xlfn.CONCAT(I$1,$E20))=0),"Physicochemical",AND(COUNTIF(Physicochemical_Managed!$P$2:$P$207,_xlfn.CONCAT(I$1,$E20))=0,COUNTIF(qPCR_Unique!$D$3:$D$118,_xlfn.CONCAT(I$1,$E20))=1),"OPs",AND(COUNTIF(Physicochemical_Managed!$P$2:$P$207,_xlfn.CONCAT(I$1,$E20))=0,COUNTIF(qPCR_Unique!$D$3:$D$118,_xlfn.CONCAT(I$1,$E20))=0),"Not assayed")</f>
        <v>Both</v>
      </c>
      <c r="J20" s="195" t="str" cm="1">
        <f t="array" ref="J20">_xlfn.IFS(AND(COUNTIF(Physicochemical_Managed!$P$2:$P$207,_xlfn.CONCAT(J$1,$E20))=1,COUNTIF(qPCR_Unique!$D$3:$D$118,_xlfn.CONCAT(J$1,$E20))=1),"Both",AND(COUNTIF(Physicochemical_Managed!$P$2:$P$207,_xlfn.CONCAT(J$1,$E20))=1,COUNTIF(qPCR_Unique!$D$3:$D$118,_xlfn.CONCAT(J$1,$E20))=0),"Physicochemical",AND(COUNTIF(Physicochemical_Managed!$P$2:$P$207,_xlfn.CONCAT(J$1,$E20))=0,COUNTIF(qPCR_Unique!$D$3:$D$118,_xlfn.CONCAT(J$1,$E20))=1),"OPs",AND(COUNTIF(Physicochemical_Managed!$P$2:$P$207,_xlfn.CONCAT(J$1,$E20))=0,COUNTIF(qPCR_Unique!$D$3:$D$118,_xlfn.CONCAT(J$1,$E20))=0),"Not assayed")</f>
        <v>Both</v>
      </c>
      <c r="K20" s="195" t="str" cm="1">
        <f t="array" ref="K20">_xlfn.IFS(AND(COUNTIF(Physicochemical_Managed!$P$2:$P$207,_xlfn.CONCAT(K$1,$E20))=1,COUNTIF(qPCR_Unique!$D$3:$D$118,_xlfn.CONCAT(K$1,$E20))=1),"Both",AND(COUNTIF(Physicochemical_Managed!$P$2:$P$207,_xlfn.CONCAT(K$1,$E20))=1,COUNTIF(qPCR_Unique!$D$3:$D$118,_xlfn.CONCAT(K$1,$E20))=0),"Physicochemical",AND(COUNTIF(Physicochemical_Managed!$P$2:$P$207,_xlfn.CONCAT(K$1,$E20))=0,COUNTIF(qPCR_Unique!$D$3:$D$118,_xlfn.CONCAT(K$1,$E20))=1),"OPs",AND(COUNTIF(Physicochemical_Managed!$P$2:$P$207,_xlfn.CONCAT(K$1,$E20))=0,COUNTIF(qPCR_Unique!$D$3:$D$118,_xlfn.CONCAT(K$1,$E20))=0),"Not assayed")</f>
        <v>Both</v>
      </c>
      <c r="L20" s="195" t="str" cm="1">
        <f t="array" ref="L20">_xlfn.IFS(AND(COUNTIF(Physicochemical_Managed!$P$2:$P$207,_xlfn.CONCAT(L$1,$E20))=1,COUNTIF(qPCR_Unique!$D$3:$D$118,_xlfn.CONCAT(L$1,$E20))=1),"Both",AND(COUNTIF(Physicochemical_Managed!$P$2:$P$207,_xlfn.CONCAT(L$1,$E20))=1,COUNTIF(qPCR_Unique!$D$3:$D$118,_xlfn.CONCAT(L$1,$E20))=0),"Physicochemical",AND(COUNTIF(Physicochemical_Managed!$P$2:$P$207,_xlfn.CONCAT(L$1,$E20))=0,COUNTIF(qPCR_Unique!$D$3:$D$118,_xlfn.CONCAT(L$1,$E20))=1),"OPs",AND(COUNTIF(Physicochemical_Managed!$P$2:$P$207,_xlfn.CONCAT(L$1,$E20))=0,COUNTIF(qPCR_Unique!$D$3:$D$118,_xlfn.CONCAT(L$1,$E20))=0),"Not assayed")</f>
        <v>Both</v>
      </c>
      <c r="M20" s="818" t="str" cm="1">
        <f t="array" ref="M20">_xlfn.IFS(AND(COUNTIF(Physicochemical_Managed!$P$2:$P$207,_xlfn.CONCAT(M$1,$E20))=1,COUNTIF(qPCR_Unique!$D$3:$D$118,_xlfn.CONCAT(M$1,$E20))=1),"Both",AND(COUNTIF(Physicochemical_Managed!$P$2:$P$207,_xlfn.CONCAT(M$1,$E20))=1,COUNTIF(qPCR_Unique!$D$3:$D$118,_xlfn.CONCAT(M$1,$E20))=0),"Physicochemical",AND(COUNTIF(Physicochemical_Managed!$P$2:$P$207,_xlfn.CONCAT(M$1,$E20))=0,COUNTIF(qPCR_Unique!$D$3:$D$118,_xlfn.CONCAT(M$1,$E20))=1),"OPs",AND(COUNTIF(Physicochemical_Managed!$P$2:$P$207,_xlfn.CONCAT(M$1,$E20))=0,COUNTIF(qPCR_Unique!$D$3:$D$118,_xlfn.CONCAT(M$1,$E20))=0),"Not assayed")</f>
        <v>Both</v>
      </c>
    </row>
    <row r="21" spans="1:13" s="191" customFormat="1" x14ac:dyDescent="0.3">
      <c r="A21" s="236" t="str">
        <f>Physicochemical_Managed!P21</f>
        <v>EP44433</v>
      </c>
      <c r="B21" s="238" t="str" cm="1">
        <f t="array" ref="B21">INDEX($A$2:$A$323,MATCH(0,COUNTIF($B$1:B20,$A$2:$A$323),0))</f>
        <v>EP44433</v>
      </c>
      <c r="C21" s="809">
        <f t="shared" si="0"/>
        <v>44433</v>
      </c>
      <c r="D21" s="817" cm="1">
        <f t="array" ref="D21">INDEX($C$2:$C$212,MATCH(0,COUNTIF($D$1:D20,$C$2:$C$212),0))</f>
        <v>44433</v>
      </c>
      <c r="E21" s="848">
        <v>44376</v>
      </c>
      <c r="F21" s="840" t="str" cm="1">
        <f t="array" ref="F21">_xlfn.IFS(AND(COUNTIF(Physicochemical_Managed!$P$2:$P$207,_xlfn.CONCAT(F$1,$E21))=1,COUNTIF(qPCR_Unique!$D$3:$D$118,_xlfn.CONCAT(F$1,$E21))=1),"Both",AND(COUNTIF(Physicochemical_Managed!$P$2:$P$207,_xlfn.CONCAT(F$1,$E21))=1,COUNTIF(qPCR_Unique!$D$3:$D$118,_xlfn.CONCAT(F$1,$E21))=0),"Physicochemical",AND(COUNTIF(Physicochemical_Managed!$P$2:$P$207,_xlfn.CONCAT(F$1,$E21))=0,COUNTIF(qPCR_Unique!$D$3:$D$118,_xlfn.CONCAT(F$1,$E21))=1),"OPs",AND(COUNTIF(Physicochemical_Managed!$P$2:$P$207,_xlfn.CONCAT(F$1,$E21))=0,COUNTIF(qPCR_Unique!$D$3:$D$118,_xlfn.CONCAT(F$1,$E21))=0),"Not assayed")</f>
        <v>Not assayed</v>
      </c>
      <c r="G21" s="195" t="str" cm="1">
        <f t="array" ref="G21">_xlfn.IFS(AND(COUNTIF(Physicochemical_Managed!$P$2:$P$207,_xlfn.CONCAT(G$1,$E21))=1,COUNTIF(qPCR_Unique!$D$3:$D$118,_xlfn.CONCAT(G$1,$E21))=1),"Both",AND(COUNTIF(Physicochemical_Managed!$P$2:$P$207,_xlfn.CONCAT(G$1,$E21))=1,COUNTIF(qPCR_Unique!$D$3:$D$118,_xlfn.CONCAT(G$1,$E21))=0),"Physicochemical",AND(COUNTIF(Physicochemical_Managed!$P$2:$P$207,_xlfn.CONCAT(G$1,$E21))=0,COUNTIF(qPCR_Unique!$D$3:$D$118,_xlfn.CONCAT(G$1,$E21))=1),"OPs",AND(COUNTIF(Physicochemical_Managed!$P$2:$P$207,_xlfn.CONCAT(G$1,$E21))=0,COUNTIF(qPCR_Unique!$D$3:$D$118,_xlfn.CONCAT(G$1,$E21))=0),"Not assayed")</f>
        <v>Not assayed</v>
      </c>
      <c r="H21" s="195" t="str" cm="1">
        <f t="array" ref="H21">_xlfn.IFS(AND(COUNTIF(Physicochemical_Managed!$P$2:$P$207,_xlfn.CONCAT(H$1,$E21))=1,COUNTIF(qPCR_Unique!$D$3:$D$118,_xlfn.CONCAT(H$1,$E21))=1),"Both",AND(COUNTIF(Physicochemical_Managed!$P$2:$P$207,_xlfn.CONCAT(H$1,$E21))=1,COUNTIF(qPCR_Unique!$D$3:$D$118,_xlfn.CONCAT(H$1,$E21))=0),"Physicochemical",AND(COUNTIF(Physicochemical_Managed!$P$2:$P$207,_xlfn.CONCAT(H$1,$E21))=0,COUNTIF(qPCR_Unique!$D$3:$D$118,_xlfn.CONCAT(H$1,$E21))=1),"OPs",AND(COUNTIF(Physicochemical_Managed!$P$2:$P$207,_xlfn.CONCAT(H$1,$E21))=0,COUNTIF(qPCR_Unique!$D$3:$D$118,_xlfn.CONCAT(H$1,$E21))=0),"Not assayed")</f>
        <v>Not assayed</v>
      </c>
      <c r="I21" s="195" t="str" cm="1">
        <f t="array" ref="I21">_xlfn.IFS(AND(COUNTIF(Physicochemical_Managed!$P$2:$P$207,_xlfn.CONCAT(I$1,$E21))=1,COUNTIF(qPCR_Unique!$D$3:$D$118,_xlfn.CONCAT(I$1,$E21))=1),"Both",AND(COUNTIF(Physicochemical_Managed!$P$2:$P$207,_xlfn.CONCAT(I$1,$E21))=1,COUNTIF(qPCR_Unique!$D$3:$D$118,_xlfn.CONCAT(I$1,$E21))=0),"Physicochemical",AND(COUNTIF(Physicochemical_Managed!$P$2:$P$207,_xlfn.CONCAT(I$1,$E21))=0,COUNTIF(qPCR_Unique!$D$3:$D$118,_xlfn.CONCAT(I$1,$E21))=1),"OPs",AND(COUNTIF(Physicochemical_Managed!$P$2:$P$207,_xlfn.CONCAT(I$1,$E21))=0,COUNTIF(qPCR_Unique!$D$3:$D$118,_xlfn.CONCAT(I$1,$E21))=0),"Not assayed")</f>
        <v>Not assayed</v>
      </c>
      <c r="J21" s="195" t="str" cm="1">
        <f t="array" ref="J21">_xlfn.IFS(AND(COUNTIF(Physicochemical_Managed!$P$2:$P$207,_xlfn.CONCAT(J$1,$E21))=1,COUNTIF(qPCR_Unique!$D$3:$D$118,_xlfn.CONCAT(J$1,$E21))=1),"Both",AND(COUNTIF(Physicochemical_Managed!$P$2:$P$207,_xlfn.CONCAT(J$1,$E21))=1,COUNTIF(qPCR_Unique!$D$3:$D$118,_xlfn.CONCAT(J$1,$E21))=0),"Physicochemical",AND(COUNTIF(Physicochemical_Managed!$P$2:$P$207,_xlfn.CONCAT(J$1,$E21))=0,COUNTIF(qPCR_Unique!$D$3:$D$118,_xlfn.CONCAT(J$1,$E21))=1),"OPs",AND(COUNTIF(Physicochemical_Managed!$P$2:$P$207,_xlfn.CONCAT(J$1,$E21))=0,COUNTIF(qPCR_Unique!$D$3:$D$118,_xlfn.CONCAT(J$1,$E21))=0),"Not assayed")</f>
        <v>Physicochemical</v>
      </c>
      <c r="K21" s="195" t="str" cm="1">
        <f t="array" ref="K21">_xlfn.IFS(AND(COUNTIF(Physicochemical_Managed!$P$2:$P$207,_xlfn.CONCAT(K$1,$E21))=1,COUNTIF(qPCR_Unique!$D$3:$D$118,_xlfn.CONCAT(K$1,$E21))=1),"Both",AND(COUNTIF(Physicochemical_Managed!$P$2:$P$207,_xlfn.CONCAT(K$1,$E21))=1,COUNTIF(qPCR_Unique!$D$3:$D$118,_xlfn.CONCAT(K$1,$E21))=0),"Physicochemical",AND(COUNTIF(Physicochemical_Managed!$P$2:$P$207,_xlfn.CONCAT(K$1,$E21))=0,COUNTIF(qPCR_Unique!$D$3:$D$118,_xlfn.CONCAT(K$1,$E21))=1),"OPs",AND(COUNTIF(Physicochemical_Managed!$P$2:$P$207,_xlfn.CONCAT(K$1,$E21))=0,COUNTIF(qPCR_Unique!$D$3:$D$118,_xlfn.CONCAT(K$1,$E21))=0),"Not assayed")</f>
        <v>Physicochemical</v>
      </c>
      <c r="L21" s="195" t="str" cm="1">
        <f t="array" ref="L21">_xlfn.IFS(AND(COUNTIF(Physicochemical_Managed!$P$2:$P$207,_xlfn.CONCAT(L$1,$E21))=1,COUNTIF(qPCR_Unique!$D$3:$D$118,_xlfn.CONCAT(L$1,$E21))=1),"Both",AND(COUNTIF(Physicochemical_Managed!$P$2:$P$207,_xlfn.CONCAT(L$1,$E21))=1,COUNTIF(qPCR_Unique!$D$3:$D$118,_xlfn.CONCAT(L$1,$E21))=0),"Physicochemical",AND(COUNTIF(Physicochemical_Managed!$P$2:$P$207,_xlfn.CONCAT(L$1,$E21))=0,COUNTIF(qPCR_Unique!$D$3:$D$118,_xlfn.CONCAT(L$1,$E21))=1),"OPs",AND(COUNTIF(Physicochemical_Managed!$P$2:$P$207,_xlfn.CONCAT(L$1,$E21))=0,COUNTIF(qPCR_Unique!$D$3:$D$118,_xlfn.CONCAT(L$1,$E21))=0),"Not assayed")</f>
        <v>Not assayed</v>
      </c>
      <c r="M21" s="818" t="str" cm="1">
        <f t="array" ref="M21">_xlfn.IFS(AND(COUNTIF(Physicochemical_Managed!$P$2:$P$207,_xlfn.CONCAT(M$1,$E21))=1,COUNTIF(qPCR_Unique!$D$3:$D$118,_xlfn.CONCAT(M$1,$E21))=1),"Both",AND(COUNTIF(Physicochemical_Managed!$P$2:$P$207,_xlfn.CONCAT(M$1,$E21))=1,COUNTIF(qPCR_Unique!$D$3:$D$118,_xlfn.CONCAT(M$1,$E21))=0),"Physicochemical",AND(COUNTIF(Physicochemical_Managed!$P$2:$P$207,_xlfn.CONCAT(M$1,$E21))=0,COUNTIF(qPCR_Unique!$D$3:$D$118,_xlfn.CONCAT(M$1,$E21))=1),"OPs",AND(COUNTIF(Physicochemical_Managed!$P$2:$P$207,_xlfn.CONCAT(M$1,$E21))=0,COUNTIF(qPCR_Unique!$D$3:$D$118,_xlfn.CONCAT(M$1,$E21))=0),"Not assayed")</f>
        <v>Physicochemical</v>
      </c>
    </row>
    <row r="22" spans="1:13" s="191" customFormat="1" x14ac:dyDescent="0.3">
      <c r="A22" s="236" t="str">
        <f>Physicochemical_Managed!P22</f>
        <v>SPI44294</v>
      </c>
      <c r="B22" s="238" t="str" cm="1">
        <f t="array" ref="B22">INDEX($A$2:$A$323,MATCH(0,COUNTIF($B$1:B21,$A$2:$A$323),0))</f>
        <v>SPI44294</v>
      </c>
      <c r="C22" s="809">
        <f t="shared" si="0"/>
        <v>44294</v>
      </c>
      <c r="D22" s="817" cm="1">
        <f t="array" ref="D22">INDEX($C$2:$C$212,MATCH(0,COUNTIF($D$1:D21,$C$2:$C$212),0))</f>
        <v>44432</v>
      </c>
      <c r="E22" s="848">
        <v>44377</v>
      </c>
      <c r="F22" s="840" t="str" cm="1">
        <f t="array" ref="F22">_xlfn.IFS(AND(COUNTIF(Physicochemical_Managed!$P$2:$P$207,_xlfn.CONCAT(F$1,$E22))=1,COUNTIF(qPCR_Unique!$D$3:$D$118,_xlfn.CONCAT(F$1,$E22))=1),"Both",AND(COUNTIF(Physicochemical_Managed!$P$2:$P$207,_xlfn.CONCAT(F$1,$E22))=1,COUNTIF(qPCR_Unique!$D$3:$D$118,_xlfn.CONCAT(F$1,$E22))=0),"Physicochemical",AND(COUNTIF(Physicochemical_Managed!$P$2:$P$207,_xlfn.CONCAT(F$1,$E22))=0,COUNTIF(qPCR_Unique!$D$3:$D$118,_xlfn.CONCAT(F$1,$E22))=1),"OPs",AND(COUNTIF(Physicochemical_Managed!$P$2:$P$207,_xlfn.CONCAT(F$1,$E22))=0,COUNTIF(qPCR_Unique!$D$3:$D$118,_xlfn.CONCAT(F$1,$E22))=0),"Not assayed")</f>
        <v>Both</v>
      </c>
      <c r="G22" s="195" t="str" cm="1">
        <f t="array" ref="G22">_xlfn.IFS(AND(COUNTIF(Physicochemical_Managed!$P$2:$P$207,_xlfn.CONCAT(G$1,$E22))=1,COUNTIF(qPCR_Unique!$D$3:$D$118,_xlfn.CONCAT(G$1,$E22))=1),"Both",AND(COUNTIF(Physicochemical_Managed!$P$2:$P$207,_xlfn.CONCAT(G$1,$E22))=1,COUNTIF(qPCR_Unique!$D$3:$D$118,_xlfn.CONCAT(G$1,$E22))=0),"Physicochemical",AND(COUNTIF(Physicochemical_Managed!$P$2:$P$207,_xlfn.CONCAT(G$1,$E22))=0,COUNTIF(qPCR_Unique!$D$3:$D$118,_xlfn.CONCAT(G$1,$E22))=1),"OPs",AND(COUNTIF(Physicochemical_Managed!$P$2:$P$207,_xlfn.CONCAT(G$1,$E22))=0,COUNTIF(qPCR_Unique!$D$3:$D$118,_xlfn.CONCAT(G$1,$E22))=0),"Not assayed")</f>
        <v>Both</v>
      </c>
      <c r="H22" s="195" t="str" cm="1">
        <f t="array" ref="H22">_xlfn.IFS(AND(COUNTIF(Physicochemical_Managed!$P$2:$P$207,_xlfn.CONCAT(H$1,$E22))=1,COUNTIF(qPCR_Unique!$D$3:$D$118,_xlfn.CONCAT(H$1,$E22))=1),"Both",AND(COUNTIF(Physicochemical_Managed!$P$2:$P$207,_xlfn.CONCAT(H$1,$E22))=1,COUNTIF(qPCR_Unique!$D$3:$D$118,_xlfn.CONCAT(H$1,$E22))=0),"Physicochemical",AND(COUNTIF(Physicochemical_Managed!$P$2:$P$207,_xlfn.CONCAT(H$1,$E22))=0,COUNTIF(qPCR_Unique!$D$3:$D$118,_xlfn.CONCAT(H$1,$E22))=1),"OPs",AND(COUNTIF(Physicochemical_Managed!$P$2:$P$207,_xlfn.CONCAT(H$1,$E22))=0,COUNTIF(qPCR_Unique!$D$3:$D$118,_xlfn.CONCAT(H$1,$E22))=0),"Not assayed")</f>
        <v>Both</v>
      </c>
      <c r="I22" s="195" t="str" cm="1">
        <f t="array" ref="I22">_xlfn.IFS(AND(COUNTIF(Physicochemical_Managed!$P$2:$P$207,_xlfn.CONCAT(I$1,$E22))=1,COUNTIF(qPCR_Unique!$D$3:$D$118,_xlfn.CONCAT(I$1,$E22))=1),"Both",AND(COUNTIF(Physicochemical_Managed!$P$2:$P$207,_xlfn.CONCAT(I$1,$E22))=1,COUNTIF(qPCR_Unique!$D$3:$D$118,_xlfn.CONCAT(I$1,$E22))=0),"Physicochemical",AND(COUNTIF(Physicochemical_Managed!$P$2:$P$207,_xlfn.CONCAT(I$1,$E22))=0,COUNTIF(qPCR_Unique!$D$3:$D$118,_xlfn.CONCAT(I$1,$E22))=1),"OPs",AND(COUNTIF(Physicochemical_Managed!$P$2:$P$207,_xlfn.CONCAT(I$1,$E22))=0,COUNTIF(qPCR_Unique!$D$3:$D$118,_xlfn.CONCAT(I$1,$E22))=0),"Not assayed")</f>
        <v>Both</v>
      </c>
      <c r="J22" s="195" t="str" cm="1">
        <f t="array" ref="J22">_xlfn.IFS(AND(COUNTIF(Physicochemical_Managed!$P$2:$P$207,_xlfn.CONCAT(J$1,$E22))=1,COUNTIF(qPCR_Unique!$D$3:$D$118,_xlfn.CONCAT(J$1,$E22))=1),"Both",AND(COUNTIF(Physicochemical_Managed!$P$2:$P$207,_xlfn.CONCAT(J$1,$E22))=1,COUNTIF(qPCR_Unique!$D$3:$D$118,_xlfn.CONCAT(J$1,$E22))=0),"Physicochemical",AND(COUNTIF(Physicochemical_Managed!$P$2:$P$207,_xlfn.CONCAT(J$1,$E22))=0,COUNTIF(qPCR_Unique!$D$3:$D$118,_xlfn.CONCAT(J$1,$E22))=1),"OPs",AND(COUNTIF(Physicochemical_Managed!$P$2:$P$207,_xlfn.CONCAT(J$1,$E22))=0,COUNTIF(qPCR_Unique!$D$3:$D$118,_xlfn.CONCAT(J$1,$E22))=0),"Not assayed")</f>
        <v>Both</v>
      </c>
      <c r="K22" s="195" t="str" cm="1">
        <f t="array" ref="K22">_xlfn.IFS(AND(COUNTIF(Physicochemical_Managed!$P$2:$P$207,_xlfn.CONCAT(K$1,$E22))=1,COUNTIF(qPCR_Unique!$D$3:$D$118,_xlfn.CONCAT(K$1,$E22))=1),"Both",AND(COUNTIF(Physicochemical_Managed!$P$2:$P$207,_xlfn.CONCAT(K$1,$E22))=1,COUNTIF(qPCR_Unique!$D$3:$D$118,_xlfn.CONCAT(K$1,$E22))=0),"Physicochemical",AND(COUNTIF(Physicochemical_Managed!$P$2:$P$207,_xlfn.CONCAT(K$1,$E22))=0,COUNTIF(qPCR_Unique!$D$3:$D$118,_xlfn.CONCAT(K$1,$E22))=1),"OPs",AND(COUNTIF(Physicochemical_Managed!$P$2:$P$207,_xlfn.CONCAT(K$1,$E22))=0,COUNTIF(qPCR_Unique!$D$3:$D$118,_xlfn.CONCAT(K$1,$E22))=0),"Not assayed")</f>
        <v>Both</v>
      </c>
      <c r="L22" s="195" t="str" cm="1">
        <f t="array" ref="L22">_xlfn.IFS(AND(COUNTIF(Physicochemical_Managed!$P$2:$P$207,_xlfn.CONCAT(L$1,$E22))=1,COUNTIF(qPCR_Unique!$D$3:$D$118,_xlfn.CONCAT(L$1,$E22))=1),"Both",AND(COUNTIF(Physicochemical_Managed!$P$2:$P$207,_xlfn.CONCAT(L$1,$E22))=1,COUNTIF(qPCR_Unique!$D$3:$D$118,_xlfn.CONCAT(L$1,$E22))=0),"Physicochemical",AND(COUNTIF(Physicochemical_Managed!$P$2:$P$207,_xlfn.CONCAT(L$1,$E22))=0,COUNTIF(qPCR_Unique!$D$3:$D$118,_xlfn.CONCAT(L$1,$E22))=1),"OPs",AND(COUNTIF(Physicochemical_Managed!$P$2:$P$207,_xlfn.CONCAT(L$1,$E22))=0,COUNTIF(qPCR_Unique!$D$3:$D$118,_xlfn.CONCAT(L$1,$E22))=0),"Not assayed")</f>
        <v>Not assayed</v>
      </c>
      <c r="M22" s="818" t="str" cm="1">
        <f t="array" ref="M22">_xlfn.IFS(AND(COUNTIF(Physicochemical_Managed!$P$2:$P$207,_xlfn.CONCAT(M$1,$E22))=1,COUNTIF(qPCR_Unique!$D$3:$D$118,_xlfn.CONCAT(M$1,$E22))=1),"Both",AND(COUNTIF(Physicochemical_Managed!$P$2:$P$207,_xlfn.CONCAT(M$1,$E22))=1,COUNTIF(qPCR_Unique!$D$3:$D$118,_xlfn.CONCAT(M$1,$E22))=0),"Physicochemical",AND(COUNTIF(Physicochemical_Managed!$P$2:$P$207,_xlfn.CONCAT(M$1,$E22))=0,COUNTIF(qPCR_Unique!$D$3:$D$118,_xlfn.CONCAT(M$1,$E22))=1),"OPs",AND(COUNTIF(Physicochemical_Managed!$P$2:$P$207,_xlfn.CONCAT(M$1,$E22))=0,COUNTIF(qPCR_Unique!$D$3:$D$118,_xlfn.CONCAT(M$1,$E22))=0),"Not assayed")</f>
        <v>Both</v>
      </c>
    </row>
    <row r="23" spans="1:13" s="191" customFormat="1" x14ac:dyDescent="0.3">
      <c r="A23" s="236" t="str">
        <f>Physicochemical_Managed!P23</f>
        <v>SPI44306</v>
      </c>
      <c r="B23" s="238" t="str" cm="1">
        <f t="array" ref="B23">INDEX($A$2:$A$323,MATCH(0,COUNTIF($B$1:B22,$A$2:$A$323),0))</f>
        <v>SPI44306</v>
      </c>
      <c r="C23" s="809">
        <f t="shared" si="0"/>
        <v>44306</v>
      </c>
      <c r="D23" s="817" cm="1">
        <f t="array" ref="D23">INDEX($C$2:$C$212,MATCH(0,COUNTIF($D$1:D22,$C$2:$C$212),0))</f>
        <v>44293</v>
      </c>
      <c r="E23" s="848">
        <v>44384</v>
      </c>
      <c r="F23" s="840" t="str" cm="1">
        <f t="array" ref="F23">_xlfn.IFS(AND(COUNTIF(Physicochemical_Managed!$P$2:$P$207,_xlfn.CONCAT(F$1,$E23))=1,COUNTIF(qPCR_Unique!$D$3:$D$118,_xlfn.CONCAT(F$1,$E23))=1),"Both",AND(COUNTIF(Physicochemical_Managed!$P$2:$P$207,_xlfn.CONCAT(F$1,$E23))=1,COUNTIF(qPCR_Unique!$D$3:$D$118,_xlfn.CONCAT(F$1,$E23))=0),"Physicochemical",AND(COUNTIF(Physicochemical_Managed!$P$2:$P$207,_xlfn.CONCAT(F$1,$E23))=0,COUNTIF(qPCR_Unique!$D$3:$D$118,_xlfn.CONCAT(F$1,$E23))=1),"OPs",AND(COUNTIF(Physicochemical_Managed!$P$2:$P$207,_xlfn.CONCAT(F$1,$E23))=0,COUNTIF(qPCR_Unique!$D$3:$D$118,_xlfn.CONCAT(F$1,$E23))=0),"Not assayed")</f>
        <v>Not assayed</v>
      </c>
      <c r="G23" s="195" t="str" cm="1">
        <f t="array" ref="G23">_xlfn.IFS(AND(COUNTIF(Physicochemical_Managed!$P$2:$P$207,_xlfn.CONCAT(G$1,$E23))=1,COUNTIF(qPCR_Unique!$D$3:$D$118,_xlfn.CONCAT(G$1,$E23))=1),"Both",AND(COUNTIF(Physicochemical_Managed!$P$2:$P$207,_xlfn.CONCAT(G$1,$E23))=1,COUNTIF(qPCR_Unique!$D$3:$D$118,_xlfn.CONCAT(G$1,$E23))=0),"Physicochemical",AND(COUNTIF(Physicochemical_Managed!$P$2:$P$207,_xlfn.CONCAT(G$1,$E23))=0,COUNTIF(qPCR_Unique!$D$3:$D$118,_xlfn.CONCAT(G$1,$E23))=1),"OPs",AND(COUNTIF(Physicochemical_Managed!$P$2:$P$207,_xlfn.CONCAT(G$1,$E23))=0,COUNTIF(qPCR_Unique!$D$3:$D$118,_xlfn.CONCAT(G$1,$E23))=0),"Not assayed")</f>
        <v>Not assayed</v>
      </c>
      <c r="H23" s="195" t="str" cm="1">
        <f t="array" ref="H23">_xlfn.IFS(AND(COUNTIF(Physicochemical_Managed!$P$2:$P$207,_xlfn.CONCAT(H$1,$E23))=1,COUNTIF(qPCR_Unique!$D$3:$D$118,_xlfn.CONCAT(H$1,$E23))=1),"Both",AND(COUNTIF(Physicochemical_Managed!$P$2:$P$207,_xlfn.CONCAT(H$1,$E23))=1,COUNTIF(qPCR_Unique!$D$3:$D$118,_xlfn.CONCAT(H$1,$E23))=0),"Physicochemical",AND(COUNTIF(Physicochemical_Managed!$P$2:$P$207,_xlfn.CONCAT(H$1,$E23))=0,COUNTIF(qPCR_Unique!$D$3:$D$118,_xlfn.CONCAT(H$1,$E23))=1),"OPs",AND(COUNTIF(Physicochemical_Managed!$P$2:$P$207,_xlfn.CONCAT(H$1,$E23))=0,COUNTIF(qPCR_Unique!$D$3:$D$118,_xlfn.CONCAT(H$1,$E23))=0),"Not assayed")</f>
        <v>Not assayed</v>
      </c>
      <c r="I23" s="195" t="str" cm="1">
        <f t="array" ref="I23">_xlfn.IFS(AND(COUNTIF(Physicochemical_Managed!$P$2:$P$207,_xlfn.CONCAT(I$1,$E23))=1,COUNTIF(qPCR_Unique!$D$3:$D$118,_xlfn.CONCAT(I$1,$E23))=1),"Both",AND(COUNTIF(Physicochemical_Managed!$P$2:$P$207,_xlfn.CONCAT(I$1,$E23))=1,COUNTIF(qPCR_Unique!$D$3:$D$118,_xlfn.CONCAT(I$1,$E23))=0),"Physicochemical",AND(COUNTIF(Physicochemical_Managed!$P$2:$P$207,_xlfn.CONCAT(I$1,$E23))=0,COUNTIF(qPCR_Unique!$D$3:$D$118,_xlfn.CONCAT(I$1,$E23))=1),"OPs",AND(COUNTIF(Physicochemical_Managed!$P$2:$P$207,_xlfn.CONCAT(I$1,$E23))=0,COUNTIF(qPCR_Unique!$D$3:$D$118,_xlfn.CONCAT(I$1,$E23))=0),"Not assayed")</f>
        <v>Not assayed</v>
      </c>
      <c r="J23" s="195" t="str" cm="1">
        <f t="array" ref="J23">_xlfn.IFS(AND(COUNTIF(Physicochemical_Managed!$P$2:$P$207,_xlfn.CONCAT(J$1,$E23))=1,COUNTIF(qPCR_Unique!$D$3:$D$118,_xlfn.CONCAT(J$1,$E23))=1),"Both",AND(COUNTIF(Physicochemical_Managed!$P$2:$P$207,_xlfn.CONCAT(J$1,$E23))=1,COUNTIF(qPCR_Unique!$D$3:$D$118,_xlfn.CONCAT(J$1,$E23))=0),"Physicochemical",AND(COUNTIF(Physicochemical_Managed!$P$2:$P$207,_xlfn.CONCAT(J$1,$E23))=0,COUNTIF(qPCR_Unique!$D$3:$D$118,_xlfn.CONCAT(J$1,$E23))=1),"OPs",AND(COUNTIF(Physicochemical_Managed!$P$2:$P$207,_xlfn.CONCAT(J$1,$E23))=0,COUNTIF(qPCR_Unique!$D$3:$D$118,_xlfn.CONCAT(J$1,$E23))=0),"Not assayed")</f>
        <v>Physicochemical</v>
      </c>
      <c r="K23" s="195" t="str" cm="1">
        <f t="array" ref="K23">_xlfn.IFS(AND(COUNTIF(Physicochemical_Managed!$P$2:$P$207,_xlfn.CONCAT(K$1,$E23))=1,COUNTIF(qPCR_Unique!$D$3:$D$118,_xlfn.CONCAT(K$1,$E23))=1),"Both",AND(COUNTIF(Physicochemical_Managed!$P$2:$P$207,_xlfn.CONCAT(K$1,$E23))=1,COUNTIF(qPCR_Unique!$D$3:$D$118,_xlfn.CONCAT(K$1,$E23))=0),"Physicochemical",AND(COUNTIF(Physicochemical_Managed!$P$2:$P$207,_xlfn.CONCAT(K$1,$E23))=0,COUNTIF(qPCR_Unique!$D$3:$D$118,_xlfn.CONCAT(K$1,$E23))=1),"OPs",AND(COUNTIF(Physicochemical_Managed!$P$2:$P$207,_xlfn.CONCAT(K$1,$E23))=0,COUNTIF(qPCR_Unique!$D$3:$D$118,_xlfn.CONCAT(K$1,$E23))=0),"Not assayed")</f>
        <v>Physicochemical</v>
      </c>
      <c r="L23" s="195" t="str" cm="1">
        <f t="array" ref="L23">_xlfn.IFS(AND(COUNTIF(Physicochemical_Managed!$P$2:$P$207,_xlfn.CONCAT(L$1,$E23))=1,COUNTIF(qPCR_Unique!$D$3:$D$118,_xlfn.CONCAT(L$1,$E23))=1),"Both",AND(COUNTIF(Physicochemical_Managed!$P$2:$P$207,_xlfn.CONCAT(L$1,$E23))=1,COUNTIF(qPCR_Unique!$D$3:$D$118,_xlfn.CONCAT(L$1,$E23))=0),"Physicochemical",AND(COUNTIF(Physicochemical_Managed!$P$2:$P$207,_xlfn.CONCAT(L$1,$E23))=0,COUNTIF(qPCR_Unique!$D$3:$D$118,_xlfn.CONCAT(L$1,$E23))=1),"OPs",AND(COUNTIF(Physicochemical_Managed!$P$2:$P$207,_xlfn.CONCAT(L$1,$E23))=0,COUNTIF(qPCR_Unique!$D$3:$D$118,_xlfn.CONCAT(L$1,$E23))=0),"Not assayed")</f>
        <v>Physicochemical</v>
      </c>
      <c r="M23" s="818" t="str" cm="1">
        <f t="array" ref="M23">_xlfn.IFS(AND(COUNTIF(Physicochemical_Managed!$P$2:$P$207,_xlfn.CONCAT(M$1,$E23))=1,COUNTIF(qPCR_Unique!$D$3:$D$118,_xlfn.CONCAT(M$1,$E23))=1),"Both",AND(COUNTIF(Physicochemical_Managed!$P$2:$P$207,_xlfn.CONCAT(M$1,$E23))=1,COUNTIF(qPCR_Unique!$D$3:$D$118,_xlfn.CONCAT(M$1,$E23))=0),"Physicochemical",AND(COUNTIF(Physicochemical_Managed!$P$2:$P$207,_xlfn.CONCAT(M$1,$E23))=0,COUNTIF(qPCR_Unique!$D$3:$D$118,_xlfn.CONCAT(M$1,$E23))=1),"OPs",AND(COUNTIF(Physicochemical_Managed!$P$2:$P$207,_xlfn.CONCAT(M$1,$E23))=0,COUNTIF(qPCR_Unique!$D$3:$D$118,_xlfn.CONCAT(M$1,$E23))=0),"Not assayed")</f>
        <v>Physicochemical</v>
      </c>
    </row>
    <row r="24" spans="1:13" s="191" customFormat="1" x14ac:dyDescent="0.3">
      <c r="A24" s="236" t="str">
        <f>Physicochemical_Managed!P24</f>
        <v>SPI44313</v>
      </c>
      <c r="B24" s="238" t="str" cm="1">
        <f t="array" ref="B24">INDEX($A$2:$A$323,MATCH(0,COUNTIF($B$1:B23,$A$2:$A$323),0))</f>
        <v>SPI44313</v>
      </c>
      <c r="C24" s="809">
        <f t="shared" si="0"/>
        <v>44313</v>
      </c>
      <c r="D24" s="817" cm="1">
        <f t="array" ref="D24">INDEX($C$2:$C$212,MATCH(0,COUNTIF($D$1:D23,$C$2:$C$212),0))</f>
        <v>44334</v>
      </c>
      <c r="E24" s="848">
        <v>44385</v>
      </c>
      <c r="F24" s="840" t="str" cm="1">
        <f t="array" ref="F24">_xlfn.IFS(AND(COUNTIF(Physicochemical_Managed!$P$2:$P$207,_xlfn.CONCAT(F$1,$E24))=1,COUNTIF(qPCR_Unique!$D$3:$D$118,_xlfn.CONCAT(F$1,$E24))=1),"Both",AND(COUNTIF(Physicochemical_Managed!$P$2:$P$207,_xlfn.CONCAT(F$1,$E24))=1,COUNTIF(qPCR_Unique!$D$3:$D$118,_xlfn.CONCAT(F$1,$E24))=0),"Physicochemical",AND(COUNTIF(Physicochemical_Managed!$P$2:$P$207,_xlfn.CONCAT(F$1,$E24))=0,COUNTIF(qPCR_Unique!$D$3:$D$118,_xlfn.CONCAT(F$1,$E24))=1),"OPs",AND(COUNTIF(Physicochemical_Managed!$P$2:$P$207,_xlfn.CONCAT(F$1,$E24))=0,COUNTIF(qPCR_Unique!$D$3:$D$118,_xlfn.CONCAT(F$1,$E24))=0),"Not assayed")</f>
        <v>Both</v>
      </c>
      <c r="G24" s="195" t="str" cm="1">
        <f t="array" ref="G24">_xlfn.IFS(AND(COUNTIF(Physicochemical_Managed!$P$2:$P$207,_xlfn.CONCAT(G$1,$E24))=1,COUNTIF(qPCR_Unique!$D$3:$D$118,_xlfn.CONCAT(G$1,$E24))=1),"Both",AND(COUNTIF(Physicochemical_Managed!$P$2:$P$207,_xlfn.CONCAT(G$1,$E24))=1,COUNTIF(qPCR_Unique!$D$3:$D$118,_xlfn.CONCAT(G$1,$E24))=0),"Physicochemical",AND(COUNTIF(Physicochemical_Managed!$P$2:$P$207,_xlfn.CONCAT(G$1,$E24))=0,COUNTIF(qPCR_Unique!$D$3:$D$118,_xlfn.CONCAT(G$1,$E24))=1),"OPs",AND(COUNTIF(Physicochemical_Managed!$P$2:$P$207,_xlfn.CONCAT(G$1,$E24))=0,COUNTIF(qPCR_Unique!$D$3:$D$118,_xlfn.CONCAT(G$1,$E24))=0),"Not assayed")</f>
        <v>Both</v>
      </c>
      <c r="H24" s="195" t="str" cm="1">
        <f t="array" ref="H24">_xlfn.IFS(AND(COUNTIF(Physicochemical_Managed!$P$2:$P$207,_xlfn.CONCAT(H$1,$E24))=1,COUNTIF(qPCR_Unique!$D$3:$D$118,_xlfn.CONCAT(H$1,$E24))=1),"Both",AND(COUNTIF(Physicochemical_Managed!$P$2:$P$207,_xlfn.CONCAT(H$1,$E24))=1,COUNTIF(qPCR_Unique!$D$3:$D$118,_xlfn.CONCAT(H$1,$E24))=0),"Physicochemical",AND(COUNTIF(Physicochemical_Managed!$P$2:$P$207,_xlfn.CONCAT(H$1,$E24))=0,COUNTIF(qPCR_Unique!$D$3:$D$118,_xlfn.CONCAT(H$1,$E24))=1),"OPs",AND(COUNTIF(Physicochemical_Managed!$P$2:$P$207,_xlfn.CONCAT(H$1,$E24))=0,COUNTIF(qPCR_Unique!$D$3:$D$118,_xlfn.CONCAT(H$1,$E24))=0),"Not assayed")</f>
        <v>Both</v>
      </c>
      <c r="I24" s="195" t="str" cm="1">
        <f t="array" ref="I24">_xlfn.IFS(AND(COUNTIF(Physicochemical_Managed!$P$2:$P$207,_xlfn.CONCAT(I$1,$E24))=1,COUNTIF(qPCR_Unique!$D$3:$D$118,_xlfn.CONCAT(I$1,$E24))=1),"Both",AND(COUNTIF(Physicochemical_Managed!$P$2:$P$207,_xlfn.CONCAT(I$1,$E24))=1,COUNTIF(qPCR_Unique!$D$3:$D$118,_xlfn.CONCAT(I$1,$E24))=0),"Physicochemical",AND(COUNTIF(Physicochemical_Managed!$P$2:$P$207,_xlfn.CONCAT(I$1,$E24))=0,COUNTIF(qPCR_Unique!$D$3:$D$118,_xlfn.CONCAT(I$1,$E24))=1),"OPs",AND(COUNTIF(Physicochemical_Managed!$P$2:$P$207,_xlfn.CONCAT(I$1,$E24))=0,COUNTIF(qPCR_Unique!$D$3:$D$118,_xlfn.CONCAT(I$1,$E24))=0),"Not assayed")</f>
        <v>Both</v>
      </c>
      <c r="J24" s="195" t="str" cm="1">
        <f t="array" ref="J24">_xlfn.IFS(AND(COUNTIF(Physicochemical_Managed!$P$2:$P$207,_xlfn.CONCAT(J$1,$E24))=1,COUNTIF(qPCR_Unique!$D$3:$D$118,_xlfn.CONCAT(J$1,$E24))=1),"Both",AND(COUNTIF(Physicochemical_Managed!$P$2:$P$207,_xlfn.CONCAT(J$1,$E24))=1,COUNTIF(qPCR_Unique!$D$3:$D$118,_xlfn.CONCAT(J$1,$E24))=0),"Physicochemical",AND(COUNTIF(Physicochemical_Managed!$P$2:$P$207,_xlfn.CONCAT(J$1,$E24))=0,COUNTIF(qPCR_Unique!$D$3:$D$118,_xlfn.CONCAT(J$1,$E24))=1),"OPs",AND(COUNTIF(Physicochemical_Managed!$P$2:$P$207,_xlfn.CONCAT(J$1,$E24))=0,COUNTIF(qPCR_Unique!$D$3:$D$118,_xlfn.CONCAT(J$1,$E24))=0),"Not assayed")</f>
        <v>Both</v>
      </c>
      <c r="K24" s="195" t="str" cm="1">
        <f t="array" ref="K24">_xlfn.IFS(AND(COUNTIF(Physicochemical_Managed!$P$2:$P$207,_xlfn.CONCAT(K$1,$E24))=1,COUNTIF(qPCR_Unique!$D$3:$D$118,_xlfn.CONCAT(K$1,$E24))=1),"Both",AND(COUNTIF(Physicochemical_Managed!$P$2:$P$207,_xlfn.CONCAT(K$1,$E24))=1,COUNTIF(qPCR_Unique!$D$3:$D$118,_xlfn.CONCAT(K$1,$E24))=0),"Physicochemical",AND(COUNTIF(Physicochemical_Managed!$P$2:$P$207,_xlfn.CONCAT(K$1,$E24))=0,COUNTIF(qPCR_Unique!$D$3:$D$118,_xlfn.CONCAT(K$1,$E24))=1),"OPs",AND(COUNTIF(Physicochemical_Managed!$P$2:$P$207,_xlfn.CONCAT(K$1,$E24))=0,COUNTIF(qPCR_Unique!$D$3:$D$118,_xlfn.CONCAT(K$1,$E24))=0),"Not assayed")</f>
        <v>Both</v>
      </c>
      <c r="L24" s="195" t="str" cm="1">
        <f t="array" ref="L24">_xlfn.IFS(AND(COUNTIF(Physicochemical_Managed!$P$2:$P$207,_xlfn.CONCAT(L$1,$E24))=1,COUNTIF(qPCR_Unique!$D$3:$D$118,_xlfn.CONCAT(L$1,$E24))=1),"Both",AND(COUNTIF(Physicochemical_Managed!$P$2:$P$207,_xlfn.CONCAT(L$1,$E24))=1,COUNTIF(qPCR_Unique!$D$3:$D$118,_xlfn.CONCAT(L$1,$E24))=0),"Physicochemical",AND(COUNTIF(Physicochemical_Managed!$P$2:$P$207,_xlfn.CONCAT(L$1,$E24))=0,COUNTIF(qPCR_Unique!$D$3:$D$118,_xlfn.CONCAT(L$1,$E24))=1),"OPs",AND(COUNTIF(Physicochemical_Managed!$P$2:$P$207,_xlfn.CONCAT(L$1,$E24))=0,COUNTIF(qPCR_Unique!$D$3:$D$118,_xlfn.CONCAT(L$1,$E24))=0),"Not assayed")</f>
        <v>Both</v>
      </c>
      <c r="M24" s="818" t="str" cm="1">
        <f t="array" ref="M24">_xlfn.IFS(AND(COUNTIF(Physicochemical_Managed!$P$2:$P$207,_xlfn.CONCAT(M$1,$E24))=1,COUNTIF(qPCR_Unique!$D$3:$D$118,_xlfn.CONCAT(M$1,$E24))=1),"Both",AND(COUNTIF(Physicochemical_Managed!$P$2:$P$207,_xlfn.CONCAT(M$1,$E24))=1,COUNTIF(qPCR_Unique!$D$3:$D$118,_xlfn.CONCAT(M$1,$E24))=0),"Physicochemical",AND(COUNTIF(Physicochemical_Managed!$P$2:$P$207,_xlfn.CONCAT(M$1,$E24))=0,COUNTIF(qPCR_Unique!$D$3:$D$118,_xlfn.CONCAT(M$1,$E24))=1),"OPs",AND(COUNTIF(Physicochemical_Managed!$P$2:$P$207,_xlfn.CONCAT(M$1,$E24))=0,COUNTIF(qPCR_Unique!$D$3:$D$118,_xlfn.CONCAT(M$1,$E24))=0),"Not assayed")</f>
        <v>Both</v>
      </c>
    </row>
    <row r="25" spans="1:13" s="191" customFormat="1" x14ac:dyDescent="0.3">
      <c r="A25" s="236" t="str">
        <f>Physicochemical_Managed!P25</f>
        <v>SPI44320</v>
      </c>
      <c r="B25" s="238" t="str" cm="1">
        <f t="array" ref="B25">INDEX($A$2:$A$323,MATCH(0,COUNTIF($B$1:B24,$A$2:$A$323),0))</f>
        <v>SPI44320</v>
      </c>
      <c r="C25" s="809">
        <f t="shared" si="0"/>
        <v>44320</v>
      </c>
      <c r="D25" s="817" cm="1">
        <f t="array" ref="D25">INDEX($C$2:$C$212,MATCH(0,COUNTIF($D$1:D24,$C$2:$C$212),0))</f>
        <v>44341</v>
      </c>
      <c r="E25" s="848">
        <v>44390</v>
      </c>
      <c r="F25" s="840" t="str" cm="1">
        <f t="array" ref="F25">_xlfn.IFS(AND(COUNTIF(Physicochemical_Managed!$P$2:$P$207,_xlfn.CONCAT(F$1,$E25))=1,COUNTIF(qPCR_Unique!$D$3:$D$118,_xlfn.CONCAT(F$1,$E25))=1),"Both",AND(COUNTIF(Physicochemical_Managed!$P$2:$P$207,_xlfn.CONCAT(F$1,$E25))=1,COUNTIF(qPCR_Unique!$D$3:$D$118,_xlfn.CONCAT(F$1,$E25))=0),"Physicochemical",AND(COUNTIF(Physicochemical_Managed!$P$2:$P$207,_xlfn.CONCAT(F$1,$E25))=0,COUNTIF(qPCR_Unique!$D$3:$D$118,_xlfn.CONCAT(F$1,$E25))=1),"OPs",AND(COUNTIF(Physicochemical_Managed!$P$2:$P$207,_xlfn.CONCAT(F$1,$E25))=0,COUNTIF(qPCR_Unique!$D$3:$D$118,_xlfn.CONCAT(F$1,$E25))=0),"Not assayed")</f>
        <v>Not assayed</v>
      </c>
      <c r="G25" s="195" t="str" cm="1">
        <f t="array" ref="G25">_xlfn.IFS(AND(COUNTIF(Physicochemical_Managed!$P$2:$P$207,_xlfn.CONCAT(G$1,$E25))=1,COUNTIF(qPCR_Unique!$D$3:$D$118,_xlfn.CONCAT(G$1,$E25))=1),"Both",AND(COUNTIF(Physicochemical_Managed!$P$2:$P$207,_xlfn.CONCAT(G$1,$E25))=1,COUNTIF(qPCR_Unique!$D$3:$D$118,_xlfn.CONCAT(G$1,$E25))=0),"Physicochemical",AND(COUNTIF(Physicochemical_Managed!$P$2:$P$207,_xlfn.CONCAT(G$1,$E25))=0,COUNTIF(qPCR_Unique!$D$3:$D$118,_xlfn.CONCAT(G$1,$E25))=1),"OPs",AND(COUNTIF(Physicochemical_Managed!$P$2:$P$207,_xlfn.CONCAT(G$1,$E25))=0,COUNTIF(qPCR_Unique!$D$3:$D$118,_xlfn.CONCAT(G$1,$E25))=0),"Not assayed")</f>
        <v>Not assayed</v>
      </c>
      <c r="H25" s="195" t="str" cm="1">
        <f t="array" ref="H25">_xlfn.IFS(AND(COUNTIF(Physicochemical_Managed!$P$2:$P$207,_xlfn.CONCAT(H$1,$E25))=1,COUNTIF(qPCR_Unique!$D$3:$D$118,_xlfn.CONCAT(H$1,$E25))=1),"Both",AND(COUNTIF(Physicochemical_Managed!$P$2:$P$207,_xlfn.CONCAT(H$1,$E25))=1,COUNTIF(qPCR_Unique!$D$3:$D$118,_xlfn.CONCAT(H$1,$E25))=0),"Physicochemical",AND(COUNTIF(Physicochemical_Managed!$P$2:$P$207,_xlfn.CONCAT(H$1,$E25))=0,COUNTIF(qPCR_Unique!$D$3:$D$118,_xlfn.CONCAT(H$1,$E25))=1),"OPs",AND(COUNTIF(Physicochemical_Managed!$P$2:$P$207,_xlfn.CONCAT(H$1,$E25))=0,COUNTIF(qPCR_Unique!$D$3:$D$118,_xlfn.CONCAT(H$1,$E25))=0),"Not assayed")</f>
        <v>Not assayed</v>
      </c>
      <c r="I25" s="195" t="str" cm="1">
        <f t="array" ref="I25">_xlfn.IFS(AND(COUNTIF(Physicochemical_Managed!$P$2:$P$207,_xlfn.CONCAT(I$1,$E25))=1,COUNTIF(qPCR_Unique!$D$3:$D$118,_xlfn.CONCAT(I$1,$E25))=1),"Both",AND(COUNTIF(Physicochemical_Managed!$P$2:$P$207,_xlfn.CONCAT(I$1,$E25))=1,COUNTIF(qPCR_Unique!$D$3:$D$118,_xlfn.CONCAT(I$1,$E25))=0),"Physicochemical",AND(COUNTIF(Physicochemical_Managed!$P$2:$P$207,_xlfn.CONCAT(I$1,$E25))=0,COUNTIF(qPCR_Unique!$D$3:$D$118,_xlfn.CONCAT(I$1,$E25))=1),"OPs",AND(COUNTIF(Physicochemical_Managed!$P$2:$P$207,_xlfn.CONCAT(I$1,$E25))=0,COUNTIF(qPCR_Unique!$D$3:$D$118,_xlfn.CONCAT(I$1,$E25))=0),"Not assayed")</f>
        <v>Not assayed</v>
      </c>
      <c r="J25" s="195" t="str" cm="1">
        <f t="array" ref="J25">_xlfn.IFS(AND(COUNTIF(Physicochemical_Managed!$P$2:$P$207,_xlfn.CONCAT(J$1,$E25))=1,COUNTIF(qPCR_Unique!$D$3:$D$118,_xlfn.CONCAT(J$1,$E25))=1),"Both",AND(COUNTIF(Physicochemical_Managed!$P$2:$P$207,_xlfn.CONCAT(J$1,$E25))=1,COUNTIF(qPCR_Unique!$D$3:$D$118,_xlfn.CONCAT(J$1,$E25))=0),"Physicochemical",AND(COUNTIF(Physicochemical_Managed!$P$2:$P$207,_xlfn.CONCAT(J$1,$E25))=0,COUNTIF(qPCR_Unique!$D$3:$D$118,_xlfn.CONCAT(J$1,$E25))=1),"OPs",AND(COUNTIF(Physicochemical_Managed!$P$2:$P$207,_xlfn.CONCAT(J$1,$E25))=0,COUNTIF(qPCR_Unique!$D$3:$D$118,_xlfn.CONCAT(J$1,$E25))=0),"Not assayed")</f>
        <v>Physicochemical</v>
      </c>
      <c r="K25" s="195" t="str" cm="1">
        <f t="array" ref="K25">_xlfn.IFS(AND(COUNTIF(Physicochemical_Managed!$P$2:$P$207,_xlfn.CONCAT(K$1,$E25))=1,COUNTIF(qPCR_Unique!$D$3:$D$118,_xlfn.CONCAT(K$1,$E25))=1),"Both",AND(COUNTIF(Physicochemical_Managed!$P$2:$P$207,_xlfn.CONCAT(K$1,$E25))=1,COUNTIF(qPCR_Unique!$D$3:$D$118,_xlfn.CONCAT(K$1,$E25))=0),"Physicochemical",AND(COUNTIF(Physicochemical_Managed!$P$2:$P$207,_xlfn.CONCAT(K$1,$E25))=0,COUNTIF(qPCR_Unique!$D$3:$D$118,_xlfn.CONCAT(K$1,$E25))=1),"OPs",AND(COUNTIF(Physicochemical_Managed!$P$2:$P$207,_xlfn.CONCAT(K$1,$E25))=0,COUNTIF(qPCR_Unique!$D$3:$D$118,_xlfn.CONCAT(K$1,$E25))=0),"Not assayed")</f>
        <v>Physicochemical</v>
      </c>
      <c r="L25" s="195" t="str" cm="1">
        <f t="array" ref="L25">_xlfn.IFS(AND(COUNTIF(Physicochemical_Managed!$P$2:$P$207,_xlfn.CONCAT(L$1,$E25))=1,COUNTIF(qPCR_Unique!$D$3:$D$118,_xlfn.CONCAT(L$1,$E25))=1),"Both",AND(COUNTIF(Physicochemical_Managed!$P$2:$P$207,_xlfn.CONCAT(L$1,$E25))=1,COUNTIF(qPCR_Unique!$D$3:$D$118,_xlfn.CONCAT(L$1,$E25))=0),"Physicochemical",AND(COUNTIF(Physicochemical_Managed!$P$2:$P$207,_xlfn.CONCAT(L$1,$E25))=0,COUNTIF(qPCR_Unique!$D$3:$D$118,_xlfn.CONCAT(L$1,$E25))=1),"OPs",AND(COUNTIF(Physicochemical_Managed!$P$2:$P$207,_xlfn.CONCAT(L$1,$E25))=0,COUNTIF(qPCR_Unique!$D$3:$D$118,_xlfn.CONCAT(L$1,$E25))=0),"Not assayed")</f>
        <v>Physicochemical</v>
      </c>
      <c r="M25" s="818" t="str" cm="1">
        <f t="array" ref="M25">_xlfn.IFS(AND(COUNTIF(Physicochemical_Managed!$P$2:$P$207,_xlfn.CONCAT(M$1,$E25))=1,COUNTIF(qPCR_Unique!$D$3:$D$118,_xlfn.CONCAT(M$1,$E25))=1),"Both",AND(COUNTIF(Physicochemical_Managed!$P$2:$P$207,_xlfn.CONCAT(M$1,$E25))=1,COUNTIF(qPCR_Unique!$D$3:$D$118,_xlfn.CONCAT(M$1,$E25))=0),"Physicochemical",AND(COUNTIF(Physicochemical_Managed!$P$2:$P$207,_xlfn.CONCAT(M$1,$E25))=0,COUNTIF(qPCR_Unique!$D$3:$D$118,_xlfn.CONCAT(M$1,$E25))=1),"OPs",AND(COUNTIF(Physicochemical_Managed!$P$2:$P$207,_xlfn.CONCAT(M$1,$E25))=0,COUNTIF(qPCR_Unique!$D$3:$D$118,_xlfn.CONCAT(M$1,$E25))=0),"Not assayed")</f>
        <v>Physicochemical</v>
      </c>
    </row>
    <row r="26" spans="1:13" s="191" customFormat="1" x14ac:dyDescent="0.3">
      <c r="A26" s="236" t="str">
        <f>Physicochemical_Managed!P26</f>
        <v>SPI44327</v>
      </c>
      <c r="B26" s="238" t="str" cm="1">
        <f t="array" ref="B26">INDEX($A$2:$A$323,MATCH(0,COUNTIF($B$1:B25,$A$2:$A$323),0))</f>
        <v>SPI44327</v>
      </c>
      <c r="C26" s="809">
        <f t="shared" si="0"/>
        <v>44327</v>
      </c>
      <c r="D26" s="817" cm="1">
        <f t="array" ref="D26">INDEX($C$2:$C$212,MATCH(0,COUNTIF($D$1:D25,$C$2:$C$212),0))</f>
        <v>44349</v>
      </c>
      <c r="E26" s="848">
        <v>44391</v>
      </c>
      <c r="F26" s="840" t="str" cm="1">
        <f t="array" ref="F26">_xlfn.IFS(AND(COUNTIF(Physicochemical_Managed!$P$2:$P$207,_xlfn.CONCAT(F$1,$E26))=1,COUNTIF(qPCR_Unique!$D$3:$D$118,_xlfn.CONCAT(F$1,$E26))=1),"Both",AND(COUNTIF(Physicochemical_Managed!$P$2:$P$207,_xlfn.CONCAT(F$1,$E26))=1,COUNTIF(qPCR_Unique!$D$3:$D$118,_xlfn.CONCAT(F$1,$E26))=0),"Physicochemical",AND(COUNTIF(Physicochemical_Managed!$P$2:$P$207,_xlfn.CONCAT(F$1,$E26))=0,COUNTIF(qPCR_Unique!$D$3:$D$118,_xlfn.CONCAT(F$1,$E26))=1),"OPs",AND(COUNTIF(Physicochemical_Managed!$P$2:$P$207,_xlfn.CONCAT(F$1,$E26))=0,COUNTIF(qPCR_Unique!$D$3:$D$118,_xlfn.CONCAT(F$1,$E26))=0),"Not assayed")</f>
        <v>Both</v>
      </c>
      <c r="G26" s="195" t="str" cm="1">
        <f t="array" ref="G26">_xlfn.IFS(AND(COUNTIF(Physicochemical_Managed!$P$2:$P$207,_xlfn.CONCAT(G$1,$E26))=1,COUNTIF(qPCR_Unique!$D$3:$D$118,_xlfn.CONCAT(G$1,$E26))=1),"Both",AND(COUNTIF(Physicochemical_Managed!$P$2:$P$207,_xlfn.CONCAT(G$1,$E26))=1,COUNTIF(qPCR_Unique!$D$3:$D$118,_xlfn.CONCAT(G$1,$E26))=0),"Physicochemical",AND(COUNTIF(Physicochemical_Managed!$P$2:$P$207,_xlfn.CONCAT(G$1,$E26))=0,COUNTIF(qPCR_Unique!$D$3:$D$118,_xlfn.CONCAT(G$1,$E26))=1),"OPs",AND(COUNTIF(Physicochemical_Managed!$P$2:$P$207,_xlfn.CONCAT(G$1,$E26))=0,COUNTIF(qPCR_Unique!$D$3:$D$118,_xlfn.CONCAT(G$1,$E26))=0),"Not assayed")</f>
        <v>Both</v>
      </c>
      <c r="H26" s="195" t="str" cm="1">
        <f t="array" ref="H26">_xlfn.IFS(AND(COUNTIF(Physicochemical_Managed!$P$2:$P$207,_xlfn.CONCAT(H$1,$E26))=1,COUNTIF(qPCR_Unique!$D$3:$D$118,_xlfn.CONCAT(H$1,$E26))=1),"Both",AND(COUNTIF(Physicochemical_Managed!$P$2:$P$207,_xlfn.CONCAT(H$1,$E26))=1,COUNTIF(qPCR_Unique!$D$3:$D$118,_xlfn.CONCAT(H$1,$E26))=0),"Physicochemical",AND(COUNTIF(Physicochemical_Managed!$P$2:$P$207,_xlfn.CONCAT(H$1,$E26))=0,COUNTIF(qPCR_Unique!$D$3:$D$118,_xlfn.CONCAT(H$1,$E26))=1),"OPs",AND(COUNTIF(Physicochemical_Managed!$P$2:$P$207,_xlfn.CONCAT(H$1,$E26))=0,COUNTIF(qPCR_Unique!$D$3:$D$118,_xlfn.CONCAT(H$1,$E26))=0),"Not assayed")</f>
        <v>Both</v>
      </c>
      <c r="I26" s="195" t="str" cm="1">
        <f t="array" ref="I26">_xlfn.IFS(AND(COUNTIF(Physicochemical_Managed!$P$2:$P$207,_xlfn.CONCAT(I$1,$E26))=1,COUNTIF(qPCR_Unique!$D$3:$D$118,_xlfn.CONCAT(I$1,$E26))=1),"Both",AND(COUNTIF(Physicochemical_Managed!$P$2:$P$207,_xlfn.CONCAT(I$1,$E26))=1,COUNTIF(qPCR_Unique!$D$3:$D$118,_xlfn.CONCAT(I$1,$E26))=0),"Physicochemical",AND(COUNTIF(Physicochemical_Managed!$P$2:$P$207,_xlfn.CONCAT(I$1,$E26))=0,COUNTIF(qPCR_Unique!$D$3:$D$118,_xlfn.CONCAT(I$1,$E26))=1),"OPs",AND(COUNTIF(Physicochemical_Managed!$P$2:$P$207,_xlfn.CONCAT(I$1,$E26))=0,COUNTIF(qPCR_Unique!$D$3:$D$118,_xlfn.CONCAT(I$1,$E26))=0),"Not assayed")</f>
        <v>Both</v>
      </c>
      <c r="J26" s="195" t="str" cm="1">
        <f t="array" ref="J26">_xlfn.IFS(AND(COUNTIF(Physicochemical_Managed!$P$2:$P$207,_xlfn.CONCAT(J$1,$E26))=1,COUNTIF(qPCR_Unique!$D$3:$D$118,_xlfn.CONCAT(J$1,$E26))=1),"Both",AND(COUNTIF(Physicochemical_Managed!$P$2:$P$207,_xlfn.CONCAT(J$1,$E26))=1,COUNTIF(qPCR_Unique!$D$3:$D$118,_xlfn.CONCAT(J$1,$E26))=0),"Physicochemical",AND(COUNTIF(Physicochemical_Managed!$P$2:$P$207,_xlfn.CONCAT(J$1,$E26))=0,COUNTIF(qPCR_Unique!$D$3:$D$118,_xlfn.CONCAT(J$1,$E26))=1),"OPs",AND(COUNTIF(Physicochemical_Managed!$P$2:$P$207,_xlfn.CONCAT(J$1,$E26))=0,COUNTIF(qPCR_Unique!$D$3:$D$118,_xlfn.CONCAT(J$1,$E26))=0),"Not assayed")</f>
        <v>Both</v>
      </c>
      <c r="K26" s="195" t="str" cm="1">
        <f t="array" ref="K26">_xlfn.IFS(AND(COUNTIF(Physicochemical_Managed!$P$2:$P$207,_xlfn.CONCAT(K$1,$E26))=1,COUNTIF(qPCR_Unique!$D$3:$D$118,_xlfn.CONCAT(K$1,$E26))=1),"Both",AND(COUNTIF(Physicochemical_Managed!$P$2:$P$207,_xlfn.CONCAT(K$1,$E26))=1,COUNTIF(qPCR_Unique!$D$3:$D$118,_xlfn.CONCAT(K$1,$E26))=0),"Physicochemical",AND(COUNTIF(Physicochemical_Managed!$P$2:$P$207,_xlfn.CONCAT(K$1,$E26))=0,COUNTIF(qPCR_Unique!$D$3:$D$118,_xlfn.CONCAT(K$1,$E26))=1),"OPs",AND(COUNTIF(Physicochemical_Managed!$P$2:$P$207,_xlfn.CONCAT(K$1,$E26))=0,COUNTIF(qPCR_Unique!$D$3:$D$118,_xlfn.CONCAT(K$1,$E26))=0),"Not assayed")</f>
        <v>Both</v>
      </c>
      <c r="L26" s="195" t="str" cm="1">
        <f t="array" ref="L26">_xlfn.IFS(AND(COUNTIF(Physicochemical_Managed!$P$2:$P$207,_xlfn.CONCAT(L$1,$E26))=1,COUNTIF(qPCR_Unique!$D$3:$D$118,_xlfn.CONCAT(L$1,$E26))=1),"Both",AND(COUNTIF(Physicochemical_Managed!$P$2:$P$207,_xlfn.CONCAT(L$1,$E26))=1,COUNTIF(qPCR_Unique!$D$3:$D$118,_xlfn.CONCAT(L$1,$E26))=0),"Physicochemical",AND(COUNTIF(Physicochemical_Managed!$P$2:$P$207,_xlfn.CONCAT(L$1,$E26))=0,COUNTIF(qPCR_Unique!$D$3:$D$118,_xlfn.CONCAT(L$1,$E26))=1),"OPs",AND(COUNTIF(Physicochemical_Managed!$P$2:$P$207,_xlfn.CONCAT(L$1,$E26))=0,COUNTIF(qPCR_Unique!$D$3:$D$118,_xlfn.CONCAT(L$1,$E26))=0),"Not assayed")</f>
        <v>Both</v>
      </c>
      <c r="M26" s="818" t="str" cm="1">
        <f t="array" ref="M26">_xlfn.IFS(AND(COUNTIF(Physicochemical_Managed!$P$2:$P$207,_xlfn.CONCAT(M$1,$E26))=1,COUNTIF(qPCR_Unique!$D$3:$D$118,_xlfn.CONCAT(M$1,$E26))=1),"Both",AND(COUNTIF(Physicochemical_Managed!$P$2:$P$207,_xlfn.CONCAT(M$1,$E26))=1,COUNTIF(qPCR_Unique!$D$3:$D$118,_xlfn.CONCAT(M$1,$E26))=0),"Physicochemical",AND(COUNTIF(Physicochemical_Managed!$P$2:$P$207,_xlfn.CONCAT(M$1,$E26))=0,COUNTIF(qPCR_Unique!$D$3:$D$118,_xlfn.CONCAT(M$1,$E26))=1),"OPs",AND(COUNTIF(Physicochemical_Managed!$P$2:$P$207,_xlfn.CONCAT(M$1,$E26))=0,COUNTIF(qPCR_Unique!$D$3:$D$118,_xlfn.CONCAT(M$1,$E26))=0),"Not assayed")</f>
        <v>Both</v>
      </c>
    </row>
    <row r="27" spans="1:13" s="191" customFormat="1" x14ac:dyDescent="0.3">
      <c r="A27" s="236" t="str">
        <f>Physicochemical_Managed!P27</f>
        <v>SPI44335</v>
      </c>
      <c r="B27" s="238" t="str" cm="1">
        <f t="array" ref="B27">INDEX($A$2:$A$323,MATCH(0,COUNTIF($B$1:B26,$A$2:$A$323),0))</f>
        <v>SPI44335</v>
      </c>
      <c r="C27" s="809">
        <f t="shared" si="0"/>
        <v>44335</v>
      </c>
      <c r="D27" s="817" cm="1">
        <f t="array" ref="D27">INDEX($C$2:$C$212,MATCH(0,COUNTIF($D$1:D26,$C$2:$C$212),0))</f>
        <v>44355</v>
      </c>
      <c r="E27" s="848">
        <v>44397</v>
      </c>
      <c r="F27" s="840" t="str" cm="1">
        <f t="array" ref="F27">_xlfn.IFS(AND(COUNTIF(Physicochemical_Managed!$P$2:$P$207,_xlfn.CONCAT(F$1,$E27))=1,COUNTIF(qPCR_Unique!$D$3:$D$118,_xlfn.CONCAT(F$1,$E27))=1),"Both",AND(COUNTIF(Physicochemical_Managed!$P$2:$P$207,_xlfn.CONCAT(F$1,$E27))=1,COUNTIF(qPCR_Unique!$D$3:$D$118,_xlfn.CONCAT(F$1,$E27))=0),"Physicochemical",AND(COUNTIF(Physicochemical_Managed!$P$2:$P$207,_xlfn.CONCAT(F$1,$E27))=0,COUNTIF(qPCR_Unique!$D$3:$D$118,_xlfn.CONCAT(F$1,$E27))=1),"OPs",AND(COUNTIF(Physicochemical_Managed!$P$2:$P$207,_xlfn.CONCAT(F$1,$E27))=0,COUNTIF(qPCR_Unique!$D$3:$D$118,_xlfn.CONCAT(F$1,$E27))=0),"Not assayed")</f>
        <v>Not assayed</v>
      </c>
      <c r="G27" s="195" t="str" cm="1">
        <f t="array" ref="G27">_xlfn.IFS(AND(COUNTIF(Physicochemical_Managed!$P$2:$P$207,_xlfn.CONCAT(G$1,$E27))=1,COUNTIF(qPCR_Unique!$D$3:$D$118,_xlfn.CONCAT(G$1,$E27))=1),"Both",AND(COUNTIF(Physicochemical_Managed!$P$2:$P$207,_xlfn.CONCAT(G$1,$E27))=1,COUNTIF(qPCR_Unique!$D$3:$D$118,_xlfn.CONCAT(G$1,$E27))=0),"Physicochemical",AND(COUNTIF(Physicochemical_Managed!$P$2:$P$207,_xlfn.CONCAT(G$1,$E27))=0,COUNTIF(qPCR_Unique!$D$3:$D$118,_xlfn.CONCAT(G$1,$E27))=1),"OPs",AND(COUNTIF(Physicochemical_Managed!$P$2:$P$207,_xlfn.CONCAT(G$1,$E27))=0,COUNTIF(qPCR_Unique!$D$3:$D$118,_xlfn.CONCAT(G$1,$E27))=0),"Not assayed")</f>
        <v>Not assayed</v>
      </c>
      <c r="H27" s="195" t="str" cm="1">
        <f t="array" ref="H27">_xlfn.IFS(AND(COUNTIF(Physicochemical_Managed!$P$2:$P$207,_xlfn.CONCAT(H$1,$E27))=1,COUNTIF(qPCR_Unique!$D$3:$D$118,_xlfn.CONCAT(H$1,$E27))=1),"Both",AND(COUNTIF(Physicochemical_Managed!$P$2:$P$207,_xlfn.CONCAT(H$1,$E27))=1,COUNTIF(qPCR_Unique!$D$3:$D$118,_xlfn.CONCAT(H$1,$E27))=0),"Physicochemical",AND(COUNTIF(Physicochemical_Managed!$P$2:$P$207,_xlfn.CONCAT(H$1,$E27))=0,COUNTIF(qPCR_Unique!$D$3:$D$118,_xlfn.CONCAT(H$1,$E27))=1),"OPs",AND(COUNTIF(Physicochemical_Managed!$P$2:$P$207,_xlfn.CONCAT(H$1,$E27))=0,COUNTIF(qPCR_Unique!$D$3:$D$118,_xlfn.CONCAT(H$1,$E27))=0),"Not assayed")</f>
        <v>Not assayed</v>
      </c>
      <c r="I27" s="195" t="str" cm="1">
        <f t="array" ref="I27">_xlfn.IFS(AND(COUNTIF(Physicochemical_Managed!$P$2:$P$207,_xlfn.CONCAT(I$1,$E27))=1,COUNTIF(qPCR_Unique!$D$3:$D$118,_xlfn.CONCAT(I$1,$E27))=1),"Both",AND(COUNTIF(Physicochemical_Managed!$P$2:$P$207,_xlfn.CONCAT(I$1,$E27))=1,COUNTIF(qPCR_Unique!$D$3:$D$118,_xlfn.CONCAT(I$1,$E27))=0),"Physicochemical",AND(COUNTIF(Physicochemical_Managed!$P$2:$P$207,_xlfn.CONCAT(I$1,$E27))=0,COUNTIF(qPCR_Unique!$D$3:$D$118,_xlfn.CONCAT(I$1,$E27))=1),"OPs",AND(COUNTIF(Physicochemical_Managed!$P$2:$P$207,_xlfn.CONCAT(I$1,$E27))=0,COUNTIF(qPCR_Unique!$D$3:$D$118,_xlfn.CONCAT(I$1,$E27))=0),"Not assayed")</f>
        <v>Not assayed</v>
      </c>
      <c r="J27" s="195" t="str" cm="1">
        <f t="array" ref="J27">_xlfn.IFS(AND(COUNTIF(Physicochemical_Managed!$P$2:$P$207,_xlfn.CONCAT(J$1,$E27))=1,COUNTIF(qPCR_Unique!$D$3:$D$118,_xlfn.CONCAT(J$1,$E27))=1),"Both",AND(COUNTIF(Physicochemical_Managed!$P$2:$P$207,_xlfn.CONCAT(J$1,$E27))=1,COUNTIF(qPCR_Unique!$D$3:$D$118,_xlfn.CONCAT(J$1,$E27))=0),"Physicochemical",AND(COUNTIF(Physicochemical_Managed!$P$2:$P$207,_xlfn.CONCAT(J$1,$E27))=0,COUNTIF(qPCR_Unique!$D$3:$D$118,_xlfn.CONCAT(J$1,$E27))=1),"OPs",AND(COUNTIF(Physicochemical_Managed!$P$2:$P$207,_xlfn.CONCAT(J$1,$E27))=0,COUNTIF(qPCR_Unique!$D$3:$D$118,_xlfn.CONCAT(J$1,$E27))=0),"Not assayed")</f>
        <v>Physicochemical</v>
      </c>
      <c r="K27" s="195" t="str" cm="1">
        <f t="array" ref="K27">_xlfn.IFS(AND(COUNTIF(Physicochemical_Managed!$P$2:$P$207,_xlfn.CONCAT(K$1,$E27))=1,COUNTIF(qPCR_Unique!$D$3:$D$118,_xlfn.CONCAT(K$1,$E27))=1),"Both",AND(COUNTIF(Physicochemical_Managed!$P$2:$P$207,_xlfn.CONCAT(K$1,$E27))=1,COUNTIF(qPCR_Unique!$D$3:$D$118,_xlfn.CONCAT(K$1,$E27))=0),"Physicochemical",AND(COUNTIF(Physicochemical_Managed!$P$2:$P$207,_xlfn.CONCAT(K$1,$E27))=0,COUNTIF(qPCR_Unique!$D$3:$D$118,_xlfn.CONCAT(K$1,$E27))=1),"OPs",AND(COUNTIF(Physicochemical_Managed!$P$2:$P$207,_xlfn.CONCAT(K$1,$E27))=0,COUNTIF(qPCR_Unique!$D$3:$D$118,_xlfn.CONCAT(K$1,$E27))=0),"Not assayed")</f>
        <v>Physicochemical</v>
      </c>
      <c r="L27" s="195" t="str" cm="1">
        <f t="array" ref="L27">_xlfn.IFS(AND(COUNTIF(Physicochemical_Managed!$P$2:$P$207,_xlfn.CONCAT(L$1,$E27))=1,COUNTIF(qPCR_Unique!$D$3:$D$118,_xlfn.CONCAT(L$1,$E27))=1),"Both",AND(COUNTIF(Physicochemical_Managed!$P$2:$P$207,_xlfn.CONCAT(L$1,$E27))=1,COUNTIF(qPCR_Unique!$D$3:$D$118,_xlfn.CONCAT(L$1,$E27))=0),"Physicochemical",AND(COUNTIF(Physicochemical_Managed!$P$2:$P$207,_xlfn.CONCAT(L$1,$E27))=0,COUNTIF(qPCR_Unique!$D$3:$D$118,_xlfn.CONCAT(L$1,$E27))=1),"OPs",AND(COUNTIF(Physicochemical_Managed!$P$2:$P$207,_xlfn.CONCAT(L$1,$E27))=0,COUNTIF(qPCR_Unique!$D$3:$D$118,_xlfn.CONCAT(L$1,$E27))=0),"Not assayed")</f>
        <v>Physicochemical</v>
      </c>
      <c r="M27" s="818" t="str" cm="1">
        <f t="array" ref="M27">_xlfn.IFS(AND(COUNTIF(Physicochemical_Managed!$P$2:$P$207,_xlfn.CONCAT(M$1,$E27))=1,COUNTIF(qPCR_Unique!$D$3:$D$118,_xlfn.CONCAT(M$1,$E27))=1),"Both",AND(COUNTIF(Physicochemical_Managed!$P$2:$P$207,_xlfn.CONCAT(M$1,$E27))=1,COUNTIF(qPCR_Unique!$D$3:$D$118,_xlfn.CONCAT(M$1,$E27))=0),"Physicochemical",AND(COUNTIF(Physicochemical_Managed!$P$2:$P$207,_xlfn.CONCAT(M$1,$E27))=0,COUNTIF(qPCR_Unique!$D$3:$D$118,_xlfn.CONCAT(M$1,$E27))=1),"OPs",AND(COUNTIF(Physicochemical_Managed!$P$2:$P$207,_xlfn.CONCAT(M$1,$E27))=0,COUNTIF(qPCR_Unique!$D$3:$D$118,_xlfn.CONCAT(M$1,$E27))=0),"Not assayed")</f>
        <v>Physicochemical</v>
      </c>
    </row>
    <row r="28" spans="1:13" s="191" customFormat="1" x14ac:dyDescent="0.3">
      <c r="A28" s="236" t="str">
        <f>Physicochemical_Managed!P28</f>
        <v>SPI44342</v>
      </c>
      <c r="B28" s="238" t="str" cm="1">
        <f t="array" ref="B28">INDEX($A$2:$A$323,MATCH(0,COUNTIF($B$1:B27,$A$2:$A$323),0))</f>
        <v>SPI44342</v>
      </c>
      <c r="C28" s="809">
        <f t="shared" si="0"/>
        <v>44342</v>
      </c>
      <c r="D28" s="817" cm="1">
        <f t="array" ref="D28">INDEX($C$2:$C$212,MATCH(0,COUNTIF($D$1:D27,$C$2:$C$212),0))</f>
        <v>44362</v>
      </c>
      <c r="E28" s="848">
        <v>44398</v>
      </c>
      <c r="F28" s="840" t="str" cm="1">
        <f t="array" ref="F28">_xlfn.IFS(AND(COUNTIF(Physicochemical_Managed!$P$2:$P$207,_xlfn.CONCAT(F$1,$E28))=1,COUNTIF(qPCR_Unique!$D$3:$D$118,_xlfn.CONCAT(F$1,$E28))=1),"Both",AND(COUNTIF(Physicochemical_Managed!$P$2:$P$207,_xlfn.CONCAT(F$1,$E28))=1,COUNTIF(qPCR_Unique!$D$3:$D$118,_xlfn.CONCAT(F$1,$E28))=0),"Physicochemical",AND(COUNTIF(Physicochemical_Managed!$P$2:$P$207,_xlfn.CONCAT(F$1,$E28))=0,COUNTIF(qPCR_Unique!$D$3:$D$118,_xlfn.CONCAT(F$1,$E28))=1),"OPs",AND(COUNTIF(Physicochemical_Managed!$P$2:$P$207,_xlfn.CONCAT(F$1,$E28))=0,COUNTIF(qPCR_Unique!$D$3:$D$118,_xlfn.CONCAT(F$1,$E28))=0),"Not assayed")</f>
        <v>Both</v>
      </c>
      <c r="G28" s="195" t="str" cm="1">
        <f t="array" ref="G28">_xlfn.IFS(AND(COUNTIF(Physicochemical_Managed!$P$2:$P$207,_xlfn.CONCAT(G$1,$E28))=1,COUNTIF(qPCR_Unique!$D$3:$D$118,_xlfn.CONCAT(G$1,$E28))=1),"Both",AND(COUNTIF(Physicochemical_Managed!$P$2:$P$207,_xlfn.CONCAT(G$1,$E28))=1,COUNTIF(qPCR_Unique!$D$3:$D$118,_xlfn.CONCAT(G$1,$E28))=0),"Physicochemical",AND(COUNTIF(Physicochemical_Managed!$P$2:$P$207,_xlfn.CONCAT(G$1,$E28))=0,COUNTIF(qPCR_Unique!$D$3:$D$118,_xlfn.CONCAT(G$1,$E28))=1),"OPs",AND(COUNTIF(Physicochemical_Managed!$P$2:$P$207,_xlfn.CONCAT(G$1,$E28))=0,COUNTIF(qPCR_Unique!$D$3:$D$118,_xlfn.CONCAT(G$1,$E28))=0),"Not assayed")</f>
        <v>Both</v>
      </c>
      <c r="H28" s="195" t="str" cm="1">
        <f t="array" ref="H28">_xlfn.IFS(AND(COUNTIF(Physicochemical_Managed!$P$2:$P$207,_xlfn.CONCAT(H$1,$E28))=1,COUNTIF(qPCR_Unique!$D$3:$D$118,_xlfn.CONCAT(H$1,$E28))=1),"Both",AND(COUNTIF(Physicochemical_Managed!$P$2:$P$207,_xlfn.CONCAT(H$1,$E28))=1,COUNTIF(qPCR_Unique!$D$3:$D$118,_xlfn.CONCAT(H$1,$E28))=0),"Physicochemical",AND(COUNTIF(Physicochemical_Managed!$P$2:$P$207,_xlfn.CONCAT(H$1,$E28))=0,COUNTIF(qPCR_Unique!$D$3:$D$118,_xlfn.CONCAT(H$1,$E28))=1),"OPs",AND(COUNTIF(Physicochemical_Managed!$P$2:$P$207,_xlfn.CONCAT(H$1,$E28))=0,COUNTIF(qPCR_Unique!$D$3:$D$118,_xlfn.CONCAT(H$1,$E28))=0),"Not assayed")</f>
        <v>Both</v>
      </c>
      <c r="I28" s="195" t="str" cm="1">
        <f t="array" ref="I28">_xlfn.IFS(AND(COUNTIF(Physicochemical_Managed!$P$2:$P$207,_xlfn.CONCAT(I$1,$E28))=1,COUNTIF(qPCR_Unique!$D$3:$D$118,_xlfn.CONCAT(I$1,$E28))=1),"Both",AND(COUNTIF(Physicochemical_Managed!$P$2:$P$207,_xlfn.CONCAT(I$1,$E28))=1,COUNTIF(qPCR_Unique!$D$3:$D$118,_xlfn.CONCAT(I$1,$E28))=0),"Physicochemical",AND(COUNTIF(Physicochemical_Managed!$P$2:$P$207,_xlfn.CONCAT(I$1,$E28))=0,COUNTIF(qPCR_Unique!$D$3:$D$118,_xlfn.CONCAT(I$1,$E28))=1),"OPs",AND(COUNTIF(Physicochemical_Managed!$P$2:$P$207,_xlfn.CONCAT(I$1,$E28))=0,COUNTIF(qPCR_Unique!$D$3:$D$118,_xlfn.CONCAT(I$1,$E28))=0),"Not assayed")</f>
        <v>Both</v>
      </c>
      <c r="J28" s="195" t="str" cm="1">
        <f t="array" ref="J28">_xlfn.IFS(AND(COUNTIF(Physicochemical_Managed!$P$2:$P$207,_xlfn.CONCAT(J$1,$E28))=1,COUNTIF(qPCR_Unique!$D$3:$D$118,_xlfn.CONCAT(J$1,$E28))=1),"Both",AND(COUNTIF(Physicochemical_Managed!$P$2:$P$207,_xlfn.CONCAT(J$1,$E28))=1,COUNTIF(qPCR_Unique!$D$3:$D$118,_xlfn.CONCAT(J$1,$E28))=0),"Physicochemical",AND(COUNTIF(Physicochemical_Managed!$P$2:$P$207,_xlfn.CONCAT(J$1,$E28))=0,COUNTIF(qPCR_Unique!$D$3:$D$118,_xlfn.CONCAT(J$1,$E28))=1),"OPs",AND(COUNTIF(Physicochemical_Managed!$P$2:$P$207,_xlfn.CONCAT(J$1,$E28))=0,COUNTIF(qPCR_Unique!$D$3:$D$118,_xlfn.CONCAT(J$1,$E28))=0),"Not assayed")</f>
        <v>Both</v>
      </c>
      <c r="K28" s="195" t="str" cm="1">
        <f t="array" ref="K28">_xlfn.IFS(AND(COUNTIF(Physicochemical_Managed!$P$2:$P$207,_xlfn.CONCAT(K$1,$E28))=1,COUNTIF(qPCR_Unique!$D$3:$D$118,_xlfn.CONCAT(K$1,$E28))=1),"Both",AND(COUNTIF(Physicochemical_Managed!$P$2:$P$207,_xlfn.CONCAT(K$1,$E28))=1,COUNTIF(qPCR_Unique!$D$3:$D$118,_xlfn.CONCAT(K$1,$E28))=0),"Physicochemical",AND(COUNTIF(Physicochemical_Managed!$P$2:$P$207,_xlfn.CONCAT(K$1,$E28))=0,COUNTIF(qPCR_Unique!$D$3:$D$118,_xlfn.CONCAT(K$1,$E28))=1),"OPs",AND(COUNTIF(Physicochemical_Managed!$P$2:$P$207,_xlfn.CONCAT(K$1,$E28))=0,COUNTIF(qPCR_Unique!$D$3:$D$118,_xlfn.CONCAT(K$1,$E28))=0),"Not assayed")</f>
        <v>OPs</v>
      </c>
      <c r="L28" s="195" t="str" cm="1">
        <f t="array" ref="L28">_xlfn.IFS(AND(COUNTIF(Physicochemical_Managed!$P$2:$P$207,_xlfn.CONCAT(L$1,$E28))=1,COUNTIF(qPCR_Unique!$D$3:$D$118,_xlfn.CONCAT(L$1,$E28))=1),"Both",AND(COUNTIF(Physicochemical_Managed!$P$2:$P$207,_xlfn.CONCAT(L$1,$E28))=1,COUNTIF(qPCR_Unique!$D$3:$D$118,_xlfn.CONCAT(L$1,$E28))=0),"Physicochemical",AND(COUNTIF(Physicochemical_Managed!$P$2:$P$207,_xlfn.CONCAT(L$1,$E28))=0,COUNTIF(qPCR_Unique!$D$3:$D$118,_xlfn.CONCAT(L$1,$E28))=1),"OPs",AND(COUNTIF(Physicochemical_Managed!$P$2:$P$207,_xlfn.CONCAT(L$1,$E28))=0,COUNTIF(qPCR_Unique!$D$3:$D$118,_xlfn.CONCAT(L$1,$E28))=0),"Not assayed")</f>
        <v>Both</v>
      </c>
      <c r="M28" s="818" t="str" cm="1">
        <f t="array" ref="M28">_xlfn.IFS(AND(COUNTIF(Physicochemical_Managed!$P$2:$P$207,_xlfn.CONCAT(M$1,$E28))=1,COUNTIF(qPCR_Unique!$D$3:$D$118,_xlfn.CONCAT(M$1,$E28))=1),"Both",AND(COUNTIF(Physicochemical_Managed!$P$2:$P$207,_xlfn.CONCAT(M$1,$E28))=1,COUNTIF(qPCR_Unique!$D$3:$D$118,_xlfn.CONCAT(M$1,$E28))=0),"Physicochemical",AND(COUNTIF(Physicochemical_Managed!$P$2:$P$207,_xlfn.CONCAT(M$1,$E28))=0,COUNTIF(qPCR_Unique!$D$3:$D$118,_xlfn.CONCAT(M$1,$E28))=1),"OPs",AND(COUNTIF(Physicochemical_Managed!$P$2:$P$207,_xlfn.CONCAT(M$1,$E28))=0,COUNTIF(qPCR_Unique!$D$3:$D$118,_xlfn.CONCAT(M$1,$E28))=0),"Not assayed")</f>
        <v>Both</v>
      </c>
    </row>
    <row r="29" spans="1:13" s="191" customFormat="1" x14ac:dyDescent="0.3">
      <c r="A29" s="236" t="str">
        <f>Physicochemical_Managed!P29</f>
        <v>SPI44356</v>
      </c>
      <c r="B29" s="238" t="str" cm="1">
        <f t="array" ref="B29">INDEX($A$2:$A$323,MATCH(0,COUNTIF($B$1:B28,$A$2:$A$323),0))</f>
        <v>SPI44356</v>
      </c>
      <c r="C29" s="809">
        <f t="shared" si="0"/>
        <v>44356</v>
      </c>
      <c r="D29" s="817" cm="1">
        <f t="array" ref="D29">INDEX($C$2:$C$212,MATCH(0,COUNTIF($D$1:D28,$C$2:$C$212),0))</f>
        <v>44369</v>
      </c>
      <c r="E29" s="848">
        <v>44404</v>
      </c>
      <c r="F29" s="840" t="str" cm="1">
        <f t="array" ref="F29">_xlfn.IFS(AND(COUNTIF(Physicochemical_Managed!$P$2:$P$207,_xlfn.CONCAT(F$1,$E29))=1,COUNTIF(qPCR_Unique!$D$3:$D$118,_xlfn.CONCAT(F$1,$E29))=1),"Both",AND(COUNTIF(Physicochemical_Managed!$P$2:$P$207,_xlfn.CONCAT(F$1,$E29))=1,COUNTIF(qPCR_Unique!$D$3:$D$118,_xlfn.CONCAT(F$1,$E29))=0),"Physicochemical",AND(COUNTIF(Physicochemical_Managed!$P$2:$P$207,_xlfn.CONCAT(F$1,$E29))=0,COUNTIF(qPCR_Unique!$D$3:$D$118,_xlfn.CONCAT(F$1,$E29))=1),"OPs",AND(COUNTIF(Physicochemical_Managed!$P$2:$P$207,_xlfn.CONCAT(F$1,$E29))=0,COUNTIF(qPCR_Unique!$D$3:$D$118,_xlfn.CONCAT(F$1,$E29))=0),"Not assayed")</f>
        <v>Not assayed</v>
      </c>
      <c r="G29" s="195" t="str" cm="1">
        <f t="array" ref="G29">_xlfn.IFS(AND(COUNTIF(Physicochemical_Managed!$P$2:$P$207,_xlfn.CONCAT(G$1,$E29))=1,COUNTIF(qPCR_Unique!$D$3:$D$118,_xlfn.CONCAT(G$1,$E29))=1),"Both",AND(COUNTIF(Physicochemical_Managed!$P$2:$P$207,_xlfn.CONCAT(G$1,$E29))=1,COUNTIF(qPCR_Unique!$D$3:$D$118,_xlfn.CONCAT(G$1,$E29))=0),"Physicochemical",AND(COUNTIF(Physicochemical_Managed!$P$2:$P$207,_xlfn.CONCAT(G$1,$E29))=0,COUNTIF(qPCR_Unique!$D$3:$D$118,_xlfn.CONCAT(G$1,$E29))=1),"OPs",AND(COUNTIF(Physicochemical_Managed!$P$2:$P$207,_xlfn.CONCAT(G$1,$E29))=0,COUNTIF(qPCR_Unique!$D$3:$D$118,_xlfn.CONCAT(G$1,$E29))=0),"Not assayed")</f>
        <v>Not assayed</v>
      </c>
      <c r="H29" s="195" t="str" cm="1">
        <f t="array" ref="H29">_xlfn.IFS(AND(COUNTIF(Physicochemical_Managed!$P$2:$P$207,_xlfn.CONCAT(H$1,$E29))=1,COUNTIF(qPCR_Unique!$D$3:$D$118,_xlfn.CONCAT(H$1,$E29))=1),"Both",AND(COUNTIF(Physicochemical_Managed!$P$2:$P$207,_xlfn.CONCAT(H$1,$E29))=1,COUNTIF(qPCR_Unique!$D$3:$D$118,_xlfn.CONCAT(H$1,$E29))=0),"Physicochemical",AND(COUNTIF(Physicochemical_Managed!$P$2:$P$207,_xlfn.CONCAT(H$1,$E29))=0,COUNTIF(qPCR_Unique!$D$3:$D$118,_xlfn.CONCAT(H$1,$E29))=1),"OPs",AND(COUNTIF(Physicochemical_Managed!$P$2:$P$207,_xlfn.CONCAT(H$1,$E29))=0,COUNTIF(qPCR_Unique!$D$3:$D$118,_xlfn.CONCAT(H$1,$E29))=0),"Not assayed")</f>
        <v>Not assayed</v>
      </c>
      <c r="I29" s="195" t="str" cm="1">
        <f t="array" ref="I29">_xlfn.IFS(AND(COUNTIF(Physicochemical_Managed!$P$2:$P$207,_xlfn.CONCAT(I$1,$E29))=1,COUNTIF(qPCR_Unique!$D$3:$D$118,_xlfn.CONCAT(I$1,$E29))=1),"Both",AND(COUNTIF(Physicochemical_Managed!$P$2:$P$207,_xlfn.CONCAT(I$1,$E29))=1,COUNTIF(qPCR_Unique!$D$3:$D$118,_xlfn.CONCAT(I$1,$E29))=0),"Physicochemical",AND(COUNTIF(Physicochemical_Managed!$P$2:$P$207,_xlfn.CONCAT(I$1,$E29))=0,COUNTIF(qPCR_Unique!$D$3:$D$118,_xlfn.CONCAT(I$1,$E29))=1),"OPs",AND(COUNTIF(Physicochemical_Managed!$P$2:$P$207,_xlfn.CONCAT(I$1,$E29))=0,COUNTIF(qPCR_Unique!$D$3:$D$118,_xlfn.CONCAT(I$1,$E29))=0),"Not assayed")</f>
        <v>Not assayed</v>
      </c>
      <c r="J29" s="195" t="str" cm="1">
        <f t="array" ref="J29">_xlfn.IFS(AND(COUNTIF(Physicochemical_Managed!$P$2:$P$207,_xlfn.CONCAT(J$1,$E29))=1,COUNTIF(qPCR_Unique!$D$3:$D$118,_xlfn.CONCAT(J$1,$E29))=1),"Both",AND(COUNTIF(Physicochemical_Managed!$P$2:$P$207,_xlfn.CONCAT(J$1,$E29))=1,COUNTIF(qPCR_Unique!$D$3:$D$118,_xlfn.CONCAT(J$1,$E29))=0),"Physicochemical",AND(COUNTIF(Physicochemical_Managed!$P$2:$P$207,_xlfn.CONCAT(J$1,$E29))=0,COUNTIF(qPCR_Unique!$D$3:$D$118,_xlfn.CONCAT(J$1,$E29))=1),"OPs",AND(COUNTIF(Physicochemical_Managed!$P$2:$P$207,_xlfn.CONCAT(J$1,$E29))=0,COUNTIF(qPCR_Unique!$D$3:$D$118,_xlfn.CONCAT(J$1,$E29))=0),"Not assayed")</f>
        <v>Physicochemical</v>
      </c>
      <c r="K29" s="195" t="str" cm="1">
        <f t="array" ref="K29">_xlfn.IFS(AND(COUNTIF(Physicochemical_Managed!$P$2:$P$207,_xlfn.CONCAT(K$1,$E29))=1,COUNTIF(qPCR_Unique!$D$3:$D$118,_xlfn.CONCAT(K$1,$E29))=1),"Both",AND(COUNTIF(Physicochemical_Managed!$P$2:$P$207,_xlfn.CONCAT(K$1,$E29))=1,COUNTIF(qPCR_Unique!$D$3:$D$118,_xlfn.CONCAT(K$1,$E29))=0),"Physicochemical",AND(COUNTIF(Physicochemical_Managed!$P$2:$P$207,_xlfn.CONCAT(K$1,$E29))=0,COUNTIF(qPCR_Unique!$D$3:$D$118,_xlfn.CONCAT(K$1,$E29))=1),"OPs",AND(COUNTIF(Physicochemical_Managed!$P$2:$P$207,_xlfn.CONCAT(K$1,$E29))=0,COUNTIF(qPCR_Unique!$D$3:$D$118,_xlfn.CONCAT(K$1,$E29))=0),"Not assayed")</f>
        <v>Physicochemical</v>
      </c>
      <c r="L29" s="195" t="str" cm="1">
        <f t="array" ref="L29">_xlfn.IFS(AND(COUNTIF(Physicochemical_Managed!$P$2:$P$207,_xlfn.CONCAT(L$1,$E29))=1,COUNTIF(qPCR_Unique!$D$3:$D$118,_xlfn.CONCAT(L$1,$E29))=1),"Both",AND(COUNTIF(Physicochemical_Managed!$P$2:$P$207,_xlfn.CONCAT(L$1,$E29))=1,COUNTIF(qPCR_Unique!$D$3:$D$118,_xlfn.CONCAT(L$1,$E29))=0),"Physicochemical",AND(COUNTIF(Physicochemical_Managed!$P$2:$P$207,_xlfn.CONCAT(L$1,$E29))=0,COUNTIF(qPCR_Unique!$D$3:$D$118,_xlfn.CONCAT(L$1,$E29))=1),"OPs",AND(COUNTIF(Physicochemical_Managed!$P$2:$P$207,_xlfn.CONCAT(L$1,$E29))=0,COUNTIF(qPCR_Unique!$D$3:$D$118,_xlfn.CONCAT(L$1,$E29))=0),"Not assayed")</f>
        <v>Physicochemical</v>
      </c>
      <c r="M29" s="818" t="str" cm="1">
        <f t="array" ref="M29">_xlfn.IFS(AND(COUNTIF(Physicochemical_Managed!$P$2:$P$207,_xlfn.CONCAT(M$1,$E29))=1,COUNTIF(qPCR_Unique!$D$3:$D$118,_xlfn.CONCAT(M$1,$E29))=1),"Both",AND(COUNTIF(Physicochemical_Managed!$P$2:$P$207,_xlfn.CONCAT(M$1,$E29))=1,COUNTIF(qPCR_Unique!$D$3:$D$118,_xlfn.CONCAT(M$1,$E29))=0),"Physicochemical",AND(COUNTIF(Physicochemical_Managed!$P$2:$P$207,_xlfn.CONCAT(M$1,$E29))=0,COUNTIF(qPCR_Unique!$D$3:$D$118,_xlfn.CONCAT(M$1,$E29))=1),"OPs",AND(COUNTIF(Physicochemical_Managed!$P$2:$P$207,_xlfn.CONCAT(M$1,$E29))=0,COUNTIF(qPCR_Unique!$D$3:$D$118,_xlfn.CONCAT(M$1,$E29))=0),"Not assayed")</f>
        <v>Physicochemical</v>
      </c>
    </row>
    <row r="30" spans="1:13" s="191" customFormat="1" x14ac:dyDescent="0.3">
      <c r="A30" s="236" t="str">
        <f>Physicochemical_Managed!P30</f>
        <v>SPI44370</v>
      </c>
      <c r="B30" s="238" t="str" cm="1">
        <f t="array" ref="B30">INDEX($A$2:$A$323,MATCH(0,COUNTIF($B$1:B29,$A$2:$A$323),0))</f>
        <v>SPI44370</v>
      </c>
      <c r="C30" s="809">
        <f t="shared" si="0"/>
        <v>44370</v>
      </c>
      <c r="D30" s="817" cm="1">
        <f t="array" ref="D30">INDEX($C$2:$C$212,MATCH(0,COUNTIF($D$1:D29,$C$2:$C$212),0))</f>
        <v>44376</v>
      </c>
      <c r="E30" s="848">
        <v>44405</v>
      </c>
      <c r="F30" s="840" t="str" cm="1">
        <f t="array" ref="F30">_xlfn.IFS(AND(COUNTIF(Physicochemical_Managed!$P$2:$P$207,_xlfn.CONCAT(F$1,$E30))=1,COUNTIF(qPCR_Unique!$D$3:$D$118,_xlfn.CONCAT(F$1,$E30))=1),"Both",AND(COUNTIF(Physicochemical_Managed!$P$2:$P$207,_xlfn.CONCAT(F$1,$E30))=1,COUNTIF(qPCR_Unique!$D$3:$D$118,_xlfn.CONCAT(F$1,$E30))=0),"Physicochemical",AND(COUNTIF(Physicochemical_Managed!$P$2:$P$207,_xlfn.CONCAT(F$1,$E30))=0,COUNTIF(qPCR_Unique!$D$3:$D$118,_xlfn.CONCAT(F$1,$E30))=1),"OPs",AND(COUNTIF(Physicochemical_Managed!$P$2:$P$207,_xlfn.CONCAT(F$1,$E30))=0,COUNTIF(qPCR_Unique!$D$3:$D$118,_xlfn.CONCAT(F$1,$E30))=0),"Not assayed")</f>
        <v>Both</v>
      </c>
      <c r="G30" s="195" t="str" cm="1">
        <f t="array" ref="G30">_xlfn.IFS(AND(COUNTIF(Physicochemical_Managed!$P$2:$P$207,_xlfn.CONCAT(G$1,$E30))=1,COUNTIF(qPCR_Unique!$D$3:$D$118,_xlfn.CONCAT(G$1,$E30))=1),"Both",AND(COUNTIF(Physicochemical_Managed!$P$2:$P$207,_xlfn.CONCAT(G$1,$E30))=1,COUNTIF(qPCR_Unique!$D$3:$D$118,_xlfn.CONCAT(G$1,$E30))=0),"Physicochemical",AND(COUNTIF(Physicochemical_Managed!$P$2:$P$207,_xlfn.CONCAT(G$1,$E30))=0,COUNTIF(qPCR_Unique!$D$3:$D$118,_xlfn.CONCAT(G$1,$E30))=1),"OPs",AND(COUNTIF(Physicochemical_Managed!$P$2:$P$207,_xlfn.CONCAT(G$1,$E30))=0,COUNTIF(qPCR_Unique!$D$3:$D$118,_xlfn.CONCAT(G$1,$E30))=0),"Not assayed")</f>
        <v>Both</v>
      </c>
      <c r="H30" s="195" t="str" cm="1">
        <f t="array" ref="H30">_xlfn.IFS(AND(COUNTIF(Physicochemical_Managed!$P$2:$P$207,_xlfn.CONCAT(H$1,$E30))=1,COUNTIF(qPCR_Unique!$D$3:$D$118,_xlfn.CONCAT(H$1,$E30))=1),"Both",AND(COUNTIF(Physicochemical_Managed!$P$2:$P$207,_xlfn.CONCAT(H$1,$E30))=1,COUNTIF(qPCR_Unique!$D$3:$D$118,_xlfn.CONCAT(H$1,$E30))=0),"Physicochemical",AND(COUNTIF(Physicochemical_Managed!$P$2:$P$207,_xlfn.CONCAT(H$1,$E30))=0,COUNTIF(qPCR_Unique!$D$3:$D$118,_xlfn.CONCAT(H$1,$E30))=1),"OPs",AND(COUNTIF(Physicochemical_Managed!$P$2:$P$207,_xlfn.CONCAT(H$1,$E30))=0,COUNTIF(qPCR_Unique!$D$3:$D$118,_xlfn.CONCAT(H$1,$E30))=0),"Not assayed")</f>
        <v>Both</v>
      </c>
      <c r="I30" s="195" t="str" cm="1">
        <f t="array" ref="I30">_xlfn.IFS(AND(COUNTIF(Physicochemical_Managed!$P$2:$P$207,_xlfn.CONCAT(I$1,$E30))=1,COUNTIF(qPCR_Unique!$D$3:$D$118,_xlfn.CONCAT(I$1,$E30))=1),"Both",AND(COUNTIF(Physicochemical_Managed!$P$2:$P$207,_xlfn.CONCAT(I$1,$E30))=1,COUNTIF(qPCR_Unique!$D$3:$D$118,_xlfn.CONCAT(I$1,$E30))=0),"Physicochemical",AND(COUNTIF(Physicochemical_Managed!$P$2:$P$207,_xlfn.CONCAT(I$1,$E30))=0,COUNTIF(qPCR_Unique!$D$3:$D$118,_xlfn.CONCAT(I$1,$E30))=1),"OPs",AND(COUNTIF(Physicochemical_Managed!$P$2:$P$207,_xlfn.CONCAT(I$1,$E30))=0,COUNTIF(qPCR_Unique!$D$3:$D$118,_xlfn.CONCAT(I$1,$E30))=0),"Not assayed")</f>
        <v>Both</v>
      </c>
      <c r="J30" s="195" t="str" cm="1">
        <f t="array" ref="J30">_xlfn.IFS(AND(COUNTIF(Physicochemical_Managed!$P$2:$P$207,_xlfn.CONCAT(J$1,$E30))=1,COUNTIF(qPCR_Unique!$D$3:$D$118,_xlfn.CONCAT(J$1,$E30))=1),"Both",AND(COUNTIF(Physicochemical_Managed!$P$2:$P$207,_xlfn.CONCAT(J$1,$E30))=1,COUNTIF(qPCR_Unique!$D$3:$D$118,_xlfn.CONCAT(J$1,$E30))=0),"Physicochemical",AND(COUNTIF(Physicochemical_Managed!$P$2:$P$207,_xlfn.CONCAT(J$1,$E30))=0,COUNTIF(qPCR_Unique!$D$3:$D$118,_xlfn.CONCAT(J$1,$E30))=1),"OPs",AND(COUNTIF(Physicochemical_Managed!$P$2:$P$207,_xlfn.CONCAT(J$1,$E30))=0,COUNTIF(qPCR_Unique!$D$3:$D$118,_xlfn.CONCAT(J$1,$E30))=0),"Not assayed")</f>
        <v>Both</v>
      </c>
      <c r="K30" s="195" t="str" cm="1">
        <f t="array" ref="K30">_xlfn.IFS(AND(COUNTIF(Physicochemical_Managed!$P$2:$P$207,_xlfn.CONCAT(K$1,$E30))=1,COUNTIF(qPCR_Unique!$D$3:$D$118,_xlfn.CONCAT(K$1,$E30))=1),"Both",AND(COUNTIF(Physicochemical_Managed!$P$2:$P$207,_xlfn.CONCAT(K$1,$E30))=1,COUNTIF(qPCR_Unique!$D$3:$D$118,_xlfn.CONCAT(K$1,$E30))=0),"Physicochemical",AND(COUNTIF(Physicochemical_Managed!$P$2:$P$207,_xlfn.CONCAT(K$1,$E30))=0,COUNTIF(qPCR_Unique!$D$3:$D$118,_xlfn.CONCAT(K$1,$E30))=1),"OPs",AND(COUNTIF(Physicochemical_Managed!$P$2:$P$207,_xlfn.CONCAT(K$1,$E30))=0,COUNTIF(qPCR_Unique!$D$3:$D$118,_xlfn.CONCAT(K$1,$E30))=0),"Not assayed")</f>
        <v>Both</v>
      </c>
      <c r="L30" s="195" t="str" cm="1">
        <f t="array" ref="L30">_xlfn.IFS(AND(COUNTIF(Physicochemical_Managed!$P$2:$P$207,_xlfn.CONCAT(L$1,$E30))=1,COUNTIF(qPCR_Unique!$D$3:$D$118,_xlfn.CONCAT(L$1,$E30))=1),"Both",AND(COUNTIF(Physicochemical_Managed!$P$2:$P$207,_xlfn.CONCAT(L$1,$E30))=1,COUNTIF(qPCR_Unique!$D$3:$D$118,_xlfn.CONCAT(L$1,$E30))=0),"Physicochemical",AND(COUNTIF(Physicochemical_Managed!$P$2:$P$207,_xlfn.CONCAT(L$1,$E30))=0,COUNTIF(qPCR_Unique!$D$3:$D$118,_xlfn.CONCAT(L$1,$E30))=1),"OPs",AND(COUNTIF(Physicochemical_Managed!$P$2:$P$207,_xlfn.CONCAT(L$1,$E30))=0,COUNTIF(qPCR_Unique!$D$3:$D$118,_xlfn.CONCAT(L$1,$E30))=0),"Not assayed")</f>
        <v>Both</v>
      </c>
      <c r="M30" s="818" t="str" cm="1">
        <f t="array" ref="M30">_xlfn.IFS(AND(COUNTIF(Physicochemical_Managed!$P$2:$P$207,_xlfn.CONCAT(M$1,$E30))=1,COUNTIF(qPCR_Unique!$D$3:$D$118,_xlfn.CONCAT(M$1,$E30))=1),"Both",AND(COUNTIF(Physicochemical_Managed!$P$2:$P$207,_xlfn.CONCAT(M$1,$E30))=1,COUNTIF(qPCR_Unique!$D$3:$D$118,_xlfn.CONCAT(M$1,$E30))=0),"Physicochemical",AND(COUNTIF(Physicochemical_Managed!$P$2:$P$207,_xlfn.CONCAT(M$1,$E30))=0,COUNTIF(qPCR_Unique!$D$3:$D$118,_xlfn.CONCAT(M$1,$E30))=1),"OPs",AND(COUNTIF(Physicochemical_Managed!$P$2:$P$207,_xlfn.CONCAT(M$1,$E30))=0,COUNTIF(qPCR_Unique!$D$3:$D$118,_xlfn.CONCAT(M$1,$E30))=0),"Not assayed")</f>
        <v>Both</v>
      </c>
    </row>
    <row r="31" spans="1:13" s="191" customFormat="1" x14ac:dyDescent="0.3">
      <c r="A31" s="236" t="str">
        <f>Physicochemical_Managed!P31</f>
        <v>SPI44377</v>
      </c>
      <c r="B31" s="238" t="str" cm="1">
        <f t="array" ref="B31">INDEX($A$2:$A$323,MATCH(0,COUNTIF($B$1:B30,$A$2:$A$323),0))</f>
        <v>SPI44377</v>
      </c>
      <c r="C31" s="809">
        <f t="shared" si="0"/>
        <v>44377</v>
      </c>
      <c r="D31" s="817" cm="1">
        <f t="array" ref="D31">INDEX($C$2:$C$212,MATCH(0,COUNTIF($D$1:D30,$C$2:$C$212),0))</f>
        <v>44384</v>
      </c>
      <c r="E31" s="848">
        <v>44411</v>
      </c>
      <c r="F31" s="840" t="str" cm="1">
        <f t="array" ref="F31">_xlfn.IFS(AND(COUNTIF(Physicochemical_Managed!$P$2:$P$207,_xlfn.CONCAT(F$1,$E31))=1,COUNTIF(qPCR_Unique!$D$3:$D$118,_xlfn.CONCAT(F$1,$E31))=1),"Both",AND(COUNTIF(Physicochemical_Managed!$P$2:$P$207,_xlfn.CONCAT(F$1,$E31))=1,COUNTIF(qPCR_Unique!$D$3:$D$118,_xlfn.CONCAT(F$1,$E31))=0),"Physicochemical",AND(COUNTIF(Physicochemical_Managed!$P$2:$P$207,_xlfn.CONCAT(F$1,$E31))=0,COUNTIF(qPCR_Unique!$D$3:$D$118,_xlfn.CONCAT(F$1,$E31))=1),"OPs",AND(COUNTIF(Physicochemical_Managed!$P$2:$P$207,_xlfn.CONCAT(F$1,$E31))=0,COUNTIF(qPCR_Unique!$D$3:$D$118,_xlfn.CONCAT(F$1,$E31))=0),"Not assayed")</f>
        <v>Not assayed</v>
      </c>
      <c r="G31" s="195" t="str" cm="1">
        <f t="array" ref="G31">_xlfn.IFS(AND(COUNTIF(Physicochemical_Managed!$P$2:$P$207,_xlfn.CONCAT(G$1,$E31))=1,COUNTIF(qPCR_Unique!$D$3:$D$118,_xlfn.CONCAT(G$1,$E31))=1),"Both",AND(COUNTIF(Physicochemical_Managed!$P$2:$P$207,_xlfn.CONCAT(G$1,$E31))=1,COUNTIF(qPCR_Unique!$D$3:$D$118,_xlfn.CONCAT(G$1,$E31))=0),"Physicochemical",AND(COUNTIF(Physicochemical_Managed!$P$2:$P$207,_xlfn.CONCAT(G$1,$E31))=0,COUNTIF(qPCR_Unique!$D$3:$D$118,_xlfn.CONCAT(G$1,$E31))=1),"OPs",AND(COUNTIF(Physicochemical_Managed!$P$2:$P$207,_xlfn.CONCAT(G$1,$E31))=0,COUNTIF(qPCR_Unique!$D$3:$D$118,_xlfn.CONCAT(G$1,$E31))=0),"Not assayed")</f>
        <v>Not assayed</v>
      </c>
      <c r="H31" s="195" t="str" cm="1">
        <f t="array" ref="H31">_xlfn.IFS(AND(COUNTIF(Physicochemical_Managed!$P$2:$P$207,_xlfn.CONCAT(H$1,$E31))=1,COUNTIF(qPCR_Unique!$D$3:$D$118,_xlfn.CONCAT(H$1,$E31))=1),"Both",AND(COUNTIF(Physicochemical_Managed!$P$2:$P$207,_xlfn.CONCAT(H$1,$E31))=1,COUNTIF(qPCR_Unique!$D$3:$D$118,_xlfn.CONCAT(H$1,$E31))=0),"Physicochemical",AND(COUNTIF(Physicochemical_Managed!$P$2:$P$207,_xlfn.CONCAT(H$1,$E31))=0,COUNTIF(qPCR_Unique!$D$3:$D$118,_xlfn.CONCAT(H$1,$E31))=1),"OPs",AND(COUNTIF(Physicochemical_Managed!$P$2:$P$207,_xlfn.CONCAT(H$1,$E31))=0,COUNTIF(qPCR_Unique!$D$3:$D$118,_xlfn.CONCAT(H$1,$E31))=0),"Not assayed")</f>
        <v>Not assayed</v>
      </c>
      <c r="I31" s="195" t="str" cm="1">
        <f t="array" ref="I31">_xlfn.IFS(AND(COUNTIF(Physicochemical_Managed!$P$2:$P$207,_xlfn.CONCAT(I$1,$E31))=1,COUNTIF(qPCR_Unique!$D$3:$D$118,_xlfn.CONCAT(I$1,$E31))=1),"Both",AND(COUNTIF(Physicochemical_Managed!$P$2:$P$207,_xlfn.CONCAT(I$1,$E31))=1,COUNTIF(qPCR_Unique!$D$3:$D$118,_xlfn.CONCAT(I$1,$E31))=0),"Physicochemical",AND(COUNTIF(Physicochemical_Managed!$P$2:$P$207,_xlfn.CONCAT(I$1,$E31))=0,COUNTIF(qPCR_Unique!$D$3:$D$118,_xlfn.CONCAT(I$1,$E31))=1),"OPs",AND(COUNTIF(Physicochemical_Managed!$P$2:$P$207,_xlfn.CONCAT(I$1,$E31))=0,COUNTIF(qPCR_Unique!$D$3:$D$118,_xlfn.CONCAT(I$1,$E31))=0),"Not assayed")</f>
        <v>Not assayed</v>
      </c>
      <c r="J31" s="195" t="str" cm="1">
        <f t="array" ref="J31">_xlfn.IFS(AND(COUNTIF(Physicochemical_Managed!$P$2:$P$207,_xlfn.CONCAT(J$1,$E31))=1,COUNTIF(qPCR_Unique!$D$3:$D$118,_xlfn.CONCAT(J$1,$E31))=1),"Both",AND(COUNTIF(Physicochemical_Managed!$P$2:$P$207,_xlfn.CONCAT(J$1,$E31))=1,COUNTIF(qPCR_Unique!$D$3:$D$118,_xlfn.CONCAT(J$1,$E31))=0),"Physicochemical",AND(COUNTIF(Physicochemical_Managed!$P$2:$P$207,_xlfn.CONCAT(J$1,$E31))=0,COUNTIF(qPCR_Unique!$D$3:$D$118,_xlfn.CONCAT(J$1,$E31))=1),"OPs",AND(COUNTIF(Physicochemical_Managed!$P$2:$P$207,_xlfn.CONCAT(J$1,$E31))=0,COUNTIF(qPCR_Unique!$D$3:$D$118,_xlfn.CONCAT(J$1,$E31))=0),"Not assayed")</f>
        <v>Physicochemical</v>
      </c>
      <c r="K31" s="195" t="str" cm="1">
        <f t="array" ref="K31">_xlfn.IFS(AND(COUNTIF(Physicochemical_Managed!$P$2:$P$207,_xlfn.CONCAT(K$1,$E31))=1,COUNTIF(qPCR_Unique!$D$3:$D$118,_xlfn.CONCAT(K$1,$E31))=1),"Both",AND(COUNTIF(Physicochemical_Managed!$P$2:$P$207,_xlfn.CONCAT(K$1,$E31))=1,COUNTIF(qPCR_Unique!$D$3:$D$118,_xlfn.CONCAT(K$1,$E31))=0),"Physicochemical",AND(COUNTIF(Physicochemical_Managed!$P$2:$P$207,_xlfn.CONCAT(K$1,$E31))=0,COUNTIF(qPCR_Unique!$D$3:$D$118,_xlfn.CONCAT(K$1,$E31))=1),"OPs",AND(COUNTIF(Physicochemical_Managed!$P$2:$P$207,_xlfn.CONCAT(K$1,$E31))=0,COUNTIF(qPCR_Unique!$D$3:$D$118,_xlfn.CONCAT(K$1,$E31))=0),"Not assayed")</f>
        <v>Physicochemical</v>
      </c>
      <c r="L31" s="195" t="str" cm="1">
        <f t="array" ref="L31">_xlfn.IFS(AND(COUNTIF(Physicochemical_Managed!$P$2:$P$207,_xlfn.CONCAT(L$1,$E31))=1,COUNTIF(qPCR_Unique!$D$3:$D$118,_xlfn.CONCAT(L$1,$E31))=1),"Both",AND(COUNTIF(Physicochemical_Managed!$P$2:$P$207,_xlfn.CONCAT(L$1,$E31))=1,COUNTIF(qPCR_Unique!$D$3:$D$118,_xlfn.CONCAT(L$1,$E31))=0),"Physicochemical",AND(COUNTIF(Physicochemical_Managed!$P$2:$P$207,_xlfn.CONCAT(L$1,$E31))=0,COUNTIF(qPCR_Unique!$D$3:$D$118,_xlfn.CONCAT(L$1,$E31))=1),"OPs",AND(COUNTIF(Physicochemical_Managed!$P$2:$P$207,_xlfn.CONCAT(L$1,$E31))=0,COUNTIF(qPCR_Unique!$D$3:$D$118,_xlfn.CONCAT(L$1,$E31))=0),"Not assayed")</f>
        <v>Physicochemical</v>
      </c>
      <c r="M31" s="818" t="str" cm="1">
        <f t="array" ref="M31">_xlfn.IFS(AND(COUNTIF(Physicochemical_Managed!$P$2:$P$207,_xlfn.CONCAT(M$1,$E31))=1,COUNTIF(qPCR_Unique!$D$3:$D$118,_xlfn.CONCAT(M$1,$E31))=1),"Both",AND(COUNTIF(Physicochemical_Managed!$P$2:$P$207,_xlfn.CONCAT(M$1,$E31))=1,COUNTIF(qPCR_Unique!$D$3:$D$118,_xlfn.CONCAT(M$1,$E31))=0),"Physicochemical",AND(COUNTIF(Physicochemical_Managed!$P$2:$P$207,_xlfn.CONCAT(M$1,$E31))=0,COUNTIF(qPCR_Unique!$D$3:$D$118,_xlfn.CONCAT(M$1,$E31))=1),"OPs",AND(COUNTIF(Physicochemical_Managed!$P$2:$P$207,_xlfn.CONCAT(M$1,$E31))=0,COUNTIF(qPCR_Unique!$D$3:$D$118,_xlfn.CONCAT(M$1,$E31))=0),"Not assayed")</f>
        <v>Physicochemical</v>
      </c>
    </row>
    <row r="32" spans="1:13" s="191" customFormat="1" x14ac:dyDescent="0.3">
      <c r="A32" s="236" t="str">
        <f>Physicochemical_Managed!P32</f>
        <v>SPI44385</v>
      </c>
      <c r="B32" s="238" t="str" cm="1">
        <f t="array" ref="B32">INDEX($A$2:$A$323,MATCH(0,COUNTIF($B$1:B31,$A$2:$A$323),0))</f>
        <v>SPI44385</v>
      </c>
      <c r="C32" s="809">
        <f t="shared" si="0"/>
        <v>44385</v>
      </c>
      <c r="D32" s="817" cm="1">
        <f t="array" ref="D32">INDEX($C$2:$C$212,MATCH(0,COUNTIF($D$1:D31,$C$2:$C$212),0))</f>
        <v>44390</v>
      </c>
      <c r="E32" s="848">
        <v>44412</v>
      </c>
      <c r="F32" s="840" t="str" cm="1">
        <f t="array" ref="F32">_xlfn.IFS(AND(COUNTIF(Physicochemical_Managed!$P$2:$P$207,_xlfn.CONCAT(F$1,$E32))=1,COUNTIF(qPCR_Unique!$D$3:$D$118,_xlfn.CONCAT(F$1,$E32))=1),"Both",AND(COUNTIF(Physicochemical_Managed!$P$2:$P$207,_xlfn.CONCAT(F$1,$E32))=1,COUNTIF(qPCR_Unique!$D$3:$D$118,_xlfn.CONCAT(F$1,$E32))=0),"Physicochemical",AND(COUNTIF(Physicochemical_Managed!$P$2:$P$207,_xlfn.CONCAT(F$1,$E32))=0,COUNTIF(qPCR_Unique!$D$3:$D$118,_xlfn.CONCAT(F$1,$E32))=1),"OPs",AND(COUNTIF(Physicochemical_Managed!$P$2:$P$207,_xlfn.CONCAT(F$1,$E32))=0,COUNTIF(qPCR_Unique!$D$3:$D$118,_xlfn.CONCAT(F$1,$E32))=0),"Not assayed")</f>
        <v>Both</v>
      </c>
      <c r="G32" s="195" t="str" cm="1">
        <f t="array" ref="G32">_xlfn.IFS(AND(COUNTIF(Physicochemical_Managed!$P$2:$P$207,_xlfn.CONCAT(G$1,$E32))=1,COUNTIF(qPCR_Unique!$D$3:$D$118,_xlfn.CONCAT(G$1,$E32))=1),"Both",AND(COUNTIF(Physicochemical_Managed!$P$2:$P$207,_xlfn.CONCAT(G$1,$E32))=1,COUNTIF(qPCR_Unique!$D$3:$D$118,_xlfn.CONCAT(G$1,$E32))=0),"Physicochemical",AND(COUNTIF(Physicochemical_Managed!$P$2:$P$207,_xlfn.CONCAT(G$1,$E32))=0,COUNTIF(qPCR_Unique!$D$3:$D$118,_xlfn.CONCAT(G$1,$E32))=1),"OPs",AND(COUNTIF(Physicochemical_Managed!$P$2:$P$207,_xlfn.CONCAT(G$1,$E32))=0,COUNTIF(qPCR_Unique!$D$3:$D$118,_xlfn.CONCAT(G$1,$E32))=0),"Not assayed")</f>
        <v>Both</v>
      </c>
      <c r="H32" s="195" t="str" cm="1">
        <f t="array" ref="H32">_xlfn.IFS(AND(COUNTIF(Physicochemical_Managed!$P$2:$P$207,_xlfn.CONCAT(H$1,$E32))=1,COUNTIF(qPCR_Unique!$D$3:$D$118,_xlfn.CONCAT(H$1,$E32))=1),"Both",AND(COUNTIF(Physicochemical_Managed!$P$2:$P$207,_xlfn.CONCAT(H$1,$E32))=1,COUNTIF(qPCR_Unique!$D$3:$D$118,_xlfn.CONCAT(H$1,$E32))=0),"Physicochemical",AND(COUNTIF(Physicochemical_Managed!$P$2:$P$207,_xlfn.CONCAT(H$1,$E32))=0,COUNTIF(qPCR_Unique!$D$3:$D$118,_xlfn.CONCAT(H$1,$E32))=1),"OPs",AND(COUNTIF(Physicochemical_Managed!$P$2:$P$207,_xlfn.CONCAT(H$1,$E32))=0,COUNTIF(qPCR_Unique!$D$3:$D$118,_xlfn.CONCAT(H$1,$E32))=0),"Not assayed")</f>
        <v>Both</v>
      </c>
      <c r="I32" s="195" t="str" cm="1">
        <f t="array" ref="I32">_xlfn.IFS(AND(COUNTIF(Physicochemical_Managed!$P$2:$P$207,_xlfn.CONCAT(I$1,$E32))=1,COUNTIF(qPCR_Unique!$D$3:$D$118,_xlfn.CONCAT(I$1,$E32))=1),"Both",AND(COUNTIF(Physicochemical_Managed!$P$2:$P$207,_xlfn.CONCAT(I$1,$E32))=1,COUNTIF(qPCR_Unique!$D$3:$D$118,_xlfn.CONCAT(I$1,$E32))=0),"Physicochemical",AND(COUNTIF(Physicochemical_Managed!$P$2:$P$207,_xlfn.CONCAT(I$1,$E32))=0,COUNTIF(qPCR_Unique!$D$3:$D$118,_xlfn.CONCAT(I$1,$E32))=1),"OPs",AND(COUNTIF(Physicochemical_Managed!$P$2:$P$207,_xlfn.CONCAT(I$1,$E32))=0,COUNTIF(qPCR_Unique!$D$3:$D$118,_xlfn.CONCAT(I$1,$E32))=0),"Not assayed")</f>
        <v>OPs</v>
      </c>
      <c r="J32" s="195" t="str" cm="1">
        <f t="array" ref="J32">_xlfn.IFS(AND(COUNTIF(Physicochemical_Managed!$P$2:$P$207,_xlfn.CONCAT(J$1,$E32))=1,COUNTIF(qPCR_Unique!$D$3:$D$118,_xlfn.CONCAT(J$1,$E32))=1),"Both",AND(COUNTIF(Physicochemical_Managed!$P$2:$P$207,_xlfn.CONCAT(J$1,$E32))=1,COUNTIF(qPCR_Unique!$D$3:$D$118,_xlfn.CONCAT(J$1,$E32))=0),"Physicochemical",AND(COUNTIF(Physicochemical_Managed!$P$2:$P$207,_xlfn.CONCAT(J$1,$E32))=0,COUNTIF(qPCR_Unique!$D$3:$D$118,_xlfn.CONCAT(J$1,$E32))=1),"OPs",AND(COUNTIF(Physicochemical_Managed!$P$2:$P$207,_xlfn.CONCAT(J$1,$E32))=0,COUNTIF(qPCR_Unique!$D$3:$D$118,_xlfn.CONCAT(J$1,$E32))=0),"Not assayed")</f>
        <v>Both</v>
      </c>
      <c r="K32" s="195" t="str" cm="1">
        <f t="array" ref="K32">_xlfn.IFS(AND(COUNTIF(Physicochemical_Managed!$P$2:$P$207,_xlfn.CONCAT(K$1,$E32))=1,COUNTIF(qPCR_Unique!$D$3:$D$118,_xlfn.CONCAT(K$1,$E32))=1),"Both",AND(COUNTIF(Physicochemical_Managed!$P$2:$P$207,_xlfn.CONCAT(K$1,$E32))=1,COUNTIF(qPCR_Unique!$D$3:$D$118,_xlfn.CONCAT(K$1,$E32))=0),"Physicochemical",AND(COUNTIF(Physicochemical_Managed!$P$2:$P$207,_xlfn.CONCAT(K$1,$E32))=0,COUNTIF(qPCR_Unique!$D$3:$D$118,_xlfn.CONCAT(K$1,$E32))=1),"OPs",AND(COUNTIF(Physicochemical_Managed!$P$2:$P$207,_xlfn.CONCAT(K$1,$E32))=0,COUNTIF(qPCR_Unique!$D$3:$D$118,_xlfn.CONCAT(K$1,$E32))=0),"Not assayed")</f>
        <v>Both</v>
      </c>
      <c r="L32" s="195" t="str" cm="1">
        <f t="array" ref="L32">_xlfn.IFS(AND(COUNTIF(Physicochemical_Managed!$P$2:$P$207,_xlfn.CONCAT(L$1,$E32))=1,COUNTIF(qPCR_Unique!$D$3:$D$118,_xlfn.CONCAT(L$1,$E32))=1),"Both",AND(COUNTIF(Physicochemical_Managed!$P$2:$P$207,_xlfn.CONCAT(L$1,$E32))=1,COUNTIF(qPCR_Unique!$D$3:$D$118,_xlfn.CONCAT(L$1,$E32))=0),"Physicochemical",AND(COUNTIF(Physicochemical_Managed!$P$2:$P$207,_xlfn.CONCAT(L$1,$E32))=0,COUNTIF(qPCR_Unique!$D$3:$D$118,_xlfn.CONCAT(L$1,$E32))=1),"OPs",AND(COUNTIF(Physicochemical_Managed!$P$2:$P$207,_xlfn.CONCAT(L$1,$E32))=0,COUNTIF(qPCR_Unique!$D$3:$D$118,_xlfn.CONCAT(L$1,$E32))=0),"Not assayed")</f>
        <v>Both</v>
      </c>
      <c r="M32" s="818" t="str" cm="1">
        <f t="array" ref="M32">_xlfn.IFS(AND(COUNTIF(Physicochemical_Managed!$P$2:$P$207,_xlfn.CONCAT(M$1,$E32))=1,COUNTIF(qPCR_Unique!$D$3:$D$118,_xlfn.CONCAT(M$1,$E32))=1),"Both",AND(COUNTIF(Physicochemical_Managed!$P$2:$P$207,_xlfn.CONCAT(M$1,$E32))=1,COUNTIF(qPCR_Unique!$D$3:$D$118,_xlfn.CONCAT(M$1,$E32))=0),"Physicochemical",AND(COUNTIF(Physicochemical_Managed!$P$2:$P$207,_xlfn.CONCAT(M$1,$E32))=0,COUNTIF(qPCR_Unique!$D$3:$D$118,_xlfn.CONCAT(M$1,$E32))=1),"OPs",AND(COUNTIF(Physicochemical_Managed!$P$2:$P$207,_xlfn.CONCAT(M$1,$E32))=0,COUNTIF(qPCR_Unique!$D$3:$D$118,_xlfn.CONCAT(M$1,$E32))=0),"Not assayed")</f>
        <v>Both</v>
      </c>
    </row>
    <row r="33" spans="1:13" s="191" customFormat="1" x14ac:dyDescent="0.3">
      <c r="A33" s="236" t="str">
        <f>Physicochemical_Managed!P33</f>
        <v>SPI44391</v>
      </c>
      <c r="B33" s="238" t="str" cm="1">
        <f t="array" ref="B33">INDEX($A$2:$A$323,MATCH(0,COUNTIF($B$1:B32,$A$2:$A$323),0))</f>
        <v>SPI44391</v>
      </c>
      <c r="C33" s="809">
        <f t="shared" si="0"/>
        <v>44391</v>
      </c>
      <c r="D33" s="817" cm="1">
        <f t="array" ref="D33">INDEX($C$2:$C$212,MATCH(0,COUNTIF($D$1:D32,$C$2:$C$212),0))</f>
        <v>44397</v>
      </c>
      <c r="E33" s="848">
        <v>44418</v>
      </c>
      <c r="F33" s="840" t="str" cm="1">
        <f t="array" ref="F33">_xlfn.IFS(AND(COUNTIF(Physicochemical_Managed!$P$2:$P$207,_xlfn.CONCAT(F$1,$E33))=1,COUNTIF(qPCR_Unique!$D$3:$D$118,_xlfn.CONCAT(F$1,$E33))=1),"Both",AND(COUNTIF(Physicochemical_Managed!$P$2:$P$207,_xlfn.CONCAT(F$1,$E33))=1,COUNTIF(qPCR_Unique!$D$3:$D$118,_xlfn.CONCAT(F$1,$E33))=0),"Physicochemical",AND(COUNTIF(Physicochemical_Managed!$P$2:$P$207,_xlfn.CONCAT(F$1,$E33))=0,COUNTIF(qPCR_Unique!$D$3:$D$118,_xlfn.CONCAT(F$1,$E33))=1),"OPs",AND(COUNTIF(Physicochemical_Managed!$P$2:$P$207,_xlfn.CONCAT(F$1,$E33))=0,COUNTIF(qPCR_Unique!$D$3:$D$118,_xlfn.CONCAT(F$1,$E33))=0),"Not assayed")</f>
        <v>Not assayed</v>
      </c>
      <c r="G33" s="195" t="str" cm="1">
        <f t="array" ref="G33">_xlfn.IFS(AND(COUNTIF(Physicochemical_Managed!$P$2:$P$207,_xlfn.CONCAT(G$1,$E33))=1,COUNTIF(qPCR_Unique!$D$3:$D$118,_xlfn.CONCAT(G$1,$E33))=1),"Both",AND(COUNTIF(Physicochemical_Managed!$P$2:$P$207,_xlfn.CONCAT(G$1,$E33))=1,COUNTIF(qPCR_Unique!$D$3:$D$118,_xlfn.CONCAT(G$1,$E33))=0),"Physicochemical",AND(COUNTIF(Physicochemical_Managed!$P$2:$P$207,_xlfn.CONCAT(G$1,$E33))=0,COUNTIF(qPCR_Unique!$D$3:$D$118,_xlfn.CONCAT(G$1,$E33))=1),"OPs",AND(COUNTIF(Physicochemical_Managed!$P$2:$P$207,_xlfn.CONCAT(G$1,$E33))=0,COUNTIF(qPCR_Unique!$D$3:$D$118,_xlfn.CONCAT(G$1,$E33))=0),"Not assayed")</f>
        <v>Not assayed</v>
      </c>
      <c r="H33" s="195" t="str" cm="1">
        <f t="array" ref="H33">_xlfn.IFS(AND(COUNTIF(Physicochemical_Managed!$P$2:$P$207,_xlfn.CONCAT(H$1,$E33))=1,COUNTIF(qPCR_Unique!$D$3:$D$118,_xlfn.CONCAT(H$1,$E33))=1),"Both",AND(COUNTIF(Physicochemical_Managed!$P$2:$P$207,_xlfn.CONCAT(H$1,$E33))=1,COUNTIF(qPCR_Unique!$D$3:$D$118,_xlfn.CONCAT(H$1,$E33))=0),"Physicochemical",AND(COUNTIF(Physicochemical_Managed!$P$2:$P$207,_xlfn.CONCAT(H$1,$E33))=0,COUNTIF(qPCR_Unique!$D$3:$D$118,_xlfn.CONCAT(H$1,$E33))=1),"OPs",AND(COUNTIF(Physicochemical_Managed!$P$2:$P$207,_xlfn.CONCAT(H$1,$E33))=0,COUNTIF(qPCR_Unique!$D$3:$D$118,_xlfn.CONCAT(H$1,$E33))=0),"Not assayed")</f>
        <v>Not assayed</v>
      </c>
      <c r="I33" s="195" t="str" cm="1">
        <f t="array" ref="I33">_xlfn.IFS(AND(COUNTIF(Physicochemical_Managed!$P$2:$P$207,_xlfn.CONCAT(I$1,$E33))=1,COUNTIF(qPCR_Unique!$D$3:$D$118,_xlfn.CONCAT(I$1,$E33))=1),"Both",AND(COUNTIF(Physicochemical_Managed!$P$2:$P$207,_xlfn.CONCAT(I$1,$E33))=1,COUNTIF(qPCR_Unique!$D$3:$D$118,_xlfn.CONCAT(I$1,$E33))=0),"Physicochemical",AND(COUNTIF(Physicochemical_Managed!$P$2:$P$207,_xlfn.CONCAT(I$1,$E33))=0,COUNTIF(qPCR_Unique!$D$3:$D$118,_xlfn.CONCAT(I$1,$E33))=1),"OPs",AND(COUNTIF(Physicochemical_Managed!$P$2:$P$207,_xlfn.CONCAT(I$1,$E33))=0,COUNTIF(qPCR_Unique!$D$3:$D$118,_xlfn.CONCAT(I$1,$E33))=0),"Not assayed")</f>
        <v>Not assayed</v>
      </c>
      <c r="J33" s="195" t="str" cm="1">
        <f t="array" ref="J33">_xlfn.IFS(AND(COUNTIF(Physicochemical_Managed!$P$2:$P$207,_xlfn.CONCAT(J$1,$E33))=1,COUNTIF(qPCR_Unique!$D$3:$D$118,_xlfn.CONCAT(J$1,$E33))=1),"Both",AND(COUNTIF(Physicochemical_Managed!$P$2:$P$207,_xlfn.CONCAT(J$1,$E33))=1,COUNTIF(qPCR_Unique!$D$3:$D$118,_xlfn.CONCAT(J$1,$E33))=0),"Physicochemical",AND(COUNTIF(Physicochemical_Managed!$P$2:$P$207,_xlfn.CONCAT(J$1,$E33))=0,COUNTIF(qPCR_Unique!$D$3:$D$118,_xlfn.CONCAT(J$1,$E33))=1),"OPs",AND(COUNTIF(Physicochemical_Managed!$P$2:$P$207,_xlfn.CONCAT(J$1,$E33))=0,COUNTIF(qPCR_Unique!$D$3:$D$118,_xlfn.CONCAT(J$1,$E33))=0),"Not assayed")</f>
        <v>Physicochemical</v>
      </c>
      <c r="K33" s="195" t="str" cm="1">
        <f t="array" ref="K33">_xlfn.IFS(AND(COUNTIF(Physicochemical_Managed!$P$2:$P$207,_xlfn.CONCAT(K$1,$E33))=1,COUNTIF(qPCR_Unique!$D$3:$D$118,_xlfn.CONCAT(K$1,$E33))=1),"Both",AND(COUNTIF(Physicochemical_Managed!$P$2:$P$207,_xlfn.CONCAT(K$1,$E33))=1,COUNTIF(qPCR_Unique!$D$3:$D$118,_xlfn.CONCAT(K$1,$E33))=0),"Physicochemical",AND(COUNTIF(Physicochemical_Managed!$P$2:$P$207,_xlfn.CONCAT(K$1,$E33))=0,COUNTIF(qPCR_Unique!$D$3:$D$118,_xlfn.CONCAT(K$1,$E33))=1),"OPs",AND(COUNTIF(Physicochemical_Managed!$P$2:$P$207,_xlfn.CONCAT(K$1,$E33))=0,COUNTIF(qPCR_Unique!$D$3:$D$118,_xlfn.CONCAT(K$1,$E33))=0),"Not assayed")</f>
        <v>Physicochemical</v>
      </c>
      <c r="L33" s="195" t="str" cm="1">
        <f t="array" ref="L33">_xlfn.IFS(AND(COUNTIF(Physicochemical_Managed!$P$2:$P$207,_xlfn.CONCAT(L$1,$E33))=1,COUNTIF(qPCR_Unique!$D$3:$D$118,_xlfn.CONCAT(L$1,$E33))=1),"Both",AND(COUNTIF(Physicochemical_Managed!$P$2:$P$207,_xlfn.CONCAT(L$1,$E33))=1,COUNTIF(qPCR_Unique!$D$3:$D$118,_xlfn.CONCAT(L$1,$E33))=0),"Physicochemical",AND(COUNTIF(Physicochemical_Managed!$P$2:$P$207,_xlfn.CONCAT(L$1,$E33))=0,COUNTIF(qPCR_Unique!$D$3:$D$118,_xlfn.CONCAT(L$1,$E33))=1),"OPs",AND(COUNTIF(Physicochemical_Managed!$P$2:$P$207,_xlfn.CONCAT(L$1,$E33))=0,COUNTIF(qPCR_Unique!$D$3:$D$118,_xlfn.CONCAT(L$1,$E33))=0),"Not assayed")</f>
        <v>Physicochemical</v>
      </c>
      <c r="M33" s="818" t="str" cm="1">
        <f t="array" ref="M33">_xlfn.IFS(AND(COUNTIF(Physicochemical_Managed!$P$2:$P$207,_xlfn.CONCAT(M$1,$E33))=1,COUNTIF(qPCR_Unique!$D$3:$D$118,_xlfn.CONCAT(M$1,$E33))=1),"Both",AND(COUNTIF(Physicochemical_Managed!$P$2:$P$207,_xlfn.CONCAT(M$1,$E33))=1,COUNTIF(qPCR_Unique!$D$3:$D$118,_xlfn.CONCAT(M$1,$E33))=0),"Physicochemical",AND(COUNTIF(Physicochemical_Managed!$P$2:$P$207,_xlfn.CONCAT(M$1,$E33))=0,COUNTIF(qPCR_Unique!$D$3:$D$118,_xlfn.CONCAT(M$1,$E33))=1),"OPs",AND(COUNTIF(Physicochemical_Managed!$P$2:$P$207,_xlfn.CONCAT(M$1,$E33))=0,COUNTIF(qPCR_Unique!$D$3:$D$118,_xlfn.CONCAT(M$1,$E33))=0),"Not assayed")</f>
        <v>Physicochemical</v>
      </c>
    </row>
    <row r="34" spans="1:13" s="191" customFormat="1" x14ac:dyDescent="0.3">
      <c r="A34" s="236" t="str">
        <f>Physicochemical_Managed!P34</f>
        <v>SPI44398</v>
      </c>
      <c r="B34" s="238" t="str" cm="1">
        <f t="array" ref="B34">INDEX($A$2:$A$323,MATCH(0,COUNTIF($B$1:B33,$A$2:$A$323),0))</f>
        <v>SPI44398</v>
      </c>
      <c r="C34" s="809">
        <f t="shared" si="0"/>
        <v>44398</v>
      </c>
      <c r="D34" s="817" cm="1">
        <f t="array" ref="D34">INDEX($C$2:$C$212,MATCH(0,COUNTIF($D$1:D33,$C$2:$C$212),0))</f>
        <v>44404</v>
      </c>
      <c r="E34" s="848">
        <v>44419</v>
      </c>
      <c r="F34" s="840" t="str" cm="1">
        <f t="array" ref="F34">_xlfn.IFS(AND(COUNTIF(Physicochemical_Managed!$P$2:$P$207,_xlfn.CONCAT(F$1,$E34))=1,COUNTIF(qPCR_Unique!$D$3:$D$118,_xlfn.CONCAT(F$1,$E34))=1),"Both",AND(COUNTIF(Physicochemical_Managed!$P$2:$P$207,_xlfn.CONCAT(F$1,$E34))=1,COUNTIF(qPCR_Unique!$D$3:$D$118,_xlfn.CONCAT(F$1,$E34))=0),"Physicochemical",AND(COUNTIF(Physicochemical_Managed!$P$2:$P$207,_xlfn.CONCAT(F$1,$E34))=0,COUNTIF(qPCR_Unique!$D$3:$D$118,_xlfn.CONCAT(F$1,$E34))=1),"OPs",AND(COUNTIF(Physicochemical_Managed!$P$2:$P$207,_xlfn.CONCAT(F$1,$E34))=0,COUNTIF(qPCR_Unique!$D$3:$D$118,_xlfn.CONCAT(F$1,$E34))=0),"Not assayed")</f>
        <v>Both</v>
      </c>
      <c r="G34" s="195" t="str" cm="1">
        <f t="array" ref="G34">_xlfn.IFS(AND(COUNTIF(Physicochemical_Managed!$P$2:$P$207,_xlfn.CONCAT(G$1,$E34))=1,COUNTIF(qPCR_Unique!$D$3:$D$118,_xlfn.CONCAT(G$1,$E34))=1),"Both",AND(COUNTIF(Physicochemical_Managed!$P$2:$P$207,_xlfn.CONCAT(G$1,$E34))=1,COUNTIF(qPCR_Unique!$D$3:$D$118,_xlfn.CONCAT(G$1,$E34))=0),"Physicochemical",AND(COUNTIF(Physicochemical_Managed!$P$2:$P$207,_xlfn.CONCAT(G$1,$E34))=0,COUNTIF(qPCR_Unique!$D$3:$D$118,_xlfn.CONCAT(G$1,$E34))=1),"OPs",AND(COUNTIF(Physicochemical_Managed!$P$2:$P$207,_xlfn.CONCAT(G$1,$E34))=0,COUNTIF(qPCR_Unique!$D$3:$D$118,_xlfn.CONCAT(G$1,$E34))=0),"Not assayed")</f>
        <v>Both</v>
      </c>
      <c r="H34" s="195" t="str" cm="1">
        <f t="array" ref="H34">_xlfn.IFS(AND(COUNTIF(Physicochemical_Managed!$P$2:$P$207,_xlfn.CONCAT(H$1,$E34))=1,COUNTIF(qPCR_Unique!$D$3:$D$118,_xlfn.CONCAT(H$1,$E34))=1),"Both",AND(COUNTIF(Physicochemical_Managed!$P$2:$P$207,_xlfn.CONCAT(H$1,$E34))=1,COUNTIF(qPCR_Unique!$D$3:$D$118,_xlfn.CONCAT(H$1,$E34))=0),"Physicochemical",AND(COUNTIF(Physicochemical_Managed!$P$2:$P$207,_xlfn.CONCAT(H$1,$E34))=0,COUNTIF(qPCR_Unique!$D$3:$D$118,_xlfn.CONCAT(H$1,$E34))=1),"OPs",AND(COUNTIF(Physicochemical_Managed!$P$2:$P$207,_xlfn.CONCAT(H$1,$E34))=0,COUNTIF(qPCR_Unique!$D$3:$D$118,_xlfn.CONCAT(H$1,$E34))=0),"Not assayed")</f>
        <v>Both</v>
      </c>
      <c r="I34" s="195" t="str" cm="1">
        <f t="array" ref="I34">_xlfn.IFS(AND(COUNTIF(Physicochemical_Managed!$P$2:$P$207,_xlfn.CONCAT(I$1,$E34))=1,COUNTIF(qPCR_Unique!$D$3:$D$118,_xlfn.CONCAT(I$1,$E34))=1),"Both",AND(COUNTIF(Physicochemical_Managed!$P$2:$P$207,_xlfn.CONCAT(I$1,$E34))=1,COUNTIF(qPCR_Unique!$D$3:$D$118,_xlfn.CONCAT(I$1,$E34))=0),"Physicochemical",AND(COUNTIF(Physicochemical_Managed!$P$2:$P$207,_xlfn.CONCAT(I$1,$E34))=0,COUNTIF(qPCR_Unique!$D$3:$D$118,_xlfn.CONCAT(I$1,$E34))=1),"OPs",AND(COUNTIF(Physicochemical_Managed!$P$2:$P$207,_xlfn.CONCAT(I$1,$E34))=0,COUNTIF(qPCR_Unique!$D$3:$D$118,_xlfn.CONCAT(I$1,$E34))=0),"Not assayed")</f>
        <v>Both</v>
      </c>
      <c r="J34" s="195" t="str" cm="1">
        <f t="array" ref="J34">_xlfn.IFS(AND(COUNTIF(Physicochemical_Managed!$P$2:$P$207,_xlfn.CONCAT(J$1,$E34))=1,COUNTIF(qPCR_Unique!$D$3:$D$118,_xlfn.CONCAT(J$1,$E34))=1),"Both",AND(COUNTIF(Physicochemical_Managed!$P$2:$P$207,_xlfn.CONCAT(J$1,$E34))=1,COUNTIF(qPCR_Unique!$D$3:$D$118,_xlfn.CONCAT(J$1,$E34))=0),"Physicochemical",AND(COUNTIF(Physicochemical_Managed!$P$2:$P$207,_xlfn.CONCAT(J$1,$E34))=0,COUNTIF(qPCR_Unique!$D$3:$D$118,_xlfn.CONCAT(J$1,$E34))=1),"OPs",AND(COUNTIF(Physicochemical_Managed!$P$2:$P$207,_xlfn.CONCAT(J$1,$E34))=0,COUNTIF(qPCR_Unique!$D$3:$D$118,_xlfn.CONCAT(J$1,$E34))=0),"Not assayed")</f>
        <v>Both</v>
      </c>
      <c r="K34" s="195" t="str" cm="1">
        <f t="array" ref="K34">_xlfn.IFS(AND(COUNTIF(Physicochemical_Managed!$P$2:$P$207,_xlfn.CONCAT(K$1,$E34))=1,COUNTIF(qPCR_Unique!$D$3:$D$118,_xlfn.CONCAT(K$1,$E34))=1),"Both",AND(COUNTIF(Physicochemical_Managed!$P$2:$P$207,_xlfn.CONCAT(K$1,$E34))=1,COUNTIF(qPCR_Unique!$D$3:$D$118,_xlfn.CONCAT(K$1,$E34))=0),"Physicochemical",AND(COUNTIF(Physicochemical_Managed!$P$2:$P$207,_xlfn.CONCAT(K$1,$E34))=0,COUNTIF(qPCR_Unique!$D$3:$D$118,_xlfn.CONCAT(K$1,$E34))=1),"OPs",AND(COUNTIF(Physicochemical_Managed!$P$2:$P$207,_xlfn.CONCAT(K$1,$E34))=0,COUNTIF(qPCR_Unique!$D$3:$D$118,_xlfn.CONCAT(K$1,$E34))=0),"Not assayed")</f>
        <v>Both</v>
      </c>
      <c r="L34" s="195" t="str" cm="1">
        <f t="array" ref="L34">_xlfn.IFS(AND(COUNTIF(Physicochemical_Managed!$P$2:$P$207,_xlfn.CONCAT(L$1,$E34))=1,COUNTIF(qPCR_Unique!$D$3:$D$118,_xlfn.CONCAT(L$1,$E34))=1),"Both",AND(COUNTIF(Physicochemical_Managed!$P$2:$P$207,_xlfn.CONCAT(L$1,$E34))=1,COUNTIF(qPCR_Unique!$D$3:$D$118,_xlfn.CONCAT(L$1,$E34))=0),"Physicochemical",AND(COUNTIF(Physicochemical_Managed!$P$2:$P$207,_xlfn.CONCAT(L$1,$E34))=0,COUNTIF(qPCR_Unique!$D$3:$D$118,_xlfn.CONCAT(L$1,$E34))=1),"OPs",AND(COUNTIF(Physicochemical_Managed!$P$2:$P$207,_xlfn.CONCAT(L$1,$E34))=0,COUNTIF(qPCR_Unique!$D$3:$D$118,_xlfn.CONCAT(L$1,$E34))=0),"Not assayed")</f>
        <v>Both</v>
      </c>
      <c r="M34" s="818" t="str" cm="1">
        <f t="array" ref="M34">_xlfn.IFS(AND(COUNTIF(Physicochemical_Managed!$P$2:$P$207,_xlfn.CONCAT(M$1,$E34))=1,COUNTIF(qPCR_Unique!$D$3:$D$118,_xlfn.CONCAT(M$1,$E34))=1),"Both",AND(COUNTIF(Physicochemical_Managed!$P$2:$P$207,_xlfn.CONCAT(M$1,$E34))=1,COUNTIF(qPCR_Unique!$D$3:$D$118,_xlfn.CONCAT(M$1,$E34))=0),"Physicochemical",AND(COUNTIF(Physicochemical_Managed!$P$2:$P$207,_xlfn.CONCAT(M$1,$E34))=0,COUNTIF(qPCR_Unique!$D$3:$D$118,_xlfn.CONCAT(M$1,$E34))=1),"OPs",AND(COUNTIF(Physicochemical_Managed!$P$2:$P$207,_xlfn.CONCAT(M$1,$E34))=0,COUNTIF(qPCR_Unique!$D$3:$D$118,_xlfn.CONCAT(M$1,$E34))=0),"Not assayed")</f>
        <v>Both</v>
      </c>
    </row>
    <row r="35" spans="1:13" s="191" customFormat="1" x14ac:dyDescent="0.3">
      <c r="A35" s="236" t="str">
        <f>Physicochemical_Managed!P35</f>
        <v>SPI44405</v>
      </c>
      <c r="B35" s="238" t="str" cm="1">
        <f t="array" ref="B35">INDEX($A$2:$A$323,MATCH(0,COUNTIF($B$1:B34,$A$2:$A$323),0))</f>
        <v>SPI44405</v>
      </c>
      <c r="C35" s="809">
        <f t="shared" si="0"/>
        <v>44405</v>
      </c>
      <c r="D35" s="817" cm="1">
        <f t="array" ref="D35">INDEX($C$2:$C$212,MATCH(0,COUNTIF($D$1:D34,$C$2:$C$212),0))</f>
        <v>44411</v>
      </c>
      <c r="E35" s="848">
        <v>44425</v>
      </c>
      <c r="F35" s="840" t="str" cm="1">
        <f t="array" ref="F35">_xlfn.IFS(AND(COUNTIF(Physicochemical_Managed!$P$2:$P$207,_xlfn.CONCAT(F$1,$E35))=1,COUNTIF(qPCR_Unique!$D$3:$D$118,_xlfn.CONCAT(F$1,$E35))=1),"Both",AND(COUNTIF(Physicochemical_Managed!$P$2:$P$207,_xlfn.CONCAT(F$1,$E35))=1,COUNTIF(qPCR_Unique!$D$3:$D$118,_xlfn.CONCAT(F$1,$E35))=0),"Physicochemical",AND(COUNTIF(Physicochemical_Managed!$P$2:$P$207,_xlfn.CONCAT(F$1,$E35))=0,COUNTIF(qPCR_Unique!$D$3:$D$118,_xlfn.CONCAT(F$1,$E35))=1),"OPs",AND(COUNTIF(Physicochemical_Managed!$P$2:$P$207,_xlfn.CONCAT(F$1,$E35))=0,COUNTIF(qPCR_Unique!$D$3:$D$118,_xlfn.CONCAT(F$1,$E35))=0),"Not assayed")</f>
        <v>Not assayed</v>
      </c>
      <c r="G35" s="195" t="str" cm="1">
        <f t="array" ref="G35">_xlfn.IFS(AND(COUNTIF(Physicochemical_Managed!$P$2:$P$207,_xlfn.CONCAT(G$1,$E35))=1,COUNTIF(qPCR_Unique!$D$3:$D$118,_xlfn.CONCAT(G$1,$E35))=1),"Both",AND(COUNTIF(Physicochemical_Managed!$P$2:$P$207,_xlfn.CONCAT(G$1,$E35))=1,COUNTIF(qPCR_Unique!$D$3:$D$118,_xlfn.CONCAT(G$1,$E35))=0),"Physicochemical",AND(COUNTIF(Physicochemical_Managed!$P$2:$P$207,_xlfn.CONCAT(G$1,$E35))=0,COUNTIF(qPCR_Unique!$D$3:$D$118,_xlfn.CONCAT(G$1,$E35))=1),"OPs",AND(COUNTIF(Physicochemical_Managed!$P$2:$P$207,_xlfn.CONCAT(G$1,$E35))=0,COUNTIF(qPCR_Unique!$D$3:$D$118,_xlfn.CONCAT(G$1,$E35))=0),"Not assayed")</f>
        <v>Not assayed</v>
      </c>
      <c r="H35" s="195" t="str" cm="1">
        <f t="array" ref="H35">_xlfn.IFS(AND(COUNTIF(Physicochemical_Managed!$P$2:$P$207,_xlfn.CONCAT(H$1,$E35))=1,COUNTIF(qPCR_Unique!$D$3:$D$118,_xlfn.CONCAT(H$1,$E35))=1),"Both",AND(COUNTIF(Physicochemical_Managed!$P$2:$P$207,_xlfn.CONCAT(H$1,$E35))=1,COUNTIF(qPCR_Unique!$D$3:$D$118,_xlfn.CONCAT(H$1,$E35))=0),"Physicochemical",AND(COUNTIF(Physicochemical_Managed!$P$2:$P$207,_xlfn.CONCAT(H$1,$E35))=0,COUNTIF(qPCR_Unique!$D$3:$D$118,_xlfn.CONCAT(H$1,$E35))=1),"OPs",AND(COUNTIF(Physicochemical_Managed!$P$2:$P$207,_xlfn.CONCAT(H$1,$E35))=0,COUNTIF(qPCR_Unique!$D$3:$D$118,_xlfn.CONCAT(H$1,$E35))=0),"Not assayed")</f>
        <v>Not assayed</v>
      </c>
      <c r="I35" s="195" t="str" cm="1">
        <f t="array" ref="I35">_xlfn.IFS(AND(COUNTIF(Physicochemical_Managed!$P$2:$P$207,_xlfn.CONCAT(I$1,$E35))=1,COUNTIF(qPCR_Unique!$D$3:$D$118,_xlfn.CONCAT(I$1,$E35))=1),"Both",AND(COUNTIF(Physicochemical_Managed!$P$2:$P$207,_xlfn.CONCAT(I$1,$E35))=1,COUNTIF(qPCR_Unique!$D$3:$D$118,_xlfn.CONCAT(I$1,$E35))=0),"Physicochemical",AND(COUNTIF(Physicochemical_Managed!$P$2:$P$207,_xlfn.CONCAT(I$1,$E35))=0,COUNTIF(qPCR_Unique!$D$3:$D$118,_xlfn.CONCAT(I$1,$E35))=1),"OPs",AND(COUNTIF(Physicochemical_Managed!$P$2:$P$207,_xlfn.CONCAT(I$1,$E35))=0,COUNTIF(qPCR_Unique!$D$3:$D$118,_xlfn.CONCAT(I$1,$E35))=0),"Not assayed")</f>
        <v>Not assayed</v>
      </c>
      <c r="J35" s="195" t="str" cm="1">
        <f t="array" ref="J35">_xlfn.IFS(AND(COUNTIF(Physicochemical_Managed!$P$2:$P$207,_xlfn.CONCAT(J$1,$E35))=1,COUNTIF(qPCR_Unique!$D$3:$D$118,_xlfn.CONCAT(J$1,$E35))=1),"Both",AND(COUNTIF(Physicochemical_Managed!$P$2:$P$207,_xlfn.CONCAT(J$1,$E35))=1,COUNTIF(qPCR_Unique!$D$3:$D$118,_xlfn.CONCAT(J$1,$E35))=0),"Physicochemical",AND(COUNTIF(Physicochemical_Managed!$P$2:$P$207,_xlfn.CONCAT(J$1,$E35))=0,COUNTIF(qPCR_Unique!$D$3:$D$118,_xlfn.CONCAT(J$1,$E35))=1),"OPs",AND(COUNTIF(Physicochemical_Managed!$P$2:$P$207,_xlfn.CONCAT(J$1,$E35))=0,COUNTIF(qPCR_Unique!$D$3:$D$118,_xlfn.CONCAT(J$1,$E35))=0),"Not assayed")</f>
        <v>Physicochemical</v>
      </c>
      <c r="K35" s="195" t="str" cm="1">
        <f t="array" ref="K35">_xlfn.IFS(AND(COUNTIF(Physicochemical_Managed!$P$2:$P$207,_xlfn.CONCAT(K$1,$E35))=1,COUNTIF(qPCR_Unique!$D$3:$D$118,_xlfn.CONCAT(K$1,$E35))=1),"Both",AND(COUNTIF(Physicochemical_Managed!$P$2:$P$207,_xlfn.CONCAT(K$1,$E35))=1,COUNTIF(qPCR_Unique!$D$3:$D$118,_xlfn.CONCAT(K$1,$E35))=0),"Physicochemical",AND(COUNTIF(Physicochemical_Managed!$P$2:$P$207,_xlfn.CONCAT(K$1,$E35))=0,COUNTIF(qPCR_Unique!$D$3:$D$118,_xlfn.CONCAT(K$1,$E35))=1),"OPs",AND(COUNTIF(Physicochemical_Managed!$P$2:$P$207,_xlfn.CONCAT(K$1,$E35))=0,COUNTIF(qPCR_Unique!$D$3:$D$118,_xlfn.CONCAT(K$1,$E35))=0),"Not assayed")</f>
        <v>Physicochemical</v>
      </c>
      <c r="L35" s="195" t="str" cm="1">
        <f t="array" ref="L35">_xlfn.IFS(AND(COUNTIF(Physicochemical_Managed!$P$2:$P$207,_xlfn.CONCAT(L$1,$E35))=1,COUNTIF(qPCR_Unique!$D$3:$D$118,_xlfn.CONCAT(L$1,$E35))=1),"Both",AND(COUNTIF(Physicochemical_Managed!$P$2:$P$207,_xlfn.CONCAT(L$1,$E35))=1,COUNTIF(qPCR_Unique!$D$3:$D$118,_xlfn.CONCAT(L$1,$E35))=0),"Physicochemical",AND(COUNTIF(Physicochemical_Managed!$P$2:$P$207,_xlfn.CONCAT(L$1,$E35))=0,COUNTIF(qPCR_Unique!$D$3:$D$118,_xlfn.CONCAT(L$1,$E35))=1),"OPs",AND(COUNTIF(Physicochemical_Managed!$P$2:$P$207,_xlfn.CONCAT(L$1,$E35))=0,COUNTIF(qPCR_Unique!$D$3:$D$118,_xlfn.CONCAT(L$1,$E35))=0),"Not assayed")</f>
        <v>Physicochemical</v>
      </c>
      <c r="M35" s="818" t="str" cm="1">
        <f t="array" ref="M35">_xlfn.IFS(AND(COUNTIF(Physicochemical_Managed!$P$2:$P$207,_xlfn.CONCAT(M$1,$E35))=1,COUNTIF(qPCR_Unique!$D$3:$D$118,_xlfn.CONCAT(M$1,$E35))=1),"Both",AND(COUNTIF(Physicochemical_Managed!$P$2:$P$207,_xlfn.CONCAT(M$1,$E35))=1,COUNTIF(qPCR_Unique!$D$3:$D$118,_xlfn.CONCAT(M$1,$E35))=0),"Physicochemical",AND(COUNTIF(Physicochemical_Managed!$P$2:$P$207,_xlfn.CONCAT(M$1,$E35))=0,COUNTIF(qPCR_Unique!$D$3:$D$118,_xlfn.CONCAT(M$1,$E35))=1),"OPs",AND(COUNTIF(Physicochemical_Managed!$P$2:$P$207,_xlfn.CONCAT(M$1,$E35))=0,COUNTIF(qPCR_Unique!$D$3:$D$118,_xlfn.CONCAT(M$1,$E35))=0),"Not assayed")</f>
        <v>Physicochemical</v>
      </c>
    </row>
    <row r="36" spans="1:13" s="191" customFormat="1" x14ac:dyDescent="0.3">
      <c r="A36" s="236" t="str">
        <f>Physicochemical_Managed!P36</f>
        <v>SPI44412</v>
      </c>
      <c r="B36" s="238" t="str" cm="1">
        <f t="array" ref="B36">INDEX($A$2:$A$323,MATCH(0,COUNTIF($B$1:B35,$A$2:$A$323),0))</f>
        <v>SPI44412</v>
      </c>
      <c r="C36" s="809">
        <f t="shared" si="0"/>
        <v>44412</v>
      </c>
      <c r="D36" s="817" cm="1">
        <f t="array" ref="D36">INDEX($C$2:$C$212,MATCH(0,COUNTIF($D$1:D35,$C$2:$C$212),0))</f>
        <v>44418</v>
      </c>
      <c r="E36" s="848">
        <v>44426</v>
      </c>
      <c r="F36" s="840" t="str" cm="1">
        <f t="array" ref="F36">_xlfn.IFS(AND(COUNTIF(Physicochemical_Managed!$P$2:$P$207,_xlfn.CONCAT(F$1,$E36))=1,COUNTIF(qPCR_Unique!$D$3:$D$118,_xlfn.CONCAT(F$1,$E36))=1),"Both",AND(COUNTIF(Physicochemical_Managed!$P$2:$P$207,_xlfn.CONCAT(F$1,$E36))=1,COUNTIF(qPCR_Unique!$D$3:$D$118,_xlfn.CONCAT(F$1,$E36))=0),"Physicochemical",AND(COUNTIF(Physicochemical_Managed!$P$2:$P$207,_xlfn.CONCAT(F$1,$E36))=0,COUNTIF(qPCR_Unique!$D$3:$D$118,_xlfn.CONCAT(F$1,$E36))=1),"OPs",AND(COUNTIF(Physicochemical_Managed!$P$2:$P$207,_xlfn.CONCAT(F$1,$E36))=0,COUNTIF(qPCR_Unique!$D$3:$D$118,_xlfn.CONCAT(F$1,$E36))=0),"Not assayed")</f>
        <v>Both</v>
      </c>
      <c r="G36" s="195" t="str" cm="1">
        <f t="array" ref="G36">_xlfn.IFS(AND(COUNTIF(Physicochemical_Managed!$P$2:$P$207,_xlfn.CONCAT(G$1,$E36))=1,COUNTIF(qPCR_Unique!$D$3:$D$118,_xlfn.CONCAT(G$1,$E36))=1),"Both",AND(COUNTIF(Physicochemical_Managed!$P$2:$P$207,_xlfn.CONCAT(G$1,$E36))=1,COUNTIF(qPCR_Unique!$D$3:$D$118,_xlfn.CONCAT(G$1,$E36))=0),"Physicochemical",AND(COUNTIF(Physicochemical_Managed!$P$2:$P$207,_xlfn.CONCAT(G$1,$E36))=0,COUNTIF(qPCR_Unique!$D$3:$D$118,_xlfn.CONCAT(G$1,$E36))=1),"OPs",AND(COUNTIF(Physicochemical_Managed!$P$2:$P$207,_xlfn.CONCAT(G$1,$E36))=0,COUNTIF(qPCR_Unique!$D$3:$D$118,_xlfn.CONCAT(G$1,$E36))=0),"Not assayed")</f>
        <v>Both</v>
      </c>
      <c r="H36" s="195" t="str" cm="1">
        <f t="array" ref="H36">_xlfn.IFS(AND(COUNTIF(Physicochemical_Managed!$P$2:$P$207,_xlfn.CONCAT(H$1,$E36))=1,COUNTIF(qPCR_Unique!$D$3:$D$118,_xlfn.CONCAT(H$1,$E36))=1),"Both",AND(COUNTIF(Physicochemical_Managed!$P$2:$P$207,_xlfn.CONCAT(H$1,$E36))=1,COUNTIF(qPCR_Unique!$D$3:$D$118,_xlfn.CONCAT(H$1,$E36))=0),"Physicochemical",AND(COUNTIF(Physicochemical_Managed!$P$2:$P$207,_xlfn.CONCAT(H$1,$E36))=0,COUNTIF(qPCR_Unique!$D$3:$D$118,_xlfn.CONCAT(H$1,$E36))=1),"OPs",AND(COUNTIF(Physicochemical_Managed!$P$2:$P$207,_xlfn.CONCAT(H$1,$E36))=0,COUNTIF(qPCR_Unique!$D$3:$D$118,_xlfn.CONCAT(H$1,$E36))=0),"Not assayed")</f>
        <v>Both</v>
      </c>
      <c r="I36" s="195" t="str" cm="1">
        <f t="array" ref="I36">_xlfn.IFS(AND(COUNTIF(Physicochemical_Managed!$P$2:$P$207,_xlfn.CONCAT(I$1,$E36))=1,COUNTIF(qPCR_Unique!$D$3:$D$118,_xlfn.CONCAT(I$1,$E36))=1),"Both",AND(COUNTIF(Physicochemical_Managed!$P$2:$P$207,_xlfn.CONCAT(I$1,$E36))=1,COUNTIF(qPCR_Unique!$D$3:$D$118,_xlfn.CONCAT(I$1,$E36))=0),"Physicochemical",AND(COUNTIF(Physicochemical_Managed!$P$2:$P$207,_xlfn.CONCAT(I$1,$E36))=0,COUNTIF(qPCR_Unique!$D$3:$D$118,_xlfn.CONCAT(I$1,$E36))=1),"OPs",AND(COUNTIF(Physicochemical_Managed!$P$2:$P$207,_xlfn.CONCAT(I$1,$E36))=0,COUNTIF(qPCR_Unique!$D$3:$D$118,_xlfn.CONCAT(I$1,$E36))=0),"Not assayed")</f>
        <v>Both</v>
      </c>
      <c r="J36" s="195" t="str" cm="1">
        <f t="array" ref="J36">_xlfn.IFS(AND(COUNTIF(Physicochemical_Managed!$P$2:$P$207,_xlfn.CONCAT(J$1,$E36))=1,COUNTIF(qPCR_Unique!$D$3:$D$118,_xlfn.CONCAT(J$1,$E36))=1),"Both",AND(COUNTIF(Physicochemical_Managed!$P$2:$P$207,_xlfn.CONCAT(J$1,$E36))=1,COUNTIF(qPCR_Unique!$D$3:$D$118,_xlfn.CONCAT(J$1,$E36))=0),"Physicochemical",AND(COUNTIF(Physicochemical_Managed!$P$2:$P$207,_xlfn.CONCAT(J$1,$E36))=0,COUNTIF(qPCR_Unique!$D$3:$D$118,_xlfn.CONCAT(J$1,$E36))=1),"OPs",AND(COUNTIF(Physicochemical_Managed!$P$2:$P$207,_xlfn.CONCAT(J$1,$E36))=0,COUNTIF(qPCR_Unique!$D$3:$D$118,_xlfn.CONCAT(J$1,$E36))=0),"Not assayed")</f>
        <v>Both</v>
      </c>
      <c r="K36" s="195" t="str" cm="1">
        <f t="array" ref="K36">_xlfn.IFS(AND(COUNTIF(Physicochemical_Managed!$P$2:$P$207,_xlfn.CONCAT(K$1,$E36))=1,COUNTIF(qPCR_Unique!$D$3:$D$118,_xlfn.CONCAT(K$1,$E36))=1),"Both",AND(COUNTIF(Physicochemical_Managed!$P$2:$P$207,_xlfn.CONCAT(K$1,$E36))=1,COUNTIF(qPCR_Unique!$D$3:$D$118,_xlfn.CONCAT(K$1,$E36))=0),"Physicochemical",AND(COUNTIF(Physicochemical_Managed!$P$2:$P$207,_xlfn.CONCAT(K$1,$E36))=0,COUNTIF(qPCR_Unique!$D$3:$D$118,_xlfn.CONCAT(K$1,$E36))=1),"OPs",AND(COUNTIF(Physicochemical_Managed!$P$2:$P$207,_xlfn.CONCAT(K$1,$E36))=0,COUNTIF(qPCR_Unique!$D$3:$D$118,_xlfn.CONCAT(K$1,$E36))=0),"Not assayed")</f>
        <v>Both</v>
      </c>
      <c r="L36" s="195" t="str" cm="1">
        <f t="array" ref="L36">_xlfn.IFS(AND(COUNTIF(Physicochemical_Managed!$P$2:$P$207,_xlfn.CONCAT(L$1,$E36))=1,COUNTIF(qPCR_Unique!$D$3:$D$118,_xlfn.CONCAT(L$1,$E36))=1),"Both",AND(COUNTIF(Physicochemical_Managed!$P$2:$P$207,_xlfn.CONCAT(L$1,$E36))=1,COUNTIF(qPCR_Unique!$D$3:$D$118,_xlfn.CONCAT(L$1,$E36))=0),"Physicochemical",AND(COUNTIF(Physicochemical_Managed!$P$2:$P$207,_xlfn.CONCAT(L$1,$E36))=0,COUNTIF(qPCR_Unique!$D$3:$D$118,_xlfn.CONCAT(L$1,$E36))=1),"OPs",AND(COUNTIF(Physicochemical_Managed!$P$2:$P$207,_xlfn.CONCAT(L$1,$E36))=0,COUNTIF(qPCR_Unique!$D$3:$D$118,_xlfn.CONCAT(L$1,$E36))=0),"Not assayed")</f>
        <v>Both</v>
      </c>
      <c r="M36" s="818" t="str" cm="1">
        <f t="array" ref="M36">_xlfn.IFS(AND(COUNTIF(Physicochemical_Managed!$P$2:$P$207,_xlfn.CONCAT(M$1,$E36))=1,COUNTIF(qPCR_Unique!$D$3:$D$118,_xlfn.CONCAT(M$1,$E36))=1),"Both",AND(COUNTIF(Physicochemical_Managed!$P$2:$P$207,_xlfn.CONCAT(M$1,$E36))=1,COUNTIF(qPCR_Unique!$D$3:$D$118,_xlfn.CONCAT(M$1,$E36))=0),"Physicochemical",AND(COUNTIF(Physicochemical_Managed!$P$2:$P$207,_xlfn.CONCAT(M$1,$E36))=0,COUNTIF(qPCR_Unique!$D$3:$D$118,_xlfn.CONCAT(M$1,$E36))=1),"OPs",AND(COUNTIF(Physicochemical_Managed!$P$2:$P$207,_xlfn.CONCAT(M$1,$E36))=0,COUNTIF(qPCR_Unique!$D$3:$D$118,_xlfn.CONCAT(M$1,$E36))=0),"Not assayed")</f>
        <v>Both</v>
      </c>
    </row>
    <row r="37" spans="1:13" s="191" customFormat="1" x14ac:dyDescent="0.3">
      <c r="A37" s="236" t="str">
        <f>Physicochemical_Managed!P37</f>
        <v>SPI44419</v>
      </c>
      <c r="B37" s="238" t="str" cm="1">
        <f t="array" ref="B37">INDEX($A$2:$A$323,MATCH(0,COUNTIF($B$1:B36,$A$2:$A$323),0))</f>
        <v>SPI44419</v>
      </c>
      <c r="C37" s="809">
        <f t="shared" si="0"/>
        <v>44419</v>
      </c>
      <c r="D37" s="817" cm="1">
        <f t="array" ref="D37">INDEX($C$2:$C$212,MATCH(0,COUNTIF($D$1:D36,$C$2:$C$212),0))</f>
        <v>44425</v>
      </c>
      <c r="E37" s="848">
        <v>44432</v>
      </c>
      <c r="F37" s="840" t="str" cm="1">
        <f t="array" ref="F37">_xlfn.IFS(AND(COUNTIF(Physicochemical_Managed!$P$2:$P$207,_xlfn.CONCAT(F$1,$E37))=1,COUNTIF(qPCR_Unique!$D$3:$D$118,_xlfn.CONCAT(F$1,$E37))=1),"Both",AND(COUNTIF(Physicochemical_Managed!$P$2:$P$207,_xlfn.CONCAT(F$1,$E37))=1,COUNTIF(qPCR_Unique!$D$3:$D$118,_xlfn.CONCAT(F$1,$E37))=0),"Physicochemical",AND(COUNTIF(Physicochemical_Managed!$P$2:$P$207,_xlfn.CONCAT(F$1,$E37))=0,COUNTIF(qPCR_Unique!$D$3:$D$118,_xlfn.CONCAT(F$1,$E37))=1),"OPs",AND(COUNTIF(Physicochemical_Managed!$P$2:$P$207,_xlfn.CONCAT(F$1,$E37))=0,COUNTIF(qPCR_Unique!$D$3:$D$118,_xlfn.CONCAT(F$1,$E37))=0),"Not assayed")</f>
        <v>Not assayed</v>
      </c>
      <c r="G37" s="195" t="str" cm="1">
        <f t="array" ref="G37">_xlfn.IFS(AND(COUNTIF(Physicochemical_Managed!$P$2:$P$207,_xlfn.CONCAT(G$1,$E37))=1,COUNTIF(qPCR_Unique!$D$3:$D$118,_xlfn.CONCAT(G$1,$E37))=1),"Both",AND(COUNTIF(Physicochemical_Managed!$P$2:$P$207,_xlfn.CONCAT(G$1,$E37))=1,COUNTIF(qPCR_Unique!$D$3:$D$118,_xlfn.CONCAT(G$1,$E37))=0),"Physicochemical",AND(COUNTIF(Physicochemical_Managed!$P$2:$P$207,_xlfn.CONCAT(G$1,$E37))=0,COUNTIF(qPCR_Unique!$D$3:$D$118,_xlfn.CONCAT(G$1,$E37))=1),"OPs",AND(COUNTIF(Physicochemical_Managed!$P$2:$P$207,_xlfn.CONCAT(G$1,$E37))=0,COUNTIF(qPCR_Unique!$D$3:$D$118,_xlfn.CONCAT(G$1,$E37))=0),"Not assayed")</f>
        <v>Not assayed</v>
      </c>
      <c r="H37" s="195" t="str" cm="1">
        <f t="array" ref="H37">_xlfn.IFS(AND(COUNTIF(Physicochemical_Managed!$P$2:$P$207,_xlfn.CONCAT(H$1,$E37))=1,COUNTIF(qPCR_Unique!$D$3:$D$118,_xlfn.CONCAT(H$1,$E37))=1),"Both",AND(COUNTIF(Physicochemical_Managed!$P$2:$P$207,_xlfn.CONCAT(H$1,$E37))=1,COUNTIF(qPCR_Unique!$D$3:$D$118,_xlfn.CONCAT(H$1,$E37))=0),"Physicochemical",AND(COUNTIF(Physicochemical_Managed!$P$2:$P$207,_xlfn.CONCAT(H$1,$E37))=0,COUNTIF(qPCR_Unique!$D$3:$D$118,_xlfn.CONCAT(H$1,$E37))=1),"OPs",AND(COUNTIF(Physicochemical_Managed!$P$2:$P$207,_xlfn.CONCAT(H$1,$E37))=0,COUNTIF(qPCR_Unique!$D$3:$D$118,_xlfn.CONCAT(H$1,$E37))=0),"Not assayed")</f>
        <v>Not assayed</v>
      </c>
      <c r="I37" s="195" t="str" cm="1">
        <f t="array" ref="I37">_xlfn.IFS(AND(COUNTIF(Physicochemical_Managed!$P$2:$P$207,_xlfn.CONCAT(I$1,$E37))=1,COUNTIF(qPCR_Unique!$D$3:$D$118,_xlfn.CONCAT(I$1,$E37))=1),"Both",AND(COUNTIF(Physicochemical_Managed!$P$2:$P$207,_xlfn.CONCAT(I$1,$E37))=1,COUNTIF(qPCR_Unique!$D$3:$D$118,_xlfn.CONCAT(I$1,$E37))=0),"Physicochemical",AND(COUNTIF(Physicochemical_Managed!$P$2:$P$207,_xlfn.CONCAT(I$1,$E37))=0,COUNTIF(qPCR_Unique!$D$3:$D$118,_xlfn.CONCAT(I$1,$E37))=1),"OPs",AND(COUNTIF(Physicochemical_Managed!$P$2:$P$207,_xlfn.CONCAT(I$1,$E37))=0,COUNTIF(qPCR_Unique!$D$3:$D$118,_xlfn.CONCAT(I$1,$E37))=0),"Not assayed")</f>
        <v>Physicochemical</v>
      </c>
      <c r="J37" s="195" t="str" cm="1">
        <f t="array" ref="J37">_xlfn.IFS(AND(COUNTIF(Physicochemical_Managed!$P$2:$P$207,_xlfn.CONCAT(J$1,$E37))=1,COUNTIF(qPCR_Unique!$D$3:$D$118,_xlfn.CONCAT(J$1,$E37))=1),"Both",AND(COUNTIF(Physicochemical_Managed!$P$2:$P$207,_xlfn.CONCAT(J$1,$E37))=1,COUNTIF(qPCR_Unique!$D$3:$D$118,_xlfn.CONCAT(J$1,$E37))=0),"Physicochemical",AND(COUNTIF(Physicochemical_Managed!$P$2:$P$207,_xlfn.CONCAT(J$1,$E37))=0,COUNTIF(qPCR_Unique!$D$3:$D$118,_xlfn.CONCAT(J$1,$E37))=1),"OPs",AND(COUNTIF(Physicochemical_Managed!$P$2:$P$207,_xlfn.CONCAT(J$1,$E37))=0,COUNTIF(qPCR_Unique!$D$3:$D$118,_xlfn.CONCAT(J$1,$E37))=0),"Not assayed")</f>
        <v>Physicochemical</v>
      </c>
      <c r="K37" s="195" t="str" cm="1">
        <f t="array" ref="K37">_xlfn.IFS(AND(COUNTIF(Physicochemical_Managed!$P$2:$P$207,_xlfn.CONCAT(K$1,$E37))=1,COUNTIF(qPCR_Unique!$D$3:$D$118,_xlfn.CONCAT(K$1,$E37))=1),"Both",AND(COUNTIF(Physicochemical_Managed!$P$2:$P$207,_xlfn.CONCAT(K$1,$E37))=1,COUNTIF(qPCR_Unique!$D$3:$D$118,_xlfn.CONCAT(K$1,$E37))=0),"Physicochemical",AND(COUNTIF(Physicochemical_Managed!$P$2:$P$207,_xlfn.CONCAT(K$1,$E37))=0,COUNTIF(qPCR_Unique!$D$3:$D$118,_xlfn.CONCAT(K$1,$E37))=1),"OPs",AND(COUNTIF(Physicochemical_Managed!$P$2:$P$207,_xlfn.CONCAT(K$1,$E37))=0,COUNTIF(qPCR_Unique!$D$3:$D$118,_xlfn.CONCAT(K$1,$E37))=0),"Not assayed")</f>
        <v>Physicochemical</v>
      </c>
      <c r="L37" s="195" t="str" cm="1">
        <f t="array" ref="L37">_xlfn.IFS(AND(COUNTIF(Physicochemical_Managed!$P$2:$P$207,_xlfn.CONCAT(L$1,$E37))=1,COUNTIF(qPCR_Unique!$D$3:$D$118,_xlfn.CONCAT(L$1,$E37))=1),"Both",AND(COUNTIF(Physicochemical_Managed!$P$2:$P$207,_xlfn.CONCAT(L$1,$E37))=1,COUNTIF(qPCR_Unique!$D$3:$D$118,_xlfn.CONCAT(L$1,$E37))=0),"Physicochemical",AND(COUNTIF(Physicochemical_Managed!$P$2:$P$207,_xlfn.CONCAT(L$1,$E37))=0,COUNTIF(qPCR_Unique!$D$3:$D$118,_xlfn.CONCAT(L$1,$E37))=1),"OPs",AND(COUNTIF(Physicochemical_Managed!$P$2:$P$207,_xlfn.CONCAT(L$1,$E37))=0,COUNTIF(qPCR_Unique!$D$3:$D$118,_xlfn.CONCAT(L$1,$E37))=0),"Not assayed")</f>
        <v>Physicochemical</v>
      </c>
      <c r="M37" s="818" t="str" cm="1">
        <f t="array" ref="M37">_xlfn.IFS(AND(COUNTIF(Physicochemical_Managed!$P$2:$P$207,_xlfn.CONCAT(M$1,$E37))=1,COUNTIF(qPCR_Unique!$D$3:$D$118,_xlfn.CONCAT(M$1,$E37))=1),"Both",AND(COUNTIF(Physicochemical_Managed!$P$2:$P$207,_xlfn.CONCAT(M$1,$E37))=1,COUNTIF(qPCR_Unique!$D$3:$D$118,_xlfn.CONCAT(M$1,$E37))=0),"Physicochemical",AND(COUNTIF(Physicochemical_Managed!$P$2:$P$207,_xlfn.CONCAT(M$1,$E37))=0,COUNTIF(qPCR_Unique!$D$3:$D$118,_xlfn.CONCAT(M$1,$E37))=1),"OPs",AND(COUNTIF(Physicochemical_Managed!$P$2:$P$207,_xlfn.CONCAT(M$1,$E37))=0,COUNTIF(qPCR_Unique!$D$3:$D$118,_xlfn.CONCAT(M$1,$E37))=0),"Not assayed")</f>
        <v>Physicochemical</v>
      </c>
    </row>
    <row r="38" spans="1:13" s="191" customFormat="1" ht="16.350000000000001" thickBot="1" x14ac:dyDescent="0.35">
      <c r="A38" s="236" t="str">
        <f>Physicochemical_Managed!P38</f>
        <v>SPI44426</v>
      </c>
      <c r="B38" s="238" t="str" cm="1">
        <f t="array" ref="B38">INDEX($A$2:$A$323,MATCH(0,COUNTIF($B$1:B37,$A$2:$A$323),0))</f>
        <v>SPI44426</v>
      </c>
      <c r="C38" s="809">
        <f t="shared" si="0"/>
        <v>44426</v>
      </c>
      <c r="D38" s="819" cm="1">
        <f t="array" ref="D38">INDEX($C$2:$C$212,MATCH(0,COUNTIF($D$1:D37,$C$2:$C$212),0))</f>
        <v>44364</v>
      </c>
      <c r="E38" s="853">
        <v>44433</v>
      </c>
      <c r="F38" s="845" t="str" cm="1">
        <f t="array" ref="F38">_xlfn.IFS(AND(COUNTIF(Physicochemical_Managed!$P$2:$P$207,_xlfn.CONCAT(F$1,$E38))=1,COUNTIF(qPCR_Unique!$D$3:$D$118,_xlfn.CONCAT(F$1,$E38))=1),"Both",AND(COUNTIF(Physicochemical_Managed!$P$2:$P$207,_xlfn.CONCAT(F$1,$E38))=1,COUNTIF(qPCR_Unique!$D$3:$D$118,_xlfn.CONCAT(F$1,$E38))=0),"Physicochemical",AND(COUNTIF(Physicochemical_Managed!$P$2:$P$207,_xlfn.CONCAT(F$1,$E38))=0,COUNTIF(qPCR_Unique!$D$3:$D$118,_xlfn.CONCAT(F$1,$E38))=1),"OPs",AND(COUNTIF(Physicochemical_Managed!$P$2:$P$207,_xlfn.CONCAT(F$1,$E38))=0,COUNTIF(qPCR_Unique!$D$3:$D$118,_xlfn.CONCAT(F$1,$E38))=0),"Not assayed")</f>
        <v>Both</v>
      </c>
      <c r="G38" s="820" t="str" cm="1">
        <f t="array" ref="G38">_xlfn.IFS(AND(COUNTIF(Physicochemical_Managed!$P$2:$P$207,_xlfn.CONCAT(G$1,$E38))=1,COUNTIF(qPCR_Unique!$D$3:$D$118,_xlfn.CONCAT(G$1,$E38))=1),"Both",AND(COUNTIF(Physicochemical_Managed!$P$2:$P$207,_xlfn.CONCAT(G$1,$E38))=1,COUNTIF(qPCR_Unique!$D$3:$D$118,_xlfn.CONCAT(G$1,$E38))=0),"Physicochemical",AND(COUNTIF(Physicochemical_Managed!$P$2:$P$207,_xlfn.CONCAT(G$1,$E38))=0,COUNTIF(qPCR_Unique!$D$3:$D$118,_xlfn.CONCAT(G$1,$E38))=1),"OPs",AND(COUNTIF(Physicochemical_Managed!$P$2:$P$207,_xlfn.CONCAT(G$1,$E38))=0,COUNTIF(qPCR_Unique!$D$3:$D$118,_xlfn.CONCAT(G$1,$E38))=0),"Not assayed")</f>
        <v>Both</v>
      </c>
      <c r="H38" s="820" t="str" cm="1">
        <f t="array" ref="H38">_xlfn.IFS(AND(COUNTIF(Physicochemical_Managed!$P$2:$P$207,_xlfn.CONCAT(H$1,$E38))=1,COUNTIF(qPCR_Unique!$D$3:$D$118,_xlfn.CONCAT(H$1,$E38))=1),"Both",AND(COUNTIF(Physicochemical_Managed!$P$2:$P$207,_xlfn.CONCAT(H$1,$E38))=1,COUNTIF(qPCR_Unique!$D$3:$D$118,_xlfn.CONCAT(H$1,$E38))=0),"Physicochemical",AND(COUNTIF(Physicochemical_Managed!$P$2:$P$207,_xlfn.CONCAT(H$1,$E38))=0,COUNTIF(qPCR_Unique!$D$3:$D$118,_xlfn.CONCAT(H$1,$E38))=1),"OPs",AND(COUNTIF(Physicochemical_Managed!$P$2:$P$207,_xlfn.CONCAT(H$1,$E38))=0,COUNTIF(qPCR_Unique!$D$3:$D$118,_xlfn.CONCAT(H$1,$E38))=0),"Not assayed")</f>
        <v>Both</v>
      </c>
      <c r="I38" s="820" t="str" cm="1">
        <f t="array" ref="I38">_xlfn.IFS(AND(COUNTIF(Physicochemical_Managed!$P$2:$P$207,_xlfn.CONCAT(I$1,$E38))=1,COUNTIF(qPCR_Unique!$D$3:$D$118,_xlfn.CONCAT(I$1,$E38))=1),"Both",AND(COUNTIF(Physicochemical_Managed!$P$2:$P$207,_xlfn.CONCAT(I$1,$E38))=1,COUNTIF(qPCR_Unique!$D$3:$D$118,_xlfn.CONCAT(I$1,$E38))=0),"Physicochemical",AND(COUNTIF(Physicochemical_Managed!$P$2:$P$207,_xlfn.CONCAT(I$1,$E38))=0,COUNTIF(qPCR_Unique!$D$3:$D$118,_xlfn.CONCAT(I$1,$E38))=1),"OPs",AND(COUNTIF(Physicochemical_Managed!$P$2:$P$207,_xlfn.CONCAT(I$1,$E38))=0,COUNTIF(qPCR_Unique!$D$3:$D$118,_xlfn.CONCAT(I$1,$E38))=0),"Not assayed")</f>
        <v>Both</v>
      </c>
      <c r="J38" s="820" t="str" cm="1">
        <f t="array" ref="J38">_xlfn.IFS(AND(COUNTIF(Physicochemical_Managed!$P$2:$P$207,_xlfn.CONCAT(J$1,$E38))=1,COUNTIF(qPCR_Unique!$D$3:$D$118,_xlfn.CONCAT(J$1,$E38))=1),"Both",AND(COUNTIF(Physicochemical_Managed!$P$2:$P$207,_xlfn.CONCAT(J$1,$E38))=1,COUNTIF(qPCR_Unique!$D$3:$D$118,_xlfn.CONCAT(J$1,$E38))=0),"Physicochemical",AND(COUNTIF(Physicochemical_Managed!$P$2:$P$207,_xlfn.CONCAT(J$1,$E38))=0,COUNTIF(qPCR_Unique!$D$3:$D$118,_xlfn.CONCAT(J$1,$E38))=1),"OPs",AND(COUNTIF(Physicochemical_Managed!$P$2:$P$207,_xlfn.CONCAT(J$1,$E38))=0,COUNTIF(qPCR_Unique!$D$3:$D$118,_xlfn.CONCAT(J$1,$E38))=0),"Not assayed")</f>
        <v>Both</v>
      </c>
      <c r="K38" s="820" t="str" cm="1">
        <f t="array" ref="K38">_xlfn.IFS(AND(COUNTIF(Physicochemical_Managed!$P$2:$P$207,_xlfn.CONCAT(K$1,$E38))=1,COUNTIF(qPCR_Unique!$D$3:$D$118,_xlfn.CONCAT(K$1,$E38))=1),"Both",AND(COUNTIF(Physicochemical_Managed!$P$2:$P$207,_xlfn.CONCAT(K$1,$E38))=1,COUNTIF(qPCR_Unique!$D$3:$D$118,_xlfn.CONCAT(K$1,$E38))=0),"Physicochemical",AND(COUNTIF(Physicochemical_Managed!$P$2:$P$207,_xlfn.CONCAT(K$1,$E38))=0,COUNTIF(qPCR_Unique!$D$3:$D$118,_xlfn.CONCAT(K$1,$E38))=1),"OPs",AND(COUNTIF(Physicochemical_Managed!$P$2:$P$207,_xlfn.CONCAT(K$1,$E38))=0,COUNTIF(qPCR_Unique!$D$3:$D$118,_xlfn.CONCAT(K$1,$E38))=0),"Not assayed")</f>
        <v>Both</v>
      </c>
      <c r="L38" s="820" t="str" cm="1">
        <f t="array" ref="L38">_xlfn.IFS(AND(COUNTIF(Physicochemical_Managed!$P$2:$P$207,_xlfn.CONCAT(L$1,$E38))=1,COUNTIF(qPCR_Unique!$D$3:$D$118,_xlfn.CONCAT(L$1,$E38))=1),"Both",AND(COUNTIF(Physicochemical_Managed!$P$2:$P$207,_xlfn.CONCAT(L$1,$E38))=1,COUNTIF(qPCR_Unique!$D$3:$D$118,_xlfn.CONCAT(L$1,$E38))=0),"Physicochemical",AND(COUNTIF(Physicochemical_Managed!$P$2:$P$207,_xlfn.CONCAT(L$1,$E38))=0,COUNTIF(qPCR_Unique!$D$3:$D$118,_xlfn.CONCAT(L$1,$E38))=1),"OPs",AND(COUNTIF(Physicochemical_Managed!$P$2:$P$207,_xlfn.CONCAT(L$1,$E38))=0,COUNTIF(qPCR_Unique!$D$3:$D$118,_xlfn.CONCAT(L$1,$E38))=0),"Not assayed")</f>
        <v>Both</v>
      </c>
      <c r="M38" s="821" t="str" cm="1">
        <f t="array" ref="M38">_xlfn.IFS(AND(COUNTIF(Physicochemical_Managed!$P$2:$P$207,_xlfn.CONCAT(M$1,$E38))=1,COUNTIF(qPCR_Unique!$D$3:$D$118,_xlfn.CONCAT(M$1,$E38))=1),"Both",AND(COUNTIF(Physicochemical_Managed!$P$2:$P$207,_xlfn.CONCAT(M$1,$E38))=1,COUNTIF(qPCR_Unique!$D$3:$D$118,_xlfn.CONCAT(M$1,$E38))=0),"Physicochemical",AND(COUNTIF(Physicochemical_Managed!$P$2:$P$207,_xlfn.CONCAT(M$1,$E38))=0,COUNTIF(qPCR_Unique!$D$3:$D$118,_xlfn.CONCAT(M$1,$E38))=1),"OPs",AND(COUNTIF(Physicochemical_Managed!$P$2:$P$207,_xlfn.CONCAT(M$1,$E38))=0,COUNTIF(qPCR_Unique!$D$3:$D$118,_xlfn.CONCAT(M$1,$E38))=0),"Not assayed")</f>
        <v>Both</v>
      </c>
    </row>
    <row r="39" spans="1:13" s="191" customFormat="1" ht="16.350000000000001" thickTop="1" x14ac:dyDescent="0.3">
      <c r="A39" s="236" t="str">
        <f>Physicochemical_Managed!P39</f>
        <v>SPI44433</v>
      </c>
      <c r="B39" s="238" t="str" cm="1">
        <f t="array" ref="B39">INDEX($A$2:$A$323,MATCH(0,COUNTIF($B$1:B38,$A$2:$A$323),0))</f>
        <v>SPI44433</v>
      </c>
      <c r="C39" s="809">
        <f t="shared" si="0"/>
        <v>44433</v>
      </c>
      <c r="D39" s="192"/>
      <c r="E39" s="192"/>
    </row>
    <row r="40" spans="1:13" s="191" customFormat="1" x14ac:dyDescent="0.3">
      <c r="A40" s="236" t="str">
        <f>Physicochemical_Managed!P40</f>
        <v>SPO44294</v>
      </c>
      <c r="B40" s="238" t="str" cm="1">
        <f t="array" ref="B40">INDEX($A$2:$A$323,MATCH(0,COUNTIF($B$1:B39,$A$2:$A$323),0))</f>
        <v>SPO44294</v>
      </c>
      <c r="C40" s="809">
        <f t="shared" si="0"/>
        <v>44294</v>
      </c>
      <c r="D40" s="192"/>
      <c r="E40" s="192"/>
    </row>
    <row r="41" spans="1:13" s="191" customFormat="1" x14ac:dyDescent="0.3">
      <c r="A41" s="236" t="str">
        <f>Physicochemical_Managed!P41</f>
        <v>SPO44306</v>
      </c>
      <c r="B41" s="238" t="str" cm="1">
        <f t="array" ref="B41">INDEX($A$2:$A$323,MATCH(0,COUNTIF($B$1:B40,$A$2:$A$323),0))</f>
        <v>SPO44306</v>
      </c>
      <c r="C41" s="809">
        <f t="shared" si="0"/>
        <v>44306</v>
      </c>
      <c r="D41" s="192"/>
      <c r="E41" s="192"/>
    </row>
    <row r="42" spans="1:13" s="191" customFormat="1" x14ac:dyDescent="0.3">
      <c r="A42" s="236" t="str">
        <f>Physicochemical_Managed!P42</f>
        <v>SPO44313</v>
      </c>
      <c r="B42" s="238" t="str" cm="1">
        <f t="array" ref="B42">INDEX($A$2:$A$323,MATCH(0,COUNTIF($B$1:B41,$A$2:$A$323),0))</f>
        <v>SPO44313</v>
      </c>
      <c r="C42" s="809">
        <f t="shared" si="0"/>
        <v>44313</v>
      </c>
      <c r="D42" s="192"/>
      <c r="E42" s="192"/>
    </row>
    <row r="43" spans="1:13" s="191" customFormat="1" x14ac:dyDescent="0.3">
      <c r="A43" s="236" t="str">
        <f>Physicochemical_Managed!P43</f>
        <v>SPO44320</v>
      </c>
      <c r="B43" s="238" t="str" cm="1">
        <f t="array" ref="B43">INDEX($A$2:$A$323,MATCH(0,COUNTIF($B$1:B42,$A$2:$A$323),0))</f>
        <v>SPO44320</v>
      </c>
      <c r="C43" s="809">
        <f t="shared" si="0"/>
        <v>44320</v>
      </c>
      <c r="D43" s="192"/>
      <c r="E43" s="192"/>
    </row>
    <row r="44" spans="1:13" s="191" customFormat="1" x14ac:dyDescent="0.3">
      <c r="A44" s="236" t="str">
        <f>Physicochemical_Managed!P44</f>
        <v>SPO44327</v>
      </c>
      <c r="B44" s="238" t="str" cm="1">
        <f t="array" ref="B44">INDEX($A$2:$A$323,MATCH(0,COUNTIF($B$1:B43,$A$2:$A$323),0))</f>
        <v>SPO44327</v>
      </c>
      <c r="C44" s="809">
        <f t="shared" si="0"/>
        <v>44327</v>
      </c>
      <c r="D44" s="192"/>
      <c r="E44" s="192"/>
    </row>
    <row r="45" spans="1:13" s="191" customFormat="1" x14ac:dyDescent="0.3">
      <c r="A45" s="236" t="str">
        <f>Physicochemical_Managed!P45</f>
        <v>SPO44335</v>
      </c>
      <c r="B45" s="238" t="str" cm="1">
        <f t="array" ref="B45">INDEX($A$2:$A$323,MATCH(0,COUNTIF($B$1:B44,$A$2:$A$323),0))</f>
        <v>SPO44335</v>
      </c>
      <c r="C45" s="809">
        <f t="shared" si="0"/>
        <v>44335</v>
      </c>
      <c r="D45" s="192"/>
      <c r="E45" s="192"/>
    </row>
    <row r="46" spans="1:13" s="191" customFormat="1" x14ac:dyDescent="0.3">
      <c r="A46" s="236" t="str">
        <f>Physicochemical_Managed!P46</f>
        <v>SPO44342</v>
      </c>
      <c r="B46" s="238" t="str" cm="1">
        <f t="array" ref="B46">INDEX($A$2:$A$323,MATCH(0,COUNTIF($B$1:B45,$A$2:$A$323),0))</f>
        <v>SPO44342</v>
      </c>
      <c r="C46" s="809">
        <f t="shared" si="0"/>
        <v>44342</v>
      </c>
      <c r="D46" s="192"/>
      <c r="E46" s="192"/>
    </row>
    <row r="47" spans="1:13" s="191" customFormat="1" x14ac:dyDescent="0.3">
      <c r="A47" s="236" t="str">
        <f>Physicochemical_Managed!P47</f>
        <v>SPO44356</v>
      </c>
      <c r="B47" s="238" t="str" cm="1">
        <f t="array" ref="B47">INDEX($A$2:$A$323,MATCH(0,COUNTIF($B$1:B46,$A$2:$A$323),0))</f>
        <v>SPO44356</v>
      </c>
      <c r="C47" s="809">
        <f t="shared" si="0"/>
        <v>44356</v>
      </c>
      <c r="D47" s="192"/>
      <c r="E47" s="192"/>
    </row>
    <row r="48" spans="1:13" s="191" customFormat="1" x14ac:dyDescent="0.3">
      <c r="A48" s="236" t="str">
        <f>Physicochemical_Managed!P48</f>
        <v>SPO44370</v>
      </c>
      <c r="B48" s="238" t="str" cm="1">
        <f t="array" ref="B48">INDEX($A$2:$A$323,MATCH(0,COUNTIF($B$1:B47,$A$2:$A$323),0))</f>
        <v>SPO44370</v>
      </c>
      <c r="C48" s="809">
        <f t="shared" si="0"/>
        <v>44370</v>
      </c>
      <c r="D48" s="192"/>
      <c r="E48" s="192"/>
    </row>
    <row r="49" spans="1:5" s="191" customFormat="1" x14ac:dyDescent="0.3">
      <c r="A49" s="236" t="str">
        <f>Physicochemical_Managed!P49</f>
        <v>SPO44377</v>
      </c>
      <c r="B49" s="238" t="str" cm="1">
        <f t="array" ref="B49">INDEX($A$2:$A$323,MATCH(0,COUNTIF($B$1:B48,$A$2:$A$323),0))</f>
        <v>SPO44377</v>
      </c>
      <c r="C49" s="809">
        <f t="shared" si="0"/>
        <v>44377</v>
      </c>
      <c r="D49" s="192"/>
      <c r="E49" s="192"/>
    </row>
    <row r="50" spans="1:5" s="191" customFormat="1" x14ac:dyDescent="0.3">
      <c r="A50" s="236" t="str">
        <f>Physicochemical_Managed!P50</f>
        <v>SPO44385</v>
      </c>
      <c r="B50" s="238" t="str" cm="1">
        <f t="array" ref="B50">INDEX($A$2:$A$323,MATCH(0,COUNTIF($B$1:B49,$A$2:$A$323),0))</f>
        <v>SPO44385</v>
      </c>
      <c r="C50" s="809">
        <f t="shared" si="0"/>
        <v>44385</v>
      </c>
      <c r="D50" s="192"/>
      <c r="E50" s="192"/>
    </row>
    <row r="51" spans="1:5" s="191" customFormat="1" x14ac:dyDescent="0.3">
      <c r="A51" s="236" t="str">
        <f>Physicochemical_Managed!P51</f>
        <v>SPO44391</v>
      </c>
      <c r="B51" s="238" t="str" cm="1">
        <f t="array" ref="B51">INDEX($A$2:$A$323,MATCH(0,COUNTIF($B$1:B50,$A$2:$A$323),0))</f>
        <v>SPO44391</v>
      </c>
      <c r="C51" s="809">
        <f t="shared" si="0"/>
        <v>44391</v>
      </c>
      <c r="D51" s="192"/>
      <c r="E51" s="192"/>
    </row>
    <row r="52" spans="1:5" s="191" customFormat="1" x14ac:dyDescent="0.3">
      <c r="A52" s="236" t="str">
        <f>Physicochemical_Managed!P52</f>
        <v>SPO44398</v>
      </c>
      <c r="B52" s="238" t="str" cm="1">
        <f t="array" ref="B52">INDEX($A$2:$A$323,MATCH(0,COUNTIF($B$1:B51,$A$2:$A$323),0))</f>
        <v>SPO44398</v>
      </c>
      <c r="C52" s="809">
        <f t="shared" si="0"/>
        <v>44398</v>
      </c>
      <c r="D52" s="192"/>
      <c r="E52" s="192"/>
    </row>
    <row r="53" spans="1:5" s="191" customFormat="1" x14ac:dyDescent="0.3">
      <c r="A53" s="236" t="str">
        <f>Physicochemical_Managed!P53</f>
        <v>SPO44405</v>
      </c>
      <c r="B53" s="238" t="str" cm="1">
        <f t="array" ref="B53">INDEX($A$2:$A$323,MATCH(0,COUNTIF($B$1:B52,$A$2:$A$323),0))</f>
        <v>SPO44405</v>
      </c>
      <c r="C53" s="809">
        <f t="shared" si="0"/>
        <v>44405</v>
      </c>
      <c r="D53" s="192"/>
      <c r="E53" s="192"/>
    </row>
    <row r="54" spans="1:5" s="191" customFormat="1" x14ac:dyDescent="0.3">
      <c r="A54" s="236" t="str">
        <f>Physicochemical_Managed!P54</f>
        <v>SPO44412</v>
      </c>
      <c r="B54" s="238" t="str" cm="1">
        <f t="array" ref="B54">INDEX($A$2:$A$323,MATCH(0,COUNTIF($B$1:B53,$A$2:$A$323),0))</f>
        <v>SPO44412</v>
      </c>
      <c r="C54" s="809">
        <f t="shared" si="0"/>
        <v>44412</v>
      </c>
      <c r="D54" s="192"/>
      <c r="E54" s="192"/>
    </row>
    <row r="55" spans="1:5" s="191" customFormat="1" x14ac:dyDescent="0.3">
      <c r="A55" s="236" t="str">
        <f>Physicochemical_Managed!P55</f>
        <v>SPO44419</v>
      </c>
      <c r="B55" s="238" t="str" cm="1">
        <f t="array" ref="B55">INDEX($A$2:$A$323,MATCH(0,COUNTIF($B$1:B54,$A$2:$A$323),0))</f>
        <v>SPO44419</v>
      </c>
      <c r="C55" s="809">
        <f t="shared" si="0"/>
        <v>44419</v>
      </c>
      <c r="D55" s="192"/>
      <c r="E55" s="192"/>
    </row>
    <row r="56" spans="1:5" s="191" customFormat="1" x14ac:dyDescent="0.3">
      <c r="A56" s="236" t="str">
        <f>Physicochemical_Managed!P56</f>
        <v>SPO44426</v>
      </c>
      <c r="B56" s="238" t="str" cm="1">
        <f t="array" ref="B56">INDEX($A$2:$A$323,MATCH(0,COUNTIF($B$1:B55,$A$2:$A$323),0))</f>
        <v>SPO44426</v>
      </c>
      <c r="C56" s="809">
        <f t="shared" si="0"/>
        <v>44426</v>
      </c>
      <c r="D56" s="192"/>
      <c r="E56" s="192"/>
    </row>
    <row r="57" spans="1:5" s="191" customFormat="1" x14ac:dyDescent="0.3">
      <c r="A57" s="236" t="str">
        <f>Physicochemical_Managed!P57</f>
        <v>SPO44433</v>
      </c>
      <c r="B57" s="238" t="str" cm="1">
        <f t="array" ref="B57">INDEX($A$2:$A$323,MATCH(0,COUNTIF($B$1:B56,$A$2:$A$323),0))</f>
        <v>SPO44433</v>
      </c>
      <c r="C57" s="809">
        <f t="shared" si="0"/>
        <v>44433</v>
      </c>
      <c r="D57" s="192"/>
      <c r="E57" s="192"/>
    </row>
    <row r="58" spans="1:5" s="191" customFormat="1" x14ac:dyDescent="0.3">
      <c r="A58" s="236" t="str">
        <f>Physicochemical_Managed!P58</f>
        <v>MRT44294</v>
      </c>
      <c r="B58" s="238" t="str" cm="1">
        <f t="array" ref="B58">INDEX($A$2:$A$323,MATCH(0,COUNTIF($B$1:B57,$A$2:$A$323),0))</f>
        <v>MRT44294</v>
      </c>
      <c r="C58" s="809">
        <f t="shared" si="0"/>
        <v>44294</v>
      </c>
      <c r="D58" s="192"/>
      <c r="E58" s="192"/>
    </row>
    <row r="59" spans="1:5" s="191" customFormat="1" x14ac:dyDescent="0.3">
      <c r="A59" s="236" t="str">
        <f>Physicochemical_Managed!P59</f>
        <v>MRT44306</v>
      </c>
      <c r="B59" s="238" t="str" cm="1">
        <f t="array" ref="B59">INDEX($A$2:$A$323,MATCH(0,COUNTIF($B$1:B58,$A$2:$A$323),0))</f>
        <v>MRT44306</v>
      </c>
      <c r="C59" s="809">
        <f t="shared" si="0"/>
        <v>44306</v>
      </c>
      <c r="D59" s="192"/>
      <c r="E59" s="192"/>
    </row>
    <row r="60" spans="1:5" s="191" customFormat="1" x14ac:dyDescent="0.3">
      <c r="A60" s="236" t="str">
        <f>Physicochemical_Managed!P60</f>
        <v>MRT44313</v>
      </c>
      <c r="B60" s="238" t="str" cm="1">
        <f t="array" ref="B60">INDEX($A$2:$A$323,MATCH(0,COUNTIF($B$1:B59,$A$2:$A$323),0))</f>
        <v>MRT44313</v>
      </c>
      <c r="C60" s="809">
        <f t="shared" si="0"/>
        <v>44313</v>
      </c>
      <c r="D60" s="192"/>
      <c r="E60" s="192"/>
    </row>
    <row r="61" spans="1:5" s="191" customFormat="1" x14ac:dyDescent="0.3">
      <c r="A61" s="236" t="str">
        <f>Physicochemical_Managed!P61</f>
        <v>MRT44320</v>
      </c>
      <c r="B61" s="238" t="str" cm="1">
        <f t="array" ref="B61">INDEX($A$2:$A$323,MATCH(0,COUNTIF($B$1:B60,$A$2:$A$323),0))</f>
        <v>MRT44320</v>
      </c>
      <c r="C61" s="809">
        <f t="shared" si="0"/>
        <v>44320</v>
      </c>
      <c r="D61" s="192"/>
      <c r="E61" s="192"/>
    </row>
    <row r="62" spans="1:5" s="191" customFormat="1" x14ac:dyDescent="0.3">
      <c r="A62" s="236" t="str">
        <f>Physicochemical_Managed!P62</f>
        <v>MRT44327</v>
      </c>
      <c r="B62" s="238" t="str" cm="1">
        <f t="array" ref="B62">INDEX($A$2:$A$323,MATCH(0,COUNTIF($B$1:B61,$A$2:$A$323),0))</f>
        <v>MRT44327</v>
      </c>
      <c r="C62" s="809">
        <f t="shared" si="0"/>
        <v>44327</v>
      </c>
      <c r="D62" s="192"/>
      <c r="E62" s="192"/>
    </row>
    <row r="63" spans="1:5" s="191" customFormat="1" x14ac:dyDescent="0.3">
      <c r="A63" s="236" t="str">
        <f>Physicochemical_Managed!P63</f>
        <v>MRT44335</v>
      </c>
      <c r="B63" s="238" t="str" cm="1">
        <f t="array" ref="B63">INDEX($A$2:$A$323,MATCH(0,COUNTIF($B$1:B62,$A$2:$A$323),0))</f>
        <v>MRT44335</v>
      </c>
      <c r="C63" s="809">
        <f t="shared" si="0"/>
        <v>44335</v>
      </c>
      <c r="D63" s="192"/>
      <c r="E63" s="192"/>
    </row>
    <row r="64" spans="1:5" s="191" customFormat="1" x14ac:dyDescent="0.3">
      <c r="A64" s="236" t="str">
        <f>Physicochemical_Managed!P64</f>
        <v>MRT44342</v>
      </c>
      <c r="B64" s="238" t="str" cm="1">
        <f t="array" ref="B64">INDEX($A$2:$A$323,MATCH(0,COUNTIF($B$1:B63,$A$2:$A$323),0))</f>
        <v>MRT44342</v>
      </c>
      <c r="C64" s="809">
        <f t="shared" si="0"/>
        <v>44342</v>
      </c>
      <c r="D64" s="192"/>
      <c r="E64" s="192"/>
    </row>
    <row r="65" spans="1:5" s="191" customFormat="1" x14ac:dyDescent="0.3">
      <c r="A65" s="236" t="str">
        <f>Physicochemical_Managed!P65</f>
        <v>MRT44356</v>
      </c>
      <c r="B65" s="238" t="str" cm="1">
        <f t="array" ref="B65">INDEX($A$2:$A$323,MATCH(0,COUNTIF($B$1:B64,$A$2:$A$323),0))</f>
        <v>MRT44356</v>
      </c>
      <c r="C65" s="809">
        <f t="shared" si="0"/>
        <v>44356</v>
      </c>
      <c r="D65" s="192"/>
      <c r="E65" s="192"/>
    </row>
    <row r="66" spans="1:5" s="191" customFormat="1" x14ac:dyDescent="0.3">
      <c r="A66" s="236" t="str">
        <f>Physicochemical_Managed!P66</f>
        <v>MRT44363</v>
      </c>
      <c r="B66" s="238" t="str" cm="1">
        <f t="array" ref="B66">INDEX($A$2:$A$323,MATCH(0,COUNTIF($B$1:B65,$A$2:$A$323),0))</f>
        <v>MRT44363</v>
      </c>
      <c r="C66" s="809">
        <f t="shared" si="0"/>
        <v>44363</v>
      </c>
      <c r="D66" s="192"/>
      <c r="E66" s="192"/>
    </row>
    <row r="67" spans="1:5" s="191" customFormat="1" x14ac:dyDescent="0.3">
      <c r="A67" s="236" t="str">
        <f>Physicochemical_Managed!P67</f>
        <v>MRT44370</v>
      </c>
      <c r="B67" s="238" t="str" cm="1">
        <f t="array" ref="B67">INDEX($A$2:$A$323,MATCH(0,COUNTIF($B$1:B66,$A$2:$A$323),0))</f>
        <v>MRT44370</v>
      </c>
      <c r="C67" s="809">
        <f t="shared" ref="C67:C130" si="1">INT(RIGHT(B67, 5))</f>
        <v>44370</v>
      </c>
      <c r="D67" s="192"/>
      <c r="E67" s="192"/>
    </row>
    <row r="68" spans="1:5" s="191" customFormat="1" x14ac:dyDescent="0.3">
      <c r="A68" s="236" t="str">
        <f>Physicochemical_Managed!P68</f>
        <v>MRT44377</v>
      </c>
      <c r="B68" s="238" t="str" cm="1">
        <f t="array" ref="B68">INDEX($A$2:$A$323,MATCH(0,COUNTIF($B$1:B67,$A$2:$A$323),0))</f>
        <v>MRT44377</v>
      </c>
      <c r="C68" s="809">
        <f t="shared" si="1"/>
        <v>44377</v>
      </c>
      <c r="D68" s="192"/>
      <c r="E68" s="192"/>
    </row>
    <row r="69" spans="1:5" s="191" customFormat="1" x14ac:dyDescent="0.3">
      <c r="A69" s="236" t="str">
        <f>Physicochemical_Managed!P69</f>
        <v>MRT44385</v>
      </c>
      <c r="B69" s="238" t="str" cm="1">
        <f t="array" ref="B69">INDEX($A$2:$A$323,MATCH(0,COUNTIF($B$1:B68,$A$2:$A$323),0))</f>
        <v>MRT44385</v>
      </c>
      <c r="C69" s="809">
        <f t="shared" si="1"/>
        <v>44385</v>
      </c>
      <c r="D69" s="192"/>
      <c r="E69" s="192"/>
    </row>
    <row r="70" spans="1:5" s="191" customFormat="1" x14ac:dyDescent="0.3">
      <c r="A70" s="236" t="str">
        <f>Physicochemical_Managed!P70</f>
        <v>MRT44391</v>
      </c>
      <c r="B70" s="238" t="str" cm="1">
        <f t="array" ref="B70">INDEX($A$2:$A$323,MATCH(0,COUNTIF($B$1:B69,$A$2:$A$323),0))</f>
        <v>MRT44391</v>
      </c>
      <c r="C70" s="809">
        <f t="shared" si="1"/>
        <v>44391</v>
      </c>
      <c r="D70" s="192"/>
      <c r="E70" s="192"/>
    </row>
    <row r="71" spans="1:5" s="191" customFormat="1" x14ac:dyDescent="0.3">
      <c r="A71" s="236" t="str">
        <f>Physicochemical_Managed!P71</f>
        <v>MRT44398</v>
      </c>
      <c r="B71" s="238" t="str" cm="1">
        <f t="array" ref="B71">INDEX($A$2:$A$323,MATCH(0,COUNTIF($B$1:B70,$A$2:$A$323),0))</f>
        <v>MRT44398</v>
      </c>
      <c r="C71" s="809">
        <f t="shared" si="1"/>
        <v>44398</v>
      </c>
      <c r="D71" s="192"/>
      <c r="E71" s="192"/>
    </row>
    <row r="72" spans="1:5" s="191" customFormat="1" x14ac:dyDescent="0.3">
      <c r="A72" s="236" t="str">
        <f>Physicochemical_Managed!P72</f>
        <v>MRT44405</v>
      </c>
      <c r="B72" s="238" t="str" cm="1">
        <f t="array" ref="B72">INDEX($A$2:$A$323,MATCH(0,COUNTIF($B$1:B71,$A$2:$A$323),0))</f>
        <v>MRT44405</v>
      </c>
      <c r="C72" s="809">
        <f t="shared" si="1"/>
        <v>44405</v>
      </c>
      <c r="D72" s="192"/>
      <c r="E72" s="192"/>
    </row>
    <row r="73" spans="1:5" s="191" customFormat="1" x14ac:dyDescent="0.3">
      <c r="A73" s="236" t="str">
        <f>Physicochemical_Managed!P73</f>
        <v>MRT44432</v>
      </c>
      <c r="B73" s="238" t="str" cm="1">
        <f t="array" ref="B73">INDEX($A$2:$A$323,MATCH(0,COUNTIF($B$1:B72,$A$2:$A$323),0))</f>
        <v>MRT44432</v>
      </c>
      <c r="C73" s="809">
        <f t="shared" si="1"/>
        <v>44432</v>
      </c>
      <c r="D73" s="192"/>
      <c r="E73" s="192"/>
    </row>
    <row r="74" spans="1:5" s="191" customFormat="1" x14ac:dyDescent="0.3">
      <c r="A74" s="236" t="str">
        <f>Physicochemical_Managed!P74</f>
        <v>MRT44419</v>
      </c>
      <c r="B74" s="238" t="str" cm="1">
        <f t="array" ref="B74">INDEX($A$2:$A$323,MATCH(0,COUNTIF($B$1:B73,$A$2:$A$323),0))</f>
        <v>MRT44419</v>
      </c>
      <c r="C74" s="809">
        <f t="shared" si="1"/>
        <v>44419</v>
      </c>
      <c r="D74" s="192"/>
      <c r="E74" s="192"/>
    </row>
    <row r="75" spans="1:5" s="191" customFormat="1" x14ac:dyDescent="0.3">
      <c r="A75" s="236" t="str">
        <f>Physicochemical_Managed!P75</f>
        <v>MRT44426</v>
      </c>
      <c r="B75" s="238" t="str" cm="1">
        <f t="array" ref="B75">INDEX($A$2:$A$323,MATCH(0,COUNTIF($B$1:B74,$A$2:$A$323),0))</f>
        <v>MRT44426</v>
      </c>
      <c r="C75" s="809">
        <f t="shared" si="1"/>
        <v>44426</v>
      </c>
      <c r="D75" s="192"/>
      <c r="E75" s="192"/>
    </row>
    <row r="76" spans="1:5" s="191" customFormat="1" x14ac:dyDescent="0.3">
      <c r="A76" s="236" t="str">
        <f>Physicochemical_Managed!P76</f>
        <v>MRT44433</v>
      </c>
      <c r="B76" s="238" t="str" cm="1">
        <f t="array" ref="B76">INDEX($A$2:$A$323,MATCH(0,COUNTIF($B$1:B75,$A$2:$A$323),0))</f>
        <v>MRT44433</v>
      </c>
      <c r="C76" s="809">
        <f t="shared" si="1"/>
        <v>44433</v>
      </c>
      <c r="D76" s="192"/>
      <c r="E76" s="192"/>
    </row>
    <row r="77" spans="1:5" s="191" customFormat="1" x14ac:dyDescent="0.3">
      <c r="A77" s="236" t="str">
        <f>Physicochemical_Managed!P77</f>
        <v>RN44293</v>
      </c>
      <c r="B77" s="238" t="str" cm="1">
        <f t="array" ref="B77">INDEX($A$2:$A$323,MATCH(0,COUNTIF($B$1:B76,$A$2:$A$323),0))</f>
        <v>RN44293</v>
      </c>
      <c r="C77" s="809">
        <f t="shared" si="1"/>
        <v>44293</v>
      </c>
      <c r="D77" s="192"/>
      <c r="E77" s="192"/>
    </row>
    <row r="78" spans="1:5" s="191" customFormat="1" x14ac:dyDescent="0.3">
      <c r="A78" s="236" t="str">
        <f>Physicochemical_Managed!P78</f>
        <v>RN44313</v>
      </c>
      <c r="B78" s="238" t="str" cm="1">
        <f t="array" ref="B78">INDEX($A$2:$A$323,MATCH(0,COUNTIF($B$1:B77,$A$2:$A$323),0))</f>
        <v>RN44313</v>
      </c>
      <c r="C78" s="809">
        <f t="shared" si="1"/>
        <v>44313</v>
      </c>
      <c r="D78" s="192"/>
      <c r="E78" s="192"/>
    </row>
    <row r="79" spans="1:5" s="191" customFormat="1" x14ac:dyDescent="0.3">
      <c r="A79" s="236" t="str">
        <f>Physicochemical_Managed!P79</f>
        <v>RN44327</v>
      </c>
      <c r="B79" s="238" t="str" cm="1">
        <f t="array" ref="B79">INDEX($A$2:$A$323,MATCH(0,COUNTIF($B$1:B78,$A$2:$A$323),0))</f>
        <v>RN44327</v>
      </c>
      <c r="C79" s="809">
        <f t="shared" si="1"/>
        <v>44327</v>
      </c>
      <c r="D79" s="192"/>
      <c r="E79" s="192"/>
    </row>
    <row r="80" spans="1:5" s="191" customFormat="1" x14ac:dyDescent="0.3">
      <c r="A80" s="236" t="str">
        <f>Physicochemical_Managed!P80</f>
        <v>RN44334</v>
      </c>
      <c r="B80" s="238" t="str" cm="1">
        <f t="array" ref="B80">INDEX($A$2:$A$323,MATCH(0,COUNTIF($B$1:B79,$A$2:$A$323),0))</f>
        <v>RN44334</v>
      </c>
      <c r="C80" s="809">
        <f t="shared" si="1"/>
        <v>44334</v>
      </c>
      <c r="D80" s="192"/>
      <c r="E80" s="192"/>
    </row>
    <row r="81" spans="1:5" s="191" customFormat="1" x14ac:dyDescent="0.3">
      <c r="A81" s="236" t="str">
        <f>Physicochemical_Managed!P81</f>
        <v>RN44335</v>
      </c>
      <c r="B81" s="238" t="str" cm="1">
        <f t="array" ref="B81">INDEX($A$2:$A$323,MATCH(0,COUNTIF($B$1:B80,$A$2:$A$323),0))</f>
        <v>RN44335</v>
      </c>
      <c r="C81" s="809">
        <f t="shared" si="1"/>
        <v>44335</v>
      </c>
      <c r="D81" s="192"/>
      <c r="E81" s="192"/>
    </row>
    <row r="82" spans="1:5" s="191" customFormat="1" x14ac:dyDescent="0.3">
      <c r="A82" s="236" t="str">
        <f>Physicochemical_Managed!P82</f>
        <v>RN44341</v>
      </c>
      <c r="B82" s="238" t="str" cm="1">
        <f t="array" ref="B82">INDEX($A$2:$A$323,MATCH(0,COUNTIF($B$1:B81,$A$2:$A$323),0))</f>
        <v>RN44341</v>
      </c>
      <c r="C82" s="809">
        <f t="shared" si="1"/>
        <v>44341</v>
      </c>
      <c r="D82" s="192"/>
      <c r="E82" s="192"/>
    </row>
    <row r="83" spans="1:5" s="191" customFormat="1" x14ac:dyDescent="0.3">
      <c r="A83" s="236" t="str">
        <f>Physicochemical_Managed!P83</f>
        <v>RN44342</v>
      </c>
      <c r="B83" s="238" t="str" cm="1">
        <f t="array" ref="B83">INDEX($A$2:$A$323,MATCH(0,COUNTIF($B$1:B82,$A$2:$A$323),0))</f>
        <v>RN44342</v>
      </c>
      <c r="C83" s="809">
        <f t="shared" si="1"/>
        <v>44342</v>
      </c>
      <c r="D83" s="192"/>
      <c r="E83" s="192"/>
    </row>
    <row r="84" spans="1:5" s="191" customFormat="1" x14ac:dyDescent="0.3">
      <c r="A84" s="236" t="str">
        <f>Physicochemical_Managed!P84</f>
        <v>RN44349</v>
      </c>
      <c r="B84" s="238" t="str" cm="1">
        <f t="array" ref="B84">INDEX($A$2:$A$323,MATCH(0,COUNTIF($B$1:B83,$A$2:$A$323),0))</f>
        <v>RN44349</v>
      </c>
      <c r="C84" s="809">
        <f t="shared" si="1"/>
        <v>44349</v>
      </c>
      <c r="D84" s="192"/>
      <c r="E84" s="192"/>
    </row>
    <row r="85" spans="1:5" s="191" customFormat="1" x14ac:dyDescent="0.3">
      <c r="A85" s="236" t="str">
        <f>Physicochemical_Managed!P85</f>
        <v>RN44350</v>
      </c>
      <c r="B85" s="238" t="str" cm="1">
        <f t="array" ref="B85">INDEX($A$2:$A$323,MATCH(0,COUNTIF($B$1:B84,$A$2:$A$323),0))</f>
        <v>RN44350</v>
      </c>
      <c r="C85" s="809">
        <f t="shared" si="1"/>
        <v>44350</v>
      </c>
      <c r="D85" s="192"/>
      <c r="E85" s="192"/>
    </row>
    <row r="86" spans="1:5" s="191" customFormat="1" x14ac:dyDescent="0.3">
      <c r="A86" s="236" t="str">
        <f>Physicochemical_Managed!P86</f>
        <v>RN44355</v>
      </c>
      <c r="B86" s="238" t="str" cm="1">
        <f t="array" ref="B86">INDEX($A$2:$A$323,MATCH(0,COUNTIF($B$1:B85,$A$2:$A$323),0))</f>
        <v>RN44355</v>
      </c>
      <c r="C86" s="809">
        <f t="shared" si="1"/>
        <v>44355</v>
      </c>
      <c r="D86" s="192"/>
      <c r="E86" s="192"/>
    </row>
    <row r="87" spans="1:5" s="191" customFormat="1" x14ac:dyDescent="0.3">
      <c r="A87" s="236" t="str">
        <f>Physicochemical_Managed!P87</f>
        <v>RN44356</v>
      </c>
      <c r="B87" s="238" t="str" cm="1">
        <f t="array" ref="B87">INDEX($A$2:$A$323,MATCH(0,COUNTIF($B$1:B86,$A$2:$A$323),0))</f>
        <v>RN44356</v>
      </c>
      <c r="C87" s="809">
        <f t="shared" si="1"/>
        <v>44356</v>
      </c>
      <c r="D87" s="192"/>
      <c r="E87" s="192"/>
    </row>
    <row r="88" spans="1:5" s="191" customFormat="1" x14ac:dyDescent="0.3">
      <c r="A88" s="236" t="str">
        <f>Physicochemical_Managed!P88</f>
        <v>RN44362</v>
      </c>
      <c r="B88" s="238" t="str" cm="1">
        <f t="array" ref="B88">INDEX($A$2:$A$323,MATCH(0,COUNTIF($B$1:B87,$A$2:$A$323),0))</f>
        <v>RN44362</v>
      </c>
      <c r="C88" s="809">
        <f t="shared" si="1"/>
        <v>44362</v>
      </c>
      <c r="D88" s="192"/>
      <c r="E88" s="192"/>
    </row>
    <row r="89" spans="1:5" s="191" customFormat="1" x14ac:dyDescent="0.3">
      <c r="A89" s="236" t="str">
        <f>Physicochemical_Managed!P89</f>
        <v>RN44363</v>
      </c>
      <c r="B89" s="238" t="str" cm="1">
        <f t="array" ref="B89">INDEX($A$2:$A$323,MATCH(0,COUNTIF($B$1:B88,$A$2:$A$323),0))</f>
        <v>RN44363</v>
      </c>
      <c r="C89" s="809">
        <f t="shared" si="1"/>
        <v>44363</v>
      </c>
      <c r="D89" s="192"/>
      <c r="E89" s="192"/>
    </row>
    <row r="90" spans="1:5" s="191" customFormat="1" x14ac:dyDescent="0.3">
      <c r="A90" s="236" t="str">
        <f>Physicochemical_Managed!P90</f>
        <v>RN44369</v>
      </c>
      <c r="B90" s="238" t="str" cm="1">
        <f t="array" ref="B90">INDEX($A$2:$A$323,MATCH(0,COUNTIF($B$1:B89,$A$2:$A$323),0))</f>
        <v>RN44369</v>
      </c>
      <c r="C90" s="809">
        <f t="shared" si="1"/>
        <v>44369</v>
      </c>
      <c r="D90" s="192"/>
      <c r="E90" s="192"/>
    </row>
    <row r="91" spans="1:5" s="191" customFormat="1" x14ac:dyDescent="0.3">
      <c r="A91" s="236" t="str">
        <f>Physicochemical_Managed!P91</f>
        <v>RN44370</v>
      </c>
      <c r="B91" s="238" t="str" cm="1">
        <f t="array" ref="B91">INDEX($A$2:$A$323,MATCH(0,COUNTIF($B$1:B90,$A$2:$A$323),0))</f>
        <v>RN44370</v>
      </c>
      <c r="C91" s="809">
        <f t="shared" si="1"/>
        <v>44370</v>
      </c>
      <c r="D91" s="192"/>
      <c r="E91" s="192"/>
    </row>
    <row r="92" spans="1:5" s="191" customFormat="1" x14ac:dyDescent="0.3">
      <c r="A92" s="236" t="str">
        <f>Physicochemical_Managed!P92</f>
        <v>RN44376</v>
      </c>
      <c r="B92" s="238" t="str" cm="1">
        <f t="array" ref="B92">INDEX($A$2:$A$323,MATCH(0,COUNTIF($B$1:B91,$A$2:$A$323),0))</f>
        <v>RN44376</v>
      </c>
      <c r="C92" s="809">
        <f t="shared" si="1"/>
        <v>44376</v>
      </c>
      <c r="D92" s="192"/>
      <c r="E92" s="192"/>
    </row>
    <row r="93" spans="1:5" s="191" customFormat="1" x14ac:dyDescent="0.3">
      <c r="A93" s="236" t="str">
        <f>Physicochemical_Managed!P93</f>
        <v>RN44377</v>
      </c>
      <c r="B93" s="238" t="str" cm="1">
        <f t="array" ref="B93">INDEX($A$2:$A$323,MATCH(0,COUNTIF($B$1:B92,$A$2:$A$323),0))</f>
        <v>RN44377</v>
      </c>
      <c r="C93" s="809">
        <f t="shared" si="1"/>
        <v>44377</v>
      </c>
      <c r="D93" s="192"/>
      <c r="E93" s="192"/>
    </row>
    <row r="94" spans="1:5" s="191" customFormat="1" x14ac:dyDescent="0.3">
      <c r="A94" s="236" t="str">
        <f>Physicochemical_Managed!P94</f>
        <v>RN44384</v>
      </c>
      <c r="B94" s="238" t="str" cm="1">
        <f t="array" ref="B94">INDEX($A$2:$A$323,MATCH(0,COUNTIF($B$1:B93,$A$2:$A$323),0))</f>
        <v>RN44384</v>
      </c>
      <c r="C94" s="809">
        <f t="shared" si="1"/>
        <v>44384</v>
      </c>
      <c r="D94" s="192"/>
      <c r="E94" s="192"/>
    </row>
    <row r="95" spans="1:5" s="191" customFormat="1" x14ac:dyDescent="0.3">
      <c r="A95" s="236" t="str">
        <f>Physicochemical_Managed!P95</f>
        <v>RN44385</v>
      </c>
      <c r="B95" s="238" t="str" cm="1">
        <f t="array" ref="B95">INDEX($A$2:$A$323,MATCH(0,COUNTIF($B$1:B94,$A$2:$A$323),0))</f>
        <v>RN44385</v>
      </c>
      <c r="C95" s="809">
        <f t="shared" si="1"/>
        <v>44385</v>
      </c>
      <c r="D95" s="192"/>
      <c r="E95" s="192"/>
    </row>
    <row r="96" spans="1:5" s="191" customFormat="1" x14ac:dyDescent="0.3">
      <c r="A96" s="236" t="str">
        <f>Physicochemical_Managed!P96</f>
        <v>RN44390</v>
      </c>
      <c r="B96" s="238" t="str" cm="1">
        <f t="array" ref="B96">INDEX($A$2:$A$323,MATCH(0,COUNTIF($B$1:B95,$A$2:$A$323),0))</f>
        <v>RN44390</v>
      </c>
      <c r="C96" s="809">
        <f t="shared" si="1"/>
        <v>44390</v>
      </c>
      <c r="D96" s="192"/>
      <c r="E96" s="192"/>
    </row>
    <row r="97" spans="1:5" s="191" customFormat="1" x14ac:dyDescent="0.3">
      <c r="A97" s="236" t="str">
        <f>Physicochemical_Managed!P97</f>
        <v>RN44391</v>
      </c>
      <c r="B97" s="238" t="str" cm="1">
        <f t="array" ref="B97">INDEX($A$2:$A$323,MATCH(0,COUNTIF($B$1:B96,$A$2:$A$323),0))</f>
        <v>RN44391</v>
      </c>
      <c r="C97" s="809">
        <f t="shared" si="1"/>
        <v>44391</v>
      </c>
      <c r="D97" s="192"/>
      <c r="E97" s="192"/>
    </row>
    <row r="98" spans="1:5" s="191" customFormat="1" x14ac:dyDescent="0.3">
      <c r="A98" s="236" t="str">
        <f>Physicochemical_Managed!P98</f>
        <v>RN44397</v>
      </c>
      <c r="B98" s="238" t="str" cm="1">
        <f t="array" ref="B98">INDEX($A$2:$A$323,MATCH(0,COUNTIF($B$1:B97,$A$2:$A$323),0))</f>
        <v>RN44397</v>
      </c>
      <c r="C98" s="809">
        <f t="shared" si="1"/>
        <v>44397</v>
      </c>
      <c r="D98" s="192"/>
      <c r="E98" s="192"/>
    </row>
    <row r="99" spans="1:5" s="191" customFormat="1" x14ac:dyDescent="0.3">
      <c r="A99" s="236" t="str">
        <f>Physicochemical_Managed!P99</f>
        <v>RN44398</v>
      </c>
      <c r="B99" s="238" t="str" cm="1">
        <f t="array" ref="B99">INDEX($A$2:$A$323,MATCH(0,COUNTIF($B$1:B98,$A$2:$A$323),0))</f>
        <v>RN44398</v>
      </c>
      <c r="C99" s="809">
        <f t="shared" si="1"/>
        <v>44398</v>
      </c>
      <c r="D99" s="192"/>
      <c r="E99" s="192"/>
    </row>
    <row r="100" spans="1:5" s="191" customFormat="1" x14ac:dyDescent="0.3">
      <c r="A100" s="236" t="str">
        <f>Physicochemical_Managed!P100</f>
        <v>RN44404</v>
      </c>
      <c r="B100" s="238" t="str" cm="1">
        <f t="array" ref="B100">INDEX($A$2:$A$323,MATCH(0,COUNTIF($B$1:B99,$A$2:$A$323),0))</f>
        <v>RN44404</v>
      </c>
      <c r="C100" s="809">
        <f t="shared" si="1"/>
        <v>44404</v>
      </c>
      <c r="D100" s="192"/>
      <c r="E100" s="192"/>
    </row>
    <row r="101" spans="1:5" s="191" customFormat="1" x14ac:dyDescent="0.3">
      <c r="A101" s="236" t="str">
        <f>Physicochemical_Managed!P101</f>
        <v>RN44405</v>
      </c>
      <c r="B101" s="238" t="str" cm="1">
        <f t="array" ref="B101">INDEX($A$2:$A$323,MATCH(0,COUNTIF($B$1:B100,$A$2:$A$323),0))</f>
        <v>RN44405</v>
      </c>
      <c r="C101" s="809">
        <f t="shared" si="1"/>
        <v>44405</v>
      </c>
      <c r="D101" s="192"/>
      <c r="E101" s="192"/>
    </row>
    <row r="102" spans="1:5" s="191" customFormat="1" x14ac:dyDescent="0.3">
      <c r="A102" s="236" t="str">
        <f>Physicochemical_Managed!P102</f>
        <v>RN44411</v>
      </c>
      <c r="B102" s="238" t="str" cm="1">
        <f t="array" ref="B102">INDEX($A$2:$A$323,MATCH(0,COUNTIF($B$1:B101,$A$2:$A$323),0))</f>
        <v>RN44411</v>
      </c>
      <c r="C102" s="809">
        <f t="shared" si="1"/>
        <v>44411</v>
      </c>
      <c r="D102" s="192"/>
      <c r="E102" s="192"/>
    </row>
    <row r="103" spans="1:5" s="191" customFormat="1" x14ac:dyDescent="0.3">
      <c r="A103" s="236" t="str">
        <f>Physicochemical_Managed!P103</f>
        <v>RN44412</v>
      </c>
      <c r="B103" s="238" t="str" cm="1">
        <f t="array" ref="B103">INDEX($A$2:$A$323,MATCH(0,COUNTIF($B$1:B102,$A$2:$A$323),0))</f>
        <v>RN44412</v>
      </c>
      <c r="C103" s="809">
        <f t="shared" si="1"/>
        <v>44412</v>
      </c>
      <c r="D103" s="192"/>
      <c r="E103" s="192"/>
    </row>
    <row r="104" spans="1:5" s="191" customFormat="1" x14ac:dyDescent="0.3">
      <c r="A104" s="236" t="str">
        <f>Physicochemical_Managed!P104</f>
        <v>RN44418</v>
      </c>
      <c r="B104" s="238" t="str" cm="1">
        <f t="array" ref="B104">INDEX($A$2:$A$323,MATCH(0,COUNTIF($B$1:B103,$A$2:$A$323),0))</f>
        <v>RN44418</v>
      </c>
      <c r="C104" s="809">
        <f t="shared" si="1"/>
        <v>44418</v>
      </c>
      <c r="D104" s="192"/>
      <c r="E104" s="192"/>
    </row>
    <row r="105" spans="1:5" s="191" customFormat="1" x14ac:dyDescent="0.3">
      <c r="A105" s="236" t="str">
        <f>Physicochemical_Managed!P105</f>
        <v>RN44419</v>
      </c>
      <c r="B105" s="238" t="str" cm="1">
        <f t="array" ref="B105">INDEX($A$2:$A$323,MATCH(0,COUNTIF($B$1:B104,$A$2:$A$323),0))</f>
        <v>RN44419</v>
      </c>
      <c r="C105" s="809">
        <f t="shared" si="1"/>
        <v>44419</v>
      </c>
      <c r="D105" s="192"/>
      <c r="E105" s="192"/>
    </row>
    <row r="106" spans="1:5" s="191" customFormat="1" x14ac:dyDescent="0.3">
      <c r="A106" s="236" t="str">
        <f>Physicochemical_Managed!P106</f>
        <v>RN44425</v>
      </c>
      <c r="B106" s="238" t="str" cm="1">
        <f t="array" ref="B106">INDEX($A$2:$A$323,MATCH(0,COUNTIF($B$1:B105,$A$2:$A$323),0))</f>
        <v>RN44425</v>
      </c>
      <c r="C106" s="809">
        <f t="shared" si="1"/>
        <v>44425</v>
      </c>
      <c r="D106" s="192"/>
      <c r="E106" s="192"/>
    </row>
    <row r="107" spans="1:5" s="191" customFormat="1" x14ac:dyDescent="0.3">
      <c r="A107" s="236" t="str">
        <f>Physicochemical_Managed!P107</f>
        <v>RN44426</v>
      </c>
      <c r="B107" s="238" t="str" cm="1">
        <f t="array" ref="B107">INDEX($A$2:$A$323,MATCH(0,COUNTIF($B$1:B106,$A$2:$A$323),0))</f>
        <v>RN44426</v>
      </c>
      <c r="C107" s="809">
        <f t="shared" si="1"/>
        <v>44426</v>
      </c>
      <c r="D107" s="192"/>
      <c r="E107" s="192"/>
    </row>
    <row r="108" spans="1:5" s="191" customFormat="1" x14ac:dyDescent="0.3">
      <c r="A108" s="236" t="str">
        <f>Physicochemical_Managed!P108</f>
        <v>RN44432</v>
      </c>
      <c r="B108" s="238" t="str" cm="1">
        <f t="array" ref="B108">INDEX($A$2:$A$323,MATCH(0,COUNTIF($B$1:B107,$A$2:$A$323),0))</f>
        <v>RN44432</v>
      </c>
      <c r="C108" s="809">
        <f t="shared" si="1"/>
        <v>44432</v>
      </c>
      <c r="D108" s="192"/>
      <c r="E108" s="192"/>
    </row>
    <row r="109" spans="1:5" s="191" customFormat="1" x14ac:dyDescent="0.3">
      <c r="A109" s="236" t="str">
        <f>Physicochemical_Managed!P109</f>
        <v>RN44433</v>
      </c>
      <c r="B109" s="238" t="str" cm="1">
        <f t="array" ref="B109">INDEX($A$2:$A$323,MATCH(0,COUNTIF($B$1:B108,$A$2:$A$323),0))</f>
        <v>RN44433</v>
      </c>
      <c r="C109" s="809">
        <f t="shared" si="1"/>
        <v>44433</v>
      </c>
      <c r="D109" s="192"/>
      <c r="E109" s="192"/>
    </row>
    <row r="110" spans="1:5" s="191" customFormat="1" x14ac:dyDescent="0.3">
      <c r="A110" s="236" t="str">
        <f>Physicochemical_Managed!P110</f>
        <v>RU44293</v>
      </c>
      <c r="B110" s="238" t="str" cm="1">
        <f t="array" ref="B110">INDEX($A$2:$A$323,MATCH(0,COUNTIF($B$1:B109,$A$2:$A$323),0))</f>
        <v>RU44293</v>
      </c>
      <c r="C110" s="809">
        <f t="shared" si="1"/>
        <v>44293</v>
      </c>
      <c r="D110" s="192"/>
      <c r="E110" s="192"/>
    </row>
    <row r="111" spans="1:5" s="191" customFormat="1" x14ac:dyDescent="0.3">
      <c r="A111" s="236" t="str">
        <f>Physicochemical_Managed!P111</f>
        <v>RU44306</v>
      </c>
      <c r="B111" s="238" t="str" cm="1">
        <f t="array" ref="B111">INDEX($A$2:$A$323,MATCH(0,COUNTIF($B$1:B110,$A$2:$A$323),0))</f>
        <v>RU44306</v>
      </c>
      <c r="C111" s="809">
        <f t="shared" si="1"/>
        <v>44306</v>
      </c>
      <c r="D111" s="192"/>
      <c r="E111" s="192"/>
    </row>
    <row r="112" spans="1:5" s="191" customFormat="1" x14ac:dyDescent="0.3">
      <c r="A112" s="236" t="str">
        <f>Physicochemical_Managed!P112</f>
        <v>RU44313</v>
      </c>
      <c r="B112" s="238" t="str" cm="1">
        <f t="array" ref="B112">INDEX($A$2:$A$323,MATCH(0,COUNTIF($B$1:B111,$A$2:$A$323),0))</f>
        <v>RU44313</v>
      </c>
      <c r="C112" s="809">
        <f t="shared" si="1"/>
        <v>44313</v>
      </c>
      <c r="D112" s="192"/>
      <c r="E112" s="192"/>
    </row>
    <row r="113" spans="1:5" s="191" customFormat="1" x14ac:dyDescent="0.3">
      <c r="A113" s="236" t="str">
        <f>Physicochemical_Managed!P113</f>
        <v>RU44327</v>
      </c>
      <c r="B113" s="238" t="str" cm="1">
        <f t="array" ref="B113">INDEX($A$2:$A$323,MATCH(0,COUNTIF($B$1:B112,$A$2:$A$323),0))</f>
        <v>RU44327</v>
      </c>
      <c r="C113" s="809">
        <f t="shared" si="1"/>
        <v>44327</v>
      </c>
      <c r="D113" s="192"/>
      <c r="E113" s="192"/>
    </row>
    <row r="114" spans="1:5" s="191" customFormat="1" x14ac:dyDescent="0.3">
      <c r="A114" s="236" t="str">
        <f>Physicochemical_Managed!P114</f>
        <v>RU44334</v>
      </c>
      <c r="B114" s="238" t="str" cm="1">
        <f t="array" ref="B114">INDEX($A$2:$A$323,MATCH(0,COUNTIF($B$1:B113,$A$2:$A$323),0))</f>
        <v>RU44334</v>
      </c>
      <c r="C114" s="809">
        <f t="shared" si="1"/>
        <v>44334</v>
      </c>
      <c r="D114" s="192"/>
      <c r="E114" s="192"/>
    </row>
    <row r="115" spans="1:5" s="191" customFormat="1" x14ac:dyDescent="0.3">
      <c r="A115" s="236" t="str">
        <f>Physicochemical_Managed!P115</f>
        <v>RU44335</v>
      </c>
      <c r="B115" s="238" t="str" cm="1">
        <f t="array" ref="B115">INDEX($A$2:$A$323,MATCH(0,COUNTIF($B$1:B114,$A$2:$A$323),0))</f>
        <v>RU44335</v>
      </c>
      <c r="C115" s="809">
        <f t="shared" si="1"/>
        <v>44335</v>
      </c>
      <c r="D115" s="192"/>
      <c r="E115" s="192"/>
    </row>
    <row r="116" spans="1:5" s="191" customFormat="1" x14ac:dyDescent="0.3">
      <c r="A116" s="236" t="str">
        <f>Physicochemical_Managed!P116</f>
        <v>RU44341</v>
      </c>
      <c r="B116" s="238" t="str" cm="1">
        <f t="array" ref="B116">INDEX($A$2:$A$323,MATCH(0,COUNTIF($B$1:B115,$A$2:$A$323),0))</f>
        <v>RU44341</v>
      </c>
      <c r="C116" s="809">
        <f t="shared" si="1"/>
        <v>44341</v>
      </c>
      <c r="D116" s="192"/>
      <c r="E116" s="192"/>
    </row>
    <row r="117" spans="1:5" s="191" customFormat="1" x14ac:dyDescent="0.3">
      <c r="A117" s="236" t="str">
        <f>Physicochemical_Managed!P117</f>
        <v>RU44342</v>
      </c>
      <c r="B117" s="238" t="str" cm="1">
        <f t="array" ref="B117">INDEX($A$2:$A$323,MATCH(0,COUNTIF($B$1:B116,$A$2:$A$323),0))</f>
        <v>RU44342</v>
      </c>
      <c r="C117" s="809">
        <f t="shared" si="1"/>
        <v>44342</v>
      </c>
      <c r="D117" s="192"/>
      <c r="E117" s="192"/>
    </row>
    <row r="118" spans="1:5" s="191" customFormat="1" x14ac:dyDescent="0.3">
      <c r="A118" s="236" t="str">
        <f>Physicochemical_Managed!P118</f>
        <v>RU44349</v>
      </c>
      <c r="B118" s="238" t="str" cm="1">
        <f t="array" ref="B118">INDEX($A$2:$A$323,MATCH(0,COUNTIF($B$1:B117,$A$2:$A$323),0))</f>
        <v>RU44349</v>
      </c>
      <c r="C118" s="809">
        <f t="shared" si="1"/>
        <v>44349</v>
      </c>
      <c r="D118" s="192"/>
      <c r="E118" s="192"/>
    </row>
    <row r="119" spans="1:5" s="191" customFormat="1" x14ac:dyDescent="0.3">
      <c r="A119" s="236" t="str">
        <f>Physicochemical_Managed!P119</f>
        <v>RU44350</v>
      </c>
      <c r="B119" s="238" t="str" cm="1">
        <f t="array" ref="B119">INDEX($A$2:$A$323,MATCH(0,COUNTIF($B$1:B118,$A$2:$A$323),0))</f>
        <v>RU44350</v>
      </c>
      <c r="C119" s="809">
        <f t="shared" si="1"/>
        <v>44350</v>
      </c>
      <c r="D119" s="192"/>
      <c r="E119" s="192"/>
    </row>
    <row r="120" spans="1:5" s="191" customFormat="1" x14ac:dyDescent="0.3">
      <c r="A120" s="236" t="str">
        <f>Physicochemical_Managed!P120</f>
        <v>RU44355</v>
      </c>
      <c r="B120" s="238" t="str" cm="1">
        <f t="array" ref="B120">INDEX($A$2:$A$323,MATCH(0,COUNTIF($B$1:B119,$A$2:$A$323),0))</f>
        <v>RU44355</v>
      </c>
      <c r="C120" s="809">
        <f t="shared" si="1"/>
        <v>44355</v>
      </c>
      <c r="D120" s="192"/>
      <c r="E120" s="192"/>
    </row>
    <row r="121" spans="1:5" s="191" customFormat="1" x14ac:dyDescent="0.3">
      <c r="A121" s="236" t="str">
        <f>Physicochemical_Managed!P121</f>
        <v>RU44356</v>
      </c>
      <c r="B121" s="238" t="str" cm="1">
        <f t="array" ref="B121">INDEX($A$2:$A$323,MATCH(0,COUNTIF($B$1:B120,$A$2:$A$323),0))</f>
        <v>RU44356</v>
      </c>
      <c r="C121" s="809">
        <f t="shared" si="1"/>
        <v>44356</v>
      </c>
      <c r="D121" s="192"/>
      <c r="E121" s="192"/>
    </row>
    <row r="122" spans="1:5" s="191" customFormat="1" x14ac:dyDescent="0.3">
      <c r="A122" s="236" t="str">
        <f>Physicochemical_Managed!P122</f>
        <v>RU44362</v>
      </c>
      <c r="B122" s="238" t="str" cm="1">
        <f t="array" ref="B122">INDEX($A$2:$A$323,MATCH(0,COUNTIF($B$1:B121,$A$2:$A$323),0))</f>
        <v>RU44362</v>
      </c>
      <c r="C122" s="809">
        <f t="shared" si="1"/>
        <v>44362</v>
      </c>
      <c r="D122" s="192"/>
      <c r="E122" s="192"/>
    </row>
    <row r="123" spans="1:5" s="191" customFormat="1" x14ac:dyDescent="0.3">
      <c r="A123" s="236" t="str">
        <f>Physicochemical_Managed!P123</f>
        <v>RU44363</v>
      </c>
      <c r="B123" s="238" t="str" cm="1">
        <f t="array" ref="B123">INDEX($A$2:$A$323,MATCH(0,COUNTIF($B$1:B122,$A$2:$A$323),0))</f>
        <v>RU44363</v>
      </c>
      <c r="C123" s="809">
        <f t="shared" si="1"/>
        <v>44363</v>
      </c>
      <c r="D123" s="192"/>
      <c r="E123" s="192"/>
    </row>
    <row r="124" spans="1:5" s="191" customFormat="1" x14ac:dyDescent="0.3">
      <c r="A124" s="236" t="str">
        <f>Physicochemical_Managed!P124</f>
        <v>RU44364</v>
      </c>
      <c r="B124" s="238" t="str" cm="1">
        <f t="array" ref="B124">INDEX($A$2:$A$323,MATCH(0,COUNTIF($B$1:B123,$A$2:$A$323),0))</f>
        <v>RU44364</v>
      </c>
      <c r="C124" s="809">
        <f t="shared" si="1"/>
        <v>44364</v>
      </c>
      <c r="D124" s="192"/>
      <c r="E124" s="192"/>
    </row>
    <row r="125" spans="1:5" s="191" customFormat="1" x14ac:dyDescent="0.3">
      <c r="A125" s="236" t="str">
        <f>Physicochemical_Managed!P125</f>
        <v>RU44369</v>
      </c>
      <c r="B125" s="238" t="str" cm="1">
        <f t="array" ref="B125">INDEX($A$2:$A$323,MATCH(0,COUNTIF($B$1:B124,$A$2:$A$323),0))</f>
        <v>RU44369</v>
      </c>
      <c r="C125" s="809">
        <f t="shared" si="1"/>
        <v>44369</v>
      </c>
      <c r="D125" s="192"/>
      <c r="E125" s="192"/>
    </row>
    <row r="126" spans="1:5" s="191" customFormat="1" x14ac:dyDescent="0.3">
      <c r="A126" s="236" t="str">
        <f>Physicochemical_Managed!P126</f>
        <v>RU44370</v>
      </c>
      <c r="B126" s="238" t="str" cm="1">
        <f t="array" ref="B126">INDEX($A$2:$A$323,MATCH(0,COUNTIF($B$1:B125,$A$2:$A$323),0))</f>
        <v>RU44370</v>
      </c>
      <c r="C126" s="809">
        <f t="shared" si="1"/>
        <v>44370</v>
      </c>
      <c r="D126" s="192"/>
      <c r="E126" s="192"/>
    </row>
    <row r="127" spans="1:5" s="191" customFormat="1" x14ac:dyDescent="0.3">
      <c r="A127" s="236" t="str">
        <f>Physicochemical_Managed!P127</f>
        <v>RU44376</v>
      </c>
      <c r="B127" s="238" t="str" cm="1">
        <f t="array" ref="B127">INDEX($A$2:$A$323,MATCH(0,COUNTIF($B$1:B126,$A$2:$A$323),0))</f>
        <v>RU44376</v>
      </c>
      <c r="C127" s="809">
        <f t="shared" si="1"/>
        <v>44376</v>
      </c>
      <c r="D127" s="192"/>
      <c r="E127" s="192"/>
    </row>
    <row r="128" spans="1:5" s="191" customFormat="1" x14ac:dyDescent="0.3">
      <c r="A128" s="236" t="str">
        <f>Physicochemical_Managed!P128</f>
        <v>RU44377</v>
      </c>
      <c r="B128" s="238" t="str" cm="1">
        <f t="array" ref="B128">INDEX($A$2:$A$323,MATCH(0,COUNTIF($B$1:B127,$A$2:$A$323),0))</f>
        <v>RU44377</v>
      </c>
      <c r="C128" s="809">
        <f t="shared" si="1"/>
        <v>44377</v>
      </c>
      <c r="D128" s="192"/>
      <c r="E128" s="192"/>
    </row>
    <row r="129" spans="1:5" s="191" customFormat="1" x14ac:dyDescent="0.3">
      <c r="A129" s="236" t="str">
        <f>Physicochemical_Managed!P129</f>
        <v>RU44384</v>
      </c>
      <c r="B129" s="238" t="str" cm="1">
        <f t="array" ref="B129">INDEX($A$2:$A$323,MATCH(0,COUNTIF($B$1:B128,$A$2:$A$323),0))</f>
        <v>RU44384</v>
      </c>
      <c r="C129" s="809">
        <f t="shared" si="1"/>
        <v>44384</v>
      </c>
      <c r="D129" s="192"/>
      <c r="E129" s="192"/>
    </row>
    <row r="130" spans="1:5" s="191" customFormat="1" x14ac:dyDescent="0.3">
      <c r="A130" s="236" t="str">
        <f>Physicochemical_Managed!P130</f>
        <v>RU44385</v>
      </c>
      <c r="B130" s="238" t="str" cm="1">
        <f t="array" ref="B130">INDEX($A$2:$A$323,MATCH(0,COUNTIF($B$1:B129,$A$2:$A$323),0))</f>
        <v>RU44385</v>
      </c>
      <c r="C130" s="809">
        <f t="shared" si="1"/>
        <v>44385</v>
      </c>
      <c r="D130" s="192"/>
      <c r="E130" s="192"/>
    </row>
    <row r="131" spans="1:5" s="191" customFormat="1" x14ac:dyDescent="0.3">
      <c r="A131" s="236" t="str">
        <f>Physicochemical_Managed!P131</f>
        <v>RU44390</v>
      </c>
      <c r="B131" s="238" t="str" cm="1">
        <f t="array" ref="B131">INDEX($A$2:$A$323,MATCH(0,COUNTIF($B$1:B130,$A$2:$A$323),0))</f>
        <v>RU44390</v>
      </c>
      <c r="C131" s="809">
        <f t="shared" ref="C131:C194" si="2">INT(RIGHT(B131, 5))</f>
        <v>44390</v>
      </c>
      <c r="D131" s="192"/>
      <c r="E131" s="192"/>
    </row>
    <row r="132" spans="1:5" s="191" customFormat="1" x14ac:dyDescent="0.3">
      <c r="A132" s="236" t="str">
        <f>Physicochemical_Managed!P132</f>
        <v>RU44391</v>
      </c>
      <c r="B132" s="238" t="str" cm="1">
        <f t="array" ref="B132">INDEX($A$2:$A$323,MATCH(0,COUNTIF($B$1:B131,$A$2:$A$323),0))</f>
        <v>RU44391</v>
      </c>
      <c r="C132" s="809">
        <f t="shared" si="2"/>
        <v>44391</v>
      </c>
      <c r="D132" s="192"/>
      <c r="E132" s="192"/>
    </row>
    <row r="133" spans="1:5" s="191" customFormat="1" x14ac:dyDescent="0.3">
      <c r="A133" s="236" t="str">
        <f>Physicochemical_Managed!P133</f>
        <v>RU44397</v>
      </c>
      <c r="B133" s="238" t="str" cm="1">
        <f t="array" ref="B133">INDEX($A$2:$A$323,MATCH(0,COUNTIF($B$1:B132,$A$2:$A$323),0))</f>
        <v>RU44397</v>
      </c>
      <c r="C133" s="809">
        <f t="shared" si="2"/>
        <v>44397</v>
      </c>
      <c r="D133" s="192"/>
      <c r="E133" s="192"/>
    </row>
    <row r="134" spans="1:5" s="191" customFormat="1" x14ac:dyDescent="0.3">
      <c r="A134" s="236" t="str">
        <f>Physicochemical_Managed!P134</f>
        <v>RU44404</v>
      </c>
      <c r="B134" s="238" t="str" cm="1">
        <f t="array" ref="B134">INDEX($A$2:$A$323,MATCH(0,COUNTIF($B$1:B133,$A$2:$A$323),0))</f>
        <v>RU44404</v>
      </c>
      <c r="C134" s="809">
        <f t="shared" si="2"/>
        <v>44404</v>
      </c>
      <c r="D134" s="192"/>
      <c r="E134" s="192"/>
    </row>
    <row r="135" spans="1:5" s="191" customFormat="1" x14ac:dyDescent="0.3">
      <c r="A135" s="236" t="str">
        <f>Physicochemical_Managed!P135</f>
        <v>RU44405</v>
      </c>
      <c r="B135" s="238" t="str" cm="1">
        <f t="array" ref="B135">INDEX($A$2:$A$323,MATCH(0,COUNTIF($B$1:B134,$A$2:$A$323),0))</f>
        <v>RU44405</v>
      </c>
      <c r="C135" s="809">
        <f t="shared" si="2"/>
        <v>44405</v>
      </c>
      <c r="D135" s="192"/>
      <c r="E135" s="192"/>
    </row>
    <row r="136" spans="1:5" s="191" customFormat="1" x14ac:dyDescent="0.3">
      <c r="A136" s="236" t="str">
        <f>Physicochemical_Managed!P136</f>
        <v>RU44411</v>
      </c>
      <c r="B136" s="238" t="str" cm="1">
        <f t="array" ref="B136">INDEX($A$2:$A$323,MATCH(0,COUNTIF($B$1:B135,$A$2:$A$323),0))</f>
        <v>RU44411</v>
      </c>
      <c r="C136" s="809">
        <f t="shared" si="2"/>
        <v>44411</v>
      </c>
      <c r="D136" s="192"/>
      <c r="E136" s="192"/>
    </row>
    <row r="137" spans="1:5" s="191" customFormat="1" x14ac:dyDescent="0.3">
      <c r="A137" s="236" t="str">
        <f>Physicochemical_Managed!P137</f>
        <v>RU44412</v>
      </c>
      <c r="B137" s="238" t="str" cm="1">
        <f t="array" ref="B137">INDEX($A$2:$A$323,MATCH(0,COUNTIF($B$1:B136,$A$2:$A$323),0))</f>
        <v>RU44412</v>
      </c>
      <c r="C137" s="809">
        <f t="shared" si="2"/>
        <v>44412</v>
      </c>
      <c r="D137" s="192"/>
      <c r="E137" s="192"/>
    </row>
    <row r="138" spans="1:5" s="191" customFormat="1" x14ac:dyDescent="0.3">
      <c r="A138" s="236" t="str">
        <f>Physicochemical_Managed!P138</f>
        <v>RU44418</v>
      </c>
      <c r="B138" s="238" t="str" cm="1">
        <f t="array" ref="B138">INDEX($A$2:$A$323,MATCH(0,COUNTIF($B$1:B137,$A$2:$A$323),0))</f>
        <v>RU44418</v>
      </c>
      <c r="C138" s="809">
        <f t="shared" si="2"/>
        <v>44418</v>
      </c>
      <c r="D138" s="192"/>
      <c r="E138" s="192"/>
    </row>
    <row r="139" spans="1:5" s="191" customFormat="1" x14ac:dyDescent="0.3">
      <c r="A139" s="236" t="str">
        <f>Physicochemical_Managed!P139</f>
        <v>RU44419</v>
      </c>
      <c r="B139" s="238" t="str" cm="1">
        <f t="array" ref="B139">INDEX($A$2:$A$323,MATCH(0,COUNTIF($B$1:B138,$A$2:$A$323),0))</f>
        <v>RU44419</v>
      </c>
      <c r="C139" s="809">
        <f t="shared" si="2"/>
        <v>44419</v>
      </c>
      <c r="D139" s="192"/>
      <c r="E139" s="192"/>
    </row>
    <row r="140" spans="1:5" s="191" customFormat="1" x14ac:dyDescent="0.3">
      <c r="A140" s="236" t="str">
        <f>Physicochemical_Managed!P140</f>
        <v>RU44425</v>
      </c>
      <c r="B140" s="238" t="str" cm="1">
        <f t="array" ref="B140">INDEX($A$2:$A$323,MATCH(0,COUNTIF($B$1:B139,$A$2:$A$323),0))</f>
        <v>RU44425</v>
      </c>
      <c r="C140" s="809">
        <f t="shared" si="2"/>
        <v>44425</v>
      </c>
      <c r="D140" s="192"/>
      <c r="E140" s="192"/>
    </row>
    <row r="141" spans="1:5" s="191" customFormat="1" x14ac:dyDescent="0.3">
      <c r="A141" s="236" t="str">
        <f>Physicochemical_Managed!P141</f>
        <v>RU44426</v>
      </c>
      <c r="B141" s="238" t="str" cm="1">
        <f t="array" ref="B141">INDEX($A$2:$A$323,MATCH(0,COUNTIF($B$1:B140,$A$2:$A$323),0))</f>
        <v>RU44426</v>
      </c>
      <c r="C141" s="809">
        <f t="shared" si="2"/>
        <v>44426</v>
      </c>
      <c r="D141" s="192"/>
      <c r="E141" s="192"/>
    </row>
    <row r="142" spans="1:5" s="191" customFormat="1" x14ac:dyDescent="0.3">
      <c r="A142" s="236" t="str">
        <f>Physicochemical_Managed!P142</f>
        <v>RU44432</v>
      </c>
      <c r="B142" s="238" t="str" cm="1">
        <f t="array" ref="B142">INDEX($A$2:$A$323,MATCH(0,COUNTIF($B$1:B141,$A$2:$A$323),0))</f>
        <v>RU44432</v>
      </c>
      <c r="C142" s="809">
        <f t="shared" si="2"/>
        <v>44432</v>
      </c>
      <c r="D142" s="192"/>
      <c r="E142" s="192"/>
    </row>
    <row r="143" spans="1:5" s="191" customFormat="1" x14ac:dyDescent="0.3">
      <c r="A143" s="236" t="str">
        <f>Physicochemical_Managed!P143</f>
        <v>RU44433</v>
      </c>
      <c r="B143" s="238" t="str" cm="1">
        <f t="array" ref="B143">INDEX($A$2:$A$323,MATCH(0,COUNTIF($B$1:B142,$A$2:$A$323),0))</f>
        <v>RU44433</v>
      </c>
      <c r="C143" s="809">
        <f t="shared" si="2"/>
        <v>44433</v>
      </c>
      <c r="D143" s="192"/>
      <c r="E143" s="192"/>
    </row>
    <row r="144" spans="1:5" s="191" customFormat="1" x14ac:dyDescent="0.3">
      <c r="A144" s="236" t="str">
        <f>Physicochemical_Managed!P144</f>
        <v>RL44293</v>
      </c>
      <c r="B144" s="238" t="str" cm="1">
        <f t="array" ref="B144">INDEX($A$2:$A$323,MATCH(0,COUNTIF($B$1:B143,$A$2:$A$323),0))</f>
        <v>RL44293</v>
      </c>
      <c r="C144" s="809">
        <f t="shared" si="2"/>
        <v>44293</v>
      </c>
      <c r="D144" s="192"/>
      <c r="E144" s="192"/>
    </row>
    <row r="145" spans="1:5" s="191" customFormat="1" x14ac:dyDescent="0.3">
      <c r="A145" s="236" t="str">
        <f>Physicochemical_Managed!P145</f>
        <v>RL44306</v>
      </c>
      <c r="B145" s="238" t="str" cm="1">
        <f t="array" ref="B145">INDEX($A$2:$A$323,MATCH(0,COUNTIF($B$1:B144,$A$2:$A$323),0))</f>
        <v>RL44306</v>
      </c>
      <c r="C145" s="809">
        <f t="shared" si="2"/>
        <v>44306</v>
      </c>
      <c r="D145" s="192"/>
      <c r="E145" s="192"/>
    </row>
    <row r="146" spans="1:5" s="191" customFormat="1" x14ac:dyDescent="0.3">
      <c r="A146" s="236" t="str">
        <f>Physicochemical_Managed!P146</f>
        <v>RL44313</v>
      </c>
      <c r="B146" s="238" t="str" cm="1">
        <f t="array" ref="B146">INDEX($A$2:$A$323,MATCH(0,COUNTIF($B$1:B145,$A$2:$A$323),0))</f>
        <v>RL44313</v>
      </c>
      <c r="C146" s="809">
        <f t="shared" si="2"/>
        <v>44313</v>
      </c>
      <c r="D146" s="192"/>
      <c r="E146" s="192"/>
    </row>
    <row r="147" spans="1:5" s="191" customFormat="1" x14ac:dyDescent="0.3">
      <c r="A147" s="236" t="str">
        <f>Physicochemical_Managed!P147</f>
        <v>RL44327</v>
      </c>
      <c r="B147" s="238" t="str" cm="1">
        <f t="array" ref="B147">INDEX($A$2:$A$323,MATCH(0,COUNTIF($B$1:B146,$A$2:$A$323),0))</f>
        <v>RL44327</v>
      </c>
      <c r="C147" s="809">
        <f t="shared" si="2"/>
        <v>44327</v>
      </c>
      <c r="D147" s="192"/>
      <c r="E147" s="192"/>
    </row>
    <row r="148" spans="1:5" s="191" customFormat="1" x14ac:dyDescent="0.3">
      <c r="A148" s="236" t="str">
        <f>Physicochemical_Managed!P148</f>
        <v>RL44334</v>
      </c>
      <c r="B148" s="238" t="str" cm="1">
        <f t="array" ref="B148">INDEX($A$2:$A$323,MATCH(0,COUNTIF($B$1:B147,$A$2:$A$323),0))</f>
        <v>RL44334</v>
      </c>
      <c r="C148" s="809">
        <f t="shared" si="2"/>
        <v>44334</v>
      </c>
      <c r="D148" s="192"/>
      <c r="E148" s="192"/>
    </row>
    <row r="149" spans="1:5" s="191" customFormat="1" x14ac:dyDescent="0.3">
      <c r="A149" s="236" t="str">
        <f>Physicochemical_Managed!P149</f>
        <v>RL44335</v>
      </c>
      <c r="B149" s="238" t="str" cm="1">
        <f t="array" ref="B149">INDEX($A$2:$A$323,MATCH(0,COUNTIF($B$1:B148,$A$2:$A$323),0))</f>
        <v>RL44335</v>
      </c>
      <c r="C149" s="809">
        <f t="shared" si="2"/>
        <v>44335</v>
      </c>
      <c r="D149" s="192"/>
      <c r="E149" s="192"/>
    </row>
    <row r="150" spans="1:5" s="191" customFormat="1" x14ac:dyDescent="0.3">
      <c r="A150" s="236" t="str">
        <f>Physicochemical_Managed!P150</f>
        <v>RL44341</v>
      </c>
      <c r="B150" s="238" t="str" cm="1">
        <f t="array" ref="B150">INDEX($A$2:$A$323,MATCH(0,COUNTIF($B$1:B149,$A$2:$A$323),0))</f>
        <v>RL44341</v>
      </c>
      <c r="C150" s="809">
        <f t="shared" si="2"/>
        <v>44341</v>
      </c>
      <c r="D150" s="192"/>
      <c r="E150" s="192"/>
    </row>
    <row r="151" spans="1:5" s="191" customFormat="1" x14ac:dyDescent="0.3">
      <c r="A151" s="236" t="str">
        <f>Physicochemical_Managed!P151</f>
        <v>RL44342</v>
      </c>
      <c r="B151" s="238" t="str" cm="1">
        <f t="array" ref="B151">INDEX($A$2:$A$323,MATCH(0,COUNTIF($B$1:B150,$A$2:$A$323),0))</f>
        <v>RL44342</v>
      </c>
      <c r="C151" s="809">
        <f t="shared" si="2"/>
        <v>44342</v>
      </c>
      <c r="D151" s="192"/>
      <c r="E151" s="192"/>
    </row>
    <row r="152" spans="1:5" s="191" customFormat="1" x14ac:dyDescent="0.3">
      <c r="A152" s="236" t="str">
        <f>Physicochemical_Managed!P152</f>
        <v>RL44349</v>
      </c>
      <c r="B152" s="238" t="str" cm="1">
        <f t="array" ref="B152">INDEX($A$2:$A$323,MATCH(0,COUNTIF($B$1:B151,$A$2:$A$323),0))</f>
        <v>RL44349</v>
      </c>
      <c r="C152" s="809">
        <f t="shared" si="2"/>
        <v>44349</v>
      </c>
      <c r="D152" s="192"/>
      <c r="E152" s="192"/>
    </row>
    <row r="153" spans="1:5" s="191" customFormat="1" x14ac:dyDescent="0.3">
      <c r="A153" s="236" t="str">
        <f>Physicochemical_Managed!P153</f>
        <v>RL44350</v>
      </c>
      <c r="B153" s="238" t="str" cm="1">
        <f t="array" ref="B153">INDEX($A$2:$A$323,MATCH(0,COUNTIF($B$1:B152,$A$2:$A$323),0))</f>
        <v>RL44350</v>
      </c>
      <c r="C153" s="809">
        <f t="shared" si="2"/>
        <v>44350</v>
      </c>
      <c r="D153" s="192"/>
      <c r="E153" s="192"/>
    </row>
    <row r="154" spans="1:5" s="191" customFormat="1" x14ac:dyDescent="0.3">
      <c r="A154" s="236" t="str">
        <f>Physicochemical_Managed!P154</f>
        <v>RL44355</v>
      </c>
      <c r="B154" s="238" t="str" cm="1">
        <f t="array" ref="B154">INDEX($A$2:$A$323,MATCH(0,COUNTIF($B$1:B153,$A$2:$A$323),0))</f>
        <v>RL44355</v>
      </c>
      <c r="C154" s="809">
        <f t="shared" si="2"/>
        <v>44355</v>
      </c>
      <c r="D154" s="192"/>
      <c r="E154" s="192"/>
    </row>
    <row r="155" spans="1:5" s="191" customFormat="1" x14ac:dyDescent="0.3">
      <c r="A155" s="236" t="str">
        <f>Physicochemical_Managed!P155</f>
        <v>RL44356</v>
      </c>
      <c r="B155" s="238" t="str" cm="1">
        <f t="array" ref="B155">INDEX($A$2:$A$323,MATCH(0,COUNTIF($B$1:B154,$A$2:$A$323),0))</f>
        <v>RL44356</v>
      </c>
      <c r="C155" s="809">
        <f t="shared" si="2"/>
        <v>44356</v>
      </c>
      <c r="D155" s="192"/>
      <c r="E155" s="192"/>
    </row>
    <row r="156" spans="1:5" s="191" customFormat="1" x14ac:dyDescent="0.3">
      <c r="A156" s="236" t="str">
        <f>Physicochemical_Managed!P156</f>
        <v>RL44362</v>
      </c>
      <c r="B156" s="238" t="str" cm="1">
        <f t="array" ref="B156">INDEX($A$2:$A$323,MATCH(0,COUNTIF($B$1:B155,$A$2:$A$323),0))</f>
        <v>RL44362</v>
      </c>
      <c r="C156" s="809">
        <f t="shared" si="2"/>
        <v>44362</v>
      </c>
      <c r="D156" s="192"/>
      <c r="E156" s="192"/>
    </row>
    <row r="157" spans="1:5" s="191" customFormat="1" x14ac:dyDescent="0.3">
      <c r="A157" s="236" t="str">
        <f>Physicochemical_Managed!P157</f>
        <v>RL44363</v>
      </c>
      <c r="B157" s="238" t="str" cm="1">
        <f t="array" ref="B157">INDEX($A$2:$A$323,MATCH(0,COUNTIF($B$1:B156,$A$2:$A$323),0))</f>
        <v>RL44363</v>
      </c>
      <c r="C157" s="809">
        <f t="shared" si="2"/>
        <v>44363</v>
      </c>
      <c r="D157" s="192"/>
      <c r="E157" s="192"/>
    </row>
    <row r="158" spans="1:5" s="191" customFormat="1" x14ac:dyDescent="0.3">
      <c r="A158" s="236" t="str">
        <f>Physicochemical_Managed!P158</f>
        <v>RL44369</v>
      </c>
      <c r="B158" s="238" t="str" cm="1">
        <f t="array" ref="B158">INDEX($A$2:$A$323,MATCH(0,COUNTIF($B$1:B157,$A$2:$A$323),0))</f>
        <v>RL44369</v>
      </c>
      <c r="C158" s="809">
        <f t="shared" si="2"/>
        <v>44369</v>
      </c>
      <c r="D158" s="192"/>
      <c r="E158" s="192"/>
    </row>
    <row r="159" spans="1:5" s="191" customFormat="1" x14ac:dyDescent="0.3">
      <c r="A159" s="236" t="str">
        <f>Physicochemical_Managed!P159</f>
        <v>RL44370</v>
      </c>
      <c r="B159" s="238" t="str" cm="1">
        <f t="array" ref="B159">INDEX($A$2:$A$323,MATCH(0,COUNTIF($B$1:B158,$A$2:$A$323),0))</f>
        <v>RL44370</v>
      </c>
      <c r="C159" s="809">
        <f t="shared" si="2"/>
        <v>44370</v>
      </c>
      <c r="D159" s="192"/>
      <c r="E159" s="192"/>
    </row>
    <row r="160" spans="1:5" s="191" customFormat="1" x14ac:dyDescent="0.3">
      <c r="A160" s="236" t="str">
        <f>Physicochemical_Managed!P160</f>
        <v>RL44384</v>
      </c>
      <c r="B160" s="238" t="str" cm="1">
        <f t="array" ref="B160">INDEX($A$2:$A$323,MATCH(0,COUNTIF($B$1:B159,$A$2:$A$323),0))</f>
        <v>RL44384</v>
      </c>
      <c r="C160" s="809">
        <f t="shared" si="2"/>
        <v>44384</v>
      </c>
      <c r="D160" s="192"/>
      <c r="E160" s="192"/>
    </row>
    <row r="161" spans="1:5" s="191" customFormat="1" x14ac:dyDescent="0.3">
      <c r="A161" s="236" t="str">
        <f>Physicochemical_Managed!P161</f>
        <v>RL44385</v>
      </c>
      <c r="B161" s="238" t="str" cm="1">
        <f t="array" ref="B161">INDEX($A$2:$A$323,MATCH(0,COUNTIF($B$1:B160,$A$2:$A$323),0))</f>
        <v>RL44385</v>
      </c>
      <c r="C161" s="809">
        <f t="shared" si="2"/>
        <v>44385</v>
      </c>
      <c r="D161" s="192"/>
      <c r="E161" s="192"/>
    </row>
    <row r="162" spans="1:5" s="191" customFormat="1" x14ac:dyDescent="0.3">
      <c r="A162" s="236" t="str">
        <f>Physicochemical_Managed!P162</f>
        <v>RL44390</v>
      </c>
      <c r="B162" s="238" t="str" cm="1">
        <f t="array" ref="B162">INDEX($A$2:$A$323,MATCH(0,COUNTIF($B$1:B161,$A$2:$A$323),0))</f>
        <v>RL44390</v>
      </c>
      <c r="C162" s="809">
        <f t="shared" si="2"/>
        <v>44390</v>
      </c>
      <c r="D162" s="192"/>
      <c r="E162" s="192"/>
    </row>
    <row r="163" spans="1:5" s="191" customFormat="1" x14ac:dyDescent="0.3">
      <c r="A163" s="236" t="str">
        <f>Physicochemical_Managed!P163</f>
        <v>RL44391</v>
      </c>
      <c r="B163" s="238" t="str" cm="1">
        <f t="array" ref="B163">INDEX($A$2:$A$323,MATCH(0,COUNTIF($B$1:B162,$A$2:$A$323),0))</f>
        <v>RL44391</v>
      </c>
      <c r="C163" s="809">
        <f t="shared" si="2"/>
        <v>44391</v>
      </c>
      <c r="D163" s="192"/>
      <c r="E163" s="192"/>
    </row>
    <row r="164" spans="1:5" s="191" customFormat="1" x14ac:dyDescent="0.3">
      <c r="A164" s="236" t="str">
        <f>Physicochemical_Managed!P164</f>
        <v>RL44397</v>
      </c>
      <c r="B164" s="238" t="str" cm="1">
        <f t="array" ref="B164">INDEX($A$2:$A$323,MATCH(0,COUNTIF($B$1:B163,$A$2:$A$323),0))</f>
        <v>RL44397</v>
      </c>
      <c r="C164" s="809">
        <f t="shared" si="2"/>
        <v>44397</v>
      </c>
      <c r="D164" s="192"/>
      <c r="E164" s="192"/>
    </row>
    <row r="165" spans="1:5" s="191" customFormat="1" x14ac:dyDescent="0.3">
      <c r="A165" s="236" t="str">
        <f>Physicochemical_Managed!P165</f>
        <v>RL44398</v>
      </c>
      <c r="B165" s="238" t="str" cm="1">
        <f t="array" ref="B165">INDEX($A$2:$A$323,MATCH(0,COUNTIF($B$1:B164,$A$2:$A$323),0))</f>
        <v>RL44398</v>
      </c>
      <c r="C165" s="809">
        <f t="shared" si="2"/>
        <v>44398</v>
      </c>
      <c r="D165" s="192"/>
      <c r="E165" s="192"/>
    </row>
    <row r="166" spans="1:5" s="191" customFormat="1" x14ac:dyDescent="0.3">
      <c r="A166" s="236" t="str">
        <f>Physicochemical_Managed!P166</f>
        <v>RL44404</v>
      </c>
      <c r="B166" s="238" t="str" cm="1">
        <f t="array" ref="B166">INDEX($A$2:$A$323,MATCH(0,COUNTIF($B$1:B165,$A$2:$A$323),0))</f>
        <v>RL44404</v>
      </c>
      <c r="C166" s="809">
        <f t="shared" si="2"/>
        <v>44404</v>
      </c>
      <c r="D166" s="192"/>
      <c r="E166" s="192"/>
    </row>
    <row r="167" spans="1:5" s="191" customFormat="1" x14ac:dyDescent="0.3">
      <c r="A167" s="236" t="str">
        <f>Physicochemical_Managed!P167</f>
        <v>RL44405</v>
      </c>
      <c r="B167" s="238" t="str" cm="1">
        <f t="array" ref="B167">INDEX($A$2:$A$323,MATCH(0,COUNTIF($B$1:B166,$A$2:$A$323),0))</f>
        <v>RL44405</v>
      </c>
      <c r="C167" s="809">
        <f t="shared" si="2"/>
        <v>44405</v>
      </c>
      <c r="D167" s="192"/>
      <c r="E167" s="192"/>
    </row>
    <row r="168" spans="1:5" s="191" customFormat="1" x14ac:dyDescent="0.3">
      <c r="A168" s="236" t="str">
        <f>Physicochemical_Managed!P168</f>
        <v>RL44411</v>
      </c>
      <c r="B168" s="238" t="str" cm="1">
        <f t="array" ref="B168">INDEX($A$2:$A$323,MATCH(0,COUNTIF($B$1:B167,$A$2:$A$323),0))</f>
        <v>RL44411</v>
      </c>
      <c r="C168" s="809">
        <f t="shared" si="2"/>
        <v>44411</v>
      </c>
      <c r="D168" s="192"/>
      <c r="E168" s="192"/>
    </row>
    <row r="169" spans="1:5" s="191" customFormat="1" x14ac:dyDescent="0.3">
      <c r="A169" s="236" t="str">
        <f>Physicochemical_Managed!P169</f>
        <v>RL44412</v>
      </c>
      <c r="B169" s="238" t="str" cm="1">
        <f t="array" ref="B169">INDEX($A$2:$A$323,MATCH(0,COUNTIF($B$1:B168,$A$2:$A$323),0))</f>
        <v>RL44412</v>
      </c>
      <c r="C169" s="809">
        <f t="shared" si="2"/>
        <v>44412</v>
      </c>
      <c r="D169" s="192"/>
      <c r="E169" s="192"/>
    </row>
    <row r="170" spans="1:5" s="191" customFormat="1" x14ac:dyDescent="0.3">
      <c r="A170" s="236" t="str">
        <f>Physicochemical_Managed!P170</f>
        <v>RL44418</v>
      </c>
      <c r="B170" s="238" t="str" cm="1">
        <f t="array" ref="B170">INDEX($A$2:$A$323,MATCH(0,COUNTIF($B$1:B169,$A$2:$A$323),0))</f>
        <v>RL44418</v>
      </c>
      <c r="C170" s="809">
        <f t="shared" si="2"/>
        <v>44418</v>
      </c>
      <c r="D170" s="192"/>
      <c r="E170" s="192"/>
    </row>
    <row r="171" spans="1:5" s="191" customFormat="1" x14ac:dyDescent="0.3">
      <c r="A171" s="236" t="str">
        <f>Physicochemical_Managed!P171</f>
        <v>RL44419</v>
      </c>
      <c r="B171" s="238" t="str" cm="1">
        <f t="array" ref="B171">INDEX($A$2:$A$323,MATCH(0,COUNTIF($B$1:B170,$A$2:$A$323),0))</f>
        <v>RL44419</v>
      </c>
      <c r="C171" s="809">
        <f t="shared" si="2"/>
        <v>44419</v>
      </c>
      <c r="D171" s="192"/>
      <c r="E171" s="192"/>
    </row>
    <row r="172" spans="1:5" s="191" customFormat="1" x14ac:dyDescent="0.3">
      <c r="A172" s="236" t="str">
        <f>Physicochemical_Managed!P172</f>
        <v>RL44425</v>
      </c>
      <c r="B172" s="238" t="str" cm="1">
        <f t="array" ref="B172">INDEX($A$2:$A$323,MATCH(0,COUNTIF($B$1:B171,$A$2:$A$323),0))</f>
        <v>RL44425</v>
      </c>
      <c r="C172" s="809">
        <f t="shared" si="2"/>
        <v>44425</v>
      </c>
      <c r="D172" s="192"/>
      <c r="E172" s="192"/>
    </row>
    <row r="173" spans="1:5" s="191" customFormat="1" x14ac:dyDescent="0.3">
      <c r="A173" s="236" t="str">
        <f>Physicochemical_Managed!P173</f>
        <v>RL44426</v>
      </c>
      <c r="B173" s="238" t="str" cm="1">
        <f t="array" ref="B173">INDEX($A$2:$A$323,MATCH(0,COUNTIF($B$1:B172,$A$2:$A$323),0))</f>
        <v>RL44426</v>
      </c>
      <c r="C173" s="809">
        <f t="shared" si="2"/>
        <v>44426</v>
      </c>
      <c r="D173" s="192"/>
      <c r="E173" s="192"/>
    </row>
    <row r="174" spans="1:5" s="191" customFormat="1" x14ac:dyDescent="0.3">
      <c r="A174" s="236" t="str">
        <f>Physicochemical_Managed!P174</f>
        <v>RL44432</v>
      </c>
      <c r="B174" s="238" t="str" cm="1">
        <f t="array" ref="B174">INDEX($A$2:$A$323,MATCH(0,COUNTIF($B$1:B173,$A$2:$A$323),0))</f>
        <v>RL44432</v>
      </c>
      <c r="C174" s="809">
        <f t="shared" si="2"/>
        <v>44432</v>
      </c>
      <c r="D174" s="192"/>
      <c r="E174" s="192"/>
    </row>
    <row r="175" spans="1:5" s="191" customFormat="1" x14ac:dyDescent="0.3">
      <c r="A175" s="236" t="str">
        <f>Physicochemical_Managed!P175</f>
        <v>RL44433</v>
      </c>
      <c r="B175" s="238" t="str" cm="1">
        <f t="array" ref="B175">INDEX($A$2:$A$323,MATCH(0,COUNTIF($B$1:B174,$A$2:$A$323),0))</f>
        <v>RL44433</v>
      </c>
      <c r="C175" s="809">
        <f t="shared" si="2"/>
        <v>44433</v>
      </c>
      <c r="D175" s="192"/>
      <c r="E175" s="192"/>
    </row>
    <row r="176" spans="1:5" s="191" customFormat="1" x14ac:dyDescent="0.3">
      <c r="A176" s="236" t="str">
        <f>Physicochemical_Managed!P176</f>
        <v>RS44293</v>
      </c>
      <c r="B176" s="238" t="str" cm="1">
        <f t="array" ref="B176">INDEX($A$2:$A$323,MATCH(0,COUNTIF($B$1:B175,$A$2:$A$323),0))</f>
        <v>RS44293</v>
      </c>
      <c r="C176" s="809">
        <f t="shared" si="2"/>
        <v>44293</v>
      </c>
      <c r="D176" s="192"/>
      <c r="E176" s="192"/>
    </row>
    <row r="177" spans="1:5" s="191" customFormat="1" x14ac:dyDescent="0.3">
      <c r="A177" s="236" t="str">
        <f>Physicochemical_Managed!P177</f>
        <v>RS44306</v>
      </c>
      <c r="B177" s="238" t="str" cm="1">
        <f t="array" ref="B177">INDEX($A$2:$A$323,MATCH(0,COUNTIF($B$1:B176,$A$2:$A$323),0))</f>
        <v>RS44306</v>
      </c>
      <c r="C177" s="809">
        <f t="shared" si="2"/>
        <v>44306</v>
      </c>
      <c r="D177" s="192"/>
      <c r="E177" s="192"/>
    </row>
    <row r="178" spans="1:5" s="191" customFormat="1" x14ac:dyDescent="0.3">
      <c r="A178" s="236" t="str">
        <f>Physicochemical_Managed!P178</f>
        <v>RS44313</v>
      </c>
      <c r="B178" s="238" t="str" cm="1">
        <f t="array" ref="B178">INDEX($A$2:$A$323,MATCH(0,COUNTIF($B$1:B177,$A$2:$A$323),0))</f>
        <v>RS44313</v>
      </c>
      <c r="C178" s="809">
        <f t="shared" si="2"/>
        <v>44313</v>
      </c>
      <c r="D178" s="192"/>
      <c r="E178" s="192"/>
    </row>
    <row r="179" spans="1:5" s="191" customFormat="1" x14ac:dyDescent="0.3">
      <c r="A179" s="236" t="str">
        <f>Physicochemical_Managed!P179</f>
        <v>RS44327</v>
      </c>
      <c r="B179" s="238" t="str" cm="1">
        <f t="array" ref="B179">INDEX($A$2:$A$323,MATCH(0,COUNTIF($B$1:B178,$A$2:$A$323),0))</f>
        <v>RS44327</v>
      </c>
      <c r="C179" s="809">
        <f t="shared" si="2"/>
        <v>44327</v>
      </c>
      <c r="D179" s="192"/>
      <c r="E179" s="192"/>
    </row>
    <row r="180" spans="1:5" s="191" customFormat="1" x14ac:dyDescent="0.3">
      <c r="A180" s="236" t="str">
        <f>Physicochemical_Managed!P180</f>
        <v>RS44334</v>
      </c>
      <c r="B180" s="238" t="str" cm="1">
        <f t="array" ref="B180">INDEX($A$2:$A$323,MATCH(0,COUNTIF($B$1:B179,$A$2:$A$323),0))</f>
        <v>RS44334</v>
      </c>
      <c r="C180" s="809">
        <f t="shared" si="2"/>
        <v>44334</v>
      </c>
      <c r="D180" s="192"/>
      <c r="E180" s="192"/>
    </row>
    <row r="181" spans="1:5" s="191" customFormat="1" x14ac:dyDescent="0.3">
      <c r="A181" s="236" t="str">
        <f>Physicochemical_Managed!P181</f>
        <v>RS44335</v>
      </c>
      <c r="B181" s="238" t="str" cm="1">
        <f t="array" ref="B181">INDEX($A$2:$A$323,MATCH(0,COUNTIF($B$1:B180,$A$2:$A$323),0))</f>
        <v>RS44335</v>
      </c>
      <c r="C181" s="809">
        <f t="shared" si="2"/>
        <v>44335</v>
      </c>
      <c r="D181" s="192"/>
      <c r="E181" s="192"/>
    </row>
    <row r="182" spans="1:5" s="191" customFormat="1" x14ac:dyDescent="0.3">
      <c r="A182" s="236" t="str">
        <f>Physicochemical_Managed!P182</f>
        <v>RS44341</v>
      </c>
      <c r="B182" s="238" t="str" cm="1">
        <f t="array" ref="B182">INDEX($A$2:$A$323,MATCH(0,COUNTIF($B$1:B181,$A$2:$A$323),0))</f>
        <v>RS44341</v>
      </c>
      <c r="C182" s="809">
        <f t="shared" si="2"/>
        <v>44341</v>
      </c>
      <c r="D182" s="192"/>
      <c r="E182" s="192"/>
    </row>
    <row r="183" spans="1:5" s="191" customFormat="1" x14ac:dyDescent="0.3">
      <c r="A183" s="236" t="str">
        <f>Physicochemical_Managed!P183</f>
        <v>RS44342</v>
      </c>
      <c r="B183" s="238" t="str" cm="1">
        <f t="array" ref="B183">INDEX($A$2:$A$323,MATCH(0,COUNTIF($B$1:B182,$A$2:$A$323),0))</f>
        <v>RS44342</v>
      </c>
      <c r="C183" s="809">
        <f t="shared" si="2"/>
        <v>44342</v>
      </c>
      <c r="D183" s="192"/>
      <c r="E183" s="192"/>
    </row>
    <row r="184" spans="1:5" s="191" customFormat="1" x14ac:dyDescent="0.3">
      <c r="A184" s="236" t="str">
        <f>Physicochemical_Managed!P184</f>
        <v>RS44349</v>
      </c>
      <c r="B184" s="238" t="str" cm="1">
        <f t="array" ref="B184">INDEX($A$2:$A$323,MATCH(0,COUNTIF($B$1:B183,$A$2:$A$323),0))</f>
        <v>RS44349</v>
      </c>
      <c r="C184" s="809">
        <f t="shared" si="2"/>
        <v>44349</v>
      </c>
      <c r="D184" s="192"/>
      <c r="E184" s="192"/>
    </row>
    <row r="185" spans="1:5" s="191" customFormat="1" x14ac:dyDescent="0.3">
      <c r="A185" s="236" t="str">
        <f>Physicochemical_Managed!P185</f>
        <v>RS44350</v>
      </c>
      <c r="B185" s="238" t="str" cm="1">
        <f t="array" ref="B185">INDEX($A$2:$A$323,MATCH(0,COUNTIF($B$1:B184,$A$2:$A$323),0))</f>
        <v>RS44350</v>
      </c>
      <c r="C185" s="809">
        <f t="shared" si="2"/>
        <v>44350</v>
      </c>
      <c r="D185" s="192"/>
      <c r="E185" s="192"/>
    </row>
    <row r="186" spans="1:5" s="191" customFormat="1" x14ac:dyDescent="0.3">
      <c r="A186" s="236" t="str">
        <f>Physicochemical_Managed!P186</f>
        <v>RS44362</v>
      </c>
      <c r="B186" s="238" t="str" cm="1">
        <f t="array" ref="B186">INDEX($A$2:$A$323,MATCH(0,COUNTIF($B$1:B185,$A$2:$A$323),0))</f>
        <v>RS44362</v>
      </c>
      <c r="C186" s="809">
        <f t="shared" si="2"/>
        <v>44362</v>
      </c>
      <c r="D186" s="192"/>
      <c r="E186" s="192"/>
    </row>
    <row r="187" spans="1:5" s="191" customFormat="1" x14ac:dyDescent="0.3">
      <c r="A187" s="236" t="str">
        <f>Physicochemical_Managed!P187</f>
        <v>RS44363</v>
      </c>
      <c r="B187" s="238" t="str" cm="1">
        <f t="array" ref="B187">INDEX($A$2:$A$323,MATCH(0,COUNTIF($B$1:B186,$A$2:$A$323),0))</f>
        <v>RS44363</v>
      </c>
      <c r="C187" s="809">
        <f t="shared" si="2"/>
        <v>44363</v>
      </c>
      <c r="D187" s="192"/>
      <c r="E187" s="192"/>
    </row>
    <row r="188" spans="1:5" s="191" customFormat="1" x14ac:dyDescent="0.3">
      <c r="A188" s="236" t="str">
        <f>Physicochemical_Managed!P188</f>
        <v>RS44369</v>
      </c>
      <c r="B188" s="238" t="str" cm="1">
        <f t="array" ref="B188">INDEX($A$2:$A$323,MATCH(0,COUNTIF($B$1:B187,$A$2:$A$323),0))</f>
        <v>RS44369</v>
      </c>
      <c r="C188" s="809">
        <f t="shared" si="2"/>
        <v>44369</v>
      </c>
      <c r="D188" s="192"/>
      <c r="E188" s="192"/>
    </row>
    <row r="189" spans="1:5" s="191" customFormat="1" x14ac:dyDescent="0.3">
      <c r="A189" s="236" t="str">
        <f>Physicochemical_Managed!P189</f>
        <v>RS44370</v>
      </c>
      <c r="B189" s="238" t="str" cm="1">
        <f t="array" ref="B189">INDEX($A$2:$A$323,MATCH(0,COUNTIF($B$1:B188,$A$2:$A$323),0))</f>
        <v>RS44370</v>
      </c>
      <c r="C189" s="809">
        <f t="shared" si="2"/>
        <v>44370</v>
      </c>
      <c r="D189" s="192"/>
      <c r="E189" s="192"/>
    </row>
    <row r="190" spans="1:5" s="191" customFormat="1" x14ac:dyDescent="0.3">
      <c r="A190" s="236" t="str">
        <f>Physicochemical_Managed!P190</f>
        <v>RS44376</v>
      </c>
      <c r="B190" s="238" t="str" cm="1">
        <f t="array" ref="B190">INDEX($A$2:$A$323,MATCH(0,COUNTIF($B$1:B189,$A$2:$A$323),0))</f>
        <v>RS44376</v>
      </c>
      <c r="C190" s="809">
        <f t="shared" si="2"/>
        <v>44376</v>
      </c>
      <c r="D190" s="192"/>
      <c r="E190" s="192"/>
    </row>
    <row r="191" spans="1:5" s="191" customFormat="1" x14ac:dyDescent="0.3">
      <c r="A191" s="236" t="str">
        <f>Physicochemical_Managed!P191</f>
        <v>RS44377</v>
      </c>
      <c r="B191" s="238" t="str" cm="1">
        <f t="array" ref="B191">INDEX($A$2:$A$323,MATCH(0,COUNTIF($B$1:B190,$A$2:$A$323),0))</f>
        <v>RS44377</v>
      </c>
      <c r="C191" s="809">
        <f t="shared" si="2"/>
        <v>44377</v>
      </c>
      <c r="D191" s="192"/>
      <c r="E191" s="192"/>
    </row>
    <row r="192" spans="1:5" s="191" customFormat="1" x14ac:dyDescent="0.3">
      <c r="A192" s="236" t="str">
        <f>Physicochemical_Managed!P192</f>
        <v>RS44384</v>
      </c>
      <c r="B192" s="238" t="str" cm="1">
        <f t="array" ref="B192">INDEX($A$2:$A$323,MATCH(0,COUNTIF($B$1:B191,$A$2:$A$323),0))</f>
        <v>RS44384</v>
      </c>
      <c r="C192" s="809">
        <f t="shared" si="2"/>
        <v>44384</v>
      </c>
      <c r="D192" s="192"/>
      <c r="E192" s="192"/>
    </row>
    <row r="193" spans="1:5" s="191" customFormat="1" x14ac:dyDescent="0.3">
      <c r="A193" s="236" t="str">
        <f>Physicochemical_Managed!P193</f>
        <v>RS44385</v>
      </c>
      <c r="B193" s="238" t="str" cm="1">
        <f t="array" ref="B193">INDEX($A$2:$A$323,MATCH(0,COUNTIF($B$1:B192,$A$2:$A$323),0))</f>
        <v>RS44385</v>
      </c>
      <c r="C193" s="809">
        <f t="shared" si="2"/>
        <v>44385</v>
      </c>
      <c r="D193" s="192"/>
      <c r="E193" s="192"/>
    </row>
    <row r="194" spans="1:5" s="191" customFormat="1" x14ac:dyDescent="0.3">
      <c r="A194" s="236" t="str">
        <f>Physicochemical_Managed!P194</f>
        <v>RS44390</v>
      </c>
      <c r="B194" s="238" t="str" cm="1">
        <f t="array" ref="B194">INDEX($A$2:$A$323,MATCH(0,COUNTIF($B$1:B193,$A$2:$A$323),0))</f>
        <v>RS44390</v>
      </c>
      <c r="C194" s="809">
        <f t="shared" si="2"/>
        <v>44390</v>
      </c>
      <c r="D194" s="192"/>
      <c r="E194" s="192"/>
    </row>
    <row r="195" spans="1:5" s="191" customFormat="1" x14ac:dyDescent="0.3">
      <c r="A195" s="236" t="str">
        <f>Physicochemical_Managed!P195</f>
        <v>RS44391</v>
      </c>
      <c r="B195" s="238" t="str" cm="1">
        <f t="array" ref="B195">INDEX($A$2:$A$323,MATCH(0,COUNTIF($B$1:B194,$A$2:$A$323),0))</f>
        <v>RS44391</v>
      </c>
      <c r="C195" s="809">
        <f t="shared" ref="C195:C212" si="3">INT(RIGHT(B195, 5))</f>
        <v>44391</v>
      </c>
      <c r="D195" s="192"/>
      <c r="E195" s="192"/>
    </row>
    <row r="196" spans="1:5" s="191" customFormat="1" x14ac:dyDescent="0.3">
      <c r="A196" s="236" t="str">
        <f>Physicochemical_Managed!P196</f>
        <v>RS44397</v>
      </c>
      <c r="B196" s="238" t="str" cm="1">
        <f t="array" ref="B196">INDEX($A$2:$A$323,MATCH(0,COUNTIF($B$1:B195,$A$2:$A$323),0))</f>
        <v>RS44397</v>
      </c>
      <c r="C196" s="809">
        <f t="shared" si="3"/>
        <v>44397</v>
      </c>
      <c r="D196" s="192"/>
      <c r="E196" s="192"/>
    </row>
    <row r="197" spans="1:5" s="191" customFormat="1" x14ac:dyDescent="0.3">
      <c r="A197" s="236" t="str">
        <f>Physicochemical_Managed!P197</f>
        <v>RS44398</v>
      </c>
      <c r="B197" s="238" t="str" cm="1">
        <f t="array" ref="B197">INDEX($A$2:$A$323,MATCH(0,COUNTIF($B$1:B196,$A$2:$A$323),0))</f>
        <v>RS44398</v>
      </c>
      <c r="C197" s="809">
        <f t="shared" si="3"/>
        <v>44398</v>
      </c>
      <c r="D197" s="192"/>
      <c r="E197" s="192"/>
    </row>
    <row r="198" spans="1:5" s="191" customFormat="1" x14ac:dyDescent="0.3">
      <c r="A198" s="236" t="str">
        <f>Physicochemical_Managed!P198</f>
        <v>RS44404</v>
      </c>
      <c r="B198" s="238" t="str" cm="1">
        <f t="array" ref="B198">INDEX($A$2:$A$323,MATCH(0,COUNTIF($B$1:B197,$A$2:$A$323),0))</f>
        <v>RS44404</v>
      </c>
      <c r="C198" s="809">
        <f t="shared" si="3"/>
        <v>44404</v>
      </c>
      <c r="D198" s="192"/>
      <c r="E198" s="192"/>
    </row>
    <row r="199" spans="1:5" s="191" customFormat="1" x14ac:dyDescent="0.3">
      <c r="A199" s="236" t="str">
        <f>Physicochemical_Managed!P199</f>
        <v>RS44405</v>
      </c>
      <c r="B199" s="238" t="str" cm="1">
        <f t="array" ref="B199">INDEX($A$2:$A$323,MATCH(0,COUNTIF($B$1:B198,$A$2:$A$323),0))</f>
        <v>RS44405</v>
      </c>
      <c r="C199" s="809">
        <f t="shared" si="3"/>
        <v>44405</v>
      </c>
      <c r="D199" s="192"/>
      <c r="E199" s="192"/>
    </row>
    <row r="200" spans="1:5" s="191" customFormat="1" x14ac:dyDescent="0.3">
      <c r="A200" s="236" t="str">
        <f>Physicochemical_Managed!P200</f>
        <v>RS44411</v>
      </c>
      <c r="B200" s="238" t="str" cm="1">
        <f t="array" ref="B200">INDEX($A$2:$A$323,MATCH(0,COUNTIF($B$1:B199,$A$2:$A$323),0))</f>
        <v>RS44411</v>
      </c>
      <c r="C200" s="809">
        <f t="shared" si="3"/>
        <v>44411</v>
      </c>
      <c r="D200" s="192"/>
      <c r="E200" s="192"/>
    </row>
    <row r="201" spans="1:5" s="191" customFormat="1" x14ac:dyDescent="0.3">
      <c r="A201" s="236" t="str">
        <f>Physicochemical_Managed!P201</f>
        <v>RS44412</v>
      </c>
      <c r="B201" s="238" t="str" cm="1">
        <f t="array" ref="B201">INDEX($A$2:$A$323,MATCH(0,COUNTIF($B$1:B200,$A$2:$A$323),0))</f>
        <v>RS44412</v>
      </c>
      <c r="C201" s="809">
        <f t="shared" si="3"/>
        <v>44412</v>
      </c>
      <c r="D201" s="192"/>
      <c r="E201" s="192"/>
    </row>
    <row r="202" spans="1:5" s="191" customFormat="1" x14ac:dyDescent="0.3">
      <c r="A202" s="236" t="str">
        <f>Physicochemical_Managed!P202</f>
        <v>RS44418</v>
      </c>
      <c r="B202" s="238" t="str" cm="1">
        <f t="array" ref="B202">INDEX($A$2:$A$323,MATCH(0,COUNTIF($B$1:B201,$A$2:$A$323),0))</f>
        <v>RS44418</v>
      </c>
      <c r="C202" s="809">
        <f t="shared" si="3"/>
        <v>44418</v>
      </c>
      <c r="D202" s="192"/>
      <c r="E202" s="192"/>
    </row>
    <row r="203" spans="1:5" s="191" customFormat="1" x14ac:dyDescent="0.3">
      <c r="A203" s="236" t="str">
        <f>Physicochemical_Managed!P203</f>
        <v>RS44419</v>
      </c>
      <c r="B203" s="238" t="str" cm="1">
        <f t="array" ref="B203">INDEX($A$2:$A$323,MATCH(0,COUNTIF($B$1:B202,$A$2:$A$323),0))</f>
        <v>RS44419</v>
      </c>
      <c r="C203" s="809">
        <f t="shared" si="3"/>
        <v>44419</v>
      </c>
      <c r="D203" s="192"/>
      <c r="E203" s="192"/>
    </row>
    <row r="204" spans="1:5" s="191" customFormat="1" x14ac:dyDescent="0.3">
      <c r="A204" s="236" t="str">
        <f>Physicochemical_Managed!P204</f>
        <v>RS44425</v>
      </c>
      <c r="B204" s="238" t="str" cm="1">
        <f t="array" ref="B204">INDEX($A$2:$A$323,MATCH(0,COUNTIF($B$1:B203,$A$2:$A$323),0))</f>
        <v>RS44425</v>
      </c>
      <c r="C204" s="809">
        <f t="shared" si="3"/>
        <v>44425</v>
      </c>
      <c r="D204" s="192"/>
      <c r="E204" s="192"/>
    </row>
    <row r="205" spans="1:5" s="191" customFormat="1" x14ac:dyDescent="0.3">
      <c r="A205" s="236" t="str">
        <f>Physicochemical_Managed!P205</f>
        <v>RS44426</v>
      </c>
      <c r="B205" s="238" t="str" cm="1">
        <f t="array" ref="B205">INDEX($A$2:$A$323,MATCH(0,COUNTIF($B$1:B204,$A$2:$A$323),0))</f>
        <v>RS44426</v>
      </c>
      <c r="C205" s="809">
        <f t="shared" si="3"/>
        <v>44426</v>
      </c>
      <c r="D205" s="192"/>
      <c r="E205" s="192"/>
    </row>
    <row r="206" spans="1:5" s="191" customFormat="1" x14ac:dyDescent="0.3">
      <c r="A206" s="236" t="str">
        <f>Physicochemical_Managed!P206</f>
        <v>RS44432</v>
      </c>
      <c r="B206" s="238" t="str" cm="1">
        <f t="array" ref="B206">INDEX($A$2:$A$323,MATCH(0,COUNTIF($B$1:B205,$A$2:$A$323),0))</f>
        <v>RS44432</v>
      </c>
      <c r="C206" s="809">
        <f t="shared" si="3"/>
        <v>44432</v>
      </c>
      <c r="D206" s="192"/>
      <c r="E206" s="192"/>
    </row>
    <row r="207" spans="1:5" s="191" customFormat="1" x14ac:dyDescent="0.3">
      <c r="A207" s="236" t="str">
        <f>Physicochemical_Managed!P207</f>
        <v>RS44433</v>
      </c>
      <c r="B207" s="238" t="str" cm="1">
        <f t="array" ref="B207">INDEX($A$2:$A$323,MATCH(0,COUNTIF($B$1:B206,$A$2:$A$323),0))</f>
        <v>RS44433</v>
      </c>
      <c r="C207" s="809">
        <f t="shared" si="3"/>
        <v>44433</v>
      </c>
      <c r="D207" s="192"/>
      <c r="E207" s="192"/>
    </row>
    <row r="208" spans="1:5" s="191" customFormat="1" x14ac:dyDescent="0.3">
      <c r="A208" s="236" t="str">
        <f>qPCR_Unique!D3</f>
        <v>EP44335</v>
      </c>
      <c r="B208" s="238" t="str" cm="1">
        <f t="array" ref="B208">INDEX($A$2:$A$323,MATCH(0,COUNTIF($B$1:B207,$A$2:$A$323),0))</f>
        <v>SPI44350</v>
      </c>
      <c r="C208" s="809">
        <f t="shared" si="3"/>
        <v>44350</v>
      </c>
      <c r="D208" s="192"/>
      <c r="E208" s="192"/>
    </row>
    <row r="209" spans="1:5" s="191" customFormat="1" x14ac:dyDescent="0.3">
      <c r="A209" s="236" t="str">
        <f>qPCR_Unique!D4</f>
        <v>EP44342</v>
      </c>
      <c r="B209" s="238" t="str" cm="1">
        <f t="array" ref="B209">INDEX($A$2:$A$323,MATCH(0,COUNTIF($B$1:B208,$A$2:$A$323),0))</f>
        <v>SPO44350</v>
      </c>
      <c r="C209" s="809">
        <f t="shared" si="3"/>
        <v>44350</v>
      </c>
      <c r="D209" s="192"/>
      <c r="E209" s="192"/>
    </row>
    <row r="210" spans="1:5" s="191" customFormat="1" x14ac:dyDescent="0.3">
      <c r="A210" s="236" t="str">
        <f>qPCR_Unique!D5</f>
        <v>EP44350</v>
      </c>
      <c r="B210" s="238" t="str" cm="1">
        <f t="array" ref="B210">INDEX($A$2:$A$323,MATCH(0,COUNTIF($B$1:B209,$A$2:$A$323),0))</f>
        <v>MRT44350</v>
      </c>
      <c r="C210" s="809">
        <f t="shared" si="3"/>
        <v>44350</v>
      </c>
      <c r="D210" s="192"/>
      <c r="E210" s="192"/>
    </row>
    <row r="211" spans="1:5" s="191" customFormat="1" x14ac:dyDescent="0.3">
      <c r="A211" s="236" t="str">
        <f>qPCR_Unique!D6</f>
        <v>EP44356</v>
      </c>
      <c r="B211" s="238" t="str" cm="1">
        <f t="array" ref="B211">INDEX($A$2:$A$323,MATCH(0,COUNTIF($B$1:B210,$A$2:$A$323),0))</f>
        <v>MRT44412</v>
      </c>
      <c r="C211" s="809">
        <f t="shared" si="3"/>
        <v>44412</v>
      </c>
      <c r="D211" s="192"/>
      <c r="E211" s="192"/>
    </row>
    <row r="212" spans="1:5" s="191" customFormat="1" x14ac:dyDescent="0.3">
      <c r="A212" s="236" t="str">
        <f>qPCR_Unique!D7</f>
        <v>EP44363</v>
      </c>
      <c r="B212" s="238" t="str" cm="1">
        <f t="array" ref="B212">INDEX($A$2:$A$323,MATCH(0,COUNTIF($B$1:B211,$A$2:$A$323),0))</f>
        <v>RU44398</v>
      </c>
      <c r="C212" s="809">
        <f t="shared" si="3"/>
        <v>44398</v>
      </c>
      <c r="D212" s="192"/>
      <c r="E212" s="192"/>
    </row>
    <row r="213" spans="1:5" s="191" customFormat="1" x14ac:dyDescent="0.3">
      <c r="A213" s="236" t="str">
        <f>qPCR_Unique!D8</f>
        <v>EP44370</v>
      </c>
      <c r="B213" s="238"/>
      <c r="C213" s="809"/>
      <c r="D213" s="192"/>
      <c r="E213" s="192"/>
    </row>
    <row r="214" spans="1:5" s="191" customFormat="1" x14ac:dyDescent="0.3">
      <c r="A214" s="236" t="str">
        <f>qPCR_Unique!D9</f>
        <v>EP44377</v>
      </c>
      <c r="B214" s="238"/>
      <c r="C214" s="809"/>
      <c r="D214" s="192"/>
      <c r="E214" s="192"/>
    </row>
    <row r="215" spans="1:5" s="191" customFormat="1" x14ac:dyDescent="0.3">
      <c r="A215" s="236" t="str">
        <f>qPCR_Unique!D10</f>
        <v>EP44385</v>
      </c>
      <c r="B215" s="238"/>
      <c r="C215" s="809"/>
      <c r="D215" s="192"/>
      <c r="E215" s="192"/>
    </row>
    <row r="216" spans="1:5" s="191" customFormat="1" x14ac:dyDescent="0.3">
      <c r="A216" s="236" t="str">
        <f>qPCR_Unique!D11</f>
        <v>EP44391</v>
      </c>
      <c r="B216" s="238"/>
      <c r="C216" s="809"/>
      <c r="D216" s="192"/>
      <c r="E216" s="192"/>
    </row>
    <row r="217" spans="1:5" s="191" customFormat="1" x14ac:dyDescent="0.3">
      <c r="A217" s="236" t="str">
        <f>qPCR_Unique!D12</f>
        <v>EP44398</v>
      </c>
      <c r="B217" s="238"/>
      <c r="C217" s="809"/>
      <c r="D217" s="192"/>
      <c r="E217" s="192"/>
    </row>
    <row r="218" spans="1:5" s="191" customFormat="1" x14ac:dyDescent="0.3">
      <c r="A218" s="236" t="str">
        <f>qPCR_Unique!D13</f>
        <v>EP44405</v>
      </c>
      <c r="B218" s="238"/>
      <c r="C218" s="809"/>
      <c r="D218" s="192"/>
      <c r="E218" s="192"/>
    </row>
    <row r="219" spans="1:5" s="191" customFormat="1" x14ac:dyDescent="0.3">
      <c r="A219" s="236" t="str">
        <f>qPCR_Unique!D14</f>
        <v>EP44412</v>
      </c>
      <c r="B219" s="238"/>
      <c r="C219" s="809"/>
      <c r="D219" s="192"/>
      <c r="E219" s="192"/>
    </row>
    <row r="220" spans="1:5" s="191" customFormat="1" x14ac:dyDescent="0.3">
      <c r="A220" s="236" t="str">
        <f>qPCR_Unique!D15</f>
        <v>EP44419</v>
      </c>
      <c r="B220" s="238"/>
      <c r="C220" s="809"/>
      <c r="D220" s="192"/>
      <c r="E220" s="192"/>
    </row>
    <row r="221" spans="1:5" s="191" customFormat="1" x14ac:dyDescent="0.3">
      <c r="A221" s="236" t="str">
        <f>qPCR_Unique!D16</f>
        <v>EP44426</v>
      </c>
      <c r="B221" s="238"/>
      <c r="C221" s="809"/>
      <c r="D221" s="192"/>
      <c r="E221" s="192"/>
    </row>
    <row r="222" spans="1:5" s="191" customFormat="1" x14ac:dyDescent="0.3">
      <c r="A222" s="236" t="str">
        <f>qPCR_Unique!D17</f>
        <v>EP44433</v>
      </c>
      <c r="B222" s="238"/>
      <c r="C222" s="809"/>
      <c r="D222" s="192"/>
      <c r="E222" s="192"/>
    </row>
    <row r="223" spans="1:5" s="191" customFormat="1" x14ac:dyDescent="0.3">
      <c r="A223" s="236" t="str">
        <f>qPCR_Unique!D18</f>
        <v>SPI44335</v>
      </c>
      <c r="B223" s="238"/>
      <c r="C223" s="809"/>
      <c r="D223" s="192"/>
      <c r="E223" s="192"/>
    </row>
    <row r="224" spans="1:5" s="191" customFormat="1" x14ac:dyDescent="0.3">
      <c r="A224" s="236" t="str">
        <f>qPCR_Unique!D19</f>
        <v>SPI44342</v>
      </c>
      <c r="B224" s="238"/>
      <c r="C224" s="809"/>
      <c r="D224" s="192"/>
      <c r="E224" s="192"/>
    </row>
    <row r="225" spans="1:5" s="191" customFormat="1" x14ac:dyDescent="0.3">
      <c r="A225" s="236" t="str">
        <f>qPCR_Unique!D20</f>
        <v>SPI44350</v>
      </c>
      <c r="B225" s="238"/>
      <c r="C225" s="809"/>
      <c r="D225" s="192"/>
      <c r="E225" s="192"/>
    </row>
    <row r="226" spans="1:5" s="191" customFormat="1" x14ac:dyDescent="0.3">
      <c r="A226" s="236" t="str">
        <f>qPCR_Unique!D21</f>
        <v>SPI44356</v>
      </c>
      <c r="B226" s="238"/>
      <c r="C226" s="809"/>
      <c r="D226" s="192"/>
      <c r="E226" s="192"/>
    </row>
    <row r="227" spans="1:5" s="191" customFormat="1" x14ac:dyDescent="0.3">
      <c r="A227" s="236" t="str">
        <f>qPCR_Unique!D22</f>
        <v>SPI44370</v>
      </c>
      <c r="B227" s="238"/>
      <c r="C227" s="809"/>
      <c r="D227" s="192"/>
      <c r="E227" s="192"/>
    </row>
    <row r="228" spans="1:5" s="191" customFormat="1" x14ac:dyDescent="0.3">
      <c r="A228" s="236" t="str">
        <f>qPCR_Unique!D23</f>
        <v>SPI44377</v>
      </c>
      <c r="B228" s="238"/>
      <c r="C228" s="809"/>
      <c r="D228" s="192"/>
      <c r="E228" s="192"/>
    </row>
    <row r="229" spans="1:5" s="191" customFormat="1" x14ac:dyDescent="0.3">
      <c r="A229" s="236" t="str">
        <f>qPCR_Unique!D24</f>
        <v>SPI44385</v>
      </c>
      <c r="B229" s="238"/>
      <c r="C229" s="809"/>
      <c r="D229" s="192"/>
      <c r="E229" s="192"/>
    </row>
    <row r="230" spans="1:5" s="191" customFormat="1" x14ac:dyDescent="0.3">
      <c r="A230" s="236" t="str">
        <f>qPCR_Unique!D25</f>
        <v>SPI44391</v>
      </c>
      <c r="B230" s="238"/>
      <c r="C230" s="809"/>
      <c r="D230" s="192"/>
      <c r="E230" s="192"/>
    </row>
    <row r="231" spans="1:5" s="191" customFormat="1" x14ac:dyDescent="0.3">
      <c r="A231" s="236" t="str">
        <f>qPCR_Unique!D26</f>
        <v>SPI44398</v>
      </c>
      <c r="B231" s="238"/>
      <c r="C231" s="809"/>
      <c r="D231" s="192"/>
      <c r="E231" s="192"/>
    </row>
    <row r="232" spans="1:5" s="191" customFormat="1" x14ac:dyDescent="0.3">
      <c r="A232" s="236" t="str">
        <f>qPCR_Unique!D27</f>
        <v>SPI44405</v>
      </c>
      <c r="B232" s="238"/>
      <c r="C232" s="809"/>
      <c r="D232" s="192"/>
      <c r="E232" s="192"/>
    </row>
    <row r="233" spans="1:5" s="191" customFormat="1" x14ac:dyDescent="0.3">
      <c r="A233" s="236" t="str">
        <f>qPCR_Unique!D28</f>
        <v>SPI44412</v>
      </c>
      <c r="B233" s="238"/>
      <c r="C233" s="809"/>
      <c r="D233" s="192"/>
      <c r="E233" s="192"/>
    </row>
    <row r="234" spans="1:5" s="191" customFormat="1" x14ac:dyDescent="0.3">
      <c r="A234" s="236" t="str">
        <f>qPCR_Unique!D29</f>
        <v>SPI44419</v>
      </c>
      <c r="B234" s="238"/>
      <c r="C234" s="809"/>
      <c r="D234" s="192"/>
      <c r="E234" s="192"/>
    </row>
    <row r="235" spans="1:5" s="191" customFormat="1" x14ac:dyDescent="0.3">
      <c r="A235" s="236" t="str">
        <f>qPCR_Unique!D30</f>
        <v>SPI44426</v>
      </c>
      <c r="B235" s="238"/>
      <c r="C235" s="809"/>
      <c r="D235" s="192"/>
      <c r="E235" s="192"/>
    </row>
    <row r="236" spans="1:5" s="191" customFormat="1" x14ac:dyDescent="0.3">
      <c r="A236" s="236" t="str">
        <f>qPCR_Unique!D31</f>
        <v>SPI44433</v>
      </c>
      <c r="B236" s="238"/>
      <c r="C236" s="809"/>
      <c r="D236" s="192"/>
      <c r="E236" s="192"/>
    </row>
    <row r="237" spans="1:5" s="191" customFormat="1" x14ac:dyDescent="0.3">
      <c r="A237" s="236" t="str">
        <f>qPCR_Unique!D32</f>
        <v>SPO44335</v>
      </c>
      <c r="B237" s="238"/>
      <c r="C237" s="809"/>
      <c r="D237" s="192"/>
      <c r="E237" s="192"/>
    </row>
    <row r="238" spans="1:5" s="191" customFormat="1" x14ac:dyDescent="0.3">
      <c r="A238" s="236" t="str">
        <f>qPCR_Unique!D33</f>
        <v>SPO44342</v>
      </c>
      <c r="B238" s="238"/>
      <c r="C238" s="809"/>
      <c r="D238" s="192"/>
      <c r="E238" s="192"/>
    </row>
    <row r="239" spans="1:5" s="191" customFormat="1" x14ac:dyDescent="0.3">
      <c r="A239" s="236" t="str">
        <f>qPCR_Unique!D34</f>
        <v>SPO44350</v>
      </c>
      <c r="B239" s="238"/>
      <c r="C239" s="809"/>
      <c r="D239" s="192"/>
      <c r="E239" s="192"/>
    </row>
    <row r="240" spans="1:5" s="191" customFormat="1" x14ac:dyDescent="0.3">
      <c r="A240" s="236" t="str">
        <f>qPCR_Unique!D35</f>
        <v>SPO44356</v>
      </c>
      <c r="B240" s="238"/>
      <c r="C240" s="809"/>
      <c r="D240" s="192"/>
      <c r="E240" s="192"/>
    </row>
    <row r="241" spans="1:5" s="191" customFormat="1" x14ac:dyDescent="0.3">
      <c r="A241" s="236" t="str">
        <f>qPCR_Unique!D36</f>
        <v>SPO44370</v>
      </c>
      <c r="B241" s="238"/>
      <c r="C241" s="809"/>
      <c r="D241" s="192"/>
      <c r="E241" s="192"/>
    </row>
    <row r="242" spans="1:5" s="191" customFormat="1" x14ac:dyDescent="0.3">
      <c r="A242" s="236" t="str">
        <f>qPCR_Unique!D37</f>
        <v>SPO44377</v>
      </c>
      <c r="B242" s="238"/>
      <c r="C242" s="809"/>
      <c r="D242" s="192"/>
      <c r="E242" s="192"/>
    </row>
    <row r="243" spans="1:5" s="191" customFormat="1" x14ac:dyDescent="0.3">
      <c r="A243" s="236" t="str">
        <f>qPCR_Unique!D38</f>
        <v>SPO44385</v>
      </c>
      <c r="B243" s="238"/>
      <c r="C243" s="809"/>
      <c r="D243" s="192"/>
      <c r="E243" s="192"/>
    </row>
    <row r="244" spans="1:5" s="191" customFormat="1" x14ac:dyDescent="0.3">
      <c r="A244" s="236" t="str">
        <f>qPCR_Unique!D39</f>
        <v>SPO44391</v>
      </c>
      <c r="B244" s="238"/>
      <c r="C244" s="809"/>
      <c r="D244" s="192"/>
      <c r="E244" s="192"/>
    </row>
    <row r="245" spans="1:5" s="191" customFormat="1" x14ac:dyDescent="0.3">
      <c r="A245" s="236" t="str">
        <f>qPCR_Unique!D40</f>
        <v>SPO44398</v>
      </c>
      <c r="B245" s="238"/>
      <c r="C245" s="809"/>
      <c r="D245" s="192"/>
      <c r="E245" s="192"/>
    </row>
    <row r="246" spans="1:5" s="191" customFormat="1" x14ac:dyDescent="0.3">
      <c r="A246" s="236" t="str">
        <f>qPCR_Unique!D41</f>
        <v>SPO44405</v>
      </c>
      <c r="B246" s="238"/>
      <c r="C246" s="809"/>
      <c r="D246" s="192"/>
      <c r="E246" s="192"/>
    </row>
    <row r="247" spans="1:5" s="191" customFormat="1" x14ac:dyDescent="0.3">
      <c r="A247" s="236" t="str">
        <f>qPCR_Unique!D42</f>
        <v>SPO44412</v>
      </c>
      <c r="B247" s="238"/>
      <c r="C247" s="809"/>
      <c r="D247" s="192"/>
      <c r="E247" s="192"/>
    </row>
    <row r="248" spans="1:5" s="191" customFormat="1" x14ac:dyDescent="0.3">
      <c r="A248" s="236" t="str">
        <f>qPCR_Unique!D43</f>
        <v>SPO44419</v>
      </c>
      <c r="B248" s="238"/>
      <c r="C248" s="809"/>
      <c r="D248" s="192"/>
      <c r="E248" s="192"/>
    </row>
    <row r="249" spans="1:5" s="191" customFormat="1" x14ac:dyDescent="0.3">
      <c r="A249" s="236" t="str">
        <f>qPCR_Unique!D44</f>
        <v>SPO44426</v>
      </c>
      <c r="B249" s="238"/>
      <c r="C249" s="809"/>
      <c r="D249" s="192"/>
      <c r="E249" s="192"/>
    </row>
    <row r="250" spans="1:5" s="191" customFormat="1" x14ac:dyDescent="0.3">
      <c r="A250" s="236" t="str">
        <f>qPCR_Unique!D45</f>
        <v>SPO44433</v>
      </c>
      <c r="B250" s="238"/>
      <c r="C250" s="809"/>
      <c r="D250" s="192"/>
      <c r="E250" s="192"/>
    </row>
    <row r="251" spans="1:5" s="191" customFormat="1" x14ac:dyDescent="0.3">
      <c r="A251" s="236" t="str">
        <f>qPCR_Unique!D46</f>
        <v>MRT44335</v>
      </c>
      <c r="B251" s="238"/>
      <c r="C251" s="809"/>
      <c r="D251" s="192"/>
      <c r="E251" s="192"/>
    </row>
    <row r="252" spans="1:5" s="191" customFormat="1" x14ac:dyDescent="0.3">
      <c r="A252" s="236" t="str">
        <f>qPCR_Unique!D47</f>
        <v>MRT44342</v>
      </c>
      <c r="B252" s="238"/>
      <c r="C252" s="809"/>
      <c r="D252" s="192"/>
      <c r="E252" s="192"/>
    </row>
    <row r="253" spans="1:5" s="191" customFormat="1" x14ac:dyDescent="0.3">
      <c r="A253" s="236" t="str">
        <f>qPCR_Unique!D48</f>
        <v>MRT44350</v>
      </c>
      <c r="B253" s="238"/>
      <c r="C253" s="809"/>
      <c r="D253" s="192"/>
      <c r="E253" s="192"/>
    </row>
    <row r="254" spans="1:5" s="191" customFormat="1" x14ac:dyDescent="0.3">
      <c r="A254" s="236" t="str">
        <f>qPCR_Unique!D49</f>
        <v>MRT44356</v>
      </c>
      <c r="B254" s="238"/>
      <c r="C254" s="809"/>
      <c r="D254" s="192"/>
      <c r="E254" s="192"/>
    </row>
    <row r="255" spans="1:5" s="191" customFormat="1" x14ac:dyDescent="0.3">
      <c r="A255" s="236" t="str">
        <f>qPCR_Unique!D50</f>
        <v>MRT44363</v>
      </c>
      <c r="B255" s="238"/>
      <c r="C255" s="809"/>
      <c r="D255" s="192"/>
      <c r="E255" s="192"/>
    </row>
    <row r="256" spans="1:5" s="191" customFormat="1" x14ac:dyDescent="0.3">
      <c r="A256" s="236" t="str">
        <f>qPCR_Unique!D51</f>
        <v>MRT44370</v>
      </c>
      <c r="B256" s="238"/>
      <c r="C256" s="809"/>
      <c r="D256" s="192"/>
      <c r="E256" s="192"/>
    </row>
    <row r="257" spans="1:5" s="191" customFormat="1" x14ac:dyDescent="0.3">
      <c r="A257" s="236" t="str">
        <f>qPCR_Unique!D52</f>
        <v>MRT44377</v>
      </c>
      <c r="B257" s="238"/>
      <c r="C257" s="809"/>
      <c r="D257" s="192"/>
      <c r="E257" s="192"/>
    </row>
    <row r="258" spans="1:5" s="191" customFormat="1" x14ac:dyDescent="0.3">
      <c r="A258" s="236" t="str">
        <f>qPCR_Unique!D53</f>
        <v>MRT44385</v>
      </c>
      <c r="B258" s="238"/>
      <c r="C258" s="809"/>
      <c r="D258" s="192"/>
      <c r="E258" s="192"/>
    </row>
    <row r="259" spans="1:5" s="191" customFormat="1" x14ac:dyDescent="0.3">
      <c r="A259" s="236" t="str">
        <f>qPCR_Unique!D54</f>
        <v>MRT44391</v>
      </c>
      <c r="B259" s="238"/>
      <c r="C259" s="809"/>
      <c r="D259" s="192"/>
      <c r="E259" s="192"/>
    </row>
    <row r="260" spans="1:5" s="191" customFormat="1" x14ac:dyDescent="0.3">
      <c r="A260" s="236" t="str">
        <f>qPCR_Unique!D55</f>
        <v>MRT44398</v>
      </c>
      <c r="B260" s="238"/>
      <c r="C260" s="809"/>
      <c r="D260" s="192"/>
      <c r="E260" s="192"/>
    </row>
    <row r="261" spans="1:5" s="191" customFormat="1" x14ac:dyDescent="0.3">
      <c r="A261" s="236" t="str">
        <f>qPCR_Unique!D56</f>
        <v>MRT44405</v>
      </c>
      <c r="B261" s="238"/>
      <c r="C261" s="809"/>
      <c r="D261" s="192"/>
      <c r="E261" s="192"/>
    </row>
    <row r="262" spans="1:5" s="191" customFormat="1" x14ac:dyDescent="0.3">
      <c r="A262" s="236" t="str">
        <f>qPCR_Unique!D57</f>
        <v>MRT44412</v>
      </c>
      <c r="B262" s="238"/>
      <c r="C262" s="809"/>
      <c r="D262" s="192"/>
      <c r="E262" s="192"/>
    </row>
    <row r="263" spans="1:5" s="191" customFormat="1" x14ac:dyDescent="0.3">
      <c r="A263" s="236" t="str">
        <f>qPCR_Unique!D58</f>
        <v>MRT44419</v>
      </c>
      <c r="B263" s="238"/>
      <c r="C263" s="809"/>
      <c r="D263" s="192"/>
      <c r="E263" s="192"/>
    </row>
    <row r="264" spans="1:5" s="191" customFormat="1" x14ac:dyDescent="0.3">
      <c r="A264" s="236" t="str">
        <f>qPCR_Unique!D59</f>
        <v>MRT44426</v>
      </c>
      <c r="B264" s="238"/>
      <c r="C264" s="809"/>
      <c r="D264" s="192"/>
      <c r="E264" s="192"/>
    </row>
    <row r="265" spans="1:5" s="191" customFormat="1" x14ac:dyDescent="0.3">
      <c r="A265" s="236" t="str">
        <f>qPCR_Unique!D60</f>
        <v>MRT44433</v>
      </c>
      <c r="B265" s="238"/>
      <c r="C265" s="809"/>
      <c r="D265" s="192"/>
      <c r="E265" s="192"/>
    </row>
    <row r="266" spans="1:5" s="191" customFormat="1" x14ac:dyDescent="0.3">
      <c r="A266" s="236" t="str">
        <f>qPCR_Unique!D61</f>
        <v>RN44335</v>
      </c>
      <c r="B266" s="238"/>
      <c r="C266" s="809"/>
      <c r="D266" s="192"/>
      <c r="E266" s="192"/>
    </row>
    <row r="267" spans="1:5" s="191" customFormat="1" x14ac:dyDescent="0.3">
      <c r="A267" s="236" t="str">
        <f>qPCR_Unique!D62</f>
        <v>RN44342</v>
      </c>
      <c r="B267" s="238"/>
      <c r="C267" s="809"/>
      <c r="D267" s="192"/>
      <c r="E267" s="192"/>
    </row>
    <row r="268" spans="1:5" s="191" customFormat="1" x14ac:dyDescent="0.3">
      <c r="A268" s="236" t="str">
        <f>qPCR_Unique!D63</f>
        <v>RN44350</v>
      </c>
      <c r="B268" s="238"/>
      <c r="C268" s="809"/>
      <c r="D268" s="192"/>
      <c r="E268" s="192"/>
    </row>
    <row r="269" spans="1:5" s="191" customFormat="1" x14ac:dyDescent="0.3">
      <c r="A269" s="236" t="str">
        <f>qPCR_Unique!D64</f>
        <v>RN44356</v>
      </c>
      <c r="B269" s="238"/>
      <c r="C269" s="809"/>
      <c r="D269" s="192"/>
      <c r="E269" s="192"/>
    </row>
    <row r="270" spans="1:5" s="191" customFormat="1" x14ac:dyDescent="0.3">
      <c r="A270" s="236" t="str">
        <f>qPCR_Unique!D65</f>
        <v>RN44363</v>
      </c>
      <c r="B270" s="238"/>
      <c r="C270" s="809"/>
      <c r="D270" s="192"/>
      <c r="E270" s="192"/>
    </row>
    <row r="271" spans="1:5" s="191" customFormat="1" x14ac:dyDescent="0.3">
      <c r="A271" s="236" t="str">
        <f>qPCR_Unique!D66</f>
        <v>RN44370</v>
      </c>
      <c r="B271" s="238"/>
      <c r="C271" s="809"/>
      <c r="D271" s="192"/>
      <c r="E271" s="192"/>
    </row>
    <row r="272" spans="1:5" s="191" customFormat="1" x14ac:dyDescent="0.3">
      <c r="A272" s="236" t="str">
        <f>qPCR_Unique!D67</f>
        <v>RN44377</v>
      </c>
      <c r="B272" s="238"/>
      <c r="C272" s="809"/>
      <c r="D272" s="192"/>
      <c r="E272" s="192"/>
    </row>
    <row r="273" spans="1:5" s="191" customFormat="1" x14ac:dyDescent="0.3">
      <c r="A273" s="236" t="str">
        <f>qPCR_Unique!D68</f>
        <v>RN44385</v>
      </c>
      <c r="B273" s="238"/>
      <c r="C273" s="809"/>
      <c r="D273" s="192"/>
      <c r="E273" s="192"/>
    </row>
    <row r="274" spans="1:5" s="191" customFormat="1" x14ac:dyDescent="0.3">
      <c r="A274" s="236" t="str">
        <f>qPCR_Unique!D69</f>
        <v>RN44391</v>
      </c>
      <c r="B274" s="238"/>
      <c r="C274" s="809"/>
      <c r="D274" s="192"/>
      <c r="E274" s="192"/>
    </row>
    <row r="275" spans="1:5" s="191" customFormat="1" x14ac:dyDescent="0.3">
      <c r="A275" s="236" t="str">
        <f>qPCR_Unique!D70</f>
        <v>RN44398</v>
      </c>
      <c r="B275" s="238"/>
      <c r="C275" s="809"/>
      <c r="D275" s="192"/>
      <c r="E275" s="192"/>
    </row>
    <row r="276" spans="1:5" s="191" customFormat="1" x14ac:dyDescent="0.3">
      <c r="A276" s="236" t="str">
        <f>qPCR_Unique!D71</f>
        <v>RN44405</v>
      </c>
      <c r="B276" s="238"/>
      <c r="C276" s="809"/>
      <c r="D276" s="192"/>
      <c r="E276" s="192"/>
    </row>
    <row r="277" spans="1:5" s="191" customFormat="1" x14ac:dyDescent="0.3">
      <c r="A277" s="236" t="str">
        <f>qPCR_Unique!D72</f>
        <v>RN44412</v>
      </c>
      <c r="B277" s="238"/>
      <c r="C277" s="809"/>
      <c r="D277" s="192"/>
      <c r="E277" s="192"/>
    </row>
    <row r="278" spans="1:5" s="191" customFormat="1" x14ac:dyDescent="0.3">
      <c r="A278" s="236" t="str">
        <f>qPCR_Unique!D73</f>
        <v>RN44419</v>
      </c>
      <c r="B278" s="238"/>
      <c r="C278" s="809"/>
      <c r="D278" s="192"/>
      <c r="E278" s="192"/>
    </row>
    <row r="279" spans="1:5" s="191" customFormat="1" x14ac:dyDescent="0.3">
      <c r="A279" s="236" t="str">
        <f>qPCR_Unique!D74</f>
        <v>RN44426</v>
      </c>
      <c r="B279" s="238"/>
      <c r="C279" s="809"/>
      <c r="D279" s="192"/>
      <c r="E279" s="192"/>
    </row>
    <row r="280" spans="1:5" s="191" customFormat="1" x14ac:dyDescent="0.3">
      <c r="A280" s="236" t="str">
        <f>qPCR_Unique!D75</f>
        <v>RN44433</v>
      </c>
      <c r="B280" s="238"/>
      <c r="C280" s="809"/>
      <c r="D280" s="192"/>
      <c r="E280" s="192"/>
    </row>
    <row r="281" spans="1:5" s="191" customFormat="1" x14ac:dyDescent="0.3">
      <c r="A281" s="236" t="str">
        <f>qPCR_Unique!D76</f>
        <v>RU44335</v>
      </c>
      <c r="B281" s="238"/>
      <c r="C281" s="809"/>
      <c r="D281" s="192"/>
      <c r="E281" s="192"/>
    </row>
    <row r="282" spans="1:5" s="191" customFormat="1" x14ac:dyDescent="0.3">
      <c r="A282" s="236" t="str">
        <f>qPCR_Unique!D77</f>
        <v>RU44342</v>
      </c>
      <c r="B282" s="238"/>
      <c r="C282" s="809"/>
      <c r="D282" s="192"/>
      <c r="E282" s="192"/>
    </row>
    <row r="283" spans="1:5" s="191" customFormat="1" x14ac:dyDescent="0.3">
      <c r="A283" s="236" t="str">
        <f>qPCR_Unique!D78</f>
        <v>RU44350</v>
      </c>
      <c r="B283" s="238"/>
      <c r="C283" s="809"/>
      <c r="D283" s="192"/>
      <c r="E283" s="192"/>
    </row>
    <row r="284" spans="1:5" s="191" customFormat="1" x14ac:dyDescent="0.3">
      <c r="A284" s="236" t="str">
        <f>qPCR_Unique!D79</f>
        <v>RU44356</v>
      </c>
      <c r="B284" s="238"/>
      <c r="C284" s="809"/>
      <c r="D284" s="192"/>
      <c r="E284" s="192"/>
    </row>
    <row r="285" spans="1:5" s="191" customFormat="1" x14ac:dyDescent="0.3">
      <c r="A285" s="236" t="str">
        <f>qPCR_Unique!D80</f>
        <v>RU44363</v>
      </c>
      <c r="B285" s="238"/>
      <c r="C285" s="809"/>
      <c r="D285" s="192"/>
      <c r="E285" s="192"/>
    </row>
    <row r="286" spans="1:5" s="191" customFormat="1" x14ac:dyDescent="0.3">
      <c r="A286" s="236" t="str">
        <f>qPCR_Unique!D81</f>
        <v>RU44370</v>
      </c>
      <c r="B286" s="238"/>
      <c r="C286" s="809"/>
      <c r="D286" s="192"/>
      <c r="E286" s="192"/>
    </row>
    <row r="287" spans="1:5" s="191" customFormat="1" x14ac:dyDescent="0.3">
      <c r="A287" s="236" t="str">
        <f>qPCR_Unique!D82</f>
        <v>RU44377</v>
      </c>
      <c r="B287" s="238"/>
      <c r="C287" s="809"/>
      <c r="D287" s="192"/>
      <c r="E287" s="192"/>
    </row>
    <row r="288" spans="1:5" s="191" customFormat="1" x14ac:dyDescent="0.3">
      <c r="A288" s="236" t="str">
        <f>qPCR_Unique!D83</f>
        <v>RU44385</v>
      </c>
      <c r="B288" s="238"/>
      <c r="C288" s="809"/>
      <c r="D288" s="192"/>
      <c r="E288" s="192"/>
    </row>
    <row r="289" spans="1:5" s="191" customFormat="1" x14ac:dyDescent="0.3">
      <c r="A289" s="236" t="str">
        <f>qPCR_Unique!D84</f>
        <v>RU44391</v>
      </c>
      <c r="B289" s="238"/>
      <c r="C289" s="809"/>
      <c r="D289" s="192"/>
      <c r="E289" s="192"/>
    </row>
    <row r="290" spans="1:5" s="191" customFormat="1" x14ac:dyDescent="0.3">
      <c r="A290" s="236" t="str">
        <f>qPCR_Unique!D85</f>
        <v>RU44398</v>
      </c>
      <c r="B290" s="238"/>
      <c r="C290" s="809"/>
      <c r="D290" s="192"/>
      <c r="E290" s="192"/>
    </row>
    <row r="291" spans="1:5" s="191" customFormat="1" x14ac:dyDescent="0.3">
      <c r="A291" s="236" t="str">
        <f>qPCR_Unique!D86</f>
        <v>RU44405</v>
      </c>
      <c r="B291" s="238"/>
      <c r="C291" s="809"/>
      <c r="D291" s="192"/>
      <c r="E291" s="192"/>
    </row>
    <row r="292" spans="1:5" s="191" customFormat="1" x14ac:dyDescent="0.3">
      <c r="A292" s="236" t="str">
        <f>qPCR_Unique!D87</f>
        <v>RU44412</v>
      </c>
      <c r="B292" s="238"/>
      <c r="C292" s="809"/>
      <c r="D292" s="192"/>
      <c r="E292" s="192"/>
    </row>
    <row r="293" spans="1:5" s="191" customFormat="1" x14ac:dyDescent="0.3">
      <c r="A293" s="236" t="str">
        <f>qPCR_Unique!D88</f>
        <v>RU44419</v>
      </c>
      <c r="B293" s="238"/>
      <c r="C293" s="809"/>
      <c r="D293" s="192"/>
      <c r="E293" s="192"/>
    </row>
    <row r="294" spans="1:5" s="191" customFormat="1" x14ac:dyDescent="0.3">
      <c r="A294" s="236" t="str">
        <f>qPCR_Unique!D89</f>
        <v>RU44426</v>
      </c>
      <c r="B294" s="238"/>
      <c r="C294" s="809"/>
      <c r="D294" s="192"/>
      <c r="E294" s="192"/>
    </row>
    <row r="295" spans="1:5" s="191" customFormat="1" x14ac:dyDescent="0.3">
      <c r="A295" s="236" t="str">
        <f>qPCR_Unique!D90</f>
        <v>RU44433</v>
      </c>
      <c r="B295" s="238"/>
      <c r="C295" s="809"/>
      <c r="D295" s="192"/>
      <c r="E295" s="192"/>
    </row>
    <row r="296" spans="1:5" s="191" customFormat="1" x14ac:dyDescent="0.3">
      <c r="A296" s="236" t="str">
        <f>qPCR_Unique!D91</f>
        <v>RL44335</v>
      </c>
      <c r="B296" s="238"/>
      <c r="C296" s="809"/>
      <c r="D296" s="192"/>
      <c r="E296" s="192"/>
    </row>
    <row r="297" spans="1:5" s="191" customFormat="1" x14ac:dyDescent="0.3">
      <c r="A297" s="236" t="str">
        <f>qPCR_Unique!D92</f>
        <v>RL44342</v>
      </c>
      <c r="B297" s="238"/>
      <c r="C297" s="809"/>
      <c r="D297" s="192"/>
      <c r="E297" s="192"/>
    </row>
    <row r="298" spans="1:5" s="191" customFormat="1" x14ac:dyDescent="0.3">
      <c r="A298" s="236" t="str">
        <f>qPCR_Unique!D93</f>
        <v>RL44350</v>
      </c>
      <c r="B298" s="238"/>
      <c r="C298" s="809"/>
      <c r="D298" s="192"/>
      <c r="E298" s="192"/>
    </row>
    <row r="299" spans="1:5" s="191" customFormat="1" x14ac:dyDescent="0.3">
      <c r="A299" s="236" t="str">
        <f>qPCR_Unique!D94</f>
        <v>RL44356</v>
      </c>
      <c r="B299" s="238"/>
      <c r="C299" s="809"/>
      <c r="D299" s="192"/>
      <c r="E299" s="192"/>
    </row>
    <row r="300" spans="1:5" s="191" customFormat="1" x14ac:dyDescent="0.3">
      <c r="A300" s="236" t="str">
        <f>qPCR_Unique!D95</f>
        <v>RL44363</v>
      </c>
      <c r="B300" s="238"/>
      <c r="C300" s="809"/>
      <c r="D300" s="192"/>
      <c r="E300" s="192"/>
    </row>
    <row r="301" spans="1:5" s="191" customFormat="1" x14ac:dyDescent="0.3">
      <c r="A301" s="236" t="str">
        <f>qPCR_Unique!D96</f>
        <v>RL44370</v>
      </c>
      <c r="B301" s="238"/>
      <c r="C301" s="809"/>
      <c r="D301" s="192"/>
      <c r="E301" s="192"/>
    </row>
    <row r="302" spans="1:5" s="191" customFormat="1" x14ac:dyDescent="0.3">
      <c r="A302" s="236" t="str">
        <f>qPCR_Unique!D97</f>
        <v>RL44385</v>
      </c>
      <c r="B302" s="238"/>
      <c r="C302" s="809"/>
      <c r="D302" s="192"/>
      <c r="E302" s="192"/>
    </row>
    <row r="303" spans="1:5" s="191" customFormat="1" x14ac:dyDescent="0.3">
      <c r="A303" s="236" t="str">
        <f>qPCR_Unique!D98</f>
        <v>RL44391</v>
      </c>
      <c r="B303" s="238"/>
      <c r="C303" s="809"/>
      <c r="D303" s="192"/>
      <c r="E303" s="192"/>
    </row>
    <row r="304" spans="1:5" s="191" customFormat="1" x14ac:dyDescent="0.3">
      <c r="A304" s="236" t="str">
        <f>qPCR_Unique!D99</f>
        <v>RL44398</v>
      </c>
      <c r="B304" s="238"/>
      <c r="C304" s="809"/>
      <c r="D304" s="192"/>
      <c r="E304" s="192"/>
    </row>
    <row r="305" spans="1:5" s="191" customFormat="1" x14ac:dyDescent="0.3">
      <c r="A305" s="236" t="str">
        <f>qPCR_Unique!D100</f>
        <v>RL44405</v>
      </c>
      <c r="B305" s="238"/>
      <c r="C305" s="809"/>
      <c r="D305" s="192"/>
      <c r="E305" s="192"/>
    </row>
    <row r="306" spans="1:5" s="191" customFormat="1" x14ac:dyDescent="0.3">
      <c r="A306" s="236" t="str">
        <f>qPCR_Unique!D101</f>
        <v>RL44412</v>
      </c>
      <c r="B306" s="238"/>
      <c r="C306" s="809"/>
      <c r="D306" s="192"/>
      <c r="E306" s="192"/>
    </row>
    <row r="307" spans="1:5" s="191" customFormat="1" x14ac:dyDescent="0.3">
      <c r="A307" s="236" t="str">
        <f>qPCR_Unique!D102</f>
        <v>RL44419</v>
      </c>
      <c r="B307" s="238"/>
      <c r="C307" s="809"/>
      <c r="D307" s="192"/>
      <c r="E307" s="192"/>
    </row>
    <row r="308" spans="1:5" s="191" customFormat="1" x14ac:dyDescent="0.3">
      <c r="A308" s="236" t="str">
        <f>qPCR_Unique!D103</f>
        <v>RL44426</v>
      </c>
      <c r="B308" s="238"/>
      <c r="C308" s="809"/>
      <c r="D308" s="192"/>
      <c r="E308" s="192"/>
    </row>
    <row r="309" spans="1:5" s="191" customFormat="1" x14ac:dyDescent="0.3">
      <c r="A309" s="236" t="str">
        <f>qPCR_Unique!D104</f>
        <v>RL44433</v>
      </c>
      <c r="B309" s="238"/>
      <c r="C309" s="809"/>
      <c r="D309" s="192"/>
      <c r="E309" s="192"/>
    </row>
    <row r="310" spans="1:5" s="191" customFormat="1" x14ac:dyDescent="0.3">
      <c r="A310" s="236" t="str">
        <f>qPCR_Unique!D105</f>
        <v>RS44335</v>
      </c>
      <c r="B310" s="238"/>
      <c r="C310" s="809"/>
      <c r="D310" s="192"/>
      <c r="E310" s="192"/>
    </row>
    <row r="311" spans="1:5" s="191" customFormat="1" x14ac:dyDescent="0.3">
      <c r="A311" s="236" t="str">
        <f>qPCR_Unique!D106</f>
        <v>RS44342</v>
      </c>
      <c r="B311" s="238"/>
      <c r="C311" s="809"/>
      <c r="D311" s="192"/>
      <c r="E311" s="192"/>
    </row>
    <row r="312" spans="1:5" s="191" customFormat="1" x14ac:dyDescent="0.3">
      <c r="A312" s="236" t="str">
        <f>qPCR_Unique!D107</f>
        <v>RS44350</v>
      </c>
      <c r="B312" s="238"/>
      <c r="C312" s="809"/>
      <c r="D312" s="192"/>
      <c r="E312" s="192"/>
    </row>
    <row r="313" spans="1:5" s="191" customFormat="1" x14ac:dyDescent="0.3">
      <c r="A313" s="236" t="str">
        <f>qPCR_Unique!D108</f>
        <v>RS44363</v>
      </c>
      <c r="B313" s="238"/>
      <c r="C313" s="809"/>
      <c r="D313" s="192"/>
      <c r="E313" s="192"/>
    </row>
    <row r="314" spans="1:5" s="191" customFormat="1" x14ac:dyDescent="0.3">
      <c r="A314" s="236" t="str">
        <f>qPCR_Unique!D109</f>
        <v>RS44370</v>
      </c>
      <c r="B314" s="238"/>
      <c r="C314" s="809"/>
      <c r="D314" s="192"/>
      <c r="E314" s="192"/>
    </row>
    <row r="315" spans="1:5" s="191" customFormat="1" x14ac:dyDescent="0.3">
      <c r="A315" s="236" t="str">
        <f>qPCR_Unique!D110</f>
        <v>RS44377</v>
      </c>
      <c r="B315" s="238"/>
      <c r="C315" s="809"/>
      <c r="D315" s="192"/>
      <c r="E315" s="192"/>
    </row>
    <row r="316" spans="1:5" s="191" customFormat="1" x14ac:dyDescent="0.3">
      <c r="A316" s="236" t="str">
        <f>qPCR_Unique!D111</f>
        <v>RS44385</v>
      </c>
      <c r="B316" s="238"/>
      <c r="C316" s="809"/>
      <c r="D316" s="192"/>
      <c r="E316" s="192"/>
    </row>
    <row r="317" spans="1:5" s="191" customFormat="1" x14ac:dyDescent="0.3">
      <c r="A317" s="236" t="str">
        <f>qPCR_Unique!D112</f>
        <v>RS44391</v>
      </c>
      <c r="B317" s="238"/>
      <c r="C317" s="809"/>
      <c r="D317" s="192"/>
      <c r="E317" s="192"/>
    </row>
    <row r="318" spans="1:5" s="191" customFormat="1" x14ac:dyDescent="0.3">
      <c r="A318" s="236" t="str">
        <f>qPCR_Unique!D113</f>
        <v>RS44398</v>
      </c>
      <c r="B318" s="238"/>
      <c r="C318" s="809"/>
      <c r="D318" s="192"/>
      <c r="E318" s="192"/>
    </row>
    <row r="319" spans="1:5" s="191" customFormat="1" x14ac:dyDescent="0.3">
      <c r="A319" s="236" t="str">
        <f>qPCR_Unique!D114</f>
        <v>RS44405</v>
      </c>
      <c r="B319" s="238"/>
      <c r="C319" s="809"/>
      <c r="D319" s="192"/>
      <c r="E319" s="192"/>
    </row>
    <row r="320" spans="1:5" s="191" customFormat="1" x14ac:dyDescent="0.3">
      <c r="A320" s="236" t="str">
        <f>qPCR_Unique!D115</f>
        <v>RS44412</v>
      </c>
      <c r="B320" s="238"/>
      <c r="C320" s="809"/>
      <c r="D320" s="192"/>
      <c r="E320" s="192"/>
    </row>
    <row r="321" spans="1:5" s="191" customFormat="1" x14ac:dyDescent="0.3">
      <c r="A321" s="236" t="str">
        <f>qPCR_Unique!D116</f>
        <v>RS44419</v>
      </c>
      <c r="B321" s="238"/>
      <c r="C321" s="809"/>
      <c r="D321" s="192"/>
      <c r="E321" s="192"/>
    </row>
    <row r="322" spans="1:5" s="191" customFormat="1" x14ac:dyDescent="0.3">
      <c r="A322" s="236" t="str">
        <f>qPCR_Unique!D117</f>
        <v>RS44426</v>
      </c>
      <c r="B322" s="238"/>
      <c r="C322" s="809"/>
      <c r="D322" s="192"/>
      <c r="E322" s="192"/>
    </row>
    <row r="323" spans="1:5" s="191" customFormat="1" ht="16.350000000000001" thickBot="1" x14ac:dyDescent="0.35">
      <c r="A323" s="810" t="str">
        <f>qPCR_Unique!D118</f>
        <v>RS44433</v>
      </c>
      <c r="B323" s="811"/>
      <c r="C323" s="812"/>
      <c r="D323" s="192"/>
      <c r="E323" s="192"/>
    </row>
    <row r="324" spans="1:5" ht="16.350000000000001" thickTop="1" x14ac:dyDescent="0.3"/>
  </sheetData>
  <sheetProtection algorithmName="SHA-512" hashValue="c0nTkoW5cUZEIvcidzofqZy11mOatcCBkmbckM/M8hAgThCDljxHI34dpftm5F8LRLbfzx6xPohTxVkfDIhdTQ==" saltValue="oEhR0jjFiz/JNxtrfEnWbg==" spinCount="100000" sheet="1" objects="1" scenarios="1"/>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3BEE56-0A29-4D35-B6CE-A6695DE285B6}">
  <dimension ref="A1:W114"/>
  <sheetViews>
    <sheetView workbookViewId="0">
      <pane xSplit="3" ySplit="2" topLeftCell="H3" activePane="bottomRight" state="frozen"/>
      <selection pane="topRight" activeCell="D1" sqref="D1"/>
      <selection pane="bottomLeft" activeCell="A3" sqref="A3"/>
      <selection pane="bottomRight" activeCell="E3" sqref="E3"/>
    </sheetView>
  </sheetViews>
  <sheetFormatPr defaultRowHeight="15.75" x14ac:dyDescent="0.3"/>
  <cols>
    <col min="1" max="1" width="6.109375" style="62" customWidth="1"/>
    <col min="2" max="2" width="5.88671875" style="62" customWidth="1"/>
    <col min="3" max="3" width="11" style="280" customWidth="1"/>
    <col min="4" max="4" width="11.33203125" style="283" customWidth="1"/>
    <col min="5" max="5" width="6.88671875" style="282" customWidth="1"/>
    <col min="6" max="6" width="10.77734375" style="283" customWidth="1"/>
    <col min="7" max="7" width="11.33203125" style="282" customWidth="1"/>
    <col min="8" max="8" width="11.21875" style="283" customWidth="1"/>
    <col min="9" max="9" width="6.44140625" style="282" customWidth="1"/>
    <col min="10" max="10" width="10.6640625" style="283" customWidth="1"/>
    <col min="11" max="11" width="6.44140625" style="282" customWidth="1"/>
    <col min="12" max="12" width="13.33203125" style="283" customWidth="1"/>
    <col min="13" max="13" width="7" style="282" customWidth="1"/>
    <col min="14" max="14" width="6.77734375" style="62" customWidth="1"/>
    <col min="15" max="15" width="8.5546875" style="62" customWidth="1"/>
    <col min="16" max="16" width="11.88671875" style="62" customWidth="1"/>
    <col min="17" max="17" width="16.44140625" style="62" customWidth="1"/>
    <col min="18" max="18" width="11.109375" style="62" customWidth="1"/>
    <col min="19" max="19" width="11.6640625" style="62" customWidth="1"/>
    <col min="20" max="20" width="10.5546875" style="62" customWidth="1"/>
    <col min="21" max="21" width="16.5546875" style="62" customWidth="1"/>
    <col min="22" max="22" width="13.33203125" style="62" customWidth="1"/>
    <col min="23" max="23" width="10.6640625" style="282" customWidth="1"/>
    <col min="24" max="16384" width="8.88671875" style="62"/>
  </cols>
  <sheetData>
    <row r="1" spans="1:23" ht="16.95" customHeight="1" thickTop="1" x14ac:dyDescent="0.3">
      <c r="A1" s="381" t="s">
        <v>225</v>
      </c>
      <c r="B1" s="382"/>
      <c r="C1" s="385" t="s">
        <v>226</v>
      </c>
      <c r="D1" s="1608" t="s">
        <v>8</v>
      </c>
      <c r="E1" s="1609"/>
      <c r="F1" s="1610" t="s">
        <v>3</v>
      </c>
      <c r="G1" s="1611"/>
      <c r="H1" s="1612" t="s">
        <v>5</v>
      </c>
      <c r="I1" s="1613"/>
      <c r="J1" s="1610" t="s">
        <v>6</v>
      </c>
      <c r="K1" s="1614"/>
      <c r="L1" s="1615" t="s">
        <v>51</v>
      </c>
      <c r="M1" s="1616"/>
      <c r="N1" s="1605" t="s">
        <v>227</v>
      </c>
      <c r="O1" s="1606"/>
      <c r="P1" s="1606"/>
      <c r="Q1" s="1606"/>
      <c r="R1" s="1606"/>
      <c r="S1" s="1606"/>
      <c r="T1" s="1606"/>
      <c r="U1" s="1607"/>
      <c r="V1" s="1603" t="s">
        <v>229</v>
      </c>
      <c r="W1" s="1604"/>
    </row>
    <row r="2" spans="1:23" s="380" customFormat="1" ht="53.85" customHeight="1" thickBot="1" x14ac:dyDescent="0.35">
      <c r="A2" s="402" t="s">
        <v>224</v>
      </c>
      <c r="B2" s="383" t="s">
        <v>149</v>
      </c>
      <c r="C2" s="386" t="s">
        <v>55</v>
      </c>
      <c r="D2" s="387" t="s">
        <v>163</v>
      </c>
      <c r="E2" s="388" t="s">
        <v>169</v>
      </c>
      <c r="F2" s="389" t="s">
        <v>163</v>
      </c>
      <c r="G2" s="390" t="s">
        <v>169</v>
      </c>
      <c r="H2" s="387" t="s">
        <v>163</v>
      </c>
      <c r="I2" s="388" t="s">
        <v>169</v>
      </c>
      <c r="J2" s="389" t="s">
        <v>163</v>
      </c>
      <c r="K2" s="391" t="s">
        <v>169</v>
      </c>
      <c r="L2" s="384" t="s">
        <v>163</v>
      </c>
      <c r="M2" s="401" t="s">
        <v>169</v>
      </c>
      <c r="N2" s="400" t="s">
        <v>97</v>
      </c>
      <c r="O2" s="392" t="s">
        <v>209</v>
      </c>
      <c r="P2" s="392" t="s">
        <v>202</v>
      </c>
      <c r="Q2" s="392" t="s">
        <v>203</v>
      </c>
      <c r="R2" s="392" t="s">
        <v>204</v>
      </c>
      <c r="S2" s="392" t="s">
        <v>205</v>
      </c>
      <c r="T2" s="392" t="s">
        <v>228</v>
      </c>
      <c r="U2" s="496" t="s">
        <v>207</v>
      </c>
      <c r="V2" s="508" t="s">
        <v>163</v>
      </c>
      <c r="W2" s="509" t="s">
        <v>169</v>
      </c>
    </row>
    <row r="3" spans="1:23" s="380" customFormat="1" x14ac:dyDescent="0.3">
      <c r="A3" s="393" t="str" cm="1">
        <f t="array" ref="A3:A113">_xlfn._xlws.FILTER(qPCR_Unique!D3:D118, COUNTIF(Physicochemical_Managed!P2:P207, qPCR_Unique!D3:D118))</f>
        <v>EP44335</v>
      </c>
      <c r="B3" s="403" t="str">
        <f>LEFT(A3, LEN(A3)-5)</f>
        <v>EP</v>
      </c>
      <c r="C3" s="404">
        <f>INT(RIGHT(A3, 5))</f>
        <v>44335</v>
      </c>
      <c r="D3" s="405">
        <f>INDEX(qPCR_Unique!H$3:H$118, MATCH(Core_Data!$A3, qPCR_Unique!$D$3:$D$118,0), 1)</f>
        <v>32164583.610520542</v>
      </c>
      <c r="E3" s="406">
        <f>INDEX(qPCR_Unique!I$3:I$118, MATCH(Core_Data!$A3, qPCR_Unique!$D$3:$D$118,0), 1)</f>
        <v>7.5073779335749142</v>
      </c>
      <c r="F3" s="407">
        <f>INDEX(qPCR_Unique!K$3:K$118, MATCH(Core_Data!$A3, qPCR_Unique!$D$3:$D$118,0), 1)</f>
        <v>52840.999497307668</v>
      </c>
      <c r="G3" s="408">
        <f>INDEX(qPCR_Unique!L$3:L$118, MATCH(Core_Data!$A3, qPCR_Unique!$D$3:$D$118,0), 1)</f>
        <v>4.7229710237808709</v>
      </c>
      <c r="H3" s="405">
        <f>INDEX(qPCR_Unique!N$3:N$118, MATCH(Core_Data!$A3, qPCR_Unique!$D$3:$D$118,0), 1)</f>
        <v>1512.8435691197712</v>
      </c>
      <c r="I3" s="406">
        <f>INDEX(qPCR_Unique!O$3:O$118, MATCH(Core_Data!$A3, qPCR_Unique!$D$3:$D$118,0), 1)</f>
        <v>3.1797940234756839</v>
      </c>
      <c r="J3" s="407">
        <f>INDEX(qPCR_Unique!Q$3:Q$118, MATCH(Core_Data!$A3, qPCR_Unique!$D$3:$D$118,0), 1)</f>
        <v>0</v>
      </c>
      <c r="K3" s="409">
        <f>INDEX(qPCR_Unique!R$3:R$118, MATCH(Core_Data!$A3, qPCR_Unique!$D$3:$D$118,0), 1)</f>
        <v>0</v>
      </c>
      <c r="L3" s="410">
        <f>INDEX(qPCR_Unique!T$3:T$118, MATCH(Core_Data!$A3, qPCR_Unique!$D$3:$D$118,0), 1)</f>
        <v>0</v>
      </c>
      <c r="M3" s="411">
        <f>INDEX(qPCR_Unique!U$3:U$118, MATCH(Core_Data!$A3, qPCR_Unique!$D$3:$D$118,0), 1)</f>
        <v>0</v>
      </c>
      <c r="N3" s="412">
        <f>INDEX(Physicochemical_Managed!Q$2:Q$207, MATCH(Core_Data!$A3, Physicochemical_Managed!$P$2:$P$207,0), 1)</f>
        <v>6.72</v>
      </c>
      <c r="O3" s="413">
        <f>INDEX(Physicochemical_Managed!R$2:R$207, MATCH(Core_Data!$A3, Physicochemical_Managed!$P$2:$P$207,0), 1)</f>
        <v>25.2</v>
      </c>
      <c r="P3" s="413">
        <f>INDEX(Physicochemical_Managed!S$2:S$207, MATCH(Core_Data!$A3, Physicochemical_Managed!$P$2:$P$207,0), 1)</f>
        <v>0.17</v>
      </c>
      <c r="Q3" s="413">
        <f>INDEX(Physicochemical_Managed!T$2:T$207, MATCH(Core_Data!$A3, Physicochemical_Managed!$P$2:$P$207,0), 1)</f>
        <v>3.6</v>
      </c>
      <c r="R3" s="413">
        <f>INDEX(Physicochemical_Managed!U$2:U$207, MATCH(Core_Data!$A3, Physicochemical_Managed!$P$2:$P$207,0), 1)</f>
        <v>3.86</v>
      </c>
      <c r="S3" s="413">
        <f>INDEX(Physicochemical_Managed!V$2:V$207, MATCH(Core_Data!$A3, Physicochemical_Managed!$P$2:$P$207,0), 1)</f>
        <v>0.25</v>
      </c>
      <c r="T3" s="413">
        <f>INDEX(Physicochemical_Managed!W$2:W$207, MATCH(Core_Data!$A3, Physicochemical_Managed!$P$2:$P$207,0), 1)</f>
        <v>8.0000000000000002E-3</v>
      </c>
      <c r="U3" s="497">
        <f>INDEX(Physicochemical_Managed!X$2:X$207, MATCH(Core_Data!$A3, Physicochemical_Managed!$P$2:$P$207,0), 1)</f>
        <v>0.24</v>
      </c>
      <c r="V3" s="506">
        <f>INDEX(qPCR_Unique!W$3:W$118, MATCH(Core_Data!$A3, qPCR_Unique!$D$3:$D$118,0), 1)</f>
        <v>54353.843066427442</v>
      </c>
      <c r="W3" s="507">
        <f>INDEX(qPCR_Unique!X$3:X$118, MATCH(Core_Data!$A3, qPCR_Unique!$D$3:$D$118,0), 1)</f>
        <v>4.7352302561231019</v>
      </c>
    </row>
    <row r="4" spans="1:23" s="380" customFormat="1" x14ac:dyDescent="0.3">
      <c r="A4" s="394" t="str">
        <v>EP44342</v>
      </c>
      <c r="B4" s="414" t="str">
        <f t="shared" ref="B4:B67" si="0">LEFT(A4, LEN(A4)-5)</f>
        <v>EP</v>
      </c>
      <c r="C4" s="415">
        <f t="shared" ref="C4:C67" si="1">INT(RIGHT(A4, 5))</f>
        <v>44342</v>
      </c>
      <c r="D4" s="416">
        <f>INDEX(qPCR_Unique!H$3:H$118, MATCH(Core_Data!$A4, qPCR_Unique!$D$3:$D$118,0), 1)</f>
        <v>26951814.677109942</v>
      </c>
      <c r="E4" s="417">
        <f>INDEX(qPCR_Unique!I$3:I$118, MATCH(Core_Data!$A4, qPCR_Unique!$D$3:$D$118,0), 1)</f>
        <v>7.4305880117388243</v>
      </c>
      <c r="F4" s="418">
        <f>INDEX(qPCR_Unique!K$3:K$118, MATCH(Core_Data!$A4, qPCR_Unique!$D$3:$D$118,0), 1)</f>
        <v>25023.050202818511</v>
      </c>
      <c r="G4" s="419">
        <f>INDEX(qPCR_Unique!L$3:L$118, MATCH(Core_Data!$A4, qPCR_Unique!$D$3:$D$118,0), 1)</f>
        <v>4.3983402472244153</v>
      </c>
      <c r="H4" s="416">
        <f>INDEX(qPCR_Unique!N$3:N$118, MATCH(Core_Data!$A4, qPCR_Unique!$D$3:$D$118,0), 1)</f>
        <v>889.56442386900164</v>
      </c>
      <c r="I4" s="417">
        <f>INDEX(qPCR_Unique!O$3:O$118, MATCH(Core_Data!$A4, qPCR_Unique!$D$3:$D$118,0), 1)</f>
        <v>2.9491774059529887</v>
      </c>
      <c r="J4" s="418">
        <f>INDEX(qPCR_Unique!Q$3:Q$118, MATCH(Core_Data!$A4, qPCR_Unique!$D$3:$D$118,0), 1)</f>
        <v>0</v>
      </c>
      <c r="K4" s="420">
        <f>INDEX(qPCR_Unique!R$3:R$118, MATCH(Core_Data!$A4, qPCR_Unique!$D$3:$D$118,0), 1)</f>
        <v>0</v>
      </c>
      <c r="L4" s="421">
        <f>INDEX(qPCR_Unique!T$3:T$118, MATCH(Core_Data!$A4, qPCR_Unique!$D$3:$D$118,0), 1)</f>
        <v>144.71015439885102</v>
      </c>
      <c r="M4" s="422">
        <f>INDEX(qPCR_Unique!U$3:U$118, MATCH(Core_Data!$A4, qPCR_Unique!$D$3:$D$118,0), 1)</f>
        <v>2.1604990068941463</v>
      </c>
      <c r="N4" s="423">
        <f>INDEX(Physicochemical_Managed!Q$2:Q$207, MATCH(Core_Data!$A4, Physicochemical_Managed!$P$2:$P$207,0), 1)</f>
        <v>6.66</v>
      </c>
      <c r="O4" s="424">
        <f>INDEX(Physicochemical_Managed!R$2:R$207, MATCH(Core_Data!$A4, Physicochemical_Managed!$P$2:$P$207,0), 1)</f>
        <v>28.1</v>
      </c>
      <c r="P4" s="424">
        <f>INDEX(Physicochemical_Managed!S$2:S$207, MATCH(Core_Data!$A4, Physicochemical_Managed!$P$2:$P$207,0), 1)</f>
        <v>0.08</v>
      </c>
      <c r="Q4" s="424">
        <f>INDEX(Physicochemical_Managed!T$2:T$207, MATCH(Core_Data!$A4, Physicochemical_Managed!$P$2:$P$207,0), 1)</f>
        <v>3.5</v>
      </c>
      <c r="R4" s="424">
        <f>INDEX(Physicochemical_Managed!U$2:U$207, MATCH(Core_Data!$A4, Physicochemical_Managed!$P$2:$P$207,0), 1)</f>
        <v>3.83</v>
      </c>
      <c r="S4" s="424">
        <f>INDEX(Physicochemical_Managed!V$2:V$207, MATCH(Core_Data!$A4, Physicochemical_Managed!$P$2:$P$207,0), 1)</f>
        <v>7.0000000000000007E-2</v>
      </c>
      <c r="T4" s="424">
        <f>INDEX(Physicochemical_Managed!W$2:W$207, MATCH(Core_Data!$A4, Physicochemical_Managed!$P$2:$P$207,0), 1)</f>
        <v>7.0000000000000001E-3</v>
      </c>
      <c r="U4" s="498">
        <f>INDEX(Physicochemical_Managed!X$2:X$207, MATCH(Core_Data!$A4, Physicochemical_Managed!$P$2:$P$207,0), 1)</f>
        <v>0.24</v>
      </c>
      <c r="V4" s="504">
        <f>INDEX(qPCR_Unique!W$3:W$118, MATCH(Core_Data!$A4, qPCR_Unique!$D$3:$D$118,0), 1)</f>
        <v>26057.324781086361</v>
      </c>
      <c r="W4" s="505">
        <f>INDEX(qPCR_Unique!X$3:X$118, MATCH(Core_Data!$A4, qPCR_Unique!$D$3:$D$118,0), 1)</f>
        <v>4.4159298260944944</v>
      </c>
    </row>
    <row r="5" spans="1:23" s="380" customFormat="1" x14ac:dyDescent="0.3">
      <c r="A5" s="394" t="str">
        <v>EP44350</v>
      </c>
      <c r="B5" s="414" t="str">
        <f t="shared" si="0"/>
        <v>EP</v>
      </c>
      <c r="C5" s="415">
        <f t="shared" si="1"/>
        <v>44350</v>
      </c>
      <c r="D5" s="416">
        <f>INDEX(qPCR_Unique!H$3:H$118, MATCH(Core_Data!$A5, qPCR_Unique!$D$3:$D$118,0), 1)</f>
        <v>15887775.792306878</v>
      </c>
      <c r="E5" s="417">
        <f>INDEX(qPCR_Unique!I$3:I$118, MATCH(Core_Data!$A5, qPCR_Unique!$D$3:$D$118,0), 1)</f>
        <v>7.2010631024471907</v>
      </c>
      <c r="F5" s="418">
        <f>INDEX(qPCR_Unique!K$3:K$118, MATCH(Core_Data!$A5, qPCR_Unique!$D$3:$D$118,0), 1)</f>
        <v>8269.3150698483641</v>
      </c>
      <c r="G5" s="419">
        <f>INDEX(qPCR_Unique!L$3:L$118, MATCH(Core_Data!$A5, qPCR_Unique!$D$3:$D$118,0), 1)</f>
        <v>3.9174695393344017</v>
      </c>
      <c r="H5" s="416">
        <f>INDEX(qPCR_Unique!N$3:N$118, MATCH(Core_Data!$A5, qPCR_Unique!$D$3:$D$118,0), 1)</f>
        <v>1751.7194643125429</v>
      </c>
      <c r="I5" s="417">
        <f>INDEX(qPCR_Unique!O$3:O$118, MATCH(Core_Data!$A5, qPCR_Unique!$D$3:$D$118,0), 1)</f>
        <v>3.2434645556811552</v>
      </c>
      <c r="J5" s="418">
        <f>INDEX(qPCR_Unique!Q$3:Q$118, MATCH(Core_Data!$A5, qPCR_Unique!$D$3:$D$118,0), 1)</f>
        <v>0</v>
      </c>
      <c r="K5" s="420">
        <f>INDEX(qPCR_Unique!R$3:R$118, MATCH(Core_Data!$A5, qPCR_Unique!$D$3:$D$118,0), 1)</f>
        <v>0</v>
      </c>
      <c r="L5" s="421">
        <f>INDEX(qPCR_Unique!T$3:T$118, MATCH(Core_Data!$A5, qPCR_Unique!$D$3:$D$118,0), 1)</f>
        <v>554.66038840157648</v>
      </c>
      <c r="M5" s="422">
        <f>INDEX(qPCR_Unique!U$3:U$118, MATCH(Core_Data!$A5, qPCR_Unique!$D$3:$D$118,0), 1)</f>
        <v>2.7440271514333912</v>
      </c>
      <c r="N5" s="423">
        <f>INDEX(Physicochemical_Managed!Q$2:Q$207, MATCH(Core_Data!$A5, Physicochemical_Managed!$P$2:$P$207,0), 1)</f>
        <v>6.58</v>
      </c>
      <c r="O5" s="424">
        <f>INDEX(Physicochemical_Managed!R$2:R$207, MATCH(Core_Data!$A5, Physicochemical_Managed!$P$2:$P$207,0), 1)</f>
        <v>29.6</v>
      </c>
      <c r="P5" s="424">
        <f>INDEX(Physicochemical_Managed!S$2:S$207, MATCH(Core_Data!$A5, Physicochemical_Managed!$P$2:$P$207,0), 1)</f>
        <v>0.08</v>
      </c>
      <c r="Q5" s="424">
        <f>INDEX(Physicochemical_Managed!T$2:T$207, MATCH(Core_Data!$A5, Physicochemical_Managed!$P$2:$P$207,0), 1)</f>
        <v>3.32</v>
      </c>
      <c r="R5" s="424">
        <f>INDEX(Physicochemical_Managed!U$2:U$207, MATCH(Core_Data!$A5, Physicochemical_Managed!$P$2:$P$207,0), 1)</f>
        <v>3.64</v>
      </c>
      <c r="S5" s="424">
        <f>INDEX(Physicochemical_Managed!V$2:V$207, MATCH(Core_Data!$A5, Physicochemical_Managed!$P$2:$P$207,0), 1)</f>
        <v>0.56000000000000005</v>
      </c>
      <c r="T5" s="424">
        <f>INDEX(Physicochemical_Managed!W$2:W$207, MATCH(Core_Data!$A5, Physicochemical_Managed!$P$2:$P$207,0), 1)</f>
        <v>8.0000000000000002E-3</v>
      </c>
      <c r="U5" s="498">
        <f>INDEX(Physicochemical_Managed!X$2:X$207, MATCH(Core_Data!$A5, Physicochemical_Managed!$P$2:$P$207,0), 1)</f>
        <v>0.28000000000000003</v>
      </c>
      <c r="V5" s="504">
        <f>INDEX(qPCR_Unique!W$3:W$118, MATCH(Core_Data!$A5, qPCR_Unique!$D$3:$D$118,0), 1)</f>
        <v>10575.694922562483</v>
      </c>
      <c r="W5" s="505">
        <f>INDEX(qPCR_Unique!X$3:X$118, MATCH(Core_Data!$A5, qPCR_Unique!$D$3:$D$118,0), 1)</f>
        <v>4.0243089142143083</v>
      </c>
    </row>
    <row r="6" spans="1:23" s="380" customFormat="1" x14ac:dyDescent="0.3">
      <c r="A6" s="394" t="str">
        <v>EP44356</v>
      </c>
      <c r="B6" s="414" t="str">
        <f t="shared" si="0"/>
        <v>EP</v>
      </c>
      <c r="C6" s="415">
        <f t="shared" si="1"/>
        <v>44356</v>
      </c>
      <c r="D6" s="416">
        <f>INDEX(qPCR_Unique!H$3:H$118, MATCH(Core_Data!$A6, qPCR_Unique!$D$3:$D$118,0), 1)</f>
        <v>37805884.255184606</v>
      </c>
      <c r="E6" s="417">
        <f>INDEX(qPCR_Unique!I$3:I$118, MATCH(Core_Data!$A6, qPCR_Unique!$D$3:$D$118,0), 1)</f>
        <v>7.5775594003841169</v>
      </c>
      <c r="F6" s="418">
        <f>INDEX(qPCR_Unique!K$3:K$118, MATCH(Core_Data!$A6, qPCR_Unique!$D$3:$D$118,0), 1)</f>
        <v>15022.144063313803</v>
      </c>
      <c r="G6" s="419">
        <f>INDEX(qPCR_Unique!L$3:L$118, MATCH(Core_Data!$A6, qPCR_Unique!$D$3:$D$118,0), 1)</f>
        <v>4.1767319225757706</v>
      </c>
      <c r="H6" s="416">
        <f>INDEX(qPCR_Unique!N$3:N$118, MATCH(Core_Data!$A6, qPCR_Unique!$D$3:$D$118,0), 1)</f>
        <v>2066.3175145785012</v>
      </c>
      <c r="I6" s="417">
        <f>INDEX(qPCR_Unique!O$3:O$118, MATCH(Core_Data!$A6, qPCR_Unique!$D$3:$D$118,0), 1)</f>
        <v>3.3151970568903897</v>
      </c>
      <c r="J6" s="418">
        <f>INDEX(qPCR_Unique!Q$3:Q$118, MATCH(Core_Data!$A6, qPCR_Unique!$D$3:$D$118,0), 1)</f>
        <v>2289.4446055094404</v>
      </c>
      <c r="K6" s="420">
        <f>INDEX(qPCR_Unique!R$3:R$118, MATCH(Core_Data!$A6, qPCR_Unique!$D$3:$D$118,0), 1)</f>
        <v>3.3597301399743871</v>
      </c>
      <c r="L6" s="421">
        <f>INDEX(qPCR_Unique!T$3:T$118, MATCH(Core_Data!$A6, qPCR_Unique!$D$3:$D$118,0), 1)</f>
        <v>0</v>
      </c>
      <c r="M6" s="422">
        <f>INDEX(qPCR_Unique!U$3:U$118, MATCH(Core_Data!$A6, qPCR_Unique!$D$3:$D$118,0), 1)</f>
        <v>0</v>
      </c>
      <c r="N6" s="423">
        <f>INDEX(Physicochemical_Managed!Q$2:Q$207, MATCH(Core_Data!$A6, Physicochemical_Managed!$P$2:$P$207,0), 1)</f>
        <v>6.69</v>
      </c>
      <c r="O6" s="424">
        <f>INDEX(Physicochemical_Managed!R$2:R$207, MATCH(Core_Data!$A6, Physicochemical_Managed!$P$2:$P$207,0), 1)</f>
        <v>28.6</v>
      </c>
      <c r="P6" s="424">
        <f>INDEX(Physicochemical_Managed!S$2:S$207, MATCH(Core_Data!$A6, Physicochemical_Managed!$P$2:$P$207,0), 1)</f>
        <v>0.08</v>
      </c>
      <c r="Q6" s="424">
        <f>INDEX(Physicochemical_Managed!T$2:T$207, MATCH(Core_Data!$A6, Physicochemical_Managed!$P$2:$P$207,0), 1)</f>
        <v>3.91</v>
      </c>
      <c r="R6" s="424">
        <f>INDEX(Physicochemical_Managed!U$2:U$207, MATCH(Core_Data!$A6, Physicochemical_Managed!$P$2:$P$207,0), 1)</f>
        <v>4.08</v>
      </c>
      <c r="S6" s="424">
        <f>INDEX(Physicochemical_Managed!V$2:V$207, MATCH(Core_Data!$A6, Physicochemical_Managed!$P$2:$P$207,0), 1)</f>
        <v>0.14000000000000001</v>
      </c>
      <c r="T6" s="424">
        <f>INDEX(Physicochemical_Managed!W$2:W$207, MATCH(Core_Data!$A6, Physicochemical_Managed!$P$2:$P$207,0), 1)</f>
        <v>8.0000000000000002E-3</v>
      </c>
      <c r="U6" s="498">
        <f>INDEX(Physicochemical_Managed!X$2:X$207, MATCH(Core_Data!$A6, Physicochemical_Managed!$P$2:$P$207,0), 1)</f>
        <v>0.27</v>
      </c>
      <c r="V6" s="504">
        <f>INDEX(qPCR_Unique!W$3:W$118, MATCH(Core_Data!$A6, qPCR_Unique!$D$3:$D$118,0), 1)</f>
        <v>19377.906183401745</v>
      </c>
      <c r="W6" s="505">
        <f>INDEX(qPCR_Unique!X$3:X$118, MATCH(Core_Data!$A6, qPCR_Unique!$D$3:$D$118,0), 1)</f>
        <v>4.2873068489727197</v>
      </c>
    </row>
    <row r="7" spans="1:23" s="380" customFormat="1" x14ac:dyDescent="0.3">
      <c r="A7" s="394" t="str">
        <v>EP44363</v>
      </c>
      <c r="B7" s="414" t="str">
        <f t="shared" si="0"/>
        <v>EP</v>
      </c>
      <c r="C7" s="415">
        <f t="shared" si="1"/>
        <v>44363</v>
      </c>
      <c r="D7" s="416">
        <f>INDEX(qPCR_Unique!H$3:H$118, MATCH(Core_Data!$A7, qPCR_Unique!$D$3:$D$118,0), 1)</f>
        <v>831979408.03559792</v>
      </c>
      <c r="E7" s="417">
        <f>INDEX(qPCR_Unique!I$3:I$118, MATCH(Core_Data!$A7, qPCR_Unique!$D$3:$D$118,0), 1)</f>
        <v>8.9201125773878598</v>
      </c>
      <c r="F7" s="418">
        <f>INDEX(qPCR_Unique!K$3:K$118, MATCH(Core_Data!$A7, qPCR_Unique!$D$3:$D$118,0), 1)</f>
        <v>0</v>
      </c>
      <c r="G7" s="419">
        <f>INDEX(qPCR_Unique!L$3:L$118, MATCH(Core_Data!$A7, qPCR_Unique!$D$3:$D$118,0), 1)</f>
        <v>0</v>
      </c>
      <c r="H7" s="416">
        <f>INDEX(qPCR_Unique!N$3:N$118, MATCH(Core_Data!$A7, qPCR_Unique!$D$3:$D$118,0), 1)</f>
        <v>668.65919235247918</v>
      </c>
      <c r="I7" s="417">
        <f>INDEX(qPCR_Unique!O$3:O$118, MATCH(Core_Data!$A7, qPCR_Unique!$D$3:$D$118,0), 1)</f>
        <v>2.8252048194210433</v>
      </c>
      <c r="J7" s="418">
        <f>INDEX(qPCR_Unique!Q$3:Q$118, MATCH(Core_Data!$A7, qPCR_Unique!$D$3:$D$118,0), 1)</f>
        <v>20644560.865319293</v>
      </c>
      <c r="K7" s="420">
        <f>INDEX(qPCR_Unique!R$3:R$118, MATCH(Core_Data!$A7, qPCR_Unique!$D$3:$D$118,0), 1)</f>
        <v>7.3148056493421336</v>
      </c>
      <c r="L7" s="421">
        <f>INDEX(qPCR_Unique!T$3:T$118, MATCH(Core_Data!$A7, qPCR_Unique!$D$3:$D$118,0), 1)</f>
        <v>578.47426997290722</v>
      </c>
      <c r="M7" s="422">
        <f>INDEX(qPCR_Unique!U$3:U$118, MATCH(Core_Data!$A7, qPCR_Unique!$D$3:$D$118,0), 1)</f>
        <v>2.7622840466805152</v>
      </c>
      <c r="N7" s="423">
        <f>INDEX(Physicochemical_Managed!Q$2:Q$207, MATCH(Core_Data!$A7, Physicochemical_Managed!$P$2:$P$207,0), 1)</f>
        <v>6.79</v>
      </c>
      <c r="O7" s="424">
        <f>INDEX(Physicochemical_Managed!R$2:R$207, MATCH(Core_Data!$A7, Physicochemical_Managed!$P$2:$P$207,0), 1)</f>
        <v>33.9</v>
      </c>
      <c r="P7" s="424">
        <f>INDEX(Physicochemical_Managed!S$2:S$207, MATCH(Core_Data!$A7, Physicochemical_Managed!$P$2:$P$207,0), 1)</f>
        <v>3.82</v>
      </c>
      <c r="Q7" s="424">
        <f>INDEX(Physicochemical_Managed!T$2:T$207, MATCH(Core_Data!$A7, Physicochemical_Managed!$P$2:$P$207,0), 1)</f>
        <v>0.01</v>
      </c>
      <c r="R7" s="424">
        <f>INDEX(Physicochemical_Managed!U$2:U$207, MATCH(Core_Data!$A7, Physicochemical_Managed!$P$2:$P$207,0), 1)</f>
        <v>3.89</v>
      </c>
      <c r="S7" s="424">
        <f>INDEX(Physicochemical_Managed!V$2:V$207, MATCH(Core_Data!$A7, Physicochemical_Managed!$P$2:$P$207,0), 1)</f>
        <v>0.08</v>
      </c>
      <c r="T7" s="424">
        <f>INDEX(Physicochemical_Managed!W$2:W$207, MATCH(Core_Data!$A7, Physicochemical_Managed!$P$2:$P$207,0), 1)</f>
        <v>7.0000000000000001E-3</v>
      </c>
      <c r="U7" s="498">
        <f>INDEX(Physicochemical_Managed!X$2:X$207, MATCH(Core_Data!$A7, Physicochemical_Managed!$P$2:$P$207,0), 1)</f>
        <v>0.28000000000000003</v>
      </c>
      <c r="V7" s="504">
        <f>INDEX(qPCR_Unique!W$3:W$118, MATCH(Core_Data!$A7, qPCR_Unique!$D$3:$D$118,0), 1)</f>
        <v>20645807.998781618</v>
      </c>
      <c r="W7" s="505">
        <f>INDEX(qPCR_Unique!X$3:X$118, MATCH(Core_Data!$A7, qPCR_Unique!$D$3:$D$118,0), 1)</f>
        <v>7.3148318841855584</v>
      </c>
    </row>
    <row r="8" spans="1:23" s="380" customFormat="1" x14ac:dyDescent="0.3">
      <c r="A8" s="394" t="str">
        <v>EP44370</v>
      </c>
      <c r="B8" s="414" t="str">
        <f t="shared" si="0"/>
        <v>EP</v>
      </c>
      <c r="C8" s="415">
        <f t="shared" si="1"/>
        <v>44370</v>
      </c>
      <c r="D8" s="416">
        <f>INDEX(qPCR_Unique!H$3:H$118, MATCH(Core_Data!$A8, qPCR_Unique!$D$3:$D$118,0), 1)</f>
        <v>24217772.465048898</v>
      </c>
      <c r="E8" s="417">
        <f>INDEX(qPCR_Unique!I$3:I$118, MATCH(Core_Data!$A8, qPCR_Unique!$D$3:$D$118,0), 1)</f>
        <v>7.384134194520211</v>
      </c>
      <c r="F8" s="418">
        <f>INDEX(qPCR_Unique!K$3:K$118, MATCH(Core_Data!$A8, qPCR_Unique!$D$3:$D$118,0), 1)</f>
        <v>5151.3180096944179</v>
      </c>
      <c r="G8" s="419">
        <f>INDEX(qPCR_Unique!L$3:L$118, MATCH(Core_Data!$A8, qPCR_Unique!$D$3:$D$118,0), 1)</f>
        <v>3.7119183612943583</v>
      </c>
      <c r="H8" s="416">
        <f>INDEX(qPCR_Unique!N$3:N$118, MATCH(Core_Data!$A8, qPCR_Unique!$D$3:$D$118,0), 1)</f>
        <v>1206.8078498045602</v>
      </c>
      <c r="I8" s="417">
        <f>INDEX(qPCR_Unique!O$3:O$118, MATCH(Core_Data!$A8, qPCR_Unique!$D$3:$D$118,0), 1)</f>
        <v>3.0816381264248243</v>
      </c>
      <c r="J8" s="418">
        <f>INDEX(qPCR_Unique!Q$3:Q$118, MATCH(Core_Data!$A8, qPCR_Unique!$D$3:$D$118,0), 1)</f>
        <v>0</v>
      </c>
      <c r="K8" s="420">
        <f>INDEX(qPCR_Unique!R$3:R$118, MATCH(Core_Data!$A8, qPCR_Unique!$D$3:$D$118,0), 1)</f>
        <v>0</v>
      </c>
      <c r="L8" s="421">
        <f>INDEX(qPCR_Unique!T$3:T$118, MATCH(Core_Data!$A8, qPCR_Unique!$D$3:$D$118,0), 1)</f>
        <v>678.19035649299622</v>
      </c>
      <c r="M8" s="422">
        <f>INDEX(qPCR_Unique!U$3:U$118, MATCH(Core_Data!$A8, qPCR_Unique!$D$3:$D$118,0), 1)</f>
        <v>2.831351610048888</v>
      </c>
      <c r="N8" s="423">
        <f>INDEX(Physicochemical_Managed!Q$2:Q$207, MATCH(Core_Data!$A8, Physicochemical_Managed!$P$2:$P$207,0), 1)</f>
        <v>6.98</v>
      </c>
      <c r="O8" s="424">
        <f>INDEX(Physicochemical_Managed!R$2:R$207, MATCH(Core_Data!$A8, Physicochemical_Managed!$P$2:$P$207,0), 1)</f>
        <v>28.3</v>
      </c>
      <c r="P8" s="424">
        <f>INDEX(Physicochemical_Managed!S$2:S$207, MATCH(Core_Data!$A8, Physicochemical_Managed!$P$2:$P$207,0), 1)</f>
        <v>4.0599999999999996</v>
      </c>
      <c r="Q8" s="424">
        <f>INDEX(Physicochemical_Managed!T$2:T$207, MATCH(Core_Data!$A8, Physicochemical_Managed!$P$2:$P$207,0), 1)</f>
        <v>0</v>
      </c>
      <c r="R8" s="424">
        <f>INDEX(Physicochemical_Managed!U$2:U$207, MATCH(Core_Data!$A8, Physicochemical_Managed!$P$2:$P$207,0), 1)</f>
        <v>3.83</v>
      </c>
      <c r="S8" s="424">
        <f>INDEX(Physicochemical_Managed!V$2:V$207, MATCH(Core_Data!$A8, Physicochemical_Managed!$P$2:$P$207,0), 1)</f>
        <v>0.03</v>
      </c>
      <c r="T8" s="424">
        <f>INDEX(Physicochemical_Managed!W$2:W$207, MATCH(Core_Data!$A8, Physicochemical_Managed!$P$2:$P$207,0), 1)</f>
        <v>8.0000000000000002E-3</v>
      </c>
      <c r="U8" s="498">
        <f>INDEX(Physicochemical_Managed!X$2:X$207, MATCH(Core_Data!$A8, Physicochemical_Managed!$P$2:$P$207,0), 1)</f>
        <v>0.27</v>
      </c>
      <c r="V8" s="504">
        <f>INDEX(qPCR_Unique!W$3:W$118, MATCH(Core_Data!$A8, qPCR_Unique!$D$3:$D$118,0), 1)</f>
        <v>7036.3162159919739</v>
      </c>
      <c r="W8" s="505">
        <f>INDEX(qPCR_Unique!X$3:X$118, MATCH(Core_Data!$A8, qPCR_Unique!$D$3:$D$118,0), 1)</f>
        <v>3.8473453486612756</v>
      </c>
    </row>
    <row r="9" spans="1:23" s="380" customFormat="1" x14ac:dyDescent="0.3">
      <c r="A9" s="394" t="str">
        <v>EP44377</v>
      </c>
      <c r="B9" s="414" t="str">
        <f t="shared" si="0"/>
        <v>EP</v>
      </c>
      <c r="C9" s="415">
        <f t="shared" si="1"/>
        <v>44377</v>
      </c>
      <c r="D9" s="416">
        <f>INDEX(qPCR_Unique!H$3:H$118, MATCH(Core_Data!$A9, qPCR_Unique!$D$3:$D$118,0), 1)</f>
        <v>4684351.6805013027</v>
      </c>
      <c r="E9" s="417">
        <f>INDEX(qPCR_Unique!I$3:I$118, MATCH(Core_Data!$A9, qPCR_Unique!$D$3:$D$118,0), 1)</f>
        <v>6.6706494925420223</v>
      </c>
      <c r="F9" s="418">
        <f>INDEX(qPCR_Unique!K$3:K$118, MATCH(Core_Data!$A9, qPCR_Unique!$D$3:$D$118,0), 1)</f>
        <v>2815.9367766786131</v>
      </c>
      <c r="G9" s="419">
        <f>INDEX(qPCR_Unique!L$3:L$118, MATCH(Core_Data!$A9, qPCR_Unique!$D$3:$D$118,0), 1)</f>
        <v>3.4496228998138809</v>
      </c>
      <c r="H9" s="416">
        <f>INDEX(qPCR_Unique!N$3:N$118, MATCH(Core_Data!$A9, qPCR_Unique!$D$3:$D$118,0), 1)</f>
        <v>1257.7391614305211</v>
      </c>
      <c r="I9" s="417">
        <f>INDEX(qPCR_Unique!O$3:O$118, MATCH(Core_Data!$A9, qPCR_Unique!$D$3:$D$118,0), 1)</f>
        <v>3.0995905834804347</v>
      </c>
      <c r="J9" s="418">
        <f>INDEX(qPCR_Unique!Q$3:Q$118, MATCH(Core_Data!$A9, qPCR_Unique!$D$3:$D$118,0), 1)</f>
        <v>0</v>
      </c>
      <c r="K9" s="420">
        <f>INDEX(qPCR_Unique!R$3:R$118, MATCH(Core_Data!$A9, qPCR_Unique!$D$3:$D$118,0), 1)</f>
        <v>0</v>
      </c>
      <c r="L9" s="421">
        <f>INDEX(qPCR_Unique!T$3:T$118, MATCH(Core_Data!$A9, qPCR_Unique!$D$3:$D$118,0), 1)</f>
        <v>142.99451112747192</v>
      </c>
      <c r="M9" s="422">
        <f>INDEX(qPCR_Unique!U$3:U$118, MATCH(Core_Data!$A9, qPCR_Unique!$D$3:$D$118,0), 1)</f>
        <v>2.1553193673056121</v>
      </c>
      <c r="N9" s="423">
        <f>INDEX(Physicochemical_Managed!Q$2:Q$207, MATCH(Core_Data!$A9, Physicochemical_Managed!$P$2:$P$207,0), 1)</f>
        <v>6.71</v>
      </c>
      <c r="O9" s="424">
        <f>INDEX(Physicochemical_Managed!R$2:R$207, MATCH(Core_Data!$A9, Physicochemical_Managed!$P$2:$P$207,0), 1)</f>
        <v>30.2</v>
      </c>
      <c r="P9" s="424">
        <f>INDEX(Physicochemical_Managed!S$2:S$207, MATCH(Core_Data!$A9, Physicochemical_Managed!$P$2:$P$207,0), 1)</f>
        <v>3.49</v>
      </c>
      <c r="Q9" s="424">
        <f>INDEX(Physicochemical_Managed!T$2:T$207, MATCH(Core_Data!$A9, Physicochemical_Managed!$P$2:$P$207,0), 1)</f>
        <v>0.31</v>
      </c>
      <c r="R9" s="424">
        <f>INDEX(Physicochemical_Managed!U$2:U$207, MATCH(Core_Data!$A9, Physicochemical_Managed!$P$2:$P$207,0), 1)</f>
        <v>3.46</v>
      </c>
      <c r="S9" s="424">
        <f>INDEX(Physicochemical_Managed!V$2:V$207, MATCH(Core_Data!$A9, Physicochemical_Managed!$P$2:$P$207,0), 1)</f>
        <v>0.26</v>
      </c>
      <c r="T9" s="424">
        <f>INDEX(Physicochemical_Managed!W$2:W$207, MATCH(Core_Data!$A9, Physicochemical_Managed!$P$2:$P$207,0), 1)</f>
        <v>0</v>
      </c>
      <c r="U9" s="498">
        <f>INDEX(Physicochemical_Managed!X$2:X$207, MATCH(Core_Data!$A9, Physicochemical_Managed!$P$2:$P$207,0), 1)</f>
        <v>0.24</v>
      </c>
      <c r="V9" s="504">
        <f>INDEX(qPCR_Unique!W$3:W$118, MATCH(Core_Data!$A9, qPCR_Unique!$D$3:$D$118,0), 1)</f>
        <v>4216.6704492366061</v>
      </c>
      <c r="W9" s="505">
        <f>INDEX(qPCR_Unique!X$3:X$118, MATCH(Core_Data!$A9, qPCR_Unique!$D$3:$D$118,0), 1)</f>
        <v>3.6249696603768022</v>
      </c>
    </row>
    <row r="10" spans="1:23" s="380" customFormat="1" x14ac:dyDescent="0.3">
      <c r="A10" s="394" t="str">
        <v>EP44385</v>
      </c>
      <c r="B10" s="414" t="str">
        <f t="shared" si="0"/>
        <v>EP</v>
      </c>
      <c r="C10" s="415">
        <f t="shared" si="1"/>
        <v>44385</v>
      </c>
      <c r="D10" s="416">
        <f>INDEX(qPCR_Unique!H$3:H$118, MATCH(Core_Data!$A10, qPCR_Unique!$D$3:$D$118,0), 1)</f>
        <v>67800048.633661866</v>
      </c>
      <c r="E10" s="417">
        <f>INDEX(qPCR_Unique!I$3:I$118, MATCH(Core_Data!$A10, qPCR_Unique!$D$3:$D$118,0), 1)</f>
        <v>7.8312300053910073</v>
      </c>
      <c r="F10" s="418">
        <f>INDEX(qPCR_Unique!K$3:K$118, MATCH(Core_Data!$A10, qPCR_Unique!$D$3:$D$118,0), 1)</f>
        <v>3291.3459990055644</v>
      </c>
      <c r="G10" s="419">
        <f>INDEX(qPCR_Unique!L$3:L$118, MATCH(Core_Data!$A10, qPCR_Unique!$D$3:$D$118,0), 1)</f>
        <v>3.5173735394078167</v>
      </c>
      <c r="H10" s="416">
        <f>INDEX(qPCR_Unique!N$3:N$118, MATCH(Core_Data!$A10, qPCR_Unique!$D$3:$D$118,0), 1)</f>
        <v>1053.8266904416253</v>
      </c>
      <c r="I10" s="417">
        <f>INDEX(qPCR_Unique!O$3:O$118, MATCH(Core_Data!$A10, qPCR_Unique!$D$3:$D$118,0), 1)</f>
        <v>3.0227691938237178</v>
      </c>
      <c r="J10" s="418">
        <f>INDEX(qPCR_Unique!Q$3:Q$118, MATCH(Core_Data!$A10, qPCR_Unique!$D$3:$D$118,0), 1)</f>
        <v>468.02621979953193</v>
      </c>
      <c r="K10" s="420">
        <f>INDEX(qPCR_Unique!R$3:R$118, MATCH(Core_Data!$A10, qPCR_Unique!$D$3:$D$118,0), 1)</f>
        <v>2.6702701838332747</v>
      </c>
      <c r="L10" s="421">
        <f>INDEX(qPCR_Unique!T$3:T$118, MATCH(Core_Data!$A10, qPCR_Unique!$D$3:$D$118,0), 1)</f>
        <v>0</v>
      </c>
      <c r="M10" s="422">
        <f>INDEX(qPCR_Unique!U$3:U$118, MATCH(Core_Data!$A10, qPCR_Unique!$D$3:$D$118,0), 1)</f>
        <v>0</v>
      </c>
      <c r="N10" s="423">
        <f>INDEX(Physicochemical_Managed!Q$2:Q$207, MATCH(Core_Data!$A10, Physicochemical_Managed!$P$2:$P$207,0), 1)</f>
        <v>6.71</v>
      </c>
      <c r="O10" s="424">
        <f>INDEX(Physicochemical_Managed!R$2:R$207, MATCH(Core_Data!$A10, Physicochemical_Managed!$P$2:$P$207,0), 1)</f>
        <v>31.5</v>
      </c>
      <c r="P10" s="424">
        <f>INDEX(Physicochemical_Managed!S$2:S$207, MATCH(Core_Data!$A10, Physicochemical_Managed!$P$2:$P$207,0), 1)</f>
        <v>3.67</v>
      </c>
      <c r="Q10" s="424">
        <f>INDEX(Physicochemical_Managed!T$2:T$207, MATCH(Core_Data!$A10, Physicochemical_Managed!$P$2:$P$207,0), 1)</f>
        <v>0</v>
      </c>
      <c r="R10" s="424">
        <f>INDEX(Physicochemical_Managed!U$2:U$207, MATCH(Core_Data!$A10, Physicochemical_Managed!$P$2:$P$207,0), 1)</f>
        <v>3.53</v>
      </c>
      <c r="S10" s="424">
        <f>INDEX(Physicochemical_Managed!V$2:V$207, MATCH(Core_Data!$A10, Physicochemical_Managed!$P$2:$P$207,0), 1)</f>
        <v>0.06</v>
      </c>
      <c r="T10" s="424">
        <f>INDEX(Physicochemical_Managed!W$2:W$207, MATCH(Core_Data!$A10, Physicochemical_Managed!$P$2:$P$207,0), 1)</f>
        <v>7.0000000000000001E-3</v>
      </c>
      <c r="U10" s="498">
        <f>INDEX(Physicochemical_Managed!X$2:X$207, MATCH(Core_Data!$A10, Physicochemical_Managed!$P$2:$P$207,0), 1)</f>
        <v>0.28999999999999998</v>
      </c>
      <c r="V10" s="504">
        <f>INDEX(qPCR_Unique!W$3:W$118, MATCH(Core_Data!$A10, qPCR_Unique!$D$3:$D$118,0), 1)</f>
        <v>4813.1989092467211</v>
      </c>
      <c r="W10" s="505">
        <f>INDEX(qPCR_Unique!X$3:X$118, MATCH(Core_Data!$A10, qPCR_Unique!$D$3:$D$118,0), 1)</f>
        <v>3.6824338096107176</v>
      </c>
    </row>
    <row r="11" spans="1:23" s="380" customFormat="1" x14ac:dyDescent="0.3">
      <c r="A11" s="394" t="str">
        <v>EP44391</v>
      </c>
      <c r="B11" s="414" t="str">
        <f t="shared" si="0"/>
        <v>EP</v>
      </c>
      <c r="C11" s="415">
        <f t="shared" si="1"/>
        <v>44391</v>
      </c>
      <c r="D11" s="416">
        <f>INDEX(qPCR_Unique!H$3:H$118, MATCH(Core_Data!$A11, qPCR_Unique!$D$3:$D$118,0), 1)</f>
        <v>9534312.4342822526</v>
      </c>
      <c r="E11" s="417">
        <f>INDEX(qPCR_Unique!I$3:I$118, MATCH(Core_Data!$A11, qPCR_Unique!$D$3:$D$118,0), 1)</f>
        <v>6.9792893794204227</v>
      </c>
      <c r="F11" s="418">
        <f>INDEX(qPCR_Unique!K$3:K$118, MATCH(Core_Data!$A11, qPCR_Unique!$D$3:$D$118,0), 1)</f>
        <v>3184.9360238938107</v>
      </c>
      <c r="G11" s="419">
        <f>INDEX(qPCR_Unique!L$3:L$118, MATCH(Core_Data!$A11, qPCR_Unique!$D$3:$D$118,0), 1)</f>
        <v>3.5031007130453271</v>
      </c>
      <c r="H11" s="416">
        <f>INDEX(qPCR_Unique!N$3:N$118, MATCH(Core_Data!$A11, qPCR_Unique!$D$3:$D$118,0), 1)</f>
        <v>1117.8190272951883</v>
      </c>
      <c r="I11" s="417">
        <f>INDEX(qPCR_Unique!O$3:O$118, MATCH(Core_Data!$A11, qPCR_Unique!$D$3:$D$118,0), 1)</f>
        <v>3.048371497817886</v>
      </c>
      <c r="J11" s="418">
        <f>INDEX(qPCR_Unique!Q$3:Q$118, MATCH(Core_Data!$A11, qPCR_Unique!$D$3:$D$118,0), 1)</f>
        <v>1153.1784647987001</v>
      </c>
      <c r="K11" s="420">
        <f>INDEX(qPCR_Unique!R$3:R$118, MATCH(Core_Data!$A11, qPCR_Unique!$D$3:$D$118,0), 1)</f>
        <v>3.06189652349555</v>
      </c>
      <c r="L11" s="421">
        <f>INDEX(qPCR_Unique!T$3:T$118, MATCH(Core_Data!$A11, qPCR_Unique!$D$3:$D$118,0), 1)</f>
        <v>225.24785333209567</v>
      </c>
      <c r="M11" s="422">
        <f>INDEX(qPCR_Unique!U$3:U$118, MATCH(Core_Data!$A11, qPCR_Unique!$D$3:$D$118,0), 1)</f>
        <v>2.3526606607367042</v>
      </c>
      <c r="N11" s="423">
        <f>INDEX(Physicochemical_Managed!Q$2:Q$207, MATCH(Core_Data!$A11, Physicochemical_Managed!$P$2:$P$207,0), 1)</f>
        <v>6.11</v>
      </c>
      <c r="O11" s="424">
        <f>INDEX(Physicochemical_Managed!R$2:R$207, MATCH(Core_Data!$A11, Physicochemical_Managed!$P$2:$P$207,0), 1)</f>
        <v>29.2</v>
      </c>
      <c r="P11" s="424">
        <f>INDEX(Physicochemical_Managed!S$2:S$207, MATCH(Core_Data!$A11, Physicochemical_Managed!$P$2:$P$207,0), 1)</f>
        <v>3.82</v>
      </c>
      <c r="Q11" s="424">
        <f>INDEX(Physicochemical_Managed!T$2:T$207, MATCH(Core_Data!$A11, Physicochemical_Managed!$P$2:$P$207,0), 1)</f>
        <v>0.02</v>
      </c>
      <c r="R11" s="424">
        <f>INDEX(Physicochemical_Managed!U$2:U$207, MATCH(Core_Data!$A11, Physicochemical_Managed!$P$2:$P$207,0), 1)</f>
        <v>3.67</v>
      </c>
      <c r="S11" s="424">
        <f>INDEX(Physicochemical_Managed!V$2:V$207, MATCH(Core_Data!$A11, Physicochemical_Managed!$P$2:$P$207,0), 1)</f>
        <v>7.0000000000000007E-2</v>
      </c>
      <c r="T11" s="424">
        <f>INDEX(Physicochemical_Managed!W$2:W$207, MATCH(Core_Data!$A11, Physicochemical_Managed!$P$2:$P$207,0), 1)</f>
        <v>7.0000000000000001E-3</v>
      </c>
      <c r="U11" s="498">
        <f>INDEX(Physicochemical_Managed!X$2:X$207, MATCH(Core_Data!$A11, Physicochemical_Managed!$P$2:$P$207,0), 1)</f>
        <v>0.23</v>
      </c>
      <c r="V11" s="504">
        <f>INDEX(qPCR_Unique!W$3:W$118, MATCH(Core_Data!$A11, qPCR_Unique!$D$3:$D$118,0), 1)</f>
        <v>5681.1813693197946</v>
      </c>
      <c r="W11" s="505">
        <f>INDEX(qPCR_Unique!X$3:X$118, MATCH(Core_Data!$A11, qPCR_Unique!$D$3:$D$118,0), 1)</f>
        <v>3.7544386541667936</v>
      </c>
    </row>
    <row r="12" spans="1:23" s="380" customFormat="1" x14ac:dyDescent="0.3">
      <c r="A12" s="394" t="str">
        <v>EP44398</v>
      </c>
      <c r="B12" s="414" t="str">
        <f t="shared" si="0"/>
        <v>EP</v>
      </c>
      <c r="C12" s="415">
        <f t="shared" si="1"/>
        <v>44398</v>
      </c>
      <c r="D12" s="416">
        <f>INDEX(qPCR_Unique!H$3:H$118, MATCH(Core_Data!$A12, qPCR_Unique!$D$3:$D$118,0), 1)</f>
        <v>13314536.822306314</v>
      </c>
      <c r="E12" s="417">
        <f>INDEX(qPCR_Unique!I$3:I$118, MATCH(Core_Data!$A12, qPCR_Unique!$D$3:$D$118,0), 1)</f>
        <v>7.1243260630757259</v>
      </c>
      <c r="F12" s="418">
        <f>INDEX(qPCR_Unique!K$3:K$118, MATCH(Core_Data!$A12, qPCR_Unique!$D$3:$D$118,0), 1)</f>
        <v>8008.6822509765625</v>
      </c>
      <c r="G12" s="419">
        <f>INDEX(qPCR_Unique!L$3:L$118, MATCH(Core_Data!$A12, qPCR_Unique!$D$3:$D$118,0), 1)</f>
        <v>3.903561063124283</v>
      </c>
      <c r="H12" s="416">
        <f>INDEX(qPCR_Unique!N$3:N$118, MATCH(Core_Data!$A12, qPCR_Unique!$D$3:$D$118,0), 1)</f>
        <v>440.29507637023926</v>
      </c>
      <c r="I12" s="417">
        <f>INDEX(qPCR_Unique!O$3:O$118, MATCH(Core_Data!$A12, qPCR_Unique!$D$3:$D$118,0), 1)</f>
        <v>2.6437438289589763</v>
      </c>
      <c r="J12" s="418">
        <f>INDEX(qPCR_Unique!Q$3:Q$118, MATCH(Core_Data!$A12, qPCR_Unique!$D$3:$D$118,0), 1)</f>
        <v>19066.925048828125</v>
      </c>
      <c r="K12" s="420">
        <f>INDEX(qPCR_Unique!R$3:R$118, MATCH(Core_Data!$A12, qPCR_Unique!$D$3:$D$118,0), 1)</f>
        <v>4.2802806593803524</v>
      </c>
      <c r="L12" s="421">
        <f>INDEX(qPCR_Unique!T$3:T$118, MATCH(Core_Data!$A12, qPCR_Unique!$D$3:$D$118,0), 1)</f>
        <v>0</v>
      </c>
      <c r="M12" s="422">
        <f>INDEX(qPCR_Unique!U$3:U$118, MATCH(Core_Data!$A12, qPCR_Unique!$D$3:$D$118,0), 1)</f>
        <v>0</v>
      </c>
      <c r="N12" s="423">
        <f>INDEX(Physicochemical_Managed!Q$2:Q$207, MATCH(Core_Data!$A12, Physicochemical_Managed!$P$2:$P$207,0), 1)</f>
        <v>6.77</v>
      </c>
      <c r="O12" s="424">
        <f>INDEX(Physicochemical_Managed!R$2:R$207, MATCH(Core_Data!$A12, Physicochemical_Managed!$P$2:$P$207,0), 1)</f>
        <v>27.4</v>
      </c>
      <c r="P12" s="424">
        <f>INDEX(Physicochemical_Managed!S$2:S$207, MATCH(Core_Data!$A12, Physicochemical_Managed!$P$2:$P$207,0), 1)</f>
        <v>3.92</v>
      </c>
      <c r="Q12" s="424">
        <f>INDEX(Physicochemical_Managed!T$2:T$207, MATCH(Core_Data!$A12, Physicochemical_Managed!$P$2:$P$207,0), 1)</f>
        <v>0.01</v>
      </c>
      <c r="R12" s="424">
        <f>INDEX(Physicochemical_Managed!U$2:U$207, MATCH(Core_Data!$A12, Physicochemical_Managed!$P$2:$P$207,0), 1)</f>
        <v>3.82</v>
      </c>
      <c r="S12" s="424">
        <f>INDEX(Physicochemical_Managed!V$2:V$207, MATCH(Core_Data!$A12, Physicochemical_Managed!$P$2:$P$207,0), 1)</f>
        <v>0.01</v>
      </c>
      <c r="T12" s="424">
        <f>INDEX(Physicochemical_Managed!W$2:W$207, MATCH(Core_Data!$A12, Physicochemical_Managed!$P$2:$P$207,0), 1)</f>
        <v>6.0000000000000001E-3</v>
      </c>
      <c r="U12" s="498">
        <f>INDEX(Physicochemical_Managed!X$2:X$207, MATCH(Core_Data!$A12, Physicochemical_Managed!$P$2:$P$207,0), 1)</f>
        <v>0.19</v>
      </c>
      <c r="V12" s="504">
        <f>INDEX(qPCR_Unique!W$3:W$118, MATCH(Core_Data!$A12, qPCR_Unique!$D$3:$D$118,0), 1)</f>
        <v>27515.902376174927</v>
      </c>
      <c r="W12" s="505">
        <f>INDEX(qPCR_Unique!X$3:X$118, MATCH(Core_Data!$A12, qPCR_Unique!$D$3:$D$118,0), 1)</f>
        <v>4.4395837599444574</v>
      </c>
    </row>
    <row r="13" spans="1:23" s="380" customFormat="1" x14ac:dyDescent="0.3">
      <c r="A13" s="394" t="str">
        <v>EP44405</v>
      </c>
      <c r="B13" s="414" t="str">
        <f t="shared" si="0"/>
        <v>EP</v>
      </c>
      <c r="C13" s="415">
        <f t="shared" si="1"/>
        <v>44405</v>
      </c>
      <c r="D13" s="416">
        <f>INDEX(qPCR_Unique!H$3:H$118, MATCH(Core_Data!$A13, qPCR_Unique!$D$3:$D$118,0), 1)</f>
        <v>27748361.570348252</v>
      </c>
      <c r="E13" s="417">
        <f>INDEX(qPCR_Unique!I$3:I$118, MATCH(Core_Data!$A13, qPCR_Unique!$D$3:$D$118,0), 1)</f>
        <v>7.4432373448654072</v>
      </c>
      <c r="F13" s="418">
        <f>INDEX(qPCR_Unique!K$3:K$118, MATCH(Core_Data!$A13, qPCR_Unique!$D$3:$D$118,0), 1)</f>
        <v>57975.628702935574</v>
      </c>
      <c r="G13" s="419">
        <f>INDEX(qPCR_Unique!L$3:L$118, MATCH(Core_Data!$A13, qPCR_Unique!$D$3:$D$118,0), 1)</f>
        <v>4.7632454669389199</v>
      </c>
      <c r="H13" s="416">
        <f>INDEX(qPCR_Unique!N$3:N$118, MATCH(Core_Data!$A13, qPCR_Unique!$D$3:$D$118,0), 1)</f>
        <v>904.69440033261537</v>
      </c>
      <c r="I13" s="417">
        <f>INDEX(qPCR_Unique!O$3:O$118, MATCH(Core_Data!$A13, qPCR_Unique!$D$3:$D$118,0), 1)</f>
        <v>2.9565019022298489</v>
      </c>
      <c r="J13" s="418">
        <f>INDEX(qPCR_Unique!Q$3:Q$118, MATCH(Core_Data!$A13, qPCR_Unique!$D$3:$D$118,0), 1)</f>
        <v>1840.0667024695354</v>
      </c>
      <c r="K13" s="420">
        <f>INDEX(qPCR_Unique!R$3:R$118, MATCH(Core_Data!$A13, qPCR_Unique!$D$3:$D$118,0), 1)</f>
        <v>3.2648335664820296</v>
      </c>
      <c r="L13" s="421">
        <f>INDEX(qPCR_Unique!T$3:T$118, MATCH(Core_Data!$A13, qPCR_Unique!$D$3:$D$118,0), 1)</f>
        <v>1232.1071780246236</v>
      </c>
      <c r="M13" s="422">
        <f>INDEX(qPCR_Unique!U$3:U$118, MATCH(Core_Data!$A13, qPCR_Unique!$D$3:$D$118,0), 1)</f>
        <v>3.0906484876986329</v>
      </c>
      <c r="N13" s="423">
        <f>INDEX(Physicochemical_Managed!Q$2:Q$207, MATCH(Core_Data!$A13, Physicochemical_Managed!$P$2:$P$207,0), 1)</f>
        <v>6.71</v>
      </c>
      <c r="O13" s="424">
        <f>INDEX(Physicochemical_Managed!R$2:R$207, MATCH(Core_Data!$A13, Physicochemical_Managed!$P$2:$P$207,0), 1)</f>
        <v>31.9</v>
      </c>
      <c r="P13" s="424">
        <f>INDEX(Physicochemical_Managed!S$2:S$207, MATCH(Core_Data!$A13, Physicochemical_Managed!$P$2:$P$207,0), 1)</f>
        <v>0.09</v>
      </c>
      <c r="Q13" s="424">
        <f>INDEX(Physicochemical_Managed!T$2:T$207, MATCH(Core_Data!$A13, Physicochemical_Managed!$P$2:$P$207,0), 1)</f>
        <v>3.49</v>
      </c>
      <c r="R13" s="424">
        <f>INDEX(Physicochemical_Managed!U$2:U$207, MATCH(Core_Data!$A13, Physicochemical_Managed!$P$2:$P$207,0), 1)</f>
        <v>4.0599999999999996</v>
      </c>
      <c r="S13" s="424">
        <f>INDEX(Physicochemical_Managed!V$2:V$207, MATCH(Core_Data!$A13, Physicochemical_Managed!$P$2:$P$207,0), 1)</f>
        <v>0.04</v>
      </c>
      <c r="T13" s="424">
        <f>INDEX(Physicochemical_Managed!W$2:W$207, MATCH(Core_Data!$A13, Physicochemical_Managed!$P$2:$P$207,0), 1)</f>
        <v>7.0000000000000001E-3</v>
      </c>
      <c r="U13" s="498">
        <f>INDEX(Physicochemical_Managed!X$2:X$207, MATCH(Core_Data!$A13, Physicochemical_Managed!$P$2:$P$207,0), 1)</f>
        <v>0.3</v>
      </c>
      <c r="V13" s="504">
        <f>INDEX(qPCR_Unique!W$3:W$118, MATCH(Core_Data!$A13, qPCR_Unique!$D$3:$D$118,0), 1)</f>
        <v>61952.496983762343</v>
      </c>
      <c r="W13" s="505">
        <f>INDEX(qPCR_Unique!X$3:X$118, MATCH(Core_Data!$A13, qPCR_Unique!$D$3:$D$118,0), 1)</f>
        <v>4.7920588152224175</v>
      </c>
    </row>
    <row r="14" spans="1:23" s="380" customFormat="1" x14ac:dyDescent="0.3">
      <c r="A14" s="394" t="str">
        <v>EP44412</v>
      </c>
      <c r="B14" s="414" t="str">
        <f t="shared" si="0"/>
        <v>EP</v>
      </c>
      <c r="C14" s="415">
        <f t="shared" si="1"/>
        <v>44412</v>
      </c>
      <c r="D14" s="416">
        <f>INDEX(qPCR_Unique!H$3:H$118, MATCH(Core_Data!$A14, qPCR_Unique!$D$3:$D$118,0), 1)</f>
        <v>35335407.344563805</v>
      </c>
      <c r="E14" s="417">
        <f>INDEX(qPCR_Unique!I$3:I$118, MATCH(Core_Data!$A14, qPCR_Unique!$D$3:$D$118,0), 1)</f>
        <v>7.548210102201657</v>
      </c>
      <c r="F14" s="418">
        <f>INDEX(qPCR_Unique!K$3:K$118, MATCH(Core_Data!$A14, qPCR_Unique!$D$3:$D$118,0), 1)</f>
        <v>5128.1604766845703</v>
      </c>
      <c r="G14" s="419">
        <f>INDEX(qPCR_Unique!L$3:L$118, MATCH(Core_Data!$A14, qPCR_Unique!$D$3:$D$118,0), 1)</f>
        <v>3.7099616071987671</v>
      </c>
      <c r="H14" s="416">
        <f>INDEX(qPCR_Unique!N$3:N$118, MATCH(Core_Data!$A14, qPCR_Unique!$D$3:$D$118,0), 1)</f>
        <v>2701.2940645217896</v>
      </c>
      <c r="I14" s="417">
        <f>INDEX(qPCR_Unique!O$3:O$118, MATCH(Core_Data!$A14, qPCR_Unique!$D$3:$D$118,0), 1)</f>
        <v>3.4315718643235331</v>
      </c>
      <c r="J14" s="418">
        <f>INDEX(qPCR_Unique!Q$3:Q$118, MATCH(Core_Data!$A14, qPCR_Unique!$D$3:$D$118,0), 1)</f>
        <v>322.03075885772705</v>
      </c>
      <c r="K14" s="420">
        <f>INDEX(qPCR_Unique!R$3:R$118, MATCH(Core_Data!$A14, qPCR_Unique!$D$3:$D$118,0), 1)</f>
        <v>2.5078973554355652</v>
      </c>
      <c r="L14" s="421">
        <f>INDEX(qPCR_Unique!T$3:T$118, MATCH(Core_Data!$A14, qPCR_Unique!$D$3:$D$118,0), 1)</f>
        <v>0</v>
      </c>
      <c r="M14" s="422">
        <f>INDEX(qPCR_Unique!U$3:U$118, MATCH(Core_Data!$A14, qPCR_Unique!$D$3:$D$118,0), 1)</f>
        <v>0</v>
      </c>
      <c r="N14" s="423">
        <f>INDEX(Physicochemical_Managed!Q$2:Q$207, MATCH(Core_Data!$A14, Physicochemical_Managed!$P$2:$P$207,0), 1)</f>
        <v>6.76</v>
      </c>
      <c r="O14" s="424">
        <f>INDEX(Physicochemical_Managed!R$2:R$207, MATCH(Core_Data!$A14, Physicochemical_Managed!$P$2:$P$207,0), 1)</f>
        <v>29.4</v>
      </c>
      <c r="P14" s="424">
        <f>INDEX(Physicochemical_Managed!S$2:S$207, MATCH(Core_Data!$A14, Physicochemical_Managed!$P$2:$P$207,0), 1)</f>
        <v>0.15</v>
      </c>
      <c r="Q14" s="424">
        <f>INDEX(Physicochemical_Managed!T$2:T$207, MATCH(Core_Data!$A14, Physicochemical_Managed!$P$2:$P$207,0), 1)</f>
        <v>3.53</v>
      </c>
      <c r="R14" s="424">
        <f>INDEX(Physicochemical_Managed!U$2:U$207, MATCH(Core_Data!$A14, Physicochemical_Managed!$P$2:$P$207,0), 1)</f>
        <v>3.57</v>
      </c>
      <c r="S14" s="424">
        <f>INDEX(Physicochemical_Managed!V$2:V$207, MATCH(Core_Data!$A14, Physicochemical_Managed!$P$2:$P$207,0), 1)</f>
        <v>0.01</v>
      </c>
      <c r="T14" s="424">
        <f>INDEX(Physicochemical_Managed!W$2:W$207, MATCH(Core_Data!$A14, Physicochemical_Managed!$P$2:$P$207,0), 1)</f>
        <v>8.0000000000000002E-3</v>
      </c>
      <c r="U14" s="498">
        <f>INDEX(Physicochemical_Managed!X$2:X$207, MATCH(Core_Data!$A14, Physicochemical_Managed!$P$2:$P$207,0), 1)</f>
        <v>0.32</v>
      </c>
      <c r="V14" s="504">
        <f>INDEX(qPCR_Unique!W$3:W$118, MATCH(Core_Data!$A14, qPCR_Unique!$D$3:$D$118,0), 1)</f>
        <v>8151.4853000640869</v>
      </c>
      <c r="W14" s="505">
        <f>INDEX(qPCR_Unique!X$3:X$118, MATCH(Core_Data!$A14, qPCR_Unique!$D$3:$D$118,0), 1)</f>
        <v>3.9112367497031117</v>
      </c>
    </row>
    <row r="15" spans="1:23" s="380" customFormat="1" x14ac:dyDescent="0.3">
      <c r="A15" s="394" t="str">
        <v>EP44419</v>
      </c>
      <c r="B15" s="414" t="str">
        <f t="shared" si="0"/>
        <v>EP</v>
      </c>
      <c r="C15" s="415">
        <f t="shared" si="1"/>
        <v>44419</v>
      </c>
      <c r="D15" s="416">
        <f>INDEX(qPCR_Unique!H$3:H$118, MATCH(Core_Data!$A15, qPCR_Unique!$D$3:$D$118,0), 1)</f>
        <v>29980105.893515047</v>
      </c>
      <c r="E15" s="417">
        <f>INDEX(qPCR_Unique!I$3:I$118, MATCH(Core_Data!$A15, qPCR_Unique!$D$3:$D$118,0), 1)</f>
        <v>7.4768331624978526</v>
      </c>
      <c r="F15" s="418">
        <f>INDEX(qPCR_Unique!K$3:K$118, MATCH(Core_Data!$A15, qPCR_Unique!$D$3:$D$118,0), 1)</f>
        <v>2072.9144925099336</v>
      </c>
      <c r="G15" s="419">
        <f>INDEX(qPCR_Unique!L$3:L$118, MATCH(Core_Data!$A15, qPCR_Unique!$D$3:$D$118,0), 1)</f>
        <v>3.3165813878647228</v>
      </c>
      <c r="H15" s="416">
        <f>INDEX(qPCR_Unique!N$3:N$118, MATCH(Core_Data!$A15, qPCR_Unique!$D$3:$D$118,0), 1)</f>
        <v>2975.4120131489412</v>
      </c>
      <c r="I15" s="417">
        <f>INDEX(qPCR_Unique!O$3:O$118, MATCH(Core_Data!$A15, qPCR_Unique!$D$3:$D$118,0), 1)</f>
        <v>3.473547112131016</v>
      </c>
      <c r="J15" s="418">
        <f>INDEX(qPCR_Unique!Q$3:Q$118, MATCH(Core_Data!$A15, qPCR_Unique!$D$3:$D$118,0), 1)</f>
        <v>0</v>
      </c>
      <c r="K15" s="420">
        <f>INDEX(qPCR_Unique!R$3:R$118, MATCH(Core_Data!$A15, qPCR_Unique!$D$3:$D$118,0), 1)</f>
        <v>0</v>
      </c>
      <c r="L15" s="421">
        <f>INDEX(qPCR_Unique!T$3:T$118, MATCH(Core_Data!$A15, qPCR_Unique!$D$3:$D$118,0), 1)</f>
        <v>64.278841018676758</v>
      </c>
      <c r="M15" s="422">
        <f>INDEX(qPCR_Unique!U$3:U$118, MATCH(Core_Data!$A15, qPCR_Unique!$D$3:$D$118,0), 1)</f>
        <v>1.8080680376038922</v>
      </c>
      <c r="N15" s="423">
        <f>INDEX(Physicochemical_Managed!Q$2:Q$207, MATCH(Core_Data!$A15, Physicochemical_Managed!$P$2:$P$207,0), 1)</f>
        <v>6.67</v>
      </c>
      <c r="O15" s="424">
        <f>INDEX(Physicochemical_Managed!R$2:R$207, MATCH(Core_Data!$A15, Physicochemical_Managed!$P$2:$P$207,0), 1)</f>
        <v>30.2</v>
      </c>
      <c r="P15" s="424">
        <f>INDEX(Physicochemical_Managed!S$2:S$207, MATCH(Core_Data!$A15, Physicochemical_Managed!$P$2:$P$207,0), 1)</f>
        <v>0.14000000000000001</v>
      </c>
      <c r="Q15" s="424">
        <f>INDEX(Physicochemical_Managed!T$2:T$207, MATCH(Core_Data!$A15, Physicochemical_Managed!$P$2:$P$207,0), 1)</f>
        <v>3.26</v>
      </c>
      <c r="R15" s="424">
        <f>INDEX(Physicochemical_Managed!U$2:U$207, MATCH(Core_Data!$A15, Physicochemical_Managed!$P$2:$P$207,0), 1)</f>
        <v>3.89</v>
      </c>
      <c r="S15" s="424">
        <f>INDEX(Physicochemical_Managed!V$2:V$207, MATCH(Core_Data!$A15, Physicochemical_Managed!$P$2:$P$207,0), 1)</f>
        <v>0.36</v>
      </c>
      <c r="T15" s="424">
        <f>INDEX(Physicochemical_Managed!W$2:W$207, MATCH(Core_Data!$A15, Physicochemical_Managed!$P$2:$P$207,0), 1)</f>
        <v>8.9999999999999993E-3</v>
      </c>
      <c r="U15" s="498">
        <f>INDEX(Physicochemical_Managed!X$2:X$207, MATCH(Core_Data!$A15, Physicochemical_Managed!$P$2:$P$207,0), 1)</f>
        <v>0.27</v>
      </c>
      <c r="V15" s="504">
        <f>INDEX(qPCR_Unique!W$3:W$118, MATCH(Core_Data!$A15, qPCR_Unique!$D$3:$D$118,0), 1)</f>
        <v>5112.605346677552</v>
      </c>
      <c r="W15" s="505">
        <f>INDEX(qPCR_Unique!X$3:X$118, MATCH(Core_Data!$A15, qPCR_Unique!$D$3:$D$118,0), 1)</f>
        <v>3.7086422698680894</v>
      </c>
    </row>
    <row r="16" spans="1:23" s="380" customFormat="1" x14ac:dyDescent="0.3">
      <c r="A16" s="394" t="str">
        <v>EP44426</v>
      </c>
      <c r="B16" s="414" t="str">
        <f t="shared" si="0"/>
        <v>EP</v>
      </c>
      <c r="C16" s="415">
        <f t="shared" si="1"/>
        <v>44426</v>
      </c>
      <c r="D16" s="416">
        <f>INDEX(qPCR_Unique!H$3:H$118, MATCH(Core_Data!$A16, qPCR_Unique!$D$3:$D$118,0), 1)</f>
        <v>29698642.975470871</v>
      </c>
      <c r="E16" s="417">
        <f>INDEX(qPCR_Unique!I$3:I$118, MATCH(Core_Data!$A16, qPCR_Unique!$D$3:$D$118,0), 1)</f>
        <v>7.4727366054879463</v>
      </c>
      <c r="F16" s="418">
        <f>INDEX(qPCR_Unique!K$3:K$118, MATCH(Core_Data!$A16, qPCR_Unique!$D$3:$D$118,0), 1)</f>
        <v>92179.010087165283</v>
      </c>
      <c r="G16" s="419">
        <f>INDEX(qPCR_Unique!L$3:L$118, MATCH(Core_Data!$A16, qPCR_Unique!$D$3:$D$118,0), 1)</f>
        <v>4.9646320399135817</v>
      </c>
      <c r="H16" s="416">
        <f>INDEX(qPCR_Unique!N$3:N$118, MATCH(Core_Data!$A16, qPCR_Unique!$D$3:$D$118,0), 1)</f>
        <v>1482.6005999592767</v>
      </c>
      <c r="I16" s="417">
        <f>INDEX(qPCR_Unique!O$3:O$118, MATCH(Core_Data!$A16, qPCR_Unique!$D$3:$D$118,0), 1)</f>
        <v>3.1710241715303273</v>
      </c>
      <c r="J16" s="418">
        <f>INDEX(qPCR_Unique!Q$3:Q$118, MATCH(Core_Data!$A16, qPCR_Unique!$D$3:$D$118,0), 1)</f>
        <v>0</v>
      </c>
      <c r="K16" s="420">
        <f>INDEX(qPCR_Unique!R$3:R$118, MATCH(Core_Data!$A16, qPCR_Unique!$D$3:$D$118,0), 1)</f>
        <v>0</v>
      </c>
      <c r="L16" s="421">
        <f>INDEX(qPCR_Unique!T$3:T$118, MATCH(Core_Data!$A16, qPCR_Unique!$D$3:$D$118,0), 1)</f>
        <v>101.11602644125621</v>
      </c>
      <c r="M16" s="422">
        <f>INDEX(qPCR_Unique!U$3:U$118, MATCH(Core_Data!$A16, qPCR_Unique!$D$3:$D$118,0), 1)</f>
        <v>2.0048199947937011</v>
      </c>
      <c r="N16" s="423">
        <f>INDEX(Physicochemical_Managed!Q$2:Q$207, MATCH(Core_Data!$A16, Physicochemical_Managed!$P$2:$P$207,0), 1)</f>
        <v>6.71</v>
      </c>
      <c r="O16" s="424">
        <f>INDEX(Physicochemical_Managed!R$2:R$207, MATCH(Core_Data!$A16, Physicochemical_Managed!$P$2:$P$207,0), 1)</f>
        <v>32.799999999999997</v>
      </c>
      <c r="P16" s="424">
        <f>INDEX(Physicochemical_Managed!S$2:S$207, MATCH(Core_Data!$A16, Physicochemical_Managed!$P$2:$P$207,0), 1)</f>
        <v>0.18</v>
      </c>
      <c r="Q16" s="424">
        <f>INDEX(Physicochemical_Managed!T$2:T$207, MATCH(Core_Data!$A16, Physicochemical_Managed!$P$2:$P$207,0), 1)</f>
        <v>3.66</v>
      </c>
      <c r="R16" s="424">
        <f>INDEX(Physicochemical_Managed!U$2:U$207, MATCH(Core_Data!$A16, Physicochemical_Managed!$P$2:$P$207,0), 1)</f>
        <v>3.82</v>
      </c>
      <c r="S16" s="424">
        <f>INDEX(Physicochemical_Managed!V$2:V$207, MATCH(Core_Data!$A16, Physicochemical_Managed!$P$2:$P$207,0), 1)</f>
        <v>0.03</v>
      </c>
      <c r="T16" s="424">
        <f>INDEX(Physicochemical_Managed!W$2:W$207, MATCH(Core_Data!$A16, Physicochemical_Managed!$P$2:$P$207,0), 1)</f>
        <v>8.0000000000000002E-3</v>
      </c>
      <c r="U16" s="498">
        <f>INDEX(Physicochemical_Managed!X$2:X$207, MATCH(Core_Data!$A16, Physicochemical_Managed!$P$2:$P$207,0), 1)</f>
        <v>0.28999999999999998</v>
      </c>
      <c r="V16" s="504">
        <f>INDEX(qPCR_Unique!W$3:W$118, MATCH(Core_Data!$A16, qPCR_Unique!$D$3:$D$118,0), 1)</f>
        <v>93762.726713565818</v>
      </c>
      <c r="W16" s="505">
        <f>INDEX(qPCR_Unique!X$3:X$118, MATCH(Core_Data!$A16, qPCR_Unique!$D$3:$D$118,0), 1)</f>
        <v>4.9720302285741473</v>
      </c>
    </row>
    <row r="17" spans="1:23" s="380" customFormat="1" ht="16.350000000000001" thickBot="1" x14ac:dyDescent="0.35">
      <c r="A17" s="395" t="str">
        <v>EP44433</v>
      </c>
      <c r="B17" s="425" t="str">
        <f t="shared" si="0"/>
        <v>EP</v>
      </c>
      <c r="C17" s="426">
        <f t="shared" si="1"/>
        <v>44433</v>
      </c>
      <c r="D17" s="427">
        <f>INDEX(qPCR_Unique!H$3:H$118, MATCH(Core_Data!$A17, qPCR_Unique!$D$3:$D$118,0), 1)</f>
        <v>14943283.907004593</v>
      </c>
      <c r="E17" s="428">
        <f>INDEX(qPCR_Unique!I$3:I$118, MATCH(Core_Data!$A17, qPCR_Unique!$D$3:$D$118,0), 1)</f>
        <v>7.1744460476783178</v>
      </c>
      <c r="F17" s="429">
        <f>INDEX(qPCR_Unique!K$3:K$118, MATCH(Core_Data!$A17, qPCR_Unique!$D$3:$D$118,0), 1)</f>
        <v>1478.2960818956112</v>
      </c>
      <c r="G17" s="430">
        <f>INDEX(qPCR_Unique!L$3:L$118, MATCH(Core_Data!$A17, qPCR_Unique!$D$3:$D$118,0), 1)</f>
        <v>3.1697614258419864</v>
      </c>
      <c r="H17" s="427">
        <f>INDEX(qPCR_Unique!N$3:N$118, MATCH(Core_Data!$A17, qPCR_Unique!$D$3:$D$118,0), 1)</f>
        <v>1884.2374628346424</v>
      </c>
      <c r="I17" s="428">
        <f>INDEX(qPCR_Unique!O$3:O$118, MATCH(Core_Data!$A17, qPCR_Unique!$D$3:$D$118,0), 1)</f>
        <v>3.2751356342848927</v>
      </c>
      <c r="J17" s="429">
        <f>INDEX(qPCR_Unique!Q$3:Q$118, MATCH(Core_Data!$A17, qPCR_Unique!$D$3:$D$118,0), 1)</f>
        <v>1174.4201512755376</v>
      </c>
      <c r="K17" s="431">
        <f>INDEX(qPCR_Unique!R$3:R$118, MATCH(Core_Data!$A17, qPCR_Unique!$D$3:$D$118,0), 1)</f>
        <v>3.0698234944731251</v>
      </c>
      <c r="L17" s="432">
        <f>INDEX(qPCR_Unique!T$3:T$118, MATCH(Core_Data!$A17, qPCR_Unique!$D$3:$D$118,0), 1)</f>
        <v>0</v>
      </c>
      <c r="M17" s="433">
        <f>INDEX(qPCR_Unique!U$3:U$118, MATCH(Core_Data!$A17, qPCR_Unique!$D$3:$D$118,0), 1)</f>
        <v>0</v>
      </c>
      <c r="N17" s="434">
        <f>INDEX(Physicochemical_Managed!Q$2:Q$207, MATCH(Core_Data!$A17, Physicochemical_Managed!$P$2:$P$207,0), 1)</f>
        <v>6.84</v>
      </c>
      <c r="O17" s="435">
        <f>INDEX(Physicochemical_Managed!R$2:R$207, MATCH(Core_Data!$A17, Physicochemical_Managed!$P$2:$P$207,0), 1)</f>
        <v>33.5</v>
      </c>
      <c r="P17" s="435">
        <f>INDEX(Physicochemical_Managed!S$2:S$207, MATCH(Core_Data!$A17, Physicochemical_Managed!$P$2:$P$207,0), 1)</f>
        <v>0.21</v>
      </c>
      <c r="Q17" s="435">
        <f>INDEX(Physicochemical_Managed!T$2:T$207, MATCH(Core_Data!$A17, Physicochemical_Managed!$P$2:$P$207,0), 1)</f>
        <v>3.94</v>
      </c>
      <c r="R17" s="435">
        <f>INDEX(Physicochemical_Managed!U$2:U$207, MATCH(Core_Data!$A17, Physicochemical_Managed!$P$2:$P$207,0), 1)</f>
        <v>3.94</v>
      </c>
      <c r="S17" s="435">
        <f>INDEX(Physicochemical_Managed!V$2:V$207, MATCH(Core_Data!$A17, Physicochemical_Managed!$P$2:$P$207,0), 1)</f>
        <v>0</v>
      </c>
      <c r="T17" s="435">
        <f>INDEX(Physicochemical_Managed!W$2:W$207, MATCH(Core_Data!$A17, Physicochemical_Managed!$P$2:$P$207,0), 1)</f>
        <v>7.0000000000000001E-3</v>
      </c>
      <c r="U17" s="499">
        <f>INDEX(Physicochemical_Managed!X$2:X$207, MATCH(Core_Data!$A17, Physicochemical_Managed!$P$2:$P$207,0), 1)</f>
        <v>0.28999999999999998</v>
      </c>
      <c r="V17" s="510">
        <f>INDEX(qPCR_Unique!W$3:W$118, MATCH(Core_Data!$A17, qPCR_Unique!$D$3:$D$118,0), 1)</f>
        <v>4536.9536960057912</v>
      </c>
      <c r="W17" s="511">
        <f>INDEX(qPCR_Unique!X$3:X$118, MATCH(Core_Data!$A17, qPCR_Unique!$D$3:$D$118,0), 1)</f>
        <v>3.6567643468940103</v>
      </c>
    </row>
    <row r="18" spans="1:23" s="380" customFormat="1" x14ac:dyDescent="0.3">
      <c r="A18" s="396" t="str">
        <v>SPI44335</v>
      </c>
      <c r="B18" s="436" t="str">
        <f t="shared" si="0"/>
        <v>SPI</v>
      </c>
      <c r="C18" s="437">
        <f t="shared" si="1"/>
        <v>44335</v>
      </c>
      <c r="D18" s="438">
        <f>INDEX(qPCR_Unique!H$3:H$118, MATCH(Core_Data!$A18, qPCR_Unique!$D$3:$D$118,0), 1)</f>
        <v>17735687.835008629</v>
      </c>
      <c r="E18" s="439">
        <f>INDEX(qPCR_Unique!I$3:I$118, MATCH(Core_Data!$A18, qPCR_Unique!$D$3:$D$118,0), 1)</f>
        <v>7.2488480361773453</v>
      </c>
      <c r="F18" s="440">
        <f>INDEX(qPCR_Unique!K$3:K$118, MATCH(Core_Data!$A18, qPCR_Unique!$D$3:$D$118,0), 1)</f>
        <v>52716.432091497605</v>
      </c>
      <c r="G18" s="441">
        <f>INDEX(qPCR_Unique!L$3:L$118, MATCH(Core_Data!$A18, qPCR_Unique!$D$3:$D$118,0), 1)</f>
        <v>4.721946009032651</v>
      </c>
      <c r="H18" s="438">
        <f>INDEX(qPCR_Unique!N$3:N$118, MATCH(Core_Data!$A18, qPCR_Unique!$D$3:$D$118,0), 1)</f>
        <v>349.56291055166594</v>
      </c>
      <c r="I18" s="439">
        <f>INDEX(qPCR_Unique!O$3:O$118, MATCH(Core_Data!$A18, qPCR_Unique!$D$3:$D$118,0), 1)</f>
        <v>2.5435253467391021</v>
      </c>
      <c r="J18" s="440">
        <f>INDEX(qPCR_Unique!Q$3:Q$118, MATCH(Core_Data!$A18, qPCR_Unique!$D$3:$D$118,0), 1)</f>
        <v>0</v>
      </c>
      <c r="K18" s="442">
        <f>INDEX(qPCR_Unique!R$3:R$118, MATCH(Core_Data!$A18, qPCR_Unique!$D$3:$D$118,0), 1)</f>
        <v>0</v>
      </c>
      <c r="L18" s="443">
        <f>INDEX(qPCR_Unique!T$3:T$118, MATCH(Core_Data!$A18, qPCR_Unique!$D$3:$D$118,0), 1)</f>
        <v>336.88556404523951</v>
      </c>
      <c r="M18" s="444">
        <f>INDEX(qPCR_Unique!U$3:U$118, MATCH(Core_Data!$A18, qPCR_Unique!$D$3:$D$118,0), 1)</f>
        <v>2.5274824013348796</v>
      </c>
      <c r="N18" s="445">
        <f>INDEX(Physicochemical_Managed!Q$2:Q$207, MATCH(Core_Data!$A18, Physicochemical_Managed!$P$2:$P$207,0), 1)</f>
        <v>6.62</v>
      </c>
      <c r="O18" s="446">
        <f>INDEX(Physicochemical_Managed!R$2:R$207, MATCH(Core_Data!$A18, Physicochemical_Managed!$P$2:$P$207,0), 1)</f>
        <v>24.4</v>
      </c>
      <c r="P18" s="446">
        <f>INDEX(Physicochemical_Managed!S$2:S$207, MATCH(Core_Data!$A18, Physicochemical_Managed!$P$2:$P$207,0), 1)</f>
        <v>0.17</v>
      </c>
      <c r="Q18" s="446">
        <f>INDEX(Physicochemical_Managed!T$2:T$207, MATCH(Core_Data!$A18, Physicochemical_Managed!$P$2:$P$207,0), 1)</f>
        <v>1.99</v>
      </c>
      <c r="R18" s="446">
        <f>INDEX(Physicochemical_Managed!U$2:U$207, MATCH(Core_Data!$A18, Physicochemical_Managed!$P$2:$P$207,0), 1)</f>
        <v>2.25</v>
      </c>
      <c r="S18" s="446">
        <f>INDEX(Physicochemical_Managed!V$2:V$207, MATCH(Core_Data!$A18, Physicochemical_Managed!$P$2:$P$207,0), 1)</f>
        <v>0.2</v>
      </c>
      <c r="T18" s="446">
        <f>INDEX(Physicochemical_Managed!W$2:W$207, MATCH(Core_Data!$A18, Physicochemical_Managed!$P$2:$P$207,0), 1)</f>
        <v>5.0000000000000001E-3</v>
      </c>
      <c r="U18" s="500">
        <f>INDEX(Physicochemical_Managed!X$2:X$207, MATCH(Core_Data!$A18, Physicochemical_Managed!$P$2:$P$207,0), 1)</f>
        <v>0.26</v>
      </c>
      <c r="V18" s="512">
        <f>INDEX(qPCR_Unique!W$3:W$118, MATCH(Core_Data!$A18, qPCR_Unique!$D$3:$D$118,0), 1)</f>
        <v>53402.880566094507</v>
      </c>
      <c r="W18" s="513">
        <f>INDEX(qPCR_Unique!X$3:X$118, MATCH(Core_Data!$A18, qPCR_Unique!$D$3:$D$118,0), 1)</f>
        <v>4.7275646836244176</v>
      </c>
    </row>
    <row r="19" spans="1:23" s="380" customFormat="1" x14ac:dyDescent="0.3">
      <c r="A19" s="397" t="str">
        <v>SPI44342</v>
      </c>
      <c r="B19" s="447" t="str">
        <f t="shared" si="0"/>
        <v>SPI</v>
      </c>
      <c r="C19" s="448">
        <f t="shared" si="1"/>
        <v>44342</v>
      </c>
      <c r="D19" s="449">
        <f>INDEX(qPCR_Unique!H$3:H$118, MATCH(Core_Data!$A19, qPCR_Unique!$D$3:$D$118,0), 1)</f>
        <v>25778658.584579062</v>
      </c>
      <c r="E19" s="450">
        <f>INDEX(qPCR_Unique!I$3:I$118, MATCH(Core_Data!$A19, qPCR_Unique!$D$3:$D$118,0), 1)</f>
        <v>7.4112603147058156</v>
      </c>
      <c r="F19" s="451">
        <f>INDEX(qPCR_Unique!K$3:K$118, MATCH(Core_Data!$A19, qPCR_Unique!$D$3:$D$118,0), 1)</f>
        <v>71430.420269980386</v>
      </c>
      <c r="G19" s="452">
        <f>INDEX(qPCR_Unique!L$3:L$118, MATCH(Core_Data!$A19, qPCR_Unique!$D$3:$D$118,0), 1)</f>
        <v>4.8538832053589882</v>
      </c>
      <c r="H19" s="449">
        <f>INDEX(qPCR_Unique!N$3:N$118, MATCH(Core_Data!$A19, qPCR_Unique!$D$3:$D$118,0), 1)</f>
        <v>421.49648844824014</v>
      </c>
      <c r="I19" s="450">
        <f>INDEX(qPCR_Unique!O$3:O$118, MATCH(Core_Data!$A19, qPCR_Unique!$D$3:$D$118,0), 1)</f>
        <v>2.6247939608020308</v>
      </c>
      <c r="J19" s="451">
        <f>INDEX(qPCR_Unique!Q$3:Q$118, MATCH(Core_Data!$A19, qPCR_Unique!$D$3:$D$118,0), 1)</f>
        <v>0</v>
      </c>
      <c r="K19" s="453">
        <f>INDEX(qPCR_Unique!R$3:R$118, MATCH(Core_Data!$A19, qPCR_Unique!$D$3:$D$118,0), 1)</f>
        <v>0</v>
      </c>
      <c r="L19" s="454">
        <f>INDEX(qPCR_Unique!T$3:T$118, MATCH(Core_Data!$A19, qPCR_Unique!$D$3:$D$118,0), 1)</f>
        <v>295.56050020105698</v>
      </c>
      <c r="M19" s="455">
        <f>INDEX(qPCR_Unique!U$3:U$118, MATCH(Core_Data!$A19, qPCR_Unique!$D$3:$D$118,0), 1)</f>
        <v>2.4706463928792002</v>
      </c>
      <c r="N19" s="456">
        <f>INDEX(Physicochemical_Managed!Q$2:Q$207, MATCH(Core_Data!$A19, Physicochemical_Managed!$P$2:$P$207,0), 1)</f>
        <v>6.56</v>
      </c>
      <c r="O19" s="457">
        <f>INDEX(Physicochemical_Managed!R$2:R$207, MATCH(Core_Data!$A19, Physicochemical_Managed!$P$2:$P$207,0), 1)</f>
        <v>25.8</v>
      </c>
      <c r="P19" s="457">
        <f>INDEX(Physicochemical_Managed!S$2:S$207, MATCH(Core_Data!$A19, Physicochemical_Managed!$P$2:$P$207,0), 1)</f>
        <v>0.11</v>
      </c>
      <c r="Q19" s="457">
        <f>INDEX(Physicochemical_Managed!T$2:T$207, MATCH(Core_Data!$A19, Physicochemical_Managed!$P$2:$P$207,0), 1)</f>
        <v>2.2799999999999998</v>
      </c>
      <c r="R19" s="457">
        <f>INDEX(Physicochemical_Managed!U$2:U$207, MATCH(Core_Data!$A19, Physicochemical_Managed!$P$2:$P$207,0), 1)</f>
        <v>2.72</v>
      </c>
      <c r="S19" s="457">
        <f>INDEX(Physicochemical_Managed!V$2:V$207, MATCH(Core_Data!$A19, Physicochemical_Managed!$P$2:$P$207,0), 1)</f>
        <v>0.27</v>
      </c>
      <c r="T19" s="457">
        <f>INDEX(Physicochemical_Managed!W$2:W$207, MATCH(Core_Data!$A19, Physicochemical_Managed!$P$2:$P$207,0), 1)</f>
        <v>5.0000000000000001E-3</v>
      </c>
      <c r="U19" s="501">
        <f>INDEX(Physicochemical_Managed!X$2:X$207, MATCH(Core_Data!$A19, Physicochemical_Managed!$P$2:$P$207,0), 1)</f>
        <v>0.34</v>
      </c>
      <c r="V19" s="514">
        <f>INDEX(qPCR_Unique!W$3:W$118, MATCH(Core_Data!$A19, qPCR_Unique!$D$3:$D$118,0), 1)</f>
        <v>72147.477258629689</v>
      </c>
      <c r="W19" s="515">
        <f>INDEX(qPCR_Unique!X$3:X$118, MATCH(Core_Data!$A19, qPCR_Unique!$D$3:$D$118,0), 1)</f>
        <v>4.8582211499574273</v>
      </c>
    </row>
    <row r="20" spans="1:23" s="380" customFormat="1" x14ac:dyDescent="0.3">
      <c r="A20" s="397" t="str">
        <v>SPI44356</v>
      </c>
      <c r="B20" s="447" t="str">
        <f t="shared" si="0"/>
        <v>SPI</v>
      </c>
      <c r="C20" s="448">
        <f t="shared" si="1"/>
        <v>44356</v>
      </c>
      <c r="D20" s="449">
        <f>INDEX(qPCR_Unique!H$3:H$118, MATCH(Core_Data!$A20, qPCR_Unique!$D$3:$D$118,0), 1)</f>
        <v>15206033.216236256</v>
      </c>
      <c r="E20" s="450">
        <f>INDEX(qPCR_Unique!I$3:I$118, MATCH(Core_Data!$A20, qPCR_Unique!$D$3:$D$118,0), 1)</f>
        <v>7.1820159348297006</v>
      </c>
      <c r="F20" s="451">
        <f>INDEX(qPCR_Unique!K$3:K$118, MATCH(Core_Data!$A20, qPCR_Unique!$D$3:$D$118,0), 1)</f>
        <v>14571.268293592666</v>
      </c>
      <c r="G20" s="452">
        <f>INDEX(qPCR_Unique!L$3:L$118, MATCH(Core_Data!$A20, qPCR_Unique!$D$3:$D$118,0), 1)</f>
        <v>4.163497354716899</v>
      </c>
      <c r="H20" s="449">
        <f>INDEX(qPCR_Unique!N$3:N$118, MATCH(Core_Data!$A20, qPCR_Unique!$D$3:$D$118,0), 1)</f>
        <v>1328.8851711485122</v>
      </c>
      <c r="I20" s="450">
        <f>INDEX(qPCR_Unique!O$3:O$118, MATCH(Core_Data!$A20, qPCR_Unique!$D$3:$D$118,0), 1)</f>
        <v>3.1234874552157841</v>
      </c>
      <c r="J20" s="451">
        <f>INDEX(qPCR_Unique!Q$3:Q$118, MATCH(Core_Data!$A20, qPCR_Unique!$D$3:$D$118,0), 1)</f>
        <v>6327.580451965332</v>
      </c>
      <c r="K20" s="453">
        <f>INDEX(qPCR_Unique!R$3:R$118, MATCH(Core_Data!$A20, qPCR_Unique!$D$3:$D$118,0), 1)</f>
        <v>3.8012376756987201</v>
      </c>
      <c r="L20" s="454">
        <f>INDEX(qPCR_Unique!T$3:T$118, MATCH(Core_Data!$A20, qPCR_Unique!$D$3:$D$118,0), 1)</f>
        <v>1036.8709829118516</v>
      </c>
      <c r="M20" s="455">
        <f>INDEX(qPCR_Unique!U$3:U$118, MATCH(Core_Data!$A20, qPCR_Unique!$D$3:$D$118,0), 1)</f>
        <v>3.0157247208101761</v>
      </c>
      <c r="N20" s="456">
        <f>INDEX(Physicochemical_Managed!Q$2:Q$207, MATCH(Core_Data!$A20, Physicochemical_Managed!$P$2:$P$207,0), 1)</f>
        <v>6.87</v>
      </c>
      <c r="O20" s="457">
        <f>INDEX(Physicochemical_Managed!R$2:R$207, MATCH(Core_Data!$A20, Physicochemical_Managed!$P$2:$P$207,0), 1)</f>
        <v>26.4</v>
      </c>
      <c r="P20" s="457">
        <f>INDEX(Physicochemical_Managed!S$2:S$207, MATCH(Core_Data!$A20, Physicochemical_Managed!$P$2:$P$207,0), 1)</f>
        <v>0.11</v>
      </c>
      <c r="Q20" s="457">
        <f>INDEX(Physicochemical_Managed!T$2:T$207, MATCH(Core_Data!$A20, Physicochemical_Managed!$P$2:$P$207,0), 1)</f>
        <v>2.2799999999999998</v>
      </c>
      <c r="R20" s="457">
        <f>INDEX(Physicochemical_Managed!U$2:U$207, MATCH(Core_Data!$A20, Physicochemical_Managed!$P$2:$P$207,0), 1)</f>
        <v>2.42</v>
      </c>
      <c r="S20" s="457">
        <f>INDEX(Physicochemical_Managed!V$2:V$207, MATCH(Core_Data!$A20, Physicochemical_Managed!$P$2:$P$207,0), 1)</f>
        <v>0.25</v>
      </c>
      <c r="T20" s="457">
        <f>INDEX(Physicochemical_Managed!W$2:W$207, MATCH(Core_Data!$A20, Physicochemical_Managed!$P$2:$P$207,0), 1)</f>
        <v>7.0000000000000001E-3</v>
      </c>
      <c r="U20" s="501">
        <f>INDEX(Physicochemical_Managed!X$2:X$207, MATCH(Core_Data!$A20, Physicochemical_Managed!$P$2:$P$207,0), 1)</f>
        <v>0.35</v>
      </c>
      <c r="V20" s="514">
        <f>INDEX(qPCR_Unique!W$3:W$118, MATCH(Core_Data!$A20, qPCR_Unique!$D$3:$D$118,0), 1)</f>
        <v>23264.604899618364</v>
      </c>
      <c r="W20" s="515">
        <f>INDEX(qPCR_Unique!X$3:X$118, MATCH(Core_Data!$A20, qPCR_Unique!$D$3:$D$118,0), 1)</f>
        <v>4.366695681353594</v>
      </c>
    </row>
    <row r="21" spans="1:23" s="380" customFormat="1" x14ac:dyDescent="0.3">
      <c r="A21" s="397" t="str">
        <v>SPI44370</v>
      </c>
      <c r="B21" s="447" t="str">
        <f t="shared" si="0"/>
        <v>SPI</v>
      </c>
      <c r="C21" s="448">
        <f t="shared" si="1"/>
        <v>44370</v>
      </c>
      <c r="D21" s="449">
        <f>INDEX(qPCR_Unique!H$3:H$118, MATCH(Core_Data!$A21, qPCR_Unique!$D$3:$D$118,0), 1)</f>
        <v>1079688.9856161503</v>
      </c>
      <c r="E21" s="450">
        <f>INDEX(qPCR_Unique!I$3:I$118, MATCH(Core_Data!$A21, qPCR_Unique!$D$3:$D$118,0), 1)</f>
        <v>6.0332986709654914</v>
      </c>
      <c r="F21" s="451">
        <f>INDEX(qPCR_Unique!K$3:K$118, MATCH(Core_Data!$A21, qPCR_Unique!$D$3:$D$118,0), 1)</f>
        <v>0</v>
      </c>
      <c r="G21" s="452">
        <f>INDEX(qPCR_Unique!L$3:L$118, MATCH(Core_Data!$A21, qPCR_Unique!$D$3:$D$118,0), 1)</f>
        <v>0</v>
      </c>
      <c r="H21" s="449">
        <f>INDEX(qPCR_Unique!N$3:N$118, MATCH(Core_Data!$A21, qPCR_Unique!$D$3:$D$118,0), 1)</f>
        <v>68.575786609275667</v>
      </c>
      <c r="I21" s="450">
        <f>INDEX(qPCR_Unique!O$3:O$118, MATCH(Core_Data!$A21, qPCR_Unique!$D$3:$D$118,0), 1)</f>
        <v>1.8361707979478543</v>
      </c>
      <c r="J21" s="451">
        <f>INDEX(qPCR_Unique!Q$3:Q$118, MATCH(Core_Data!$A21, qPCR_Unique!$D$3:$D$118,0), 1)</f>
        <v>0</v>
      </c>
      <c r="K21" s="453">
        <f>INDEX(qPCR_Unique!R$3:R$118, MATCH(Core_Data!$A21, qPCR_Unique!$D$3:$D$118,0), 1)</f>
        <v>0</v>
      </c>
      <c r="L21" s="454">
        <f>INDEX(qPCR_Unique!T$3:T$118, MATCH(Core_Data!$A21, qPCR_Unique!$D$3:$D$118,0), 1)</f>
        <v>182.62219065414794</v>
      </c>
      <c r="M21" s="455">
        <f>INDEX(qPCR_Unique!U$3:U$118, MATCH(Core_Data!$A21, qPCR_Unique!$D$3:$D$118,0), 1)</f>
        <v>2.2615535480783655</v>
      </c>
      <c r="N21" s="456">
        <f>INDEX(Physicochemical_Managed!Q$2:Q$207, MATCH(Core_Data!$A21, Physicochemical_Managed!$P$2:$P$207,0), 1)</f>
        <v>6.92</v>
      </c>
      <c r="O21" s="457">
        <f>INDEX(Physicochemical_Managed!R$2:R$207, MATCH(Core_Data!$A21, Physicochemical_Managed!$P$2:$P$207,0), 1)</f>
        <v>27.6</v>
      </c>
      <c r="P21" s="457">
        <f>INDEX(Physicochemical_Managed!S$2:S$207, MATCH(Core_Data!$A21, Physicochemical_Managed!$P$2:$P$207,0), 1)</f>
        <v>3</v>
      </c>
      <c r="Q21" s="457">
        <f>INDEX(Physicochemical_Managed!T$2:T$207, MATCH(Core_Data!$A21, Physicochemical_Managed!$P$2:$P$207,0), 1)</f>
        <v>0</v>
      </c>
      <c r="R21" s="457">
        <f>INDEX(Physicochemical_Managed!U$2:U$207, MATCH(Core_Data!$A21, Physicochemical_Managed!$P$2:$P$207,0), 1)</f>
        <v>2.92</v>
      </c>
      <c r="S21" s="457">
        <f>INDEX(Physicochemical_Managed!V$2:V$207, MATCH(Core_Data!$A21, Physicochemical_Managed!$P$2:$P$207,0), 1)</f>
        <v>0</v>
      </c>
      <c r="T21" s="457">
        <f>INDEX(Physicochemical_Managed!W$2:W$207, MATCH(Core_Data!$A21, Physicochemical_Managed!$P$2:$P$207,0), 1)</f>
        <v>7.0000000000000001E-3</v>
      </c>
      <c r="U21" s="501">
        <f>INDEX(Physicochemical_Managed!X$2:X$207, MATCH(Core_Data!$A21, Physicochemical_Managed!$P$2:$P$207,0), 1)</f>
        <v>0.3</v>
      </c>
      <c r="V21" s="514">
        <f>INDEX(qPCR_Unique!W$3:W$118, MATCH(Core_Data!$A21, qPCR_Unique!$D$3:$D$118,0), 1)</f>
        <v>251.19797726342361</v>
      </c>
      <c r="W21" s="515">
        <f>INDEX(qPCR_Unique!X$3:X$118, MATCH(Core_Data!$A21, qPCR_Unique!$D$3:$D$118,0), 1)</f>
        <v>2.4000161379836684</v>
      </c>
    </row>
    <row r="22" spans="1:23" s="380" customFormat="1" x14ac:dyDescent="0.3">
      <c r="A22" s="397" t="str">
        <v>SPI44377</v>
      </c>
      <c r="B22" s="447" t="str">
        <f t="shared" si="0"/>
        <v>SPI</v>
      </c>
      <c r="C22" s="448">
        <f t="shared" si="1"/>
        <v>44377</v>
      </c>
      <c r="D22" s="449">
        <f>INDEX(qPCR_Unique!H$3:H$118, MATCH(Core_Data!$A22, qPCR_Unique!$D$3:$D$118,0), 1)</f>
        <v>445554.91106951679</v>
      </c>
      <c r="E22" s="450">
        <f>INDEX(qPCR_Unique!I$3:I$118, MATCH(Core_Data!$A22, qPCR_Unique!$D$3:$D$118,0), 1)</f>
        <v>5.6489012349832528</v>
      </c>
      <c r="F22" s="451">
        <f>INDEX(qPCR_Unique!K$3:K$118, MATCH(Core_Data!$A22, qPCR_Unique!$D$3:$D$118,0), 1)</f>
        <v>470.35959031846784</v>
      </c>
      <c r="G22" s="452">
        <f>INDEX(qPCR_Unique!L$3:L$118, MATCH(Core_Data!$A22, qPCR_Unique!$D$3:$D$118,0), 1)</f>
        <v>2.6724300034261792</v>
      </c>
      <c r="H22" s="449">
        <f>INDEX(qPCR_Unique!N$3:N$118, MATCH(Core_Data!$A22, qPCR_Unique!$D$3:$D$118,0), 1)</f>
        <v>0</v>
      </c>
      <c r="I22" s="450">
        <f>INDEX(qPCR_Unique!O$3:O$118, MATCH(Core_Data!$A22, qPCR_Unique!$D$3:$D$118,0), 1)</f>
        <v>0</v>
      </c>
      <c r="J22" s="451">
        <f>INDEX(qPCR_Unique!Q$3:Q$118, MATCH(Core_Data!$A22, qPCR_Unique!$D$3:$D$118,0), 1)</f>
        <v>0</v>
      </c>
      <c r="K22" s="453">
        <f>INDEX(qPCR_Unique!R$3:R$118, MATCH(Core_Data!$A22, qPCR_Unique!$D$3:$D$118,0), 1)</f>
        <v>0</v>
      </c>
      <c r="L22" s="454">
        <f>INDEX(qPCR_Unique!T$3:T$118, MATCH(Core_Data!$A22, qPCR_Unique!$D$3:$D$118,0), 1)</f>
        <v>0</v>
      </c>
      <c r="M22" s="455">
        <f>INDEX(qPCR_Unique!U$3:U$118, MATCH(Core_Data!$A22, qPCR_Unique!$D$3:$D$118,0), 1)</f>
        <v>0</v>
      </c>
      <c r="N22" s="456">
        <f>INDEX(Physicochemical_Managed!Q$2:Q$207, MATCH(Core_Data!$A22, Physicochemical_Managed!$P$2:$P$207,0), 1)</f>
        <v>7</v>
      </c>
      <c r="O22" s="457">
        <f>INDEX(Physicochemical_Managed!R$2:R$207, MATCH(Core_Data!$A22, Physicochemical_Managed!$P$2:$P$207,0), 1)</f>
        <v>28.1</v>
      </c>
      <c r="P22" s="457">
        <f>INDEX(Physicochemical_Managed!S$2:S$207, MATCH(Core_Data!$A22, Physicochemical_Managed!$P$2:$P$207,0), 1)</f>
        <v>2.78</v>
      </c>
      <c r="Q22" s="457">
        <f>INDEX(Physicochemical_Managed!T$2:T$207, MATCH(Core_Data!$A22, Physicochemical_Managed!$P$2:$P$207,0), 1)</f>
        <v>0.01</v>
      </c>
      <c r="R22" s="457">
        <f>INDEX(Physicochemical_Managed!U$2:U$207, MATCH(Core_Data!$A22, Physicochemical_Managed!$P$2:$P$207,0), 1)</f>
        <v>2.8</v>
      </c>
      <c r="S22" s="457">
        <f>INDEX(Physicochemical_Managed!V$2:V$207, MATCH(Core_Data!$A22, Physicochemical_Managed!$P$2:$P$207,0), 1)</f>
        <v>0.25</v>
      </c>
      <c r="T22" s="457">
        <f>INDEX(Physicochemical_Managed!W$2:W$207, MATCH(Core_Data!$A22, Physicochemical_Managed!$P$2:$P$207,0), 1)</f>
        <v>0.1</v>
      </c>
      <c r="U22" s="501">
        <f>INDEX(Physicochemical_Managed!X$2:X$207, MATCH(Core_Data!$A22, Physicochemical_Managed!$P$2:$P$207,0), 1)</f>
        <v>0.37</v>
      </c>
      <c r="V22" s="514">
        <f>INDEX(qPCR_Unique!W$3:W$118, MATCH(Core_Data!$A22, qPCR_Unique!$D$3:$D$118,0), 1)</f>
        <v>470.35959031846784</v>
      </c>
      <c r="W22" s="515">
        <f>INDEX(qPCR_Unique!X$3:X$118, MATCH(Core_Data!$A22, qPCR_Unique!$D$3:$D$118,0), 1)</f>
        <v>2.6724300034261792</v>
      </c>
    </row>
    <row r="23" spans="1:23" s="380" customFormat="1" x14ac:dyDescent="0.3">
      <c r="A23" s="397" t="str">
        <v>SPI44385</v>
      </c>
      <c r="B23" s="447" t="str">
        <f t="shared" si="0"/>
        <v>SPI</v>
      </c>
      <c r="C23" s="448">
        <f t="shared" si="1"/>
        <v>44385</v>
      </c>
      <c r="D23" s="449">
        <f>INDEX(qPCR_Unique!H$3:H$118, MATCH(Core_Data!$A23, qPCR_Unique!$D$3:$D$118,0), 1)</f>
        <v>287961.82326668227</v>
      </c>
      <c r="E23" s="450">
        <f>INDEX(qPCR_Unique!I$3:I$118, MATCH(Core_Data!$A23, qPCR_Unique!$D$3:$D$118,0), 1)</f>
        <v>5.4593349146911159</v>
      </c>
      <c r="F23" s="451">
        <f>INDEX(qPCR_Unique!K$3:K$118, MATCH(Core_Data!$A23, qPCR_Unique!$D$3:$D$118,0), 1)</f>
        <v>301.44047126265929</v>
      </c>
      <c r="G23" s="452">
        <f>INDEX(qPCR_Unique!L$3:L$118, MATCH(Core_Data!$A23, qPCR_Unique!$D$3:$D$118,0), 1)</f>
        <v>2.4792015600758024</v>
      </c>
      <c r="H23" s="449">
        <f>INDEX(qPCR_Unique!N$3:N$118, MATCH(Core_Data!$A23, qPCR_Unique!$D$3:$D$118,0), 1)</f>
        <v>0</v>
      </c>
      <c r="I23" s="450">
        <f>INDEX(qPCR_Unique!O$3:O$118, MATCH(Core_Data!$A23, qPCR_Unique!$D$3:$D$118,0), 1)</f>
        <v>0</v>
      </c>
      <c r="J23" s="451">
        <f>INDEX(qPCR_Unique!Q$3:Q$118, MATCH(Core_Data!$A23, qPCR_Unique!$D$3:$D$118,0), 1)</f>
        <v>0</v>
      </c>
      <c r="K23" s="453">
        <f>INDEX(qPCR_Unique!R$3:R$118, MATCH(Core_Data!$A23, qPCR_Unique!$D$3:$D$118,0), 1)</f>
        <v>0</v>
      </c>
      <c r="L23" s="454">
        <f>INDEX(qPCR_Unique!T$3:T$118, MATCH(Core_Data!$A23, qPCR_Unique!$D$3:$D$118,0), 1)</f>
        <v>4166.1283587882535</v>
      </c>
      <c r="M23" s="455">
        <f>INDEX(qPCR_Unique!U$3:U$118, MATCH(Core_Data!$A23, qPCR_Unique!$D$3:$D$118,0), 1)</f>
        <v>3.6197326464697857</v>
      </c>
      <c r="N23" s="456">
        <f>INDEX(Physicochemical_Managed!Q$2:Q$207, MATCH(Core_Data!$A23, Physicochemical_Managed!$P$2:$P$207,0), 1)</f>
        <v>6.88</v>
      </c>
      <c r="O23" s="457">
        <f>INDEX(Physicochemical_Managed!R$2:R$207, MATCH(Core_Data!$A23, Physicochemical_Managed!$P$2:$P$207,0), 1)</f>
        <v>28.6</v>
      </c>
      <c r="P23" s="457">
        <f>INDEX(Physicochemical_Managed!S$2:S$207, MATCH(Core_Data!$A23, Physicochemical_Managed!$P$2:$P$207,0), 1)</f>
        <v>2.67</v>
      </c>
      <c r="Q23" s="457">
        <f>INDEX(Physicochemical_Managed!T$2:T$207, MATCH(Core_Data!$A23, Physicochemical_Managed!$P$2:$P$207,0), 1)</f>
        <v>0.03</v>
      </c>
      <c r="R23" s="457">
        <f>INDEX(Physicochemical_Managed!U$2:U$207, MATCH(Core_Data!$A23, Physicochemical_Managed!$P$2:$P$207,0), 1)</f>
        <v>2.78</v>
      </c>
      <c r="S23" s="457">
        <f>INDEX(Physicochemical_Managed!V$2:V$207, MATCH(Core_Data!$A23, Physicochemical_Managed!$P$2:$P$207,0), 1)</f>
        <v>0.03</v>
      </c>
      <c r="T23" s="457">
        <f>INDEX(Physicochemical_Managed!W$2:W$207, MATCH(Core_Data!$A23, Physicochemical_Managed!$P$2:$P$207,0), 1)</f>
        <v>5.0000000000000001E-3</v>
      </c>
      <c r="U23" s="501">
        <f>INDEX(Physicochemical_Managed!X$2:X$207, MATCH(Core_Data!$A23, Physicochemical_Managed!$P$2:$P$207,0), 1)</f>
        <v>0.35</v>
      </c>
      <c r="V23" s="514">
        <f>INDEX(qPCR_Unique!W$3:W$118, MATCH(Core_Data!$A23, qPCR_Unique!$D$3:$D$118,0), 1)</f>
        <v>4467.5688300509128</v>
      </c>
      <c r="W23" s="515">
        <f>INDEX(qPCR_Unique!X$3:X$118, MATCH(Core_Data!$A23, qPCR_Unique!$D$3:$D$118,0), 1)</f>
        <v>3.6500712522310739</v>
      </c>
    </row>
    <row r="24" spans="1:23" s="380" customFormat="1" x14ac:dyDescent="0.3">
      <c r="A24" s="397" t="str">
        <v>SPI44391</v>
      </c>
      <c r="B24" s="447" t="str">
        <f t="shared" si="0"/>
        <v>SPI</v>
      </c>
      <c r="C24" s="448">
        <f t="shared" si="1"/>
        <v>44391</v>
      </c>
      <c r="D24" s="449">
        <f>INDEX(qPCR_Unique!H$3:H$118, MATCH(Core_Data!$A24, qPCR_Unique!$D$3:$D$118,0), 1)</f>
        <v>816250.59539917484</v>
      </c>
      <c r="E24" s="450">
        <f>INDEX(qPCR_Unique!I$3:I$118, MATCH(Core_Data!$A24, qPCR_Unique!$D$3:$D$118,0), 1)</f>
        <v>5.9118235110714696</v>
      </c>
      <c r="F24" s="451">
        <f>INDEX(qPCR_Unique!K$3:K$118, MATCH(Core_Data!$A24, qPCR_Unique!$D$3:$D$118,0), 1)</f>
        <v>1253.6846466876591</v>
      </c>
      <c r="G24" s="452">
        <f>INDEX(qPCR_Unique!L$3:L$118, MATCH(Core_Data!$A24, qPCR_Unique!$D$3:$D$118,0), 1)</f>
        <v>3.0981883072865495</v>
      </c>
      <c r="H24" s="449">
        <f>INDEX(qPCR_Unique!N$3:N$118, MATCH(Core_Data!$A24, qPCR_Unique!$D$3:$D$118,0), 1)</f>
        <v>0</v>
      </c>
      <c r="I24" s="450">
        <f>INDEX(qPCR_Unique!O$3:O$118, MATCH(Core_Data!$A24, qPCR_Unique!$D$3:$D$118,0), 1)</f>
        <v>0</v>
      </c>
      <c r="J24" s="451">
        <f>INDEX(qPCR_Unique!Q$3:Q$118, MATCH(Core_Data!$A24, qPCR_Unique!$D$3:$D$118,0), 1)</f>
        <v>0</v>
      </c>
      <c r="K24" s="453">
        <f>INDEX(qPCR_Unique!R$3:R$118, MATCH(Core_Data!$A24, qPCR_Unique!$D$3:$D$118,0), 1)</f>
        <v>0</v>
      </c>
      <c r="L24" s="454">
        <f>INDEX(qPCR_Unique!T$3:T$118, MATCH(Core_Data!$A24, qPCR_Unique!$D$3:$D$118,0), 1)</f>
        <v>0</v>
      </c>
      <c r="M24" s="455">
        <f>INDEX(qPCR_Unique!U$3:U$118, MATCH(Core_Data!$A24, qPCR_Unique!$D$3:$D$118,0), 1)</f>
        <v>0</v>
      </c>
      <c r="N24" s="456">
        <f>INDEX(Physicochemical_Managed!Q$2:Q$207, MATCH(Core_Data!$A24, Physicochemical_Managed!$P$2:$P$207,0), 1)</f>
        <v>6.77</v>
      </c>
      <c r="O24" s="457">
        <f>INDEX(Physicochemical_Managed!R$2:R$207, MATCH(Core_Data!$A24, Physicochemical_Managed!$P$2:$P$207,0), 1)</f>
        <v>28.6</v>
      </c>
      <c r="P24" s="457">
        <f>INDEX(Physicochemical_Managed!S$2:S$207, MATCH(Core_Data!$A24, Physicochemical_Managed!$P$2:$P$207,0), 1)</f>
        <v>2.64</v>
      </c>
      <c r="Q24" s="457">
        <f>INDEX(Physicochemical_Managed!T$2:T$207, MATCH(Core_Data!$A24, Physicochemical_Managed!$P$2:$P$207,0), 1)</f>
        <v>0.01</v>
      </c>
      <c r="R24" s="457">
        <f>INDEX(Physicochemical_Managed!U$2:U$207, MATCH(Core_Data!$A24, Physicochemical_Managed!$P$2:$P$207,0), 1)</f>
        <v>2.81</v>
      </c>
      <c r="S24" s="457">
        <f>INDEX(Physicochemical_Managed!V$2:V$207, MATCH(Core_Data!$A24, Physicochemical_Managed!$P$2:$P$207,0), 1)</f>
        <v>0.03</v>
      </c>
      <c r="T24" s="457">
        <f>INDEX(Physicochemical_Managed!W$2:W$207, MATCH(Core_Data!$A24, Physicochemical_Managed!$P$2:$P$207,0), 1)</f>
        <v>6.0000000000000001E-3</v>
      </c>
      <c r="U24" s="501">
        <f>INDEX(Physicochemical_Managed!X$2:X$207, MATCH(Core_Data!$A24, Physicochemical_Managed!$P$2:$P$207,0), 1)</f>
        <v>0.42</v>
      </c>
      <c r="V24" s="514">
        <f>INDEX(qPCR_Unique!W$3:W$118, MATCH(Core_Data!$A24, qPCR_Unique!$D$3:$D$118,0), 1)</f>
        <v>1253.6846466876591</v>
      </c>
      <c r="W24" s="515">
        <f>INDEX(qPCR_Unique!X$3:X$118, MATCH(Core_Data!$A24, qPCR_Unique!$D$3:$D$118,0), 1)</f>
        <v>3.0981883072865495</v>
      </c>
    </row>
    <row r="25" spans="1:23" s="380" customFormat="1" x14ac:dyDescent="0.3">
      <c r="A25" s="397" t="str">
        <v>SPI44398</v>
      </c>
      <c r="B25" s="447" t="str">
        <f t="shared" si="0"/>
        <v>SPI</v>
      </c>
      <c r="C25" s="448">
        <f t="shared" si="1"/>
        <v>44398</v>
      </c>
      <c r="D25" s="449">
        <f>INDEX(qPCR_Unique!H$3:H$118, MATCH(Core_Data!$A25, qPCR_Unique!$D$3:$D$118,0), 1)</f>
        <v>2059047.2165643605</v>
      </c>
      <c r="E25" s="450">
        <f>INDEX(qPCR_Unique!I$3:I$118, MATCH(Core_Data!$A25, qPCR_Unique!$D$3:$D$118,0), 1)</f>
        <v>6.3136663056555458</v>
      </c>
      <c r="F25" s="451">
        <f>INDEX(qPCR_Unique!K$3:K$118, MATCH(Core_Data!$A25, qPCR_Unique!$D$3:$D$118,0), 1)</f>
        <v>0</v>
      </c>
      <c r="G25" s="452">
        <f>INDEX(qPCR_Unique!L$3:L$118, MATCH(Core_Data!$A25, qPCR_Unique!$D$3:$D$118,0), 1)</f>
        <v>0</v>
      </c>
      <c r="H25" s="449">
        <f>INDEX(qPCR_Unique!N$3:N$118, MATCH(Core_Data!$A25, qPCR_Unique!$D$3:$D$118,0), 1)</f>
        <v>0</v>
      </c>
      <c r="I25" s="450">
        <f>INDEX(qPCR_Unique!O$3:O$118, MATCH(Core_Data!$A25, qPCR_Unique!$D$3:$D$118,0), 1)</f>
        <v>0</v>
      </c>
      <c r="J25" s="451">
        <f>INDEX(qPCR_Unique!Q$3:Q$118, MATCH(Core_Data!$A25, qPCR_Unique!$D$3:$D$118,0), 1)</f>
        <v>12738.265555245534</v>
      </c>
      <c r="K25" s="453">
        <f>INDEX(qPCR_Unique!R$3:R$118, MATCH(Core_Data!$A25, qPCR_Unique!$D$3:$D$118,0), 1)</f>
        <v>4.1051102984023373</v>
      </c>
      <c r="L25" s="454">
        <f>INDEX(qPCR_Unique!T$3:T$118, MATCH(Core_Data!$A25, qPCR_Unique!$D$3:$D$118,0), 1)</f>
        <v>0</v>
      </c>
      <c r="M25" s="455">
        <f>INDEX(qPCR_Unique!U$3:U$118, MATCH(Core_Data!$A25, qPCR_Unique!$D$3:$D$118,0), 1)</f>
        <v>0</v>
      </c>
      <c r="N25" s="456">
        <f>INDEX(Physicochemical_Managed!Q$2:Q$207, MATCH(Core_Data!$A25, Physicochemical_Managed!$P$2:$P$207,0), 1)</f>
        <v>6.71</v>
      </c>
      <c r="O25" s="457">
        <f>INDEX(Physicochemical_Managed!R$2:R$207, MATCH(Core_Data!$A25, Physicochemical_Managed!$P$2:$P$207,0), 1)</f>
        <v>28.6</v>
      </c>
      <c r="P25" s="457">
        <f>INDEX(Physicochemical_Managed!S$2:S$207, MATCH(Core_Data!$A25, Physicochemical_Managed!$P$2:$P$207,0), 1)</f>
        <v>2.78</v>
      </c>
      <c r="Q25" s="457">
        <f>INDEX(Physicochemical_Managed!T$2:T$207, MATCH(Core_Data!$A25, Physicochemical_Managed!$P$2:$P$207,0), 1)</f>
        <v>0.03</v>
      </c>
      <c r="R25" s="457">
        <f>INDEX(Physicochemical_Managed!U$2:U$207, MATCH(Core_Data!$A25, Physicochemical_Managed!$P$2:$P$207,0), 1)</f>
        <v>2.73</v>
      </c>
      <c r="S25" s="457">
        <f>INDEX(Physicochemical_Managed!V$2:V$207, MATCH(Core_Data!$A25, Physicochemical_Managed!$P$2:$P$207,0), 1)</f>
        <v>0.02</v>
      </c>
      <c r="T25" s="457">
        <f>INDEX(Physicochemical_Managed!W$2:W$207, MATCH(Core_Data!$A25, Physicochemical_Managed!$P$2:$P$207,0), 1)</f>
        <v>6.0000000000000001E-3</v>
      </c>
      <c r="U25" s="501">
        <f>INDEX(Physicochemical_Managed!X$2:X$207, MATCH(Core_Data!$A25, Physicochemical_Managed!$P$2:$P$207,0), 1)</f>
        <v>0.38</v>
      </c>
      <c r="V25" s="514">
        <f>INDEX(qPCR_Unique!W$3:W$118, MATCH(Core_Data!$A25, qPCR_Unique!$D$3:$D$118,0), 1)</f>
        <v>12738.265555245534</v>
      </c>
      <c r="W25" s="515">
        <f>INDEX(qPCR_Unique!X$3:X$118, MATCH(Core_Data!$A25, qPCR_Unique!$D$3:$D$118,0), 1)</f>
        <v>4.1051102984023373</v>
      </c>
    </row>
    <row r="26" spans="1:23" s="380" customFormat="1" x14ac:dyDescent="0.3">
      <c r="A26" s="397" t="str">
        <v>SPI44405</v>
      </c>
      <c r="B26" s="447" t="str">
        <f t="shared" si="0"/>
        <v>SPI</v>
      </c>
      <c r="C26" s="448">
        <f t="shared" si="1"/>
        <v>44405</v>
      </c>
      <c r="D26" s="449">
        <f>INDEX(qPCR_Unique!H$3:H$118, MATCH(Core_Data!$A26, qPCR_Unique!$D$3:$D$118,0), 1)</f>
        <v>405670191.50834006</v>
      </c>
      <c r="E26" s="450">
        <f>INDEX(qPCR_Unique!I$3:I$118, MATCH(Core_Data!$A26, qPCR_Unique!$D$3:$D$118,0), 1)</f>
        <v>8.6081730970830517</v>
      </c>
      <c r="F26" s="451">
        <f>INDEX(qPCR_Unique!K$3:K$118, MATCH(Core_Data!$A26, qPCR_Unique!$D$3:$D$118,0), 1)</f>
        <v>0</v>
      </c>
      <c r="G26" s="452">
        <f>INDEX(qPCR_Unique!L$3:L$118, MATCH(Core_Data!$A26, qPCR_Unique!$D$3:$D$118,0), 1)</f>
        <v>0</v>
      </c>
      <c r="H26" s="449">
        <f>INDEX(qPCR_Unique!N$3:N$118, MATCH(Core_Data!$A26, qPCR_Unique!$D$3:$D$118,0), 1)</f>
        <v>0</v>
      </c>
      <c r="I26" s="450">
        <f>INDEX(qPCR_Unique!O$3:O$118, MATCH(Core_Data!$A26, qPCR_Unique!$D$3:$D$118,0), 1)</f>
        <v>0</v>
      </c>
      <c r="J26" s="451">
        <f>INDEX(qPCR_Unique!Q$3:Q$118, MATCH(Core_Data!$A26, qPCR_Unique!$D$3:$D$118,0), 1)</f>
        <v>735372.31754194864</v>
      </c>
      <c r="K26" s="453">
        <f>INDEX(qPCR_Unique!R$3:R$118, MATCH(Core_Data!$A26, qPCR_Unique!$D$3:$D$118,0), 1)</f>
        <v>5.8665072771985223</v>
      </c>
      <c r="L26" s="454">
        <f>INDEX(qPCR_Unique!T$3:T$118, MATCH(Core_Data!$A26, qPCR_Unique!$D$3:$D$118,0), 1)</f>
        <v>0</v>
      </c>
      <c r="M26" s="455">
        <f>INDEX(qPCR_Unique!U$3:U$118, MATCH(Core_Data!$A26, qPCR_Unique!$D$3:$D$118,0), 1)</f>
        <v>0</v>
      </c>
      <c r="N26" s="456">
        <f>INDEX(Physicochemical_Managed!Q$2:Q$207, MATCH(Core_Data!$A26, Physicochemical_Managed!$P$2:$P$207,0), 1)</f>
        <v>6.74</v>
      </c>
      <c r="O26" s="457">
        <f>INDEX(Physicochemical_Managed!R$2:R$207, MATCH(Core_Data!$A26, Physicochemical_Managed!$P$2:$P$207,0), 1)</f>
        <v>29.7</v>
      </c>
      <c r="P26" s="457">
        <f>INDEX(Physicochemical_Managed!S$2:S$207, MATCH(Core_Data!$A26, Physicochemical_Managed!$P$2:$P$207,0), 1)</f>
        <v>0.04</v>
      </c>
      <c r="Q26" s="457">
        <f>INDEX(Physicochemical_Managed!T$2:T$207, MATCH(Core_Data!$A26, Physicochemical_Managed!$P$2:$P$207,0), 1)</f>
        <v>0.02</v>
      </c>
      <c r="R26" s="457">
        <f>INDEX(Physicochemical_Managed!U$2:U$207, MATCH(Core_Data!$A26, Physicochemical_Managed!$P$2:$P$207,0), 1)</f>
        <v>0.04</v>
      </c>
      <c r="S26" s="457">
        <f>INDEX(Physicochemical_Managed!V$2:V$207, MATCH(Core_Data!$A26, Physicochemical_Managed!$P$2:$P$207,0), 1)</f>
        <v>0.02</v>
      </c>
      <c r="T26" s="457">
        <f>INDEX(Physicochemical_Managed!W$2:W$207, MATCH(Core_Data!$A26, Physicochemical_Managed!$P$2:$P$207,0), 1)</f>
        <v>7.0000000000000001E-3</v>
      </c>
      <c r="U26" s="501">
        <f>INDEX(Physicochemical_Managed!X$2:X$207, MATCH(Core_Data!$A26, Physicochemical_Managed!$P$2:$P$207,0), 1)</f>
        <v>0.48</v>
      </c>
      <c r="V26" s="514">
        <f>INDEX(qPCR_Unique!W$3:W$118, MATCH(Core_Data!$A26, qPCR_Unique!$D$3:$D$118,0), 1)</f>
        <v>735372.31754194864</v>
      </c>
      <c r="W26" s="515">
        <f>INDEX(qPCR_Unique!X$3:X$118, MATCH(Core_Data!$A26, qPCR_Unique!$D$3:$D$118,0), 1)</f>
        <v>5.8665072771985223</v>
      </c>
    </row>
    <row r="27" spans="1:23" s="380" customFormat="1" x14ac:dyDescent="0.3">
      <c r="A27" s="397" t="str">
        <v>SPI44412</v>
      </c>
      <c r="B27" s="447" t="str">
        <f t="shared" si="0"/>
        <v>SPI</v>
      </c>
      <c r="C27" s="448">
        <f t="shared" si="1"/>
        <v>44412</v>
      </c>
      <c r="D27" s="449">
        <f>INDEX(qPCR_Unique!H$3:H$118, MATCH(Core_Data!$A27, qPCR_Unique!$D$3:$D$118,0), 1)</f>
        <v>57927326.48095873</v>
      </c>
      <c r="E27" s="450">
        <f>INDEX(qPCR_Unique!I$3:I$118, MATCH(Core_Data!$A27, qPCR_Unique!$D$3:$D$118,0), 1)</f>
        <v>7.7628834849747959</v>
      </c>
      <c r="F27" s="451">
        <f>INDEX(qPCR_Unique!K$3:K$118, MATCH(Core_Data!$A27, qPCR_Unique!$D$3:$D$118,0), 1)</f>
        <v>5782.9686164855957</v>
      </c>
      <c r="G27" s="452">
        <f>INDEX(qPCR_Unique!L$3:L$118, MATCH(Core_Data!$A27, qPCR_Unique!$D$3:$D$118,0), 1)</f>
        <v>3.7621508354431223</v>
      </c>
      <c r="H27" s="449">
        <f>INDEX(qPCR_Unique!N$3:N$118, MATCH(Core_Data!$A27, qPCR_Unique!$D$3:$D$118,0), 1)</f>
        <v>673.59232803185773</v>
      </c>
      <c r="I27" s="450">
        <f>INDEX(qPCR_Unique!O$3:O$118, MATCH(Core_Data!$A27, qPCR_Unique!$D$3:$D$118,0), 1)</f>
        <v>2.828397132065815</v>
      </c>
      <c r="J27" s="451">
        <f>INDEX(qPCR_Unique!Q$3:Q$118, MATCH(Core_Data!$A27, qPCR_Unique!$D$3:$D$118,0), 1)</f>
        <v>0</v>
      </c>
      <c r="K27" s="453">
        <f>INDEX(qPCR_Unique!R$3:R$118, MATCH(Core_Data!$A27, qPCR_Unique!$D$3:$D$118,0), 1)</f>
        <v>0</v>
      </c>
      <c r="L27" s="454">
        <f>INDEX(qPCR_Unique!T$3:T$118, MATCH(Core_Data!$A27, qPCR_Unique!$D$3:$D$118,0), 1)</f>
        <v>0</v>
      </c>
      <c r="M27" s="455">
        <f>INDEX(qPCR_Unique!U$3:U$118, MATCH(Core_Data!$A27, qPCR_Unique!$D$3:$D$118,0), 1)</f>
        <v>0</v>
      </c>
      <c r="N27" s="456">
        <f>INDEX(Physicochemical_Managed!Q$2:Q$207, MATCH(Core_Data!$A27, Physicochemical_Managed!$P$2:$P$207,0), 1)</f>
        <v>6.7</v>
      </c>
      <c r="O27" s="457">
        <f>INDEX(Physicochemical_Managed!R$2:R$207, MATCH(Core_Data!$A27, Physicochemical_Managed!$P$2:$P$207,0), 1)</f>
        <v>29.7</v>
      </c>
      <c r="P27" s="457">
        <f>INDEX(Physicochemical_Managed!S$2:S$207, MATCH(Core_Data!$A27, Physicochemical_Managed!$P$2:$P$207,0), 1)</f>
        <v>0.06</v>
      </c>
      <c r="Q27" s="457">
        <f>INDEX(Physicochemical_Managed!T$2:T$207, MATCH(Core_Data!$A27, Physicochemical_Managed!$P$2:$P$207,0), 1)</f>
        <v>2.19</v>
      </c>
      <c r="R27" s="457">
        <f>INDEX(Physicochemical_Managed!U$2:U$207, MATCH(Core_Data!$A27, Physicochemical_Managed!$P$2:$P$207,0), 1)</f>
        <v>2.48</v>
      </c>
      <c r="S27" s="457">
        <f>INDEX(Physicochemical_Managed!V$2:V$207, MATCH(Core_Data!$A27, Physicochemical_Managed!$P$2:$P$207,0), 1)</f>
        <v>0.19</v>
      </c>
      <c r="T27" s="457">
        <f>INDEX(Physicochemical_Managed!W$2:W$207, MATCH(Core_Data!$A27, Physicochemical_Managed!$P$2:$P$207,0), 1)</f>
        <v>7.0000000000000001E-3</v>
      </c>
      <c r="U27" s="501">
        <f>INDEX(Physicochemical_Managed!X$2:X$207, MATCH(Core_Data!$A27, Physicochemical_Managed!$P$2:$P$207,0), 1)</f>
        <v>0.43</v>
      </c>
      <c r="V27" s="514">
        <f>INDEX(qPCR_Unique!W$3:W$118, MATCH(Core_Data!$A27, qPCR_Unique!$D$3:$D$118,0), 1)</f>
        <v>6456.5609445174532</v>
      </c>
      <c r="W27" s="515">
        <f>INDEX(qPCR_Unique!X$3:X$118, MATCH(Core_Data!$A27, qPCR_Unique!$D$3:$D$118,0), 1)</f>
        <v>3.8100012547570228</v>
      </c>
    </row>
    <row r="28" spans="1:23" s="380" customFormat="1" x14ac:dyDescent="0.3">
      <c r="A28" s="397" t="str">
        <v>SPI44419</v>
      </c>
      <c r="B28" s="447" t="str">
        <f t="shared" si="0"/>
        <v>SPI</v>
      </c>
      <c r="C28" s="448">
        <f t="shared" si="1"/>
        <v>44419</v>
      </c>
      <c r="D28" s="449">
        <f>INDEX(qPCR_Unique!H$3:H$118, MATCH(Core_Data!$A28, qPCR_Unique!$D$3:$D$118,0), 1)</f>
        <v>9060300.0450077765</v>
      </c>
      <c r="E28" s="450">
        <f>INDEX(qPCR_Unique!I$3:I$118, MATCH(Core_Data!$A28, qPCR_Unique!$D$3:$D$118,0), 1)</f>
        <v>6.9571425802081057</v>
      </c>
      <c r="F28" s="451">
        <f>INDEX(qPCR_Unique!K$3:K$118, MATCH(Core_Data!$A28, qPCR_Unique!$D$3:$D$118,0), 1)</f>
        <v>6351.5933354695635</v>
      </c>
      <c r="G28" s="452">
        <f>INDEX(qPCR_Unique!L$3:L$118, MATCH(Core_Data!$A28, qPCR_Unique!$D$3:$D$118,0), 1)</f>
        <v>3.8028826843473644</v>
      </c>
      <c r="H28" s="449">
        <f>INDEX(qPCR_Unique!N$3:N$118, MATCH(Core_Data!$A28, qPCR_Unique!$D$3:$D$118,0), 1)</f>
        <v>690.3161658181084</v>
      </c>
      <c r="I28" s="450">
        <f>INDEX(qPCR_Unique!O$3:O$118, MATCH(Core_Data!$A28, qPCR_Unique!$D$3:$D$118,0), 1)</f>
        <v>2.8390480438118804</v>
      </c>
      <c r="J28" s="451">
        <f>INDEX(qPCR_Unique!Q$3:Q$118, MATCH(Core_Data!$A28, qPCR_Unique!$D$3:$D$118,0), 1)</f>
        <v>1396.6173463397556</v>
      </c>
      <c r="K28" s="453">
        <f>INDEX(qPCR_Unique!R$3:R$118, MATCH(Core_Data!$A28, qPCR_Unique!$D$3:$D$118,0), 1)</f>
        <v>3.1450774317855172</v>
      </c>
      <c r="L28" s="454">
        <f>INDEX(qPCR_Unique!T$3:T$118, MATCH(Core_Data!$A28, qPCR_Unique!$D$3:$D$118,0), 1)</f>
        <v>0</v>
      </c>
      <c r="M28" s="455">
        <f>INDEX(qPCR_Unique!U$3:U$118, MATCH(Core_Data!$A28, qPCR_Unique!$D$3:$D$118,0), 1)</f>
        <v>0</v>
      </c>
      <c r="N28" s="456">
        <f>INDEX(Physicochemical_Managed!Q$2:Q$207, MATCH(Core_Data!$A28, Physicochemical_Managed!$P$2:$P$207,0), 1)</f>
        <v>6.68</v>
      </c>
      <c r="O28" s="457">
        <f>INDEX(Physicochemical_Managed!R$2:R$207, MATCH(Core_Data!$A28, Physicochemical_Managed!$P$2:$P$207,0), 1)</f>
        <v>29.7</v>
      </c>
      <c r="P28" s="457">
        <f>INDEX(Physicochemical_Managed!S$2:S$207, MATCH(Core_Data!$A28, Physicochemical_Managed!$P$2:$P$207,0), 1)</f>
        <v>0.1</v>
      </c>
      <c r="Q28" s="457">
        <f>INDEX(Physicochemical_Managed!T$2:T$207, MATCH(Core_Data!$A28, Physicochemical_Managed!$P$2:$P$207,0), 1)</f>
        <v>2.0099999999999998</v>
      </c>
      <c r="R28" s="457">
        <f>INDEX(Physicochemical_Managed!U$2:U$207, MATCH(Core_Data!$A28, Physicochemical_Managed!$P$2:$P$207,0), 1)</f>
        <v>2.35</v>
      </c>
      <c r="S28" s="457">
        <f>INDEX(Physicochemical_Managed!V$2:V$207, MATCH(Core_Data!$A28, Physicochemical_Managed!$P$2:$P$207,0), 1)</f>
        <v>0.18</v>
      </c>
      <c r="T28" s="457">
        <f>INDEX(Physicochemical_Managed!W$2:W$207, MATCH(Core_Data!$A28, Physicochemical_Managed!$P$2:$P$207,0), 1)</f>
        <v>6.0000000000000001E-3</v>
      </c>
      <c r="U28" s="501">
        <f>INDEX(Physicochemical_Managed!X$2:X$207, MATCH(Core_Data!$A28, Physicochemical_Managed!$P$2:$P$207,0), 1)</f>
        <v>0.32</v>
      </c>
      <c r="V28" s="514">
        <f>INDEX(qPCR_Unique!W$3:W$118, MATCH(Core_Data!$A28, qPCR_Unique!$D$3:$D$118,0), 1)</f>
        <v>8438.5268476274268</v>
      </c>
      <c r="W28" s="515">
        <f>INDEX(qPCR_Unique!X$3:X$118, MATCH(Core_Data!$A28, qPCR_Unique!$D$3:$D$118,0), 1)</f>
        <v>3.9262666364612002</v>
      </c>
    </row>
    <row r="29" spans="1:23" s="380" customFormat="1" x14ac:dyDescent="0.3">
      <c r="A29" s="397" t="str">
        <v>SPI44426</v>
      </c>
      <c r="B29" s="447" t="str">
        <f t="shared" si="0"/>
        <v>SPI</v>
      </c>
      <c r="C29" s="448">
        <f t="shared" si="1"/>
        <v>44426</v>
      </c>
      <c r="D29" s="449">
        <f>INDEX(qPCR_Unique!H$3:H$118, MATCH(Core_Data!$A29, qPCR_Unique!$D$3:$D$118,0), 1)</f>
        <v>12399603.777513435</v>
      </c>
      <c r="E29" s="450">
        <f>INDEX(qPCR_Unique!I$3:I$118, MATCH(Core_Data!$A29, qPCR_Unique!$D$3:$D$118,0), 1)</f>
        <v>7.093407807743783</v>
      </c>
      <c r="F29" s="451">
        <f>INDEX(qPCR_Unique!K$3:K$118, MATCH(Core_Data!$A29, qPCR_Unique!$D$3:$D$118,0), 1)</f>
        <v>36587.487890365279</v>
      </c>
      <c r="G29" s="452">
        <f>INDEX(qPCR_Unique!L$3:L$118, MATCH(Core_Data!$A29, qPCR_Unique!$D$3:$D$118,0), 1)</f>
        <v>4.5633325917001768</v>
      </c>
      <c r="H29" s="449">
        <f>INDEX(qPCR_Unique!N$3:N$118, MATCH(Core_Data!$A29, qPCR_Unique!$D$3:$D$118,0), 1)</f>
        <v>106.2839462402019</v>
      </c>
      <c r="I29" s="450">
        <f>INDEX(qPCR_Unique!O$3:O$118, MATCH(Core_Data!$A29, qPCR_Unique!$D$3:$D$118,0), 1)</f>
        <v>2.0264676710536986</v>
      </c>
      <c r="J29" s="451">
        <f>INDEX(qPCR_Unique!Q$3:Q$118, MATCH(Core_Data!$A29, qPCR_Unique!$D$3:$D$118,0), 1)</f>
        <v>0</v>
      </c>
      <c r="K29" s="453">
        <f>INDEX(qPCR_Unique!R$3:R$118, MATCH(Core_Data!$A29, qPCR_Unique!$D$3:$D$118,0), 1)</f>
        <v>0</v>
      </c>
      <c r="L29" s="454">
        <f>INDEX(qPCR_Unique!T$3:T$118, MATCH(Core_Data!$A29, qPCR_Unique!$D$3:$D$118,0), 1)</f>
        <v>0</v>
      </c>
      <c r="M29" s="455">
        <f>INDEX(qPCR_Unique!U$3:U$118, MATCH(Core_Data!$A29, qPCR_Unique!$D$3:$D$118,0), 1)</f>
        <v>0</v>
      </c>
      <c r="N29" s="456">
        <f>INDEX(Physicochemical_Managed!Q$2:Q$207, MATCH(Core_Data!$A29, Physicochemical_Managed!$P$2:$P$207,0), 1)</f>
        <v>6.78</v>
      </c>
      <c r="O29" s="457">
        <f>INDEX(Physicochemical_Managed!R$2:R$207, MATCH(Core_Data!$A29, Physicochemical_Managed!$P$2:$P$207,0), 1)</f>
        <v>29.9</v>
      </c>
      <c r="P29" s="457">
        <f>INDEX(Physicochemical_Managed!S$2:S$207, MATCH(Core_Data!$A29, Physicochemical_Managed!$P$2:$P$207,0), 1)</f>
        <v>7.0000000000000007E-2</v>
      </c>
      <c r="Q29" s="457">
        <f>INDEX(Physicochemical_Managed!T$2:T$207, MATCH(Core_Data!$A29, Physicochemical_Managed!$P$2:$P$207,0), 1)</f>
        <v>1.96</v>
      </c>
      <c r="R29" s="457">
        <f>INDEX(Physicochemical_Managed!U$2:U$207, MATCH(Core_Data!$A29, Physicochemical_Managed!$P$2:$P$207,0), 1)</f>
        <v>2.36</v>
      </c>
      <c r="S29" s="457">
        <f>INDEX(Physicochemical_Managed!V$2:V$207, MATCH(Core_Data!$A29, Physicochemical_Managed!$P$2:$P$207,0), 1)</f>
        <v>0.11</v>
      </c>
      <c r="T29" s="457">
        <f>INDEX(Physicochemical_Managed!W$2:W$207, MATCH(Core_Data!$A29, Physicochemical_Managed!$P$2:$P$207,0), 1)</f>
        <v>2E-3</v>
      </c>
      <c r="U29" s="501">
        <f>INDEX(Physicochemical_Managed!X$2:X$207, MATCH(Core_Data!$A29, Physicochemical_Managed!$P$2:$P$207,0), 1)</f>
        <v>0.4</v>
      </c>
      <c r="V29" s="514">
        <f>INDEX(qPCR_Unique!W$3:W$118, MATCH(Core_Data!$A29, qPCR_Unique!$D$3:$D$118,0), 1)</f>
        <v>36693.771836605483</v>
      </c>
      <c r="W29" s="515">
        <f>INDEX(qPCR_Unique!X$3:X$118, MATCH(Core_Data!$A29, qPCR_Unique!$D$3:$D$118,0), 1)</f>
        <v>4.5645923561721409</v>
      </c>
    </row>
    <row r="30" spans="1:23" s="380" customFormat="1" ht="16.350000000000001" thickBot="1" x14ac:dyDescent="0.35">
      <c r="A30" s="398" t="str">
        <v>SPI44433</v>
      </c>
      <c r="B30" s="458" t="str">
        <f t="shared" si="0"/>
        <v>SPI</v>
      </c>
      <c r="C30" s="459">
        <f t="shared" si="1"/>
        <v>44433</v>
      </c>
      <c r="D30" s="460">
        <f>INDEX(qPCR_Unique!H$3:H$118, MATCH(Core_Data!$A30, qPCR_Unique!$D$3:$D$118,0), 1)</f>
        <v>3301584693.4449725</v>
      </c>
      <c r="E30" s="461">
        <f>INDEX(qPCR_Unique!I$3:I$118, MATCH(Core_Data!$A30, qPCR_Unique!$D$3:$D$118,0), 1)</f>
        <v>9.5187224424310894</v>
      </c>
      <c r="F30" s="462">
        <f>INDEX(qPCR_Unique!K$3:K$118, MATCH(Core_Data!$A30, qPCR_Unique!$D$3:$D$118,0), 1)</f>
        <v>11727.359347873264</v>
      </c>
      <c r="G30" s="463">
        <f>INDEX(qPCR_Unique!L$3:L$118, MATCH(Core_Data!$A30, qPCR_Unique!$D$3:$D$118,0), 1)</f>
        <v>4.0692002329379919</v>
      </c>
      <c r="H30" s="460">
        <f>INDEX(qPCR_Unique!N$3:N$118, MATCH(Core_Data!$A30, qPCR_Unique!$D$3:$D$118,0), 1)</f>
        <v>154.5098200154944</v>
      </c>
      <c r="I30" s="461">
        <f>INDEX(qPCR_Unique!O$3:O$118, MATCH(Core_Data!$A30, qPCR_Unique!$D$3:$D$118,0), 1)</f>
        <v>2.1889560866282487</v>
      </c>
      <c r="J30" s="462">
        <f>INDEX(qPCR_Unique!Q$3:Q$118, MATCH(Core_Data!$A30, qPCR_Unique!$D$3:$D$118,0), 1)</f>
        <v>110032.59417654453</v>
      </c>
      <c r="K30" s="464">
        <f>INDEX(qPCR_Unique!R$3:R$118, MATCH(Core_Data!$A30, qPCR_Unique!$D$3:$D$118,0), 1)</f>
        <v>5.0415213521965967</v>
      </c>
      <c r="L30" s="465">
        <f>INDEX(qPCR_Unique!T$3:T$118, MATCH(Core_Data!$A30, qPCR_Unique!$D$3:$D$118,0), 1)</f>
        <v>0</v>
      </c>
      <c r="M30" s="466">
        <f>INDEX(qPCR_Unique!U$3:U$118, MATCH(Core_Data!$A30, qPCR_Unique!$D$3:$D$118,0), 1)</f>
        <v>0</v>
      </c>
      <c r="N30" s="467">
        <f>INDEX(Physicochemical_Managed!Q$2:Q$207, MATCH(Core_Data!$A30, Physicochemical_Managed!$P$2:$P$207,0), 1)</f>
        <v>6.85</v>
      </c>
      <c r="O30" s="468">
        <f>INDEX(Physicochemical_Managed!R$2:R$207, MATCH(Core_Data!$A30, Physicochemical_Managed!$P$2:$P$207,0), 1)</f>
        <v>29.6</v>
      </c>
      <c r="P30" s="468">
        <f>INDEX(Physicochemical_Managed!S$2:S$207, MATCH(Core_Data!$A30, Physicochemical_Managed!$P$2:$P$207,0), 1)</f>
        <v>0.11</v>
      </c>
      <c r="Q30" s="468">
        <f>INDEX(Physicochemical_Managed!T$2:T$207, MATCH(Core_Data!$A30, Physicochemical_Managed!$P$2:$P$207,0), 1)</f>
        <v>1.24</v>
      </c>
      <c r="R30" s="468">
        <f>INDEX(Physicochemical_Managed!U$2:U$207, MATCH(Core_Data!$A30, Physicochemical_Managed!$P$2:$P$207,0), 1)</f>
        <v>1.21</v>
      </c>
      <c r="S30" s="468">
        <f>INDEX(Physicochemical_Managed!V$2:V$207, MATCH(Core_Data!$A30, Physicochemical_Managed!$P$2:$P$207,0), 1)</f>
        <v>0.16</v>
      </c>
      <c r="T30" s="468">
        <f>INDEX(Physicochemical_Managed!W$2:W$207, MATCH(Core_Data!$A30, Physicochemical_Managed!$P$2:$P$207,0), 1)</f>
        <v>1E-3</v>
      </c>
      <c r="U30" s="502">
        <f>INDEX(Physicochemical_Managed!X$2:X$207, MATCH(Core_Data!$A30, Physicochemical_Managed!$P$2:$P$207,0), 1)</f>
        <v>0.42</v>
      </c>
      <c r="V30" s="516">
        <f>INDEX(qPCR_Unique!W$3:W$118, MATCH(Core_Data!$A30, qPCR_Unique!$D$3:$D$118,0), 1)</f>
        <v>121914.46334443329</v>
      </c>
      <c r="W30" s="517">
        <f>INDEX(qPCR_Unique!X$3:X$118, MATCH(Core_Data!$A30, qPCR_Unique!$D$3:$D$118,0), 1)</f>
        <v>5.0860552312793166</v>
      </c>
    </row>
    <row r="31" spans="1:23" s="380" customFormat="1" x14ac:dyDescent="0.3">
      <c r="A31" s="393" t="str">
        <v>SPO44335</v>
      </c>
      <c r="B31" s="403" t="str">
        <f t="shared" si="0"/>
        <v>SPO</v>
      </c>
      <c r="C31" s="404">
        <f t="shared" si="1"/>
        <v>44335</v>
      </c>
      <c r="D31" s="405">
        <f>INDEX(qPCR_Unique!H$3:H$118, MATCH(Core_Data!$A31, qPCR_Unique!$D$3:$D$118,0), 1)</f>
        <v>24982327.534028612</v>
      </c>
      <c r="E31" s="406">
        <f>INDEX(qPCR_Unique!I$3:I$118, MATCH(Core_Data!$A31, qPCR_Unique!$D$3:$D$118,0), 1)</f>
        <v>7.3976328979330424</v>
      </c>
      <c r="F31" s="407">
        <f>INDEX(qPCR_Unique!K$3:K$118, MATCH(Core_Data!$A31, qPCR_Unique!$D$3:$D$118,0), 1)</f>
        <v>127384.67265126975</v>
      </c>
      <c r="G31" s="408">
        <f>INDEX(qPCR_Unique!L$3:L$118, MATCH(Core_Data!$A31, qPCR_Unique!$D$3:$D$118,0), 1)</f>
        <v>5.1051171753821354</v>
      </c>
      <c r="H31" s="405">
        <f>INDEX(qPCR_Unique!N$3:N$118, MATCH(Core_Data!$A31, qPCR_Unique!$D$3:$D$118,0), 1)</f>
        <v>2341.3237787638136</v>
      </c>
      <c r="I31" s="406">
        <f>INDEX(qPCR_Unique!O$3:O$118, MATCH(Core_Data!$A31, qPCR_Unique!$D$3:$D$118,0), 1)</f>
        <v>3.3694614758953745</v>
      </c>
      <c r="J31" s="407">
        <f>INDEX(qPCR_Unique!Q$3:Q$118, MATCH(Core_Data!$A31, qPCR_Unique!$D$3:$D$118,0), 1)</f>
        <v>409.23349785082269</v>
      </c>
      <c r="K31" s="409">
        <f>INDEX(qPCR_Unique!R$3:R$118, MATCH(Core_Data!$A31, qPCR_Unique!$D$3:$D$118,0), 1)</f>
        <v>2.6119711757154414</v>
      </c>
      <c r="L31" s="410">
        <f>INDEX(qPCR_Unique!T$3:T$118, MATCH(Core_Data!$A31, qPCR_Unique!$D$3:$D$118,0), 1)</f>
        <v>94.925520395991782</v>
      </c>
      <c r="M31" s="411">
        <f>INDEX(qPCR_Unique!U$3:U$118, MATCH(Core_Data!$A31, qPCR_Unique!$D$3:$D$118,0), 1)</f>
        <v>1.9773829866860844</v>
      </c>
      <c r="N31" s="412">
        <f>INDEX(Physicochemical_Managed!Q$2:Q$207, MATCH(Core_Data!$A31, Physicochemical_Managed!$P$2:$P$207,0), 1)</f>
        <v>6.53</v>
      </c>
      <c r="O31" s="413">
        <f>INDEX(Physicochemical_Managed!R$2:R$207, MATCH(Core_Data!$A31, Physicochemical_Managed!$P$2:$P$207,0), 1)</f>
        <v>24.8</v>
      </c>
      <c r="P31" s="413">
        <f>INDEX(Physicochemical_Managed!S$2:S$207, MATCH(Core_Data!$A31, Physicochemical_Managed!$P$2:$P$207,0), 1)</f>
        <v>0.11</v>
      </c>
      <c r="Q31" s="413">
        <f>INDEX(Physicochemical_Managed!T$2:T$207, MATCH(Core_Data!$A31, Physicochemical_Managed!$P$2:$P$207,0), 1)</f>
        <v>1.77</v>
      </c>
      <c r="R31" s="413">
        <f>INDEX(Physicochemical_Managed!U$2:U$207, MATCH(Core_Data!$A31, Physicochemical_Managed!$P$2:$P$207,0), 1)</f>
        <v>2.23</v>
      </c>
      <c r="S31" s="413">
        <f>INDEX(Physicochemical_Managed!V$2:V$207, MATCH(Core_Data!$A31, Physicochemical_Managed!$P$2:$P$207,0), 1)</f>
        <v>0.33</v>
      </c>
      <c r="T31" s="413">
        <f>INDEX(Physicochemical_Managed!W$2:W$207, MATCH(Core_Data!$A31, Physicochemical_Managed!$P$2:$P$207,0), 1)</f>
        <v>5.0000000000000001E-3</v>
      </c>
      <c r="U31" s="497">
        <f>INDEX(Physicochemical_Managed!X$2:X$207, MATCH(Core_Data!$A31, Physicochemical_Managed!$P$2:$P$207,0), 1)</f>
        <v>0.26</v>
      </c>
      <c r="V31" s="506">
        <f>INDEX(qPCR_Unique!W$3:W$118, MATCH(Core_Data!$A31, qPCR_Unique!$D$3:$D$118,0), 1)</f>
        <v>130230.15544828038</v>
      </c>
      <c r="W31" s="507">
        <f>INDEX(qPCR_Unique!X$3:X$118, MATCH(Core_Data!$A31, qPCR_Unique!$D$3:$D$118,0), 1)</f>
        <v>5.1147115589511296</v>
      </c>
    </row>
    <row r="32" spans="1:23" s="380" customFormat="1" x14ac:dyDescent="0.3">
      <c r="A32" s="394" t="str">
        <v>SPO44342</v>
      </c>
      <c r="B32" s="414" t="str">
        <f t="shared" si="0"/>
        <v>SPO</v>
      </c>
      <c r="C32" s="415">
        <f t="shared" si="1"/>
        <v>44342</v>
      </c>
      <c r="D32" s="416">
        <f>INDEX(qPCR_Unique!H$3:H$118, MATCH(Core_Data!$A32, qPCR_Unique!$D$3:$D$118,0), 1)</f>
        <v>8355844.2294126544</v>
      </c>
      <c r="E32" s="417">
        <f>INDEX(qPCR_Unique!I$3:I$118, MATCH(Core_Data!$A32, qPCR_Unique!$D$3:$D$118,0), 1)</f>
        <v>6.9219903352171874</v>
      </c>
      <c r="F32" s="418">
        <f>INDEX(qPCR_Unique!K$3:K$118, MATCH(Core_Data!$A32, qPCR_Unique!$D$3:$D$118,0), 1)</f>
        <v>22802.724945411253</v>
      </c>
      <c r="G32" s="419">
        <f>INDEX(qPCR_Unique!L$3:L$118, MATCH(Core_Data!$A32, qPCR_Unique!$D$3:$D$118,0), 1)</f>
        <v>4.3579867486689796</v>
      </c>
      <c r="H32" s="416">
        <f>INDEX(qPCR_Unique!N$3:N$118, MATCH(Core_Data!$A32, qPCR_Unique!$D$3:$D$118,0), 1)</f>
        <v>311.48391137891775</v>
      </c>
      <c r="I32" s="417">
        <f>INDEX(qPCR_Unique!O$3:O$118, MATCH(Core_Data!$A32, qPCR_Unique!$D$3:$D$118,0), 1)</f>
        <v>2.4934356195993486</v>
      </c>
      <c r="J32" s="418">
        <f>INDEX(qPCR_Unique!Q$3:Q$118, MATCH(Core_Data!$A32, qPCR_Unique!$D$3:$D$118,0), 1)</f>
        <v>9879.4440833889712</v>
      </c>
      <c r="K32" s="420">
        <f>INDEX(qPCR_Unique!R$3:R$118, MATCH(Core_Data!$A32, qPCR_Unique!$D$3:$D$118,0), 1)</f>
        <v>3.9947325075118063</v>
      </c>
      <c r="L32" s="421">
        <f>INDEX(qPCR_Unique!T$3:T$118, MATCH(Core_Data!$A32, qPCR_Unique!$D$3:$D$118,0), 1)</f>
        <v>249.61873482356677</v>
      </c>
      <c r="M32" s="422">
        <f>INDEX(qPCR_Unique!U$3:U$118, MATCH(Core_Data!$A32, qPCR_Unique!$D$3:$D$118,0), 1)</f>
        <v>2.397277177665643</v>
      </c>
      <c r="N32" s="423">
        <f>INDEX(Physicochemical_Managed!Q$2:Q$207, MATCH(Core_Data!$A32, Physicochemical_Managed!$P$2:$P$207,0), 1)</f>
        <v>6.62</v>
      </c>
      <c r="O32" s="424">
        <f>INDEX(Physicochemical_Managed!R$2:R$207, MATCH(Core_Data!$A32, Physicochemical_Managed!$P$2:$P$207,0), 1)</f>
        <v>25.3</v>
      </c>
      <c r="P32" s="424">
        <f>INDEX(Physicochemical_Managed!S$2:S$207, MATCH(Core_Data!$A32, Physicochemical_Managed!$P$2:$P$207,0), 1)</f>
        <v>0.09</v>
      </c>
      <c r="Q32" s="424">
        <f>INDEX(Physicochemical_Managed!T$2:T$207, MATCH(Core_Data!$A32, Physicochemical_Managed!$P$2:$P$207,0), 1)</f>
        <v>1.72</v>
      </c>
      <c r="R32" s="424">
        <f>INDEX(Physicochemical_Managed!U$2:U$207, MATCH(Core_Data!$A32, Physicochemical_Managed!$P$2:$P$207,0), 1)</f>
        <v>2.34</v>
      </c>
      <c r="S32" s="424">
        <f>INDEX(Physicochemical_Managed!V$2:V$207, MATCH(Core_Data!$A32, Physicochemical_Managed!$P$2:$P$207,0), 1)</f>
        <v>0.25</v>
      </c>
      <c r="T32" s="424">
        <f>INDEX(Physicochemical_Managed!W$2:W$207, MATCH(Core_Data!$A32, Physicochemical_Managed!$P$2:$P$207,0), 1)</f>
        <v>5.0000000000000001E-3</v>
      </c>
      <c r="U32" s="498">
        <f>INDEX(Physicochemical_Managed!X$2:X$207, MATCH(Core_Data!$A32, Physicochemical_Managed!$P$2:$P$207,0), 1)</f>
        <v>0.35</v>
      </c>
      <c r="V32" s="504">
        <f>INDEX(qPCR_Unique!W$3:W$118, MATCH(Core_Data!$A32, qPCR_Unique!$D$3:$D$118,0), 1)</f>
        <v>33243.27167500271</v>
      </c>
      <c r="W32" s="505">
        <f>INDEX(qPCR_Unique!X$3:X$118, MATCH(Core_Data!$A32, qPCR_Unique!$D$3:$D$118,0), 1)</f>
        <v>4.5217037588088145</v>
      </c>
    </row>
    <row r="33" spans="1:23" s="380" customFormat="1" x14ac:dyDescent="0.3">
      <c r="A33" s="394" t="str">
        <v>SPO44356</v>
      </c>
      <c r="B33" s="414" t="str">
        <f t="shared" si="0"/>
        <v>SPO</v>
      </c>
      <c r="C33" s="415">
        <f t="shared" si="1"/>
        <v>44356</v>
      </c>
      <c r="D33" s="416">
        <f>INDEX(qPCR_Unique!H$3:H$118, MATCH(Core_Data!$A33, qPCR_Unique!$D$3:$D$118,0), 1)</f>
        <v>7621051.6536266599</v>
      </c>
      <c r="E33" s="417">
        <f>INDEX(qPCR_Unique!I$3:I$118, MATCH(Core_Data!$A33, qPCR_Unique!$D$3:$D$118,0), 1)</f>
        <v>6.8820149051785551</v>
      </c>
      <c r="F33" s="418">
        <f>INDEX(qPCR_Unique!K$3:K$118, MATCH(Core_Data!$A33, qPCR_Unique!$D$3:$D$118,0), 1)</f>
        <v>25427.847262077932</v>
      </c>
      <c r="G33" s="419">
        <f>INDEX(qPCR_Unique!L$3:L$118, MATCH(Core_Data!$A33, qPCR_Unique!$D$3:$D$118,0), 1)</f>
        <v>4.4053095940815297</v>
      </c>
      <c r="H33" s="416">
        <f>INDEX(qPCR_Unique!N$3:N$118, MATCH(Core_Data!$A33, qPCR_Unique!$D$3:$D$118,0), 1)</f>
        <v>2143.2214447965171</v>
      </c>
      <c r="I33" s="417">
        <f>INDEX(qPCR_Unique!O$3:O$118, MATCH(Core_Data!$A33, qPCR_Unique!$D$3:$D$118,0), 1)</f>
        <v>3.3310670461162957</v>
      </c>
      <c r="J33" s="418">
        <f>INDEX(qPCR_Unique!Q$3:Q$118, MATCH(Core_Data!$A33, qPCR_Unique!$D$3:$D$118,0), 1)</f>
        <v>930.36455583822044</v>
      </c>
      <c r="K33" s="420">
        <f>INDEX(qPCR_Unique!R$3:R$118, MATCH(Core_Data!$A33, qPCR_Unique!$D$3:$D$118,0), 1)</f>
        <v>2.968653156689125</v>
      </c>
      <c r="L33" s="421">
        <f>INDEX(qPCR_Unique!T$3:T$118, MATCH(Core_Data!$A33, qPCR_Unique!$D$3:$D$118,0), 1)</f>
        <v>0</v>
      </c>
      <c r="M33" s="422">
        <f>INDEX(qPCR_Unique!U$3:U$118, MATCH(Core_Data!$A33, qPCR_Unique!$D$3:$D$118,0), 1)</f>
        <v>0</v>
      </c>
      <c r="N33" s="423">
        <f>INDEX(Physicochemical_Managed!Q$2:Q$207, MATCH(Core_Data!$A33, Physicochemical_Managed!$P$2:$P$207,0), 1)</f>
        <v>7.2</v>
      </c>
      <c r="O33" s="424">
        <f>INDEX(Physicochemical_Managed!R$2:R$207, MATCH(Core_Data!$A33, Physicochemical_Managed!$P$2:$P$207,0), 1)</f>
        <v>25.2</v>
      </c>
      <c r="P33" s="424">
        <f>INDEX(Physicochemical_Managed!S$2:S$207, MATCH(Core_Data!$A33, Physicochemical_Managed!$P$2:$P$207,0), 1)</f>
        <v>0.09</v>
      </c>
      <c r="Q33" s="424">
        <f>INDEX(Physicochemical_Managed!T$2:T$207, MATCH(Core_Data!$A33, Physicochemical_Managed!$P$2:$P$207,0), 1)</f>
        <v>1.82</v>
      </c>
      <c r="R33" s="424">
        <f>INDEX(Physicochemical_Managed!U$2:U$207, MATCH(Core_Data!$A33, Physicochemical_Managed!$P$2:$P$207,0), 1)</f>
        <v>2.2599999999999998</v>
      </c>
      <c r="S33" s="424">
        <f>INDEX(Physicochemical_Managed!V$2:V$207, MATCH(Core_Data!$A33, Physicochemical_Managed!$P$2:$P$207,0), 1)</f>
        <v>0.14000000000000001</v>
      </c>
      <c r="T33" s="424">
        <f>INDEX(Physicochemical_Managed!W$2:W$207, MATCH(Core_Data!$A33, Physicochemical_Managed!$P$2:$P$207,0), 1)</f>
        <v>1E-3</v>
      </c>
      <c r="U33" s="498">
        <f>INDEX(Physicochemical_Managed!X$2:X$207, MATCH(Core_Data!$A33, Physicochemical_Managed!$P$2:$P$207,0), 1)</f>
        <v>0.36</v>
      </c>
      <c r="V33" s="504">
        <f>INDEX(qPCR_Unique!W$3:W$118, MATCH(Core_Data!$A33, qPCR_Unique!$D$3:$D$118,0), 1)</f>
        <v>28501.433262712668</v>
      </c>
      <c r="W33" s="505">
        <f>INDEX(qPCR_Unique!X$3:X$118, MATCH(Core_Data!$A33, qPCR_Unique!$D$3:$D$118,0), 1)</f>
        <v>4.4548667000939863</v>
      </c>
    </row>
    <row r="34" spans="1:23" s="380" customFormat="1" x14ac:dyDescent="0.3">
      <c r="A34" s="394" t="str">
        <v>SPO44370</v>
      </c>
      <c r="B34" s="414" t="str">
        <f t="shared" si="0"/>
        <v>SPO</v>
      </c>
      <c r="C34" s="415">
        <f t="shared" si="1"/>
        <v>44370</v>
      </c>
      <c r="D34" s="416">
        <f>INDEX(qPCR_Unique!H$3:H$118, MATCH(Core_Data!$A34, qPCR_Unique!$D$3:$D$118,0), 1)</f>
        <v>106165.19125697804</v>
      </c>
      <c r="E34" s="417">
        <f>INDEX(qPCR_Unique!I$3:I$118, MATCH(Core_Data!$A34, qPCR_Unique!$D$3:$D$118,0), 1)</f>
        <v>5.025982146472221</v>
      </c>
      <c r="F34" s="418">
        <f>INDEX(qPCR_Unique!K$3:K$118, MATCH(Core_Data!$A34, qPCR_Unique!$D$3:$D$118,0), 1)</f>
        <v>0</v>
      </c>
      <c r="G34" s="419">
        <f>INDEX(qPCR_Unique!L$3:L$118, MATCH(Core_Data!$A34, qPCR_Unique!$D$3:$D$118,0), 1)</f>
        <v>0</v>
      </c>
      <c r="H34" s="416">
        <f>INDEX(qPCR_Unique!N$3:N$118, MATCH(Core_Data!$A34, qPCR_Unique!$D$3:$D$118,0), 1)</f>
        <v>0</v>
      </c>
      <c r="I34" s="417">
        <f>INDEX(qPCR_Unique!O$3:O$118, MATCH(Core_Data!$A34, qPCR_Unique!$D$3:$D$118,0), 1)</f>
        <v>0</v>
      </c>
      <c r="J34" s="418">
        <f>INDEX(qPCR_Unique!Q$3:Q$118, MATCH(Core_Data!$A34, qPCR_Unique!$D$3:$D$118,0), 1)</f>
        <v>0</v>
      </c>
      <c r="K34" s="420">
        <f>INDEX(qPCR_Unique!R$3:R$118, MATCH(Core_Data!$A34, qPCR_Unique!$D$3:$D$118,0), 1)</f>
        <v>0</v>
      </c>
      <c r="L34" s="421">
        <f>INDEX(qPCR_Unique!T$3:T$118, MATCH(Core_Data!$A34, qPCR_Unique!$D$3:$D$118,0), 1)</f>
        <v>0</v>
      </c>
      <c r="M34" s="422">
        <f>INDEX(qPCR_Unique!U$3:U$118, MATCH(Core_Data!$A34, qPCR_Unique!$D$3:$D$118,0), 1)</f>
        <v>0</v>
      </c>
      <c r="N34" s="423">
        <f>INDEX(Physicochemical_Managed!Q$2:Q$207, MATCH(Core_Data!$A34, Physicochemical_Managed!$P$2:$P$207,0), 1)</f>
        <v>6.97</v>
      </c>
      <c r="O34" s="424">
        <f>INDEX(Physicochemical_Managed!R$2:R$207, MATCH(Core_Data!$A34, Physicochemical_Managed!$P$2:$P$207,0), 1)</f>
        <v>26.6</v>
      </c>
      <c r="P34" s="424">
        <f>INDEX(Physicochemical_Managed!S$2:S$207, MATCH(Core_Data!$A34, Physicochemical_Managed!$P$2:$P$207,0), 1)</f>
        <v>2.68</v>
      </c>
      <c r="Q34" s="424">
        <f>INDEX(Physicochemical_Managed!T$2:T$207, MATCH(Core_Data!$A34, Physicochemical_Managed!$P$2:$P$207,0), 1)</f>
        <v>0</v>
      </c>
      <c r="R34" s="424">
        <f>INDEX(Physicochemical_Managed!U$2:U$207, MATCH(Core_Data!$A34, Physicochemical_Managed!$P$2:$P$207,0), 1)</f>
        <v>2.74</v>
      </c>
      <c r="S34" s="424">
        <f>INDEX(Physicochemical_Managed!V$2:V$207, MATCH(Core_Data!$A34, Physicochemical_Managed!$P$2:$P$207,0), 1)</f>
        <v>0.03</v>
      </c>
      <c r="T34" s="424">
        <f>INDEX(Physicochemical_Managed!W$2:W$207, MATCH(Core_Data!$A34, Physicochemical_Managed!$P$2:$P$207,0), 1)</f>
        <v>6.0000000000000001E-3</v>
      </c>
      <c r="U34" s="498">
        <f>INDEX(Physicochemical_Managed!X$2:X$207, MATCH(Core_Data!$A34, Physicochemical_Managed!$P$2:$P$207,0), 1)</f>
        <v>0.32</v>
      </c>
      <c r="V34" s="504">
        <f>INDEX(qPCR_Unique!W$3:W$118, MATCH(Core_Data!$A34, qPCR_Unique!$D$3:$D$118,0), 1)</f>
        <v>0</v>
      </c>
      <c r="W34" s="505">
        <f>INDEX(qPCR_Unique!X$3:X$118, MATCH(Core_Data!$A34, qPCR_Unique!$D$3:$D$118,0), 1)</f>
        <v>0</v>
      </c>
    </row>
    <row r="35" spans="1:23" s="380" customFormat="1" x14ac:dyDescent="0.3">
      <c r="A35" s="394" t="str">
        <v>SPO44377</v>
      </c>
      <c r="B35" s="414" t="str">
        <f t="shared" si="0"/>
        <v>SPO</v>
      </c>
      <c r="C35" s="415">
        <f t="shared" si="1"/>
        <v>44377</v>
      </c>
      <c r="D35" s="416">
        <f>INDEX(qPCR_Unique!H$3:H$118, MATCH(Core_Data!$A35, qPCR_Unique!$D$3:$D$118,0), 1)</f>
        <v>48169.277388961244</v>
      </c>
      <c r="E35" s="417">
        <f>INDEX(qPCR_Unique!I$3:I$118, MATCH(Core_Data!$A35, qPCR_Unique!$D$3:$D$118,0), 1)</f>
        <v>4.682770131298021</v>
      </c>
      <c r="F35" s="418">
        <f>INDEX(qPCR_Unique!K$3:K$118, MATCH(Core_Data!$A35, qPCR_Unique!$D$3:$D$118,0), 1)</f>
        <v>0</v>
      </c>
      <c r="G35" s="419">
        <f>INDEX(qPCR_Unique!L$3:L$118, MATCH(Core_Data!$A35, qPCR_Unique!$D$3:$D$118,0), 1)</f>
        <v>0</v>
      </c>
      <c r="H35" s="416">
        <f>INDEX(qPCR_Unique!N$3:N$118, MATCH(Core_Data!$A35, qPCR_Unique!$D$3:$D$118,0), 1)</f>
        <v>0</v>
      </c>
      <c r="I35" s="417">
        <f>INDEX(qPCR_Unique!O$3:O$118, MATCH(Core_Data!$A35, qPCR_Unique!$D$3:$D$118,0), 1)</f>
        <v>0</v>
      </c>
      <c r="J35" s="418">
        <f>INDEX(qPCR_Unique!Q$3:Q$118, MATCH(Core_Data!$A35, qPCR_Unique!$D$3:$D$118,0), 1)</f>
        <v>0</v>
      </c>
      <c r="K35" s="420">
        <f>INDEX(qPCR_Unique!R$3:R$118, MATCH(Core_Data!$A35, qPCR_Unique!$D$3:$D$118,0), 1)</f>
        <v>0</v>
      </c>
      <c r="L35" s="421">
        <f>INDEX(qPCR_Unique!T$3:T$118, MATCH(Core_Data!$A35, qPCR_Unique!$D$3:$D$118,0), 1)</f>
        <v>0</v>
      </c>
      <c r="M35" s="422">
        <f>INDEX(qPCR_Unique!U$3:U$118, MATCH(Core_Data!$A35, qPCR_Unique!$D$3:$D$118,0), 1)</f>
        <v>0</v>
      </c>
      <c r="N35" s="423">
        <f>INDEX(Physicochemical_Managed!Q$2:Q$207, MATCH(Core_Data!$A35, Physicochemical_Managed!$P$2:$P$207,0), 1)</f>
        <v>6.63</v>
      </c>
      <c r="O35" s="424">
        <f>INDEX(Physicochemical_Managed!R$2:R$207, MATCH(Core_Data!$A35, Physicochemical_Managed!$P$2:$P$207,0), 1)</f>
        <v>27.4</v>
      </c>
      <c r="P35" s="424">
        <f>INDEX(Physicochemical_Managed!S$2:S$207, MATCH(Core_Data!$A35, Physicochemical_Managed!$P$2:$P$207,0), 1)</f>
        <v>2.52</v>
      </c>
      <c r="Q35" s="424">
        <f>INDEX(Physicochemical_Managed!T$2:T$207, MATCH(Core_Data!$A35, Physicochemical_Managed!$P$2:$P$207,0), 1)</f>
        <v>0.01</v>
      </c>
      <c r="R35" s="424">
        <f>INDEX(Physicochemical_Managed!U$2:U$207, MATCH(Core_Data!$A35, Physicochemical_Managed!$P$2:$P$207,0), 1)</f>
        <v>2.5499999999999998</v>
      </c>
      <c r="S35" s="424">
        <f>INDEX(Physicochemical_Managed!V$2:V$207, MATCH(Core_Data!$A35, Physicochemical_Managed!$P$2:$P$207,0), 1)</f>
        <v>0.21</v>
      </c>
      <c r="T35" s="424">
        <f>INDEX(Physicochemical_Managed!W$2:W$207, MATCH(Core_Data!$A35, Physicochemical_Managed!$P$2:$P$207,0), 1)</f>
        <v>7.0000000000000001E-3</v>
      </c>
      <c r="U35" s="498">
        <f>INDEX(Physicochemical_Managed!X$2:X$207, MATCH(Core_Data!$A35, Physicochemical_Managed!$P$2:$P$207,0), 1)</f>
        <v>0.37</v>
      </c>
      <c r="V35" s="504">
        <f>INDEX(qPCR_Unique!W$3:W$118, MATCH(Core_Data!$A35, qPCR_Unique!$D$3:$D$118,0), 1)</f>
        <v>0</v>
      </c>
      <c r="W35" s="505">
        <f>INDEX(qPCR_Unique!X$3:X$118, MATCH(Core_Data!$A35, qPCR_Unique!$D$3:$D$118,0), 1)</f>
        <v>0</v>
      </c>
    </row>
    <row r="36" spans="1:23" s="380" customFormat="1" x14ac:dyDescent="0.3">
      <c r="A36" s="394" t="str">
        <v>SPO44385</v>
      </c>
      <c r="B36" s="414" t="str">
        <f t="shared" si="0"/>
        <v>SPO</v>
      </c>
      <c r="C36" s="415">
        <f t="shared" si="1"/>
        <v>44385</v>
      </c>
      <c r="D36" s="416">
        <f>INDEX(qPCR_Unique!H$3:H$118, MATCH(Core_Data!$A36, qPCR_Unique!$D$3:$D$118,0), 1)</f>
        <v>122492.91297526439</v>
      </c>
      <c r="E36" s="417">
        <f>INDEX(qPCR_Unique!I$3:I$118, MATCH(Core_Data!$A36, qPCR_Unique!$D$3:$D$118,0), 1)</f>
        <v>5.0881109626207861</v>
      </c>
      <c r="F36" s="418">
        <f>INDEX(qPCR_Unique!K$3:K$118, MATCH(Core_Data!$A36, qPCR_Unique!$D$3:$D$118,0), 1)</f>
        <v>683.64194920765431</v>
      </c>
      <c r="G36" s="419">
        <f>INDEX(qPCR_Unique!L$3:L$118, MATCH(Core_Data!$A36, qPCR_Unique!$D$3:$D$118,0), 1)</f>
        <v>2.8348287037714068</v>
      </c>
      <c r="H36" s="416">
        <f>INDEX(qPCR_Unique!N$3:N$118, MATCH(Core_Data!$A36, qPCR_Unique!$D$3:$D$118,0), 1)</f>
        <v>0</v>
      </c>
      <c r="I36" s="417">
        <f>INDEX(qPCR_Unique!O$3:O$118, MATCH(Core_Data!$A36, qPCR_Unique!$D$3:$D$118,0), 1)</f>
        <v>0</v>
      </c>
      <c r="J36" s="418">
        <f>INDEX(qPCR_Unique!Q$3:Q$118, MATCH(Core_Data!$A36, qPCR_Unique!$D$3:$D$118,0), 1)</f>
        <v>0</v>
      </c>
      <c r="K36" s="420">
        <f>INDEX(qPCR_Unique!R$3:R$118, MATCH(Core_Data!$A36, qPCR_Unique!$D$3:$D$118,0), 1)</f>
        <v>0</v>
      </c>
      <c r="L36" s="421">
        <f>INDEX(qPCR_Unique!T$3:T$118, MATCH(Core_Data!$A36, qPCR_Unique!$D$3:$D$118,0), 1)</f>
        <v>0</v>
      </c>
      <c r="M36" s="422">
        <f>INDEX(qPCR_Unique!U$3:U$118, MATCH(Core_Data!$A36, qPCR_Unique!$D$3:$D$118,0), 1)</f>
        <v>0</v>
      </c>
      <c r="N36" s="423">
        <f>INDEX(Physicochemical_Managed!Q$2:Q$207, MATCH(Core_Data!$A36, Physicochemical_Managed!$P$2:$P$207,0), 1)</f>
        <v>7.09</v>
      </c>
      <c r="O36" s="424">
        <f>INDEX(Physicochemical_Managed!R$2:R$207, MATCH(Core_Data!$A36, Physicochemical_Managed!$P$2:$P$207,0), 1)</f>
        <v>27.2</v>
      </c>
      <c r="P36" s="424">
        <f>INDEX(Physicochemical_Managed!S$2:S$207, MATCH(Core_Data!$A36, Physicochemical_Managed!$P$2:$P$207,0), 1)</f>
        <v>2.35</v>
      </c>
      <c r="Q36" s="424">
        <f>INDEX(Physicochemical_Managed!T$2:T$207, MATCH(Core_Data!$A36, Physicochemical_Managed!$P$2:$P$207,0), 1)</f>
        <v>0</v>
      </c>
      <c r="R36" s="424">
        <f>INDEX(Physicochemical_Managed!U$2:U$207, MATCH(Core_Data!$A36, Physicochemical_Managed!$P$2:$P$207,0), 1)</f>
        <v>2.56</v>
      </c>
      <c r="S36" s="424">
        <f>INDEX(Physicochemical_Managed!V$2:V$207, MATCH(Core_Data!$A36, Physicochemical_Managed!$P$2:$P$207,0), 1)</f>
        <v>0.03</v>
      </c>
      <c r="T36" s="424">
        <f>INDEX(Physicochemical_Managed!W$2:W$207, MATCH(Core_Data!$A36, Physicochemical_Managed!$P$2:$P$207,0), 1)</f>
        <v>7.0000000000000001E-3</v>
      </c>
      <c r="U36" s="498">
        <f>INDEX(Physicochemical_Managed!X$2:X$207, MATCH(Core_Data!$A36, Physicochemical_Managed!$P$2:$P$207,0), 1)</f>
        <v>0.41</v>
      </c>
      <c r="V36" s="504">
        <f>INDEX(qPCR_Unique!W$3:W$118, MATCH(Core_Data!$A36, qPCR_Unique!$D$3:$D$118,0), 1)</f>
        <v>683.64194920765431</v>
      </c>
      <c r="W36" s="505">
        <f>INDEX(qPCR_Unique!X$3:X$118, MATCH(Core_Data!$A36, qPCR_Unique!$D$3:$D$118,0), 1)</f>
        <v>2.8348287037714068</v>
      </c>
    </row>
    <row r="37" spans="1:23" s="380" customFormat="1" x14ac:dyDescent="0.3">
      <c r="A37" s="394" t="str">
        <v>SPO44391</v>
      </c>
      <c r="B37" s="414" t="str">
        <f t="shared" si="0"/>
        <v>SPO</v>
      </c>
      <c r="C37" s="415">
        <f t="shared" si="1"/>
        <v>44391</v>
      </c>
      <c r="D37" s="416">
        <f>INDEX(qPCR_Unique!H$3:H$118, MATCH(Core_Data!$A37, qPCR_Unique!$D$3:$D$118,0), 1)</f>
        <v>309997.18331333145</v>
      </c>
      <c r="E37" s="417">
        <f>INDEX(qPCR_Unique!I$3:I$118, MATCH(Core_Data!$A37, qPCR_Unique!$D$3:$D$118,0), 1)</f>
        <v>5.4913577477793218</v>
      </c>
      <c r="F37" s="418">
        <f>INDEX(qPCR_Unique!K$3:K$118, MATCH(Core_Data!$A37, qPCR_Unique!$D$3:$D$118,0), 1)</f>
        <v>759.18580362970374</v>
      </c>
      <c r="G37" s="419">
        <f>INDEX(qPCR_Unique!L$3:L$118, MATCH(Core_Data!$A37, qPCR_Unique!$D$3:$D$118,0), 1)</f>
        <v>2.8803480784195954</v>
      </c>
      <c r="H37" s="416">
        <f>INDEX(qPCR_Unique!N$3:N$118, MATCH(Core_Data!$A37, qPCR_Unique!$D$3:$D$118,0), 1)</f>
        <v>0</v>
      </c>
      <c r="I37" s="417">
        <f>INDEX(qPCR_Unique!O$3:O$118, MATCH(Core_Data!$A37, qPCR_Unique!$D$3:$D$118,0), 1)</f>
        <v>0</v>
      </c>
      <c r="J37" s="418">
        <f>INDEX(qPCR_Unique!Q$3:Q$118, MATCH(Core_Data!$A37, qPCR_Unique!$D$3:$D$118,0), 1)</f>
        <v>0</v>
      </c>
      <c r="K37" s="420">
        <f>INDEX(qPCR_Unique!R$3:R$118, MATCH(Core_Data!$A37, qPCR_Unique!$D$3:$D$118,0), 1)</f>
        <v>0</v>
      </c>
      <c r="L37" s="421">
        <f>INDEX(qPCR_Unique!T$3:T$118, MATCH(Core_Data!$A37, qPCR_Unique!$D$3:$D$118,0), 1)</f>
        <v>0</v>
      </c>
      <c r="M37" s="422">
        <f>INDEX(qPCR_Unique!U$3:U$118, MATCH(Core_Data!$A37, qPCR_Unique!$D$3:$D$118,0), 1)</f>
        <v>0</v>
      </c>
      <c r="N37" s="423">
        <f>INDEX(Physicochemical_Managed!Q$2:Q$207, MATCH(Core_Data!$A37, Physicochemical_Managed!$P$2:$P$207,0), 1)</f>
        <v>6.67</v>
      </c>
      <c r="O37" s="424">
        <f>INDEX(Physicochemical_Managed!R$2:R$207, MATCH(Core_Data!$A37, Physicochemical_Managed!$P$2:$P$207,0), 1)</f>
        <v>27.6</v>
      </c>
      <c r="P37" s="424">
        <f>INDEX(Physicochemical_Managed!S$2:S$207, MATCH(Core_Data!$A37, Physicochemical_Managed!$P$2:$P$207,0), 1)</f>
        <v>2.52</v>
      </c>
      <c r="Q37" s="424">
        <f>INDEX(Physicochemical_Managed!T$2:T$207, MATCH(Core_Data!$A37, Physicochemical_Managed!$P$2:$P$207,0), 1)</f>
        <v>0.02</v>
      </c>
      <c r="R37" s="424">
        <f>INDEX(Physicochemical_Managed!U$2:U$207, MATCH(Core_Data!$A37, Physicochemical_Managed!$P$2:$P$207,0), 1)</f>
        <v>2.73</v>
      </c>
      <c r="S37" s="424">
        <f>INDEX(Physicochemical_Managed!V$2:V$207, MATCH(Core_Data!$A37, Physicochemical_Managed!$P$2:$P$207,0), 1)</f>
        <v>0.22</v>
      </c>
      <c r="T37" s="424">
        <f>INDEX(Physicochemical_Managed!W$2:W$207, MATCH(Core_Data!$A37, Physicochemical_Managed!$P$2:$P$207,0), 1)</f>
        <v>6.0000000000000001E-3</v>
      </c>
      <c r="U37" s="498">
        <f>INDEX(Physicochemical_Managed!X$2:X$207, MATCH(Core_Data!$A37, Physicochemical_Managed!$P$2:$P$207,0), 1)</f>
        <v>0.38</v>
      </c>
      <c r="V37" s="504">
        <f>INDEX(qPCR_Unique!W$3:W$118, MATCH(Core_Data!$A37, qPCR_Unique!$D$3:$D$118,0), 1)</f>
        <v>759.18580362970374</v>
      </c>
      <c r="W37" s="505">
        <f>INDEX(qPCR_Unique!X$3:X$118, MATCH(Core_Data!$A37, qPCR_Unique!$D$3:$D$118,0), 1)</f>
        <v>2.8803480784195954</v>
      </c>
    </row>
    <row r="38" spans="1:23" s="380" customFormat="1" x14ac:dyDescent="0.3">
      <c r="A38" s="394" t="str">
        <v>SPO44398</v>
      </c>
      <c r="B38" s="414" t="str">
        <f t="shared" si="0"/>
        <v>SPO</v>
      </c>
      <c r="C38" s="415">
        <f t="shared" si="1"/>
        <v>44398</v>
      </c>
      <c r="D38" s="416">
        <f>INDEX(qPCR_Unique!H$3:H$118, MATCH(Core_Data!$A38, qPCR_Unique!$D$3:$D$118,0), 1)</f>
        <v>102771.66345384388</v>
      </c>
      <c r="E38" s="417">
        <f>INDEX(qPCR_Unique!I$3:I$118, MATCH(Core_Data!$A38, qPCR_Unique!$D$3:$D$118,0), 1)</f>
        <v>5.01187338604002</v>
      </c>
      <c r="F38" s="418">
        <f>INDEX(qPCR_Unique!K$3:K$118, MATCH(Core_Data!$A38, qPCR_Unique!$D$3:$D$118,0), 1)</f>
        <v>461.25147640705109</v>
      </c>
      <c r="G38" s="419">
        <f>INDEX(qPCR_Unique!L$3:L$118, MATCH(Core_Data!$A38, qPCR_Unique!$D$3:$D$118,0), 1)</f>
        <v>2.6639377692904969</v>
      </c>
      <c r="H38" s="416">
        <f>INDEX(qPCR_Unique!N$3:N$118, MATCH(Core_Data!$A38, qPCR_Unique!$D$3:$D$118,0), 1)</f>
        <v>0</v>
      </c>
      <c r="I38" s="417">
        <f>INDEX(qPCR_Unique!O$3:O$118, MATCH(Core_Data!$A38, qPCR_Unique!$D$3:$D$118,0), 1)</f>
        <v>0</v>
      </c>
      <c r="J38" s="418">
        <f>INDEX(qPCR_Unique!Q$3:Q$118, MATCH(Core_Data!$A38, qPCR_Unique!$D$3:$D$118,0), 1)</f>
        <v>0</v>
      </c>
      <c r="K38" s="420">
        <f>INDEX(qPCR_Unique!R$3:R$118, MATCH(Core_Data!$A38, qPCR_Unique!$D$3:$D$118,0), 1)</f>
        <v>0</v>
      </c>
      <c r="L38" s="421">
        <f>INDEX(qPCR_Unique!T$3:T$118, MATCH(Core_Data!$A38, qPCR_Unique!$D$3:$D$118,0), 1)</f>
        <v>0</v>
      </c>
      <c r="M38" s="422">
        <f>INDEX(qPCR_Unique!U$3:U$118, MATCH(Core_Data!$A38, qPCR_Unique!$D$3:$D$118,0), 1)</f>
        <v>0</v>
      </c>
      <c r="N38" s="423">
        <f>INDEX(Physicochemical_Managed!Q$2:Q$207, MATCH(Core_Data!$A38, Physicochemical_Managed!$P$2:$P$207,0), 1)</f>
        <v>6.57</v>
      </c>
      <c r="O38" s="424">
        <f>INDEX(Physicochemical_Managed!R$2:R$207, MATCH(Core_Data!$A38, Physicochemical_Managed!$P$2:$P$207,0), 1)</f>
        <v>27.7</v>
      </c>
      <c r="P38" s="424">
        <f>INDEX(Physicochemical_Managed!S$2:S$207, MATCH(Core_Data!$A38, Physicochemical_Managed!$P$2:$P$207,0), 1)</f>
        <v>2.39</v>
      </c>
      <c r="Q38" s="424">
        <f>INDEX(Physicochemical_Managed!T$2:T$207, MATCH(Core_Data!$A38, Physicochemical_Managed!$P$2:$P$207,0), 1)</f>
        <v>0</v>
      </c>
      <c r="R38" s="424">
        <f>INDEX(Physicochemical_Managed!U$2:U$207, MATCH(Core_Data!$A38, Physicochemical_Managed!$P$2:$P$207,0), 1)</f>
        <v>2.4300000000000002</v>
      </c>
      <c r="S38" s="424">
        <f>INDEX(Physicochemical_Managed!V$2:V$207, MATCH(Core_Data!$A38, Physicochemical_Managed!$P$2:$P$207,0), 1)</f>
        <v>0.03</v>
      </c>
      <c r="T38" s="424">
        <f>INDEX(Physicochemical_Managed!W$2:W$207, MATCH(Core_Data!$A38, Physicochemical_Managed!$P$2:$P$207,0), 1)</f>
        <v>5.0000000000000001E-3</v>
      </c>
      <c r="U38" s="498">
        <f>INDEX(Physicochemical_Managed!X$2:X$207, MATCH(Core_Data!$A38, Physicochemical_Managed!$P$2:$P$207,0), 1)</f>
        <v>0.4</v>
      </c>
      <c r="V38" s="504">
        <f>INDEX(qPCR_Unique!W$3:W$118, MATCH(Core_Data!$A38, qPCR_Unique!$D$3:$D$118,0), 1)</f>
        <v>461.25147640705109</v>
      </c>
      <c r="W38" s="505">
        <f>INDEX(qPCR_Unique!X$3:X$118, MATCH(Core_Data!$A38, qPCR_Unique!$D$3:$D$118,0), 1)</f>
        <v>2.6639377692904969</v>
      </c>
    </row>
    <row r="39" spans="1:23" s="380" customFormat="1" x14ac:dyDescent="0.3">
      <c r="A39" s="394" t="str">
        <v>SPO44405</v>
      </c>
      <c r="B39" s="414" t="str">
        <f t="shared" si="0"/>
        <v>SPO</v>
      </c>
      <c r="C39" s="415">
        <f t="shared" si="1"/>
        <v>44405</v>
      </c>
      <c r="D39" s="416">
        <f>INDEX(qPCR_Unique!H$3:H$118, MATCH(Core_Data!$A39, qPCR_Unique!$D$3:$D$118,0), 1)</f>
        <v>4793686.0464590564</v>
      </c>
      <c r="E39" s="417">
        <f>INDEX(qPCR_Unique!I$3:I$118, MATCH(Core_Data!$A39, qPCR_Unique!$D$3:$D$118,0), 1)</f>
        <v>6.6806695873206543</v>
      </c>
      <c r="F39" s="418">
        <f>INDEX(qPCR_Unique!K$3:K$118, MATCH(Core_Data!$A39, qPCR_Unique!$D$3:$D$118,0), 1)</f>
        <v>8111.5696165296768</v>
      </c>
      <c r="G39" s="419">
        <f>INDEX(qPCR_Unique!L$3:L$118, MATCH(Core_Data!$A39, qPCR_Unique!$D$3:$D$118,0), 1)</f>
        <v>3.9091048998141136</v>
      </c>
      <c r="H39" s="416">
        <f>INDEX(qPCR_Unique!N$3:N$118, MATCH(Core_Data!$A39, qPCR_Unique!$D$3:$D$118,0), 1)</f>
        <v>1903.4889009263782</v>
      </c>
      <c r="I39" s="417">
        <f>INDEX(qPCR_Unique!O$3:O$118, MATCH(Core_Data!$A39, qPCR_Unique!$D$3:$D$118,0), 1)</f>
        <v>3.279550348825468</v>
      </c>
      <c r="J39" s="418">
        <f>INDEX(qPCR_Unique!Q$3:Q$118, MATCH(Core_Data!$A39, qPCR_Unique!$D$3:$D$118,0), 1)</f>
        <v>0</v>
      </c>
      <c r="K39" s="420">
        <f>INDEX(qPCR_Unique!R$3:R$118, MATCH(Core_Data!$A39, qPCR_Unique!$D$3:$D$118,0), 1)</f>
        <v>0</v>
      </c>
      <c r="L39" s="421">
        <f>INDEX(qPCR_Unique!T$3:T$118, MATCH(Core_Data!$A39, qPCR_Unique!$D$3:$D$118,0), 1)</f>
        <v>0</v>
      </c>
      <c r="M39" s="422">
        <f>INDEX(qPCR_Unique!U$3:U$118, MATCH(Core_Data!$A39, qPCR_Unique!$D$3:$D$118,0), 1)</f>
        <v>0</v>
      </c>
      <c r="N39" s="423">
        <f>INDEX(Physicochemical_Managed!Q$2:Q$207, MATCH(Core_Data!$A39, Physicochemical_Managed!$P$2:$P$207,0), 1)</f>
        <v>7</v>
      </c>
      <c r="O39" s="424">
        <f>INDEX(Physicochemical_Managed!R$2:R$207, MATCH(Core_Data!$A39, Physicochemical_Managed!$P$2:$P$207,0), 1)</f>
        <v>28.6</v>
      </c>
      <c r="P39" s="424">
        <f>INDEX(Physicochemical_Managed!S$2:S$207, MATCH(Core_Data!$A39, Physicochemical_Managed!$P$2:$P$207,0), 1)</f>
        <v>0.05</v>
      </c>
      <c r="Q39" s="424">
        <f>INDEX(Physicochemical_Managed!T$2:T$207, MATCH(Core_Data!$A39, Physicochemical_Managed!$P$2:$P$207,0), 1)</f>
        <v>0.84</v>
      </c>
      <c r="R39" s="424">
        <f>INDEX(Physicochemical_Managed!U$2:U$207, MATCH(Core_Data!$A39, Physicochemical_Managed!$P$2:$P$207,0), 1)</f>
        <v>1.02</v>
      </c>
      <c r="S39" s="424">
        <f>INDEX(Physicochemical_Managed!V$2:V$207, MATCH(Core_Data!$A39, Physicochemical_Managed!$P$2:$P$207,0), 1)</f>
        <v>0.16</v>
      </c>
      <c r="T39" s="424">
        <f>INDEX(Physicochemical_Managed!W$2:W$207, MATCH(Core_Data!$A39, Physicochemical_Managed!$P$2:$P$207,0), 1)</f>
        <v>7.0000000000000001E-3</v>
      </c>
      <c r="U39" s="498">
        <f>INDEX(Physicochemical_Managed!X$2:X$207, MATCH(Core_Data!$A39, Physicochemical_Managed!$P$2:$P$207,0), 1)</f>
        <v>0.47</v>
      </c>
      <c r="V39" s="504">
        <f>INDEX(qPCR_Unique!W$3:W$118, MATCH(Core_Data!$A39, qPCR_Unique!$D$3:$D$118,0), 1)</f>
        <v>10015.058517456055</v>
      </c>
      <c r="W39" s="505">
        <f>INDEX(qPCR_Unique!X$3:X$118, MATCH(Core_Data!$A39, qPCR_Unique!$D$3:$D$118,0), 1)</f>
        <v>4.0006534911966458</v>
      </c>
    </row>
    <row r="40" spans="1:23" s="380" customFormat="1" x14ac:dyDescent="0.3">
      <c r="A40" s="394" t="str">
        <v>SPO44412</v>
      </c>
      <c r="B40" s="414" t="str">
        <f t="shared" si="0"/>
        <v>SPO</v>
      </c>
      <c r="C40" s="415">
        <f t="shared" si="1"/>
        <v>44412</v>
      </c>
      <c r="D40" s="416">
        <f>INDEX(qPCR_Unique!H$3:H$118, MATCH(Core_Data!$A40, qPCR_Unique!$D$3:$D$118,0), 1)</f>
        <v>2937071.3611744074</v>
      </c>
      <c r="E40" s="417">
        <f>INDEX(qPCR_Unique!I$3:I$118, MATCH(Core_Data!$A40, qPCR_Unique!$D$3:$D$118,0), 1)</f>
        <v>6.4679144985785593</v>
      </c>
      <c r="F40" s="418">
        <f>INDEX(qPCR_Unique!K$3:K$118, MATCH(Core_Data!$A40, qPCR_Unique!$D$3:$D$118,0), 1)</f>
        <v>4646.8658447265625</v>
      </c>
      <c r="G40" s="419">
        <f>INDEX(qPCR_Unique!L$3:L$118, MATCH(Core_Data!$A40, qPCR_Unique!$D$3:$D$118,0), 1)</f>
        <v>3.6671601345541878</v>
      </c>
      <c r="H40" s="416">
        <f>INDEX(qPCR_Unique!N$3:N$118, MATCH(Core_Data!$A40, qPCR_Unique!$D$3:$D$118,0), 1)</f>
        <v>122.35397762722438</v>
      </c>
      <c r="I40" s="417">
        <f>INDEX(qPCR_Unique!O$3:O$118, MATCH(Core_Data!$A40, qPCR_Unique!$D$3:$D$118,0), 1)</f>
        <v>2.0876180924738739</v>
      </c>
      <c r="J40" s="418">
        <f>INDEX(qPCR_Unique!Q$3:Q$118, MATCH(Core_Data!$A40, qPCR_Unique!$D$3:$D$118,0), 1)</f>
        <v>338.14777268303766</v>
      </c>
      <c r="K40" s="420">
        <f>INDEX(qPCR_Unique!R$3:R$118, MATCH(Core_Data!$A40, qPCR_Unique!$D$3:$D$118,0), 1)</f>
        <v>2.5291065311531939</v>
      </c>
      <c r="L40" s="421">
        <f>INDEX(qPCR_Unique!T$3:T$118, MATCH(Core_Data!$A40, qPCR_Unique!$D$3:$D$118,0), 1)</f>
        <v>0</v>
      </c>
      <c r="M40" s="422">
        <f>INDEX(qPCR_Unique!U$3:U$118, MATCH(Core_Data!$A40, qPCR_Unique!$D$3:$D$118,0), 1)</f>
        <v>0</v>
      </c>
      <c r="N40" s="423">
        <f>INDEX(Physicochemical_Managed!Q$2:Q$207, MATCH(Core_Data!$A40, Physicochemical_Managed!$P$2:$P$207,0), 1)</f>
        <v>7.07</v>
      </c>
      <c r="O40" s="424">
        <f>INDEX(Physicochemical_Managed!R$2:R$207, MATCH(Core_Data!$A40, Physicochemical_Managed!$P$2:$P$207,0), 1)</f>
        <v>28.2</v>
      </c>
      <c r="P40" s="424">
        <f>INDEX(Physicochemical_Managed!S$2:S$207, MATCH(Core_Data!$A40, Physicochemical_Managed!$P$2:$P$207,0), 1)</f>
        <v>0.1</v>
      </c>
      <c r="Q40" s="424">
        <f>INDEX(Physicochemical_Managed!T$2:T$207, MATCH(Core_Data!$A40, Physicochemical_Managed!$P$2:$P$207,0), 1)</f>
        <v>1.69</v>
      </c>
      <c r="R40" s="424">
        <f>INDEX(Physicochemical_Managed!U$2:U$207, MATCH(Core_Data!$A40, Physicochemical_Managed!$P$2:$P$207,0), 1)</f>
        <v>1.91</v>
      </c>
      <c r="S40" s="424">
        <f>INDEX(Physicochemical_Managed!V$2:V$207, MATCH(Core_Data!$A40, Physicochemical_Managed!$P$2:$P$207,0), 1)</f>
        <v>0.25</v>
      </c>
      <c r="T40" s="424">
        <f>INDEX(Physicochemical_Managed!W$2:W$207, MATCH(Core_Data!$A40, Physicochemical_Managed!$P$2:$P$207,0), 1)</f>
        <v>5.0000000000000001E-3</v>
      </c>
      <c r="U40" s="498">
        <f>INDEX(Physicochemical_Managed!X$2:X$207, MATCH(Core_Data!$A40, Physicochemical_Managed!$P$2:$P$207,0), 1)</f>
        <v>0.4</v>
      </c>
      <c r="V40" s="504">
        <f>INDEX(qPCR_Unique!W$3:W$118, MATCH(Core_Data!$A40, qPCR_Unique!$D$3:$D$118,0), 1)</f>
        <v>5107.3675950368252</v>
      </c>
      <c r="W40" s="505">
        <f>INDEX(qPCR_Unique!X$3:X$118, MATCH(Core_Data!$A40, qPCR_Unique!$D$3:$D$118,0), 1)</f>
        <v>3.708197116667141</v>
      </c>
    </row>
    <row r="41" spans="1:23" s="380" customFormat="1" x14ac:dyDescent="0.3">
      <c r="A41" s="394" t="str">
        <v>SPO44419</v>
      </c>
      <c r="B41" s="414" t="str">
        <f t="shared" si="0"/>
        <v>SPO</v>
      </c>
      <c r="C41" s="415">
        <f t="shared" si="1"/>
        <v>44419</v>
      </c>
      <c r="D41" s="416">
        <f>INDEX(qPCR_Unique!H$3:H$118, MATCH(Core_Data!$A41, qPCR_Unique!$D$3:$D$118,0), 1)</f>
        <v>29949175.790985227</v>
      </c>
      <c r="E41" s="417">
        <f>INDEX(qPCR_Unique!I$3:I$118, MATCH(Core_Data!$A41, qPCR_Unique!$D$3:$D$118,0), 1)</f>
        <v>7.4763848749940305</v>
      </c>
      <c r="F41" s="418">
        <f>INDEX(qPCR_Unique!K$3:K$118, MATCH(Core_Data!$A41, qPCR_Unique!$D$3:$D$118,0), 1)</f>
        <v>10585.327707487961</v>
      </c>
      <c r="G41" s="419">
        <f>INDEX(qPCR_Unique!L$3:L$118, MATCH(Core_Data!$A41, qPCR_Unique!$D$3:$D$118,0), 1)</f>
        <v>4.0247043077357461</v>
      </c>
      <c r="H41" s="416">
        <f>INDEX(qPCR_Unique!N$3:N$118, MATCH(Core_Data!$A41, qPCR_Unique!$D$3:$D$118,0), 1)</f>
        <v>1335.8274191275411</v>
      </c>
      <c r="I41" s="417">
        <f>INDEX(qPCR_Unique!O$3:O$118, MATCH(Core_Data!$A41, qPCR_Unique!$D$3:$D$118,0), 1)</f>
        <v>3.1257503535272613</v>
      </c>
      <c r="J41" s="418">
        <f>INDEX(qPCR_Unique!Q$3:Q$118, MATCH(Core_Data!$A41, qPCR_Unique!$D$3:$D$118,0), 1)</f>
        <v>0</v>
      </c>
      <c r="K41" s="420">
        <f>INDEX(qPCR_Unique!R$3:R$118, MATCH(Core_Data!$A41, qPCR_Unique!$D$3:$D$118,0), 1)</f>
        <v>0</v>
      </c>
      <c r="L41" s="421">
        <f>INDEX(qPCR_Unique!T$3:T$118, MATCH(Core_Data!$A41, qPCR_Unique!$D$3:$D$118,0), 1)</f>
        <v>0</v>
      </c>
      <c r="M41" s="422">
        <f>INDEX(qPCR_Unique!U$3:U$118, MATCH(Core_Data!$A41, qPCR_Unique!$D$3:$D$118,0), 1)</f>
        <v>0</v>
      </c>
      <c r="N41" s="423">
        <f>INDEX(Physicochemical_Managed!Q$2:Q$207, MATCH(Core_Data!$A41, Physicochemical_Managed!$P$2:$P$207,0), 1)</f>
        <v>7.09</v>
      </c>
      <c r="O41" s="424">
        <f>INDEX(Physicochemical_Managed!R$2:R$207, MATCH(Core_Data!$A41, Physicochemical_Managed!$P$2:$P$207,0), 1)</f>
        <v>29.5</v>
      </c>
      <c r="P41" s="424">
        <f>INDEX(Physicochemical_Managed!S$2:S$207, MATCH(Core_Data!$A41, Physicochemical_Managed!$P$2:$P$207,0), 1)</f>
        <v>0.11</v>
      </c>
      <c r="Q41" s="424">
        <f>INDEX(Physicochemical_Managed!T$2:T$207, MATCH(Core_Data!$A41, Physicochemical_Managed!$P$2:$P$207,0), 1)</f>
        <v>1.59</v>
      </c>
      <c r="R41" s="424">
        <f>INDEX(Physicochemical_Managed!U$2:U$207, MATCH(Core_Data!$A41, Physicochemical_Managed!$P$2:$P$207,0), 1)</f>
        <v>1.82</v>
      </c>
      <c r="S41" s="424">
        <f>INDEX(Physicochemical_Managed!V$2:V$207, MATCH(Core_Data!$A41, Physicochemical_Managed!$P$2:$P$207,0), 1)</f>
        <v>0.18</v>
      </c>
      <c r="T41" s="424">
        <f>INDEX(Physicochemical_Managed!W$2:W$207, MATCH(Core_Data!$A41, Physicochemical_Managed!$P$2:$P$207,0), 1)</f>
        <v>6.0000000000000001E-3</v>
      </c>
      <c r="U41" s="498">
        <f>INDEX(Physicochemical_Managed!X$2:X$207, MATCH(Core_Data!$A41, Physicochemical_Managed!$P$2:$P$207,0), 1)</f>
        <v>0.44</v>
      </c>
      <c r="V41" s="504">
        <f>INDEX(qPCR_Unique!W$3:W$118, MATCH(Core_Data!$A41, qPCR_Unique!$D$3:$D$118,0), 1)</f>
        <v>11921.155126615502</v>
      </c>
      <c r="W41" s="505">
        <f>INDEX(qPCR_Unique!X$3:X$118, MATCH(Core_Data!$A41, qPCR_Unique!$D$3:$D$118,0), 1)</f>
        <v>4.0763183393647253</v>
      </c>
    </row>
    <row r="42" spans="1:23" s="380" customFormat="1" x14ac:dyDescent="0.3">
      <c r="A42" s="394" t="str">
        <v>SPO44426</v>
      </c>
      <c r="B42" s="414" t="str">
        <f t="shared" si="0"/>
        <v>SPO</v>
      </c>
      <c r="C42" s="415">
        <f t="shared" si="1"/>
        <v>44426</v>
      </c>
      <c r="D42" s="416">
        <f>INDEX(qPCR_Unique!H$3:H$118, MATCH(Core_Data!$A42, qPCR_Unique!$D$3:$D$118,0), 1)</f>
        <v>259920497.12116551</v>
      </c>
      <c r="E42" s="417">
        <f>INDEX(qPCR_Unique!I$3:I$118, MATCH(Core_Data!$A42, qPCR_Unique!$D$3:$D$118,0), 1)</f>
        <v>8.4148405289647066</v>
      </c>
      <c r="F42" s="418">
        <f>INDEX(qPCR_Unique!K$3:K$118, MATCH(Core_Data!$A42, qPCR_Unique!$D$3:$D$118,0), 1)</f>
        <v>17657.209545162554</v>
      </c>
      <c r="G42" s="419">
        <f>INDEX(qPCR_Unique!L$3:L$118, MATCH(Core_Data!$A42, qPCR_Unique!$D$3:$D$118,0), 1)</f>
        <v>4.2469220709916948</v>
      </c>
      <c r="H42" s="416">
        <f>INDEX(qPCR_Unique!N$3:N$118, MATCH(Core_Data!$A42, qPCR_Unique!$D$3:$D$118,0), 1)</f>
        <v>0</v>
      </c>
      <c r="I42" s="417">
        <f>INDEX(qPCR_Unique!O$3:O$118, MATCH(Core_Data!$A42, qPCR_Unique!$D$3:$D$118,0), 1)</f>
        <v>0</v>
      </c>
      <c r="J42" s="418">
        <f>INDEX(qPCR_Unique!Q$3:Q$118, MATCH(Core_Data!$A42, qPCR_Unique!$D$3:$D$118,0), 1)</f>
        <v>0</v>
      </c>
      <c r="K42" s="420">
        <f>INDEX(qPCR_Unique!R$3:R$118, MATCH(Core_Data!$A42, qPCR_Unique!$D$3:$D$118,0), 1)</f>
        <v>0</v>
      </c>
      <c r="L42" s="421">
        <f>INDEX(qPCR_Unique!T$3:T$118, MATCH(Core_Data!$A42, qPCR_Unique!$D$3:$D$118,0), 1)</f>
        <v>0</v>
      </c>
      <c r="M42" s="422">
        <f>INDEX(qPCR_Unique!U$3:U$118, MATCH(Core_Data!$A42, qPCR_Unique!$D$3:$D$118,0), 1)</f>
        <v>0</v>
      </c>
      <c r="N42" s="423">
        <f>INDEX(Physicochemical_Managed!Q$2:Q$207, MATCH(Core_Data!$A42, Physicochemical_Managed!$P$2:$P$207,0), 1)</f>
        <v>6.7</v>
      </c>
      <c r="O42" s="424">
        <f>INDEX(Physicochemical_Managed!R$2:R$207, MATCH(Core_Data!$A42, Physicochemical_Managed!$P$2:$P$207,0), 1)</f>
        <v>28.6</v>
      </c>
      <c r="P42" s="424">
        <f>INDEX(Physicochemical_Managed!S$2:S$207, MATCH(Core_Data!$A42, Physicochemical_Managed!$P$2:$P$207,0), 1)</f>
        <v>0.09</v>
      </c>
      <c r="Q42" s="424">
        <f>INDEX(Physicochemical_Managed!T$2:T$207, MATCH(Core_Data!$A42, Physicochemical_Managed!$P$2:$P$207,0), 1)</f>
        <v>1.61</v>
      </c>
      <c r="R42" s="424">
        <f>INDEX(Physicochemical_Managed!U$2:U$207, MATCH(Core_Data!$A42, Physicochemical_Managed!$P$2:$P$207,0), 1)</f>
        <v>1.8</v>
      </c>
      <c r="S42" s="424">
        <f>INDEX(Physicochemical_Managed!V$2:V$207, MATCH(Core_Data!$A42, Physicochemical_Managed!$P$2:$P$207,0), 1)</f>
        <v>0.18</v>
      </c>
      <c r="T42" s="424">
        <f>INDEX(Physicochemical_Managed!W$2:W$207, MATCH(Core_Data!$A42, Physicochemical_Managed!$P$2:$P$207,0), 1)</f>
        <v>5.0000000000000001E-3</v>
      </c>
      <c r="U42" s="498">
        <f>INDEX(Physicochemical_Managed!X$2:X$207, MATCH(Core_Data!$A42, Physicochemical_Managed!$P$2:$P$207,0), 1)</f>
        <v>0.38</v>
      </c>
      <c r="V42" s="504">
        <f>INDEX(qPCR_Unique!W$3:W$118, MATCH(Core_Data!$A42, qPCR_Unique!$D$3:$D$118,0), 1)</f>
        <v>17657.209545162554</v>
      </c>
      <c r="W42" s="505">
        <f>INDEX(qPCR_Unique!X$3:X$118, MATCH(Core_Data!$A42, qPCR_Unique!$D$3:$D$118,0), 1)</f>
        <v>4.2469220709916948</v>
      </c>
    </row>
    <row r="43" spans="1:23" s="380" customFormat="1" ht="16.350000000000001" thickBot="1" x14ac:dyDescent="0.35">
      <c r="A43" s="395" t="str">
        <v>SPO44433</v>
      </c>
      <c r="B43" s="425" t="str">
        <f t="shared" si="0"/>
        <v>SPO</v>
      </c>
      <c r="C43" s="426">
        <f t="shared" si="1"/>
        <v>44433</v>
      </c>
      <c r="D43" s="427">
        <f>INDEX(qPCR_Unique!H$3:H$118, MATCH(Core_Data!$A43, qPCR_Unique!$D$3:$D$118,0), 1)</f>
        <v>20113773.002200656</v>
      </c>
      <c r="E43" s="428">
        <f>INDEX(qPCR_Unique!I$3:I$118, MATCH(Core_Data!$A43, qPCR_Unique!$D$3:$D$118,0), 1)</f>
        <v>7.3034935445072406</v>
      </c>
      <c r="F43" s="429">
        <f>INDEX(qPCR_Unique!K$3:K$118, MATCH(Core_Data!$A43, qPCR_Unique!$D$3:$D$118,0), 1)</f>
        <v>13158.726294835409</v>
      </c>
      <c r="G43" s="430">
        <f>INDEX(qPCR_Unique!L$3:L$118, MATCH(Core_Data!$A43, qPCR_Unique!$D$3:$D$118,0), 1)</f>
        <v>4.1192138535715888</v>
      </c>
      <c r="H43" s="427">
        <f>INDEX(qPCR_Unique!N$3:N$118, MATCH(Core_Data!$A43, qPCR_Unique!$D$3:$D$118,0), 1)</f>
        <v>0</v>
      </c>
      <c r="I43" s="428">
        <f>INDEX(qPCR_Unique!O$3:O$118, MATCH(Core_Data!$A43, qPCR_Unique!$D$3:$D$118,0), 1)</f>
        <v>0</v>
      </c>
      <c r="J43" s="429">
        <f>INDEX(qPCR_Unique!Q$3:Q$118, MATCH(Core_Data!$A43, qPCR_Unique!$D$3:$D$118,0), 1)</f>
        <v>1687.9391670227051</v>
      </c>
      <c r="K43" s="431">
        <f>INDEX(qPCR_Unique!R$3:R$118, MATCH(Core_Data!$A43, qPCR_Unique!$D$3:$D$118,0), 1)</f>
        <v>3.2273567906886726</v>
      </c>
      <c r="L43" s="432">
        <f>INDEX(qPCR_Unique!T$3:T$118, MATCH(Core_Data!$A43, qPCR_Unique!$D$3:$D$118,0), 1)</f>
        <v>0</v>
      </c>
      <c r="M43" s="433">
        <f>INDEX(qPCR_Unique!U$3:U$118, MATCH(Core_Data!$A43, qPCR_Unique!$D$3:$D$118,0), 1)</f>
        <v>0</v>
      </c>
      <c r="N43" s="434">
        <f>INDEX(Physicochemical_Managed!Q$2:Q$207, MATCH(Core_Data!$A43, Physicochemical_Managed!$P$2:$P$207,0), 1)</f>
        <v>6.7</v>
      </c>
      <c r="O43" s="435">
        <f>INDEX(Physicochemical_Managed!R$2:R$207, MATCH(Core_Data!$A43, Physicochemical_Managed!$P$2:$P$207,0), 1)</f>
        <v>30.4</v>
      </c>
      <c r="P43" s="435">
        <f>INDEX(Physicochemical_Managed!S$2:S$207, MATCH(Core_Data!$A43, Physicochemical_Managed!$P$2:$P$207,0), 1)</f>
        <v>0.08</v>
      </c>
      <c r="Q43" s="435">
        <f>INDEX(Physicochemical_Managed!T$2:T$207, MATCH(Core_Data!$A43, Physicochemical_Managed!$P$2:$P$207,0), 1)</f>
        <v>1.21</v>
      </c>
      <c r="R43" s="435">
        <f>INDEX(Physicochemical_Managed!U$2:U$207, MATCH(Core_Data!$A43, Physicochemical_Managed!$P$2:$P$207,0), 1)</f>
        <v>1.19</v>
      </c>
      <c r="S43" s="435">
        <f>INDEX(Physicochemical_Managed!V$2:V$207, MATCH(Core_Data!$A43, Physicochemical_Managed!$P$2:$P$207,0), 1)</f>
        <v>0.21</v>
      </c>
      <c r="T43" s="435">
        <f>INDEX(Physicochemical_Managed!W$2:W$207, MATCH(Core_Data!$A43, Physicochemical_Managed!$P$2:$P$207,0), 1)</f>
        <v>7.0000000000000001E-3</v>
      </c>
      <c r="U43" s="499">
        <f>INDEX(Physicochemical_Managed!X$2:X$207, MATCH(Core_Data!$A43, Physicochemical_Managed!$P$2:$P$207,0), 1)</f>
        <v>0.38</v>
      </c>
      <c r="V43" s="510">
        <f>INDEX(qPCR_Unique!W$3:W$118, MATCH(Core_Data!$A43, qPCR_Unique!$D$3:$D$118,0), 1)</f>
        <v>14846.665461858114</v>
      </c>
      <c r="W43" s="511">
        <f>INDEX(qPCR_Unique!X$3:X$118, MATCH(Core_Data!$A43, qPCR_Unique!$D$3:$D$118,0), 1)</f>
        <v>4.1716289227353132</v>
      </c>
    </row>
    <row r="44" spans="1:23" s="380" customFormat="1" x14ac:dyDescent="0.3">
      <c r="A44" s="396" t="str">
        <v>MRT44335</v>
      </c>
      <c r="B44" s="436" t="str">
        <f t="shared" si="0"/>
        <v>MRT</v>
      </c>
      <c r="C44" s="437">
        <f t="shared" si="1"/>
        <v>44335</v>
      </c>
      <c r="D44" s="438">
        <f>INDEX(qPCR_Unique!H$3:H$118, MATCH(Core_Data!$A44, qPCR_Unique!$D$3:$D$118,0), 1)</f>
        <v>158612328.02195847</v>
      </c>
      <c r="E44" s="439">
        <f>INDEX(qPCR_Unique!I$3:I$118, MATCH(Core_Data!$A44, qPCR_Unique!$D$3:$D$118,0), 1)</f>
        <v>8.2003369395001009</v>
      </c>
      <c r="F44" s="440">
        <f>INDEX(qPCR_Unique!K$3:K$118, MATCH(Core_Data!$A44, qPCR_Unique!$D$3:$D$118,0), 1)</f>
        <v>434454.3984430125</v>
      </c>
      <c r="G44" s="441">
        <f>INDEX(qPCR_Unique!L$3:L$118, MATCH(Core_Data!$A44, qPCR_Unique!$D$3:$D$118,0), 1)</f>
        <v>5.6379441984051732</v>
      </c>
      <c r="H44" s="438">
        <f>INDEX(qPCR_Unique!N$3:N$118, MATCH(Core_Data!$A44, qPCR_Unique!$D$3:$D$118,0), 1)</f>
        <v>5552.844740337152</v>
      </c>
      <c r="I44" s="439">
        <f>INDEX(qPCR_Unique!O$3:O$118, MATCH(Core_Data!$A44, qPCR_Unique!$D$3:$D$118,0), 1)</f>
        <v>3.7445155306024982</v>
      </c>
      <c r="J44" s="440">
        <f>INDEX(qPCR_Unique!Q$3:Q$118, MATCH(Core_Data!$A44, qPCR_Unique!$D$3:$D$118,0), 1)</f>
        <v>2518.4778622632643</v>
      </c>
      <c r="K44" s="442">
        <f>INDEX(qPCR_Unique!R$3:R$118, MATCH(Core_Data!$A44, qPCR_Unique!$D$3:$D$118,0), 1)</f>
        <v>3.4011381377074636</v>
      </c>
      <c r="L44" s="443">
        <f>INDEX(qPCR_Unique!T$3:T$118, MATCH(Core_Data!$A44, qPCR_Unique!$D$3:$D$118,0), 1)</f>
        <v>19036.175922057551</v>
      </c>
      <c r="M44" s="444">
        <f>INDEX(qPCR_Unique!U$3:U$118, MATCH(Core_Data!$A44, qPCR_Unique!$D$3:$D$118,0), 1)</f>
        <v>4.2795797096603305</v>
      </c>
      <c r="N44" s="445">
        <f>INDEX(Physicochemical_Managed!Q$2:Q$207, MATCH(Core_Data!$A44, Physicochemical_Managed!$P$2:$P$207,0), 1)</f>
        <v>6.78</v>
      </c>
      <c r="O44" s="446">
        <f>INDEX(Physicochemical_Managed!R$2:R$207, MATCH(Core_Data!$A44, Physicochemical_Managed!$P$2:$P$207,0), 1)</f>
        <v>23.8</v>
      </c>
      <c r="P44" s="446">
        <f>INDEX(Physicochemical_Managed!S$2:S$207, MATCH(Core_Data!$A44, Physicochemical_Managed!$P$2:$P$207,0), 1)</f>
        <v>0.15</v>
      </c>
      <c r="Q44" s="446">
        <f>INDEX(Physicochemical_Managed!T$2:T$207, MATCH(Core_Data!$A44, Physicochemical_Managed!$P$2:$P$207,0), 1)</f>
        <v>0.34</v>
      </c>
      <c r="R44" s="446">
        <f>INDEX(Physicochemical_Managed!U$2:U$207, MATCH(Core_Data!$A44, Physicochemical_Managed!$P$2:$P$207,0), 1)</f>
        <v>0.54</v>
      </c>
      <c r="S44" s="446">
        <f>INDEX(Physicochemical_Managed!V$2:V$207, MATCH(Core_Data!$A44, Physicochemical_Managed!$P$2:$P$207,0), 1)</f>
        <v>0.17</v>
      </c>
      <c r="T44" s="446">
        <f>INDEX(Physicochemical_Managed!W$2:W$207, MATCH(Core_Data!$A44, Physicochemical_Managed!$P$2:$P$207,0), 1)</f>
        <v>6.3E-2</v>
      </c>
      <c r="U44" s="500">
        <f>INDEX(Physicochemical_Managed!X$2:X$207, MATCH(Core_Data!$A44, Physicochemical_Managed!$P$2:$P$207,0), 1)</f>
        <v>0.53</v>
      </c>
      <c r="V44" s="512">
        <f>INDEX(qPCR_Unique!W$3:W$118, MATCH(Core_Data!$A44, qPCR_Unique!$D$3:$D$118,0), 1)</f>
        <v>461561.89696767047</v>
      </c>
      <c r="W44" s="513">
        <f>INDEX(qPCR_Unique!X$3:X$118, MATCH(Core_Data!$A44, qPCR_Unique!$D$3:$D$118,0), 1)</f>
        <v>5.6642299495850637</v>
      </c>
    </row>
    <row r="45" spans="1:23" s="380" customFormat="1" x14ac:dyDescent="0.3">
      <c r="A45" s="397" t="str">
        <v>MRT44342</v>
      </c>
      <c r="B45" s="447" t="str">
        <f t="shared" si="0"/>
        <v>MRT</v>
      </c>
      <c r="C45" s="448">
        <f t="shared" si="1"/>
        <v>44342</v>
      </c>
      <c r="D45" s="449">
        <f>INDEX(qPCR_Unique!H$3:H$118, MATCH(Core_Data!$A45, qPCR_Unique!$D$3:$D$118,0), 1)</f>
        <v>243367747.83005893</v>
      </c>
      <c r="E45" s="450">
        <f>INDEX(qPCR_Unique!I$3:I$118, MATCH(Core_Data!$A45, qPCR_Unique!$D$3:$D$118,0), 1)</f>
        <v>8.3862630230825239</v>
      </c>
      <c r="F45" s="451">
        <f>INDEX(qPCR_Unique!K$3:K$118, MATCH(Core_Data!$A45, qPCR_Unique!$D$3:$D$118,0), 1)</f>
        <v>186501.19442409941</v>
      </c>
      <c r="G45" s="452">
        <f>INDEX(qPCR_Unique!L$3:L$118, MATCH(Core_Data!$A45, qPCR_Unique!$D$3:$D$118,0), 1)</f>
        <v>5.2706816175395286</v>
      </c>
      <c r="H45" s="449">
        <f>INDEX(qPCR_Unique!N$3:N$118, MATCH(Core_Data!$A45, qPCR_Unique!$D$3:$D$118,0), 1)</f>
        <v>4288.045446077982</v>
      </c>
      <c r="I45" s="450">
        <f>INDEX(qPCR_Unique!O$3:O$118, MATCH(Core_Data!$A45, qPCR_Unique!$D$3:$D$118,0), 1)</f>
        <v>3.6322593795010154</v>
      </c>
      <c r="J45" s="451">
        <f>INDEX(qPCR_Unique!Q$3:Q$118, MATCH(Core_Data!$A45, qPCR_Unique!$D$3:$D$118,0), 1)</f>
        <v>165037.95454237197</v>
      </c>
      <c r="K45" s="453">
        <f>INDEX(qPCR_Unique!R$3:R$118, MATCH(Core_Data!$A45, qPCR_Unique!$D$3:$D$118,0), 1)</f>
        <v>5.2175838324125881</v>
      </c>
      <c r="L45" s="454">
        <f>INDEX(qPCR_Unique!T$3:T$118, MATCH(Core_Data!$A45, qPCR_Unique!$D$3:$D$118,0), 1)</f>
        <v>72781.686782836914</v>
      </c>
      <c r="M45" s="455">
        <f>INDEX(qPCR_Unique!U$3:U$118, MATCH(Core_Data!$A45, qPCR_Unique!$D$3:$D$118,0), 1)</f>
        <v>4.8620221165427324</v>
      </c>
      <c r="N45" s="456">
        <f>INDEX(Physicochemical_Managed!Q$2:Q$207, MATCH(Core_Data!$A45, Physicochemical_Managed!$P$2:$P$207,0), 1)</f>
        <v>6.35</v>
      </c>
      <c r="O45" s="457">
        <f>INDEX(Physicochemical_Managed!R$2:R$207, MATCH(Core_Data!$A45, Physicochemical_Managed!$P$2:$P$207,0), 1)</f>
        <v>24.6</v>
      </c>
      <c r="P45" s="457">
        <f>INDEX(Physicochemical_Managed!S$2:S$207, MATCH(Core_Data!$A45, Physicochemical_Managed!$P$2:$P$207,0), 1)</f>
        <v>0.04</v>
      </c>
      <c r="Q45" s="457">
        <f>INDEX(Physicochemical_Managed!T$2:T$207, MATCH(Core_Data!$A45, Physicochemical_Managed!$P$2:$P$207,0), 1)</f>
        <v>0.49</v>
      </c>
      <c r="R45" s="457">
        <f>INDEX(Physicochemical_Managed!U$2:U$207, MATCH(Core_Data!$A45, Physicochemical_Managed!$P$2:$P$207,0), 1)</f>
        <v>0.76</v>
      </c>
      <c r="S45" s="457">
        <f>INDEX(Physicochemical_Managed!V$2:V$207, MATCH(Core_Data!$A45, Physicochemical_Managed!$P$2:$P$207,0), 1)</f>
        <v>0.19</v>
      </c>
      <c r="T45" s="457">
        <f>INDEX(Physicochemical_Managed!W$2:W$207, MATCH(Core_Data!$A45, Physicochemical_Managed!$P$2:$P$207,0), 1)</f>
        <v>7.6999999999999999E-2</v>
      </c>
      <c r="U45" s="501">
        <f>INDEX(Physicochemical_Managed!X$2:X$207, MATCH(Core_Data!$A45, Physicochemical_Managed!$P$2:$P$207,0), 1)</f>
        <v>0.48</v>
      </c>
      <c r="V45" s="514">
        <f>INDEX(qPCR_Unique!W$3:W$118, MATCH(Core_Data!$A45, qPCR_Unique!$D$3:$D$118,0), 1)</f>
        <v>428608.88119538629</v>
      </c>
      <c r="W45" s="515">
        <f>INDEX(qPCR_Unique!X$3:X$118, MATCH(Core_Data!$A45, qPCR_Unique!$D$3:$D$118,0), 1)</f>
        <v>5.6320611658056414</v>
      </c>
    </row>
    <row r="46" spans="1:23" s="380" customFormat="1" x14ac:dyDescent="0.3">
      <c r="A46" s="397" t="str">
        <v>MRT44356</v>
      </c>
      <c r="B46" s="447" t="str">
        <f t="shared" si="0"/>
        <v>MRT</v>
      </c>
      <c r="C46" s="448">
        <f t="shared" si="1"/>
        <v>44356</v>
      </c>
      <c r="D46" s="449">
        <f>INDEX(qPCR_Unique!H$3:H$118, MATCH(Core_Data!$A46, qPCR_Unique!$D$3:$D$118,0), 1)</f>
        <v>11783562812.700453</v>
      </c>
      <c r="E46" s="450">
        <f>INDEX(qPCR_Unique!I$3:I$118, MATCH(Core_Data!$A46, qPCR_Unique!$D$3:$D$118,0), 1)</f>
        <v>10.071276621177251</v>
      </c>
      <c r="F46" s="451">
        <f>INDEX(qPCR_Unique!K$3:K$118, MATCH(Core_Data!$A46, qPCR_Unique!$D$3:$D$118,0), 1)</f>
        <v>79355.841742621516</v>
      </c>
      <c r="G46" s="452">
        <f>INDEX(qPCR_Unique!L$3:L$118, MATCH(Core_Data!$A46, qPCR_Unique!$D$3:$D$118,0), 1)</f>
        <v>4.8995789026498029</v>
      </c>
      <c r="H46" s="449">
        <f>INDEX(qPCR_Unique!N$3:N$118, MATCH(Core_Data!$A46, qPCR_Unique!$D$3:$D$118,0), 1)</f>
        <v>13072.442280497526</v>
      </c>
      <c r="I46" s="450">
        <f>INDEX(qPCR_Unique!O$3:O$118, MATCH(Core_Data!$A46, qPCR_Unique!$D$3:$D$118,0), 1)</f>
        <v>4.1163567329406483</v>
      </c>
      <c r="J46" s="451">
        <f>INDEX(qPCR_Unique!Q$3:Q$118, MATCH(Core_Data!$A46, qPCR_Unique!$D$3:$D$118,0), 1)</f>
        <v>164188.92415364584</v>
      </c>
      <c r="K46" s="453">
        <f>INDEX(qPCR_Unique!R$3:R$118, MATCH(Core_Data!$A46, qPCR_Unique!$D$3:$D$118,0), 1)</f>
        <v>5.2153438571610549</v>
      </c>
      <c r="L46" s="454">
        <f>INDEX(qPCR_Unique!T$3:T$118, MATCH(Core_Data!$A46, qPCR_Unique!$D$3:$D$118,0), 1)</f>
        <v>15606.90318904637</v>
      </c>
      <c r="M46" s="455">
        <f>INDEX(qPCR_Unique!U$3:U$118, MATCH(Core_Data!$A46, qPCR_Unique!$D$3:$D$118,0), 1)</f>
        <v>4.1933167364170636</v>
      </c>
      <c r="N46" s="456">
        <f>INDEX(Physicochemical_Managed!Q$2:Q$207, MATCH(Core_Data!$A46, Physicochemical_Managed!$P$2:$P$207,0), 1)</f>
        <v>6.61</v>
      </c>
      <c r="O46" s="457">
        <f>INDEX(Physicochemical_Managed!R$2:R$207, MATCH(Core_Data!$A46, Physicochemical_Managed!$P$2:$P$207,0), 1)</f>
        <v>26</v>
      </c>
      <c r="P46" s="457">
        <f>INDEX(Physicochemical_Managed!S$2:S$207, MATCH(Core_Data!$A46, Physicochemical_Managed!$P$2:$P$207,0), 1)</f>
        <v>7.0000000000000007E-2</v>
      </c>
      <c r="Q46" s="457">
        <f>INDEX(Physicochemical_Managed!T$2:T$207, MATCH(Core_Data!$A46, Physicochemical_Managed!$P$2:$P$207,0), 1)</f>
        <v>0.73</v>
      </c>
      <c r="R46" s="457">
        <f>INDEX(Physicochemical_Managed!U$2:U$207, MATCH(Core_Data!$A46, Physicochemical_Managed!$P$2:$P$207,0), 1)</f>
        <v>0.86</v>
      </c>
      <c r="S46" s="457">
        <f>INDEX(Physicochemical_Managed!V$2:V$207, MATCH(Core_Data!$A46, Physicochemical_Managed!$P$2:$P$207,0), 1)</f>
        <v>0.2</v>
      </c>
      <c r="T46" s="457">
        <f>INDEX(Physicochemical_Managed!W$2:W$207, MATCH(Core_Data!$A46, Physicochemical_Managed!$P$2:$P$207,0), 1)</f>
        <v>5.5E-2</v>
      </c>
      <c r="U46" s="501">
        <f>INDEX(Physicochemical_Managed!X$2:X$207, MATCH(Core_Data!$A46, Physicochemical_Managed!$P$2:$P$207,0), 1)</f>
        <v>0.51</v>
      </c>
      <c r="V46" s="514">
        <f>INDEX(qPCR_Unique!W$3:W$118, MATCH(Core_Data!$A46, qPCR_Unique!$D$3:$D$118,0), 1)</f>
        <v>272224.11136581126</v>
      </c>
      <c r="W46" s="515">
        <f>INDEX(qPCR_Unique!X$3:X$118, MATCH(Core_Data!$A46, qPCR_Unique!$D$3:$D$118,0), 1)</f>
        <v>5.4349265887930054</v>
      </c>
    </row>
    <row r="47" spans="1:23" s="380" customFormat="1" x14ac:dyDescent="0.3">
      <c r="A47" s="397" t="str">
        <v>MRT44363</v>
      </c>
      <c r="B47" s="447" t="str">
        <f t="shared" si="0"/>
        <v>MRT</v>
      </c>
      <c r="C47" s="448">
        <f t="shared" si="1"/>
        <v>44363</v>
      </c>
      <c r="D47" s="449">
        <f>INDEX(qPCR_Unique!H$3:H$118, MATCH(Core_Data!$A47, qPCR_Unique!$D$3:$D$118,0), 1)</f>
        <v>68923810.684481233</v>
      </c>
      <c r="E47" s="450">
        <f>INDEX(qPCR_Unique!I$3:I$118, MATCH(Core_Data!$A47, qPCR_Unique!$D$3:$D$118,0), 1)</f>
        <v>7.8383692808696015</v>
      </c>
      <c r="F47" s="451">
        <f>INDEX(qPCR_Unique!K$3:K$118, MATCH(Core_Data!$A47, qPCR_Unique!$D$3:$D$118,0), 1)</f>
        <v>60196.714296445738</v>
      </c>
      <c r="G47" s="452">
        <f>INDEX(qPCR_Unique!L$3:L$118, MATCH(Core_Data!$A47, qPCR_Unique!$D$3:$D$118,0), 1)</f>
        <v>4.7795727869078934</v>
      </c>
      <c r="H47" s="449">
        <f>INDEX(qPCR_Unique!N$3:N$118, MATCH(Core_Data!$A47, qPCR_Unique!$D$3:$D$118,0), 1)</f>
        <v>2435.7093826973396</v>
      </c>
      <c r="I47" s="450">
        <f>INDEX(qPCR_Unique!O$3:O$118, MATCH(Core_Data!$A47, qPCR_Unique!$D$3:$D$118,0), 1)</f>
        <v>3.3866254690921229</v>
      </c>
      <c r="J47" s="451">
        <f>INDEX(qPCR_Unique!Q$3:Q$118, MATCH(Core_Data!$A47, qPCR_Unique!$D$3:$D$118,0), 1)</f>
        <v>1400357.4164359125</v>
      </c>
      <c r="K47" s="453">
        <f>INDEX(qPCR_Unique!R$3:R$118, MATCH(Core_Data!$A47, qPCR_Unique!$D$3:$D$118,0), 1)</f>
        <v>6.1462388958032994</v>
      </c>
      <c r="L47" s="454">
        <f>INDEX(qPCR_Unique!T$3:T$118, MATCH(Core_Data!$A47, qPCR_Unique!$D$3:$D$118,0), 1)</f>
        <v>2967.3292305006653</v>
      </c>
      <c r="M47" s="455">
        <f>INDEX(qPCR_Unique!U$3:U$118, MATCH(Core_Data!$A47, qPCR_Unique!$D$3:$D$118,0), 1)</f>
        <v>3.4723657347419548</v>
      </c>
      <c r="N47" s="456">
        <f>INDEX(Physicochemical_Managed!Q$2:Q$207, MATCH(Core_Data!$A47, Physicochemical_Managed!$P$2:$P$207,0), 1)</f>
        <v>6.53</v>
      </c>
      <c r="O47" s="457">
        <f>INDEX(Physicochemical_Managed!R$2:R$207, MATCH(Core_Data!$A47, Physicochemical_Managed!$P$2:$P$207,0), 1)</f>
        <v>27.1</v>
      </c>
      <c r="P47" s="457">
        <f>INDEX(Physicochemical_Managed!S$2:S$207, MATCH(Core_Data!$A47, Physicochemical_Managed!$P$2:$P$207,0), 1)</f>
        <v>7.0000000000000007E-2</v>
      </c>
      <c r="Q47" s="457">
        <f>INDEX(Physicochemical_Managed!T$2:T$207, MATCH(Core_Data!$A47, Physicochemical_Managed!$P$2:$P$207,0), 1)</f>
        <v>0.71</v>
      </c>
      <c r="R47" s="457">
        <f>INDEX(Physicochemical_Managed!U$2:U$207, MATCH(Core_Data!$A47, Physicochemical_Managed!$P$2:$P$207,0), 1)</f>
        <v>1.03</v>
      </c>
      <c r="S47" s="457">
        <f>INDEX(Physicochemical_Managed!V$2:V$207, MATCH(Core_Data!$A47, Physicochemical_Managed!$P$2:$P$207,0), 1)</f>
        <v>0.33</v>
      </c>
      <c r="T47" s="457">
        <f>INDEX(Physicochemical_Managed!W$2:W$207, MATCH(Core_Data!$A47, Physicochemical_Managed!$P$2:$P$207,0), 1)</f>
        <v>5.0999999999999997E-2</v>
      </c>
      <c r="U47" s="501">
        <f>INDEX(Physicochemical_Managed!X$2:X$207, MATCH(Core_Data!$A47, Physicochemical_Managed!$P$2:$P$207,0), 1)</f>
        <v>0.56000000000000005</v>
      </c>
      <c r="V47" s="514">
        <f>INDEX(qPCR_Unique!W$3:W$118, MATCH(Core_Data!$A47, qPCR_Unique!$D$3:$D$118,0), 1)</f>
        <v>1465957.1693455561</v>
      </c>
      <c r="W47" s="515">
        <f>INDEX(qPCR_Unique!X$3:X$118, MATCH(Core_Data!$A47, qPCR_Unique!$D$3:$D$118,0), 1)</f>
        <v>6.1661212817726314</v>
      </c>
    </row>
    <row r="48" spans="1:23" s="380" customFormat="1" x14ac:dyDescent="0.3">
      <c r="A48" s="397" t="str">
        <v>MRT44370</v>
      </c>
      <c r="B48" s="447" t="str">
        <f t="shared" si="0"/>
        <v>MRT</v>
      </c>
      <c r="C48" s="448">
        <f t="shared" si="1"/>
        <v>44370</v>
      </c>
      <c r="D48" s="449">
        <f>INDEX(qPCR_Unique!H$3:H$118, MATCH(Core_Data!$A48, qPCR_Unique!$D$3:$D$118,0), 1)</f>
        <v>6951611.3340243362</v>
      </c>
      <c r="E48" s="450">
        <f>INDEX(qPCR_Unique!I$3:I$118, MATCH(Core_Data!$A48, qPCR_Unique!$D$3:$D$118,0), 1)</f>
        <v>6.8420854826283053</v>
      </c>
      <c r="F48" s="451">
        <f>INDEX(qPCR_Unique!K$3:K$118, MATCH(Core_Data!$A48, qPCR_Unique!$D$3:$D$118,0), 1)</f>
        <v>0</v>
      </c>
      <c r="G48" s="452">
        <f>INDEX(qPCR_Unique!L$3:L$118, MATCH(Core_Data!$A48, qPCR_Unique!$D$3:$D$118,0), 1)</f>
        <v>0</v>
      </c>
      <c r="H48" s="449">
        <f>INDEX(qPCR_Unique!N$3:N$118, MATCH(Core_Data!$A48, qPCR_Unique!$D$3:$D$118,0), 1)</f>
        <v>182.28853667508744</v>
      </c>
      <c r="I48" s="450">
        <f>INDEX(qPCR_Unique!O$3:O$118, MATCH(Core_Data!$A48, qPCR_Unique!$D$3:$D$118,0), 1)</f>
        <v>2.2607593586424297</v>
      </c>
      <c r="J48" s="451">
        <f>INDEX(qPCR_Unique!Q$3:Q$118, MATCH(Core_Data!$A48, qPCR_Unique!$D$3:$D$118,0), 1)</f>
        <v>0</v>
      </c>
      <c r="K48" s="453">
        <f>INDEX(qPCR_Unique!R$3:R$118, MATCH(Core_Data!$A48, qPCR_Unique!$D$3:$D$118,0), 1)</f>
        <v>0</v>
      </c>
      <c r="L48" s="454">
        <f>INDEX(qPCR_Unique!T$3:T$118, MATCH(Core_Data!$A48, qPCR_Unique!$D$3:$D$118,0), 1)</f>
        <v>0</v>
      </c>
      <c r="M48" s="455">
        <f>INDEX(qPCR_Unique!U$3:U$118, MATCH(Core_Data!$A48, qPCR_Unique!$D$3:$D$118,0), 1)</f>
        <v>0</v>
      </c>
      <c r="N48" s="456">
        <f>INDEX(Physicochemical_Managed!Q$2:Q$207, MATCH(Core_Data!$A48, Physicochemical_Managed!$P$2:$P$207,0), 1)</f>
        <v>6.97</v>
      </c>
      <c r="O48" s="457">
        <f>INDEX(Physicochemical_Managed!R$2:R$207, MATCH(Core_Data!$A48, Physicochemical_Managed!$P$2:$P$207,0), 1)</f>
        <v>26.5</v>
      </c>
      <c r="P48" s="457">
        <f>INDEX(Physicochemical_Managed!S$2:S$207, MATCH(Core_Data!$A48, Physicochemical_Managed!$P$2:$P$207,0), 1)</f>
        <v>2.73</v>
      </c>
      <c r="Q48" s="457">
        <f>INDEX(Physicochemical_Managed!T$2:T$207, MATCH(Core_Data!$A48, Physicochemical_Managed!$P$2:$P$207,0), 1)</f>
        <v>0.01</v>
      </c>
      <c r="R48" s="457">
        <f>INDEX(Physicochemical_Managed!U$2:U$207, MATCH(Core_Data!$A48, Physicochemical_Managed!$P$2:$P$207,0), 1)</f>
        <v>2.65</v>
      </c>
      <c r="S48" s="457">
        <f>INDEX(Physicochemical_Managed!V$2:V$207, MATCH(Core_Data!$A48, Physicochemical_Managed!$P$2:$P$207,0), 1)</f>
        <v>0.19</v>
      </c>
      <c r="T48" s="457">
        <f>INDEX(Physicochemical_Managed!W$2:W$207, MATCH(Core_Data!$A48, Physicochemical_Managed!$P$2:$P$207,0), 1)</f>
        <v>8.0000000000000002E-3</v>
      </c>
      <c r="U48" s="501">
        <f>INDEX(Physicochemical_Managed!X$2:X$207, MATCH(Core_Data!$A48, Physicochemical_Managed!$P$2:$P$207,0), 1)</f>
        <v>0.53</v>
      </c>
      <c r="V48" s="514">
        <f>INDEX(qPCR_Unique!W$3:W$118, MATCH(Core_Data!$A48, qPCR_Unique!$D$3:$D$118,0), 1)</f>
        <v>182.28853667508744</v>
      </c>
      <c r="W48" s="515">
        <f>INDEX(qPCR_Unique!X$3:X$118, MATCH(Core_Data!$A48, qPCR_Unique!$D$3:$D$118,0), 1)</f>
        <v>2.2607593586424297</v>
      </c>
    </row>
    <row r="49" spans="1:23" s="380" customFormat="1" x14ac:dyDescent="0.3">
      <c r="A49" s="397" t="str">
        <v>MRT44377</v>
      </c>
      <c r="B49" s="447" t="str">
        <f t="shared" si="0"/>
        <v>MRT</v>
      </c>
      <c r="C49" s="448">
        <f t="shared" si="1"/>
        <v>44377</v>
      </c>
      <c r="D49" s="449">
        <f>INDEX(qPCR_Unique!H$3:H$118, MATCH(Core_Data!$A49, qPCR_Unique!$D$3:$D$118,0), 1)</f>
        <v>6165448.363805701</v>
      </c>
      <c r="E49" s="450">
        <f>INDEX(qPCR_Unique!I$3:I$118, MATCH(Core_Data!$A49, qPCR_Unique!$D$3:$D$118,0), 1)</f>
        <v>6.7899646648484158</v>
      </c>
      <c r="F49" s="451">
        <f>INDEX(qPCR_Unique!K$3:K$118, MATCH(Core_Data!$A49, qPCR_Unique!$D$3:$D$118,0), 1)</f>
        <v>268.31407017178003</v>
      </c>
      <c r="G49" s="452">
        <f>INDEX(qPCR_Unique!L$3:L$118, MATCH(Core_Data!$A49, qPCR_Unique!$D$3:$D$118,0), 1)</f>
        <v>2.4286434473187644</v>
      </c>
      <c r="H49" s="449">
        <f>INDEX(qPCR_Unique!N$3:N$118, MATCH(Core_Data!$A49, qPCR_Unique!$D$3:$D$118,0), 1)</f>
        <v>0</v>
      </c>
      <c r="I49" s="450">
        <f>INDEX(qPCR_Unique!O$3:O$118, MATCH(Core_Data!$A49, qPCR_Unique!$D$3:$D$118,0), 1)</f>
        <v>0</v>
      </c>
      <c r="J49" s="451">
        <f>INDEX(qPCR_Unique!Q$3:Q$118, MATCH(Core_Data!$A49, qPCR_Unique!$D$3:$D$118,0), 1)</f>
        <v>0</v>
      </c>
      <c r="K49" s="453">
        <f>INDEX(qPCR_Unique!R$3:R$118, MATCH(Core_Data!$A49, qPCR_Unique!$D$3:$D$118,0), 1)</f>
        <v>0</v>
      </c>
      <c r="L49" s="454">
        <f>INDEX(qPCR_Unique!T$3:T$118, MATCH(Core_Data!$A49, qPCR_Unique!$D$3:$D$118,0), 1)</f>
        <v>322.4329948425293</v>
      </c>
      <c r="M49" s="455">
        <f>INDEX(qPCR_Unique!U$3:U$118, MATCH(Core_Data!$A49, qPCR_Unique!$D$3:$D$118,0), 1)</f>
        <v>2.5084394771307048</v>
      </c>
      <c r="N49" s="456">
        <f>INDEX(Physicochemical_Managed!Q$2:Q$207, MATCH(Core_Data!$A49, Physicochemical_Managed!$P$2:$P$207,0), 1)</f>
        <v>6.86</v>
      </c>
      <c r="O49" s="457">
        <f>INDEX(Physicochemical_Managed!R$2:R$207, MATCH(Core_Data!$A49, Physicochemical_Managed!$P$2:$P$207,0), 1)</f>
        <v>25.9</v>
      </c>
      <c r="P49" s="457">
        <f>INDEX(Physicochemical_Managed!S$2:S$207, MATCH(Core_Data!$A49, Physicochemical_Managed!$P$2:$P$207,0), 1)</f>
        <v>2.2200000000000002</v>
      </c>
      <c r="Q49" s="457">
        <f>INDEX(Physicochemical_Managed!T$2:T$207, MATCH(Core_Data!$A49, Physicochemical_Managed!$P$2:$P$207,0), 1)</f>
        <v>0.01</v>
      </c>
      <c r="R49" s="457">
        <f>INDEX(Physicochemical_Managed!U$2:U$207, MATCH(Core_Data!$A49, Physicochemical_Managed!$P$2:$P$207,0), 1)</f>
        <v>2.3199999999999998</v>
      </c>
      <c r="S49" s="457">
        <f>INDEX(Physicochemical_Managed!V$2:V$207, MATCH(Core_Data!$A49, Physicochemical_Managed!$P$2:$P$207,0), 1)</f>
        <v>0.1</v>
      </c>
      <c r="T49" s="457">
        <f>INDEX(Physicochemical_Managed!W$2:W$207, MATCH(Core_Data!$A49, Physicochemical_Managed!$P$2:$P$207,0), 1)</f>
        <v>1.2E-2</v>
      </c>
      <c r="U49" s="501">
        <f>INDEX(Physicochemical_Managed!X$2:X$207, MATCH(Core_Data!$A49, Physicochemical_Managed!$P$2:$P$207,0), 1)</f>
        <v>0.67</v>
      </c>
      <c r="V49" s="514">
        <f>INDEX(qPCR_Unique!W$3:W$118, MATCH(Core_Data!$A49, qPCR_Unique!$D$3:$D$118,0), 1)</f>
        <v>590.74706501430933</v>
      </c>
      <c r="W49" s="515">
        <f>INDEX(qPCR_Unique!X$3:X$118, MATCH(Core_Data!$A49, qPCR_Unique!$D$3:$D$118,0), 1)</f>
        <v>2.7714015726213659</v>
      </c>
    </row>
    <row r="50" spans="1:23" s="380" customFormat="1" x14ac:dyDescent="0.3">
      <c r="A50" s="397" t="str">
        <v>MRT44385</v>
      </c>
      <c r="B50" s="447" t="str">
        <f t="shared" si="0"/>
        <v>MRT</v>
      </c>
      <c r="C50" s="448">
        <f t="shared" si="1"/>
        <v>44385</v>
      </c>
      <c r="D50" s="449">
        <f>INDEX(qPCR_Unique!H$3:H$118, MATCH(Core_Data!$A50, qPCR_Unique!$D$3:$D$118,0), 1)</f>
        <v>7748489.6500424985</v>
      </c>
      <c r="E50" s="450">
        <f>INDEX(qPCR_Unique!I$3:I$118, MATCH(Core_Data!$A50, qPCR_Unique!$D$3:$D$118,0), 1)</f>
        <v>6.8892170572706553</v>
      </c>
      <c r="F50" s="451">
        <f>INDEX(qPCR_Unique!K$3:K$118, MATCH(Core_Data!$A50, qPCR_Unique!$D$3:$D$118,0), 1)</f>
        <v>1528.8693375057644</v>
      </c>
      <c r="G50" s="452">
        <f>INDEX(qPCR_Unique!L$3:L$118, MATCH(Core_Data!$A50, qPCR_Unique!$D$3:$D$118,0), 1)</f>
        <v>3.1843703706804534</v>
      </c>
      <c r="H50" s="449">
        <f>INDEX(qPCR_Unique!N$3:N$118, MATCH(Core_Data!$A50, qPCR_Unique!$D$3:$D$118,0), 1)</f>
        <v>0</v>
      </c>
      <c r="I50" s="450">
        <f>INDEX(qPCR_Unique!O$3:O$118, MATCH(Core_Data!$A50, qPCR_Unique!$D$3:$D$118,0), 1)</f>
        <v>0</v>
      </c>
      <c r="J50" s="451">
        <f>INDEX(qPCR_Unique!Q$3:Q$118, MATCH(Core_Data!$A50, qPCR_Unique!$D$3:$D$118,0), 1)</f>
        <v>431.67843818664551</v>
      </c>
      <c r="K50" s="453">
        <f>INDEX(qPCR_Unique!R$3:R$118, MATCH(Core_Data!$A50, qPCR_Unique!$D$3:$D$118,0), 1)</f>
        <v>2.6351603567164474</v>
      </c>
      <c r="L50" s="454">
        <f>INDEX(qPCR_Unique!T$3:T$118, MATCH(Core_Data!$A50, qPCR_Unique!$D$3:$D$118,0), 1)</f>
        <v>0</v>
      </c>
      <c r="M50" s="455">
        <f>INDEX(qPCR_Unique!U$3:U$118, MATCH(Core_Data!$A50, qPCR_Unique!$D$3:$D$118,0), 1)</f>
        <v>0</v>
      </c>
      <c r="N50" s="456">
        <f>INDEX(Physicochemical_Managed!Q$2:Q$207, MATCH(Core_Data!$A50, Physicochemical_Managed!$P$2:$P$207,0), 1)</f>
        <v>6.41</v>
      </c>
      <c r="O50" s="457">
        <f>INDEX(Physicochemical_Managed!R$2:R$207, MATCH(Core_Data!$A50, Physicochemical_Managed!$P$2:$P$207,0), 1)</f>
        <v>26.9</v>
      </c>
      <c r="P50" s="457">
        <f>INDEX(Physicochemical_Managed!S$2:S$207, MATCH(Core_Data!$A50, Physicochemical_Managed!$P$2:$P$207,0), 1)</f>
        <v>1.77</v>
      </c>
      <c r="Q50" s="457">
        <f>INDEX(Physicochemical_Managed!T$2:T$207, MATCH(Core_Data!$A50, Physicochemical_Managed!$P$2:$P$207,0), 1)</f>
        <v>0.01</v>
      </c>
      <c r="R50" s="457">
        <f>INDEX(Physicochemical_Managed!U$2:U$207, MATCH(Core_Data!$A50, Physicochemical_Managed!$P$2:$P$207,0), 1)</f>
        <v>0.84</v>
      </c>
      <c r="S50" s="457">
        <f>INDEX(Physicochemical_Managed!V$2:V$207, MATCH(Core_Data!$A50, Physicochemical_Managed!$P$2:$P$207,0), 1)</f>
        <v>0.05</v>
      </c>
      <c r="T50" s="457">
        <f>INDEX(Physicochemical_Managed!W$2:W$207, MATCH(Core_Data!$A50, Physicochemical_Managed!$P$2:$P$207,0), 1)</f>
        <v>6.0000000000000001E-3</v>
      </c>
      <c r="U50" s="501">
        <f>INDEX(Physicochemical_Managed!X$2:X$207, MATCH(Core_Data!$A50, Physicochemical_Managed!$P$2:$P$207,0), 1)</f>
        <v>0.65</v>
      </c>
      <c r="V50" s="514">
        <f>INDEX(qPCR_Unique!W$3:W$118, MATCH(Core_Data!$A50, qPCR_Unique!$D$3:$D$118,0), 1)</f>
        <v>1960.5477756924099</v>
      </c>
      <c r="W50" s="515">
        <f>INDEX(qPCR_Unique!X$3:X$118, MATCH(Core_Data!$A50, qPCR_Unique!$D$3:$D$118,0), 1)</f>
        <v>3.2923774298888513</v>
      </c>
    </row>
    <row r="51" spans="1:23" s="380" customFormat="1" x14ac:dyDescent="0.3">
      <c r="A51" s="397" t="str">
        <v>MRT44391</v>
      </c>
      <c r="B51" s="447" t="str">
        <f t="shared" si="0"/>
        <v>MRT</v>
      </c>
      <c r="C51" s="448">
        <f t="shared" si="1"/>
        <v>44391</v>
      </c>
      <c r="D51" s="449">
        <f>INDEX(qPCR_Unique!H$3:H$118, MATCH(Core_Data!$A51, qPCR_Unique!$D$3:$D$118,0), 1)</f>
        <v>23027506.457112629</v>
      </c>
      <c r="E51" s="450">
        <f>INDEX(qPCR_Unique!I$3:I$118, MATCH(Core_Data!$A51, qPCR_Unique!$D$3:$D$118,0), 1)</f>
        <v>7.362246912755932</v>
      </c>
      <c r="F51" s="451">
        <f>INDEX(qPCR_Unique!K$3:K$118, MATCH(Core_Data!$A51, qPCR_Unique!$D$3:$D$118,0), 1)</f>
        <v>1402.1369934082031</v>
      </c>
      <c r="G51" s="452">
        <f>INDEX(qPCR_Unique!L$3:L$118, MATCH(Core_Data!$A51, qPCR_Unique!$D$3:$D$118,0), 1)</f>
        <v>3.1467904477067403</v>
      </c>
      <c r="H51" s="449">
        <f>INDEX(qPCR_Unique!N$3:N$118, MATCH(Core_Data!$A51, qPCR_Unique!$D$3:$D$118,0), 1)</f>
        <v>101.41029357910156</v>
      </c>
      <c r="I51" s="450">
        <f>INDEX(qPCR_Unique!O$3:O$118, MATCH(Core_Data!$A51, qPCR_Unique!$D$3:$D$118,0), 1)</f>
        <v>2.0060820399846007</v>
      </c>
      <c r="J51" s="451">
        <f>INDEX(qPCR_Unique!Q$3:Q$118, MATCH(Core_Data!$A51, qPCR_Unique!$D$3:$D$118,0), 1)</f>
        <v>2321.6773986816406</v>
      </c>
      <c r="K51" s="453">
        <f>INDEX(qPCR_Unique!R$3:R$118, MATCH(Core_Data!$A51, qPCR_Unique!$D$3:$D$118,0), 1)</f>
        <v>3.36580187358265</v>
      </c>
      <c r="L51" s="454">
        <f>INDEX(qPCR_Unique!T$3:T$118, MATCH(Core_Data!$A51, qPCR_Unique!$D$3:$D$118,0), 1)</f>
        <v>0</v>
      </c>
      <c r="M51" s="455">
        <f>INDEX(qPCR_Unique!U$3:U$118, MATCH(Core_Data!$A51, qPCR_Unique!$D$3:$D$118,0), 1)</f>
        <v>0</v>
      </c>
      <c r="N51" s="456">
        <f>INDEX(Physicochemical_Managed!Q$2:Q$207, MATCH(Core_Data!$A51, Physicochemical_Managed!$P$2:$P$207,0), 1)</f>
        <v>6.42</v>
      </c>
      <c r="O51" s="457">
        <f>INDEX(Physicochemical_Managed!R$2:R$207, MATCH(Core_Data!$A51, Physicochemical_Managed!$P$2:$P$207,0), 1)</f>
        <v>27.1</v>
      </c>
      <c r="P51" s="457">
        <f>INDEX(Physicochemical_Managed!S$2:S$207, MATCH(Core_Data!$A51, Physicochemical_Managed!$P$2:$P$207,0), 1)</f>
        <v>1.35</v>
      </c>
      <c r="Q51" s="457">
        <f>INDEX(Physicochemical_Managed!T$2:T$207, MATCH(Core_Data!$A51, Physicochemical_Managed!$P$2:$P$207,0), 1)</f>
        <v>0.01</v>
      </c>
      <c r="R51" s="457">
        <f>INDEX(Physicochemical_Managed!U$2:U$207, MATCH(Core_Data!$A51, Physicochemical_Managed!$P$2:$P$207,0), 1)</f>
        <v>1.36</v>
      </c>
      <c r="S51" s="457">
        <f>INDEX(Physicochemical_Managed!V$2:V$207, MATCH(Core_Data!$A51, Physicochemical_Managed!$P$2:$P$207,0), 1)</f>
        <v>0.01</v>
      </c>
      <c r="T51" s="457">
        <f>INDEX(Physicochemical_Managed!W$2:W$207, MATCH(Core_Data!$A51, Physicochemical_Managed!$P$2:$P$207,0), 1)</f>
        <v>8.9999999999999993E-3</v>
      </c>
      <c r="U51" s="501">
        <f>INDEX(Physicochemical_Managed!X$2:X$207, MATCH(Core_Data!$A51, Physicochemical_Managed!$P$2:$P$207,0), 1)</f>
        <v>0.54</v>
      </c>
      <c r="V51" s="514">
        <f>INDEX(qPCR_Unique!W$3:W$118, MATCH(Core_Data!$A51, qPCR_Unique!$D$3:$D$118,0), 1)</f>
        <v>3825.2246856689453</v>
      </c>
      <c r="W51" s="515">
        <f>INDEX(qPCR_Unique!X$3:X$118, MATCH(Core_Data!$A51, qPCR_Unique!$D$3:$D$118,0), 1)</f>
        <v>3.5826569497851435</v>
      </c>
    </row>
    <row r="52" spans="1:23" s="380" customFormat="1" x14ac:dyDescent="0.3">
      <c r="A52" s="397" t="str">
        <v>MRT44398</v>
      </c>
      <c r="B52" s="447" t="str">
        <f t="shared" si="0"/>
        <v>MRT</v>
      </c>
      <c r="C52" s="448">
        <f t="shared" si="1"/>
        <v>44398</v>
      </c>
      <c r="D52" s="449">
        <f>INDEX(qPCR_Unique!H$3:H$118, MATCH(Core_Data!$A52, qPCR_Unique!$D$3:$D$118,0), 1)</f>
        <v>4031205.7741744434</v>
      </c>
      <c r="E52" s="450">
        <f>INDEX(qPCR_Unique!I$3:I$118, MATCH(Core_Data!$A52, qPCR_Unique!$D$3:$D$118,0), 1)</f>
        <v>6.6054349674181383</v>
      </c>
      <c r="F52" s="451">
        <f>INDEX(qPCR_Unique!K$3:K$118, MATCH(Core_Data!$A52, qPCR_Unique!$D$3:$D$118,0), 1)</f>
        <v>464.26421006520587</v>
      </c>
      <c r="G52" s="452">
        <f>INDEX(qPCR_Unique!L$3:L$118, MATCH(Core_Data!$A52, qPCR_Unique!$D$3:$D$118,0), 1)</f>
        <v>2.6667652053756519</v>
      </c>
      <c r="H52" s="449">
        <f>INDEX(qPCR_Unique!N$3:N$118, MATCH(Core_Data!$A52, qPCR_Unique!$D$3:$D$118,0), 1)</f>
        <v>169.27974621454874</v>
      </c>
      <c r="I52" s="450">
        <f>INDEX(qPCR_Unique!O$3:O$118, MATCH(Core_Data!$A52, qPCR_Unique!$D$3:$D$118,0), 1)</f>
        <v>2.2286049992580708</v>
      </c>
      <c r="J52" s="451">
        <f>INDEX(qPCR_Unique!Q$3:Q$118, MATCH(Core_Data!$A52, qPCR_Unique!$D$3:$D$118,0), 1)</f>
        <v>0</v>
      </c>
      <c r="K52" s="453">
        <f>INDEX(qPCR_Unique!R$3:R$118, MATCH(Core_Data!$A52, qPCR_Unique!$D$3:$D$118,0), 1)</f>
        <v>0</v>
      </c>
      <c r="L52" s="454">
        <f>INDEX(qPCR_Unique!T$3:T$118, MATCH(Core_Data!$A52, qPCR_Unique!$D$3:$D$118,0), 1)</f>
        <v>0</v>
      </c>
      <c r="M52" s="455">
        <f>INDEX(qPCR_Unique!U$3:U$118, MATCH(Core_Data!$A52, qPCR_Unique!$D$3:$D$118,0), 1)</f>
        <v>0</v>
      </c>
      <c r="N52" s="456">
        <f>INDEX(Physicochemical_Managed!Q$2:Q$207, MATCH(Core_Data!$A52, Physicochemical_Managed!$P$2:$P$207,0), 1)</f>
        <v>6.83</v>
      </c>
      <c r="O52" s="457">
        <f>INDEX(Physicochemical_Managed!R$2:R$207, MATCH(Core_Data!$A52, Physicochemical_Managed!$P$2:$P$207,0), 1)</f>
        <v>26.6</v>
      </c>
      <c r="P52" s="457">
        <f>INDEX(Physicochemical_Managed!S$2:S$207, MATCH(Core_Data!$A52, Physicochemical_Managed!$P$2:$P$207,0), 1)</f>
        <v>1.89</v>
      </c>
      <c r="Q52" s="457">
        <f>INDEX(Physicochemical_Managed!T$2:T$207, MATCH(Core_Data!$A52, Physicochemical_Managed!$P$2:$P$207,0), 1)</f>
        <v>0</v>
      </c>
      <c r="R52" s="457">
        <f>INDEX(Physicochemical_Managed!U$2:U$207, MATCH(Core_Data!$A52, Physicochemical_Managed!$P$2:$P$207,0), 1)</f>
        <v>1.89</v>
      </c>
      <c r="S52" s="457">
        <f>INDEX(Physicochemical_Managed!V$2:V$207, MATCH(Core_Data!$A52, Physicochemical_Managed!$P$2:$P$207,0), 1)</f>
        <v>0.24</v>
      </c>
      <c r="T52" s="457">
        <f>INDEX(Physicochemical_Managed!W$2:W$207, MATCH(Core_Data!$A52, Physicochemical_Managed!$P$2:$P$207,0), 1)</f>
        <v>0.01</v>
      </c>
      <c r="U52" s="501">
        <f>INDEX(Physicochemical_Managed!X$2:X$207, MATCH(Core_Data!$A52, Physicochemical_Managed!$P$2:$P$207,0), 1)</f>
        <v>0.69</v>
      </c>
      <c r="V52" s="514">
        <f>INDEX(qPCR_Unique!W$3:W$118, MATCH(Core_Data!$A52, qPCR_Unique!$D$3:$D$118,0), 1)</f>
        <v>633.54395627975464</v>
      </c>
      <c r="W52" s="515">
        <f>INDEX(qPCR_Unique!X$3:X$118, MATCH(Core_Data!$A52, qPCR_Unique!$D$3:$D$118,0), 1)</f>
        <v>2.8017767523015138</v>
      </c>
    </row>
    <row r="53" spans="1:23" s="380" customFormat="1" x14ac:dyDescent="0.3">
      <c r="A53" s="397" t="str">
        <v>MRT44405</v>
      </c>
      <c r="B53" s="447" t="str">
        <f t="shared" si="0"/>
        <v>MRT</v>
      </c>
      <c r="C53" s="448">
        <f t="shared" si="1"/>
        <v>44405</v>
      </c>
      <c r="D53" s="449">
        <f>INDEX(qPCR_Unique!H$3:H$118, MATCH(Core_Data!$A53, qPCR_Unique!$D$3:$D$118,0), 1)</f>
        <v>7210440.946767821</v>
      </c>
      <c r="E53" s="450">
        <f>INDEX(qPCR_Unique!I$3:I$118, MATCH(Core_Data!$A53, qPCR_Unique!$D$3:$D$118,0), 1)</f>
        <v>6.857961824343902</v>
      </c>
      <c r="F53" s="451">
        <f>INDEX(qPCR_Unique!K$3:K$118, MATCH(Core_Data!$A53, qPCR_Unique!$D$3:$D$118,0), 1)</f>
        <v>433.24586939304436</v>
      </c>
      <c r="G53" s="452">
        <f>INDEX(qPCR_Unique!L$3:L$118, MATCH(Core_Data!$A53, qPCR_Unique!$D$3:$D$118,0), 1)</f>
        <v>2.6367344308011669</v>
      </c>
      <c r="H53" s="449">
        <f>INDEX(qPCR_Unique!N$3:N$118, MATCH(Core_Data!$A53, qPCR_Unique!$D$3:$D$118,0), 1)</f>
        <v>214.79730314396798</v>
      </c>
      <c r="I53" s="450">
        <f>INDEX(qPCR_Unique!O$3:O$118, MATCH(Core_Data!$A53, qPCR_Unique!$D$3:$D$118,0), 1)</f>
        <v>2.3320288243410854</v>
      </c>
      <c r="J53" s="451">
        <f>INDEX(qPCR_Unique!Q$3:Q$118, MATCH(Core_Data!$A53, qPCR_Unique!$D$3:$D$118,0), 1)</f>
        <v>0</v>
      </c>
      <c r="K53" s="453">
        <f>INDEX(qPCR_Unique!R$3:R$118, MATCH(Core_Data!$A53, qPCR_Unique!$D$3:$D$118,0), 1)</f>
        <v>0</v>
      </c>
      <c r="L53" s="454">
        <f>INDEX(qPCR_Unique!T$3:T$118, MATCH(Core_Data!$A53, qPCR_Unique!$D$3:$D$118,0), 1)</f>
        <v>0</v>
      </c>
      <c r="M53" s="455">
        <f>INDEX(qPCR_Unique!U$3:U$118, MATCH(Core_Data!$A53, qPCR_Unique!$D$3:$D$118,0), 1)</f>
        <v>0</v>
      </c>
      <c r="N53" s="456">
        <f>INDEX(Physicochemical_Managed!Q$2:Q$207, MATCH(Core_Data!$A53, Physicochemical_Managed!$P$2:$P$207,0), 1)</f>
        <v>6.71</v>
      </c>
      <c r="O53" s="457">
        <f>INDEX(Physicochemical_Managed!R$2:R$207, MATCH(Core_Data!$A53, Physicochemical_Managed!$P$2:$P$207,0), 1)</f>
        <v>28.8</v>
      </c>
      <c r="P53" s="457">
        <f>INDEX(Physicochemical_Managed!S$2:S$207, MATCH(Core_Data!$A53, Physicochemical_Managed!$P$2:$P$207,0), 1)</f>
        <v>1.86</v>
      </c>
      <c r="Q53" s="457">
        <f>INDEX(Physicochemical_Managed!T$2:T$207, MATCH(Core_Data!$A53, Physicochemical_Managed!$P$2:$P$207,0), 1)</f>
        <v>0</v>
      </c>
      <c r="R53" s="457">
        <f>INDEX(Physicochemical_Managed!U$2:U$207, MATCH(Core_Data!$A53, Physicochemical_Managed!$P$2:$P$207,0), 1)</f>
        <v>1.54</v>
      </c>
      <c r="S53" s="457">
        <f>INDEX(Physicochemical_Managed!V$2:V$207, MATCH(Core_Data!$A53, Physicochemical_Managed!$P$2:$P$207,0), 1)</f>
        <v>0.03</v>
      </c>
      <c r="T53" s="457">
        <f>INDEX(Physicochemical_Managed!W$2:W$207, MATCH(Core_Data!$A53, Physicochemical_Managed!$P$2:$P$207,0), 1)</f>
        <v>7.0000000000000001E-3</v>
      </c>
      <c r="U53" s="501">
        <f>INDEX(Physicochemical_Managed!X$2:X$207, MATCH(Core_Data!$A53, Physicochemical_Managed!$P$2:$P$207,0), 1)</f>
        <v>0.65</v>
      </c>
      <c r="V53" s="514">
        <f>INDEX(qPCR_Unique!W$3:W$118, MATCH(Core_Data!$A53, qPCR_Unique!$D$3:$D$118,0), 1)</f>
        <v>648.04317253701231</v>
      </c>
      <c r="W53" s="515">
        <f>INDEX(qPCR_Unique!X$3:X$118, MATCH(Core_Data!$A53, qPCR_Unique!$D$3:$D$118,0), 1)</f>
        <v>2.8116039394663228</v>
      </c>
    </row>
    <row r="54" spans="1:23" s="380" customFormat="1" x14ac:dyDescent="0.3">
      <c r="A54" s="397" t="str">
        <v>MRT44419</v>
      </c>
      <c r="B54" s="447" t="str">
        <f t="shared" si="0"/>
        <v>MRT</v>
      </c>
      <c r="C54" s="448">
        <f t="shared" si="1"/>
        <v>44419</v>
      </c>
      <c r="D54" s="449">
        <f>INDEX(qPCR_Unique!H$3:H$118, MATCH(Core_Data!$A54, qPCR_Unique!$D$3:$D$118,0), 1)</f>
        <v>22343931.466452245</v>
      </c>
      <c r="E54" s="450">
        <f>INDEX(qPCR_Unique!I$3:I$118, MATCH(Core_Data!$A54, qPCR_Unique!$D$3:$D$118,0), 1)</f>
        <v>7.3491595906222695</v>
      </c>
      <c r="F54" s="451">
        <f>INDEX(qPCR_Unique!K$3:K$118, MATCH(Core_Data!$A54, qPCR_Unique!$D$3:$D$118,0), 1)</f>
        <v>4823.8886858316355</v>
      </c>
      <c r="G54" s="452">
        <f>INDEX(qPCR_Unique!L$3:L$118, MATCH(Core_Data!$A54, qPCR_Unique!$D$3:$D$118,0), 1)</f>
        <v>3.6833972776381381</v>
      </c>
      <c r="H54" s="449">
        <f>INDEX(qPCR_Unique!N$3:N$118, MATCH(Core_Data!$A54, qPCR_Unique!$D$3:$D$118,0), 1)</f>
        <v>0</v>
      </c>
      <c r="I54" s="450">
        <f>INDEX(qPCR_Unique!O$3:O$118, MATCH(Core_Data!$A54, qPCR_Unique!$D$3:$D$118,0), 1)</f>
        <v>0</v>
      </c>
      <c r="J54" s="451">
        <f>INDEX(qPCR_Unique!Q$3:Q$118, MATCH(Core_Data!$A54, qPCR_Unique!$D$3:$D$118,0), 1)</f>
        <v>0</v>
      </c>
      <c r="K54" s="453">
        <f>INDEX(qPCR_Unique!R$3:R$118, MATCH(Core_Data!$A54, qPCR_Unique!$D$3:$D$118,0), 1)</f>
        <v>0</v>
      </c>
      <c r="L54" s="454">
        <f>INDEX(qPCR_Unique!T$3:T$118, MATCH(Core_Data!$A54, qPCR_Unique!$D$3:$D$118,0), 1)</f>
        <v>388.69497401880915</v>
      </c>
      <c r="M54" s="455">
        <f>INDEX(qPCR_Unique!U$3:U$118, MATCH(Core_Data!$A54, qPCR_Unique!$D$3:$D$118,0), 1)</f>
        <v>2.5896089250665399</v>
      </c>
      <c r="N54" s="456">
        <f>INDEX(Physicochemical_Managed!Q$2:Q$207, MATCH(Core_Data!$A54, Physicochemical_Managed!$P$2:$P$207,0), 1)</f>
        <v>6.8</v>
      </c>
      <c r="O54" s="457">
        <f>INDEX(Physicochemical_Managed!R$2:R$207, MATCH(Core_Data!$A54, Physicochemical_Managed!$P$2:$P$207,0), 1)</f>
        <v>27.5</v>
      </c>
      <c r="P54" s="457">
        <f>INDEX(Physicochemical_Managed!S$2:S$207, MATCH(Core_Data!$A54, Physicochemical_Managed!$P$2:$P$207,0), 1)</f>
        <v>0.1</v>
      </c>
      <c r="Q54" s="457">
        <f>INDEX(Physicochemical_Managed!T$2:T$207, MATCH(Core_Data!$A54, Physicochemical_Managed!$P$2:$P$207,0), 1)</f>
        <v>0.84</v>
      </c>
      <c r="R54" s="457">
        <f>INDEX(Physicochemical_Managed!U$2:U$207, MATCH(Core_Data!$A54, Physicochemical_Managed!$P$2:$P$207,0), 1)</f>
        <v>0.98</v>
      </c>
      <c r="S54" s="457">
        <f>INDEX(Physicochemical_Managed!V$2:V$207, MATCH(Core_Data!$A54, Physicochemical_Managed!$P$2:$P$207,0), 1)</f>
        <v>0.19</v>
      </c>
      <c r="T54" s="457">
        <f>INDEX(Physicochemical_Managed!W$2:W$207, MATCH(Core_Data!$A54, Physicochemical_Managed!$P$2:$P$207,0), 1)</f>
        <v>7.0000000000000001E-3</v>
      </c>
      <c r="U54" s="501">
        <f>INDEX(Physicochemical_Managed!X$2:X$207, MATCH(Core_Data!$A54, Physicochemical_Managed!$P$2:$P$207,0), 1)</f>
        <v>0.7</v>
      </c>
      <c r="V54" s="514">
        <f>INDEX(qPCR_Unique!W$3:W$118, MATCH(Core_Data!$A54, qPCR_Unique!$D$3:$D$118,0), 1)</f>
        <v>5212.5836598504447</v>
      </c>
      <c r="W54" s="515">
        <f>INDEX(qPCR_Unique!X$3:X$118, MATCH(Core_Data!$A54, qPCR_Unique!$D$3:$D$118,0), 1)</f>
        <v>3.7170530382877782</v>
      </c>
    </row>
    <row r="55" spans="1:23" s="380" customFormat="1" x14ac:dyDescent="0.3">
      <c r="A55" s="397" t="str">
        <v>MRT44426</v>
      </c>
      <c r="B55" s="447" t="str">
        <f t="shared" si="0"/>
        <v>MRT</v>
      </c>
      <c r="C55" s="448">
        <f t="shared" si="1"/>
        <v>44426</v>
      </c>
      <c r="D55" s="449">
        <f>INDEX(qPCR_Unique!H$3:H$118, MATCH(Core_Data!$A55, qPCR_Unique!$D$3:$D$118,0), 1)</f>
        <v>195558911.76375777</v>
      </c>
      <c r="E55" s="450">
        <f>INDEX(qPCR_Unique!I$3:I$118, MATCH(Core_Data!$A55, qPCR_Unique!$D$3:$D$118,0), 1)</f>
        <v>8.2912776118587743</v>
      </c>
      <c r="F55" s="451">
        <f>INDEX(qPCR_Unique!K$3:K$118, MATCH(Core_Data!$A55, qPCR_Unique!$D$3:$D$118,0), 1)</f>
        <v>47348.697747124563</v>
      </c>
      <c r="G55" s="452">
        <f>INDEX(qPCR_Unique!L$3:L$118, MATCH(Core_Data!$A55, qPCR_Unique!$D$3:$D$118,0), 1)</f>
        <v>4.6753080389039123</v>
      </c>
      <c r="H55" s="449">
        <f>INDEX(qPCR_Unique!N$3:N$118, MATCH(Core_Data!$A55, qPCR_Unique!$D$3:$D$118,0), 1)</f>
        <v>872.19350867801245</v>
      </c>
      <c r="I55" s="450">
        <f>INDEX(qPCR_Unique!O$3:O$118, MATCH(Core_Data!$A55, qPCR_Unique!$D$3:$D$118,0), 1)</f>
        <v>2.9406128501018993</v>
      </c>
      <c r="J55" s="451">
        <f>INDEX(qPCR_Unique!Q$3:Q$118, MATCH(Core_Data!$A55, qPCR_Unique!$D$3:$D$118,0), 1)</f>
        <v>10366.154819064672</v>
      </c>
      <c r="K55" s="453">
        <f>INDEX(qPCR_Unique!R$3:R$118, MATCH(Core_Data!$A55, qPCR_Unique!$D$3:$D$118,0), 1)</f>
        <v>4.0156176907627623</v>
      </c>
      <c r="L55" s="454">
        <f>INDEX(qPCR_Unique!T$3:T$118, MATCH(Core_Data!$A55, qPCR_Unique!$D$3:$D$118,0), 1)</f>
        <v>6749.5549519856777</v>
      </c>
      <c r="M55" s="455">
        <f>INDEX(qPCR_Unique!U$3:U$118, MATCH(Core_Data!$A55, qPCR_Unique!$D$3:$D$118,0), 1)</f>
        <v>3.8292751375319267</v>
      </c>
      <c r="N55" s="456">
        <f>INDEX(Physicochemical_Managed!Q$2:Q$207, MATCH(Core_Data!$A55, Physicochemical_Managed!$P$2:$P$207,0), 1)</f>
        <v>6.75</v>
      </c>
      <c r="O55" s="457">
        <f>INDEX(Physicochemical_Managed!R$2:R$207, MATCH(Core_Data!$A55, Physicochemical_Managed!$P$2:$P$207,0), 1)</f>
        <v>28.1</v>
      </c>
      <c r="P55" s="457">
        <f>INDEX(Physicochemical_Managed!S$2:S$207, MATCH(Core_Data!$A55, Physicochemical_Managed!$P$2:$P$207,0), 1)</f>
        <v>0.04</v>
      </c>
      <c r="Q55" s="457">
        <f>INDEX(Physicochemical_Managed!T$2:T$207, MATCH(Core_Data!$A55, Physicochemical_Managed!$P$2:$P$207,0), 1)</f>
        <v>0.66</v>
      </c>
      <c r="R55" s="457">
        <f>INDEX(Physicochemical_Managed!U$2:U$207, MATCH(Core_Data!$A55, Physicochemical_Managed!$P$2:$P$207,0), 1)</f>
        <v>0.77</v>
      </c>
      <c r="S55" s="457">
        <f>INDEX(Physicochemical_Managed!V$2:V$207, MATCH(Core_Data!$A55, Physicochemical_Managed!$P$2:$P$207,0), 1)</f>
        <v>0.24</v>
      </c>
      <c r="T55" s="457">
        <f>INDEX(Physicochemical_Managed!W$2:W$207, MATCH(Core_Data!$A55, Physicochemical_Managed!$P$2:$P$207,0), 1)</f>
        <v>7.0000000000000001E-3</v>
      </c>
      <c r="U55" s="501">
        <f>INDEX(Physicochemical_Managed!X$2:X$207, MATCH(Core_Data!$A55, Physicochemical_Managed!$P$2:$P$207,0), 1)</f>
        <v>0.69</v>
      </c>
      <c r="V55" s="514">
        <f>INDEX(qPCR_Unique!W$3:W$118, MATCH(Core_Data!$A55, qPCR_Unique!$D$3:$D$118,0), 1)</f>
        <v>65336.601026852928</v>
      </c>
      <c r="W55" s="515">
        <f>INDEX(qPCR_Unique!X$3:X$118, MATCH(Core_Data!$A55, qPCR_Unique!$D$3:$D$118,0), 1)</f>
        <v>4.815156537643583</v>
      </c>
    </row>
    <row r="56" spans="1:23" s="380" customFormat="1" ht="16.350000000000001" thickBot="1" x14ac:dyDescent="0.35">
      <c r="A56" s="398" t="str">
        <v>MRT44433</v>
      </c>
      <c r="B56" s="458" t="str">
        <f t="shared" si="0"/>
        <v>MRT</v>
      </c>
      <c r="C56" s="459">
        <f t="shared" si="1"/>
        <v>44433</v>
      </c>
      <c r="D56" s="460">
        <f>INDEX(qPCR_Unique!H$3:H$118, MATCH(Core_Data!$A56, qPCR_Unique!$D$3:$D$118,0), 1)</f>
        <v>49593736.004659221</v>
      </c>
      <c r="E56" s="461">
        <f>INDEX(qPCR_Unique!I$3:I$118, MATCH(Core_Data!$A56, qPCR_Unique!$D$3:$D$118,0), 1)</f>
        <v>7.6954268258771572</v>
      </c>
      <c r="F56" s="462">
        <f>INDEX(qPCR_Unique!K$3:K$118, MATCH(Core_Data!$A56, qPCR_Unique!$D$3:$D$118,0), 1)</f>
        <v>22610.194658992266</v>
      </c>
      <c r="G56" s="463">
        <f>INDEX(qPCR_Unique!L$3:L$118, MATCH(Core_Data!$A56, qPCR_Unique!$D$3:$D$118,0), 1)</f>
        <v>4.354304301352979</v>
      </c>
      <c r="H56" s="460">
        <f>INDEX(qPCR_Unique!N$3:N$118, MATCH(Core_Data!$A56, qPCR_Unique!$D$3:$D$118,0), 1)</f>
        <v>111.86782759849471</v>
      </c>
      <c r="I56" s="461">
        <f>INDEX(qPCR_Unique!O$3:O$118, MATCH(Core_Data!$A56, qPCR_Unique!$D$3:$D$118,0), 1)</f>
        <v>2.048705204442399</v>
      </c>
      <c r="J56" s="462">
        <f>INDEX(qPCR_Unique!Q$3:Q$118, MATCH(Core_Data!$A56, qPCR_Unique!$D$3:$D$118,0), 1)</f>
        <v>16481.839189625749</v>
      </c>
      <c r="K56" s="464">
        <f>INDEX(qPCR_Unique!R$3:R$118, MATCH(Core_Data!$A56, qPCR_Unique!$D$3:$D$118,0), 1)</f>
        <v>4.2170056724908411</v>
      </c>
      <c r="L56" s="465">
        <f>INDEX(qPCR_Unique!T$3:T$118, MATCH(Core_Data!$A56, qPCR_Unique!$D$3:$D$118,0), 1)</f>
        <v>498.61801995171442</v>
      </c>
      <c r="M56" s="466">
        <f>INDEX(qPCR_Unique!U$3:U$118, MATCH(Core_Data!$A56, qPCR_Unique!$D$3:$D$118,0), 1)</f>
        <v>2.6977679697637789</v>
      </c>
      <c r="N56" s="467">
        <f>INDEX(Physicochemical_Managed!Q$2:Q$207, MATCH(Core_Data!$A56, Physicochemical_Managed!$P$2:$P$207,0), 1)</f>
        <v>6.73</v>
      </c>
      <c r="O56" s="468">
        <f>INDEX(Physicochemical_Managed!R$2:R$207, MATCH(Core_Data!$A56, Physicochemical_Managed!$P$2:$P$207,0), 1)</f>
        <v>28.6</v>
      </c>
      <c r="P56" s="468">
        <f>INDEX(Physicochemical_Managed!S$2:S$207, MATCH(Core_Data!$A56, Physicochemical_Managed!$P$2:$P$207,0), 1)</f>
        <v>0.08</v>
      </c>
      <c r="Q56" s="468">
        <f>INDEX(Physicochemical_Managed!T$2:T$207, MATCH(Core_Data!$A56, Physicochemical_Managed!$P$2:$P$207,0), 1)</f>
        <v>0.7</v>
      </c>
      <c r="R56" s="468">
        <f>INDEX(Physicochemical_Managed!U$2:U$207, MATCH(Core_Data!$A56, Physicochemical_Managed!$P$2:$P$207,0), 1)</f>
        <v>0.64</v>
      </c>
      <c r="S56" s="468">
        <f>INDEX(Physicochemical_Managed!V$2:V$207, MATCH(Core_Data!$A56, Physicochemical_Managed!$P$2:$P$207,0), 1)</f>
        <v>0.7</v>
      </c>
      <c r="T56" s="468">
        <f>INDEX(Physicochemical_Managed!W$2:W$207, MATCH(Core_Data!$A56, Physicochemical_Managed!$P$2:$P$207,0), 1)</f>
        <v>8.0000000000000002E-3</v>
      </c>
      <c r="U56" s="502">
        <f>INDEX(Physicochemical_Managed!X$2:X$207, MATCH(Core_Data!$A56, Physicochemical_Managed!$P$2:$P$207,0), 1)</f>
        <v>0.66</v>
      </c>
      <c r="V56" s="516">
        <f>INDEX(qPCR_Unique!W$3:W$118, MATCH(Core_Data!$A56, qPCR_Unique!$D$3:$D$118,0), 1)</f>
        <v>39702.519696168223</v>
      </c>
      <c r="W56" s="517">
        <f>INDEX(qPCR_Unique!X$3:X$118, MATCH(Core_Data!$A56, qPCR_Unique!$D$3:$D$118,0), 1)</f>
        <v>4.5988180698718546</v>
      </c>
    </row>
    <row r="57" spans="1:23" s="380" customFormat="1" x14ac:dyDescent="0.3">
      <c r="A57" s="393" t="str">
        <v>RN44335</v>
      </c>
      <c r="B57" s="403" t="str">
        <f t="shared" si="0"/>
        <v>RN</v>
      </c>
      <c r="C57" s="404">
        <f t="shared" si="1"/>
        <v>44335</v>
      </c>
      <c r="D57" s="405">
        <f>INDEX(qPCR_Unique!H$3:H$118, MATCH(Core_Data!$A57, qPCR_Unique!$D$3:$D$118,0), 1)</f>
        <v>1121392480.7027545</v>
      </c>
      <c r="E57" s="406">
        <f>INDEX(qPCR_Unique!I$3:I$118, MATCH(Core_Data!$A57, qPCR_Unique!$D$3:$D$118,0), 1)</f>
        <v>9.0497576396880604</v>
      </c>
      <c r="F57" s="407">
        <f>INDEX(qPCR_Unique!K$3:K$118, MATCH(Core_Data!$A57, qPCR_Unique!$D$3:$D$118,0), 1)</f>
        <v>77162.920880061327</v>
      </c>
      <c r="G57" s="408">
        <f>INDEX(qPCR_Unique!L$3:L$118, MATCH(Core_Data!$A57, qPCR_Unique!$D$3:$D$118,0), 1)</f>
        <v>4.8874086588122267</v>
      </c>
      <c r="H57" s="405">
        <f>INDEX(qPCR_Unique!N$3:N$118, MATCH(Core_Data!$A57, qPCR_Unique!$D$3:$D$118,0), 1)</f>
        <v>525950.38957493287</v>
      </c>
      <c r="I57" s="406">
        <f>INDEX(qPCR_Unique!O$3:O$118, MATCH(Core_Data!$A57, qPCR_Unique!$D$3:$D$118,0), 1)</f>
        <v>5.7209447811309939</v>
      </c>
      <c r="J57" s="407">
        <f>INDEX(qPCR_Unique!Q$3:Q$118, MATCH(Core_Data!$A57, qPCR_Unique!$D$3:$D$118,0), 1)</f>
        <v>0</v>
      </c>
      <c r="K57" s="409">
        <f>INDEX(qPCR_Unique!R$3:R$118, MATCH(Core_Data!$A57, qPCR_Unique!$D$3:$D$118,0), 1)</f>
        <v>0</v>
      </c>
      <c r="L57" s="410">
        <f>INDEX(qPCR_Unique!T$3:T$118, MATCH(Core_Data!$A57, qPCR_Unique!$D$3:$D$118,0), 1)</f>
        <v>12002271.461623544</v>
      </c>
      <c r="M57" s="411">
        <f>INDEX(qPCR_Unique!U$3:U$118, MATCH(Core_Data!$A57, qPCR_Unique!$D$3:$D$118,0), 1)</f>
        <v>7.0792634452056076</v>
      </c>
      <c r="N57" s="412">
        <f>INDEX(Physicochemical_Managed!Q$2:Q$207, MATCH(Core_Data!$A57, Physicochemical_Managed!$P$2:$P$207,0), 1)</f>
        <v>6.82</v>
      </c>
      <c r="O57" s="413">
        <f>INDEX(Physicochemical_Managed!R$2:R$207, MATCH(Core_Data!$A57, Physicochemical_Managed!$P$2:$P$207,0), 1)</f>
        <v>24.8</v>
      </c>
      <c r="P57" s="413">
        <f>INDEX(Physicochemical_Managed!S$2:S$207, MATCH(Core_Data!$A57, Physicochemical_Managed!$P$2:$P$207,0), 1)</f>
        <v>7.4999999999999997E-2</v>
      </c>
      <c r="Q57" s="413">
        <f>INDEX(Physicochemical_Managed!T$2:T$207, MATCH(Core_Data!$A57, Physicochemical_Managed!$P$2:$P$207,0), 1)</f>
        <v>1.6800000000000002</v>
      </c>
      <c r="R57" s="413">
        <f>INDEX(Physicochemical_Managed!U$2:U$207, MATCH(Core_Data!$A57, Physicochemical_Managed!$P$2:$P$207,0), 1)</f>
        <v>1.7949999999999999</v>
      </c>
      <c r="S57" s="413">
        <f>INDEX(Physicochemical_Managed!V$2:V$207, MATCH(Core_Data!$A57, Physicochemical_Managed!$P$2:$P$207,0), 1)</f>
        <v>0.33999999999999997</v>
      </c>
      <c r="T57" s="413">
        <f>INDEX(Physicochemical_Managed!W$2:W$207, MATCH(Core_Data!$A57, Physicochemical_Managed!$P$2:$P$207,0), 1)</f>
        <v>6.5000000000000006E-3</v>
      </c>
      <c r="U57" s="497">
        <f>INDEX(Physicochemical_Managed!X$2:X$207, MATCH(Core_Data!$A57, Physicochemical_Managed!$P$2:$P$207,0), 1)</f>
        <v>0.46500000000000002</v>
      </c>
      <c r="V57" s="506">
        <f>INDEX(qPCR_Unique!W$3:W$118, MATCH(Core_Data!$A57, qPCR_Unique!$D$3:$D$118,0), 1)</f>
        <v>12605384.772078538</v>
      </c>
      <c r="W57" s="507">
        <f>INDEX(qPCR_Unique!X$3:X$118, MATCH(Core_Data!$A57, qPCR_Unique!$D$3:$D$118,0), 1)</f>
        <v>7.1005561068026344</v>
      </c>
    </row>
    <row r="58" spans="1:23" s="380" customFormat="1" x14ac:dyDescent="0.3">
      <c r="A58" s="394" t="str">
        <v>RN44342</v>
      </c>
      <c r="B58" s="414" t="str">
        <f t="shared" si="0"/>
        <v>RN</v>
      </c>
      <c r="C58" s="415">
        <f t="shared" si="1"/>
        <v>44342</v>
      </c>
      <c r="D58" s="416">
        <f>INDEX(qPCR_Unique!H$3:H$118, MATCH(Core_Data!$A58, qPCR_Unique!$D$3:$D$118,0), 1)</f>
        <v>118565273.33576651</v>
      </c>
      <c r="E58" s="417">
        <f>INDEX(qPCR_Unique!I$3:I$118, MATCH(Core_Data!$A58, qPCR_Unique!$D$3:$D$118,0), 1)</f>
        <v>8.0739575068438771</v>
      </c>
      <c r="F58" s="418">
        <f>INDEX(qPCR_Unique!K$3:K$118, MATCH(Core_Data!$A58, qPCR_Unique!$D$3:$D$118,0), 1)</f>
        <v>38224.811381520994</v>
      </c>
      <c r="G58" s="419">
        <f>INDEX(qPCR_Unique!L$3:L$118, MATCH(Core_Data!$A58, qPCR_Unique!$D$3:$D$118,0), 1)</f>
        <v>4.582345351084574</v>
      </c>
      <c r="H58" s="416">
        <f>INDEX(qPCR_Unique!N$3:N$118, MATCH(Core_Data!$A58, qPCR_Unique!$D$3:$D$118,0), 1)</f>
        <v>37924.813644311573</v>
      </c>
      <c r="I58" s="417">
        <f>INDEX(qPCR_Unique!O$3:O$118, MATCH(Core_Data!$A58, qPCR_Unique!$D$3:$D$118,0), 1)</f>
        <v>4.5789234554193214</v>
      </c>
      <c r="J58" s="418">
        <f>INDEX(qPCR_Unique!Q$3:Q$118, MATCH(Core_Data!$A58, qPCR_Unique!$D$3:$D$118,0), 1)</f>
        <v>0</v>
      </c>
      <c r="K58" s="420">
        <f>INDEX(qPCR_Unique!R$3:R$118, MATCH(Core_Data!$A58, qPCR_Unique!$D$3:$D$118,0), 1)</f>
        <v>0</v>
      </c>
      <c r="L58" s="421">
        <f>INDEX(qPCR_Unique!T$3:T$118, MATCH(Core_Data!$A58, qPCR_Unique!$D$3:$D$118,0), 1)</f>
        <v>872700.43957024999</v>
      </c>
      <c r="M58" s="422">
        <f>INDEX(qPCR_Unique!U$3:U$118, MATCH(Core_Data!$A58, qPCR_Unique!$D$3:$D$118,0), 1)</f>
        <v>5.9408651947164479</v>
      </c>
      <c r="N58" s="423">
        <f>INDEX(Physicochemical_Managed!Q$2:Q$207, MATCH(Core_Data!$A58, Physicochemical_Managed!$P$2:$P$207,0), 1)</f>
        <v>6.7200000000000006</v>
      </c>
      <c r="O58" s="424">
        <f>INDEX(Physicochemical_Managed!R$2:R$207, MATCH(Core_Data!$A58, Physicochemical_Managed!$P$2:$P$207,0), 1)</f>
        <v>25.65</v>
      </c>
      <c r="P58" s="424">
        <f>INDEX(Physicochemical_Managed!S$2:S$207, MATCH(Core_Data!$A58, Physicochemical_Managed!$P$2:$P$207,0), 1)</f>
        <v>6.0000000000000005E-2</v>
      </c>
      <c r="Q58" s="424">
        <f>INDEX(Physicochemical_Managed!T$2:T$207, MATCH(Core_Data!$A58, Physicochemical_Managed!$P$2:$P$207,0), 1)</f>
        <v>1.65</v>
      </c>
      <c r="R58" s="424">
        <f>INDEX(Physicochemical_Managed!U$2:U$207, MATCH(Core_Data!$A58, Physicochemical_Managed!$P$2:$P$207,0), 1)</f>
        <v>1.75</v>
      </c>
      <c r="S58" s="424">
        <f>INDEX(Physicochemical_Managed!V$2:V$207, MATCH(Core_Data!$A58, Physicochemical_Managed!$P$2:$P$207,0), 1)</f>
        <v>0.32</v>
      </c>
      <c r="T58" s="424">
        <f>INDEX(Physicochemical_Managed!W$2:W$207, MATCH(Core_Data!$A58, Physicochemical_Managed!$P$2:$P$207,0), 1)</f>
        <v>7.0000000000000001E-3</v>
      </c>
      <c r="U58" s="498">
        <f>INDEX(Physicochemical_Managed!X$2:X$207, MATCH(Core_Data!$A58, Physicochemical_Managed!$P$2:$P$207,0), 1)</f>
        <v>0.505</v>
      </c>
      <c r="V58" s="504">
        <f>INDEX(qPCR_Unique!W$3:W$118, MATCH(Core_Data!$A58, qPCR_Unique!$D$3:$D$118,0), 1)</f>
        <v>948850.06459608255</v>
      </c>
      <c r="W58" s="505">
        <f>INDEX(qPCR_Unique!X$3:X$118, MATCH(Core_Data!$A58, qPCR_Unique!$D$3:$D$118,0), 1)</f>
        <v>5.9771975914967843</v>
      </c>
    </row>
    <row r="59" spans="1:23" s="380" customFormat="1" x14ac:dyDescent="0.3">
      <c r="A59" s="394" t="str">
        <v>RN44350</v>
      </c>
      <c r="B59" s="414" t="str">
        <f t="shared" si="0"/>
        <v>RN</v>
      </c>
      <c r="C59" s="415">
        <f t="shared" si="1"/>
        <v>44350</v>
      </c>
      <c r="D59" s="416">
        <f>INDEX(qPCR_Unique!H$3:H$118, MATCH(Core_Data!$A59, qPCR_Unique!$D$3:$D$118,0), 1)</f>
        <v>9410233335.8906155</v>
      </c>
      <c r="E59" s="417">
        <f>INDEX(qPCR_Unique!I$3:I$118, MATCH(Core_Data!$A59, qPCR_Unique!$D$3:$D$118,0), 1)</f>
        <v>9.9736003923149656</v>
      </c>
      <c r="F59" s="418">
        <f>INDEX(qPCR_Unique!K$3:K$118, MATCH(Core_Data!$A59, qPCR_Unique!$D$3:$D$118,0), 1)</f>
        <v>162937.95470673279</v>
      </c>
      <c r="G59" s="419">
        <f>INDEX(qPCR_Unique!L$3:L$118, MATCH(Core_Data!$A59, qPCR_Unique!$D$3:$D$118,0), 1)</f>
        <v>5.2120222604884647</v>
      </c>
      <c r="H59" s="416">
        <f>INDEX(qPCR_Unique!N$3:N$118, MATCH(Core_Data!$A59, qPCR_Unique!$D$3:$D$118,0), 1)</f>
        <v>240357.5262945118</v>
      </c>
      <c r="I59" s="417">
        <f>INDEX(qPCR_Unique!O$3:O$118, MATCH(Core_Data!$A59, qPCR_Unique!$D$3:$D$118,0), 1)</f>
        <v>5.3808577257032759</v>
      </c>
      <c r="J59" s="418">
        <f>INDEX(qPCR_Unique!Q$3:Q$118, MATCH(Core_Data!$A59, qPCR_Unique!$D$3:$D$118,0), 1)</f>
        <v>736.41356601509995</v>
      </c>
      <c r="K59" s="420">
        <f>INDEX(qPCR_Unique!R$3:R$118, MATCH(Core_Data!$A59, qPCR_Unique!$D$3:$D$118,0), 1)</f>
        <v>2.8671217803632532</v>
      </c>
      <c r="L59" s="421">
        <f>INDEX(qPCR_Unique!T$3:T$118, MATCH(Core_Data!$A59, qPCR_Unique!$D$3:$D$118,0), 1)</f>
        <v>7787952.2915782388</v>
      </c>
      <c r="M59" s="422">
        <f>INDEX(qPCR_Unique!U$3:U$118, MATCH(Core_Data!$A59, qPCR_Unique!$D$3:$D$118,0), 1)</f>
        <v>6.8914232824001544</v>
      </c>
      <c r="N59" s="423">
        <f>INDEX(Physicochemical_Managed!Q$2:Q$207, MATCH(Core_Data!$A59, Physicochemical_Managed!$P$2:$P$207,0), 1)</f>
        <v>6.7050000000000001</v>
      </c>
      <c r="O59" s="424">
        <f>INDEX(Physicochemical_Managed!R$2:R$207, MATCH(Core_Data!$A59, Physicochemical_Managed!$P$2:$P$207,0), 1)</f>
        <v>26.35</v>
      </c>
      <c r="P59" s="424">
        <f>INDEX(Physicochemical_Managed!S$2:S$207, MATCH(Core_Data!$A59, Physicochemical_Managed!$P$2:$P$207,0), 1)</f>
        <v>0.08</v>
      </c>
      <c r="Q59" s="424">
        <f>INDEX(Physicochemical_Managed!T$2:T$207, MATCH(Core_Data!$A59, Physicochemical_Managed!$P$2:$P$207,0), 1)</f>
        <v>1.32</v>
      </c>
      <c r="R59" s="424">
        <f>INDEX(Physicochemical_Managed!U$2:U$207, MATCH(Core_Data!$A59, Physicochemical_Managed!$P$2:$P$207,0), 1)</f>
        <v>1.51</v>
      </c>
      <c r="S59" s="424">
        <f>INDEX(Physicochemical_Managed!V$2:V$207, MATCH(Core_Data!$A59, Physicochemical_Managed!$P$2:$P$207,0), 1)</f>
        <v>0.29000000000000004</v>
      </c>
      <c r="T59" s="424">
        <f>INDEX(Physicochemical_Managed!W$2:W$207, MATCH(Core_Data!$A59, Physicochemical_Managed!$P$2:$P$207,0), 1)</f>
        <v>6.0000000000000001E-3</v>
      </c>
      <c r="U59" s="498">
        <f>INDEX(Physicochemical_Managed!X$2:X$207, MATCH(Core_Data!$A59, Physicochemical_Managed!$P$2:$P$207,0), 1)</f>
        <v>0.61499999999999999</v>
      </c>
      <c r="V59" s="504">
        <f>INDEX(qPCR_Unique!W$3:W$118, MATCH(Core_Data!$A59, qPCR_Unique!$D$3:$D$118,0), 1)</f>
        <v>8191984.1861454984</v>
      </c>
      <c r="W59" s="505">
        <f>INDEX(qPCR_Unique!X$3:X$118, MATCH(Core_Data!$A59, qPCR_Unique!$D$3:$D$118,0), 1)</f>
        <v>6.9133891052679397</v>
      </c>
    </row>
    <row r="60" spans="1:23" s="380" customFormat="1" x14ac:dyDescent="0.3">
      <c r="A60" s="394" t="str">
        <v>RN44356</v>
      </c>
      <c r="B60" s="414" t="str">
        <f t="shared" si="0"/>
        <v>RN</v>
      </c>
      <c r="C60" s="415">
        <f t="shared" si="1"/>
        <v>44356</v>
      </c>
      <c r="D60" s="416">
        <f>INDEX(qPCR_Unique!H$3:H$118, MATCH(Core_Data!$A60, qPCR_Unique!$D$3:$D$118,0), 1)</f>
        <v>1203762443.3262875</v>
      </c>
      <c r="E60" s="417">
        <f>INDEX(qPCR_Unique!I$3:I$118, MATCH(Core_Data!$A60, qPCR_Unique!$D$3:$D$118,0), 1)</f>
        <v>9.0805407894700885</v>
      </c>
      <c r="F60" s="418">
        <f>INDEX(qPCR_Unique!K$3:K$118, MATCH(Core_Data!$A60, qPCR_Unique!$D$3:$D$118,0), 1)</f>
        <v>38949.830988833775</v>
      </c>
      <c r="G60" s="419">
        <f>INDEX(qPCR_Unique!L$3:L$118, MATCH(Core_Data!$A60, qPCR_Unique!$D$3:$D$118,0), 1)</f>
        <v>4.5905055775213919</v>
      </c>
      <c r="H60" s="416">
        <f>INDEX(qPCR_Unique!N$3:N$118, MATCH(Core_Data!$A60, qPCR_Unique!$D$3:$D$118,0), 1)</f>
        <v>20437.742695055509</v>
      </c>
      <c r="I60" s="417">
        <f>INDEX(qPCR_Unique!O$3:O$118, MATCH(Core_Data!$A60, qPCR_Unique!$D$3:$D$118,0), 1)</f>
        <v>4.3104329272152517</v>
      </c>
      <c r="J60" s="418">
        <f>INDEX(qPCR_Unique!Q$3:Q$118, MATCH(Core_Data!$A60, qPCR_Unique!$D$3:$D$118,0), 1)</f>
        <v>16087.194824218748</v>
      </c>
      <c r="K60" s="420">
        <f>INDEX(qPCR_Unique!R$3:R$118, MATCH(Core_Data!$A60, qPCR_Unique!$D$3:$D$118,0), 1)</f>
        <v>4.2064803213784936</v>
      </c>
      <c r="L60" s="421">
        <f>INDEX(qPCR_Unique!T$3:T$118, MATCH(Core_Data!$A60, qPCR_Unique!$D$3:$D$118,0), 1)</f>
        <v>3771222.101151316</v>
      </c>
      <c r="M60" s="422">
        <f>INDEX(qPCR_Unique!U$3:U$118, MATCH(Core_Data!$A60, qPCR_Unique!$D$3:$D$118,0), 1)</f>
        <v>6.5764821103594846</v>
      </c>
      <c r="N60" s="423">
        <f>INDEX(Physicochemical_Managed!Q$2:Q$207, MATCH(Core_Data!$A60, Physicochemical_Managed!$P$2:$P$207,0), 1)</f>
        <v>6.7449999999999992</v>
      </c>
      <c r="O60" s="424">
        <f>INDEX(Physicochemical_Managed!R$2:R$207, MATCH(Core_Data!$A60, Physicochemical_Managed!$P$2:$P$207,0), 1)</f>
        <v>27.25</v>
      </c>
      <c r="P60" s="424">
        <f>INDEX(Physicochemical_Managed!S$2:S$207, MATCH(Core_Data!$A60, Physicochemical_Managed!$P$2:$P$207,0), 1)</f>
        <v>0.13500000000000001</v>
      </c>
      <c r="Q60" s="424">
        <f>INDEX(Physicochemical_Managed!T$2:T$207, MATCH(Core_Data!$A60, Physicochemical_Managed!$P$2:$P$207,0), 1)</f>
        <v>1.365</v>
      </c>
      <c r="R60" s="424">
        <f>INDEX(Physicochemical_Managed!U$2:U$207, MATCH(Core_Data!$A60, Physicochemical_Managed!$P$2:$P$207,0), 1)</f>
        <v>1.2850000000000001</v>
      </c>
      <c r="S60" s="424">
        <f>INDEX(Physicochemical_Managed!V$2:V$207, MATCH(Core_Data!$A60, Physicochemical_Managed!$P$2:$P$207,0), 1)</f>
        <v>0.41500000000000004</v>
      </c>
      <c r="T60" s="424">
        <f>INDEX(Physicochemical_Managed!W$2:W$207, MATCH(Core_Data!$A60, Physicochemical_Managed!$P$2:$P$207,0), 1)</f>
        <v>7.0000000000000001E-3</v>
      </c>
      <c r="U60" s="498">
        <f>INDEX(Physicochemical_Managed!X$2:X$207, MATCH(Core_Data!$A60, Physicochemical_Managed!$P$2:$P$207,0), 1)</f>
        <v>0.55499999999999994</v>
      </c>
      <c r="V60" s="504">
        <f>INDEX(qPCR_Unique!W$3:W$118, MATCH(Core_Data!$A60, qPCR_Unique!$D$3:$D$118,0), 1)</f>
        <v>3846696.8696594238</v>
      </c>
      <c r="W60" s="505">
        <f>INDEX(qPCR_Unique!X$3:X$118, MATCH(Core_Data!$A60, qPCR_Unique!$D$3:$D$118,0), 1)</f>
        <v>6.5850879640502056</v>
      </c>
    </row>
    <row r="61" spans="1:23" s="380" customFormat="1" x14ac:dyDescent="0.3">
      <c r="A61" s="394" t="str">
        <v>RN44363</v>
      </c>
      <c r="B61" s="414" t="str">
        <f t="shared" si="0"/>
        <v>RN</v>
      </c>
      <c r="C61" s="415">
        <f t="shared" si="1"/>
        <v>44363</v>
      </c>
      <c r="D61" s="416">
        <f>INDEX(qPCR_Unique!H$3:H$118, MATCH(Core_Data!$A61, qPCR_Unique!$D$3:$D$118,0), 1)</f>
        <v>37634574.441604882</v>
      </c>
      <c r="E61" s="417">
        <f>INDEX(qPCR_Unique!I$3:I$118, MATCH(Core_Data!$A61, qPCR_Unique!$D$3:$D$118,0), 1)</f>
        <v>7.5755870095503726</v>
      </c>
      <c r="F61" s="418">
        <f>INDEX(qPCR_Unique!K$3:K$118, MATCH(Core_Data!$A61, qPCR_Unique!$D$3:$D$118,0), 1)</f>
        <v>0</v>
      </c>
      <c r="G61" s="419">
        <f>INDEX(qPCR_Unique!L$3:L$118, MATCH(Core_Data!$A61, qPCR_Unique!$D$3:$D$118,0), 1)</f>
        <v>0</v>
      </c>
      <c r="H61" s="416">
        <f>INDEX(qPCR_Unique!N$3:N$118, MATCH(Core_Data!$A61, qPCR_Unique!$D$3:$D$118,0), 1)</f>
        <v>16241.106240467358</v>
      </c>
      <c r="I61" s="417">
        <f>INDEX(qPCR_Unique!O$3:O$118, MATCH(Core_Data!$A61, qPCR_Unique!$D$3:$D$118,0), 1)</f>
        <v>4.2106156072800465</v>
      </c>
      <c r="J61" s="418">
        <f>INDEX(qPCR_Unique!Q$3:Q$118, MATCH(Core_Data!$A61, qPCR_Unique!$D$3:$D$118,0), 1)</f>
        <v>0</v>
      </c>
      <c r="K61" s="420">
        <f>INDEX(qPCR_Unique!R$3:R$118, MATCH(Core_Data!$A61, qPCR_Unique!$D$3:$D$118,0), 1)</f>
        <v>0</v>
      </c>
      <c r="L61" s="421">
        <f>INDEX(qPCR_Unique!T$3:T$118, MATCH(Core_Data!$A61, qPCR_Unique!$D$3:$D$118,0), 1)</f>
        <v>1078833.0810546875</v>
      </c>
      <c r="M61" s="422">
        <f>INDEX(qPCR_Unique!U$3:U$118, MATCH(Core_Data!$A61, qPCR_Unique!$D$3:$D$118,0), 1)</f>
        <v>6.0329542550771391</v>
      </c>
      <c r="N61" s="423">
        <f>INDEX(Physicochemical_Managed!Q$2:Q$207, MATCH(Core_Data!$A61, Physicochemical_Managed!$P$2:$P$207,0), 1)</f>
        <v>6.74</v>
      </c>
      <c r="O61" s="424">
        <f>INDEX(Physicochemical_Managed!R$2:R$207, MATCH(Core_Data!$A61, Physicochemical_Managed!$P$2:$P$207,0), 1)</f>
        <v>28</v>
      </c>
      <c r="P61" s="424">
        <f>INDEX(Physicochemical_Managed!S$2:S$207, MATCH(Core_Data!$A61, Physicochemical_Managed!$P$2:$P$207,0), 1)</f>
        <v>0.70500000000000007</v>
      </c>
      <c r="Q61" s="424">
        <f>INDEX(Physicochemical_Managed!T$2:T$207, MATCH(Core_Data!$A61, Physicochemical_Managed!$P$2:$P$207,0), 1)</f>
        <v>6.0000000000000005E-2</v>
      </c>
      <c r="R61" s="424">
        <f>INDEX(Physicochemical_Managed!U$2:U$207, MATCH(Core_Data!$A61, Physicochemical_Managed!$P$2:$P$207,0), 1)</f>
        <v>0.85499999999999998</v>
      </c>
      <c r="S61" s="424">
        <f>INDEX(Physicochemical_Managed!V$2:V$207, MATCH(Core_Data!$A61, Physicochemical_Managed!$P$2:$P$207,0), 1)</f>
        <v>0.13500000000000001</v>
      </c>
      <c r="T61" s="424">
        <f>INDEX(Physicochemical_Managed!W$2:W$207, MATCH(Core_Data!$A61, Physicochemical_Managed!$P$2:$P$207,0), 1)</f>
        <v>6.0000000000000001E-3</v>
      </c>
      <c r="U61" s="498">
        <f>INDEX(Physicochemical_Managed!X$2:X$207, MATCH(Core_Data!$A61, Physicochemical_Managed!$P$2:$P$207,0), 1)</f>
        <v>0.57000000000000006</v>
      </c>
      <c r="V61" s="504">
        <f>INDEX(qPCR_Unique!W$3:W$118, MATCH(Core_Data!$A61, qPCR_Unique!$D$3:$D$118,0), 1)</f>
        <v>1095074.1872951549</v>
      </c>
      <c r="W61" s="505">
        <f>INDEX(qPCR_Unique!X$3:X$118, MATCH(Core_Data!$A61, qPCR_Unique!$D$3:$D$118,0), 1)</f>
        <v>6.0394435420451087</v>
      </c>
    </row>
    <row r="62" spans="1:23" s="380" customFormat="1" x14ac:dyDescent="0.3">
      <c r="A62" s="394" t="str">
        <v>RN44370</v>
      </c>
      <c r="B62" s="414" t="str">
        <f t="shared" si="0"/>
        <v>RN</v>
      </c>
      <c r="C62" s="415">
        <f t="shared" si="1"/>
        <v>44370</v>
      </c>
      <c r="D62" s="416">
        <f>INDEX(qPCR_Unique!H$3:H$118, MATCH(Core_Data!$A62, qPCR_Unique!$D$3:$D$118,0), 1)</f>
        <v>887407127.34477782</v>
      </c>
      <c r="E62" s="417">
        <f>INDEX(qPCR_Unique!I$3:I$118, MATCH(Core_Data!$A62, qPCR_Unique!$D$3:$D$118,0), 1)</f>
        <v>8.9481229124964674</v>
      </c>
      <c r="F62" s="418">
        <f>INDEX(qPCR_Unique!K$3:K$118, MATCH(Core_Data!$A62, qPCR_Unique!$D$3:$D$118,0), 1)</f>
        <v>0</v>
      </c>
      <c r="G62" s="419">
        <f>INDEX(qPCR_Unique!L$3:L$118, MATCH(Core_Data!$A62, qPCR_Unique!$D$3:$D$118,0), 1)</f>
        <v>0</v>
      </c>
      <c r="H62" s="416">
        <f>INDEX(qPCR_Unique!N$3:N$118, MATCH(Core_Data!$A62, qPCR_Unique!$D$3:$D$118,0), 1)</f>
        <v>93902.081015675329</v>
      </c>
      <c r="I62" s="417">
        <f>INDEX(qPCR_Unique!O$3:O$118, MATCH(Core_Data!$A62, qPCR_Unique!$D$3:$D$118,0), 1)</f>
        <v>4.972675217011691</v>
      </c>
      <c r="J62" s="418">
        <f>INDEX(qPCR_Unique!Q$3:Q$118, MATCH(Core_Data!$A62, qPCR_Unique!$D$3:$D$118,0), 1)</f>
        <v>0</v>
      </c>
      <c r="K62" s="420">
        <f>INDEX(qPCR_Unique!R$3:R$118, MATCH(Core_Data!$A62, qPCR_Unique!$D$3:$D$118,0), 1)</f>
        <v>0</v>
      </c>
      <c r="L62" s="421">
        <f>INDEX(qPCR_Unique!T$3:T$118, MATCH(Core_Data!$A62, qPCR_Unique!$D$3:$D$118,0), 1)</f>
        <v>2653870.0859777704</v>
      </c>
      <c r="M62" s="422">
        <f>INDEX(qPCR_Unique!U$3:U$118, MATCH(Core_Data!$A62, qPCR_Unique!$D$3:$D$118,0), 1)</f>
        <v>6.4238796591750136</v>
      </c>
      <c r="N62" s="423">
        <f>INDEX(Physicochemical_Managed!Q$2:Q$207, MATCH(Core_Data!$A62, Physicochemical_Managed!$P$2:$P$207,0), 1)</f>
        <v>6.7949999999999999</v>
      </c>
      <c r="O62" s="424">
        <f>INDEX(Physicochemical_Managed!R$2:R$207, MATCH(Core_Data!$A62, Physicochemical_Managed!$P$2:$P$207,0), 1)</f>
        <v>27.75</v>
      </c>
      <c r="P62" s="424">
        <f>INDEX(Physicochemical_Managed!S$2:S$207, MATCH(Core_Data!$A62, Physicochemical_Managed!$P$2:$P$207,0), 1)</f>
        <v>2.2549999999999999</v>
      </c>
      <c r="Q62" s="424">
        <f>INDEX(Physicochemical_Managed!T$2:T$207, MATCH(Core_Data!$A62, Physicochemical_Managed!$P$2:$P$207,0), 1)</f>
        <v>7.0000000000000007E-2</v>
      </c>
      <c r="R62" s="424">
        <f>INDEX(Physicochemical_Managed!U$2:U$207, MATCH(Core_Data!$A62, Physicochemical_Managed!$P$2:$P$207,0), 1)</f>
        <v>2.3849999999999998</v>
      </c>
      <c r="S62" s="424">
        <f>INDEX(Physicochemical_Managed!V$2:V$207, MATCH(Core_Data!$A62, Physicochemical_Managed!$P$2:$P$207,0), 1)</f>
        <v>2.5000000000000001E-2</v>
      </c>
      <c r="T62" s="424">
        <f>INDEX(Physicochemical_Managed!W$2:W$207, MATCH(Core_Data!$A62, Physicochemical_Managed!$P$2:$P$207,0), 1)</f>
        <v>6.0000000000000001E-3</v>
      </c>
      <c r="U62" s="498">
        <f>INDEX(Physicochemical_Managed!X$2:X$207, MATCH(Core_Data!$A62, Physicochemical_Managed!$P$2:$P$207,0), 1)</f>
        <v>0.53</v>
      </c>
      <c r="V62" s="504">
        <f>INDEX(qPCR_Unique!W$3:W$118, MATCH(Core_Data!$A62, qPCR_Unique!$D$3:$D$118,0), 1)</f>
        <v>2747772.1669934457</v>
      </c>
      <c r="W62" s="505">
        <f>INDEX(qPCR_Unique!X$3:X$118, MATCH(Core_Data!$A62, qPCR_Unique!$D$3:$D$118,0), 1)</f>
        <v>6.4389807201198508</v>
      </c>
    </row>
    <row r="63" spans="1:23" s="380" customFormat="1" x14ac:dyDescent="0.3">
      <c r="A63" s="394" t="str">
        <v>RN44377</v>
      </c>
      <c r="B63" s="414" t="str">
        <f t="shared" si="0"/>
        <v>RN</v>
      </c>
      <c r="C63" s="415">
        <f t="shared" si="1"/>
        <v>44377</v>
      </c>
      <c r="D63" s="416">
        <f>INDEX(qPCR_Unique!H$3:H$118, MATCH(Core_Data!$A63, qPCR_Unique!$D$3:$D$118,0), 1)</f>
        <v>615711260.39890146</v>
      </c>
      <c r="E63" s="417">
        <f>INDEX(qPCR_Unique!I$3:I$118, MATCH(Core_Data!$A63, qPCR_Unique!$D$3:$D$118,0), 1)</f>
        <v>8.7893770962330091</v>
      </c>
      <c r="F63" s="418">
        <f>INDEX(qPCR_Unique!K$3:K$118, MATCH(Core_Data!$A63, qPCR_Unique!$D$3:$D$118,0), 1)</f>
        <v>0</v>
      </c>
      <c r="G63" s="419">
        <f>INDEX(qPCR_Unique!L$3:L$118, MATCH(Core_Data!$A63, qPCR_Unique!$D$3:$D$118,0), 1)</f>
        <v>0</v>
      </c>
      <c r="H63" s="416">
        <f>INDEX(qPCR_Unique!N$3:N$118, MATCH(Core_Data!$A63, qPCR_Unique!$D$3:$D$118,0), 1)</f>
        <v>170585.00498348905</v>
      </c>
      <c r="I63" s="417">
        <f>INDEX(qPCR_Unique!O$3:O$118, MATCH(Core_Data!$A63, qPCR_Unique!$D$3:$D$118,0), 1)</f>
        <v>5.2319408525106175</v>
      </c>
      <c r="J63" s="418">
        <f>INDEX(qPCR_Unique!Q$3:Q$118, MATCH(Core_Data!$A63, qPCR_Unique!$D$3:$D$118,0), 1)</f>
        <v>0</v>
      </c>
      <c r="K63" s="420">
        <f>INDEX(qPCR_Unique!R$3:R$118, MATCH(Core_Data!$A63, qPCR_Unique!$D$3:$D$118,0), 1)</f>
        <v>0</v>
      </c>
      <c r="L63" s="421">
        <f>INDEX(qPCR_Unique!T$3:T$118, MATCH(Core_Data!$A63, qPCR_Unique!$D$3:$D$118,0), 1)</f>
        <v>5579348.3529317006</v>
      </c>
      <c r="M63" s="422">
        <f>INDEX(qPCR_Unique!U$3:U$118, MATCH(Core_Data!$A63, qPCR_Unique!$D$3:$D$118,0), 1)</f>
        <v>6.7465834779246157</v>
      </c>
      <c r="N63" s="423">
        <f>INDEX(Physicochemical_Managed!Q$2:Q$207, MATCH(Core_Data!$A63, Physicochemical_Managed!$P$2:$P$207,0), 1)</f>
        <v>6.76</v>
      </c>
      <c r="O63" s="424">
        <f>INDEX(Physicochemical_Managed!R$2:R$207, MATCH(Core_Data!$A63, Physicochemical_Managed!$P$2:$P$207,0), 1)</f>
        <v>27.700000000000003</v>
      </c>
      <c r="P63" s="424">
        <f>INDEX(Physicochemical_Managed!S$2:S$207, MATCH(Core_Data!$A63, Physicochemical_Managed!$P$2:$P$207,0), 1)</f>
        <v>1.915</v>
      </c>
      <c r="Q63" s="424">
        <f>INDEX(Physicochemical_Managed!T$2:T$207, MATCH(Core_Data!$A63, Physicochemical_Managed!$P$2:$P$207,0), 1)</f>
        <v>5.5000000000000007E-2</v>
      </c>
      <c r="R63" s="424">
        <f>INDEX(Physicochemical_Managed!U$2:U$207, MATCH(Core_Data!$A63, Physicochemical_Managed!$P$2:$P$207,0), 1)</f>
        <v>1.895</v>
      </c>
      <c r="S63" s="424">
        <f>INDEX(Physicochemical_Managed!V$2:V$207, MATCH(Core_Data!$A63, Physicochemical_Managed!$P$2:$P$207,0), 1)</f>
        <v>6.5000000000000002E-2</v>
      </c>
      <c r="T63" s="424">
        <f>INDEX(Physicochemical_Managed!W$2:W$207, MATCH(Core_Data!$A63, Physicochemical_Managed!$P$2:$P$207,0), 1)</f>
        <v>7.4999999999999997E-3</v>
      </c>
      <c r="U63" s="498">
        <f>INDEX(Physicochemical_Managed!X$2:X$207, MATCH(Core_Data!$A63, Physicochemical_Managed!$P$2:$P$207,0), 1)</f>
        <v>0.54499999999999993</v>
      </c>
      <c r="V63" s="504">
        <f>INDEX(qPCR_Unique!W$3:W$118, MATCH(Core_Data!$A63, qPCR_Unique!$D$3:$D$118,0), 1)</f>
        <v>5749933.35791519</v>
      </c>
      <c r="W63" s="505">
        <f>INDEX(qPCR_Unique!X$3:X$118, MATCH(Core_Data!$A63, qPCR_Unique!$D$3:$D$118,0), 1)</f>
        <v>6.7596628112187753</v>
      </c>
    </row>
    <row r="64" spans="1:23" s="380" customFormat="1" x14ac:dyDescent="0.3">
      <c r="A64" s="394" t="str">
        <v>RN44385</v>
      </c>
      <c r="B64" s="414" t="str">
        <f t="shared" si="0"/>
        <v>RN</v>
      </c>
      <c r="C64" s="415">
        <f t="shared" si="1"/>
        <v>44385</v>
      </c>
      <c r="D64" s="416">
        <f>INDEX(qPCR_Unique!H$3:H$118, MATCH(Core_Data!$A64, qPCR_Unique!$D$3:$D$118,0), 1)</f>
        <v>552362214.71622205</v>
      </c>
      <c r="E64" s="417">
        <f>INDEX(qPCR_Unique!I$3:I$118, MATCH(Core_Data!$A64, qPCR_Unique!$D$3:$D$118,0), 1)</f>
        <v>8.7422239622644788</v>
      </c>
      <c r="F64" s="418">
        <f>INDEX(qPCR_Unique!K$3:K$118, MATCH(Core_Data!$A64, qPCR_Unique!$D$3:$D$118,0), 1)</f>
        <v>696.10249806964202</v>
      </c>
      <c r="G64" s="419">
        <f>INDEX(qPCR_Unique!L$3:L$118, MATCH(Core_Data!$A64, qPCR_Unique!$D$3:$D$118,0), 1)</f>
        <v>2.8426731922953588</v>
      </c>
      <c r="H64" s="416">
        <f>INDEX(qPCR_Unique!N$3:N$118, MATCH(Core_Data!$A64, qPCR_Unique!$D$3:$D$118,0), 1)</f>
        <v>50417.907242547903</v>
      </c>
      <c r="I64" s="417">
        <f>INDEX(qPCR_Unique!O$3:O$118, MATCH(Core_Data!$A64, qPCR_Unique!$D$3:$D$118,0), 1)</f>
        <v>4.7025848149247986</v>
      </c>
      <c r="J64" s="418">
        <f>INDEX(qPCR_Unique!Q$3:Q$118, MATCH(Core_Data!$A64, qPCR_Unique!$D$3:$D$118,0), 1)</f>
        <v>0</v>
      </c>
      <c r="K64" s="420">
        <f>INDEX(qPCR_Unique!R$3:R$118, MATCH(Core_Data!$A64, qPCR_Unique!$D$3:$D$118,0), 1)</f>
        <v>0</v>
      </c>
      <c r="L64" s="421">
        <f>INDEX(qPCR_Unique!T$3:T$118, MATCH(Core_Data!$A64, qPCR_Unique!$D$3:$D$118,0), 1)</f>
        <v>3831470.7093253974</v>
      </c>
      <c r="M64" s="422">
        <f>INDEX(qPCR_Unique!U$3:U$118, MATCH(Core_Data!$A64, qPCR_Unique!$D$3:$D$118,0), 1)</f>
        <v>6.583365509828246</v>
      </c>
      <c r="N64" s="423">
        <f>INDEX(Physicochemical_Managed!Q$2:Q$207, MATCH(Core_Data!$A64, Physicochemical_Managed!$P$2:$P$207,0), 1)</f>
        <v>6.8849999999999998</v>
      </c>
      <c r="O64" s="424">
        <f>INDEX(Physicochemical_Managed!R$2:R$207, MATCH(Core_Data!$A64, Physicochemical_Managed!$P$2:$P$207,0), 1)</f>
        <v>28.15</v>
      </c>
      <c r="P64" s="424">
        <f>INDEX(Physicochemical_Managed!S$2:S$207, MATCH(Core_Data!$A64, Physicochemical_Managed!$P$2:$P$207,0), 1)</f>
        <v>1.625</v>
      </c>
      <c r="Q64" s="424">
        <f>INDEX(Physicochemical_Managed!T$2:T$207, MATCH(Core_Data!$A64, Physicochemical_Managed!$P$2:$P$207,0), 1)</f>
        <v>0.03</v>
      </c>
      <c r="R64" s="424">
        <f>INDEX(Physicochemical_Managed!U$2:U$207, MATCH(Core_Data!$A64, Physicochemical_Managed!$P$2:$P$207,0), 1)</f>
        <v>1.7050000000000001</v>
      </c>
      <c r="S64" s="424">
        <f>INDEX(Physicochemical_Managed!V$2:V$207, MATCH(Core_Data!$A64, Physicochemical_Managed!$P$2:$P$207,0), 1)</f>
        <v>3.5000000000000003E-2</v>
      </c>
      <c r="T64" s="424">
        <f>INDEX(Physicochemical_Managed!W$2:W$207, MATCH(Core_Data!$A64, Physicochemical_Managed!$P$2:$P$207,0), 1)</f>
        <v>6.0000000000000001E-3</v>
      </c>
      <c r="U64" s="498">
        <f>INDEX(Physicochemical_Managed!X$2:X$207, MATCH(Core_Data!$A64, Physicochemical_Managed!$P$2:$P$207,0), 1)</f>
        <v>0.255</v>
      </c>
      <c r="V64" s="504">
        <f>INDEX(qPCR_Unique!W$3:W$118, MATCH(Core_Data!$A64, qPCR_Unique!$D$3:$D$118,0), 1)</f>
        <v>3882584.719066015</v>
      </c>
      <c r="W64" s="505">
        <f>INDEX(qPCR_Unique!X$3:X$118, MATCH(Core_Data!$A64, qPCR_Unique!$D$3:$D$118,0), 1)</f>
        <v>6.589120940928983</v>
      </c>
    </row>
    <row r="65" spans="1:23" s="380" customFormat="1" x14ac:dyDescent="0.3">
      <c r="A65" s="394" t="str">
        <v>RN44391</v>
      </c>
      <c r="B65" s="414" t="str">
        <f t="shared" si="0"/>
        <v>RN</v>
      </c>
      <c r="C65" s="415">
        <f t="shared" si="1"/>
        <v>44391</v>
      </c>
      <c r="D65" s="416">
        <f>INDEX(qPCR_Unique!H$3:H$118, MATCH(Core_Data!$A65, qPCR_Unique!$D$3:$D$118,0), 1)</f>
        <v>3139305002.0711265</v>
      </c>
      <c r="E65" s="417">
        <f>INDEX(qPCR_Unique!I$3:I$118, MATCH(Core_Data!$A65, qPCR_Unique!$D$3:$D$118,0), 1)</f>
        <v>9.4968335120305873</v>
      </c>
      <c r="F65" s="418">
        <f>INDEX(qPCR_Unique!K$3:K$118, MATCH(Core_Data!$A65, qPCR_Unique!$D$3:$D$118,0), 1)</f>
        <v>0</v>
      </c>
      <c r="G65" s="419">
        <f>INDEX(qPCR_Unique!L$3:L$118, MATCH(Core_Data!$A65, qPCR_Unique!$D$3:$D$118,0), 1)</f>
        <v>0</v>
      </c>
      <c r="H65" s="416">
        <f>INDEX(qPCR_Unique!N$3:N$118, MATCH(Core_Data!$A65, qPCR_Unique!$D$3:$D$118,0), 1)</f>
        <v>1802917.1752929688</v>
      </c>
      <c r="I65" s="417">
        <f>INDEX(qPCR_Unique!O$3:O$118, MATCH(Core_Data!$A65, qPCR_Unique!$D$3:$D$118,0), 1)</f>
        <v>6.2559757760072374</v>
      </c>
      <c r="J65" s="418">
        <f>INDEX(qPCR_Unique!Q$3:Q$118, MATCH(Core_Data!$A65, qPCR_Unique!$D$3:$D$118,0), 1)</f>
        <v>29921.933841705322</v>
      </c>
      <c r="K65" s="420">
        <f>INDEX(qPCR_Unique!R$3:R$118, MATCH(Core_Data!$A65, qPCR_Unique!$D$3:$D$118,0), 1)</f>
        <v>4.475989658364921</v>
      </c>
      <c r="L65" s="421">
        <f>INDEX(qPCR_Unique!T$3:T$118, MATCH(Core_Data!$A65, qPCR_Unique!$D$3:$D$118,0), 1)</f>
        <v>56260882.03125</v>
      </c>
      <c r="M65" s="422">
        <f>INDEX(qPCR_Unique!U$3:U$118, MATCH(Core_Data!$A65, qPCR_Unique!$D$3:$D$118,0), 1)</f>
        <v>7.7502065365441126</v>
      </c>
      <c r="N65" s="423">
        <f>INDEX(Physicochemical_Managed!Q$2:Q$207, MATCH(Core_Data!$A65, Physicochemical_Managed!$P$2:$P$207,0), 1)</f>
        <v>6.8849999999999998</v>
      </c>
      <c r="O65" s="424">
        <f>INDEX(Physicochemical_Managed!R$2:R$207, MATCH(Core_Data!$A65, Physicochemical_Managed!$P$2:$P$207,0), 1)</f>
        <v>28</v>
      </c>
      <c r="P65" s="424">
        <f>INDEX(Physicochemical_Managed!S$2:S$207, MATCH(Core_Data!$A65, Physicochemical_Managed!$P$2:$P$207,0), 1)</f>
        <v>1.8599999999999999</v>
      </c>
      <c r="Q65" s="424">
        <f>INDEX(Physicochemical_Managed!T$2:T$207, MATCH(Core_Data!$A65, Physicochemical_Managed!$P$2:$P$207,0), 1)</f>
        <v>3.5000000000000003E-2</v>
      </c>
      <c r="R65" s="424">
        <f>INDEX(Physicochemical_Managed!U$2:U$207, MATCH(Core_Data!$A65, Physicochemical_Managed!$P$2:$P$207,0), 1)</f>
        <v>1.835</v>
      </c>
      <c r="S65" s="424">
        <f>INDEX(Physicochemical_Managed!V$2:V$207, MATCH(Core_Data!$A65, Physicochemical_Managed!$P$2:$P$207,0), 1)</f>
        <v>0.17499999999999999</v>
      </c>
      <c r="T65" s="424">
        <f>INDEX(Physicochemical_Managed!W$2:W$207, MATCH(Core_Data!$A65, Physicochemical_Managed!$P$2:$P$207,0), 1)</f>
        <v>6.5000000000000006E-3</v>
      </c>
      <c r="U65" s="498">
        <f>INDEX(Physicochemical_Managed!X$2:X$207, MATCH(Core_Data!$A65, Physicochemical_Managed!$P$2:$P$207,0), 1)</f>
        <v>0.6100000000000001</v>
      </c>
      <c r="V65" s="504">
        <f>INDEX(qPCR_Unique!W$3:W$118, MATCH(Core_Data!$A65, qPCR_Unique!$D$3:$D$118,0), 1)</f>
        <v>58093721.140384674</v>
      </c>
      <c r="W65" s="505">
        <f>INDEX(qPCR_Unique!X$3:X$118, MATCH(Core_Data!$A65, qPCR_Unique!$D$3:$D$118,0), 1)</f>
        <v>7.764129195704605</v>
      </c>
    </row>
    <row r="66" spans="1:23" s="380" customFormat="1" x14ac:dyDescent="0.3">
      <c r="A66" s="394" t="str">
        <v>RN44398</v>
      </c>
      <c r="B66" s="414" t="str">
        <f t="shared" si="0"/>
        <v>RN</v>
      </c>
      <c r="C66" s="415">
        <f t="shared" si="1"/>
        <v>44398</v>
      </c>
      <c r="D66" s="416">
        <f>INDEX(qPCR_Unique!H$3:H$118, MATCH(Core_Data!$A66, qPCR_Unique!$D$3:$D$118,0), 1)</f>
        <v>282519522.60192114</v>
      </c>
      <c r="E66" s="417">
        <f>INDEX(qPCR_Unique!I$3:I$118, MATCH(Core_Data!$A66, qPCR_Unique!$D$3:$D$118,0), 1)</f>
        <v>8.4510484637141765</v>
      </c>
      <c r="F66" s="418">
        <f>INDEX(qPCR_Unique!K$3:K$118, MATCH(Core_Data!$A66, qPCR_Unique!$D$3:$D$118,0), 1)</f>
        <v>338.35356819575418</v>
      </c>
      <c r="G66" s="419">
        <f>INDEX(qPCR_Unique!L$3:L$118, MATCH(Core_Data!$A66, qPCR_Unique!$D$3:$D$118,0), 1)</f>
        <v>2.5293707608093068</v>
      </c>
      <c r="H66" s="416">
        <f>INDEX(qPCR_Unique!N$3:N$118, MATCH(Core_Data!$A66, qPCR_Unique!$D$3:$D$118,0), 1)</f>
        <v>37121.263894220741</v>
      </c>
      <c r="I66" s="417">
        <f>INDEX(qPCR_Unique!O$3:O$118, MATCH(Core_Data!$A66, qPCR_Unique!$D$3:$D$118,0), 1)</f>
        <v>4.5696227545333876</v>
      </c>
      <c r="J66" s="418">
        <f>INDEX(qPCR_Unique!Q$3:Q$118, MATCH(Core_Data!$A66, qPCR_Unique!$D$3:$D$118,0), 1)</f>
        <v>954.79618419300425</v>
      </c>
      <c r="K66" s="420">
        <f>INDEX(qPCR_Unique!R$3:R$118, MATCH(Core_Data!$A66, qPCR_Unique!$D$3:$D$118,0), 1)</f>
        <v>2.9799106746966424</v>
      </c>
      <c r="L66" s="421">
        <f>INDEX(qPCR_Unique!T$3:T$118, MATCH(Core_Data!$A66, qPCR_Unique!$D$3:$D$118,0), 1)</f>
        <v>0</v>
      </c>
      <c r="M66" s="422">
        <f>INDEX(qPCR_Unique!U$3:U$118, MATCH(Core_Data!$A66, qPCR_Unique!$D$3:$D$118,0), 1)</f>
        <v>0</v>
      </c>
      <c r="N66" s="423">
        <f>INDEX(Physicochemical_Managed!Q$2:Q$207, MATCH(Core_Data!$A66, Physicochemical_Managed!$P$2:$P$207,0), 1)</f>
        <v>6.8450000000000006</v>
      </c>
      <c r="O66" s="424">
        <f>INDEX(Physicochemical_Managed!R$2:R$207, MATCH(Core_Data!$A66, Physicochemical_Managed!$P$2:$P$207,0), 1)</f>
        <v>23.4</v>
      </c>
      <c r="P66" s="424">
        <f>INDEX(Physicochemical_Managed!S$2:S$207, MATCH(Core_Data!$A66, Physicochemical_Managed!$P$2:$P$207,0), 1)</f>
        <v>2.21</v>
      </c>
      <c r="Q66" s="424">
        <f>INDEX(Physicochemical_Managed!T$2:T$207, MATCH(Core_Data!$A66, Physicochemical_Managed!$P$2:$P$207,0), 1)</f>
        <v>0.01</v>
      </c>
      <c r="R66" s="424">
        <f>INDEX(Physicochemical_Managed!U$2:U$207, MATCH(Core_Data!$A66, Physicochemical_Managed!$P$2:$P$207,0), 1)</f>
        <v>2.2000000000000002</v>
      </c>
      <c r="S66" s="424">
        <f>INDEX(Physicochemical_Managed!V$2:V$207, MATCH(Core_Data!$A66, Physicochemical_Managed!$P$2:$P$207,0), 1)</f>
        <v>6.9999999999999993E-2</v>
      </c>
      <c r="T66" s="424">
        <f>INDEX(Physicochemical_Managed!W$2:W$207, MATCH(Core_Data!$A66, Physicochemical_Managed!$P$2:$P$207,0), 1)</f>
        <v>7.0000000000000001E-3</v>
      </c>
      <c r="U66" s="498">
        <f>INDEX(Physicochemical_Managed!X$2:X$207, MATCH(Core_Data!$A66, Physicochemical_Managed!$P$2:$P$207,0), 1)</f>
        <v>0.56499999999999995</v>
      </c>
      <c r="V66" s="504">
        <f>INDEX(qPCR_Unique!W$3:W$118, MATCH(Core_Data!$A66, qPCR_Unique!$D$3:$D$118,0), 1)</f>
        <v>38414.413646609493</v>
      </c>
      <c r="W66" s="505">
        <f>INDEX(qPCR_Unique!X$3:X$118, MATCH(Core_Data!$A66, qPCR_Unique!$D$3:$D$118,0), 1)</f>
        <v>4.5844942085514333</v>
      </c>
    </row>
    <row r="67" spans="1:23" s="380" customFormat="1" x14ac:dyDescent="0.3">
      <c r="A67" s="394" t="str">
        <v>RN44405</v>
      </c>
      <c r="B67" s="414" t="str">
        <f t="shared" si="0"/>
        <v>RN</v>
      </c>
      <c r="C67" s="415">
        <f t="shared" si="1"/>
        <v>44405</v>
      </c>
      <c r="D67" s="416">
        <f>INDEX(qPCR_Unique!H$3:H$118, MATCH(Core_Data!$A67, qPCR_Unique!$D$3:$D$118,0), 1)</f>
        <v>7024192134.8143406</v>
      </c>
      <c r="E67" s="417">
        <f>INDEX(qPCR_Unique!I$3:I$118, MATCH(Core_Data!$A67, qPCR_Unique!$D$3:$D$118,0), 1)</f>
        <v>9.8465963824465117</v>
      </c>
      <c r="F67" s="418">
        <f>INDEX(qPCR_Unique!K$3:K$118, MATCH(Core_Data!$A67, qPCR_Unique!$D$3:$D$118,0), 1)</f>
        <v>11993.938865242424</v>
      </c>
      <c r="G67" s="419">
        <f>INDEX(qPCR_Unique!L$3:L$118, MATCH(Core_Data!$A67, qPCR_Unique!$D$3:$D$118,0), 1)</f>
        <v>4.0789618308486393</v>
      </c>
      <c r="H67" s="416">
        <f>INDEX(qPCR_Unique!N$3:N$118, MATCH(Core_Data!$A67, qPCR_Unique!$D$3:$D$118,0), 1)</f>
        <v>92658.185351025924</v>
      </c>
      <c r="I67" s="417">
        <f>INDEX(qPCR_Unique!O$3:O$118, MATCH(Core_Data!$A67, qPCR_Unique!$D$3:$D$118,0), 1)</f>
        <v>4.966883790581651</v>
      </c>
      <c r="J67" s="418">
        <f>INDEX(qPCR_Unique!Q$3:Q$118, MATCH(Core_Data!$A67, qPCR_Unique!$D$3:$D$118,0), 1)</f>
        <v>0</v>
      </c>
      <c r="K67" s="420">
        <f>INDEX(qPCR_Unique!R$3:R$118, MATCH(Core_Data!$A67, qPCR_Unique!$D$3:$D$118,0), 1)</f>
        <v>0</v>
      </c>
      <c r="L67" s="421">
        <f>INDEX(qPCR_Unique!T$3:T$118, MATCH(Core_Data!$A67, qPCR_Unique!$D$3:$D$118,0), 1)</f>
        <v>3108902.8313605338</v>
      </c>
      <c r="M67" s="422">
        <f>INDEX(qPCR_Unique!U$3:U$118, MATCH(Core_Data!$A67, qPCR_Unique!$D$3:$D$118,0), 1)</f>
        <v>6.4926071483978385</v>
      </c>
      <c r="N67" s="423">
        <f>INDEX(Physicochemical_Managed!Q$2:Q$207, MATCH(Core_Data!$A67, Physicochemical_Managed!$P$2:$P$207,0), 1)</f>
        <v>6.75</v>
      </c>
      <c r="O67" s="424">
        <f>INDEX(Physicochemical_Managed!R$2:R$207, MATCH(Core_Data!$A67, Physicochemical_Managed!$P$2:$P$207,0), 1)</f>
        <v>24.200000000000003</v>
      </c>
      <c r="P67" s="424">
        <f>INDEX(Physicochemical_Managed!S$2:S$207, MATCH(Core_Data!$A67, Physicochemical_Managed!$P$2:$P$207,0), 1)</f>
        <v>0.105</v>
      </c>
      <c r="Q67" s="424">
        <f>INDEX(Physicochemical_Managed!T$2:T$207, MATCH(Core_Data!$A67, Physicochemical_Managed!$P$2:$P$207,0), 1)</f>
        <v>1.32</v>
      </c>
      <c r="R67" s="424">
        <f>INDEX(Physicochemical_Managed!U$2:U$207, MATCH(Core_Data!$A67, Physicochemical_Managed!$P$2:$P$207,0), 1)</f>
        <v>1.335</v>
      </c>
      <c r="S67" s="424">
        <f>INDEX(Physicochemical_Managed!V$2:V$207, MATCH(Core_Data!$A67, Physicochemical_Managed!$P$2:$P$207,0), 1)</f>
        <v>0.18</v>
      </c>
      <c r="T67" s="424">
        <f>INDEX(Physicochemical_Managed!W$2:W$207, MATCH(Core_Data!$A67, Physicochemical_Managed!$P$2:$P$207,0), 1)</f>
        <v>6.5000000000000006E-3</v>
      </c>
      <c r="U67" s="498">
        <f>INDEX(Physicochemical_Managed!X$2:X$207, MATCH(Core_Data!$A67, Physicochemical_Managed!$P$2:$P$207,0), 1)</f>
        <v>0.56499999999999995</v>
      </c>
      <c r="V67" s="504">
        <f>INDEX(qPCR_Unique!W$3:W$118, MATCH(Core_Data!$A67, qPCR_Unique!$D$3:$D$118,0), 1)</f>
        <v>3213554.9555768021</v>
      </c>
      <c r="W67" s="505">
        <f>INDEX(qPCR_Unique!X$3:X$118, MATCH(Core_Data!$A67, qPCR_Unique!$D$3:$D$118,0), 1)</f>
        <v>6.506985731257366</v>
      </c>
    </row>
    <row r="68" spans="1:23" s="380" customFormat="1" x14ac:dyDescent="0.3">
      <c r="A68" s="394" t="str">
        <v>RN44412</v>
      </c>
      <c r="B68" s="414" t="str">
        <f t="shared" ref="B68:B113" si="2">LEFT(A68, LEN(A68)-5)</f>
        <v>RN</v>
      </c>
      <c r="C68" s="415">
        <f t="shared" ref="C68:C113" si="3">INT(RIGHT(A68, 5))</f>
        <v>44412</v>
      </c>
      <c r="D68" s="416">
        <f>INDEX(qPCR_Unique!H$3:H$118, MATCH(Core_Data!$A68, qPCR_Unique!$D$3:$D$118,0), 1)</f>
        <v>577977421.28951466</v>
      </c>
      <c r="E68" s="417">
        <f>INDEX(qPCR_Unique!I$3:I$118, MATCH(Core_Data!$A68, qPCR_Unique!$D$3:$D$118,0), 1)</f>
        <v>8.7619108730210442</v>
      </c>
      <c r="F68" s="418">
        <f>INDEX(qPCR_Unique!K$3:K$118, MATCH(Core_Data!$A68, qPCR_Unique!$D$3:$D$118,0), 1)</f>
        <v>5921.2174945407442</v>
      </c>
      <c r="G68" s="419">
        <f>INDEX(qPCR_Unique!L$3:L$118, MATCH(Core_Data!$A68, qPCR_Unique!$D$3:$D$118,0), 1)</f>
        <v>3.7724110136143607</v>
      </c>
      <c r="H68" s="416">
        <f>INDEX(qPCR_Unique!N$3:N$118, MATCH(Core_Data!$A68, qPCR_Unique!$D$3:$D$118,0), 1)</f>
        <v>43565.980275472008</v>
      </c>
      <c r="I68" s="417">
        <f>INDEX(qPCR_Unique!O$3:O$118, MATCH(Core_Data!$A68, qPCR_Unique!$D$3:$D$118,0), 1)</f>
        <v>4.6391474905137544</v>
      </c>
      <c r="J68" s="418">
        <f>INDEX(qPCR_Unique!Q$3:Q$118, MATCH(Core_Data!$A68, qPCR_Unique!$D$3:$D$118,0), 1)</f>
        <v>3200.3125932481557</v>
      </c>
      <c r="K68" s="420">
        <f>INDEX(qPCR_Unique!R$3:R$118, MATCH(Core_Data!$A68, qPCR_Unique!$D$3:$D$118,0), 1)</f>
        <v>3.505192400473788</v>
      </c>
      <c r="L68" s="421">
        <f>INDEX(qPCR_Unique!T$3:T$118, MATCH(Core_Data!$A68, qPCR_Unique!$D$3:$D$118,0), 1)</f>
        <v>229751.8798828125</v>
      </c>
      <c r="M68" s="422">
        <f>INDEX(qPCR_Unique!U$3:U$118, MATCH(Core_Data!$A68, qPCR_Unique!$D$3:$D$118,0), 1)</f>
        <v>5.3612590735701922</v>
      </c>
      <c r="N68" s="423">
        <f>INDEX(Physicochemical_Managed!Q$2:Q$207, MATCH(Core_Data!$A68, Physicochemical_Managed!$P$2:$P$207,0), 1)</f>
        <v>6.74</v>
      </c>
      <c r="O68" s="424">
        <f>INDEX(Physicochemical_Managed!R$2:R$207, MATCH(Core_Data!$A68, Physicochemical_Managed!$P$2:$P$207,0), 1)</f>
        <v>23.6</v>
      </c>
      <c r="P68" s="424">
        <f>INDEX(Physicochemical_Managed!S$2:S$207, MATCH(Core_Data!$A68, Physicochemical_Managed!$P$2:$P$207,0), 1)</f>
        <v>9.5000000000000001E-2</v>
      </c>
      <c r="Q68" s="424">
        <f>INDEX(Physicochemical_Managed!T$2:T$207, MATCH(Core_Data!$A68, Physicochemical_Managed!$P$2:$P$207,0), 1)</f>
        <v>0.89000000000000012</v>
      </c>
      <c r="R68" s="424">
        <f>INDEX(Physicochemical_Managed!U$2:U$207, MATCH(Core_Data!$A68, Physicochemical_Managed!$P$2:$P$207,0), 1)</f>
        <v>0.8</v>
      </c>
      <c r="S68" s="424">
        <f>INDEX(Physicochemical_Managed!V$2:V$207, MATCH(Core_Data!$A68, Physicochemical_Managed!$P$2:$P$207,0), 1)</f>
        <v>0.27</v>
      </c>
      <c r="T68" s="424">
        <f>INDEX(Physicochemical_Managed!W$2:W$207, MATCH(Core_Data!$A68, Physicochemical_Managed!$P$2:$P$207,0), 1)</f>
        <v>6.5000000000000006E-3</v>
      </c>
      <c r="U68" s="498">
        <f>INDEX(Physicochemical_Managed!X$2:X$207, MATCH(Core_Data!$A68, Physicochemical_Managed!$P$2:$P$207,0), 1)</f>
        <v>0.6100000000000001</v>
      </c>
      <c r="V68" s="504">
        <f>INDEX(qPCR_Unique!W$3:W$118, MATCH(Core_Data!$A68, qPCR_Unique!$D$3:$D$118,0), 1)</f>
        <v>282439.39024607342</v>
      </c>
      <c r="W68" s="505">
        <f>INDEX(qPCR_Unique!X$3:X$118, MATCH(Core_Data!$A68, qPCR_Unique!$D$3:$D$118,0), 1)</f>
        <v>5.4509252652322751</v>
      </c>
    </row>
    <row r="69" spans="1:23" s="380" customFormat="1" x14ac:dyDescent="0.3">
      <c r="A69" s="394" t="str">
        <v>RN44419</v>
      </c>
      <c r="B69" s="414" t="str">
        <f t="shared" si="2"/>
        <v>RN</v>
      </c>
      <c r="C69" s="415">
        <f t="shared" si="3"/>
        <v>44419</v>
      </c>
      <c r="D69" s="416">
        <f>INDEX(qPCR_Unique!H$3:H$118, MATCH(Core_Data!$A69, qPCR_Unique!$D$3:$D$118,0), 1)</f>
        <v>624673267.69612622</v>
      </c>
      <c r="E69" s="417">
        <f>INDEX(qPCR_Unique!I$3:I$118, MATCH(Core_Data!$A69, qPCR_Unique!$D$3:$D$118,0), 1)</f>
        <v>8.7956529211205527</v>
      </c>
      <c r="F69" s="418">
        <f>INDEX(qPCR_Unique!K$3:K$118, MATCH(Core_Data!$A69, qPCR_Unique!$D$3:$D$118,0), 1)</f>
        <v>11561.279296875</v>
      </c>
      <c r="G69" s="419">
        <f>INDEX(qPCR_Unique!L$3:L$118, MATCH(Core_Data!$A69, qPCR_Unique!$D$3:$D$118,0), 1)</f>
        <v>4.063005892980124</v>
      </c>
      <c r="H69" s="416">
        <f>INDEX(qPCR_Unique!N$3:N$118, MATCH(Core_Data!$A69, qPCR_Unique!$D$3:$D$118,0), 1)</f>
        <v>58241.781234741211</v>
      </c>
      <c r="I69" s="417">
        <f>INDEX(qPCR_Unique!O$3:O$118, MATCH(Core_Data!$A69, qPCR_Unique!$D$3:$D$118,0), 1)</f>
        <v>4.7652346487326867</v>
      </c>
      <c r="J69" s="418">
        <f>INDEX(qPCR_Unique!Q$3:Q$118, MATCH(Core_Data!$A69, qPCR_Unique!$D$3:$D$118,0), 1)</f>
        <v>0</v>
      </c>
      <c r="K69" s="420">
        <f>INDEX(qPCR_Unique!R$3:R$118, MATCH(Core_Data!$A69, qPCR_Unique!$D$3:$D$118,0), 1)</f>
        <v>0</v>
      </c>
      <c r="L69" s="421">
        <f>INDEX(qPCR_Unique!T$3:T$118, MATCH(Core_Data!$A69, qPCR_Unique!$D$3:$D$118,0), 1)</f>
        <v>899716.04919433594</v>
      </c>
      <c r="M69" s="422">
        <f>INDEX(qPCR_Unique!U$3:U$118, MATCH(Core_Data!$A69, qPCR_Unique!$D$3:$D$118,0), 1)</f>
        <v>5.9541054675219511</v>
      </c>
      <c r="N69" s="423">
        <f>INDEX(Physicochemical_Managed!Q$2:Q$207, MATCH(Core_Data!$A69, Physicochemical_Managed!$P$2:$P$207,0), 1)</f>
        <v>6.82</v>
      </c>
      <c r="O69" s="424">
        <f>INDEX(Physicochemical_Managed!R$2:R$207, MATCH(Core_Data!$A69, Physicochemical_Managed!$P$2:$P$207,0), 1)</f>
        <v>23.1</v>
      </c>
      <c r="P69" s="424">
        <f>INDEX(Physicochemical_Managed!S$2:S$207, MATCH(Core_Data!$A69, Physicochemical_Managed!$P$2:$P$207,0), 1)</f>
        <v>0.1</v>
      </c>
      <c r="Q69" s="424">
        <f>INDEX(Physicochemical_Managed!T$2:T$207, MATCH(Core_Data!$A69, Physicochemical_Managed!$P$2:$P$207,0), 1)</f>
        <v>1.085</v>
      </c>
      <c r="R69" s="424">
        <f>INDEX(Physicochemical_Managed!U$2:U$207, MATCH(Core_Data!$A69, Physicochemical_Managed!$P$2:$P$207,0), 1)</f>
        <v>1.095</v>
      </c>
      <c r="S69" s="424">
        <f>INDEX(Physicochemical_Managed!V$2:V$207, MATCH(Core_Data!$A69, Physicochemical_Managed!$P$2:$P$207,0), 1)</f>
        <v>0.18</v>
      </c>
      <c r="T69" s="424">
        <f>INDEX(Physicochemical_Managed!W$2:W$207, MATCH(Core_Data!$A69, Physicochemical_Managed!$P$2:$P$207,0), 1)</f>
        <v>6.5000000000000006E-3</v>
      </c>
      <c r="U69" s="498">
        <f>INDEX(Physicochemical_Managed!X$2:X$207, MATCH(Core_Data!$A69, Physicochemical_Managed!$P$2:$P$207,0), 1)</f>
        <v>0.61</v>
      </c>
      <c r="V69" s="504">
        <f>INDEX(qPCR_Unique!W$3:W$118, MATCH(Core_Data!$A69, qPCR_Unique!$D$3:$D$118,0), 1)</f>
        <v>969519.10972595215</v>
      </c>
      <c r="W69" s="505">
        <f>INDEX(qPCR_Unique!X$3:X$118, MATCH(Core_Data!$A69, qPCR_Unique!$D$3:$D$118,0), 1)</f>
        <v>5.9865563736692264</v>
      </c>
    </row>
    <row r="70" spans="1:23" s="380" customFormat="1" x14ac:dyDescent="0.3">
      <c r="A70" s="394" t="str">
        <v>RN44426</v>
      </c>
      <c r="B70" s="414" t="str">
        <f t="shared" si="2"/>
        <v>RN</v>
      </c>
      <c r="C70" s="415">
        <f t="shared" si="3"/>
        <v>44426</v>
      </c>
      <c r="D70" s="416">
        <f>INDEX(qPCR_Unique!H$3:H$118, MATCH(Core_Data!$A70, qPCR_Unique!$D$3:$D$118,0), 1)</f>
        <v>447831809.7998417</v>
      </c>
      <c r="E70" s="417">
        <f>INDEX(qPCR_Unique!I$3:I$118, MATCH(Core_Data!$A70, qPCR_Unique!$D$3:$D$118,0), 1)</f>
        <v>8.6511149385728281</v>
      </c>
      <c r="F70" s="418">
        <f>INDEX(qPCR_Unique!K$3:K$118, MATCH(Core_Data!$A70, qPCR_Unique!$D$3:$D$118,0), 1)</f>
        <v>9034.257368607954</v>
      </c>
      <c r="G70" s="419">
        <f>INDEX(qPCR_Unique!L$3:L$118, MATCH(Core_Data!$A70, qPCR_Unique!$D$3:$D$118,0), 1)</f>
        <v>3.9558924586156925</v>
      </c>
      <c r="H70" s="416">
        <f>INDEX(qPCR_Unique!N$3:N$118, MATCH(Core_Data!$A70, qPCR_Unique!$D$3:$D$118,0), 1)</f>
        <v>9738.2939897402375</v>
      </c>
      <c r="I70" s="417">
        <f>INDEX(qPCR_Unique!O$3:O$118, MATCH(Core_Data!$A70, qPCR_Unique!$D$3:$D$118,0), 1)</f>
        <v>3.9884828813409765</v>
      </c>
      <c r="J70" s="418">
        <f>INDEX(qPCR_Unique!Q$3:Q$118, MATCH(Core_Data!$A70, qPCR_Unique!$D$3:$D$118,0), 1)</f>
        <v>0</v>
      </c>
      <c r="K70" s="420">
        <f>INDEX(qPCR_Unique!R$3:R$118, MATCH(Core_Data!$A70, qPCR_Unique!$D$3:$D$118,0), 1)</f>
        <v>0</v>
      </c>
      <c r="L70" s="421">
        <f>INDEX(qPCR_Unique!T$3:T$118, MATCH(Core_Data!$A70, qPCR_Unique!$D$3:$D$118,0), 1)</f>
        <v>701817.0111299766</v>
      </c>
      <c r="M70" s="422">
        <f>INDEX(qPCR_Unique!U$3:U$118, MATCH(Core_Data!$A70, qPCR_Unique!$D$3:$D$118,0), 1)</f>
        <v>5.8462238907393802</v>
      </c>
      <c r="N70" s="423">
        <f>INDEX(Physicochemical_Managed!Q$2:Q$207, MATCH(Core_Data!$A70, Physicochemical_Managed!$P$2:$P$207,0), 1)</f>
        <v>7.1050000000000004</v>
      </c>
      <c r="O70" s="424">
        <f>INDEX(Physicochemical_Managed!R$2:R$207, MATCH(Core_Data!$A70, Physicochemical_Managed!$P$2:$P$207,0), 1)</f>
        <v>23.299999999999997</v>
      </c>
      <c r="P70" s="424">
        <f>INDEX(Physicochemical_Managed!S$2:S$207, MATCH(Core_Data!$A70, Physicochemical_Managed!$P$2:$P$207,0), 1)</f>
        <v>7.0000000000000007E-2</v>
      </c>
      <c r="Q70" s="424">
        <f>INDEX(Physicochemical_Managed!T$2:T$207, MATCH(Core_Data!$A70, Physicochemical_Managed!$P$2:$P$207,0), 1)</f>
        <v>1.2549999999999999</v>
      </c>
      <c r="R70" s="424">
        <f>INDEX(Physicochemical_Managed!U$2:U$207, MATCH(Core_Data!$A70, Physicochemical_Managed!$P$2:$P$207,0), 1)</f>
        <v>1.2850000000000001</v>
      </c>
      <c r="S70" s="424">
        <f>INDEX(Physicochemical_Managed!V$2:V$207, MATCH(Core_Data!$A70, Physicochemical_Managed!$P$2:$P$207,0), 1)</f>
        <v>0.17499999999999999</v>
      </c>
      <c r="T70" s="424">
        <f>INDEX(Physicochemical_Managed!W$2:W$207, MATCH(Core_Data!$A70, Physicochemical_Managed!$P$2:$P$207,0), 1)</f>
        <v>5.4000000000000006E-2</v>
      </c>
      <c r="U70" s="498">
        <f>INDEX(Physicochemical_Managed!X$2:X$207, MATCH(Core_Data!$A70, Physicochemical_Managed!$P$2:$P$207,0), 1)</f>
        <v>0.66999999999999993</v>
      </c>
      <c r="V70" s="504">
        <f>INDEX(qPCR_Unique!W$3:W$118, MATCH(Core_Data!$A70, qPCR_Unique!$D$3:$D$118,0), 1)</f>
        <v>720589.56248832482</v>
      </c>
      <c r="W70" s="505">
        <f>INDEX(qPCR_Unique!X$3:X$118, MATCH(Core_Data!$A70, qPCR_Unique!$D$3:$D$118,0), 1)</f>
        <v>5.8576879672140345</v>
      </c>
    </row>
    <row r="71" spans="1:23" s="380" customFormat="1" ht="16.350000000000001" thickBot="1" x14ac:dyDescent="0.35">
      <c r="A71" s="395" t="str">
        <v>RN44433</v>
      </c>
      <c r="B71" s="425" t="str">
        <f t="shared" si="2"/>
        <v>RN</v>
      </c>
      <c r="C71" s="426">
        <f t="shared" si="3"/>
        <v>44433</v>
      </c>
      <c r="D71" s="427">
        <f>INDEX(qPCR_Unique!H$3:H$118, MATCH(Core_Data!$A71, qPCR_Unique!$D$3:$D$118,0), 1)</f>
        <v>1469654048.9461265</v>
      </c>
      <c r="E71" s="428">
        <f>INDEX(qPCR_Unique!I$3:I$118, MATCH(Core_Data!$A71, qPCR_Unique!$D$3:$D$118,0), 1)</f>
        <v>9.1672151154857069</v>
      </c>
      <c r="F71" s="429">
        <f>INDEX(qPCR_Unique!K$3:K$118, MATCH(Core_Data!$A71, qPCR_Unique!$D$3:$D$118,0), 1)</f>
        <v>2412.9703521728516</v>
      </c>
      <c r="G71" s="430">
        <f>INDEX(qPCR_Unique!L$3:L$118, MATCH(Core_Data!$A71, qPCR_Unique!$D$3:$D$118,0), 1)</f>
        <v>3.3825519858263853</v>
      </c>
      <c r="H71" s="427">
        <f>INDEX(qPCR_Unique!N$3:N$118, MATCH(Core_Data!$A71, qPCR_Unique!$D$3:$D$118,0), 1)</f>
        <v>10485.744857788086</v>
      </c>
      <c r="I71" s="428">
        <f>INDEX(qPCR_Unique!O$3:O$118, MATCH(Core_Data!$A71, qPCR_Unique!$D$3:$D$118,0), 1)</f>
        <v>4.0205992861258624</v>
      </c>
      <c r="J71" s="429">
        <f>INDEX(qPCR_Unique!Q$3:Q$118, MATCH(Core_Data!$A71, qPCR_Unique!$D$3:$D$118,0), 1)</f>
        <v>905193.4814453125</v>
      </c>
      <c r="K71" s="431">
        <f>INDEX(qPCR_Unique!R$3:R$118, MATCH(Core_Data!$A71, qPCR_Unique!$D$3:$D$118,0), 1)</f>
        <v>5.9567414178163585</v>
      </c>
      <c r="L71" s="432">
        <f>INDEX(qPCR_Unique!T$3:T$118, MATCH(Core_Data!$A71, qPCR_Unique!$D$3:$D$118,0), 1)</f>
        <v>45860.533142089844</v>
      </c>
      <c r="M71" s="433">
        <f>INDEX(qPCR_Unique!U$3:U$118, MATCH(Core_Data!$A71, qPCR_Unique!$D$3:$D$118,0), 1)</f>
        <v>4.6614390992234407</v>
      </c>
      <c r="N71" s="434">
        <f>INDEX(Physicochemical_Managed!Q$2:Q$207, MATCH(Core_Data!$A71, Physicochemical_Managed!$P$2:$P$207,0), 1)</f>
        <v>6.915</v>
      </c>
      <c r="O71" s="435">
        <f>INDEX(Physicochemical_Managed!R$2:R$207, MATCH(Core_Data!$A71, Physicochemical_Managed!$P$2:$P$207,0), 1)</f>
        <v>23.9</v>
      </c>
      <c r="P71" s="435">
        <f>INDEX(Physicochemical_Managed!S$2:S$207, MATCH(Core_Data!$A71, Physicochemical_Managed!$P$2:$P$207,0), 1)</f>
        <v>7.0000000000000007E-2</v>
      </c>
      <c r="Q71" s="435">
        <f>INDEX(Physicochemical_Managed!T$2:T$207, MATCH(Core_Data!$A71, Physicochemical_Managed!$P$2:$P$207,0), 1)</f>
        <v>0.79</v>
      </c>
      <c r="R71" s="435">
        <f>INDEX(Physicochemical_Managed!U$2:U$207, MATCH(Core_Data!$A71, Physicochemical_Managed!$P$2:$P$207,0), 1)</f>
        <v>0.64500000000000002</v>
      </c>
      <c r="S71" s="435">
        <f>INDEX(Physicochemical_Managed!V$2:V$207, MATCH(Core_Data!$A71, Physicochemical_Managed!$P$2:$P$207,0), 1)</f>
        <v>0.24</v>
      </c>
      <c r="T71" s="435">
        <f>INDEX(Physicochemical_Managed!W$2:W$207, MATCH(Core_Data!$A71, Physicochemical_Managed!$P$2:$P$207,0), 1)</f>
        <v>8.5000000000000006E-3</v>
      </c>
      <c r="U71" s="499">
        <f>INDEX(Physicochemical_Managed!X$2:X$207, MATCH(Core_Data!$A71, Physicochemical_Managed!$P$2:$P$207,0), 1)</f>
        <v>0.62</v>
      </c>
      <c r="V71" s="510">
        <f>INDEX(qPCR_Unique!W$3:W$118, MATCH(Core_Data!$A71, qPCR_Unique!$D$3:$D$118,0), 1)</f>
        <v>963952.72979736328</v>
      </c>
      <c r="W71" s="511">
        <f>INDEX(qPCR_Unique!X$3:X$118, MATCH(Core_Data!$A71, qPCR_Unique!$D$3:$D$118,0), 1)</f>
        <v>5.9840557375423442</v>
      </c>
    </row>
    <row r="72" spans="1:23" s="380" customFormat="1" x14ac:dyDescent="0.3">
      <c r="A72" s="396" t="str">
        <v>RU44335</v>
      </c>
      <c r="B72" s="436" t="str">
        <f t="shared" si="2"/>
        <v>RU</v>
      </c>
      <c r="C72" s="437">
        <f t="shared" si="3"/>
        <v>44335</v>
      </c>
      <c r="D72" s="438">
        <f>INDEX(qPCR_Unique!H$3:H$118, MATCH(Core_Data!$A72, qPCR_Unique!$D$3:$D$118,0), 1)</f>
        <v>29455633.811668113</v>
      </c>
      <c r="E72" s="439">
        <f>INDEX(qPCR_Unique!I$3:I$118, MATCH(Core_Data!$A72, qPCR_Unique!$D$3:$D$118,0), 1)</f>
        <v>7.4691683721050639</v>
      </c>
      <c r="F72" s="440">
        <f>INDEX(qPCR_Unique!K$3:K$118, MATCH(Core_Data!$A72, qPCR_Unique!$D$3:$D$118,0), 1)</f>
        <v>54957.756890190969</v>
      </c>
      <c r="G72" s="441">
        <f>INDEX(qPCR_Unique!L$3:L$118, MATCH(Core_Data!$A72, qPCR_Unique!$D$3:$D$118,0), 1)</f>
        <v>4.7400289986131288</v>
      </c>
      <c r="H72" s="438">
        <f>INDEX(qPCR_Unique!N$3:N$118, MATCH(Core_Data!$A72, qPCR_Unique!$D$3:$D$118,0), 1)</f>
        <v>25420.947180853949</v>
      </c>
      <c r="I72" s="439">
        <f>INDEX(qPCR_Unique!O$3:O$118, MATCH(Core_Data!$A72, qPCR_Unique!$D$3:$D$118,0), 1)</f>
        <v>4.4051917282697053</v>
      </c>
      <c r="J72" s="440">
        <f>INDEX(qPCR_Unique!Q$3:Q$118, MATCH(Core_Data!$A72, qPCR_Unique!$D$3:$D$118,0), 1)</f>
        <v>0</v>
      </c>
      <c r="K72" s="442">
        <f>INDEX(qPCR_Unique!R$3:R$118, MATCH(Core_Data!$A72, qPCR_Unique!$D$3:$D$118,0), 1)</f>
        <v>0</v>
      </c>
      <c r="L72" s="443">
        <f>INDEX(qPCR_Unique!T$3:T$118, MATCH(Core_Data!$A72, qPCR_Unique!$D$3:$D$118,0), 1)</f>
        <v>331.44619729783795</v>
      </c>
      <c r="M72" s="444">
        <f>INDEX(qPCR_Unique!U$3:U$118, MATCH(Core_Data!$A72, qPCR_Unique!$D$3:$D$118,0), 1)</f>
        <v>2.5204130406954133</v>
      </c>
      <c r="N72" s="445">
        <f>INDEX(Physicochemical_Managed!Q$2:Q$207, MATCH(Core_Data!$A72, Physicochemical_Managed!$P$2:$P$207,0), 1)</f>
        <v>7.43</v>
      </c>
      <c r="O72" s="446">
        <f>INDEX(Physicochemical_Managed!R$2:R$207, MATCH(Core_Data!$A72, Physicochemical_Managed!$P$2:$P$207,0), 1)</f>
        <v>24.5</v>
      </c>
      <c r="P72" s="446">
        <f>INDEX(Physicochemical_Managed!S$2:S$207, MATCH(Core_Data!$A72, Physicochemical_Managed!$P$2:$P$207,0), 1)</f>
        <v>8.4999999999999992E-2</v>
      </c>
      <c r="Q72" s="446">
        <f>INDEX(Physicochemical_Managed!T$2:T$207, MATCH(Core_Data!$A72, Physicochemical_Managed!$P$2:$P$207,0), 1)</f>
        <v>2.4249999999999998</v>
      </c>
      <c r="R72" s="446">
        <f>INDEX(Physicochemical_Managed!U$2:U$207, MATCH(Core_Data!$A72, Physicochemical_Managed!$P$2:$P$207,0), 1)</f>
        <v>2.86</v>
      </c>
      <c r="S72" s="446">
        <f>INDEX(Physicochemical_Managed!V$2:V$207, MATCH(Core_Data!$A72, Physicochemical_Managed!$P$2:$P$207,0), 1)</f>
        <v>0.28500000000000003</v>
      </c>
      <c r="T72" s="446">
        <f>INDEX(Physicochemical_Managed!W$2:W$207, MATCH(Core_Data!$A72, Physicochemical_Managed!$P$2:$P$207,0), 1)</f>
        <v>8.0000000000000002E-3</v>
      </c>
      <c r="U72" s="500">
        <f>INDEX(Physicochemical_Managed!X$2:X$207, MATCH(Core_Data!$A72, Physicochemical_Managed!$P$2:$P$207,0), 1)</f>
        <v>0.28500000000000003</v>
      </c>
      <c r="V72" s="512">
        <f>INDEX(qPCR_Unique!W$3:W$118, MATCH(Core_Data!$A72, qPCR_Unique!$D$3:$D$118,0), 1)</f>
        <v>80710.150268342753</v>
      </c>
      <c r="W72" s="513">
        <f>INDEX(qPCR_Unique!X$3:X$118, MATCH(Core_Data!$A72, qPCR_Unique!$D$3:$D$118,0), 1)</f>
        <v>4.9069281558909319</v>
      </c>
    </row>
    <row r="73" spans="1:23" s="380" customFormat="1" x14ac:dyDescent="0.3">
      <c r="A73" s="397" t="str">
        <v>RU44342</v>
      </c>
      <c r="B73" s="447" t="str">
        <f t="shared" si="2"/>
        <v>RU</v>
      </c>
      <c r="C73" s="448">
        <f t="shared" si="3"/>
        <v>44342</v>
      </c>
      <c r="D73" s="449">
        <f>INDEX(qPCR_Unique!H$3:H$118, MATCH(Core_Data!$A73, qPCR_Unique!$D$3:$D$118,0), 1)</f>
        <v>48647295.477407962</v>
      </c>
      <c r="E73" s="450">
        <f>INDEX(qPCR_Unique!I$3:I$118, MATCH(Core_Data!$A73, qPCR_Unique!$D$3:$D$118,0), 1)</f>
        <v>7.6870587008862445</v>
      </c>
      <c r="F73" s="451">
        <f>INDEX(qPCR_Unique!K$3:K$118, MATCH(Core_Data!$A73, qPCR_Unique!$D$3:$D$118,0), 1)</f>
        <v>52625.391126254901</v>
      </c>
      <c r="G73" s="452">
        <f>INDEX(qPCR_Unique!L$3:L$118, MATCH(Core_Data!$A73, qPCR_Unique!$D$3:$D$118,0), 1)</f>
        <v>4.7211953366507178</v>
      </c>
      <c r="H73" s="449">
        <f>INDEX(qPCR_Unique!N$3:N$118, MATCH(Core_Data!$A73, qPCR_Unique!$D$3:$D$118,0), 1)</f>
        <v>15974.355216187554</v>
      </c>
      <c r="I73" s="450">
        <f>INDEX(qPCR_Unique!O$3:O$118, MATCH(Core_Data!$A73, qPCR_Unique!$D$3:$D$118,0), 1)</f>
        <v>4.2034233374593502</v>
      </c>
      <c r="J73" s="451">
        <f>INDEX(qPCR_Unique!Q$3:Q$118, MATCH(Core_Data!$A73, qPCR_Unique!$D$3:$D$118,0), 1)</f>
        <v>0</v>
      </c>
      <c r="K73" s="453">
        <f>INDEX(qPCR_Unique!R$3:R$118, MATCH(Core_Data!$A73, qPCR_Unique!$D$3:$D$118,0), 1)</f>
        <v>0</v>
      </c>
      <c r="L73" s="454">
        <f>INDEX(qPCR_Unique!T$3:T$118, MATCH(Core_Data!$A73, qPCR_Unique!$D$3:$D$118,0), 1)</f>
        <v>634.50652620066774</v>
      </c>
      <c r="M73" s="455">
        <f>INDEX(qPCR_Unique!U$3:U$118, MATCH(Core_Data!$A73, qPCR_Unique!$D$3:$D$118,0), 1)</f>
        <v>2.8024360933784962</v>
      </c>
      <c r="N73" s="456">
        <f>INDEX(Physicochemical_Managed!Q$2:Q$207, MATCH(Core_Data!$A73, Physicochemical_Managed!$P$2:$P$207,0), 1)</f>
        <v>6.88</v>
      </c>
      <c r="O73" s="457">
        <f>INDEX(Physicochemical_Managed!R$2:R$207, MATCH(Core_Data!$A73, Physicochemical_Managed!$P$2:$P$207,0), 1)</f>
        <v>25</v>
      </c>
      <c r="P73" s="457">
        <f>INDEX(Physicochemical_Managed!S$2:S$207, MATCH(Core_Data!$A73, Physicochemical_Managed!$P$2:$P$207,0), 1)</f>
        <v>0.13500000000000001</v>
      </c>
      <c r="Q73" s="457">
        <f>INDEX(Physicochemical_Managed!T$2:T$207, MATCH(Core_Data!$A73, Physicochemical_Managed!$P$2:$P$207,0), 1)</f>
        <v>2.39</v>
      </c>
      <c r="R73" s="457">
        <f>INDEX(Physicochemical_Managed!U$2:U$207, MATCH(Core_Data!$A73, Physicochemical_Managed!$P$2:$P$207,0), 1)</f>
        <v>2.9950000000000001</v>
      </c>
      <c r="S73" s="457">
        <f>INDEX(Physicochemical_Managed!V$2:V$207, MATCH(Core_Data!$A73, Physicochemical_Managed!$P$2:$P$207,0), 1)</f>
        <v>0.2</v>
      </c>
      <c r="T73" s="457">
        <f>INDEX(Physicochemical_Managed!W$2:W$207, MATCH(Core_Data!$A73, Physicochemical_Managed!$P$2:$P$207,0), 1)</f>
        <v>7.0000000000000001E-3</v>
      </c>
      <c r="U73" s="501">
        <f>INDEX(Physicochemical_Managed!X$2:X$207, MATCH(Core_Data!$A73, Physicochemical_Managed!$P$2:$P$207,0), 1)</f>
        <v>0.27</v>
      </c>
      <c r="V73" s="514">
        <f>INDEX(qPCR_Unique!W$3:W$118, MATCH(Core_Data!$A73, qPCR_Unique!$D$3:$D$118,0), 1)</f>
        <v>69234.252868643118</v>
      </c>
      <c r="W73" s="515">
        <f>INDEX(qPCR_Unique!X$3:X$118, MATCH(Core_Data!$A73, qPCR_Unique!$D$3:$D$118,0), 1)</f>
        <v>4.8403210099395428</v>
      </c>
    </row>
    <row r="74" spans="1:23" s="380" customFormat="1" x14ac:dyDescent="0.3">
      <c r="A74" s="397" t="str">
        <v>RU44350</v>
      </c>
      <c r="B74" s="447" t="str">
        <f t="shared" si="2"/>
        <v>RU</v>
      </c>
      <c r="C74" s="448">
        <f t="shared" si="3"/>
        <v>44350</v>
      </c>
      <c r="D74" s="449">
        <f>INDEX(qPCR_Unique!H$3:H$118, MATCH(Core_Data!$A74, qPCR_Unique!$D$3:$D$118,0), 1)</f>
        <v>12504728.455745811</v>
      </c>
      <c r="E74" s="450">
        <f>INDEX(qPCR_Unique!I$3:I$118, MATCH(Core_Data!$A74, qPCR_Unique!$D$3:$D$118,0), 1)</f>
        <v>7.0970742653226893</v>
      </c>
      <c r="F74" s="451">
        <f>INDEX(qPCR_Unique!K$3:K$118, MATCH(Core_Data!$A74, qPCR_Unique!$D$3:$D$118,0), 1)</f>
        <v>22581.77655808469</v>
      </c>
      <c r="G74" s="452">
        <f>INDEX(qPCR_Unique!L$3:L$118, MATCH(Core_Data!$A74, qPCR_Unique!$D$3:$D$118,0), 1)</f>
        <v>4.3537581058361781</v>
      </c>
      <c r="H74" s="449">
        <f>INDEX(qPCR_Unique!N$3:N$118, MATCH(Core_Data!$A74, qPCR_Unique!$D$3:$D$118,0), 1)</f>
        <v>5805.9290760490376</v>
      </c>
      <c r="I74" s="450">
        <f>INDEX(qPCR_Unique!O$3:O$118, MATCH(Core_Data!$A74, qPCR_Unique!$D$3:$D$118,0), 1)</f>
        <v>3.7638717262823116</v>
      </c>
      <c r="J74" s="451">
        <f>INDEX(qPCR_Unique!Q$3:Q$118, MATCH(Core_Data!$A74, qPCR_Unique!$D$3:$D$118,0), 1)</f>
        <v>0</v>
      </c>
      <c r="K74" s="453">
        <f>INDEX(qPCR_Unique!R$3:R$118, MATCH(Core_Data!$A74, qPCR_Unique!$D$3:$D$118,0), 1)</f>
        <v>0</v>
      </c>
      <c r="L74" s="454">
        <f>INDEX(qPCR_Unique!T$3:T$118, MATCH(Core_Data!$A74, qPCR_Unique!$D$3:$D$118,0), 1)</f>
        <v>576.1197099833239</v>
      </c>
      <c r="M74" s="455">
        <f>INDEX(qPCR_Unique!U$3:U$118, MATCH(Core_Data!$A74, qPCR_Unique!$D$3:$D$118,0), 1)</f>
        <v>2.7605127333945005</v>
      </c>
      <c r="N74" s="456">
        <f>INDEX(Physicochemical_Managed!Q$2:Q$207, MATCH(Core_Data!$A74, Physicochemical_Managed!$P$2:$P$207,0), 1)</f>
        <v>7.2449999999999992</v>
      </c>
      <c r="O74" s="457">
        <f>INDEX(Physicochemical_Managed!R$2:R$207, MATCH(Core_Data!$A74, Physicochemical_Managed!$P$2:$P$207,0), 1)</f>
        <v>25.05</v>
      </c>
      <c r="P74" s="457">
        <f>INDEX(Physicochemical_Managed!S$2:S$207, MATCH(Core_Data!$A74, Physicochemical_Managed!$P$2:$P$207,0), 1)</f>
        <v>7.4999999999999997E-2</v>
      </c>
      <c r="Q74" s="457">
        <f>INDEX(Physicochemical_Managed!T$2:T$207, MATCH(Core_Data!$A74, Physicochemical_Managed!$P$2:$P$207,0), 1)</f>
        <v>2.34</v>
      </c>
      <c r="R74" s="457">
        <f>INDEX(Physicochemical_Managed!U$2:U$207, MATCH(Core_Data!$A74, Physicochemical_Managed!$P$2:$P$207,0), 1)</f>
        <v>2.56</v>
      </c>
      <c r="S74" s="457">
        <f>INDEX(Physicochemical_Managed!V$2:V$207, MATCH(Core_Data!$A74, Physicochemical_Managed!$P$2:$P$207,0), 1)</f>
        <v>0.26</v>
      </c>
      <c r="T74" s="457">
        <f>INDEX(Physicochemical_Managed!W$2:W$207, MATCH(Core_Data!$A74, Physicochemical_Managed!$P$2:$P$207,0), 1)</f>
        <v>7.0000000000000001E-3</v>
      </c>
      <c r="U74" s="501">
        <f>INDEX(Physicochemical_Managed!X$2:X$207, MATCH(Core_Data!$A74, Physicochemical_Managed!$P$2:$P$207,0), 1)</f>
        <v>0.39</v>
      </c>
      <c r="V74" s="514">
        <f>INDEX(qPCR_Unique!W$3:W$118, MATCH(Core_Data!$A74, qPCR_Unique!$D$3:$D$118,0), 1)</f>
        <v>28963.825344117049</v>
      </c>
      <c r="W74" s="515">
        <f>INDEX(qPCR_Unique!X$3:X$118, MATCH(Core_Data!$A74, qPCR_Unique!$D$3:$D$118,0), 1)</f>
        <v>4.4618559199604793</v>
      </c>
    </row>
    <row r="75" spans="1:23" s="380" customFormat="1" x14ac:dyDescent="0.3">
      <c r="A75" s="397" t="str">
        <v>RU44356</v>
      </c>
      <c r="B75" s="447" t="str">
        <f t="shared" si="2"/>
        <v>RU</v>
      </c>
      <c r="C75" s="448">
        <f t="shared" si="3"/>
        <v>44356</v>
      </c>
      <c r="D75" s="449">
        <f>INDEX(qPCR_Unique!H$3:H$118, MATCH(Core_Data!$A75, qPCR_Unique!$D$3:$D$118,0), 1)</f>
        <v>54162506.367632359</v>
      </c>
      <c r="E75" s="450">
        <f>INDEX(qPCR_Unique!I$3:I$118, MATCH(Core_Data!$A75, qPCR_Unique!$D$3:$D$118,0), 1)</f>
        <v>7.7336987531004038</v>
      </c>
      <c r="F75" s="451">
        <f>INDEX(qPCR_Unique!K$3:K$118, MATCH(Core_Data!$A75, qPCR_Unique!$D$3:$D$118,0), 1)</f>
        <v>21577.740209707943</v>
      </c>
      <c r="G75" s="452">
        <f>INDEX(qPCR_Unique!L$3:L$118, MATCH(Core_Data!$A75, qPCR_Unique!$D$3:$D$118,0), 1)</f>
        <v>4.3340059600019885</v>
      </c>
      <c r="H75" s="449">
        <f>INDEX(qPCR_Unique!N$3:N$118, MATCH(Core_Data!$A75, qPCR_Unique!$D$3:$D$118,0), 1)</f>
        <v>5644.2105681489629</v>
      </c>
      <c r="I75" s="450">
        <f>INDEX(qPCR_Unique!O$3:O$118, MATCH(Core_Data!$A75, qPCR_Unique!$D$3:$D$118,0), 1)</f>
        <v>3.7516032075768719</v>
      </c>
      <c r="J75" s="451">
        <f>INDEX(qPCR_Unique!Q$3:Q$118, MATCH(Core_Data!$A75, qPCR_Unique!$D$3:$D$118,0), 1)</f>
        <v>0</v>
      </c>
      <c r="K75" s="453">
        <f>INDEX(qPCR_Unique!R$3:R$118, MATCH(Core_Data!$A75, qPCR_Unique!$D$3:$D$118,0), 1)</f>
        <v>0</v>
      </c>
      <c r="L75" s="454">
        <f>INDEX(qPCR_Unique!T$3:T$118, MATCH(Core_Data!$A75, qPCR_Unique!$D$3:$D$118,0), 1)</f>
        <v>0</v>
      </c>
      <c r="M75" s="455">
        <f>INDEX(qPCR_Unique!U$3:U$118, MATCH(Core_Data!$A75, qPCR_Unique!$D$3:$D$118,0), 1)</f>
        <v>0</v>
      </c>
      <c r="N75" s="456">
        <f>INDEX(Physicochemical_Managed!Q$2:Q$207, MATCH(Core_Data!$A75, Physicochemical_Managed!$P$2:$P$207,0), 1)</f>
        <v>6.8149999999999995</v>
      </c>
      <c r="O75" s="457">
        <f>INDEX(Physicochemical_Managed!R$2:R$207, MATCH(Core_Data!$A75, Physicochemical_Managed!$P$2:$P$207,0), 1)</f>
        <v>26.95</v>
      </c>
      <c r="P75" s="457">
        <f>INDEX(Physicochemical_Managed!S$2:S$207, MATCH(Core_Data!$A75, Physicochemical_Managed!$P$2:$P$207,0), 1)</f>
        <v>0.1</v>
      </c>
      <c r="Q75" s="457">
        <f>INDEX(Physicochemical_Managed!T$2:T$207, MATCH(Core_Data!$A75, Physicochemical_Managed!$P$2:$P$207,0), 1)</f>
        <v>2.6100000000000003</v>
      </c>
      <c r="R75" s="457">
        <f>INDEX(Physicochemical_Managed!U$2:U$207, MATCH(Core_Data!$A75, Physicochemical_Managed!$P$2:$P$207,0), 1)</f>
        <v>2.87</v>
      </c>
      <c r="S75" s="457">
        <f>INDEX(Physicochemical_Managed!V$2:V$207, MATCH(Core_Data!$A75, Physicochemical_Managed!$P$2:$P$207,0), 1)</f>
        <v>0.155</v>
      </c>
      <c r="T75" s="457">
        <f>INDEX(Physicochemical_Managed!W$2:W$207, MATCH(Core_Data!$A75, Physicochemical_Managed!$P$2:$P$207,0), 1)</f>
        <v>8.0000000000000002E-3</v>
      </c>
      <c r="U75" s="501">
        <f>INDEX(Physicochemical_Managed!X$2:X$207, MATCH(Core_Data!$A75, Physicochemical_Managed!$P$2:$P$207,0), 1)</f>
        <v>0.33999999999999997</v>
      </c>
      <c r="V75" s="514">
        <f>INDEX(qPCR_Unique!W$3:W$118, MATCH(Core_Data!$A75, qPCR_Unique!$D$3:$D$118,0), 1)</f>
        <v>27221.950777856906</v>
      </c>
      <c r="W75" s="515">
        <f>INDEX(qPCR_Unique!X$3:X$118, MATCH(Core_Data!$A75, qPCR_Unique!$D$3:$D$118,0), 1)</f>
        <v>4.4349192443684737</v>
      </c>
    </row>
    <row r="76" spans="1:23" s="380" customFormat="1" x14ac:dyDescent="0.3">
      <c r="A76" s="397" t="str">
        <v>RU44363</v>
      </c>
      <c r="B76" s="447" t="str">
        <f t="shared" si="2"/>
        <v>RU</v>
      </c>
      <c r="C76" s="448">
        <f t="shared" si="3"/>
        <v>44363</v>
      </c>
      <c r="D76" s="449">
        <f>INDEX(qPCR_Unique!H$3:H$118, MATCH(Core_Data!$A76, qPCR_Unique!$D$3:$D$118,0), 1)</f>
        <v>4961924.6717953514</v>
      </c>
      <c r="E76" s="450">
        <f>INDEX(qPCR_Unique!I$3:I$118, MATCH(Core_Data!$A76, qPCR_Unique!$D$3:$D$118,0), 1)</f>
        <v>6.6956501668543815</v>
      </c>
      <c r="F76" s="451">
        <f>INDEX(qPCR_Unique!K$3:K$118, MATCH(Core_Data!$A76, qPCR_Unique!$D$3:$D$118,0), 1)</f>
        <v>0</v>
      </c>
      <c r="G76" s="452">
        <f>INDEX(qPCR_Unique!L$3:L$118, MATCH(Core_Data!$A76, qPCR_Unique!$D$3:$D$118,0), 1)</f>
        <v>0</v>
      </c>
      <c r="H76" s="449">
        <f>INDEX(qPCR_Unique!N$3:N$118, MATCH(Core_Data!$A76, qPCR_Unique!$D$3:$D$118,0), 1)</f>
        <v>22695.970028004747</v>
      </c>
      <c r="I76" s="450">
        <f>INDEX(qPCR_Unique!O$3:O$118, MATCH(Core_Data!$A76, qPCR_Unique!$D$3:$D$118,0), 1)</f>
        <v>4.3559487492646749</v>
      </c>
      <c r="J76" s="451">
        <f>INDEX(qPCR_Unique!Q$3:Q$118, MATCH(Core_Data!$A76, qPCR_Unique!$D$3:$D$118,0), 1)</f>
        <v>0</v>
      </c>
      <c r="K76" s="453">
        <f>INDEX(qPCR_Unique!R$3:R$118, MATCH(Core_Data!$A76, qPCR_Unique!$D$3:$D$118,0), 1)</f>
        <v>0</v>
      </c>
      <c r="L76" s="454">
        <f>INDEX(qPCR_Unique!T$3:T$118, MATCH(Core_Data!$A76, qPCR_Unique!$D$3:$D$118,0), 1)</f>
        <v>72.787949379454261</v>
      </c>
      <c r="M76" s="455">
        <f>INDEX(qPCR_Unique!U$3:U$118, MATCH(Core_Data!$A76, qPCR_Unique!$D$3:$D$118,0), 1)</f>
        <v>1.8620594843788647</v>
      </c>
      <c r="N76" s="456">
        <f>INDEX(Physicochemical_Managed!Q$2:Q$207, MATCH(Core_Data!$A76, Physicochemical_Managed!$P$2:$P$207,0), 1)</f>
        <v>7.12</v>
      </c>
      <c r="O76" s="457">
        <f>INDEX(Physicochemical_Managed!R$2:R$207, MATCH(Core_Data!$A76, Physicochemical_Managed!$P$2:$P$207,0), 1)</f>
        <v>28.8</v>
      </c>
      <c r="P76" s="457">
        <f>INDEX(Physicochemical_Managed!S$2:S$207, MATCH(Core_Data!$A76, Physicochemical_Managed!$P$2:$P$207,0), 1)</f>
        <v>2.36</v>
      </c>
      <c r="Q76" s="457">
        <f>INDEX(Physicochemical_Managed!T$2:T$207, MATCH(Core_Data!$A76, Physicochemical_Managed!$P$2:$P$207,0), 1)</f>
        <v>0.02</v>
      </c>
      <c r="R76" s="457">
        <f>INDEX(Physicochemical_Managed!U$2:U$207, MATCH(Core_Data!$A76, Physicochemical_Managed!$P$2:$P$207,0), 1)</f>
        <v>2.41</v>
      </c>
      <c r="S76" s="457">
        <f>INDEX(Physicochemical_Managed!V$2:V$207, MATCH(Core_Data!$A76, Physicochemical_Managed!$P$2:$P$207,0), 1)</f>
        <v>0.09</v>
      </c>
      <c r="T76" s="457">
        <f>INDEX(Physicochemical_Managed!W$2:W$207, MATCH(Core_Data!$A76, Physicochemical_Managed!$P$2:$P$207,0), 1)</f>
        <v>7.0000000000000001E-3</v>
      </c>
      <c r="U76" s="501">
        <f>INDEX(Physicochemical_Managed!X$2:X$207, MATCH(Core_Data!$A76, Physicochemical_Managed!$P$2:$P$207,0), 1)</f>
        <v>0.34</v>
      </c>
      <c r="V76" s="514">
        <f>INDEX(qPCR_Unique!W$3:W$118, MATCH(Core_Data!$A76, qPCR_Unique!$D$3:$D$118,0), 1)</f>
        <v>22768.757977384201</v>
      </c>
      <c r="W76" s="515">
        <f>INDEX(qPCR_Unique!X$3:X$118, MATCH(Core_Data!$A76, qPCR_Unique!$D$3:$D$118,0), 1)</f>
        <v>4.3573393407477621</v>
      </c>
    </row>
    <row r="77" spans="1:23" s="380" customFormat="1" x14ac:dyDescent="0.3">
      <c r="A77" s="397" t="str">
        <v>RU44370</v>
      </c>
      <c r="B77" s="447" t="str">
        <f t="shared" si="2"/>
        <v>RU</v>
      </c>
      <c r="C77" s="448">
        <f t="shared" si="3"/>
        <v>44370</v>
      </c>
      <c r="D77" s="449">
        <f>INDEX(qPCR_Unique!H$3:H$118, MATCH(Core_Data!$A77, qPCR_Unique!$D$3:$D$118,0), 1)</f>
        <v>5144906.1596131269</v>
      </c>
      <c r="E77" s="450">
        <f>INDEX(qPCR_Unique!I$3:I$118, MATCH(Core_Data!$A77, qPCR_Unique!$D$3:$D$118,0), 1)</f>
        <v>6.7113774578673802</v>
      </c>
      <c r="F77" s="451">
        <f>INDEX(qPCR_Unique!K$3:K$118, MATCH(Core_Data!$A77, qPCR_Unique!$D$3:$D$118,0), 1)</f>
        <v>0</v>
      </c>
      <c r="G77" s="452">
        <f>INDEX(qPCR_Unique!L$3:L$118, MATCH(Core_Data!$A77, qPCR_Unique!$D$3:$D$118,0), 1)</f>
        <v>0</v>
      </c>
      <c r="H77" s="449">
        <f>INDEX(qPCR_Unique!N$3:N$118, MATCH(Core_Data!$A77, qPCR_Unique!$D$3:$D$118,0), 1)</f>
        <v>33779.142436861119</v>
      </c>
      <c r="I77" s="450">
        <f>INDEX(qPCR_Unique!O$3:O$118, MATCH(Core_Data!$A77, qPCR_Unique!$D$3:$D$118,0), 1)</f>
        <v>4.528648619786007</v>
      </c>
      <c r="J77" s="451">
        <f>INDEX(qPCR_Unique!Q$3:Q$118, MATCH(Core_Data!$A77, qPCR_Unique!$D$3:$D$118,0), 1)</f>
        <v>0</v>
      </c>
      <c r="K77" s="453">
        <f>INDEX(qPCR_Unique!R$3:R$118, MATCH(Core_Data!$A77, qPCR_Unique!$D$3:$D$118,0), 1)</f>
        <v>0</v>
      </c>
      <c r="L77" s="454">
        <f>INDEX(qPCR_Unique!T$3:T$118, MATCH(Core_Data!$A77, qPCR_Unique!$D$3:$D$118,0), 1)</f>
        <v>4889.5274954100705</v>
      </c>
      <c r="M77" s="455">
        <f>INDEX(qPCR_Unique!U$3:U$118, MATCH(Core_Data!$A77, qPCR_Unique!$D$3:$D$118,0), 1)</f>
        <v>3.6892668926510406</v>
      </c>
      <c r="N77" s="456">
        <f>INDEX(Physicochemical_Managed!Q$2:Q$207, MATCH(Core_Data!$A77, Physicochemical_Managed!$P$2:$P$207,0), 1)</f>
        <v>7.1</v>
      </c>
      <c r="O77" s="457">
        <f>INDEX(Physicochemical_Managed!R$2:R$207, MATCH(Core_Data!$A77, Physicochemical_Managed!$P$2:$P$207,0), 1)</f>
        <v>27.4</v>
      </c>
      <c r="P77" s="457">
        <f>INDEX(Physicochemical_Managed!S$2:S$207, MATCH(Core_Data!$A77, Physicochemical_Managed!$P$2:$P$207,0), 1)</f>
        <v>3.26</v>
      </c>
      <c r="Q77" s="457">
        <f>INDEX(Physicochemical_Managed!T$2:T$207, MATCH(Core_Data!$A77, Physicochemical_Managed!$P$2:$P$207,0), 1)</f>
        <v>0.01</v>
      </c>
      <c r="R77" s="457">
        <f>INDEX(Physicochemical_Managed!U$2:U$207, MATCH(Core_Data!$A77, Physicochemical_Managed!$P$2:$P$207,0), 1)</f>
        <v>3.3</v>
      </c>
      <c r="S77" s="457">
        <f>INDEX(Physicochemical_Managed!V$2:V$207, MATCH(Core_Data!$A77, Physicochemical_Managed!$P$2:$P$207,0), 1)</f>
        <v>1.4999999999999999E-2</v>
      </c>
      <c r="T77" s="457">
        <f>INDEX(Physicochemical_Managed!W$2:W$207, MATCH(Core_Data!$A77, Physicochemical_Managed!$P$2:$P$207,0), 1)</f>
        <v>6.5000000000000006E-3</v>
      </c>
      <c r="U77" s="501">
        <f>INDEX(Physicochemical_Managed!X$2:X$207, MATCH(Core_Data!$A77, Physicochemical_Managed!$P$2:$P$207,0), 1)</f>
        <v>0.32999999999999996</v>
      </c>
      <c r="V77" s="514">
        <f>INDEX(qPCR_Unique!W$3:W$118, MATCH(Core_Data!$A77, qPCR_Unique!$D$3:$D$118,0), 1)</f>
        <v>38668.669932271187</v>
      </c>
      <c r="W77" s="515">
        <f>INDEX(qPCR_Unique!X$3:X$118, MATCH(Core_Data!$A77, qPCR_Unique!$D$3:$D$118,0), 1)</f>
        <v>4.5873592341105756</v>
      </c>
    </row>
    <row r="78" spans="1:23" s="380" customFormat="1" x14ac:dyDescent="0.3">
      <c r="A78" s="397" t="str">
        <v>RU44377</v>
      </c>
      <c r="B78" s="447" t="str">
        <f t="shared" si="2"/>
        <v>RU</v>
      </c>
      <c r="C78" s="448">
        <f t="shared" si="3"/>
        <v>44377</v>
      </c>
      <c r="D78" s="449">
        <f>INDEX(qPCR_Unique!H$3:H$118, MATCH(Core_Data!$A78, qPCR_Unique!$D$3:$D$118,0), 1)</f>
        <v>3310752.8625485878</v>
      </c>
      <c r="E78" s="450">
        <f>INDEX(qPCR_Unique!I$3:I$118, MATCH(Core_Data!$A78, qPCR_Unique!$D$3:$D$118,0), 1)</f>
        <v>6.5199267632234479</v>
      </c>
      <c r="F78" s="451">
        <f>INDEX(qPCR_Unique!K$3:K$118, MATCH(Core_Data!$A78, qPCR_Unique!$D$3:$D$118,0), 1)</f>
        <v>0</v>
      </c>
      <c r="G78" s="452">
        <f>INDEX(qPCR_Unique!L$3:L$118, MATCH(Core_Data!$A78, qPCR_Unique!$D$3:$D$118,0), 1)</f>
        <v>0</v>
      </c>
      <c r="H78" s="449">
        <f>INDEX(qPCR_Unique!N$3:N$118, MATCH(Core_Data!$A78, qPCR_Unique!$D$3:$D$118,0), 1)</f>
        <v>17428.499808002136</v>
      </c>
      <c r="I78" s="450">
        <f>INDEX(qPCR_Unique!O$3:O$118, MATCH(Core_Data!$A78, qPCR_Unique!$D$3:$D$118,0), 1)</f>
        <v>4.2412600059771011</v>
      </c>
      <c r="J78" s="451">
        <f>INDEX(qPCR_Unique!Q$3:Q$118, MATCH(Core_Data!$A78, qPCR_Unique!$D$3:$D$118,0), 1)</f>
        <v>0</v>
      </c>
      <c r="K78" s="453">
        <f>INDEX(qPCR_Unique!R$3:R$118, MATCH(Core_Data!$A78, qPCR_Unique!$D$3:$D$118,0), 1)</f>
        <v>0</v>
      </c>
      <c r="L78" s="454">
        <f>INDEX(qPCR_Unique!T$3:T$118, MATCH(Core_Data!$A78, qPCR_Unique!$D$3:$D$118,0), 1)</f>
        <v>1152.9222425523694</v>
      </c>
      <c r="M78" s="455">
        <f>INDEX(qPCR_Unique!U$3:U$118, MATCH(Core_Data!$A78, qPCR_Unique!$D$3:$D$118,0), 1)</f>
        <v>3.0618000178157891</v>
      </c>
      <c r="N78" s="456">
        <f>INDEX(Physicochemical_Managed!Q$2:Q$207, MATCH(Core_Data!$A78, Physicochemical_Managed!$P$2:$P$207,0), 1)</f>
        <v>6.9850000000000003</v>
      </c>
      <c r="O78" s="457">
        <f>INDEX(Physicochemical_Managed!R$2:R$207, MATCH(Core_Data!$A78, Physicochemical_Managed!$P$2:$P$207,0), 1)</f>
        <v>26.7</v>
      </c>
      <c r="P78" s="457">
        <f>INDEX(Physicochemical_Managed!S$2:S$207, MATCH(Core_Data!$A78, Physicochemical_Managed!$P$2:$P$207,0), 1)</f>
        <v>3.08</v>
      </c>
      <c r="Q78" s="457">
        <f>INDEX(Physicochemical_Managed!T$2:T$207, MATCH(Core_Data!$A78, Physicochemical_Managed!$P$2:$P$207,0), 1)</f>
        <v>0.01</v>
      </c>
      <c r="R78" s="457">
        <f>INDEX(Physicochemical_Managed!U$2:U$207, MATCH(Core_Data!$A78, Physicochemical_Managed!$P$2:$P$207,0), 1)</f>
        <v>3.0649999999999999</v>
      </c>
      <c r="S78" s="457">
        <f>INDEX(Physicochemical_Managed!V$2:V$207, MATCH(Core_Data!$A78, Physicochemical_Managed!$P$2:$P$207,0), 1)</f>
        <v>0.04</v>
      </c>
      <c r="T78" s="457">
        <f>INDEX(Physicochemical_Managed!W$2:W$207, MATCH(Core_Data!$A78, Physicochemical_Managed!$P$2:$P$207,0), 1)</f>
        <v>8.0000000000000002E-3</v>
      </c>
      <c r="U78" s="501">
        <f>INDEX(Physicochemical_Managed!X$2:X$207, MATCH(Core_Data!$A78, Physicochemical_Managed!$P$2:$P$207,0), 1)</f>
        <v>0.32</v>
      </c>
      <c r="V78" s="514">
        <f>INDEX(qPCR_Unique!W$3:W$118, MATCH(Core_Data!$A78, qPCR_Unique!$D$3:$D$118,0), 1)</f>
        <v>18581.422050554505</v>
      </c>
      <c r="W78" s="515">
        <f>INDEX(qPCR_Unique!X$3:X$118, MATCH(Core_Data!$A78, qPCR_Unique!$D$3:$D$118,0), 1)</f>
        <v>4.2690789478210212</v>
      </c>
    </row>
    <row r="79" spans="1:23" s="380" customFormat="1" x14ac:dyDescent="0.3">
      <c r="A79" s="397" t="str">
        <v>RU44385</v>
      </c>
      <c r="B79" s="447" t="str">
        <f t="shared" si="2"/>
        <v>RU</v>
      </c>
      <c r="C79" s="448">
        <f t="shared" si="3"/>
        <v>44385</v>
      </c>
      <c r="D79" s="449">
        <f>INDEX(qPCR_Unique!H$3:H$118, MATCH(Core_Data!$A79, qPCR_Unique!$D$3:$D$118,0), 1)</f>
        <v>5460775.3915549135</v>
      </c>
      <c r="E79" s="450">
        <f>INDEX(qPCR_Unique!I$3:I$118, MATCH(Core_Data!$A79, qPCR_Unique!$D$3:$D$118,0), 1)</f>
        <v>6.7372543138337742</v>
      </c>
      <c r="F79" s="451">
        <f>INDEX(qPCR_Unique!K$3:K$118, MATCH(Core_Data!$A79, qPCR_Unique!$D$3:$D$118,0), 1)</f>
        <v>904.61397652674202</v>
      </c>
      <c r="G79" s="452">
        <f>INDEX(qPCR_Unique!L$3:L$118, MATCH(Core_Data!$A79, qPCR_Unique!$D$3:$D$118,0), 1)</f>
        <v>2.9564632934270887</v>
      </c>
      <c r="H79" s="449">
        <f>INDEX(qPCR_Unique!N$3:N$118, MATCH(Core_Data!$A79, qPCR_Unique!$D$3:$D$118,0), 1)</f>
        <v>8722.075602020881</v>
      </c>
      <c r="I79" s="450">
        <f>INDEX(qPCR_Unique!O$3:O$118, MATCH(Core_Data!$A79, qPCR_Unique!$D$3:$D$118,0), 1)</f>
        <v>3.9406198467719626</v>
      </c>
      <c r="J79" s="451">
        <f>INDEX(qPCR_Unique!Q$3:Q$118, MATCH(Core_Data!$A79, qPCR_Unique!$D$3:$D$118,0), 1)</f>
        <v>0</v>
      </c>
      <c r="K79" s="453">
        <f>INDEX(qPCR_Unique!R$3:R$118, MATCH(Core_Data!$A79, qPCR_Unique!$D$3:$D$118,0), 1)</f>
        <v>0</v>
      </c>
      <c r="L79" s="454">
        <f>INDEX(qPCR_Unique!T$3:T$118, MATCH(Core_Data!$A79, qPCR_Unique!$D$3:$D$118,0), 1)</f>
        <v>0</v>
      </c>
      <c r="M79" s="455">
        <f>INDEX(qPCR_Unique!U$3:U$118, MATCH(Core_Data!$A79, qPCR_Unique!$D$3:$D$118,0), 1)</f>
        <v>0</v>
      </c>
      <c r="N79" s="456">
        <f>INDEX(Physicochemical_Managed!Q$2:Q$207, MATCH(Core_Data!$A79, Physicochemical_Managed!$P$2:$P$207,0), 1)</f>
        <v>6.7450000000000001</v>
      </c>
      <c r="O79" s="457">
        <f>INDEX(Physicochemical_Managed!R$2:R$207, MATCH(Core_Data!$A79, Physicochemical_Managed!$P$2:$P$207,0), 1)</f>
        <v>27.15</v>
      </c>
      <c r="P79" s="457">
        <f>INDEX(Physicochemical_Managed!S$2:S$207, MATCH(Core_Data!$A79, Physicochemical_Managed!$P$2:$P$207,0), 1)</f>
        <v>2.6550000000000002</v>
      </c>
      <c r="Q79" s="457">
        <f>INDEX(Physicochemical_Managed!T$2:T$207, MATCH(Core_Data!$A79, Physicochemical_Managed!$P$2:$P$207,0), 1)</f>
        <v>5.0000000000000001E-3</v>
      </c>
      <c r="R79" s="457">
        <f>INDEX(Physicochemical_Managed!U$2:U$207, MATCH(Core_Data!$A79, Physicochemical_Managed!$P$2:$P$207,0), 1)</f>
        <v>2.73</v>
      </c>
      <c r="S79" s="457">
        <f>INDEX(Physicochemical_Managed!V$2:V$207, MATCH(Core_Data!$A79, Physicochemical_Managed!$P$2:$P$207,0), 1)</f>
        <v>0.05</v>
      </c>
      <c r="T79" s="457">
        <f>INDEX(Physicochemical_Managed!W$2:W$207, MATCH(Core_Data!$A79, Physicochemical_Managed!$P$2:$P$207,0), 1)</f>
        <v>7.0000000000000001E-3</v>
      </c>
      <c r="U79" s="501">
        <f>INDEX(Physicochemical_Managed!X$2:X$207, MATCH(Core_Data!$A79, Physicochemical_Managed!$P$2:$P$207,0), 1)</f>
        <v>0.4</v>
      </c>
      <c r="V79" s="514">
        <f>INDEX(qPCR_Unique!W$3:W$118, MATCH(Core_Data!$A79, qPCR_Unique!$D$3:$D$118,0), 1)</f>
        <v>9626.6895785476227</v>
      </c>
      <c r="W79" s="515">
        <f>INDEX(qPCR_Unique!X$3:X$118, MATCH(Core_Data!$A79, qPCR_Unique!$D$3:$D$118,0), 1)</f>
        <v>3.9834769678162663</v>
      </c>
    </row>
    <row r="80" spans="1:23" s="380" customFormat="1" x14ac:dyDescent="0.3">
      <c r="A80" s="397" t="str">
        <v>RU44391</v>
      </c>
      <c r="B80" s="447" t="str">
        <f t="shared" si="2"/>
        <v>RU</v>
      </c>
      <c r="C80" s="448">
        <f t="shared" si="3"/>
        <v>44391</v>
      </c>
      <c r="D80" s="449">
        <f>INDEX(qPCR_Unique!H$3:H$118, MATCH(Core_Data!$A80, qPCR_Unique!$D$3:$D$118,0), 1)</f>
        <v>7292215215.8877764</v>
      </c>
      <c r="E80" s="450">
        <f>INDEX(qPCR_Unique!I$3:I$118, MATCH(Core_Data!$A80, qPCR_Unique!$D$3:$D$118,0), 1)</f>
        <v>9.8628594775492058</v>
      </c>
      <c r="F80" s="451">
        <f>INDEX(qPCR_Unique!K$3:K$118, MATCH(Core_Data!$A80, qPCR_Unique!$D$3:$D$118,0), 1)</f>
        <v>0</v>
      </c>
      <c r="G80" s="452">
        <f>INDEX(qPCR_Unique!L$3:L$118, MATCH(Core_Data!$A80, qPCR_Unique!$D$3:$D$118,0), 1)</f>
        <v>0</v>
      </c>
      <c r="H80" s="449">
        <f>INDEX(qPCR_Unique!N$3:N$118, MATCH(Core_Data!$A80, qPCR_Unique!$D$3:$D$118,0), 1)</f>
        <v>5536.310193874142</v>
      </c>
      <c r="I80" s="450">
        <f>INDEX(qPCR_Unique!O$3:O$118, MATCH(Core_Data!$A80, qPCR_Unique!$D$3:$D$118,0), 1)</f>
        <v>3.7432204152120327</v>
      </c>
      <c r="J80" s="451">
        <f>INDEX(qPCR_Unique!Q$3:Q$118, MATCH(Core_Data!$A80, qPCR_Unique!$D$3:$D$118,0), 1)</f>
        <v>87266.000225259704</v>
      </c>
      <c r="K80" s="453">
        <f>INDEX(qPCR_Unique!R$3:R$118, MATCH(Core_Data!$A80, qPCR_Unique!$D$3:$D$118,0), 1)</f>
        <v>4.9408450708457536</v>
      </c>
      <c r="L80" s="454">
        <f>INDEX(qPCR_Unique!T$3:T$118, MATCH(Core_Data!$A80, qPCR_Unique!$D$3:$D$118,0), 1)</f>
        <v>0</v>
      </c>
      <c r="M80" s="455">
        <f>INDEX(qPCR_Unique!U$3:U$118, MATCH(Core_Data!$A80, qPCR_Unique!$D$3:$D$118,0), 1)</f>
        <v>0</v>
      </c>
      <c r="N80" s="456">
        <f>INDEX(Physicochemical_Managed!Q$2:Q$207, MATCH(Core_Data!$A80, Physicochemical_Managed!$P$2:$P$207,0), 1)</f>
        <v>6.8650000000000002</v>
      </c>
      <c r="O80" s="457">
        <f>INDEX(Physicochemical_Managed!R$2:R$207, MATCH(Core_Data!$A80, Physicochemical_Managed!$P$2:$P$207,0), 1)</f>
        <v>27.95</v>
      </c>
      <c r="P80" s="457">
        <f>INDEX(Physicochemical_Managed!S$2:S$207, MATCH(Core_Data!$A80, Physicochemical_Managed!$P$2:$P$207,0), 1)</f>
        <v>3.0150000000000001</v>
      </c>
      <c r="Q80" s="457">
        <f>INDEX(Physicochemical_Managed!T$2:T$207, MATCH(Core_Data!$A80, Physicochemical_Managed!$P$2:$P$207,0), 1)</f>
        <v>0.02</v>
      </c>
      <c r="R80" s="457">
        <f>INDEX(Physicochemical_Managed!U$2:U$207, MATCH(Core_Data!$A80, Physicochemical_Managed!$P$2:$P$207,0), 1)</f>
        <v>3.0250000000000004</v>
      </c>
      <c r="S80" s="457">
        <f>INDEX(Physicochemical_Managed!V$2:V$207, MATCH(Core_Data!$A80, Physicochemical_Managed!$P$2:$P$207,0), 1)</f>
        <v>9.5000000000000001E-2</v>
      </c>
      <c r="T80" s="457">
        <f>INDEX(Physicochemical_Managed!W$2:W$207, MATCH(Core_Data!$A80, Physicochemical_Managed!$P$2:$P$207,0), 1)</f>
        <v>8.0000000000000002E-3</v>
      </c>
      <c r="U80" s="501">
        <f>INDEX(Physicochemical_Managed!X$2:X$207, MATCH(Core_Data!$A80, Physicochemical_Managed!$P$2:$P$207,0), 1)</f>
        <v>0.46</v>
      </c>
      <c r="V80" s="514">
        <f>INDEX(qPCR_Unique!W$3:W$118, MATCH(Core_Data!$A80, qPCR_Unique!$D$3:$D$118,0), 1)</f>
        <v>92802.31041913385</v>
      </c>
      <c r="W80" s="515">
        <f>INDEX(qPCR_Unique!X$3:X$118, MATCH(Core_Data!$A80, qPCR_Unique!$D$3:$D$118,0), 1)</f>
        <v>4.9675587886088426</v>
      </c>
    </row>
    <row r="81" spans="1:23" s="380" customFormat="1" x14ac:dyDescent="0.3">
      <c r="A81" s="397" t="str">
        <v>RU44405</v>
      </c>
      <c r="B81" s="447" t="str">
        <f t="shared" si="2"/>
        <v>RU</v>
      </c>
      <c r="C81" s="448">
        <f t="shared" si="3"/>
        <v>44405</v>
      </c>
      <c r="D81" s="449">
        <f>INDEX(qPCR_Unique!H$3:H$118, MATCH(Core_Data!$A81, qPCR_Unique!$D$3:$D$118,0), 1)</f>
        <v>135947433.75445986</v>
      </c>
      <c r="E81" s="450">
        <f>INDEX(qPCR_Unique!I$3:I$118, MATCH(Core_Data!$A81, qPCR_Unique!$D$3:$D$118,0), 1)</f>
        <v>8.1333710139331075</v>
      </c>
      <c r="F81" s="451">
        <f>INDEX(qPCR_Unique!K$3:K$118, MATCH(Core_Data!$A81, qPCR_Unique!$D$3:$D$118,0), 1)</f>
        <v>34091.366242619821</v>
      </c>
      <c r="G81" s="452">
        <f>INDEX(qPCR_Unique!L$3:L$118, MATCH(Core_Data!$A81, qPCR_Unique!$D$3:$D$118,0), 1)</f>
        <v>4.5326444063254305</v>
      </c>
      <c r="H81" s="449">
        <f>INDEX(qPCR_Unique!N$3:N$118, MATCH(Core_Data!$A81, qPCR_Unique!$D$3:$D$118,0), 1)</f>
        <v>4336.9628494573963</v>
      </c>
      <c r="I81" s="450">
        <f>INDEX(qPCR_Unique!O$3:O$118, MATCH(Core_Data!$A81, qPCR_Unique!$D$3:$D$118,0), 1)</f>
        <v>3.6371857019862635</v>
      </c>
      <c r="J81" s="451">
        <f>INDEX(qPCR_Unique!Q$3:Q$118, MATCH(Core_Data!$A81, qPCR_Unique!$D$3:$D$118,0), 1)</f>
        <v>0</v>
      </c>
      <c r="K81" s="453">
        <f>INDEX(qPCR_Unique!R$3:R$118, MATCH(Core_Data!$A81, qPCR_Unique!$D$3:$D$118,0), 1)</f>
        <v>0</v>
      </c>
      <c r="L81" s="454">
        <f>INDEX(qPCR_Unique!T$3:T$118, MATCH(Core_Data!$A81, qPCR_Unique!$D$3:$D$118,0), 1)</f>
        <v>1087.3621272057603</v>
      </c>
      <c r="M81" s="455">
        <f>INDEX(qPCR_Unique!U$3:U$118, MATCH(Core_Data!$A81, qPCR_Unique!$D$3:$D$118,0), 1)</f>
        <v>3.0363742024637514</v>
      </c>
      <c r="N81" s="456">
        <f>INDEX(Physicochemical_Managed!Q$2:Q$207, MATCH(Core_Data!$A81, Physicochemical_Managed!$P$2:$P$207,0), 1)</f>
        <v>6.7450000000000001</v>
      </c>
      <c r="O81" s="457">
        <f>INDEX(Physicochemical_Managed!R$2:R$207, MATCH(Core_Data!$A81, Physicochemical_Managed!$P$2:$P$207,0), 1)</f>
        <v>28.15</v>
      </c>
      <c r="P81" s="457">
        <f>INDEX(Physicochemical_Managed!S$2:S$207, MATCH(Core_Data!$A81, Physicochemical_Managed!$P$2:$P$207,0), 1)</f>
        <v>0.1</v>
      </c>
      <c r="Q81" s="457">
        <f>INDEX(Physicochemical_Managed!T$2:T$207, MATCH(Core_Data!$A81, Physicochemical_Managed!$P$2:$P$207,0), 1)</f>
        <v>2.0449999999999999</v>
      </c>
      <c r="R81" s="457">
        <f>INDEX(Physicochemical_Managed!U$2:U$207, MATCH(Core_Data!$A81, Physicochemical_Managed!$P$2:$P$207,0), 1)</f>
        <v>2.2549999999999999</v>
      </c>
      <c r="S81" s="457">
        <f>INDEX(Physicochemical_Managed!V$2:V$207, MATCH(Core_Data!$A81, Physicochemical_Managed!$P$2:$P$207,0), 1)</f>
        <v>0.14000000000000001</v>
      </c>
      <c r="T81" s="457">
        <f>INDEX(Physicochemical_Managed!W$2:W$207, MATCH(Core_Data!$A81, Physicochemical_Managed!$P$2:$P$207,0), 1)</f>
        <v>6.0000000000000001E-3</v>
      </c>
      <c r="U81" s="501">
        <f>INDEX(Physicochemical_Managed!X$2:X$207, MATCH(Core_Data!$A81, Physicochemical_Managed!$P$2:$P$207,0), 1)</f>
        <v>0.44</v>
      </c>
      <c r="V81" s="514">
        <f>INDEX(qPCR_Unique!W$3:W$118, MATCH(Core_Data!$A81, qPCR_Unique!$D$3:$D$118,0), 1)</f>
        <v>39515.691219282977</v>
      </c>
      <c r="W81" s="515">
        <f>INDEX(qPCR_Unique!X$3:X$118, MATCH(Core_Data!$A81, qPCR_Unique!$D$3:$D$118,0), 1)</f>
        <v>4.5967695831395945</v>
      </c>
    </row>
    <row r="82" spans="1:23" s="380" customFormat="1" x14ac:dyDescent="0.3">
      <c r="A82" s="397" t="str">
        <v>RU44412</v>
      </c>
      <c r="B82" s="447" t="str">
        <f t="shared" si="2"/>
        <v>RU</v>
      </c>
      <c r="C82" s="448">
        <f t="shared" si="3"/>
        <v>44412</v>
      </c>
      <c r="D82" s="449">
        <f>INDEX(qPCR_Unique!H$3:H$118, MATCH(Core_Data!$A82, qPCR_Unique!$D$3:$D$118,0), 1)</f>
        <v>62663974.075787343</v>
      </c>
      <c r="E82" s="450">
        <f>INDEX(qPCR_Unique!I$3:I$118, MATCH(Core_Data!$A82, qPCR_Unique!$D$3:$D$118,0), 1)</f>
        <v>7.7970179338660834</v>
      </c>
      <c r="F82" s="451">
        <f>INDEX(qPCR_Unique!K$3:K$118, MATCH(Core_Data!$A82, qPCR_Unique!$D$3:$D$118,0), 1)</f>
        <v>5374.9038950044514</v>
      </c>
      <c r="G82" s="452">
        <f>INDEX(qPCR_Unique!L$3:L$118, MATCH(Core_Data!$A82, qPCR_Unique!$D$3:$D$118,0), 1)</f>
        <v>3.7303707033332447</v>
      </c>
      <c r="H82" s="449">
        <f>INDEX(qPCR_Unique!N$3:N$118, MATCH(Core_Data!$A82, qPCR_Unique!$D$3:$D$118,0), 1)</f>
        <v>10308.560555441338</v>
      </c>
      <c r="I82" s="450">
        <f>INDEX(qPCR_Unique!O$3:O$118, MATCH(Core_Data!$A82, qPCR_Unique!$D$3:$D$118,0), 1)</f>
        <v>4.0131980264403566</v>
      </c>
      <c r="J82" s="451">
        <f>INDEX(qPCR_Unique!Q$3:Q$118, MATCH(Core_Data!$A82, qPCR_Unique!$D$3:$D$118,0), 1)</f>
        <v>0</v>
      </c>
      <c r="K82" s="453">
        <f>INDEX(qPCR_Unique!R$3:R$118, MATCH(Core_Data!$A82, qPCR_Unique!$D$3:$D$118,0), 1)</f>
        <v>0</v>
      </c>
      <c r="L82" s="454">
        <f>INDEX(qPCR_Unique!T$3:T$118, MATCH(Core_Data!$A82, qPCR_Unique!$D$3:$D$118,0), 1)</f>
        <v>1204.345703125</v>
      </c>
      <c r="M82" s="455">
        <f>INDEX(qPCR_Unique!U$3:U$118, MATCH(Core_Data!$A82, qPCR_Unique!$D$3:$D$118,0), 1)</f>
        <v>3.0807511674943671</v>
      </c>
      <c r="N82" s="456">
        <f>INDEX(Physicochemical_Managed!Q$2:Q$207, MATCH(Core_Data!$A82, Physicochemical_Managed!$P$2:$P$207,0), 1)</f>
        <v>6.66</v>
      </c>
      <c r="O82" s="457">
        <f>INDEX(Physicochemical_Managed!R$2:R$207, MATCH(Core_Data!$A82, Physicochemical_Managed!$P$2:$P$207,0), 1)</f>
        <v>26.799999999999997</v>
      </c>
      <c r="P82" s="457">
        <f>INDEX(Physicochemical_Managed!S$2:S$207, MATCH(Core_Data!$A82, Physicochemical_Managed!$P$2:$P$207,0), 1)</f>
        <v>0.01</v>
      </c>
      <c r="Q82" s="457">
        <f>INDEX(Physicochemical_Managed!T$2:T$207, MATCH(Core_Data!$A82, Physicochemical_Managed!$P$2:$P$207,0), 1)</f>
        <v>2.415</v>
      </c>
      <c r="R82" s="457">
        <f>INDEX(Physicochemical_Managed!U$2:U$207, MATCH(Core_Data!$A82, Physicochemical_Managed!$P$2:$P$207,0), 1)</f>
        <v>2.7800000000000002</v>
      </c>
      <c r="S82" s="457">
        <f>INDEX(Physicochemical_Managed!V$2:V$207, MATCH(Core_Data!$A82, Physicochemical_Managed!$P$2:$P$207,0), 1)</f>
        <v>0.115</v>
      </c>
      <c r="T82" s="457">
        <f>INDEX(Physicochemical_Managed!W$2:W$207, MATCH(Core_Data!$A82, Physicochemical_Managed!$P$2:$P$207,0), 1)</f>
        <v>6.5000000000000006E-3</v>
      </c>
      <c r="U82" s="501">
        <f>INDEX(Physicochemical_Managed!X$2:X$207, MATCH(Core_Data!$A82, Physicochemical_Managed!$P$2:$P$207,0), 1)</f>
        <v>0.35499999999999998</v>
      </c>
      <c r="V82" s="514">
        <f>INDEX(qPCR_Unique!W$3:W$118, MATCH(Core_Data!$A82, qPCR_Unique!$D$3:$D$118,0), 1)</f>
        <v>16887.81015357079</v>
      </c>
      <c r="W82" s="515">
        <f>INDEX(qPCR_Unique!X$3:X$118, MATCH(Core_Data!$A82, qPCR_Unique!$D$3:$D$118,0), 1)</f>
        <v>4.2275733381513261</v>
      </c>
    </row>
    <row r="83" spans="1:23" s="380" customFormat="1" x14ac:dyDescent="0.3">
      <c r="A83" s="397" t="str">
        <v>RU44419</v>
      </c>
      <c r="B83" s="447" t="str">
        <f t="shared" si="2"/>
        <v>RU</v>
      </c>
      <c r="C83" s="448">
        <f t="shared" si="3"/>
        <v>44419</v>
      </c>
      <c r="D83" s="449">
        <f>INDEX(qPCR_Unique!H$3:H$118, MATCH(Core_Data!$A83, qPCR_Unique!$D$3:$D$118,0), 1)</f>
        <v>293259200.57923603</v>
      </c>
      <c r="E83" s="450">
        <f>INDEX(qPCR_Unique!I$3:I$118, MATCH(Core_Data!$A83, qPCR_Unique!$D$3:$D$118,0), 1)</f>
        <v>8.4672516463565746</v>
      </c>
      <c r="F83" s="451">
        <f>INDEX(qPCR_Unique!K$3:K$118, MATCH(Core_Data!$A83, qPCR_Unique!$D$3:$D$118,0), 1)</f>
        <v>12165.310158951736</v>
      </c>
      <c r="G83" s="452">
        <f>INDEX(qPCR_Unique!L$3:L$118, MATCH(Core_Data!$A83, qPCR_Unique!$D$3:$D$118,0), 1)</f>
        <v>4.0851231859017831</v>
      </c>
      <c r="H83" s="449">
        <f>INDEX(qPCR_Unique!N$3:N$118, MATCH(Core_Data!$A83, qPCR_Unique!$D$3:$D$118,0), 1)</f>
        <v>13426.09979089443</v>
      </c>
      <c r="I83" s="450">
        <f>INDEX(qPCR_Unique!O$3:O$118, MATCH(Core_Data!$A83, qPCR_Unique!$D$3:$D$118,0), 1)</f>
        <v>4.1279498708001707</v>
      </c>
      <c r="J83" s="451">
        <f>INDEX(qPCR_Unique!Q$3:Q$118, MATCH(Core_Data!$A83, qPCR_Unique!$D$3:$D$118,0), 1)</f>
        <v>33261.758571884537</v>
      </c>
      <c r="K83" s="453">
        <f>INDEX(qPCR_Unique!R$3:R$118, MATCH(Core_Data!$A83, qPCR_Unique!$D$3:$D$118,0), 1)</f>
        <v>4.5219452069362802</v>
      </c>
      <c r="L83" s="454">
        <f>INDEX(qPCR_Unique!T$3:T$118, MATCH(Core_Data!$A83, qPCR_Unique!$D$3:$D$118,0), 1)</f>
        <v>0</v>
      </c>
      <c r="M83" s="455">
        <f>INDEX(qPCR_Unique!U$3:U$118, MATCH(Core_Data!$A83, qPCR_Unique!$D$3:$D$118,0), 1)</f>
        <v>0</v>
      </c>
      <c r="N83" s="456">
        <f>INDEX(Physicochemical_Managed!Q$2:Q$207, MATCH(Core_Data!$A83, Physicochemical_Managed!$P$2:$P$207,0), 1)</f>
        <v>6.64</v>
      </c>
      <c r="O83" s="457">
        <f>INDEX(Physicochemical_Managed!R$2:R$207, MATCH(Core_Data!$A83, Physicochemical_Managed!$P$2:$P$207,0), 1)</f>
        <v>29.5</v>
      </c>
      <c r="P83" s="457">
        <f>INDEX(Physicochemical_Managed!S$2:S$207, MATCH(Core_Data!$A83, Physicochemical_Managed!$P$2:$P$207,0), 1)</f>
        <v>0.09</v>
      </c>
      <c r="Q83" s="457">
        <f>INDEX(Physicochemical_Managed!T$2:T$207, MATCH(Core_Data!$A83, Physicochemical_Managed!$P$2:$P$207,0), 1)</f>
        <v>2.1950000000000003</v>
      </c>
      <c r="R83" s="457">
        <f>INDEX(Physicochemical_Managed!U$2:U$207, MATCH(Core_Data!$A83, Physicochemical_Managed!$P$2:$P$207,0), 1)</f>
        <v>2.665</v>
      </c>
      <c r="S83" s="457">
        <f>INDEX(Physicochemical_Managed!V$2:V$207, MATCH(Core_Data!$A83, Physicochemical_Managed!$P$2:$P$207,0), 1)</f>
        <v>0.14499999999999999</v>
      </c>
      <c r="T83" s="457">
        <f>INDEX(Physicochemical_Managed!W$2:W$207, MATCH(Core_Data!$A83, Physicochemical_Managed!$P$2:$P$207,0), 1)</f>
        <v>4.5000000000000005E-3</v>
      </c>
      <c r="U83" s="501">
        <f>INDEX(Physicochemical_Managed!X$2:X$207, MATCH(Core_Data!$A83, Physicochemical_Managed!$P$2:$P$207,0), 1)</f>
        <v>0.39500000000000002</v>
      </c>
      <c r="V83" s="514">
        <f>INDEX(qPCR_Unique!W$3:W$118, MATCH(Core_Data!$A83, qPCR_Unique!$D$3:$D$118,0), 1)</f>
        <v>58853.168521730702</v>
      </c>
      <c r="W83" s="515">
        <f>INDEX(qPCR_Unique!X$3:X$118, MATCH(Core_Data!$A83, qPCR_Unique!$D$3:$D$118,0), 1)</f>
        <v>4.7697698492433531</v>
      </c>
    </row>
    <row r="84" spans="1:23" s="380" customFormat="1" x14ac:dyDescent="0.3">
      <c r="A84" s="397" t="str">
        <v>RU44426</v>
      </c>
      <c r="B84" s="447" t="str">
        <f t="shared" si="2"/>
        <v>RU</v>
      </c>
      <c r="C84" s="448">
        <f t="shared" si="3"/>
        <v>44426</v>
      </c>
      <c r="D84" s="449">
        <f>INDEX(qPCR_Unique!H$3:H$118, MATCH(Core_Data!$A84, qPCR_Unique!$D$3:$D$118,0), 1)</f>
        <v>37459069.302015245</v>
      </c>
      <c r="E84" s="450">
        <f>INDEX(qPCR_Unique!I$3:I$118, MATCH(Core_Data!$A84, qPCR_Unique!$D$3:$D$118,0), 1)</f>
        <v>7.5735569828090972</v>
      </c>
      <c r="F84" s="451">
        <f>INDEX(qPCR_Unique!K$3:K$118, MATCH(Core_Data!$A84, qPCR_Unique!$D$3:$D$118,0), 1)</f>
        <v>87612.893404689181</v>
      </c>
      <c r="G84" s="452">
        <f>INDEX(qPCR_Unique!L$3:L$118, MATCH(Core_Data!$A84, qPCR_Unique!$D$3:$D$118,0), 1)</f>
        <v>4.9425680230912103</v>
      </c>
      <c r="H84" s="449">
        <f>INDEX(qPCR_Unique!N$3:N$118, MATCH(Core_Data!$A84, qPCR_Unique!$D$3:$D$118,0), 1)</f>
        <v>2491.0730030047525</v>
      </c>
      <c r="I84" s="450">
        <f>INDEX(qPCR_Unique!O$3:O$118, MATCH(Core_Data!$A84, qPCR_Unique!$D$3:$D$118,0), 1)</f>
        <v>3.396386455090723</v>
      </c>
      <c r="J84" s="451">
        <f>INDEX(qPCR_Unique!Q$3:Q$118, MATCH(Core_Data!$A84, qPCR_Unique!$D$3:$D$118,0), 1)</f>
        <v>0</v>
      </c>
      <c r="K84" s="453">
        <f>INDEX(qPCR_Unique!R$3:R$118, MATCH(Core_Data!$A84, qPCR_Unique!$D$3:$D$118,0), 1)</f>
        <v>0</v>
      </c>
      <c r="L84" s="454">
        <f>INDEX(qPCR_Unique!T$3:T$118, MATCH(Core_Data!$A84, qPCR_Unique!$D$3:$D$118,0), 1)</f>
        <v>373.7701445209737</v>
      </c>
      <c r="M84" s="455">
        <f>INDEX(qPCR_Unique!U$3:U$118, MATCH(Core_Data!$A84, qPCR_Unique!$D$3:$D$118,0), 1)</f>
        <v>2.572604608472389</v>
      </c>
      <c r="N84" s="456">
        <f>INDEX(Physicochemical_Managed!Q$2:Q$207, MATCH(Core_Data!$A84, Physicochemical_Managed!$P$2:$P$207,0), 1)</f>
        <v>6.6549999999999994</v>
      </c>
      <c r="O84" s="457">
        <f>INDEX(Physicochemical_Managed!R$2:R$207, MATCH(Core_Data!$A84, Physicochemical_Managed!$P$2:$P$207,0), 1)</f>
        <v>28.3</v>
      </c>
      <c r="P84" s="457">
        <f>INDEX(Physicochemical_Managed!S$2:S$207, MATCH(Core_Data!$A84, Physicochemical_Managed!$P$2:$P$207,0), 1)</f>
        <v>0.11</v>
      </c>
      <c r="Q84" s="457">
        <f>INDEX(Physicochemical_Managed!T$2:T$207, MATCH(Core_Data!$A84, Physicochemical_Managed!$P$2:$P$207,0), 1)</f>
        <v>2.27</v>
      </c>
      <c r="R84" s="457">
        <f>INDEX(Physicochemical_Managed!U$2:U$207, MATCH(Core_Data!$A84, Physicochemical_Managed!$P$2:$P$207,0), 1)</f>
        <v>2.7350000000000003</v>
      </c>
      <c r="S84" s="457">
        <f>INDEX(Physicochemical_Managed!V$2:V$207, MATCH(Core_Data!$A84, Physicochemical_Managed!$P$2:$P$207,0), 1)</f>
        <v>0.13500000000000001</v>
      </c>
      <c r="T84" s="457">
        <f>INDEX(Physicochemical_Managed!W$2:W$207, MATCH(Core_Data!$A84, Physicochemical_Managed!$P$2:$P$207,0), 1)</f>
        <v>6.5000000000000006E-3</v>
      </c>
      <c r="U84" s="501">
        <f>INDEX(Physicochemical_Managed!X$2:X$207, MATCH(Core_Data!$A84, Physicochemical_Managed!$P$2:$P$207,0), 1)</f>
        <v>0.34</v>
      </c>
      <c r="V84" s="514">
        <f>INDEX(qPCR_Unique!W$3:W$118, MATCH(Core_Data!$A84, qPCR_Unique!$D$3:$D$118,0), 1)</f>
        <v>90477.736552214905</v>
      </c>
      <c r="W84" s="515">
        <f>INDEX(qPCR_Unique!X$3:X$118, MATCH(Core_Data!$A84, qPCR_Unique!$D$3:$D$118,0), 1)</f>
        <v>4.9565417274702419</v>
      </c>
    </row>
    <row r="85" spans="1:23" s="380" customFormat="1" ht="16.350000000000001" thickBot="1" x14ac:dyDescent="0.35">
      <c r="A85" s="398" t="str">
        <v>RU44433</v>
      </c>
      <c r="B85" s="458" t="str">
        <f t="shared" si="2"/>
        <v>RU</v>
      </c>
      <c r="C85" s="459">
        <f t="shared" si="3"/>
        <v>44433</v>
      </c>
      <c r="D85" s="460">
        <f>INDEX(qPCR_Unique!H$3:H$118, MATCH(Core_Data!$A85, qPCR_Unique!$D$3:$D$118,0), 1)</f>
        <v>353050043.07230633</v>
      </c>
      <c r="E85" s="461">
        <f>INDEX(qPCR_Unique!I$3:I$118, MATCH(Core_Data!$A85, qPCR_Unique!$D$3:$D$118,0), 1)</f>
        <v>8.5478362688149758</v>
      </c>
      <c r="F85" s="462">
        <f>INDEX(qPCR_Unique!K$3:K$118, MATCH(Core_Data!$A85, qPCR_Unique!$D$3:$D$118,0), 1)</f>
        <v>11476.994323730469</v>
      </c>
      <c r="G85" s="463">
        <f>INDEX(qPCR_Unique!L$3:L$118, MATCH(Core_Data!$A85, qPCR_Unique!$D$3:$D$118,0), 1)</f>
        <v>4.0598281668485159</v>
      </c>
      <c r="H85" s="460">
        <f>INDEX(qPCR_Unique!N$3:N$118, MATCH(Core_Data!$A85, qPCR_Unique!$D$3:$D$118,0), 1)</f>
        <v>9791.71142578125</v>
      </c>
      <c r="I85" s="461">
        <f>INDEX(qPCR_Unique!O$3:O$118, MATCH(Core_Data!$A85, qPCR_Unique!$D$3:$D$118,0), 1)</f>
        <v>3.9908586057780417</v>
      </c>
      <c r="J85" s="462">
        <f>INDEX(qPCR_Unique!Q$3:Q$118, MATCH(Core_Data!$A85, qPCR_Unique!$D$3:$D$118,0), 1)</f>
        <v>0</v>
      </c>
      <c r="K85" s="464">
        <f>INDEX(qPCR_Unique!R$3:R$118, MATCH(Core_Data!$A85, qPCR_Unique!$D$3:$D$118,0), 1)</f>
        <v>0</v>
      </c>
      <c r="L85" s="465">
        <f>INDEX(qPCR_Unique!T$3:T$118, MATCH(Core_Data!$A85, qPCR_Unique!$D$3:$D$118,0), 1)</f>
        <v>0</v>
      </c>
      <c r="M85" s="466">
        <f>INDEX(qPCR_Unique!U$3:U$118, MATCH(Core_Data!$A85, qPCR_Unique!$D$3:$D$118,0), 1)</f>
        <v>0</v>
      </c>
      <c r="N85" s="467">
        <f>INDEX(Physicochemical_Managed!Q$2:Q$207, MATCH(Core_Data!$A85, Physicochemical_Managed!$P$2:$P$207,0), 1)</f>
        <v>6.8599999999999994</v>
      </c>
      <c r="O85" s="468">
        <f>INDEX(Physicochemical_Managed!R$2:R$207, MATCH(Core_Data!$A85, Physicochemical_Managed!$P$2:$P$207,0), 1)</f>
        <v>29</v>
      </c>
      <c r="P85" s="468">
        <f>INDEX(Physicochemical_Managed!S$2:S$207, MATCH(Core_Data!$A85, Physicochemical_Managed!$P$2:$P$207,0), 1)</f>
        <v>0.04</v>
      </c>
      <c r="Q85" s="468">
        <f>INDEX(Physicochemical_Managed!T$2:T$207, MATCH(Core_Data!$A85, Physicochemical_Managed!$P$2:$P$207,0), 1)</f>
        <v>2.1550000000000002</v>
      </c>
      <c r="R85" s="468">
        <f>INDEX(Physicochemical_Managed!U$2:U$207, MATCH(Core_Data!$A85, Physicochemical_Managed!$P$2:$P$207,0), 1)</f>
        <v>2.2850000000000001</v>
      </c>
      <c r="S85" s="468">
        <f>INDEX(Physicochemical_Managed!V$2:V$207, MATCH(Core_Data!$A85, Physicochemical_Managed!$P$2:$P$207,0), 1)</f>
        <v>0.245</v>
      </c>
      <c r="T85" s="468">
        <f>INDEX(Physicochemical_Managed!W$2:W$207, MATCH(Core_Data!$A85, Physicochemical_Managed!$P$2:$P$207,0), 1)</f>
        <v>2E-3</v>
      </c>
      <c r="U85" s="502">
        <f>INDEX(Physicochemical_Managed!X$2:X$207, MATCH(Core_Data!$A85, Physicochemical_Managed!$P$2:$P$207,0), 1)</f>
        <v>0.37</v>
      </c>
      <c r="V85" s="516">
        <f>INDEX(qPCR_Unique!W$3:W$118, MATCH(Core_Data!$A85, qPCR_Unique!$D$3:$D$118,0), 1)</f>
        <v>21268.705749511719</v>
      </c>
      <c r="W85" s="517">
        <f>INDEX(qPCR_Unique!X$3:X$118, MATCH(Core_Data!$A85, qPCR_Unique!$D$3:$D$118,0), 1)</f>
        <v>4.3277410628718389</v>
      </c>
    </row>
    <row r="86" spans="1:23" s="380" customFormat="1" x14ac:dyDescent="0.3">
      <c r="A86" s="393" t="str">
        <v>RL44335</v>
      </c>
      <c r="B86" s="403" t="str">
        <f t="shared" si="2"/>
        <v>RL</v>
      </c>
      <c r="C86" s="404">
        <f t="shared" si="3"/>
        <v>44335</v>
      </c>
      <c r="D86" s="405">
        <f>INDEX(qPCR_Unique!H$3:H$118, MATCH(Core_Data!$A86, qPCR_Unique!$D$3:$D$118,0), 1)</f>
        <v>113910053.0310961</v>
      </c>
      <c r="E86" s="406">
        <f>INDEX(qPCR_Unique!I$3:I$118, MATCH(Core_Data!$A86, qPCR_Unique!$D$3:$D$118,0), 1)</f>
        <v>8.056562054046335</v>
      </c>
      <c r="F86" s="407">
        <f>INDEX(qPCR_Unique!K$3:K$118, MATCH(Core_Data!$A86, qPCR_Unique!$D$3:$D$118,0), 1)</f>
        <v>198977.36119289021</v>
      </c>
      <c r="G86" s="408">
        <f>INDEX(qPCR_Unique!L$3:L$118, MATCH(Core_Data!$A86, qPCR_Unique!$D$3:$D$118,0), 1)</f>
        <v>5.2988036670212644</v>
      </c>
      <c r="H86" s="405">
        <f>INDEX(qPCR_Unique!N$3:N$118, MATCH(Core_Data!$A86, qPCR_Unique!$D$3:$D$118,0), 1)</f>
        <v>1622.2520365434534</v>
      </c>
      <c r="I86" s="406">
        <f>INDEX(qPCR_Unique!O$3:O$118, MATCH(Core_Data!$A86, qPCR_Unique!$D$3:$D$118,0), 1)</f>
        <v>3.2101183280359256</v>
      </c>
      <c r="J86" s="407">
        <f>INDEX(qPCR_Unique!Q$3:Q$118, MATCH(Core_Data!$A86, qPCR_Unique!$D$3:$D$118,0), 1)</f>
        <v>772.48905540681358</v>
      </c>
      <c r="K86" s="409">
        <f>INDEX(qPCR_Unique!R$3:R$118, MATCH(Core_Data!$A86, qPCR_Unique!$D$3:$D$118,0), 1)</f>
        <v>2.8878923350740906</v>
      </c>
      <c r="L86" s="410">
        <f>INDEX(qPCR_Unique!T$3:T$118, MATCH(Core_Data!$A86, qPCR_Unique!$D$3:$D$118,0), 1)</f>
        <v>83.405853559573487</v>
      </c>
      <c r="M86" s="411">
        <f>INDEX(qPCR_Unique!U$3:U$118, MATCH(Core_Data!$A86, qPCR_Unique!$D$3:$D$118,0), 1)</f>
        <v>1.9211965312062447</v>
      </c>
      <c r="N86" s="412">
        <f>INDEX(Physicochemical_Managed!Q$2:Q$207, MATCH(Core_Data!$A86, Physicochemical_Managed!$P$2:$P$207,0), 1)</f>
        <v>7.0449999999999999</v>
      </c>
      <c r="O86" s="413">
        <f>INDEX(Physicochemical_Managed!R$2:R$207, MATCH(Core_Data!$A86, Physicochemical_Managed!$P$2:$P$207,0), 1)</f>
        <v>23.549999999999997</v>
      </c>
      <c r="P86" s="413">
        <f>INDEX(Physicochemical_Managed!S$2:S$207, MATCH(Core_Data!$A86, Physicochemical_Managed!$P$2:$P$207,0), 1)</f>
        <v>0.19</v>
      </c>
      <c r="Q86" s="413">
        <f>INDEX(Physicochemical_Managed!T$2:T$207, MATCH(Core_Data!$A86, Physicochemical_Managed!$P$2:$P$207,0), 1)</f>
        <v>1.52</v>
      </c>
      <c r="R86" s="413">
        <f>INDEX(Physicochemical_Managed!U$2:U$207, MATCH(Core_Data!$A86, Physicochemical_Managed!$P$2:$P$207,0), 1)</f>
        <v>1.7650000000000001</v>
      </c>
      <c r="S86" s="413">
        <f>INDEX(Physicochemical_Managed!V$2:V$207, MATCH(Core_Data!$A86, Physicochemical_Managed!$P$2:$P$207,0), 1)</f>
        <v>0.27</v>
      </c>
      <c r="T86" s="413">
        <f>INDEX(Physicochemical_Managed!W$2:W$207, MATCH(Core_Data!$A86, Physicochemical_Managed!$P$2:$P$207,0), 1)</f>
        <v>6.5000000000000006E-3</v>
      </c>
      <c r="U86" s="497">
        <f>INDEX(Physicochemical_Managed!X$2:X$207, MATCH(Core_Data!$A86, Physicochemical_Managed!$P$2:$P$207,0), 1)</f>
        <v>0.38</v>
      </c>
      <c r="V86" s="506">
        <f>INDEX(qPCR_Unique!W$3:W$118, MATCH(Core_Data!$A86, qPCR_Unique!$D$3:$D$118,0), 1)</f>
        <v>201455.50813840007</v>
      </c>
      <c r="W86" s="507">
        <f>INDEX(qPCR_Unique!X$3:X$118, MATCH(Core_Data!$A86, qPCR_Unique!$D$3:$D$118,0), 1)</f>
        <v>5.3041791462411982</v>
      </c>
    </row>
    <row r="87" spans="1:23" s="380" customFormat="1" x14ac:dyDescent="0.3">
      <c r="A87" s="394" t="str">
        <v>RL44342</v>
      </c>
      <c r="B87" s="414" t="str">
        <f t="shared" si="2"/>
        <v>RL</v>
      </c>
      <c r="C87" s="415">
        <f t="shared" si="3"/>
        <v>44342</v>
      </c>
      <c r="D87" s="416">
        <f>INDEX(qPCR_Unique!H$3:H$118, MATCH(Core_Data!$A87, qPCR_Unique!$D$3:$D$118,0), 1)</f>
        <v>70723139.80739139</v>
      </c>
      <c r="E87" s="417">
        <f>INDEX(qPCR_Unique!I$3:I$118, MATCH(Core_Data!$A87, qPCR_Unique!$D$3:$D$118,0), 1)</f>
        <v>7.8495615332656898</v>
      </c>
      <c r="F87" s="418">
        <f>INDEX(qPCR_Unique!K$3:K$118, MATCH(Core_Data!$A87, qPCR_Unique!$D$3:$D$118,0), 1)</f>
        <v>103087.54580483315</v>
      </c>
      <c r="G87" s="419">
        <f>INDEX(qPCR_Unique!L$3:L$118, MATCH(Core_Data!$A87, qPCR_Unique!$D$3:$D$118,0), 1)</f>
        <v>5.0132062005410614</v>
      </c>
      <c r="H87" s="416">
        <f>INDEX(qPCR_Unique!N$3:N$118, MATCH(Core_Data!$A87, qPCR_Unique!$D$3:$D$118,0), 1)</f>
        <v>1077.9828809014111</v>
      </c>
      <c r="I87" s="417">
        <f>INDEX(qPCR_Unique!O$3:O$118, MATCH(Core_Data!$A87, qPCR_Unique!$D$3:$D$118,0), 1)</f>
        <v>3.0326118640148327</v>
      </c>
      <c r="J87" s="418">
        <f>INDEX(qPCR_Unique!Q$3:Q$118, MATCH(Core_Data!$A87, qPCR_Unique!$D$3:$D$118,0), 1)</f>
        <v>420.06662714551067</v>
      </c>
      <c r="K87" s="420">
        <f>INDEX(qPCR_Unique!R$3:R$118, MATCH(Core_Data!$A87, qPCR_Unique!$D$3:$D$118,0), 1)</f>
        <v>2.6233181796996914</v>
      </c>
      <c r="L87" s="421">
        <f>INDEX(qPCR_Unique!T$3:T$118, MATCH(Core_Data!$A87, qPCR_Unique!$D$3:$D$118,0), 1)</f>
        <v>124.6290876154314</v>
      </c>
      <c r="M87" s="422">
        <f>INDEX(qPCR_Unique!U$3:U$118, MATCH(Core_Data!$A87, qPCR_Unique!$D$3:$D$118,0), 1)</f>
        <v>2.095619415650412</v>
      </c>
      <c r="N87" s="423">
        <f>INDEX(Physicochemical_Managed!Q$2:Q$207, MATCH(Core_Data!$A87, Physicochemical_Managed!$P$2:$P$207,0), 1)</f>
        <v>6.87</v>
      </c>
      <c r="O87" s="424">
        <f>INDEX(Physicochemical_Managed!R$2:R$207, MATCH(Core_Data!$A87, Physicochemical_Managed!$P$2:$P$207,0), 1)</f>
        <v>23.65</v>
      </c>
      <c r="P87" s="424">
        <f>INDEX(Physicochemical_Managed!S$2:S$207, MATCH(Core_Data!$A87, Physicochemical_Managed!$P$2:$P$207,0), 1)</f>
        <v>0.09</v>
      </c>
      <c r="Q87" s="424">
        <f>INDEX(Physicochemical_Managed!T$2:T$207, MATCH(Core_Data!$A87, Physicochemical_Managed!$P$2:$P$207,0), 1)</f>
        <v>1.56</v>
      </c>
      <c r="R87" s="424">
        <f>INDEX(Physicochemical_Managed!U$2:U$207, MATCH(Core_Data!$A87, Physicochemical_Managed!$P$2:$P$207,0), 1)</f>
        <v>1.885</v>
      </c>
      <c r="S87" s="424">
        <f>INDEX(Physicochemical_Managed!V$2:V$207, MATCH(Core_Data!$A87, Physicochemical_Managed!$P$2:$P$207,0), 1)</f>
        <v>0.21000000000000002</v>
      </c>
      <c r="T87" s="424">
        <f>INDEX(Physicochemical_Managed!W$2:W$207, MATCH(Core_Data!$A87, Physicochemical_Managed!$P$2:$P$207,0), 1)</f>
        <v>7.0000000000000001E-3</v>
      </c>
      <c r="U87" s="498">
        <f>INDEX(Physicochemical_Managed!X$2:X$207, MATCH(Core_Data!$A87, Physicochemical_Managed!$P$2:$P$207,0), 1)</f>
        <v>0.32999999999999996</v>
      </c>
      <c r="V87" s="504">
        <f>INDEX(qPCR_Unique!W$3:W$118, MATCH(Core_Data!$A87, qPCR_Unique!$D$3:$D$118,0), 1)</f>
        <v>104710.22440049551</v>
      </c>
      <c r="W87" s="505">
        <f>INDEX(qPCR_Unique!X$3:X$118, MATCH(Core_Data!$A87, qPCR_Unique!$D$3:$D$118,0), 1)</f>
        <v>5.0199890903122526</v>
      </c>
    </row>
    <row r="88" spans="1:23" s="380" customFormat="1" x14ac:dyDescent="0.3">
      <c r="A88" s="394" t="str">
        <v>RL44350</v>
      </c>
      <c r="B88" s="414" t="str">
        <f t="shared" si="2"/>
        <v>RL</v>
      </c>
      <c r="C88" s="415">
        <f t="shared" si="3"/>
        <v>44350</v>
      </c>
      <c r="D88" s="416">
        <f>INDEX(qPCR_Unique!H$3:H$118, MATCH(Core_Data!$A88, qPCR_Unique!$D$3:$D$118,0), 1)</f>
        <v>57258145.097091109</v>
      </c>
      <c r="E88" s="417">
        <f>INDEX(qPCR_Unique!I$3:I$118, MATCH(Core_Data!$A88, qPCR_Unique!$D$3:$D$118,0), 1)</f>
        <v>7.7578372747518367</v>
      </c>
      <c r="F88" s="418">
        <f>INDEX(qPCR_Unique!K$3:K$118, MATCH(Core_Data!$A88, qPCR_Unique!$D$3:$D$118,0), 1)</f>
        <v>271746.11918131512</v>
      </c>
      <c r="G88" s="419">
        <f>INDEX(qPCR_Unique!L$3:L$118, MATCH(Core_Data!$A88, qPCR_Unique!$D$3:$D$118,0), 1)</f>
        <v>5.4341633506233746</v>
      </c>
      <c r="H88" s="416">
        <f>INDEX(qPCR_Unique!N$3:N$118, MATCH(Core_Data!$A88, qPCR_Unique!$D$3:$D$118,0), 1)</f>
        <v>274.00694953070746</v>
      </c>
      <c r="I88" s="417">
        <f>INDEX(qPCR_Unique!O$3:O$118, MATCH(Core_Data!$A88, qPCR_Unique!$D$3:$D$118,0), 1)</f>
        <v>2.4377615778005475</v>
      </c>
      <c r="J88" s="418">
        <f>INDEX(qPCR_Unique!Q$3:Q$118, MATCH(Core_Data!$A88, qPCR_Unique!$D$3:$D$118,0), 1)</f>
        <v>0</v>
      </c>
      <c r="K88" s="420">
        <f>INDEX(qPCR_Unique!R$3:R$118, MATCH(Core_Data!$A88, qPCR_Unique!$D$3:$D$118,0), 1)</f>
        <v>0</v>
      </c>
      <c r="L88" s="421">
        <f>INDEX(qPCR_Unique!T$3:T$118, MATCH(Core_Data!$A88, qPCR_Unique!$D$3:$D$118,0), 1)</f>
        <v>0</v>
      </c>
      <c r="M88" s="422">
        <f>INDEX(qPCR_Unique!U$3:U$118, MATCH(Core_Data!$A88, qPCR_Unique!$D$3:$D$118,0), 1)</f>
        <v>0</v>
      </c>
      <c r="N88" s="423">
        <f>INDEX(Physicochemical_Managed!Q$2:Q$207, MATCH(Core_Data!$A88, Physicochemical_Managed!$P$2:$P$207,0), 1)</f>
        <v>7.0250000000000004</v>
      </c>
      <c r="O88" s="424">
        <f>INDEX(Physicochemical_Managed!R$2:R$207, MATCH(Core_Data!$A88, Physicochemical_Managed!$P$2:$P$207,0), 1)</f>
        <v>24.35</v>
      </c>
      <c r="P88" s="424">
        <f>INDEX(Physicochemical_Managed!S$2:S$207, MATCH(Core_Data!$A88, Physicochemical_Managed!$P$2:$P$207,0), 1)</f>
        <v>0.125</v>
      </c>
      <c r="Q88" s="424">
        <f>INDEX(Physicochemical_Managed!T$2:T$207, MATCH(Core_Data!$A88, Physicochemical_Managed!$P$2:$P$207,0), 1)</f>
        <v>1.4950000000000001</v>
      </c>
      <c r="R88" s="424">
        <f>INDEX(Physicochemical_Managed!U$2:U$207, MATCH(Core_Data!$A88, Physicochemical_Managed!$P$2:$P$207,0), 1)</f>
        <v>1.585</v>
      </c>
      <c r="S88" s="424">
        <f>INDEX(Physicochemical_Managed!V$2:V$207, MATCH(Core_Data!$A88, Physicochemical_Managed!$P$2:$P$207,0), 1)</f>
        <v>0.27500000000000002</v>
      </c>
      <c r="T88" s="424">
        <f>INDEX(Physicochemical_Managed!W$2:W$207, MATCH(Core_Data!$A88, Physicochemical_Managed!$P$2:$P$207,0), 1)</f>
        <v>7.0000000000000001E-3</v>
      </c>
      <c r="U88" s="498">
        <f>INDEX(Physicochemical_Managed!X$2:X$207, MATCH(Core_Data!$A88, Physicochemical_Managed!$P$2:$P$207,0), 1)</f>
        <v>0.41000000000000003</v>
      </c>
      <c r="V88" s="504">
        <f>INDEX(qPCR_Unique!W$3:W$118, MATCH(Core_Data!$A88, qPCR_Unique!$D$3:$D$118,0), 1)</f>
        <v>272020.12613084581</v>
      </c>
      <c r="W88" s="505">
        <f>INDEX(qPCR_Unique!X$3:X$118, MATCH(Core_Data!$A88, qPCR_Unique!$D$3:$D$118,0), 1)</f>
        <v>5.4346010376526168</v>
      </c>
    </row>
    <row r="89" spans="1:23" s="380" customFormat="1" x14ac:dyDescent="0.3">
      <c r="A89" s="394" t="str">
        <v>RL44356</v>
      </c>
      <c r="B89" s="414" t="str">
        <f t="shared" si="2"/>
        <v>RL</v>
      </c>
      <c r="C89" s="415">
        <f t="shared" si="3"/>
        <v>44356</v>
      </c>
      <c r="D89" s="416">
        <f>INDEX(qPCR_Unique!H$3:H$118, MATCH(Core_Data!$A89, qPCR_Unique!$D$3:$D$118,0), 1)</f>
        <v>3470117062.895443</v>
      </c>
      <c r="E89" s="417">
        <f>INDEX(qPCR_Unique!I$3:I$118, MATCH(Core_Data!$A89, qPCR_Unique!$D$3:$D$118,0), 1)</f>
        <v>9.5403441257741548</v>
      </c>
      <c r="F89" s="418">
        <f>INDEX(qPCR_Unique!K$3:K$118, MATCH(Core_Data!$A89, qPCR_Unique!$D$3:$D$118,0), 1)</f>
        <v>46046.018664583615</v>
      </c>
      <c r="G89" s="419">
        <f>INDEX(qPCR_Unique!L$3:L$118, MATCH(Core_Data!$A89, qPCR_Unique!$D$3:$D$118,0), 1)</f>
        <v>4.6631920852005928</v>
      </c>
      <c r="H89" s="416">
        <f>INDEX(qPCR_Unique!N$3:N$118, MATCH(Core_Data!$A89, qPCR_Unique!$D$3:$D$118,0), 1)</f>
        <v>1444.3270420611361</v>
      </c>
      <c r="I89" s="417">
        <f>INDEX(qPCR_Unique!O$3:O$118, MATCH(Core_Data!$A89, qPCR_Unique!$D$3:$D$118,0), 1)</f>
        <v>3.1596655425971378</v>
      </c>
      <c r="J89" s="418">
        <f>INDEX(qPCR_Unique!Q$3:Q$118, MATCH(Core_Data!$A89, qPCR_Unique!$D$3:$D$118,0), 1)</f>
        <v>13221.508710708174</v>
      </c>
      <c r="K89" s="420">
        <f>INDEX(qPCR_Unique!R$3:R$118, MATCH(Core_Data!$A89, qPCR_Unique!$D$3:$D$118,0), 1)</f>
        <v>4.1212810154635378</v>
      </c>
      <c r="L89" s="421">
        <f>INDEX(qPCR_Unique!T$3:T$118, MATCH(Core_Data!$A89, qPCR_Unique!$D$3:$D$118,0), 1)</f>
        <v>748.7501888625668</v>
      </c>
      <c r="M89" s="422">
        <f>INDEX(qPCR_Unique!U$3:U$118, MATCH(Core_Data!$A89, qPCR_Unique!$D$3:$D$118,0), 1)</f>
        <v>2.8743369449425566</v>
      </c>
      <c r="N89" s="423">
        <f>INDEX(Physicochemical_Managed!Q$2:Q$207, MATCH(Core_Data!$A89, Physicochemical_Managed!$P$2:$P$207,0), 1)</f>
        <v>6.9249999999999998</v>
      </c>
      <c r="O89" s="424">
        <f>INDEX(Physicochemical_Managed!R$2:R$207, MATCH(Core_Data!$A89, Physicochemical_Managed!$P$2:$P$207,0), 1)</f>
        <v>24.75</v>
      </c>
      <c r="P89" s="424">
        <f>INDEX(Physicochemical_Managed!S$2:S$207, MATCH(Core_Data!$A89, Physicochemical_Managed!$P$2:$P$207,0), 1)</f>
        <v>8.4999999999999992E-2</v>
      </c>
      <c r="Q89" s="424">
        <f>INDEX(Physicochemical_Managed!T$2:T$207, MATCH(Core_Data!$A89, Physicochemical_Managed!$P$2:$P$207,0), 1)</f>
        <v>1.6549999999999998</v>
      </c>
      <c r="R89" s="424">
        <f>INDEX(Physicochemical_Managed!U$2:U$207, MATCH(Core_Data!$A89, Physicochemical_Managed!$P$2:$P$207,0), 1)</f>
        <v>1.635</v>
      </c>
      <c r="S89" s="424">
        <f>INDEX(Physicochemical_Managed!V$2:V$207, MATCH(Core_Data!$A89, Physicochemical_Managed!$P$2:$P$207,0), 1)</f>
        <v>0.21500000000000002</v>
      </c>
      <c r="T89" s="424">
        <f>INDEX(Physicochemical_Managed!W$2:W$207, MATCH(Core_Data!$A89, Physicochemical_Managed!$P$2:$P$207,0), 1)</f>
        <v>6.0000000000000001E-3</v>
      </c>
      <c r="U89" s="498">
        <f>INDEX(Physicochemical_Managed!X$2:X$207, MATCH(Core_Data!$A89, Physicochemical_Managed!$P$2:$P$207,0), 1)</f>
        <v>0.39</v>
      </c>
      <c r="V89" s="504">
        <f>INDEX(qPCR_Unique!W$3:W$118, MATCH(Core_Data!$A89, qPCR_Unique!$D$3:$D$118,0), 1)</f>
        <v>61460.604606215493</v>
      </c>
      <c r="W89" s="505">
        <f>INDEX(qPCR_Unique!X$3:X$118, MATCH(Core_Data!$A89, qPCR_Unique!$D$3:$D$118,0), 1)</f>
        <v>4.7885968282251365</v>
      </c>
    </row>
    <row r="90" spans="1:23" s="380" customFormat="1" x14ac:dyDescent="0.3">
      <c r="A90" s="394" t="str">
        <v>RL44363</v>
      </c>
      <c r="B90" s="414" t="str">
        <f t="shared" si="2"/>
        <v>RL</v>
      </c>
      <c r="C90" s="415">
        <f t="shared" si="3"/>
        <v>44363</v>
      </c>
      <c r="D90" s="416">
        <f>INDEX(qPCR_Unique!H$3:H$118, MATCH(Core_Data!$A90, qPCR_Unique!$D$3:$D$118,0), 1)</f>
        <v>1238588096.8042445</v>
      </c>
      <c r="E90" s="417">
        <f>INDEX(qPCR_Unique!I$3:I$118, MATCH(Core_Data!$A90, qPCR_Unique!$D$3:$D$118,0), 1)</f>
        <v>9.0929269019959538</v>
      </c>
      <c r="F90" s="418">
        <f>INDEX(qPCR_Unique!K$3:K$118, MATCH(Core_Data!$A90, qPCR_Unique!$D$3:$D$118,0), 1)</f>
        <v>0</v>
      </c>
      <c r="G90" s="419">
        <f>INDEX(qPCR_Unique!L$3:L$118, MATCH(Core_Data!$A90, qPCR_Unique!$D$3:$D$118,0), 1)</f>
        <v>0</v>
      </c>
      <c r="H90" s="416">
        <f>INDEX(qPCR_Unique!N$3:N$118, MATCH(Core_Data!$A90, qPCR_Unique!$D$3:$D$118,0), 1)</f>
        <v>0</v>
      </c>
      <c r="I90" s="417">
        <f>INDEX(qPCR_Unique!O$3:O$118, MATCH(Core_Data!$A90, qPCR_Unique!$D$3:$D$118,0), 1)</f>
        <v>0</v>
      </c>
      <c r="J90" s="418">
        <f>INDEX(qPCR_Unique!Q$3:Q$118, MATCH(Core_Data!$A90, qPCR_Unique!$D$3:$D$118,0), 1)</f>
        <v>0</v>
      </c>
      <c r="K90" s="420">
        <f>INDEX(qPCR_Unique!R$3:R$118, MATCH(Core_Data!$A90, qPCR_Unique!$D$3:$D$118,0), 1)</f>
        <v>0</v>
      </c>
      <c r="L90" s="421">
        <f>INDEX(qPCR_Unique!T$3:T$118, MATCH(Core_Data!$A90, qPCR_Unique!$D$3:$D$118,0), 1)</f>
        <v>58.599966764450073</v>
      </c>
      <c r="M90" s="422">
        <f>INDEX(qPCR_Unique!U$3:U$118, MATCH(Core_Data!$A90, qPCR_Unique!$D$3:$D$118,0), 1)</f>
        <v>1.7678973697037557</v>
      </c>
      <c r="N90" s="423">
        <f>INDEX(Physicochemical_Managed!Q$2:Q$207, MATCH(Core_Data!$A90, Physicochemical_Managed!$P$2:$P$207,0), 1)</f>
        <v>7.0350000000000001</v>
      </c>
      <c r="O90" s="424">
        <f>INDEX(Physicochemical_Managed!R$2:R$207, MATCH(Core_Data!$A90, Physicochemical_Managed!$P$2:$P$207,0), 1)</f>
        <v>26.450000000000003</v>
      </c>
      <c r="P90" s="424">
        <f>INDEX(Physicochemical_Managed!S$2:S$207, MATCH(Core_Data!$A90, Physicochemical_Managed!$P$2:$P$207,0), 1)</f>
        <v>1.4849999999999999</v>
      </c>
      <c r="Q90" s="424">
        <f>INDEX(Physicochemical_Managed!T$2:T$207, MATCH(Core_Data!$A90, Physicochemical_Managed!$P$2:$P$207,0), 1)</f>
        <v>1.4999999999999999E-2</v>
      </c>
      <c r="R90" s="424">
        <f>INDEX(Physicochemical_Managed!U$2:U$207, MATCH(Core_Data!$A90, Physicochemical_Managed!$P$2:$P$207,0), 1)</f>
        <v>1.53</v>
      </c>
      <c r="S90" s="424">
        <f>INDEX(Physicochemical_Managed!V$2:V$207, MATCH(Core_Data!$A90, Physicochemical_Managed!$P$2:$P$207,0), 1)</f>
        <v>0.155</v>
      </c>
      <c r="T90" s="424">
        <f>INDEX(Physicochemical_Managed!W$2:W$207, MATCH(Core_Data!$A90, Physicochemical_Managed!$P$2:$P$207,0), 1)</f>
        <v>2.5000000000000001E-3</v>
      </c>
      <c r="U90" s="498">
        <f>INDEX(Physicochemical_Managed!X$2:X$207, MATCH(Core_Data!$A90, Physicochemical_Managed!$P$2:$P$207,0), 1)</f>
        <v>0.44</v>
      </c>
      <c r="V90" s="504">
        <f>INDEX(qPCR_Unique!W$3:W$118, MATCH(Core_Data!$A90, qPCR_Unique!$D$3:$D$118,0), 1)</f>
        <v>58.599966764450073</v>
      </c>
      <c r="W90" s="505">
        <f>INDEX(qPCR_Unique!X$3:X$118, MATCH(Core_Data!$A90, qPCR_Unique!$D$3:$D$118,0), 1)</f>
        <v>1.7678973697037557</v>
      </c>
    </row>
    <row r="91" spans="1:23" s="380" customFormat="1" x14ac:dyDescent="0.3">
      <c r="A91" s="394" t="str">
        <v>RL44370</v>
      </c>
      <c r="B91" s="414" t="str">
        <f t="shared" si="2"/>
        <v>RL</v>
      </c>
      <c r="C91" s="415">
        <f t="shared" si="3"/>
        <v>44370</v>
      </c>
      <c r="D91" s="416">
        <f>INDEX(qPCR_Unique!H$3:H$118, MATCH(Core_Data!$A91, qPCR_Unique!$D$3:$D$118,0), 1)</f>
        <v>298887823.46990538</v>
      </c>
      <c r="E91" s="417">
        <f>INDEX(qPCR_Unique!I$3:I$118, MATCH(Core_Data!$A91, qPCR_Unique!$D$3:$D$118,0), 1)</f>
        <v>8.4755082224747227</v>
      </c>
      <c r="F91" s="418">
        <f>INDEX(qPCR_Unique!K$3:K$118, MATCH(Core_Data!$A91, qPCR_Unique!$D$3:$D$118,0), 1)</f>
        <v>0</v>
      </c>
      <c r="G91" s="419">
        <f>INDEX(qPCR_Unique!L$3:L$118, MATCH(Core_Data!$A91, qPCR_Unique!$D$3:$D$118,0), 1)</f>
        <v>0</v>
      </c>
      <c r="H91" s="416">
        <f>INDEX(qPCR_Unique!N$3:N$118, MATCH(Core_Data!$A91, qPCR_Unique!$D$3:$D$118,0), 1)</f>
        <v>245918.54102554324</v>
      </c>
      <c r="I91" s="417">
        <f>INDEX(qPCR_Unique!O$3:O$118, MATCH(Core_Data!$A91, qPCR_Unique!$D$3:$D$118,0), 1)</f>
        <v>5.3907912736005485</v>
      </c>
      <c r="J91" s="418">
        <f>INDEX(qPCR_Unique!Q$3:Q$118, MATCH(Core_Data!$A91, qPCR_Unique!$D$3:$D$118,0), 1)</f>
        <v>0</v>
      </c>
      <c r="K91" s="420">
        <f>INDEX(qPCR_Unique!R$3:R$118, MATCH(Core_Data!$A91, qPCR_Unique!$D$3:$D$118,0), 1)</f>
        <v>0</v>
      </c>
      <c r="L91" s="421">
        <f>INDEX(qPCR_Unique!T$3:T$118, MATCH(Core_Data!$A91, qPCR_Unique!$D$3:$D$118,0), 1)</f>
        <v>928.49617641694795</v>
      </c>
      <c r="M91" s="422">
        <f>INDEX(qPCR_Unique!U$3:U$118, MATCH(Core_Data!$A91, qPCR_Unique!$D$3:$D$118,0), 1)</f>
        <v>2.9677801196380611</v>
      </c>
      <c r="N91" s="423">
        <f>INDEX(Physicochemical_Managed!Q$2:Q$207, MATCH(Core_Data!$A91, Physicochemical_Managed!$P$2:$P$207,0), 1)</f>
        <v>6.9850000000000003</v>
      </c>
      <c r="O91" s="424">
        <f>INDEX(Physicochemical_Managed!R$2:R$207, MATCH(Core_Data!$A91, Physicochemical_Managed!$P$2:$P$207,0), 1)</f>
        <v>26.1</v>
      </c>
      <c r="P91" s="424">
        <f>INDEX(Physicochemical_Managed!S$2:S$207, MATCH(Core_Data!$A91, Physicochemical_Managed!$P$2:$P$207,0), 1)</f>
        <v>2.14</v>
      </c>
      <c r="Q91" s="424">
        <f>INDEX(Physicochemical_Managed!T$2:T$207, MATCH(Core_Data!$A91, Physicochemical_Managed!$P$2:$P$207,0), 1)</f>
        <v>5.0000000000000001E-3</v>
      </c>
      <c r="R91" s="424">
        <f>INDEX(Physicochemical_Managed!U$2:U$207, MATCH(Core_Data!$A91, Physicochemical_Managed!$P$2:$P$207,0), 1)</f>
        <v>2.165</v>
      </c>
      <c r="S91" s="424">
        <f>INDEX(Physicochemical_Managed!V$2:V$207, MATCH(Core_Data!$A91, Physicochemical_Managed!$P$2:$P$207,0), 1)</f>
        <v>0.08</v>
      </c>
      <c r="T91" s="424">
        <f>INDEX(Physicochemical_Managed!W$2:W$207, MATCH(Core_Data!$A91, Physicochemical_Managed!$P$2:$P$207,0), 1)</f>
        <v>5.4999999999999997E-3</v>
      </c>
      <c r="U91" s="498">
        <f>INDEX(Physicochemical_Managed!X$2:X$207, MATCH(Core_Data!$A91, Physicochemical_Managed!$P$2:$P$207,0), 1)</f>
        <v>0.42</v>
      </c>
      <c r="V91" s="504">
        <f>INDEX(qPCR_Unique!W$3:W$118, MATCH(Core_Data!$A91, qPCR_Unique!$D$3:$D$118,0), 1)</f>
        <v>246847.03720196019</v>
      </c>
      <c r="W91" s="505">
        <f>INDEX(qPCR_Unique!X$3:X$118, MATCH(Core_Data!$A91, qPCR_Unique!$D$3:$D$118,0), 1)</f>
        <v>5.392427918938326</v>
      </c>
    </row>
    <row r="92" spans="1:23" s="380" customFormat="1" x14ac:dyDescent="0.3">
      <c r="A92" s="394" t="str">
        <v>RL44385</v>
      </c>
      <c r="B92" s="414" t="str">
        <f t="shared" si="2"/>
        <v>RL</v>
      </c>
      <c r="C92" s="415">
        <f t="shared" si="3"/>
        <v>44385</v>
      </c>
      <c r="D92" s="416">
        <f>INDEX(qPCR_Unique!H$3:H$118, MATCH(Core_Data!$A92, qPCR_Unique!$D$3:$D$118,0), 1)</f>
        <v>27416233.737069584</v>
      </c>
      <c r="E92" s="417">
        <f>INDEX(qPCR_Unique!I$3:I$118, MATCH(Core_Data!$A92, qPCR_Unique!$D$3:$D$118,0), 1)</f>
        <v>7.4380077940147062</v>
      </c>
      <c r="F92" s="418">
        <f>INDEX(qPCR_Unique!K$3:K$118, MATCH(Core_Data!$A92, qPCR_Unique!$D$3:$D$118,0), 1)</f>
        <v>2020.580596394009</v>
      </c>
      <c r="G92" s="419">
        <f>INDEX(qPCR_Unique!L$3:L$118, MATCH(Core_Data!$A92, qPCR_Unique!$D$3:$D$118,0), 1)</f>
        <v>3.305476178149656</v>
      </c>
      <c r="H92" s="416">
        <f>INDEX(qPCR_Unique!N$3:N$118, MATCH(Core_Data!$A92, qPCR_Unique!$D$3:$D$118,0), 1)</f>
        <v>0</v>
      </c>
      <c r="I92" s="417">
        <f>INDEX(qPCR_Unique!O$3:O$118, MATCH(Core_Data!$A92, qPCR_Unique!$D$3:$D$118,0), 1)</f>
        <v>0</v>
      </c>
      <c r="J92" s="418">
        <f>INDEX(qPCR_Unique!Q$3:Q$118, MATCH(Core_Data!$A92, qPCR_Unique!$D$3:$D$118,0), 1)</f>
        <v>0</v>
      </c>
      <c r="K92" s="420">
        <f>INDEX(qPCR_Unique!R$3:R$118, MATCH(Core_Data!$A92, qPCR_Unique!$D$3:$D$118,0), 1)</f>
        <v>0</v>
      </c>
      <c r="L92" s="421">
        <f>INDEX(qPCR_Unique!T$3:T$118, MATCH(Core_Data!$A92, qPCR_Unique!$D$3:$D$118,0), 1)</f>
        <v>0</v>
      </c>
      <c r="M92" s="422">
        <f>INDEX(qPCR_Unique!U$3:U$118, MATCH(Core_Data!$A92, qPCR_Unique!$D$3:$D$118,0), 1)</f>
        <v>0</v>
      </c>
      <c r="N92" s="423">
        <f>INDEX(Physicochemical_Managed!Q$2:Q$207, MATCH(Core_Data!$A92, Physicochemical_Managed!$P$2:$P$207,0), 1)</f>
        <v>6.915</v>
      </c>
      <c r="O92" s="424">
        <f>INDEX(Physicochemical_Managed!R$2:R$207, MATCH(Core_Data!$A92, Physicochemical_Managed!$P$2:$P$207,0), 1)</f>
        <v>26.6</v>
      </c>
      <c r="P92" s="424">
        <f>INDEX(Physicochemical_Managed!S$2:S$207, MATCH(Core_Data!$A92, Physicochemical_Managed!$P$2:$P$207,0), 1)</f>
        <v>1.9849999999999999</v>
      </c>
      <c r="Q92" s="424">
        <f>INDEX(Physicochemical_Managed!T$2:T$207, MATCH(Core_Data!$A92, Physicochemical_Managed!$P$2:$P$207,0), 1)</f>
        <v>5.0000000000000001E-3</v>
      </c>
      <c r="R92" s="424">
        <f>INDEX(Physicochemical_Managed!U$2:U$207, MATCH(Core_Data!$A92, Physicochemical_Managed!$P$2:$P$207,0), 1)</f>
        <v>2.4500000000000002</v>
      </c>
      <c r="S92" s="424">
        <f>INDEX(Physicochemical_Managed!V$2:V$207, MATCH(Core_Data!$A92, Physicochemical_Managed!$P$2:$P$207,0), 1)</f>
        <v>0.04</v>
      </c>
      <c r="T92" s="424">
        <f>INDEX(Physicochemical_Managed!W$2:W$207, MATCH(Core_Data!$A92, Physicochemical_Managed!$P$2:$P$207,0), 1)</f>
        <v>6.0000000000000001E-3</v>
      </c>
      <c r="U92" s="498">
        <f>INDEX(Physicochemical_Managed!X$2:X$207, MATCH(Core_Data!$A92, Physicochemical_Managed!$P$2:$P$207,0), 1)</f>
        <v>0.47499999999999998</v>
      </c>
      <c r="V92" s="504">
        <f>INDEX(qPCR_Unique!W$3:W$118, MATCH(Core_Data!$A92, qPCR_Unique!$D$3:$D$118,0), 1)</f>
        <v>2020.580596394009</v>
      </c>
      <c r="W92" s="505">
        <f>INDEX(qPCR_Unique!X$3:X$118, MATCH(Core_Data!$A92, qPCR_Unique!$D$3:$D$118,0), 1)</f>
        <v>3.305476178149656</v>
      </c>
    </row>
    <row r="93" spans="1:23" s="380" customFormat="1" x14ac:dyDescent="0.3">
      <c r="A93" s="394" t="str">
        <v>RL44391</v>
      </c>
      <c r="B93" s="414" t="str">
        <f t="shared" si="2"/>
        <v>RL</v>
      </c>
      <c r="C93" s="415">
        <f t="shared" si="3"/>
        <v>44391</v>
      </c>
      <c r="D93" s="416">
        <f>INDEX(qPCR_Unique!H$3:H$118, MATCH(Core_Data!$A93, qPCR_Unique!$D$3:$D$118,0), 1)</f>
        <v>415370905.20958984</v>
      </c>
      <c r="E93" s="417">
        <f>INDEX(qPCR_Unique!I$3:I$118, MATCH(Core_Data!$A93, qPCR_Unique!$D$3:$D$118,0), 1)</f>
        <v>8.618436072965924</v>
      </c>
      <c r="F93" s="418">
        <f>INDEX(qPCR_Unique!K$3:K$118, MATCH(Core_Data!$A93, qPCR_Unique!$D$3:$D$118,0), 1)</f>
        <v>235.07587114969888</v>
      </c>
      <c r="G93" s="419">
        <f>INDEX(qPCR_Unique!L$3:L$118, MATCH(Core_Data!$A93, qPCR_Unique!$D$3:$D$118,0), 1)</f>
        <v>2.371208054202266</v>
      </c>
      <c r="H93" s="416">
        <f>INDEX(qPCR_Unique!N$3:N$118, MATCH(Core_Data!$A93, qPCR_Unique!$D$3:$D$118,0), 1)</f>
        <v>243.03815099928113</v>
      </c>
      <c r="I93" s="417">
        <f>INDEX(qPCR_Unique!O$3:O$118, MATCH(Core_Data!$A93, qPCR_Unique!$D$3:$D$118,0), 1)</f>
        <v>2.3856744524787841</v>
      </c>
      <c r="J93" s="418">
        <f>INDEX(qPCR_Unique!Q$3:Q$118, MATCH(Core_Data!$A93, qPCR_Unique!$D$3:$D$118,0), 1)</f>
        <v>913144.19058866287</v>
      </c>
      <c r="K93" s="420">
        <f>INDEX(qPCR_Unique!R$3:R$118, MATCH(Core_Data!$A93, qPCR_Unique!$D$3:$D$118,0), 1)</f>
        <v>5.9605393604835006</v>
      </c>
      <c r="L93" s="421">
        <f>INDEX(qPCR_Unique!T$3:T$118, MATCH(Core_Data!$A93, qPCR_Unique!$D$3:$D$118,0), 1)</f>
        <v>2794.779455939004</v>
      </c>
      <c r="M93" s="422">
        <f>INDEX(qPCR_Unique!U$3:U$118, MATCH(Core_Data!$A93, qPCR_Unique!$D$3:$D$118,0), 1)</f>
        <v>3.4463475421516776</v>
      </c>
      <c r="N93" s="423">
        <f>INDEX(Physicochemical_Managed!Q$2:Q$207, MATCH(Core_Data!$A93, Physicochemical_Managed!$P$2:$P$207,0), 1)</f>
        <v>6.8800000000000008</v>
      </c>
      <c r="O93" s="424">
        <f>INDEX(Physicochemical_Managed!R$2:R$207, MATCH(Core_Data!$A93, Physicochemical_Managed!$P$2:$P$207,0), 1)</f>
        <v>26.55</v>
      </c>
      <c r="P93" s="424">
        <f>INDEX(Physicochemical_Managed!S$2:S$207, MATCH(Core_Data!$A93, Physicochemical_Managed!$P$2:$P$207,0), 1)</f>
        <v>2.4750000000000001</v>
      </c>
      <c r="Q93" s="424">
        <f>INDEX(Physicochemical_Managed!T$2:T$207, MATCH(Core_Data!$A93, Physicochemical_Managed!$P$2:$P$207,0), 1)</f>
        <v>0.02</v>
      </c>
      <c r="R93" s="424">
        <f>INDEX(Physicochemical_Managed!U$2:U$207, MATCH(Core_Data!$A93, Physicochemical_Managed!$P$2:$P$207,0), 1)</f>
        <v>2.6949999999999998</v>
      </c>
      <c r="S93" s="424">
        <f>INDEX(Physicochemical_Managed!V$2:V$207, MATCH(Core_Data!$A93, Physicochemical_Managed!$P$2:$P$207,0), 1)</f>
        <v>1.4999999999999999E-2</v>
      </c>
      <c r="T93" s="424">
        <f>INDEX(Physicochemical_Managed!W$2:W$207, MATCH(Core_Data!$A93, Physicochemical_Managed!$P$2:$P$207,0), 1)</f>
        <v>5.4999999999999997E-3</v>
      </c>
      <c r="U93" s="498">
        <f>INDEX(Physicochemical_Managed!X$2:X$207, MATCH(Core_Data!$A93, Physicochemical_Managed!$P$2:$P$207,0), 1)</f>
        <v>0.45499999999999996</v>
      </c>
      <c r="V93" s="504">
        <f>INDEX(qPCR_Unique!W$3:W$118, MATCH(Core_Data!$A93, qPCR_Unique!$D$3:$D$118,0), 1)</f>
        <v>916417.08406675083</v>
      </c>
      <c r="W93" s="505">
        <f>INDEX(qPCR_Unique!X$3:X$118, MATCH(Core_Data!$A93, qPCR_Unique!$D$3:$D$118,0), 1)</f>
        <v>5.962093176814566</v>
      </c>
    </row>
    <row r="94" spans="1:23" s="380" customFormat="1" x14ac:dyDescent="0.3">
      <c r="A94" s="394" t="str">
        <v>RL44398</v>
      </c>
      <c r="B94" s="414" t="str">
        <f t="shared" si="2"/>
        <v>RL</v>
      </c>
      <c r="C94" s="415">
        <f t="shared" si="3"/>
        <v>44398</v>
      </c>
      <c r="D94" s="416">
        <f>INDEX(qPCR_Unique!H$3:H$118, MATCH(Core_Data!$A94, qPCR_Unique!$D$3:$D$118,0), 1)</f>
        <v>76195180.57230632</v>
      </c>
      <c r="E94" s="417">
        <f>INDEX(qPCR_Unique!I$3:I$118, MATCH(Core_Data!$A94, qPCR_Unique!$D$3:$D$118,0), 1)</f>
        <v>7.8819275026119655</v>
      </c>
      <c r="F94" s="418">
        <f>INDEX(qPCR_Unique!K$3:K$118, MATCH(Core_Data!$A94, qPCR_Unique!$D$3:$D$118,0), 1)</f>
        <v>252.9397249221802</v>
      </c>
      <c r="G94" s="419">
        <f>INDEX(qPCR_Unique!L$3:L$118, MATCH(Core_Data!$A94, qPCR_Unique!$D$3:$D$118,0), 1)</f>
        <v>2.4030170419172112</v>
      </c>
      <c r="H94" s="416">
        <f>INDEX(qPCR_Unique!N$3:N$118, MATCH(Core_Data!$A94, qPCR_Unique!$D$3:$D$118,0), 1)</f>
        <v>0</v>
      </c>
      <c r="I94" s="417">
        <f>INDEX(qPCR_Unique!O$3:O$118, MATCH(Core_Data!$A94, qPCR_Unique!$D$3:$D$118,0), 1)</f>
        <v>0</v>
      </c>
      <c r="J94" s="418">
        <f>INDEX(qPCR_Unique!Q$3:Q$118, MATCH(Core_Data!$A94, qPCR_Unique!$D$3:$D$118,0), 1)</f>
        <v>0</v>
      </c>
      <c r="K94" s="420">
        <f>INDEX(qPCR_Unique!R$3:R$118, MATCH(Core_Data!$A94, qPCR_Unique!$D$3:$D$118,0), 1)</f>
        <v>0</v>
      </c>
      <c r="L94" s="421">
        <f>INDEX(qPCR_Unique!T$3:T$118, MATCH(Core_Data!$A94, qPCR_Unique!$D$3:$D$118,0), 1)</f>
        <v>0</v>
      </c>
      <c r="M94" s="422">
        <f>INDEX(qPCR_Unique!U$3:U$118, MATCH(Core_Data!$A94, qPCR_Unique!$D$3:$D$118,0), 1)</f>
        <v>0</v>
      </c>
      <c r="N94" s="423">
        <f>INDEX(Physicochemical_Managed!Q$2:Q$207, MATCH(Core_Data!$A94, Physicochemical_Managed!$P$2:$P$207,0), 1)</f>
        <v>6.8149999999999995</v>
      </c>
      <c r="O94" s="424">
        <f>INDEX(Physicochemical_Managed!R$2:R$207, MATCH(Core_Data!$A94, Physicochemical_Managed!$P$2:$P$207,0), 1)</f>
        <v>26.85</v>
      </c>
      <c r="P94" s="424">
        <f>INDEX(Physicochemical_Managed!S$2:S$207, MATCH(Core_Data!$A94, Physicochemical_Managed!$P$2:$P$207,0), 1)</f>
        <v>1.85</v>
      </c>
      <c r="Q94" s="424">
        <f>INDEX(Physicochemical_Managed!T$2:T$207, MATCH(Core_Data!$A94, Physicochemical_Managed!$P$2:$P$207,0), 1)</f>
        <v>0.01</v>
      </c>
      <c r="R94" s="424">
        <f>INDEX(Physicochemical_Managed!U$2:U$207, MATCH(Core_Data!$A94, Physicochemical_Managed!$P$2:$P$207,0), 1)</f>
        <v>2.2549999999999999</v>
      </c>
      <c r="S94" s="424">
        <f>INDEX(Physicochemical_Managed!V$2:V$207, MATCH(Core_Data!$A94, Physicochemical_Managed!$P$2:$P$207,0), 1)</f>
        <v>0.02</v>
      </c>
      <c r="T94" s="424">
        <f>INDEX(Physicochemical_Managed!W$2:W$207, MATCH(Core_Data!$A94, Physicochemical_Managed!$P$2:$P$207,0), 1)</f>
        <v>5.4999999999999997E-3</v>
      </c>
      <c r="U94" s="498">
        <f>INDEX(Physicochemical_Managed!X$2:X$207, MATCH(Core_Data!$A94, Physicochemical_Managed!$P$2:$P$207,0), 1)</f>
        <v>0.49</v>
      </c>
      <c r="V94" s="504">
        <f>INDEX(qPCR_Unique!W$3:W$118, MATCH(Core_Data!$A94, qPCR_Unique!$D$3:$D$118,0), 1)</f>
        <v>252.9397249221802</v>
      </c>
      <c r="W94" s="505">
        <f>INDEX(qPCR_Unique!X$3:X$118, MATCH(Core_Data!$A94, qPCR_Unique!$D$3:$D$118,0), 1)</f>
        <v>2.4030170419172112</v>
      </c>
    </row>
    <row r="95" spans="1:23" s="380" customFormat="1" x14ac:dyDescent="0.3">
      <c r="A95" s="394" t="str">
        <v>RL44405</v>
      </c>
      <c r="B95" s="414" t="str">
        <f t="shared" si="2"/>
        <v>RL</v>
      </c>
      <c r="C95" s="415">
        <f t="shared" si="3"/>
        <v>44405</v>
      </c>
      <c r="D95" s="416">
        <f>INDEX(qPCR_Unique!H$3:H$118, MATCH(Core_Data!$A95, qPCR_Unique!$D$3:$D$118,0), 1)</f>
        <v>3173505443.792172</v>
      </c>
      <c r="E95" s="417">
        <f>INDEX(qPCR_Unique!I$3:I$118, MATCH(Core_Data!$A95, qPCR_Unique!$D$3:$D$118,0), 1)</f>
        <v>9.5015392476340228</v>
      </c>
      <c r="F95" s="418">
        <f>INDEX(qPCR_Unique!K$3:K$118, MATCH(Core_Data!$A95, qPCR_Unique!$D$3:$D$118,0), 1)</f>
        <v>23139.209931698319</v>
      </c>
      <c r="G95" s="419">
        <f>INDEX(qPCR_Unique!L$3:L$118, MATCH(Core_Data!$A95, qPCR_Unique!$D$3:$D$118,0), 1)</f>
        <v>4.3643485262595734</v>
      </c>
      <c r="H95" s="416">
        <f>INDEX(qPCR_Unique!N$3:N$118, MATCH(Core_Data!$A95, qPCR_Unique!$D$3:$D$118,0), 1)</f>
        <v>535.57325075315475</v>
      </c>
      <c r="I95" s="417">
        <f>INDEX(qPCR_Unique!O$3:O$118, MATCH(Core_Data!$A95, qPCR_Unique!$D$3:$D$118,0), 1)</f>
        <v>2.7288188780106166</v>
      </c>
      <c r="J95" s="418">
        <f>INDEX(qPCR_Unique!Q$3:Q$118, MATCH(Core_Data!$A95, qPCR_Unique!$D$3:$D$118,0), 1)</f>
        <v>338.15275995354904</v>
      </c>
      <c r="K95" s="420">
        <f>INDEX(qPCR_Unique!R$3:R$118, MATCH(Core_Data!$A95, qPCR_Unique!$D$3:$D$118,0), 1)</f>
        <v>2.5291129364241001</v>
      </c>
      <c r="L95" s="421">
        <f>INDEX(qPCR_Unique!T$3:T$118, MATCH(Core_Data!$A95, qPCR_Unique!$D$3:$D$118,0), 1)</f>
        <v>119.52242072747677</v>
      </c>
      <c r="M95" s="422">
        <f>INDEX(qPCR_Unique!U$3:U$118, MATCH(Core_Data!$A95, qPCR_Unique!$D$3:$D$118,0), 1)</f>
        <v>2.0774493804714829</v>
      </c>
      <c r="N95" s="423">
        <f>INDEX(Physicochemical_Managed!Q$2:Q$207, MATCH(Core_Data!$A95, Physicochemical_Managed!$P$2:$P$207,0), 1)</f>
        <v>6.4649999999999999</v>
      </c>
      <c r="O95" s="424">
        <f>INDEX(Physicochemical_Managed!R$2:R$207, MATCH(Core_Data!$A95, Physicochemical_Managed!$P$2:$P$207,0), 1)</f>
        <v>27.6</v>
      </c>
      <c r="P95" s="424">
        <f>INDEX(Physicochemical_Managed!S$2:S$207, MATCH(Core_Data!$A95, Physicochemical_Managed!$P$2:$P$207,0), 1)</f>
        <v>9.5000000000000001E-2</v>
      </c>
      <c r="Q95" s="424">
        <f>INDEX(Physicochemical_Managed!T$2:T$207, MATCH(Core_Data!$A95, Physicochemical_Managed!$P$2:$P$207,0), 1)</f>
        <v>1.9849999999999999</v>
      </c>
      <c r="R95" s="424">
        <f>INDEX(Physicochemical_Managed!U$2:U$207, MATCH(Core_Data!$A95, Physicochemical_Managed!$P$2:$P$207,0), 1)</f>
        <v>2.1349999999999998</v>
      </c>
      <c r="S95" s="424">
        <f>INDEX(Physicochemical_Managed!V$2:V$207, MATCH(Core_Data!$A95, Physicochemical_Managed!$P$2:$P$207,0), 1)</f>
        <v>0.15</v>
      </c>
      <c r="T95" s="424">
        <f>INDEX(Physicochemical_Managed!W$2:W$207, MATCH(Core_Data!$A95, Physicochemical_Managed!$P$2:$P$207,0), 1)</f>
        <v>7.0000000000000001E-3</v>
      </c>
      <c r="U95" s="498">
        <f>INDEX(Physicochemical_Managed!X$2:X$207, MATCH(Core_Data!$A95, Physicochemical_Managed!$P$2:$P$207,0), 1)</f>
        <v>0.44999999999999996</v>
      </c>
      <c r="V95" s="504">
        <f>INDEX(qPCR_Unique!W$3:W$118, MATCH(Core_Data!$A95, qPCR_Unique!$D$3:$D$118,0), 1)</f>
        <v>24132.458363132497</v>
      </c>
      <c r="W95" s="505">
        <f>INDEX(qPCR_Unique!X$3:X$118, MATCH(Core_Data!$A95, qPCR_Unique!$D$3:$D$118,0), 1)</f>
        <v>4.382601565554058</v>
      </c>
    </row>
    <row r="96" spans="1:23" s="380" customFormat="1" x14ac:dyDescent="0.3">
      <c r="A96" s="394" t="str">
        <v>RL44412</v>
      </c>
      <c r="B96" s="414" t="str">
        <f t="shared" si="2"/>
        <v>RL</v>
      </c>
      <c r="C96" s="415">
        <f t="shared" si="3"/>
        <v>44412</v>
      </c>
      <c r="D96" s="416">
        <f>INDEX(qPCR_Unique!H$3:H$118, MATCH(Core_Data!$A96, qPCR_Unique!$D$3:$D$118,0), 1)</f>
        <v>774557554.21707714</v>
      </c>
      <c r="E96" s="417">
        <f>INDEX(qPCR_Unique!I$3:I$118, MATCH(Core_Data!$A96, qPCR_Unique!$D$3:$D$118,0), 1)</f>
        <v>8.889053693948302</v>
      </c>
      <c r="F96" s="418">
        <f>INDEX(qPCR_Unique!K$3:K$118, MATCH(Core_Data!$A96, qPCR_Unique!$D$3:$D$118,0), 1)</f>
        <v>23453.208923339844</v>
      </c>
      <c r="G96" s="419">
        <f>INDEX(qPCR_Unique!L$3:L$118, MATCH(Core_Data!$A96, qPCR_Unique!$D$3:$D$118,0), 1)</f>
        <v>4.3702022723114844</v>
      </c>
      <c r="H96" s="416">
        <f>INDEX(qPCR_Unique!N$3:N$118, MATCH(Core_Data!$A96, qPCR_Unique!$D$3:$D$118,0), 1)</f>
        <v>4095.562669965956</v>
      </c>
      <c r="I96" s="417">
        <f>INDEX(qPCR_Unique!O$3:O$118, MATCH(Core_Data!$A96, qPCR_Unique!$D$3:$D$118,0), 1)</f>
        <v>3.6123135758582299</v>
      </c>
      <c r="J96" s="418">
        <f>INDEX(qPCR_Unique!Q$3:Q$118, MATCH(Core_Data!$A96, qPCR_Unique!$D$3:$D$118,0), 1)</f>
        <v>845.08628315395777</v>
      </c>
      <c r="K96" s="420">
        <f>INDEX(qPCR_Unique!R$3:R$118, MATCH(Core_Data!$A96, qPCR_Unique!$D$3:$D$118,0), 1)</f>
        <v>2.9269010526001331</v>
      </c>
      <c r="L96" s="421">
        <f>INDEX(qPCR_Unique!T$3:T$118, MATCH(Core_Data!$A96, qPCR_Unique!$D$3:$D$118,0), 1)</f>
        <v>355.20115163591174</v>
      </c>
      <c r="M96" s="422">
        <f>INDEX(qPCR_Unique!U$3:U$118, MATCH(Core_Data!$A96, qPCR_Unique!$D$3:$D$118,0), 1)</f>
        <v>2.550474365181763</v>
      </c>
      <c r="N96" s="423">
        <f>INDEX(Physicochemical_Managed!Q$2:Q$207, MATCH(Core_Data!$A96, Physicochemical_Managed!$P$2:$P$207,0), 1)</f>
        <v>6.9049999999999994</v>
      </c>
      <c r="O96" s="424">
        <f>INDEX(Physicochemical_Managed!R$2:R$207, MATCH(Core_Data!$A96, Physicochemical_Managed!$P$2:$P$207,0), 1)</f>
        <v>27.2</v>
      </c>
      <c r="P96" s="424">
        <f>INDEX(Physicochemical_Managed!S$2:S$207, MATCH(Core_Data!$A96, Physicochemical_Managed!$P$2:$P$207,0), 1)</f>
        <v>7.0000000000000007E-2</v>
      </c>
      <c r="Q96" s="424">
        <f>INDEX(Physicochemical_Managed!T$2:T$207, MATCH(Core_Data!$A96, Physicochemical_Managed!$P$2:$P$207,0), 1)</f>
        <v>2.0199999999999996</v>
      </c>
      <c r="R96" s="424">
        <f>INDEX(Physicochemical_Managed!U$2:U$207, MATCH(Core_Data!$A96, Physicochemical_Managed!$P$2:$P$207,0), 1)</f>
        <v>2.2999999999999998</v>
      </c>
      <c r="S96" s="424">
        <f>INDEX(Physicochemical_Managed!V$2:V$207, MATCH(Core_Data!$A96, Physicochemical_Managed!$P$2:$P$207,0), 1)</f>
        <v>0.16500000000000001</v>
      </c>
      <c r="T96" s="424">
        <f>INDEX(Physicochemical_Managed!W$2:W$207, MATCH(Core_Data!$A96, Physicochemical_Managed!$P$2:$P$207,0), 1)</f>
        <v>7.0000000000000001E-3</v>
      </c>
      <c r="U96" s="498">
        <f>INDEX(Physicochemical_Managed!X$2:X$207, MATCH(Core_Data!$A96, Physicochemical_Managed!$P$2:$P$207,0), 1)</f>
        <v>0.47</v>
      </c>
      <c r="V96" s="504">
        <f>INDEX(qPCR_Unique!W$3:W$118, MATCH(Core_Data!$A96, qPCR_Unique!$D$3:$D$118,0), 1)</f>
        <v>28749.059028095668</v>
      </c>
      <c r="W96" s="505">
        <f>INDEX(qPCR_Unique!X$3:X$118, MATCH(Core_Data!$A96, qPCR_Unique!$D$3:$D$118,0), 1)</f>
        <v>4.4586236345702259</v>
      </c>
    </row>
    <row r="97" spans="1:23" s="380" customFormat="1" x14ac:dyDescent="0.3">
      <c r="A97" s="394" t="str">
        <v>RL44419</v>
      </c>
      <c r="B97" s="414" t="str">
        <f t="shared" si="2"/>
        <v>RL</v>
      </c>
      <c r="C97" s="415">
        <f t="shared" si="3"/>
        <v>44419</v>
      </c>
      <c r="D97" s="416">
        <f>INDEX(qPCR_Unique!H$3:H$118, MATCH(Core_Data!$A97, qPCR_Unique!$D$3:$D$118,0), 1)</f>
        <v>43430463.771791816</v>
      </c>
      <c r="E97" s="417">
        <f>INDEX(qPCR_Unique!I$3:I$118, MATCH(Core_Data!$A97, qPCR_Unique!$D$3:$D$118,0), 1)</f>
        <v>7.6377944669964597</v>
      </c>
      <c r="F97" s="418">
        <f>INDEX(qPCR_Unique!K$3:K$118, MATCH(Core_Data!$A97, qPCR_Unique!$D$3:$D$118,0), 1)</f>
        <v>10669.250700208877</v>
      </c>
      <c r="G97" s="419">
        <f>INDEX(qPCR_Unique!L$3:L$118, MATCH(Core_Data!$A97, qPCR_Unique!$D$3:$D$118,0), 1)</f>
        <v>4.0281339200625865</v>
      </c>
      <c r="H97" s="416">
        <f>INDEX(qPCR_Unique!N$3:N$118, MATCH(Core_Data!$A97, qPCR_Unique!$D$3:$D$118,0), 1)</f>
        <v>1108.0127424663967</v>
      </c>
      <c r="I97" s="417">
        <f>INDEX(qPCR_Unique!O$3:O$118, MATCH(Core_Data!$A97, qPCR_Unique!$D$3:$D$118,0), 1)</f>
        <v>3.0445447549330433</v>
      </c>
      <c r="J97" s="418">
        <f>INDEX(qPCR_Unique!Q$3:Q$118, MATCH(Core_Data!$A97, qPCR_Unique!$D$3:$D$118,0), 1)</f>
        <v>2564.7217432657872</v>
      </c>
      <c r="K97" s="420">
        <f>INDEX(qPCR_Unique!R$3:R$118, MATCH(Core_Data!$A97, qPCR_Unique!$D$3:$D$118,0), 1)</f>
        <v>3.4090402536897542</v>
      </c>
      <c r="L97" s="421">
        <f>INDEX(qPCR_Unique!T$3:T$118, MATCH(Core_Data!$A97, qPCR_Unique!$D$3:$D$118,0), 1)</f>
        <v>0</v>
      </c>
      <c r="M97" s="422">
        <f>INDEX(qPCR_Unique!U$3:U$118, MATCH(Core_Data!$A97, qPCR_Unique!$D$3:$D$118,0), 1)</f>
        <v>0</v>
      </c>
      <c r="N97" s="423">
        <f>INDEX(Physicochemical_Managed!Q$2:Q$207, MATCH(Core_Data!$A97, Physicochemical_Managed!$P$2:$P$207,0), 1)</f>
        <v>6.4049999999999994</v>
      </c>
      <c r="O97" s="424">
        <f>INDEX(Physicochemical_Managed!R$2:R$207, MATCH(Core_Data!$A97, Physicochemical_Managed!$P$2:$P$207,0), 1)</f>
        <v>27.950000000000003</v>
      </c>
      <c r="P97" s="424">
        <f>INDEX(Physicochemical_Managed!S$2:S$207, MATCH(Core_Data!$A97, Physicochemical_Managed!$P$2:$P$207,0), 1)</f>
        <v>0.125</v>
      </c>
      <c r="Q97" s="424">
        <f>INDEX(Physicochemical_Managed!T$2:T$207, MATCH(Core_Data!$A97, Physicochemical_Managed!$P$2:$P$207,0), 1)</f>
        <v>1.855</v>
      </c>
      <c r="R97" s="424">
        <f>INDEX(Physicochemical_Managed!U$2:U$207, MATCH(Core_Data!$A97, Physicochemical_Managed!$P$2:$P$207,0), 1)</f>
        <v>2.0350000000000001</v>
      </c>
      <c r="S97" s="424">
        <f>INDEX(Physicochemical_Managed!V$2:V$207, MATCH(Core_Data!$A97, Physicochemical_Managed!$P$2:$P$207,0), 1)</f>
        <v>0.15000000000000002</v>
      </c>
      <c r="T97" s="424">
        <f>INDEX(Physicochemical_Managed!W$2:W$207, MATCH(Core_Data!$A97, Physicochemical_Managed!$P$2:$P$207,0), 1)</f>
        <v>7.4999999999999997E-3</v>
      </c>
      <c r="U97" s="498">
        <f>INDEX(Physicochemical_Managed!X$2:X$207, MATCH(Core_Data!$A97, Physicochemical_Managed!$P$2:$P$207,0), 1)</f>
        <v>0.5</v>
      </c>
      <c r="V97" s="504">
        <f>INDEX(qPCR_Unique!W$3:W$118, MATCH(Core_Data!$A97, qPCR_Unique!$D$3:$D$118,0), 1)</f>
        <v>14341.985185941061</v>
      </c>
      <c r="W97" s="505">
        <f>INDEX(qPCR_Unique!X$3:X$118, MATCH(Core_Data!$A97, qPCR_Unique!$D$3:$D$118,0), 1)</f>
        <v>4.1566092695764247</v>
      </c>
    </row>
    <row r="98" spans="1:23" s="380" customFormat="1" x14ac:dyDescent="0.3">
      <c r="A98" s="394" t="str">
        <v>RL44426</v>
      </c>
      <c r="B98" s="414" t="str">
        <f t="shared" si="2"/>
        <v>RL</v>
      </c>
      <c r="C98" s="415">
        <f t="shared" si="3"/>
        <v>44426</v>
      </c>
      <c r="D98" s="416">
        <f>INDEX(qPCR_Unique!H$3:H$118, MATCH(Core_Data!$A98, qPCR_Unique!$D$3:$D$118,0), 1)</f>
        <v>1364663550.2241735</v>
      </c>
      <c r="E98" s="417">
        <f>INDEX(qPCR_Unique!I$3:I$118, MATCH(Core_Data!$A98, qPCR_Unique!$D$3:$D$118,0), 1)</f>
        <v>9.1350255918222683</v>
      </c>
      <c r="F98" s="418">
        <f>INDEX(qPCR_Unique!K$3:K$118, MATCH(Core_Data!$A98, qPCR_Unique!$D$3:$D$118,0), 1)</f>
        <v>72013.959660642082</v>
      </c>
      <c r="G98" s="419">
        <f>INDEX(qPCR_Unique!L$3:L$118, MATCH(Core_Data!$A98, qPCR_Unique!$D$3:$D$118,0), 1)</f>
        <v>4.8574166910971099</v>
      </c>
      <c r="H98" s="416">
        <f>INDEX(qPCR_Unique!N$3:N$118, MATCH(Core_Data!$A98, qPCR_Unique!$D$3:$D$118,0), 1)</f>
        <v>2842.1932646538362</v>
      </c>
      <c r="I98" s="417">
        <f>INDEX(qPCR_Unique!O$3:O$118, MATCH(Core_Data!$A98, qPCR_Unique!$D$3:$D$118,0), 1)</f>
        <v>3.4536536059345058</v>
      </c>
      <c r="J98" s="418">
        <f>INDEX(qPCR_Unique!Q$3:Q$118, MATCH(Core_Data!$A98, qPCR_Unique!$D$3:$D$118,0), 1)</f>
        <v>365.84675312042236</v>
      </c>
      <c r="K98" s="420">
        <f>INDEX(qPCR_Unique!R$3:R$118, MATCH(Core_Data!$A98, qPCR_Unique!$D$3:$D$118,0), 1)</f>
        <v>2.5632992050352823</v>
      </c>
      <c r="L98" s="421">
        <f>INDEX(qPCR_Unique!T$3:T$118, MATCH(Core_Data!$A98, qPCR_Unique!$D$3:$D$118,0), 1)</f>
        <v>0</v>
      </c>
      <c r="M98" s="422">
        <f>INDEX(qPCR_Unique!U$3:U$118, MATCH(Core_Data!$A98, qPCR_Unique!$D$3:$D$118,0), 1)</f>
        <v>0</v>
      </c>
      <c r="N98" s="423">
        <f>INDEX(Physicochemical_Managed!Q$2:Q$207, MATCH(Core_Data!$A98, Physicochemical_Managed!$P$2:$P$207,0), 1)</f>
        <v>6.8849999999999998</v>
      </c>
      <c r="O98" s="424">
        <f>INDEX(Physicochemical_Managed!R$2:R$207, MATCH(Core_Data!$A98, Physicochemical_Managed!$P$2:$P$207,0), 1)</f>
        <v>27.35</v>
      </c>
      <c r="P98" s="424">
        <f>INDEX(Physicochemical_Managed!S$2:S$207, MATCH(Core_Data!$A98, Physicochemical_Managed!$P$2:$P$207,0), 1)</f>
        <v>6.5000000000000002E-2</v>
      </c>
      <c r="Q98" s="424">
        <f>INDEX(Physicochemical_Managed!T$2:T$207, MATCH(Core_Data!$A98, Physicochemical_Managed!$P$2:$P$207,0), 1)</f>
        <v>1.87</v>
      </c>
      <c r="R98" s="424">
        <f>INDEX(Physicochemical_Managed!U$2:U$207, MATCH(Core_Data!$A98, Physicochemical_Managed!$P$2:$P$207,0), 1)</f>
        <v>2.2000000000000002</v>
      </c>
      <c r="S98" s="424">
        <f>INDEX(Physicochemical_Managed!V$2:V$207, MATCH(Core_Data!$A98, Physicochemical_Managed!$P$2:$P$207,0), 1)</f>
        <v>0.23</v>
      </c>
      <c r="T98" s="424">
        <f>INDEX(Physicochemical_Managed!W$2:W$207, MATCH(Core_Data!$A98, Physicochemical_Managed!$P$2:$P$207,0), 1)</f>
        <v>2E-3</v>
      </c>
      <c r="U98" s="498">
        <f>INDEX(Physicochemical_Managed!X$2:X$207, MATCH(Core_Data!$A98, Physicochemical_Managed!$P$2:$P$207,0), 1)</f>
        <v>0.375</v>
      </c>
      <c r="V98" s="504">
        <f>INDEX(qPCR_Unique!W$3:W$118, MATCH(Core_Data!$A98, qPCR_Unique!$D$3:$D$118,0), 1)</f>
        <v>75221.999678416338</v>
      </c>
      <c r="W98" s="505">
        <f>INDEX(qPCR_Unique!X$3:X$118, MATCH(Core_Data!$A98, qPCR_Unique!$D$3:$D$118,0), 1)</f>
        <v>4.8763448743902673</v>
      </c>
    </row>
    <row r="99" spans="1:23" s="380" customFormat="1" ht="16.350000000000001" thickBot="1" x14ac:dyDescent="0.35">
      <c r="A99" s="395" t="str">
        <v>RL44433</v>
      </c>
      <c r="B99" s="425" t="str">
        <f t="shared" si="2"/>
        <v>RL</v>
      </c>
      <c r="C99" s="426">
        <f t="shared" si="3"/>
        <v>44433</v>
      </c>
      <c r="D99" s="427">
        <f>INDEX(qPCR_Unique!H$3:H$118, MATCH(Core_Data!$A99, qPCR_Unique!$D$3:$D$118,0), 1)</f>
        <v>596329571.0607121</v>
      </c>
      <c r="E99" s="428">
        <f>INDEX(qPCR_Unique!I$3:I$118, MATCH(Core_Data!$A99, qPCR_Unique!$D$3:$D$118,0), 1)</f>
        <v>8.7754863458710872</v>
      </c>
      <c r="F99" s="429">
        <f>INDEX(qPCR_Unique!K$3:K$118, MATCH(Core_Data!$A99, qPCR_Unique!$D$3:$D$118,0), 1)</f>
        <v>14006.673435996219</v>
      </c>
      <c r="G99" s="430">
        <f>INDEX(qPCR_Unique!L$3:L$118, MATCH(Core_Data!$A99, qPCR_Unique!$D$3:$D$118,0), 1)</f>
        <v>4.1463350032418775</v>
      </c>
      <c r="H99" s="427">
        <f>INDEX(qPCR_Unique!N$3:N$118, MATCH(Core_Data!$A99, qPCR_Unique!$D$3:$D$118,0), 1)</f>
        <v>64.542824133283148</v>
      </c>
      <c r="I99" s="428">
        <f>INDEX(qPCR_Unique!O$3:O$118, MATCH(Core_Data!$A99, qPCR_Unique!$D$3:$D$118,0), 1)</f>
        <v>1.8098479644559737</v>
      </c>
      <c r="J99" s="429">
        <f>INDEX(qPCR_Unique!Q$3:Q$118, MATCH(Core_Data!$A99, qPCR_Unique!$D$3:$D$118,0), 1)</f>
        <v>0</v>
      </c>
      <c r="K99" s="431">
        <f>INDEX(qPCR_Unique!R$3:R$118, MATCH(Core_Data!$A99, qPCR_Unique!$D$3:$D$118,0), 1)</f>
        <v>0</v>
      </c>
      <c r="L99" s="432">
        <f>INDEX(qPCR_Unique!T$3:T$118, MATCH(Core_Data!$A99, qPCR_Unique!$D$3:$D$118,0), 1)</f>
        <v>0</v>
      </c>
      <c r="M99" s="433">
        <f>INDEX(qPCR_Unique!U$3:U$118, MATCH(Core_Data!$A99, qPCR_Unique!$D$3:$D$118,0), 1)</f>
        <v>0</v>
      </c>
      <c r="N99" s="434">
        <f>INDEX(Physicochemical_Managed!Q$2:Q$207, MATCH(Core_Data!$A99, Physicochemical_Managed!$P$2:$P$207,0), 1)</f>
        <v>7.0049999999999999</v>
      </c>
      <c r="O99" s="435">
        <f>INDEX(Physicochemical_Managed!R$2:R$207, MATCH(Core_Data!$A99, Physicochemical_Managed!$P$2:$P$207,0), 1)</f>
        <v>27.95</v>
      </c>
      <c r="P99" s="435">
        <f>INDEX(Physicochemical_Managed!S$2:S$207, MATCH(Core_Data!$A99, Physicochemical_Managed!$P$2:$P$207,0), 1)</f>
        <v>6.0000000000000005E-2</v>
      </c>
      <c r="Q99" s="435">
        <f>INDEX(Physicochemical_Managed!T$2:T$207, MATCH(Core_Data!$A99, Physicochemical_Managed!$P$2:$P$207,0), 1)</f>
        <v>1.34</v>
      </c>
      <c r="R99" s="435">
        <f>INDEX(Physicochemical_Managed!U$2:U$207, MATCH(Core_Data!$A99, Physicochemical_Managed!$P$2:$P$207,0), 1)</f>
        <v>1.3050000000000002</v>
      </c>
      <c r="S99" s="435">
        <f>INDEX(Physicochemical_Managed!V$2:V$207, MATCH(Core_Data!$A99, Physicochemical_Managed!$P$2:$P$207,0), 1)</f>
        <v>0.17</v>
      </c>
      <c r="T99" s="435">
        <f>INDEX(Physicochemical_Managed!W$2:W$207, MATCH(Core_Data!$A99, Physicochemical_Managed!$P$2:$P$207,0), 1)</f>
        <v>4.5000000000000005E-3</v>
      </c>
      <c r="U99" s="499">
        <f>INDEX(Physicochemical_Managed!X$2:X$207, MATCH(Core_Data!$A99, Physicochemical_Managed!$P$2:$P$207,0), 1)</f>
        <v>0.51</v>
      </c>
      <c r="V99" s="510">
        <f>INDEX(qPCR_Unique!W$3:W$118, MATCH(Core_Data!$A99, qPCR_Unique!$D$3:$D$118,0), 1)</f>
        <v>14071.216260129502</v>
      </c>
      <c r="W99" s="511">
        <f>INDEX(qPCR_Unique!X$3:X$118, MATCH(Core_Data!$A99, qPCR_Unique!$D$3:$D$118,0), 1)</f>
        <v>4.1483316377498651</v>
      </c>
    </row>
    <row r="100" spans="1:23" s="380" customFormat="1" x14ac:dyDescent="0.3">
      <c r="A100" s="396" t="str">
        <v>RS44335</v>
      </c>
      <c r="B100" s="436" t="str">
        <f t="shared" si="2"/>
        <v>RS</v>
      </c>
      <c r="C100" s="437">
        <f t="shared" si="3"/>
        <v>44335</v>
      </c>
      <c r="D100" s="438">
        <f>INDEX(qPCR_Unique!H$3:H$118, MATCH(Core_Data!$A100, qPCR_Unique!$D$3:$D$118,0), 1)</f>
        <v>154998246.26978758</v>
      </c>
      <c r="E100" s="439">
        <f>INDEX(qPCR_Unique!I$3:I$118, MATCH(Core_Data!$A100, qPCR_Unique!$D$3:$D$118,0), 1)</f>
        <v>8.1903267843660164</v>
      </c>
      <c r="F100" s="440">
        <f>INDEX(qPCR_Unique!K$3:K$118, MATCH(Core_Data!$A100, qPCR_Unique!$D$3:$D$118,0), 1)</f>
        <v>69693.462332499388</v>
      </c>
      <c r="G100" s="441">
        <f>INDEX(qPCR_Unique!L$3:L$118, MATCH(Core_Data!$A100, qPCR_Unique!$D$3:$D$118,0), 1)</f>
        <v>4.8431920405644897</v>
      </c>
      <c r="H100" s="438">
        <f>INDEX(qPCR_Unique!N$3:N$118, MATCH(Core_Data!$A100, qPCR_Unique!$D$3:$D$118,0), 1)</f>
        <v>23623.736658456812</v>
      </c>
      <c r="I100" s="439">
        <f>INDEX(qPCR_Unique!O$3:O$118, MATCH(Core_Data!$A100, qPCR_Unique!$D$3:$D$118,0), 1)</f>
        <v>4.3733485927609284</v>
      </c>
      <c r="J100" s="440">
        <f>INDEX(qPCR_Unique!Q$3:Q$118, MATCH(Core_Data!$A100, qPCR_Unique!$D$3:$D$118,0), 1)</f>
        <v>340.74119685851423</v>
      </c>
      <c r="K100" s="442">
        <f>INDEX(qPCR_Unique!R$3:R$118, MATCH(Core_Data!$A100, qPCR_Unique!$D$3:$D$118,0), 1)</f>
        <v>2.5324246445355993</v>
      </c>
      <c r="L100" s="443">
        <f>INDEX(qPCR_Unique!T$3:T$118, MATCH(Core_Data!$A100, qPCR_Unique!$D$3:$D$118,0), 1)</f>
        <v>115924.07826295833</v>
      </c>
      <c r="M100" s="444">
        <f>INDEX(qPCR_Unique!U$3:U$118, MATCH(Core_Data!$A100, qPCR_Unique!$D$3:$D$118,0), 1)</f>
        <v>5.0641736514136264</v>
      </c>
      <c r="N100" s="445">
        <f>INDEX(Physicochemical_Managed!Q$2:Q$207, MATCH(Core_Data!$A100, Physicochemical_Managed!$P$2:$P$207,0), 1)</f>
        <v>6.7850000000000001</v>
      </c>
      <c r="O100" s="446">
        <f>INDEX(Physicochemical_Managed!R$2:R$207, MATCH(Core_Data!$A100, Physicochemical_Managed!$P$2:$P$207,0), 1)</f>
        <v>22.85</v>
      </c>
      <c r="P100" s="446">
        <f>INDEX(Physicochemical_Managed!S$2:S$207, MATCH(Core_Data!$A100, Physicochemical_Managed!$P$2:$P$207,0), 1)</f>
        <v>0.08</v>
      </c>
      <c r="Q100" s="446">
        <f>INDEX(Physicochemical_Managed!T$2:T$207, MATCH(Core_Data!$A100, Physicochemical_Managed!$P$2:$P$207,0), 1)</f>
        <v>1.01</v>
      </c>
      <c r="R100" s="446">
        <f>INDEX(Physicochemical_Managed!U$2:U$207, MATCH(Core_Data!$A100, Physicochemical_Managed!$P$2:$P$207,0), 1)</f>
        <v>1.0649999999999999</v>
      </c>
      <c r="S100" s="446">
        <f>INDEX(Physicochemical_Managed!V$2:V$207, MATCH(Core_Data!$A100, Physicochemical_Managed!$P$2:$P$207,0), 1)</f>
        <v>0.25</v>
      </c>
      <c r="T100" s="446">
        <f>INDEX(Physicochemical_Managed!W$2:W$207, MATCH(Core_Data!$A100, Physicochemical_Managed!$P$2:$P$207,0), 1)</f>
        <v>7.4999999999999997E-3</v>
      </c>
      <c r="U100" s="500">
        <f>INDEX(Physicochemical_Managed!X$2:X$207, MATCH(Core_Data!$A100, Physicochemical_Managed!$P$2:$P$207,0), 1)</f>
        <v>0.435</v>
      </c>
      <c r="V100" s="512">
        <f>INDEX(qPCR_Unique!W$3:W$118, MATCH(Core_Data!$A100, qPCR_Unique!$D$3:$D$118,0), 1)</f>
        <v>209582.01845077303</v>
      </c>
      <c r="W100" s="513">
        <f>INDEX(qPCR_Unique!X$3:X$118, MATCH(Core_Data!$A100, qPCR_Unique!$D$3:$D$118,0), 1)</f>
        <v>5.3213540186618644</v>
      </c>
    </row>
    <row r="101" spans="1:23" s="380" customFormat="1" x14ac:dyDescent="0.3">
      <c r="A101" s="397" t="str">
        <v>RS44342</v>
      </c>
      <c r="B101" s="447" t="str">
        <f t="shared" si="2"/>
        <v>RS</v>
      </c>
      <c r="C101" s="448">
        <f t="shared" si="3"/>
        <v>44342</v>
      </c>
      <c r="D101" s="449">
        <f>INDEX(qPCR_Unique!H$3:H$118, MATCH(Core_Data!$A101, qPCR_Unique!$D$3:$D$118,0), 1)</f>
        <v>670230508.91361952</v>
      </c>
      <c r="E101" s="450">
        <f>INDEX(qPCR_Unique!I$3:I$118, MATCH(Core_Data!$A101, qPCR_Unique!$D$3:$D$118,0), 1)</f>
        <v>8.8262241930475405</v>
      </c>
      <c r="F101" s="451">
        <f>INDEX(qPCR_Unique!K$3:K$118, MATCH(Core_Data!$A101, qPCR_Unique!$D$3:$D$118,0), 1)</f>
        <v>91614.980909559454</v>
      </c>
      <c r="G101" s="452">
        <f>INDEX(qPCR_Unique!L$3:L$118, MATCH(Core_Data!$A101, qPCR_Unique!$D$3:$D$118,0), 1)</f>
        <v>4.9619664954406089</v>
      </c>
      <c r="H101" s="449">
        <f>INDEX(qPCR_Unique!N$3:N$118, MATCH(Core_Data!$A101, qPCR_Unique!$D$3:$D$118,0), 1)</f>
        <v>44257.850223117406</v>
      </c>
      <c r="I101" s="450">
        <f>INDEX(qPCR_Unique!O$3:O$118, MATCH(Core_Data!$A101, qPCR_Unique!$D$3:$D$118,0), 1)</f>
        <v>4.6459903147220061</v>
      </c>
      <c r="J101" s="451">
        <f>INDEX(qPCR_Unique!Q$3:Q$118, MATCH(Core_Data!$A101, qPCR_Unique!$D$3:$D$118,0), 1)</f>
        <v>0</v>
      </c>
      <c r="K101" s="453">
        <f>INDEX(qPCR_Unique!R$3:R$118, MATCH(Core_Data!$A101, qPCR_Unique!$D$3:$D$118,0), 1)</f>
        <v>0</v>
      </c>
      <c r="L101" s="454">
        <f>INDEX(qPCR_Unique!T$3:T$118, MATCH(Core_Data!$A101, qPCR_Unique!$D$3:$D$118,0), 1)</f>
        <v>231277.60484483506</v>
      </c>
      <c r="M101" s="455">
        <f>INDEX(qPCR_Unique!U$3:U$118, MATCH(Core_Data!$A101, qPCR_Unique!$D$3:$D$118,0), 1)</f>
        <v>5.3641335810490691</v>
      </c>
      <c r="N101" s="456">
        <f>INDEX(Physicochemical_Managed!Q$2:Q$207, MATCH(Core_Data!$A101, Physicochemical_Managed!$P$2:$P$207,0), 1)</f>
        <v>6.7050000000000001</v>
      </c>
      <c r="O101" s="457">
        <f>INDEX(Physicochemical_Managed!R$2:R$207, MATCH(Core_Data!$A101, Physicochemical_Managed!$P$2:$P$207,0), 1)</f>
        <v>23.15</v>
      </c>
      <c r="P101" s="457">
        <f>INDEX(Physicochemical_Managed!S$2:S$207, MATCH(Core_Data!$A101, Physicochemical_Managed!$P$2:$P$207,0), 1)</f>
        <v>0.05</v>
      </c>
      <c r="Q101" s="457">
        <f>INDEX(Physicochemical_Managed!T$2:T$207, MATCH(Core_Data!$A101, Physicochemical_Managed!$P$2:$P$207,0), 1)</f>
        <v>0.90500000000000003</v>
      </c>
      <c r="R101" s="457">
        <f>INDEX(Physicochemical_Managed!U$2:U$207, MATCH(Core_Data!$A101, Physicochemical_Managed!$P$2:$P$207,0), 1)</f>
        <v>1.2450000000000001</v>
      </c>
      <c r="S101" s="457">
        <f>INDEX(Physicochemical_Managed!V$2:V$207, MATCH(Core_Data!$A101, Physicochemical_Managed!$P$2:$P$207,0), 1)</f>
        <v>0.23499999999999999</v>
      </c>
      <c r="T101" s="457">
        <f>INDEX(Physicochemical_Managed!W$2:W$207, MATCH(Core_Data!$A101, Physicochemical_Managed!$P$2:$P$207,0), 1)</f>
        <v>3.5000000000000001E-3</v>
      </c>
      <c r="U101" s="501">
        <f>INDEX(Physicochemical_Managed!X$2:X$207, MATCH(Core_Data!$A101, Physicochemical_Managed!$P$2:$P$207,0), 1)</f>
        <v>0.53</v>
      </c>
      <c r="V101" s="514">
        <f>INDEX(qPCR_Unique!W$3:W$118, MATCH(Core_Data!$A101, qPCR_Unique!$D$3:$D$118,0), 1)</f>
        <v>367150.43597751192</v>
      </c>
      <c r="W101" s="515">
        <f>INDEX(qPCR_Unique!X$3:X$118, MATCH(Core_Data!$A101, qPCR_Unique!$D$3:$D$118,0), 1)</f>
        <v>5.5648440482527137</v>
      </c>
    </row>
    <row r="102" spans="1:23" s="380" customFormat="1" x14ac:dyDescent="0.3">
      <c r="A102" s="397" t="str">
        <v>RS44350</v>
      </c>
      <c r="B102" s="447" t="str">
        <f t="shared" si="2"/>
        <v>RS</v>
      </c>
      <c r="C102" s="448">
        <f t="shared" si="3"/>
        <v>44350</v>
      </c>
      <c r="D102" s="449">
        <f>INDEX(qPCR_Unique!H$3:H$118, MATCH(Core_Data!$A102, qPCR_Unique!$D$3:$D$118,0), 1)</f>
        <v>16876936944.962345</v>
      </c>
      <c r="E102" s="450">
        <f>INDEX(qPCR_Unique!I$3:I$118, MATCH(Core_Data!$A102, qPCR_Unique!$D$3:$D$118,0), 1)</f>
        <v>10.227293627798474</v>
      </c>
      <c r="F102" s="451">
        <f>INDEX(qPCR_Unique!K$3:K$118, MATCH(Core_Data!$A102, qPCR_Unique!$D$3:$D$118,0), 1)</f>
        <v>414279.88644454628</v>
      </c>
      <c r="G102" s="452">
        <f>INDEX(qPCR_Unique!L$3:L$118, MATCH(Core_Data!$A102, qPCR_Unique!$D$3:$D$118,0), 1)</f>
        <v>5.6172938485331683</v>
      </c>
      <c r="H102" s="449">
        <f>INDEX(qPCR_Unique!N$3:N$118, MATCH(Core_Data!$A102, qPCR_Unique!$D$3:$D$118,0), 1)</f>
        <v>88344.487368309477</v>
      </c>
      <c r="I102" s="450">
        <f>INDEX(qPCR_Unique!O$3:O$118, MATCH(Core_Data!$A102, qPCR_Unique!$D$3:$D$118,0), 1)</f>
        <v>4.9461794550287745</v>
      </c>
      <c r="J102" s="451">
        <f>INDEX(qPCR_Unique!Q$3:Q$118, MATCH(Core_Data!$A102, qPCR_Unique!$D$3:$D$118,0), 1)</f>
        <v>0</v>
      </c>
      <c r="K102" s="453">
        <f>INDEX(qPCR_Unique!R$3:R$118, MATCH(Core_Data!$A102, qPCR_Unique!$D$3:$D$118,0), 1)</f>
        <v>0</v>
      </c>
      <c r="L102" s="454">
        <f>INDEX(qPCR_Unique!T$3:T$118, MATCH(Core_Data!$A102, qPCR_Unique!$D$3:$D$118,0), 1)</f>
        <v>192624.80369821313</v>
      </c>
      <c r="M102" s="455">
        <f>INDEX(qPCR_Unique!U$3:U$118, MATCH(Core_Data!$A102, qPCR_Unique!$D$3:$D$118,0), 1)</f>
        <v>5.2847122091420431</v>
      </c>
      <c r="N102" s="456">
        <f>INDEX(Physicochemical_Managed!Q$2:Q$207, MATCH(Core_Data!$A102, Physicochemical_Managed!$P$2:$P$207,0), 1)</f>
        <v>6.7750000000000004</v>
      </c>
      <c r="O102" s="457">
        <f>INDEX(Physicochemical_Managed!R$2:R$207, MATCH(Core_Data!$A102, Physicochemical_Managed!$P$2:$P$207,0), 1)</f>
        <v>23.799999999999997</v>
      </c>
      <c r="P102" s="457">
        <f>INDEX(Physicochemical_Managed!S$2:S$207, MATCH(Core_Data!$A102, Physicochemical_Managed!$P$2:$P$207,0), 1)</f>
        <v>0.13</v>
      </c>
      <c r="Q102" s="457">
        <f>INDEX(Physicochemical_Managed!T$2:T$207, MATCH(Core_Data!$A102, Physicochemical_Managed!$P$2:$P$207,0), 1)</f>
        <v>0.69</v>
      </c>
      <c r="R102" s="457">
        <f>INDEX(Physicochemical_Managed!U$2:U$207, MATCH(Core_Data!$A102, Physicochemical_Managed!$P$2:$P$207,0), 1)</f>
        <v>0.64500000000000002</v>
      </c>
      <c r="S102" s="457">
        <f>INDEX(Physicochemical_Managed!V$2:V$207, MATCH(Core_Data!$A102, Physicochemical_Managed!$P$2:$P$207,0), 1)</f>
        <v>0.33499999999999996</v>
      </c>
      <c r="T102" s="457">
        <f>INDEX(Physicochemical_Managed!W$2:W$207, MATCH(Core_Data!$A102, Physicochemical_Managed!$P$2:$P$207,0), 1)</f>
        <v>9.4999999999999998E-3</v>
      </c>
      <c r="U102" s="501">
        <f>INDEX(Physicochemical_Managed!X$2:X$207, MATCH(Core_Data!$A102, Physicochemical_Managed!$P$2:$P$207,0), 1)</f>
        <v>0.48</v>
      </c>
      <c r="V102" s="514">
        <f>INDEX(qPCR_Unique!W$3:W$118, MATCH(Core_Data!$A102, qPCR_Unique!$D$3:$D$118,0), 1)</f>
        <v>695249.17751106888</v>
      </c>
      <c r="W102" s="515">
        <f>INDEX(qPCR_Unique!X$3:X$118, MATCH(Core_Data!$A102, qPCR_Unique!$D$3:$D$118,0), 1)</f>
        <v>5.842140483760411</v>
      </c>
    </row>
    <row r="103" spans="1:23" s="380" customFormat="1" x14ac:dyDescent="0.3">
      <c r="A103" s="397" t="str">
        <v>RS44363</v>
      </c>
      <c r="B103" s="447" t="str">
        <f t="shared" si="2"/>
        <v>RS</v>
      </c>
      <c r="C103" s="448">
        <f t="shared" si="3"/>
        <v>44363</v>
      </c>
      <c r="D103" s="449">
        <f>INDEX(qPCR_Unique!H$3:H$118, MATCH(Core_Data!$A103, qPCR_Unique!$D$3:$D$118,0), 1)</f>
        <v>15699138986.446127</v>
      </c>
      <c r="E103" s="450">
        <f>INDEX(qPCR_Unique!I$3:I$118, MATCH(Core_Data!$A103, qPCR_Unique!$D$3:$D$118,0), 1)</f>
        <v>10.195875834339857</v>
      </c>
      <c r="F103" s="451">
        <f>INDEX(qPCR_Unique!K$3:K$118, MATCH(Core_Data!$A103, qPCR_Unique!$D$3:$D$118,0), 1)</f>
        <v>109062.00561523438</v>
      </c>
      <c r="G103" s="452">
        <f>INDEX(qPCR_Unique!L$3:L$118, MATCH(Core_Data!$A103, qPCR_Unique!$D$3:$D$118,0), 1)</f>
        <v>5.0376734799601923</v>
      </c>
      <c r="H103" s="449">
        <f>INDEX(qPCR_Unique!N$3:N$118, MATCH(Core_Data!$A103, qPCR_Unique!$D$3:$D$118,0), 1)</f>
        <v>68823.013305664063</v>
      </c>
      <c r="I103" s="450">
        <f>INDEX(qPCR_Unique!O$3:O$118, MATCH(Core_Data!$A103, qPCR_Unique!$D$3:$D$118,0), 1)</f>
        <v>4.8377336835911153</v>
      </c>
      <c r="J103" s="451">
        <f>INDEX(qPCR_Unique!Q$3:Q$118, MATCH(Core_Data!$A103, qPCR_Unique!$D$3:$D$118,0), 1)</f>
        <v>0</v>
      </c>
      <c r="K103" s="453">
        <f>INDEX(qPCR_Unique!R$3:R$118, MATCH(Core_Data!$A103, qPCR_Unique!$D$3:$D$118,0), 1)</f>
        <v>0</v>
      </c>
      <c r="L103" s="454">
        <f>INDEX(qPCR_Unique!T$3:T$118, MATCH(Core_Data!$A103, qPCR_Unique!$D$3:$D$118,0), 1)</f>
        <v>321984.51843261719</v>
      </c>
      <c r="M103" s="455">
        <f>INDEX(qPCR_Unique!U$3:U$118, MATCH(Core_Data!$A103, qPCR_Unique!$D$3:$D$118,0), 1)</f>
        <v>5.5078349905749517</v>
      </c>
      <c r="N103" s="456">
        <f>INDEX(Physicochemical_Managed!Q$2:Q$207, MATCH(Core_Data!$A103, Physicochemical_Managed!$P$2:$P$207,0), 1)</f>
        <v>6.8900000000000006</v>
      </c>
      <c r="O103" s="457">
        <f>INDEX(Physicochemical_Managed!R$2:R$207, MATCH(Core_Data!$A103, Physicochemical_Managed!$P$2:$P$207,0), 1)</f>
        <v>24.35</v>
      </c>
      <c r="P103" s="457">
        <f>INDEX(Physicochemical_Managed!S$2:S$207, MATCH(Core_Data!$A103, Physicochemical_Managed!$P$2:$P$207,0), 1)</f>
        <v>0.02</v>
      </c>
      <c r="Q103" s="457">
        <f>INDEX(Physicochemical_Managed!T$2:T$207, MATCH(Core_Data!$A103, Physicochemical_Managed!$P$2:$P$207,0), 1)</f>
        <v>1.4999999999999999E-2</v>
      </c>
      <c r="R103" s="457">
        <f>INDEX(Physicochemical_Managed!U$2:U$207, MATCH(Core_Data!$A103, Physicochemical_Managed!$P$2:$P$207,0), 1)</f>
        <v>0.12</v>
      </c>
      <c r="S103" s="457">
        <f>INDEX(Physicochemical_Managed!V$2:V$207, MATCH(Core_Data!$A103, Physicochemical_Managed!$P$2:$P$207,0), 1)</f>
        <v>6.5000000000000002E-2</v>
      </c>
      <c r="T103" s="457">
        <f>INDEX(Physicochemical_Managed!W$2:W$207, MATCH(Core_Data!$A103, Physicochemical_Managed!$P$2:$P$207,0), 1)</f>
        <v>1.3499999999999998E-2</v>
      </c>
      <c r="U103" s="501">
        <f>INDEX(Physicochemical_Managed!X$2:X$207, MATCH(Core_Data!$A103, Physicochemical_Managed!$P$2:$P$207,0), 1)</f>
        <v>0.57000000000000006</v>
      </c>
      <c r="V103" s="514">
        <f>INDEX(qPCR_Unique!W$3:W$118, MATCH(Core_Data!$A103, qPCR_Unique!$D$3:$D$118,0), 1)</f>
        <v>499869.53735351563</v>
      </c>
      <c r="W103" s="515">
        <f>INDEX(qPCR_Unique!X$3:X$118, MATCH(Core_Data!$A103, qPCR_Unique!$D$3:$D$118,0), 1)</f>
        <v>5.6988566711347008</v>
      </c>
    </row>
    <row r="104" spans="1:23" s="380" customFormat="1" x14ac:dyDescent="0.3">
      <c r="A104" s="397" t="str">
        <v>RS44370</v>
      </c>
      <c r="B104" s="447" t="str">
        <f t="shared" si="2"/>
        <v>RS</v>
      </c>
      <c r="C104" s="448">
        <f t="shared" si="3"/>
        <v>44370</v>
      </c>
      <c r="D104" s="449">
        <f>INDEX(qPCR_Unique!H$3:H$118, MATCH(Core_Data!$A104, qPCR_Unique!$D$3:$D$118,0), 1)</f>
        <v>1278923530.0453696</v>
      </c>
      <c r="E104" s="450">
        <f>INDEX(qPCR_Unique!I$3:I$118, MATCH(Core_Data!$A104, qPCR_Unique!$D$3:$D$118,0), 1)</f>
        <v>9.1068445777294933</v>
      </c>
      <c r="F104" s="451">
        <f>INDEX(qPCR_Unique!K$3:K$118, MATCH(Core_Data!$A104, qPCR_Unique!$D$3:$D$118,0), 1)</f>
        <v>54195.428466796875</v>
      </c>
      <c r="G104" s="452">
        <f>INDEX(qPCR_Unique!L$3:L$118, MATCH(Core_Data!$A104, qPCR_Unique!$D$3:$D$118,0), 1)</f>
        <v>4.7339626541513349</v>
      </c>
      <c r="H104" s="449">
        <f>INDEX(qPCR_Unique!N$3:N$118, MATCH(Core_Data!$A104, qPCR_Unique!$D$3:$D$118,0), 1)</f>
        <v>80209.956359863281</v>
      </c>
      <c r="I104" s="450">
        <f>INDEX(qPCR_Unique!O$3:O$118, MATCH(Core_Data!$A104, qPCR_Unique!$D$3:$D$118,0), 1)</f>
        <v>4.9042282800518882</v>
      </c>
      <c r="J104" s="451">
        <f>INDEX(qPCR_Unique!Q$3:Q$118, MATCH(Core_Data!$A104, qPCR_Unique!$D$3:$D$118,0), 1)</f>
        <v>380.12592792510986</v>
      </c>
      <c r="K104" s="453">
        <f>INDEX(qPCR_Unique!R$3:R$118, MATCH(Core_Data!$A104, qPCR_Unique!$D$3:$D$118,0), 1)</f>
        <v>2.5799274933094076</v>
      </c>
      <c r="L104" s="454">
        <f>INDEX(qPCR_Unique!T$3:T$118, MATCH(Core_Data!$A104, qPCR_Unique!$D$3:$D$118,0), 1)</f>
        <v>614565.2099609375</v>
      </c>
      <c r="M104" s="455">
        <f>INDEX(qPCR_Unique!U$3:U$118, MATCH(Core_Data!$A104, qPCR_Unique!$D$3:$D$118,0), 1)</f>
        <v>5.7885679715571321</v>
      </c>
      <c r="N104" s="456">
        <f>INDEX(Physicochemical_Managed!Q$2:Q$207, MATCH(Core_Data!$A104, Physicochemical_Managed!$P$2:$P$207,0), 1)</f>
        <v>7.0600000000000005</v>
      </c>
      <c r="O104" s="457">
        <f>INDEX(Physicochemical_Managed!R$2:R$207, MATCH(Core_Data!$A104, Physicochemical_Managed!$P$2:$P$207,0), 1)</f>
        <v>24.5</v>
      </c>
      <c r="P104" s="457">
        <f>INDEX(Physicochemical_Managed!S$2:S$207, MATCH(Core_Data!$A104, Physicochemical_Managed!$P$2:$P$207,0), 1)</f>
        <v>1.375</v>
      </c>
      <c r="Q104" s="457">
        <f>INDEX(Physicochemical_Managed!T$2:T$207, MATCH(Core_Data!$A104, Physicochemical_Managed!$P$2:$P$207,0), 1)</f>
        <v>0.28500000000000003</v>
      </c>
      <c r="R104" s="457">
        <f>INDEX(Physicochemical_Managed!U$2:U$207, MATCH(Core_Data!$A104, Physicochemical_Managed!$P$2:$P$207,0), 1)</f>
        <v>1.53</v>
      </c>
      <c r="S104" s="457">
        <f>INDEX(Physicochemical_Managed!V$2:V$207, MATCH(Core_Data!$A104, Physicochemical_Managed!$P$2:$P$207,0), 1)</f>
        <v>8.4999999999999992E-2</v>
      </c>
      <c r="T104" s="457">
        <f>INDEX(Physicochemical_Managed!W$2:W$207, MATCH(Core_Data!$A104, Physicochemical_Managed!$P$2:$P$207,0), 1)</f>
        <v>6.0000000000000001E-3</v>
      </c>
      <c r="U104" s="501">
        <f>INDEX(Physicochemical_Managed!X$2:X$207, MATCH(Core_Data!$A104, Physicochemical_Managed!$P$2:$P$207,0), 1)</f>
        <v>0.53500000000000003</v>
      </c>
      <c r="V104" s="514">
        <f>INDEX(qPCR_Unique!W$3:W$118, MATCH(Core_Data!$A104, qPCR_Unique!$D$3:$D$118,0), 1)</f>
        <v>749350.72071552277</v>
      </c>
      <c r="W104" s="515">
        <f>INDEX(qPCR_Unique!X$3:X$118, MATCH(Core_Data!$A104, qPCR_Unique!$D$3:$D$118,0), 1)</f>
        <v>5.8746851293435514</v>
      </c>
    </row>
    <row r="105" spans="1:23" s="380" customFormat="1" x14ac:dyDescent="0.3">
      <c r="A105" s="397" t="str">
        <v>RS44377</v>
      </c>
      <c r="B105" s="447" t="str">
        <f t="shared" si="2"/>
        <v>RS</v>
      </c>
      <c r="C105" s="448">
        <f t="shared" si="3"/>
        <v>44377</v>
      </c>
      <c r="D105" s="449">
        <f>INDEX(qPCR_Unique!H$3:H$118, MATCH(Core_Data!$A105, qPCR_Unique!$D$3:$D$118,0), 1)</f>
        <v>143376061.67969105</v>
      </c>
      <c r="E105" s="450">
        <f>INDEX(qPCR_Unique!I$3:I$118, MATCH(Core_Data!$A105, qPCR_Unique!$D$3:$D$118,0), 1)</f>
        <v>8.15647664681115</v>
      </c>
      <c r="F105" s="451">
        <f>INDEX(qPCR_Unique!K$3:K$118, MATCH(Core_Data!$A105, qPCR_Unique!$D$3:$D$118,0), 1)</f>
        <v>57434.004095447803</v>
      </c>
      <c r="G105" s="452">
        <f>INDEX(qPCR_Unique!L$3:L$118, MATCH(Core_Data!$A105, qPCR_Unique!$D$3:$D$118,0), 1)</f>
        <v>4.7591690948104999</v>
      </c>
      <c r="H105" s="449">
        <f>INDEX(qPCR_Unique!N$3:N$118, MATCH(Core_Data!$A105, qPCR_Unique!$D$3:$D$118,0), 1)</f>
        <v>107100.73275443834</v>
      </c>
      <c r="I105" s="450">
        <f>INDEX(qPCR_Unique!O$3:O$118, MATCH(Core_Data!$A105, qPCR_Unique!$D$3:$D$118,0), 1)</f>
        <v>5.0297924421681817</v>
      </c>
      <c r="J105" s="451">
        <f>INDEX(qPCR_Unique!Q$3:Q$118, MATCH(Core_Data!$A105, qPCR_Unique!$D$3:$D$118,0), 1)</f>
        <v>0</v>
      </c>
      <c r="K105" s="453">
        <f>INDEX(qPCR_Unique!R$3:R$118, MATCH(Core_Data!$A105, qPCR_Unique!$D$3:$D$118,0), 1)</f>
        <v>0</v>
      </c>
      <c r="L105" s="454">
        <f>INDEX(qPCR_Unique!T$3:T$118, MATCH(Core_Data!$A105, qPCR_Unique!$D$3:$D$118,0), 1)</f>
        <v>952376.10366318247</v>
      </c>
      <c r="M105" s="455">
        <f>INDEX(qPCR_Unique!U$3:U$118, MATCH(Core_Data!$A105, qPCR_Unique!$D$3:$D$118,0), 1)</f>
        <v>5.9788084898644929</v>
      </c>
      <c r="N105" s="456">
        <f>INDEX(Physicochemical_Managed!Q$2:Q$207, MATCH(Core_Data!$A105, Physicochemical_Managed!$P$2:$P$207,0), 1)</f>
        <v>7.02</v>
      </c>
      <c r="O105" s="457">
        <f>INDEX(Physicochemical_Managed!R$2:R$207, MATCH(Core_Data!$A105, Physicochemical_Managed!$P$2:$P$207,0), 1)</f>
        <v>24.1</v>
      </c>
      <c r="P105" s="457">
        <f>INDEX(Physicochemical_Managed!S$2:S$207, MATCH(Core_Data!$A105, Physicochemical_Managed!$P$2:$P$207,0), 1)</f>
        <v>1.45</v>
      </c>
      <c r="Q105" s="457">
        <f>INDEX(Physicochemical_Managed!T$2:T$207, MATCH(Core_Data!$A105, Physicochemical_Managed!$P$2:$P$207,0), 1)</f>
        <v>0.06</v>
      </c>
      <c r="R105" s="457">
        <f>INDEX(Physicochemical_Managed!U$2:U$207, MATCH(Core_Data!$A105, Physicochemical_Managed!$P$2:$P$207,0), 1)</f>
        <v>1.615</v>
      </c>
      <c r="S105" s="457">
        <f>INDEX(Physicochemical_Managed!V$2:V$207, MATCH(Core_Data!$A105, Physicochemical_Managed!$P$2:$P$207,0), 1)</f>
        <v>0.08</v>
      </c>
      <c r="T105" s="457">
        <f>INDEX(Physicochemical_Managed!W$2:W$207, MATCH(Core_Data!$A105, Physicochemical_Managed!$P$2:$P$207,0), 1)</f>
        <v>6.0000000000000001E-3</v>
      </c>
      <c r="U105" s="501">
        <f>INDEX(Physicochemical_Managed!X$2:X$207, MATCH(Core_Data!$A105, Physicochemical_Managed!$P$2:$P$207,0), 1)</f>
        <v>0.59</v>
      </c>
      <c r="V105" s="514">
        <f>INDEX(qPCR_Unique!W$3:W$118, MATCH(Core_Data!$A105, qPCR_Unique!$D$3:$D$118,0), 1)</f>
        <v>1116910.8405130687</v>
      </c>
      <c r="W105" s="515">
        <f>INDEX(qPCR_Unique!X$3:X$118, MATCH(Core_Data!$A105, qPCR_Unique!$D$3:$D$118,0), 1)</f>
        <v>6.0480185061338281</v>
      </c>
    </row>
    <row r="106" spans="1:23" s="380" customFormat="1" x14ac:dyDescent="0.3">
      <c r="A106" s="397" t="str">
        <v>RS44385</v>
      </c>
      <c r="B106" s="447" t="str">
        <f t="shared" si="2"/>
        <v>RS</v>
      </c>
      <c r="C106" s="448">
        <f t="shared" si="3"/>
        <v>44385</v>
      </c>
      <c r="D106" s="449">
        <f>INDEX(qPCR_Unique!H$3:H$118, MATCH(Core_Data!$A106, qPCR_Unique!$D$3:$D$118,0), 1)</f>
        <v>16409049987.985281</v>
      </c>
      <c r="E106" s="450">
        <f>INDEX(qPCR_Unique!I$3:I$118, MATCH(Core_Data!$A106, qPCR_Unique!$D$3:$D$118,0), 1)</f>
        <v>10.215083438035487</v>
      </c>
      <c r="F106" s="451">
        <f>INDEX(qPCR_Unique!K$3:K$118, MATCH(Core_Data!$A106, qPCR_Unique!$D$3:$D$118,0), 1)</f>
        <v>77360.772254058669</v>
      </c>
      <c r="G106" s="452">
        <f>INDEX(qPCR_Unique!L$3:L$118, MATCH(Core_Data!$A106, qPCR_Unique!$D$3:$D$118,0), 1)</f>
        <v>4.8885207964420898</v>
      </c>
      <c r="H106" s="449">
        <f>INDEX(qPCR_Unique!N$3:N$118, MATCH(Core_Data!$A106, qPCR_Unique!$D$3:$D$118,0), 1)</f>
        <v>66771.347657093022</v>
      </c>
      <c r="I106" s="450">
        <f>INDEX(qPCR_Unique!O$3:O$118, MATCH(Core_Data!$A106, qPCR_Unique!$D$3:$D$118,0), 1)</f>
        <v>4.8245901417589065</v>
      </c>
      <c r="J106" s="451">
        <f>INDEX(qPCR_Unique!Q$3:Q$118, MATCH(Core_Data!$A106, qPCR_Unique!$D$3:$D$118,0), 1)</f>
        <v>0</v>
      </c>
      <c r="K106" s="453">
        <f>INDEX(qPCR_Unique!R$3:R$118, MATCH(Core_Data!$A106, qPCR_Unique!$D$3:$D$118,0), 1)</f>
        <v>0</v>
      </c>
      <c r="L106" s="454">
        <f>INDEX(qPCR_Unique!T$3:T$118, MATCH(Core_Data!$A106, qPCR_Unique!$D$3:$D$118,0), 1)</f>
        <v>1283609.8329322773</v>
      </c>
      <c r="M106" s="455">
        <f>INDEX(qPCR_Unique!U$3:U$118, MATCH(Core_Data!$A106, qPCR_Unique!$D$3:$D$118,0), 1)</f>
        <v>6.1084330352946665</v>
      </c>
      <c r="N106" s="456">
        <f>INDEX(Physicochemical_Managed!Q$2:Q$207, MATCH(Core_Data!$A106, Physicochemical_Managed!$P$2:$P$207,0), 1)</f>
        <v>6.9949999999999992</v>
      </c>
      <c r="O106" s="457">
        <f>INDEX(Physicochemical_Managed!R$2:R$207, MATCH(Core_Data!$A106, Physicochemical_Managed!$P$2:$P$207,0), 1)</f>
        <v>24.4</v>
      </c>
      <c r="P106" s="457">
        <f>INDEX(Physicochemical_Managed!S$2:S$207, MATCH(Core_Data!$A106, Physicochemical_Managed!$P$2:$P$207,0), 1)</f>
        <v>1.2050000000000001</v>
      </c>
      <c r="Q106" s="457">
        <f>INDEX(Physicochemical_Managed!T$2:T$207, MATCH(Core_Data!$A106, Physicochemical_Managed!$P$2:$P$207,0), 1)</f>
        <v>0.01</v>
      </c>
      <c r="R106" s="457">
        <f>INDEX(Physicochemical_Managed!U$2:U$207, MATCH(Core_Data!$A106, Physicochemical_Managed!$P$2:$P$207,0), 1)</f>
        <v>1.585</v>
      </c>
      <c r="S106" s="457">
        <f>INDEX(Physicochemical_Managed!V$2:V$207, MATCH(Core_Data!$A106, Physicochemical_Managed!$P$2:$P$207,0), 1)</f>
        <v>0.12000000000000001</v>
      </c>
      <c r="T106" s="457">
        <f>INDEX(Physicochemical_Managed!W$2:W$207, MATCH(Core_Data!$A106, Physicochemical_Managed!$P$2:$P$207,0), 1)</f>
        <v>6.0000000000000001E-3</v>
      </c>
      <c r="U106" s="501">
        <f>INDEX(Physicochemical_Managed!X$2:X$207, MATCH(Core_Data!$A106, Physicochemical_Managed!$P$2:$P$207,0), 1)</f>
        <v>0.54499999999999993</v>
      </c>
      <c r="V106" s="514">
        <f>INDEX(qPCR_Unique!W$3:W$118, MATCH(Core_Data!$A106, qPCR_Unique!$D$3:$D$118,0), 1)</f>
        <v>1427741.9528434291</v>
      </c>
      <c r="W106" s="515">
        <f>INDEX(qPCR_Unique!X$3:X$118, MATCH(Core_Data!$A106, qPCR_Unique!$D$3:$D$118,0), 1)</f>
        <v>6.1546497210374449</v>
      </c>
    </row>
    <row r="107" spans="1:23" s="380" customFormat="1" x14ac:dyDescent="0.3">
      <c r="A107" s="397" t="str">
        <v>RS44391</v>
      </c>
      <c r="B107" s="447" t="str">
        <f t="shared" si="2"/>
        <v>RS</v>
      </c>
      <c r="C107" s="448">
        <f t="shared" si="3"/>
        <v>44391</v>
      </c>
      <c r="D107" s="449">
        <f>INDEX(qPCR_Unique!H$3:H$118, MATCH(Core_Data!$A107, qPCR_Unique!$D$3:$D$118,0), 1)</f>
        <v>14338618581.142103</v>
      </c>
      <c r="E107" s="450">
        <f>INDEX(qPCR_Unique!I$3:I$118, MATCH(Core_Data!$A107, qPCR_Unique!$D$3:$D$118,0), 1)</f>
        <v>10.156507312316004</v>
      </c>
      <c r="F107" s="451">
        <f>INDEX(qPCR_Unique!K$3:K$118, MATCH(Core_Data!$A107, qPCR_Unique!$D$3:$D$118,0), 1)</f>
        <v>119424.19139557664</v>
      </c>
      <c r="G107" s="452">
        <f>INDEX(qPCR_Unique!L$3:L$118, MATCH(Core_Data!$A107, qPCR_Unique!$D$3:$D$118,0), 1)</f>
        <v>5.0770923094184184</v>
      </c>
      <c r="H107" s="449">
        <f>INDEX(qPCR_Unique!N$3:N$118, MATCH(Core_Data!$A107, qPCR_Unique!$D$3:$D$118,0), 1)</f>
        <v>148097.27831216069</v>
      </c>
      <c r="I107" s="450">
        <f>INDEX(qPCR_Unique!O$3:O$118, MATCH(Core_Data!$A107, qPCR_Unique!$D$3:$D$118,0), 1)</f>
        <v>5.1705470772594166</v>
      </c>
      <c r="J107" s="451">
        <f>INDEX(qPCR_Unique!Q$3:Q$118, MATCH(Core_Data!$A107, qPCR_Unique!$D$3:$D$118,0), 1)</f>
        <v>386.95036737542404</v>
      </c>
      <c r="K107" s="453">
        <f>INDEX(qPCR_Unique!R$3:R$118, MATCH(Core_Data!$A107, qPCR_Unique!$D$3:$D$118,0), 1)</f>
        <v>2.5876552633204204</v>
      </c>
      <c r="L107" s="454">
        <f>INDEX(qPCR_Unique!T$3:T$118, MATCH(Core_Data!$A107, qPCR_Unique!$D$3:$D$118,0), 1)</f>
        <v>1008360.8018478972</v>
      </c>
      <c r="M107" s="455">
        <f>INDEX(qPCR_Unique!U$3:U$118, MATCH(Core_Data!$A107, qPCR_Unique!$D$3:$D$118,0), 1)</f>
        <v>6.0036159549417007</v>
      </c>
      <c r="N107" s="456">
        <f>INDEX(Physicochemical_Managed!Q$2:Q$207, MATCH(Core_Data!$A107, Physicochemical_Managed!$P$2:$P$207,0), 1)</f>
        <v>6.9450000000000003</v>
      </c>
      <c r="O107" s="457">
        <f>INDEX(Physicochemical_Managed!R$2:R$207, MATCH(Core_Data!$A107, Physicochemical_Managed!$P$2:$P$207,0), 1)</f>
        <v>24.2</v>
      </c>
      <c r="P107" s="457">
        <f>INDEX(Physicochemical_Managed!S$2:S$207, MATCH(Core_Data!$A107, Physicochemical_Managed!$P$2:$P$207,0), 1)</f>
        <v>1.76</v>
      </c>
      <c r="Q107" s="457">
        <f>INDEX(Physicochemical_Managed!T$2:T$207, MATCH(Core_Data!$A107, Physicochemical_Managed!$P$2:$P$207,0), 1)</f>
        <v>0.01</v>
      </c>
      <c r="R107" s="457">
        <f>INDEX(Physicochemical_Managed!U$2:U$207, MATCH(Core_Data!$A107, Physicochemical_Managed!$P$2:$P$207,0), 1)</f>
        <v>1.9350000000000001</v>
      </c>
      <c r="S107" s="457">
        <f>INDEX(Physicochemical_Managed!V$2:V$207, MATCH(Core_Data!$A107, Physicochemical_Managed!$P$2:$P$207,0), 1)</f>
        <v>3.5000000000000003E-2</v>
      </c>
      <c r="T107" s="457">
        <f>INDEX(Physicochemical_Managed!W$2:W$207, MATCH(Core_Data!$A107, Physicochemical_Managed!$P$2:$P$207,0), 1)</f>
        <v>7.0000000000000001E-3</v>
      </c>
      <c r="U107" s="501">
        <f>INDEX(Physicochemical_Managed!X$2:X$207, MATCH(Core_Data!$A107, Physicochemical_Managed!$P$2:$P$207,0), 1)</f>
        <v>0.57000000000000006</v>
      </c>
      <c r="V107" s="514">
        <f>INDEX(qPCR_Unique!W$3:W$118, MATCH(Core_Data!$A107, qPCR_Unique!$D$3:$D$118,0), 1)</f>
        <v>1276269.22192301</v>
      </c>
      <c r="W107" s="515">
        <f>INDEX(qPCR_Unique!X$3:X$118, MATCH(Core_Data!$A107, qPCR_Unique!$D$3:$D$118,0), 1)</f>
        <v>6.1059422960643923</v>
      </c>
    </row>
    <row r="108" spans="1:23" s="380" customFormat="1" x14ac:dyDescent="0.3">
      <c r="A108" s="397" t="str">
        <v>RS44398</v>
      </c>
      <c r="B108" s="447" t="str">
        <f t="shared" si="2"/>
        <v>RS</v>
      </c>
      <c r="C108" s="448">
        <f t="shared" si="3"/>
        <v>44398</v>
      </c>
      <c r="D108" s="449">
        <f>INDEX(qPCR_Unique!H$3:H$118, MATCH(Core_Data!$A108, qPCR_Unique!$D$3:$D$118,0), 1)</f>
        <v>38399491.316661008</v>
      </c>
      <c r="E108" s="450">
        <f>INDEX(qPCR_Unique!I$3:I$118, MATCH(Core_Data!$A108, qPCR_Unique!$D$3:$D$118,0), 1)</f>
        <v>7.584325471246947</v>
      </c>
      <c r="F108" s="451">
        <f>INDEX(qPCR_Unique!K$3:K$118, MATCH(Core_Data!$A108, qPCR_Unique!$D$3:$D$118,0), 1)</f>
        <v>56496.787660018264</v>
      </c>
      <c r="G108" s="452">
        <f>INDEX(qPCR_Unique!L$3:L$118, MATCH(Core_Data!$A108, qPCR_Unique!$D$3:$D$118,0), 1)</f>
        <v>4.7520237550550277</v>
      </c>
      <c r="H108" s="449">
        <f>INDEX(qPCR_Unique!N$3:N$118, MATCH(Core_Data!$A108, qPCR_Unique!$D$3:$D$118,0), 1)</f>
        <v>80147.284466287369</v>
      </c>
      <c r="I108" s="450">
        <f>INDEX(qPCR_Unique!O$3:O$118, MATCH(Core_Data!$A108, qPCR_Unique!$D$3:$D$118,0), 1)</f>
        <v>4.9038888122636424</v>
      </c>
      <c r="J108" s="451">
        <f>INDEX(qPCR_Unique!Q$3:Q$118, MATCH(Core_Data!$A108, qPCR_Unique!$D$3:$D$118,0), 1)</f>
        <v>0</v>
      </c>
      <c r="K108" s="453">
        <f>INDEX(qPCR_Unique!R$3:R$118, MATCH(Core_Data!$A108, qPCR_Unique!$D$3:$D$118,0), 1)</f>
        <v>0</v>
      </c>
      <c r="L108" s="454">
        <f>INDEX(qPCR_Unique!T$3:T$118, MATCH(Core_Data!$A108, qPCR_Unique!$D$3:$D$118,0), 1)</f>
        <v>299398.47412109375</v>
      </c>
      <c r="M108" s="455">
        <f>INDEX(qPCR_Unique!U$3:U$118, MATCH(Core_Data!$A108, qPCR_Unique!$D$3:$D$118,0), 1)</f>
        <v>5.4762495826387045</v>
      </c>
      <c r="N108" s="456">
        <f>INDEX(Physicochemical_Managed!Q$2:Q$207, MATCH(Core_Data!$A108, Physicochemical_Managed!$P$2:$P$207,0), 1)</f>
        <v>6.9250000000000007</v>
      </c>
      <c r="O108" s="457">
        <f>INDEX(Physicochemical_Managed!R$2:R$207, MATCH(Core_Data!$A108, Physicochemical_Managed!$P$2:$P$207,0), 1)</f>
        <v>24.299999999999997</v>
      </c>
      <c r="P108" s="457">
        <f>INDEX(Physicochemical_Managed!S$2:S$207, MATCH(Core_Data!$A108, Physicochemical_Managed!$P$2:$P$207,0), 1)</f>
        <v>1.7349999999999999</v>
      </c>
      <c r="Q108" s="457">
        <f>INDEX(Physicochemical_Managed!T$2:T$207, MATCH(Core_Data!$A108, Physicochemical_Managed!$P$2:$P$207,0), 1)</f>
        <v>0.01</v>
      </c>
      <c r="R108" s="457">
        <f>INDEX(Physicochemical_Managed!U$2:U$207, MATCH(Core_Data!$A108, Physicochemical_Managed!$P$2:$P$207,0), 1)</f>
        <v>1.9650000000000001</v>
      </c>
      <c r="S108" s="457">
        <f>INDEX(Physicochemical_Managed!V$2:V$207, MATCH(Core_Data!$A108, Physicochemical_Managed!$P$2:$P$207,0), 1)</f>
        <v>0.02</v>
      </c>
      <c r="T108" s="457">
        <f>INDEX(Physicochemical_Managed!W$2:W$207, MATCH(Core_Data!$A108, Physicochemical_Managed!$P$2:$P$207,0), 1)</f>
        <v>5.4999999999999997E-3</v>
      </c>
      <c r="U108" s="501">
        <f>INDEX(Physicochemical_Managed!X$2:X$207, MATCH(Core_Data!$A108, Physicochemical_Managed!$P$2:$P$207,0), 1)</f>
        <v>0.59</v>
      </c>
      <c r="V108" s="514">
        <f>INDEX(qPCR_Unique!W$3:W$118, MATCH(Core_Data!$A108, qPCR_Unique!$D$3:$D$118,0), 1)</f>
        <v>436042.54624739941</v>
      </c>
      <c r="W108" s="515">
        <f>INDEX(qPCR_Unique!X$3:X$118, MATCH(Core_Data!$A108, qPCR_Unique!$D$3:$D$118,0), 1)</f>
        <v>5.6395288670185373</v>
      </c>
    </row>
    <row r="109" spans="1:23" s="380" customFormat="1" x14ac:dyDescent="0.3">
      <c r="A109" s="397" t="str">
        <v>RS44405</v>
      </c>
      <c r="B109" s="447" t="str">
        <f t="shared" si="2"/>
        <v>RS</v>
      </c>
      <c r="C109" s="448">
        <f t="shared" si="3"/>
        <v>44405</v>
      </c>
      <c r="D109" s="449">
        <f>INDEX(qPCR_Unique!H$3:H$118, MATCH(Core_Data!$A109, qPCR_Unique!$D$3:$D$118,0), 1)</f>
        <v>6587094752.5368137</v>
      </c>
      <c r="E109" s="450">
        <f>INDEX(qPCR_Unique!I$3:I$118, MATCH(Core_Data!$A109, qPCR_Unique!$D$3:$D$118,0), 1)</f>
        <v>9.8186939106265623</v>
      </c>
      <c r="F109" s="451">
        <f>INDEX(qPCR_Unique!K$3:K$118, MATCH(Core_Data!$A109, qPCR_Unique!$D$3:$D$118,0), 1)</f>
        <v>70088.184959010076</v>
      </c>
      <c r="G109" s="452">
        <f>INDEX(qPCR_Unique!L$3:L$118, MATCH(Core_Data!$A109, qPCR_Unique!$D$3:$D$118,0), 1)</f>
        <v>4.8456448134078149</v>
      </c>
      <c r="H109" s="449">
        <f>INDEX(qPCR_Unique!N$3:N$118, MATCH(Core_Data!$A109, qPCR_Unique!$D$3:$D$118,0), 1)</f>
        <v>107617.26218775699</v>
      </c>
      <c r="I109" s="450">
        <f>INDEX(qPCR_Unique!O$3:O$118, MATCH(Core_Data!$A109, qPCR_Unique!$D$3:$D$118,0), 1)</f>
        <v>5.0318819392819867</v>
      </c>
      <c r="J109" s="451">
        <f>INDEX(qPCR_Unique!Q$3:Q$118, MATCH(Core_Data!$A109, qPCR_Unique!$D$3:$D$118,0), 1)</f>
        <v>388.14637535496757</v>
      </c>
      <c r="K109" s="453">
        <f>INDEX(qPCR_Unique!R$3:R$118, MATCH(Core_Data!$A109, qPCR_Unique!$D$3:$D$118,0), 1)</f>
        <v>2.5889955349263674</v>
      </c>
      <c r="L109" s="454">
        <f>INDEX(qPCR_Unique!T$3:T$118, MATCH(Core_Data!$A109, qPCR_Unique!$D$3:$D$118,0), 1)</f>
        <v>474137.22028230364</v>
      </c>
      <c r="M109" s="455">
        <f>INDEX(qPCR_Unique!U$3:U$118, MATCH(Core_Data!$A109, qPCR_Unique!$D$3:$D$118,0), 1)</f>
        <v>5.6759040492416206</v>
      </c>
      <c r="N109" s="456">
        <f>INDEX(Physicochemical_Managed!Q$2:Q$207, MATCH(Core_Data!$A109, Physicochemical_Managed!$P$2:$P$207,0), 1)</f>
        <v>6.915</v>
      </c>
      <c r="O109" s="457">
        <f>INDEX(Physicochemical_Managed!R$2:R$207, MATCH(Core_Data!$A109, Physicochemical_Managed!$P$2:$P$207,0), 1)</f>
        <v>24.725000000000001</v>
      </c>
      <c r="P109" s="457">
        <f>INDEX(Physicochemical_Managed!S$2:S$207, MATCH(Core_Data!$A109, Physicochemical_Managed!$P$2:$P$207,0), 1)</f>
        <v>0.05</v>
      </c>
      <c r="Q109" s="457">
        <f>INDEX(Physicochemical_Managed!T$2:T$207, MATCH(Core_Data!$A109, Physicochemical_Managed!$P$2:$P$207,0), 1)</f>
        <v>0.60499999999999998</v>
      </c>
      <c r="R109" s="457">
        <f>INDEX(Physicochemical_Managed!U$2:U$207, MATCH(Core_Data!$A109, Physicochemical_Managed!$P$2:$P$207,0), 1)</f>
        <v>0.70500000000000007</v>
      </c>
      <c r="S109" s="457">
        <f>INDEX(Physicochemical_Managed!V$2:V$207, MATCH(Core_Data!$A109, Physicochemical_Managed!$P$2:$P$207,0), 1)</f>
        <v>0.15000000000000002</v>
      </c>
      <c r="T109" s="457">
        <f>INDEX(Physicochemical_Managed!W$2:W$207, MATCH(Core_Data!$A109, Physicochemical_Managed!$P$2:$P$207,0), 1)</f>
        <v>8.0000000000000002E-3</v>
      </c>
      <c r="U109" s="501">
        <f>INDEX(Physicochemical_Managed!X$2:X$207, MATCH(Core_Data!$A109, Physicochemical_Managed!$P$2:$P$207,0), 1)</f>
        <v>0.57499999999999996</v>
      </c>
      <c r="V109" s="514">
        <f>INDEX(qPCR_Unique!W$3:W$118, MATCH(Core_Data!$A109, qPCR_Unique!$D$3:$D$118,0), 1)</f>
        <v>652230.81380442565</v>
      </c>
      <c r="W109" s="515">
        <f>INDEX(qPCR_Unique!X$3:X$118, MATCH(Core_Data!$A109, qPCR_Unique!$D$3:$D$118,0), 1)</f>
        <v>5.8144013126378464</v>
      </c>
    </row>
    <row r="110" spans="1:23" s="380" customFormat="1" x14ac:dyDescent="0.3">
      <c r="A110" s="397" t="str">
        <v>RS44412</v>
      </c>
      <c r="B110" s="447" t="str">
        <f t="shared" si="2"/>
        <v>RS</v>
      </c>
      <c r="C110" s="448">
        <f t="shared" si="3"/>
        <v>44412</v>
      </c>
      <c r="D110" s="449">
        <f>INDEX(qPCR_Unique!H$3:H$118, MATCH(Core_Data!$A110, qPCR_Unique!$D$3:$D$118,0), 1)</f>
        <v>16064625517.928452</v>
      </c>
      <c r="E110" s="450">
        <f>INDEX(qPCR_Unique!I$3:I$118, MATCH(Core_Data!$A110, qPCR_Unique!$D$3:$D$118,0), 1)</f>
        <v>10.205870606178054</v>
      </c>
      <c r="F110" s="451">
        <f>INDEX(qPCR_Unique!K$3:K$118, MATCH(Core_Data!$A110, qPCR_Unique!$D$3:$D$118,0), 1)</f>
        <v>36254.02649412764</v>
      </c>
      <c r="G110" s="452">
        <f>INDEX(qPCR_Unique!L$3:L$118, MATCH(Core_Data!$A110, qPCR_Unique!$D$3:$D$118,0), 1)</f>
        <v>4.5593562477917047</v>
      </c>
      <c r="H110" s="449">
        <f>INDEX(qPCR_Unique!N$3:N$118, MATCH(Core_Data!$A110, qPCR_Unique!$D$3:$D$118,0), 1)</f>
        <v>73374.810011843423</v>
      </c>
      <c r="I110" s="450">
        <f>INDEX(qPCR_Unique!O$3:O$118, MATCH(Core_Data!$A110, qPCR_Unique!$D$3:$D$118,0), 1)</f>
        <v>4.8655469897457584</v>
      </c>
      <c r="J110" s="451">
        <f>INDEX(qPCR_Unique!Q$3:Q$118, MATCH(Core_Data!$A110, qPCR_Unique!$D$3:$D$118,0), 1)</f>
        <v>434.03660997431331</v>
      </c>
      <c r="K110" s="453">
        <f>INDEX(qPCR_Unique!R$3:R$118, MATCH(Core_Data!$A110, qPCR_Unique!$D$3:$D$118,0), 1)</f>
        <v>2.6375263627827059</v>
      </c>
      <c r="L110" s="454">
        <f>INDEX(qPCR_Unique!T$3:T$118, MATCH(Core_Data!$A110, qPCR_Unique!$D$3:$D$118,0), 1)</f>
        <v>179645.90038543052</v>
      </c>
      <c r="M110" s="455">
        <f>INDEX(qPCR_Unique!U$3:U$118, MATCH(Core_Data!$A110, qPCR_Unique!$D$3:$D$118,0), 1)</f>
        <v>5.2544173108237153</v>
      </c>
      <c r="N110" s="456">
        <f>INDEX(Physicochemical_Managed!Q$2:Q$207, MATCH(Core_Data!$A110, Physicochemical_Managed!$P$2:$P$207,0), 1)</f>
        <v>6.875</v>
      </c>
      <c r="O110" s="457">
        <f>INDEX(Physicochemical_Managed!R$2:R$207, MATCH(Core_Data!$A110, Physicochemical_Managed!$P$2:$P$207,0), 1)</f>
        <v>24.6</v>
      </c>
      <c r="P110" s="457">
        <f>INDEX(Physicochemical_Managed!S$2:S$207, MATCH(Core_Data!$A110, Physicochemical_Managed!$P$2:$P$207,0), 1)</f>
        <v>7.0000000000000007E-2</v>
      </c>
      <c r="Q110" s="457">
        <f>INDEX(Physicochemical_Managed!T$2:T$207, MATCH(Core_Data!$A110, Physicochemical_Managed!$P$2:$P$207,0), 1)</f>
        <v>1.02</v>
      </c>
      <c r="R110" s="457">
        <f>INDEX(Physicochemical_Managed!U$2:U$207, MATCH(Core_Data!$A110, Physicochemical_Managed!$P$2:$P$207,0), 1)</f>
        <v>1.105</v>
      </c>
      <c r="S110" s="457">
        <f>INDEX(Physicochemical_Managed!V$2:V$207, MATCH(Core_Data!$A110, Physicochemical_Managed!$P$2:$P$207,0), 1)</f>
        <v>0.20500000000000002</v>
      </c>
      <c r="T110" s="457">
        <f>INDEX(Physicochemical_Managed!W$2:W$207, MATCH(Core_Data!$A110, Physicochemical_Managed!$P$2:$P$207,0), 1)</f>
        <v>7.4999999999999997E-3</v>
      </c>
      <c r="U110" s="501">
        <f>INDEX(Physicochemical_Managed!X$2:X$207, MATCH(Core_Data!$A110, Physicochemical_Managed!$P$2:$P$207,0), 1)</f>
        <v>0.63</v>
      </c>
      <c r="V110" s="514">
        <f>INDEX(qPCR_Unique!W$3:W$118, MATCH(Core_Data!$A110, qPCR_Unique!$D$3:$D$118,0), 1)</f>
        <v>289708.77350137592</v>
      </c>
      <c r="W110" s="515">
        <f>INDEX(qPCR_Unique!X$3:X$118, MATCH(Core_Data!$A110, qPCR_Unique!$D$3:$D$118,0), 1)</f>
        <v>5.4619616475183594</v>
      </c>
    </row>
    <row r="111" spans="1:23" s="380" customFormat="1" x14ac:dyDescent="0.3">
      <c r="A111" s="397" t="str">
        <v>RS44419</v>
      </c>
      <c r="B111" s="447" t="str">
        <f t="shared" si="2"/>
        <v>RS</v>
      </c>
      <c r="C111" s="448">
        <f t="shared" si="3"/>
        <v>44419</v>
      </c>
      <c r="D111" s="449">
        <f>INDEX(qPCR_Unique!H$3:H$118, MATCH(Core_Data!$A111, qPCR_Unique!$D$3:$D$118,0), 1)</f>
        <v>73629304.93827939</v>
      </c>
      <c r="E111" s="450">
        <f>INDEX(qPCR_Unique!I$3:I$118, MATCH(Core_Data!$A111, qPCR_Unique!$D$3:$D$118,0), 1)</f>
        <v>7.8670507007497612</v>
      </c>
      <c r="F111" s="451">
        <f>INDEX(qPCR_Unique!K$3:K$118, MATCH(Core_Data!$A111, qPCR_Unique!$D$3:$D$118,0), 1)</f>
        <v>9661.5081668747735</v>
      </c>
      <c r="G111" s="452">
        <f>INDEX(qPCR_Unique!L$3:L$118, MATCH(Core_Data!$A111, qPCR_Unique!$D$3:$D$118,0), 1)</f>
        <v>3.9850449253209592</v>
      </c>
      <c r="H111" s="449">
        <f>INDEX(qPCR_Unique!N$3:N$118, MATCH(Core_Data!$A111, qPCR_Unique!$D$3:$D$118,0), 1)</f>
        <v>12225.516857450521</v>
      </c>
      <c r="I111" s="450">
        <f>INDEX(qPCR_Unique!O$3:O$118, MATCH(Core_Data!$A111, qPCR_Unique!$D$3:$D$118,0), 1)</f>
        <v>4.0872672288258176</v>
      </c>
      <c r="J111" s="451">
        <f>INDEX(qPCR_Unique!Q$3:Q$118, MATCH(Core_Data!$A111, qPCR_Unique!$D$3:$D$118,0), 1)</f>
        <v>0</v>
      </c>
      <c r="K111" s="453">
        <f>INDEX(qPCR_Unique!R$3:R$118, MATCH(Core_Data!$A111, qPCR_Unique!$D$3:$D$118,0), 1)</f>
        <v>0</v>
      </c>
      <c r="L111" s="454">
        <f>INDEX(qPCR_Unique!T$3:T$118, MATCH(Core_Data!$A111, qPCR_Unique!$D$3:$D$118,0), 1)</f>
        <v>71758.281567209211</v>
      </c>
      <c r="M111" s="455">
        <f>INDEX(qPCR_Unique!U$3:U$118, MATCH(Core_Data!$A111, qPCR_Unique!$D$3:$D$118,0), 1)</f>
        <v>4.8558720298853313</v>
      </c>
      <c r="N111" s="456">
        <f>INDEX(Physicochemical_Managed!Q$2:Q$207, MATCH(Core_Data!$A111, Physicochemical_Managed!$P$2:$P$207,0), 1)</f>
        <v>6.87</v>
      </c>
      <c r="O111" s="457">
        <f>INDEX(Physicochemical_Managed!R$2:R$207, MATCH(Core_Data!$A111, Physicochemical_Managed!$P$2:$P$207,0), 1)</f>
        <v>24.65</v>
      </c>
      <c r="P111" s="457">
        <f>INDEX(Physicochemical_Managed!S$2:S$207, MATCH(Core_Data!$A111, Physicochemical_Managed!$P$2:$P$207,0), 1)</f>
        <v>6.5000000000000002E-2</v>
      </c>
      <c r="Q111" s="457">
        <f>INDEX(Physicochemical_Managed!T$2:T$207, MATCH(Core_Data!$A111, Physicochemical_Managed!$P$2:$P$207,0), 1)</f>
        <v>0.76500000000000001</v>
      </c>
      <c r="R111" s="457">
        <f>INDEX(Physicochemical_Managed!U$2:U$207, MATCH(Core_Data!$A111, Physicochemical_Managed!$P$2:$P$207,0), 1)</f>
        <v>0.67500000000000004</v>
      </c>
      <c r="S111" s="457">
        <f>INDEX(Physicochemical_Managed!V$2:V$207, MATCH(Core_Data!$A111, Physicochemical_Managed!$P$2:$P$207,0), 1)</f>
        <v>0.24</v>
      </c>
      <c r="T111" s="457">
        <f>INDEX(Physicochemical_Managed!W$2:W$207, MATCH(Core_Data!$A111, Physicochemical_Managed!$P$2:$P$207,0), 1)</f>
        <v>7.4999999999999997E-3</v>
      </c>
      <c r="U111" s="501">
        <f>INDEX(Physicochemical_Managed!X$2:X$207, MATCH(Core_Data!$A111, Physicochemical_Managed!$P$2:$P$207,0), 1)</f>
        <v>0.61</v>
      </c>
      <c r="V111" s="514">
        <f>INDEX(qPCR_Unique!W$3:W$118, MATCH(Core_Data!$A111, qPCR_Unique!$D$3:$D$118,0), 1)</f>
        <v>93645.306591534507</v>
      </c>
      <c r="W111" s="515">
        <f>INDEX(qPCR_Unique!X$3:X$118, MATCH(Core_Data!$A111, qPCR_Unique!$D$3:$D$118,0), 1)</f>
        <v>4.9714860158545946</v>
      </c>
    </row>
    <row r="112" spans="1:23" s="380" customFormat="1" x14ac:dyDescent="0.3">
      <c r="A112" s="397" t="str">
        <v>RS44426</v>
      </c>
      <c r="B112" s="447" t="str">
        <f t="shared" si="2"/>
        <v>RS</v>
      </c>
      <c r="C112" s="448">
        <f t="shared" si="3"/>
        <v>44426</v>
      </c>
      <c r="D112" s="449">
        <f>INDEX(qPCR_Unique!H$3:H$118, MATCH(Core_Data!$A112, qPCR_Unique!$D$3:$D$118,0), 1)</f>
        <v>36564198272.898399</v>
      </c>
      <c r="E112" s="450">
        <f>INDEX(qPCR_Unique!I$3:I$118, MATCH(Core_Data!$A112, qPCR_Unique!$D$3:$D$118,0), 1)</f>
        <v>10.563056055280478</v>
      </c>
      <c r="F112" s="451">
        <f>INDEX(qPCR_Unique!K$3:K$118, MATCH(Core_Data!$A112, qPCR_Unique!$D$3:$D$118,0), 1)</f>
        <v>100093.8214373845</v>
      </c>
      <c r="G112" s="452">
        <f>INDEX(qPCR_Unique!L$3:L$118, MATCH(Core_Data!$A112, qPCR_Unique!$D$3:$D$118,0), 1)</f>
        <v>5.0004072703018387</v>
      </c>
      <c r="H112" s="449">
        <f>INDEX(qPCR_Unique!N$3:N$118, MATCH(Core_Data!$A112, qPCR_Unique!$D$3:$D$118,0), 1)</f>
        <v>99557.523944813714</v>
      </c>
      <c r="I112" s="450">
        <f>INDEX(qPCR_Unique!O$3:O$118, MATCH(Core_Data!$A112, qPCR_Unique!$D$3:$D$118,0), 1)</f>
        <v>4.9980740869072635</v>
      </c>
      <c r="J112" s="451">
        <f>INDEX(qPCR_Unique!Q$3:Q$118, MATCH(Core_Data!$A112, qPCR_Unique!$D$3:$D$118,0), 1)</f>
        <v>0</v>
      </c>
      <c r="K112" s="453">
        <f>INDEX(qPCR_Unique!R$3:R$118, MATCH(Core_Data!$A112, qPCR_Unique!$D$3:$D$118,0), 1)</f>
        <v>0</v>
      </c>
      <c r="L112" s="454">
        <f>INDEX(qPCR_Unique!T$3:T$118, MATCH(Core_Data!$A112, qPCR_Unique!$D$3:$D$118,0), 1)</f>
        <v>196949.74913648382</v>
      </c>
      <c r="M112" s="455">
        <f>INDEX(qPCR_Unique!U$3:U$118, MATCH(Core_Data!$A112, qPCR_Unique!$D$3:$D$118,0), 1)</f>
        <v>5.2943554319656219</v>
      </c>
      <c r="N112" s="456">
        <f>INDEX(Physicochemical_Managed!Q$2:Q$207, MATCH(Core_Data!$A112, Physicochemical_Managed!$P$2:$P$207,0), 1)</f>
        <v>6.8599999999999994</v>
      </c>
      <c r="O112" s="457">
        <f>INDEX(Physicochemical_Managed!R$2:R$207, MATCH(Core_Data!$A112, Physicochemical_Managed!$P$2:$P$207,0), 1)</f>
        <v>24.9</v>
      </c>
      <c r="P112" s="457">
        <f>INDEX(Physicochemical_Managed!S$2:S$207, MATCH(Core_Data!$A112, Physicochemical_Managed!$P$2:$P$207,0), 1)</f>
        <v>0.05</v>
      </c>
      <c r="Q112" s="457">
        <f>INDEX(Physicochemical_Managed!T$2:T$207, MATCH(Core_Data!$A112, Physicochemical_Managed!$P$2:$P$207,0), 1)</f>
        <v>0.92500000000000004</v>
      </c>
      <c r="R112" s="457">
        <f>INDEX(Physicochemical_Managed!U$2:U$207, MATCH(Core_Data!$A112, Physicochemical_Managed!$P$2:$P$207,0), 1)</f>
        <v>0.95499999999999996</v>
      </c>
      <c r="S112" s="457">
        <f>INDEX(Physicochemical_Managed!V$2:V$207, MATCH(Core_Data!$A112, Physicochemical_Managed!$P$2:$P$207,0), 1)</f>
        <v>0.23499999999999999</v>
      </c>
      <c r="T112" s="457">
        <f>INDEX(Physicochemical_Managed!W$2:W$207, MATCH(Core_Data!$A112, Physicochemical_Managed!$P$2:$P$207,0), 1)</f>
        <v>7.4999999999999997E-3</v>
      </c>
      <c r="U112" s="501">
        <f>INDEX(Physicochemical_Managed!X$2:X$207, MATCH(Core_Data!$A112, Physicochemical_Managed!$P$2:$P$207,0), 1)</f>
        <v>0.59</v>
      </c>
      <c r="V112" s="514">
        <f>INDEX(qPCR_Unique!W$3:W$118, MATCH(Core_Data!$A112, qPCR_Unique!$D$3:$D$118,0), 1)</f>
        <v>396601.09451868205</v>
      </c>
      <c r="W112" s="515">
        <f>INDEX(qPCR_Unique!X$3:X$118, MATCH(Core_Data!$A112, qPCR_Unique!$D$3:$D$118,0), 1)</f>
        <v>5.5983539084138325</v>
      </c>
    </row>
    <row r="113" spans="1:23" s="380" customFormat="1" ht="16.350000000000001" thickBot="1" x14ac:dyDescent="0.35">
      <c r="A113" s="399" t="str">
        <v>RS44433</v>
      </c>
      <c r="B113" s="469" t="str">
        <f t="shared" si="2"/>
        <v>RS</v>
      </c>
      <c r="C113" s="470">
        <f t="shared" si="3"/>
        <v>44433</v>
      </c>
      <c r="D113" s="471">
        <f>INDEX(qPCR_Unique!H$3:H$118, MATCH(Core_Data!$A113, qPCR_Unique!$D$3:$D$118,0), 1)</f>
        <v>5272134086.2953701</v>
      </c>
      <c r="E113" s="472">
        <f>INDEX(qPCR_Unique!I$3:I$118, MATCH(Core_Data!$A113, qPCR_Unique!$D$3:$D$118,0), 1)</f>
        <v>9.7219864471469641</v>
      </c>
      <c r="F113" s="473">
        <f>INDEX(qPCR_Unique!K$3:K$118, MATCH(Core_Data!$A113, qPCR_Unique!$D$3:$D$118,0), 1)</f>
        <v>38463.906860351563</v>
      </c>
      <c r="G113" s="474">
        <f>INDEX(qPCR_Unique!L$3:L$118, MATCH(Core_Data!$A113, qPCR_Unique!$D$3:$D$118,0), 1)</f>
        <v>4.5850533943517382</v>
      </c>
      <c r="H113" s="471">
        <f>INDEX(qPCR_Unique!N$3:N$118, MATCH(Core_Data!$A113, qPCR_Unique!$D$3:$D$118,0), 1)</f>
        <v>30609.590530395508</v>
      </c>
      <c r="I113" s="472">
        <f>INDEX(qPCR_Unique!O$3:O$118, MATCH(Core_Data!$A113, qPCR_Unique!$D$3:$D$118,0), 1)</f>
        <v>4.4858575200063786</v>
      </c>
      <c r="J113" s="473">
        <f>INDEX(qPCR_Unique!Q$3:Q$118, MATCH(Core_Data!$A113, qPCR_Unique!$D$3:$D$118,0), 1)</f>
        <v>722.44873046875</v>
      </c>
      <c r="K113" s="475">
        <f>INDEX(qPCR_Unique!R$3:R$118, MATCH(Core_Data!$A113, qPCR_Unique!$D$3:$D$118,0), 1)</f>
        <v>2.8588070322388779</v>
      </c>
      <c r="L113" s="476">
        <f>INDEX(qPCR_Unique!T$3:T$118, MATCH(Core_Data!$A113, qPCR_Unique!$D$3:$D$118,0), 1)</f>
        <v>52716.384887695313</v>
      </c>
      <c r="M113" s="477">
        <f>INDEX(qPCR_Unique!U$3:U$118, MATCH(Core_Data!$A113, qPCR_Unique!$D$3:$D$118,0), 1)</f>
        <v>4.7219456201527663</v>
      </c>
      <c r="N113" s="478">
        <f>INDEX(Physicochemical_Managed!Q$2:Q$207, MATCH(Core_Data!$A113, Physicochemical_Managed!$P$2:$P$207,0), 1)</f>
        <v>7.0049999999999999</v>
      </c>
      <c r="O113" s="479">
        <f>INDEX(Physicochemical_Managed!R$2:R$207, MATCH(Core_Data!$A113, Physicochemical_Managed!$P$2:$P$207,0), 1)</f>
        <v>24.45</v>
      </c>
      <c r="P113" s="479">
        <f>INDEX(Physicochemical_Managed!S$2:S$207, MATCH(Core_Data!$A113, Physicochemical_Managed!$P$2:$P$207,0), 1)</f>
        <v>0.08</v>
      </c>
      <c r="Q113" s="479">
        <f>INDEX(Physicochemical_Managed!T$2:T$207, MATCH(Core_Data!$A113, Physicochemical_Managed!$P$2:$P$207,0), 1)</f>
        <v>1.03</v>
      </c>
      <c r="R113" s="479">
        <f>INDEX(Physicochemical_Managed!U$2:U$207, MATCH(Core_Data!$A113, Physicochemical_Managed!$P$2:$P$207,0), 1)</f>
        <v>0.89</v>
      </c>
      <c r="S113" s="479">
        <f>INDEX(Physicochemical_Managed!V$2:V$207, MATCH(Core_Data!$A113, Physicochemical_Managed!$P$2:$P$207,0), 1)</f>
        <v>0.37</v>
      </c>
      <c r="T113" s="479">
        <f>INDEX(Physicochemical_Managed!W$2:W$207, MATCH(Core_Data!$A113, Physicochemical_Managed!$P$2:$P$207,0), 1)</f>
        <v>8.5000000000000006E-3</v>
      </c>
      <c r="U113" s="503">
        <f>INDEX(Physicochemical_Managed!X$2:X$207, MATCH(Core_Data!$A113, Physicochemical_Managed!$P$2:$P$207,0), 1)</f>
        <v>0.60499999999999998</v>
      </c>
      <c r="V113" s="518">
        <f>INDEX(qPCR_Unique!W$3:W$118, MATCH(Core_Data!$A113, qPCR_Unique!$D$3:$D$118,0), 1)</f>
        <v>122512.33100891113</v>
      </c>
      <c r="W113" s="519">
        <f>INDEX(qPCR_Unique!X$3:X$118, MATCH(Core_Data!$A113, qPCR_Unique!$D$3:$D$118,0), 1)</f>
        <v>5.0881798031463417</v>
      </c>
    </row>
    <row r="114" spans="1:23" ht="16.350000000000001" thickTop="1" x14ac:dyDescent="0.3"/>
  </sheetData>
  <sheetProtection algorithmName="SHA-512" hashValue="4eFjX9lYR0TMps4WOPuEeBc9asJ85Uf7Ggj+ajqv3tHizyoeWFABPaoKQVt6EitwtSKT3cvfoUAnZBPbPwGVzQ==" saltValue="YZv1UTstXA+i0Ii6ivXbig==" spinCount="100000" sheet="1" objects="1" scenarios="1"/>
  <mergeCells count="7">
    <mergeCell ref="V1:W1"/>
    <mergeCell ref="N1:U1"/>
    <mergeCell ref="D1:E1"/>
    <mergeCell ref="F1:G1"/>
    <mergeCell ref="H1:I1"/>
    <mergeCell ref="J1:K1"/>
    <mergeCell ref="L1:M1"/>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5522E6-61A9-49DD-9CAF-940C3906CAA2}">
  <dimension ref="A1:AD438"/>
  <sheetViews>
    <sheetView workbookViewId="0">
      <pane xSplit="3" ySplit="2" topLeftCell="D33" activePane="bottomRight" state="frozen"/>
      <selection pane="topRight" activeCell="D1" sqref="D1"/>
      <selection pane="bottomLeft" activeCell="A3" sqref="A3"/>
      <selection pane="bottomRight" activeCell="F47" sqref="F47"/>
    </sheetView>
  </sheetViews>
  <sheetFormatPr defaultRowHeight="15.75" x14ac:dyDescent="0.3"/>
  <cols>
    <col min="1" max="1" width="25.44140625" style="549" customWidth="1"/>
    <col min="2" max="2" width="26.6640625" style="549" customWidth="1"/>
    <col min="3" max="3" width="14.21875" style="549" customWidth="1"/>
    <col min="4" max="5" width="15.6640625" style="549" customWidth="1"/>
    <col min="6" max="6" width="20.109375" style="549" customWidth="1"/>
    <col min="7" max="7" width="10.44140625" style="70" customWidth="1"/>
    <col min="8" max="8" width="10.88671875" style="70" customWidth="1"/>
    <col min="9" max="9" width="9.109375" style="70" customWidth="1"/>
    <col min="10" max="10" width="10.88671875" style="70" customWidth="1"/>
    <col min="11" max="11" width="10.6640625" style="70" customWidth="1"/>
    <col min="12" max="12" width="11.33203125" style="70" customWidth="1"/>
    <col min="13" max="13" width="13.6640625" style="70" customWidth="1"/>
    <col min="14" max="14" width="13.88671875" style="70" customWidth="1"/>
    <col min="15" max="15" width="13.44140625" style="70" customWidth="1"/>
    <col min="16" max="16" width="17.33203125" style="70" customWidth="1"/>
    <col min="17" max="17" width="17" style="70" customWidth="1"/>
    <col min="18" max="18" width="16.88671875" style="70" customWidth="1"/>
    <col min="19" max="19" width="14.33203125" style="70" customWidth="1"/>
    <col min="20" max="20" width="14.88671875" style="70" customWidth="1"/>
    <col min="21" max="21" width="14" style="70" customWidth="1"/>
    <col min="22" max="22" width="14.44140625" style="70" customWidth="1"/>
    <col min="23" max="24" width="15.109375" style="70" customWidth="1"/>
    <col min="25" max="25" width="11.88671875" style="70" customWidth="1"/>
    <col min="26" max="26" width="12" style="70" customWidth="1"/>
    <col min="27" max="27" width="11.77734375" style="70" customWidth="1"/>
    <col min="28" max="28" width="16.77734375" style="70" customWidth="1"/>
    <col min="29" max="29" width="17.21875" style="70" customWidth="1"/>
    <col min="30" max="30" width="16.77734375" style="70" customWidth="1"/>
    <col min="31" max="16384" width="8.88671875" style="549"/>
  </cols>
  <sheetData>
    <row r="1" spans="1:30" s="552" customFormat="1" ht="16.350000000000001" thickTop="1" x14ac:dyDescent="0.3">
      <c r="A1" s="553" t="s">
        <v>261</v>
      </c>
      <c r="B1" s="554"/>
      <c r="C1" s="555"/>
      <c r="D1" s="568"/>
      <c r="E1" s="569"/>
      <c r="F1" s="584"/>
      <c r="G1" s="589" t="s">
        <v>253</v>
      </c>
      <c r="H1" s="570" t="s">
        <v>254</v>
      </c>
      <c r="I1" s="599" t="s">
        <v>255</v>
      </c>
      <c r="J1" s="609" t="s">
        <v>253</v>
      </c>
      <c r="K1" s="594" t="s">
        <v>254</v>
      </c>
      <c r="L1" s="610" t="s">
        <v>255</v>
      </c>
      <c r="M1" s="604" t="s">
        <v>253</v>
      </c>
      <c r="N1" s="570" t="s">
        <v>254</v>
      </c>
      <c r="O1" s="599" t="s">
        <v>255</v>
      </c>
      <c r="P1" s="609" t="s">
        <v>253</v>
      </c>
      <c r="Q1" s="594" t="s">
        <v>254</v>
      </c>
      <c r="R1" s="610" t="s">
        <v>255</v>
      </c>
      <c r="S1" s="604" t="s">
        <v>253</v>
      </c>
      <c r="T1" s="570" t="s">
        <v>254</v>
      </c>
      <c r="U1" s="599" t="s">
        <v>255</v>
      </c>
      <c r="V1" s="609" t="s">
        <v>253</v>
      </c>
      <c r="W1" s="594" t="s">
        <v>254</v>
      </c>
      <c r="X1" s="610" t="s">
        <v>255</v>
      </c>
      <c r="Y1" s="604" t="s">
        <v>253</v>
      </c>
      <c r="Z1" s="570" t="s">
        <v>254</v>
      </c>
      <c r="AA1" s="599" t="s">
        <v>255</v>
      </c>
      <c r="AB1" s="609" t="s">
        <v>253</v>
      </c>
      <c r="AC1" s="594" t="s">
        <v>254</v>
      </c>
      <c r="AD1" s="620" t="s">
        <v>255</v>
      </c>
    </row>
    <row r="2" spans="1:30" s="190" customFormat="1" ht="36.299999999999997" customHeight="1" thickBot="1" x14ac:dyDescent="0.35">
      <c r="A2" s="565" t="s">
        <v>247</v>
      </c>
      <c r="B2" s="566" t="s">
        <v>248</v>
      </c>
      <c r="C2" s="567" t="s">
        <v>249</v>
      </c>
      <c r="D2" s="580" t="s">
        <v>251</v>
      </c>
      <c r="E2" s="581" t="s">
        <v>250</v>
      </c>
      <c r="F2" s="585" t="s">
        <v>252</v>
      </c>
      <c r="G2" s="590" t="s">
        <v>97</v>
      </c>
      <c r="H2" s="582" t="s">
        <v>97</v>
      </c>
      <c r="I2" s="600" t="s">
        <v>97</v>
      </c>
      <c r="J2" s="611" t="s">
        <v>209</v>
      </c>
      <c r="K2" s="595" t="s">
        <v>209</v>
      </c>
      <c r="L2" s="612" t="s">
        <v>209</v>
      </c>
      <c r="M2" s="605" t="s">
        <v>202</v>
      </c>
      <c r="N2" s="583" t="s">
        <v>202</v>
      </c>
      <c r="O2" s="619" t="s">
        <v>202</v>
      </c>
      <c r="P2" s="611" t="s">
        <v>258</v>
      </c>
      <c r="Q2" s="595" t="s">
        <v>258</v>
      </c>
      <c r="R2" s="612" t="s">
        <v>258</v>
      </c>
      <c r="S2" s="605" t="s">
        <v>204</v>
      </c>
      <c r="T2" s="583" t="s">
        <v>204</v>
      </c>
      <c r="U2" s="619" t="s">
        <v>204</v>
      </c>
      <c r="V2" s="611" t="s">
        <v>259</v>
      </c>
      <c r="W2" s="595" t="s">
        <v>259</v>
      </c>
      <c r="X2" s="612" t="s">
        <v>259</v>
      </c>
      <c r="Y2" s="605" t="s">
        <v>206</v>
      </c>
      <c r="Z2" s="583" t="s">
        <v>206</v>
      </c>
      <c r="AA2" s="619" t="s">
        <v>206</v>
      </c>
      <c r="AB2" s="611" t="s">
        <v>260</v>
      </c>
      <c r="AC2" s="595" t="s">
        <v>260</v>
      </c>
      <c r="AD2" s="621" t="s">
        <v>260</v>
      </c>
    </row>
    <row r="3" spans="1:30" x14ac:dyDescent="0.3">
      <c r="A3" s="562" t="str">
        <f>_xlfn.CONCAT(Physicochemical_Managed!Y2, Physicochemical_Managed!P2)</f>
        <v>Before the burnEP44294</v>
      </c>
      <c r="B3" s="563" t="str" cm="1">
        <f t="array" ref="B3:B77">_xlfn._xlws.SORT(A3:A77, 1, 1)</f>
        <v>After the burnEP44405</v>
      </c>
      <c r="C3" s="564" t="str">
        <f>RIGHT(B3, LEN(B3)-(FIND("burn", B3)+3))</f>
        <v>EP44405</v>
      </c>
      <c r="D3" s="577" t="str">
        <f>C23</f>
        <v>EP44294</v>
      </c>
      <c r="E3" s="578" t="str">
        <f>C56</f>
        <v>EP44363</v>
      </c>
      <c r="F3" s="586" t="str">
        <f>C3</f>
        <v>EP44405</v>
      </c>
      <c r="G3" s="591" cm="1">
        <f t="array" ref="G3:G35">_xlfn._xlws.FILTER(Physicochemical_Managed!$Q$2:$Q$76, COUNTIF(Physicochemical_ANOVA!D3:D35, Physicochemical_Managed!$P$2:$P$76))</f>
        <v>6.75</v>
      </c>
      <c r="H3" s="579" cm="1">
        <f t="array" ref="H3:H24">_xlfn._xlws.FILTER(Physicochemical_Managed!$Q$2:$Q$76, COUNTIF(Physicochemical_ANOVA!E3:E24, Physicochemical_Managed!$P$2:$P$76))</f>
        <v>6.79</v>
      </c>
      <c r="I3" s="601" cm="1">
        <f t="array" ref="I3:I22">_xlfn._xlws.FILTER(Physicochemical_Managed!$Q$2:$Q$76, COUNTIF(Physicochemical_ANOVA!F3:F22, Physicochemical_Managed!$P$2:$P$76))</f>
        <v>6.71</v>
      </c>
      <c r="J3" s="613" cm="1">
        <f t="array" ref="J3:J35">_xlfn._xlws.FILTER(Physicochemical_Managed!$R$2:$R$76, COUNTIF(Physicochemical_ANOVA!D3:D35, Physicochemical_Managed!$P$2:$P$76))</f>
        <v>23.3</v>
      </c>
      <c r="K3" s="596" cm="1">
        <f t="array" ref="K3:K24">_xlfn._xlws.FILTER(Physicochemical_Managed!$R$2:$R$76, COUNTIF(Physicochemical_ANOVA!E3:E24, Physicochemical_Managed!$P$2:$P$76))</f>
        <v>33.9</v>
      </c>
      <c r="L3" s="614" cm="1">
        <f t="array" ref="L3:L22">_xlfn._xlws.FILTER(Physicochemical_Managed!$R$2:$R$76, COUNTIF(Physicochemical_ANOVA!F3:F22, Physicochemical_Managed!$P$2:$P$76))</f>
        <v>31.9</v>
      </c>
      <c r="M3" s="606" cm="1">
        <f t="array" ref="M3:M35">_xlfn._xlws.FILTER(Physicochemical_Managed!$S$2:$S$76, COUNTIF(Physicochemical_ANOVA!D3:D35, Physicochemical_Managed!$P$2:$P$76))</f>
        <v>7.0000000000000007E-2</v>
      </c>
      <c r="N3" s="579" cm="1">
        <f t="array" ref="N3:N24">_xlfn._xlws.FILTER(Physicochemical_Managed!$S$2:$S$76, COUNTIF(Physicochemical_ANOVA!E3:E24, Physicochemical_Managed!$P$2:$P$76))</f>
        <v>3.82</v>
      </c>
      <c r="O3" s="601" cm="1">
        <f t="array" ref="O3:O22">_xlfn._xlws.FILTER(Physicochemical_Managed!$S$2:$S$76, COUNTIF(Physicochemical_ANOVA!F3:F22, Physicochemical_Managed!$P$2:$P$76))</f>
        <v>0.09</v>
      </c>
      <c r="P3" s="613" cm="1">
        <f t="array" ref="P3:P35">_xlfn._xlws.FILTER(Physicochemical_Managed!$T$2:$T$76, COUNTIF(Physicochemical_ANOVA!D3:D35, Physicochemical_Managed!$P$2:$P$76))</f>
        <v>3.3733333333333335</v>
      </c>
      <c r="Q3" s="596" cm="1">
        <f t="array" ref="Q3:Q24">_xlfn._xlws.FILTER(Physicochemical_Managed!$T$2:$T$76, COUNTIF(Physicochemical_ANOVA!E3:E24, Physicochemical_Managed!$P$2:$P$76))</f>
        <v>0.01</v>
      </c>
      <c r="R3" s="614" cm="1">
        <f t="array" ref="R3:R22">_xlfn._xlws.FILTER(Physicochemical_Managed!$T$2:$T$76, COUNTIF(Physicochemical_ANOVA!F3:F22, Physicochemical_Managed!$P$2:$P$76))</f>
        <v>3.49</v>
      </c>
      <c r="S3" s="606" cm="1">
        <f t="array" ref="S3:S35">_xlfn._xlws.FILTER(Physicochemical_Managed!$U$2:$U$76, COUNTIF(Physicochemical_ANOVA!D3:D35, Physicochemical_Managed!$P$2:$P$76))</f>
        <v>3.6300000000000003</v>
      </c>
      <c r="T3" s="579" cm="1">
        <f t="array" ref="T3:T24">_xlfn._xlws.FILTER(Physicochemical_Managed!$U$2:$U$76, COUNTIF(Physicochemical_ANOVA!E3:E24, Physicochemical_Managed!$P$2:$P$76))</f>
        <v>3.89</v>
      </c>
      <c r="U3" s="601" cm="1">
        <f t="array" ref="U3:U22">_xlfn._xlws.FILTER(Physicochemical_Managed!$U$2:$U$76, COUNTIF(Physicochemical_ANOVA!F3:F22, Physicochemical_Managed!$P$2:$P$76))</f>
        <v>4.0599999999999996</v>
      </c>
      <c r="V3" s="613" cm="1">
        <f t="array" ref="V3:V35">_xlfn._xlws.FILTER(Physicochemical_Managed!$V$2:$V$76, COUNTIF(Physicochemical_ANOVA!D3:D35, Physicochemical_Managed!$P$2:$P$76))</f>
        <v>0.11</v>
      </c>
      <c r="W3" s="596" cm="1">
        <f t="array" ref="W3:W24">_xlfn._xlws.FILTER(Physicochemical_Managed!$V$2:$V$76, COUNTIF(Physicochemical_ANOVA!E3:E24, Physicochemical_Managed!$P$2:$P$76))</f>
        <v>0.08</v>
      </c>
      <c r="X3" s="614" cm="1">
        <f t="array" ref="X3:X22">_xlfn._xlws.FILTER(Physicochemical_Managed!$V$2:$V$76, COUNTIF(Physicochemical_ANOVA!F3:F22, Physicochemical_Managed!$P$2:$P$76))</f>
        <v>0.04</v>
      </c>
      <c r="Y3" s="606" cm="1">
        <f t="array" ref="Y3:Y35">_xlfn._xlws.FILTER(Physicochemical_Managed!$W$2:$W$76, COUNTIF(Physicochemical_ANOVA!D3:D35, Physicochemical_Managed!$P$2:$P$76))</f>
        <v>6.9999999999999993E-3</v>
      </c>
      <c r="Z3" s="579" cm="1">
        <f t="array" ref="Z3:Z24">_xlfn._xlws.FILTER(Physicochemical_Managed!$W$2:$W$76, COUNTIF(Physicochemical_ANOVA!E3:E24, Physicochemical_Managed!$P$2:$P$76))</f>
        <v>7.0000000000000001E-3</v>
      </c>
      <c r="AA3" s="601" cm="1">
        <f t="array" ref="AA3:AA22">_xlfn._xlws.FILTER(Physicochemical_Managed!$W$2:$W$76, COUNTIF(Physicochemical_ANOVA!F3:F22, Physicochemical_Managed!$P$2:$P$76))</f>
        <v>7.0000000000000001E-3</v>
      </c>
      <c r="AB3" s="613" cm="1">
        <f t="array" ref="AB3:AB35">_xlfn._xlws.FILTER(Physicochemical_Managed!$X$2:$X$76, COUNTIF(Physicochemical_ANOVA!D3:D35, Physicochemical_Managed!$P$2:$P$76))</f>
        <v>0.22666666666666666</v>
      </c>
      <c r="AC3" s="596" cm="1">
        <f t="array" ref="AC3:AC24">_xlfn._xlws.FILTER(Physicochemical_Managed!$X$2:$X$76, COUNTIF(Physicochemical_ANOVA!E3:E24, Physicochemical_Managed!$P$2:$P$76))</f>
        <v>0.28000000000000003</v>
      </c>
      <c r="AD3" s="622" cm="1">
        <f t="array" ref="AD3:AD22">_xlfn._xlws.FILTER(Physicochemical_Managed!$X$2:$X$76, COUNTIF(Physicochemical_ANOVA!F3:F22, Physicochemical_Managed!$P$2:$P$76))</f>
        <v>0.3</v>
      </c>
    </row>
    <row r="4" spans="1:30" x14ac:dyDescent="0.3">
      <c r="A4" s="556" t="str">
        <f>_xlfn.CONCAT(Physicochemical_Managed!Y3, Physicochemical_Managed!P3)</f>
        <v>Before the burnEP44306</v>
      </c>
      <c r="B4" s="557" t="str">
        <v>After the burnEP44412</v>
      </c>
      <c r="C4" s="558" t="str">
        <f t="shared" ref="C4:C67" si="0">RIGHT(B4, LEN(B4)-(FIND("burn", B4)+3))</f>
        <v>EP44412</v>
      </c>
      <c r="D4" s="571" t="str">
        <f t="shared" ref="D4:D34" si="1">C24</f>
        <v>EP44306</v>
      </c>
      <c r="E4" s="572" t="str">
        <f t="shared" ref="E4:E24" si="2">C57</f>
        <v>EP44370</v>
      </c>
      <c r="F4" s="587" t="str">
        <f t="shared" ref="F4:F22" si="3">C4</f>
        <v>EP44412</v>
      </c>
      <c r="G4" s="592">
        <v>6.85</v>
      </c>
      <c r="H4" s="573">
        <v>6.98</v>
      </c>
      <c r="I4" s="602">
        <v>6.76</v>
      </c>
      <c r="J4" s="615">
        <v>22.3</v>
      </c>
      <c r="K4" s="597">
        <v>28.3</v>
      </c>
      <c r="L4" s="616">
        <v>29.4</v>
      </c>
      <c r="M4" s="607">
        <v>0.05</v>
      </c>
      <c r="N4" s="573">
        <v>4.0599999999999996</v>
      </c>
      <c r="O4" s="602">
        <v>0.15</v>
      </c>
      <c r="P4" s="615">
        <v>3.21</v>
      </c>
      <c r="Q4" s="597">
        <v>0</v>
      </c>
      <c r="R4" s="616">
        <v>3.53</v>
      </c>
      <c r="S4" s="607">
        <v>3.68</v>
      </c>
      <c r="T4" s="573">
        <v>3.83</v>
      </c>
      <c r="U4" s="602">
        <v>3.57</v>
      </c>
      <c r="V4" s="615">
        <v>0.19</v>
      </c>
      <c r="W4" s="597">
        <v>0.03</v>
      </c>
      <c r="X4" s="616">
        <v>0.01</v>
      </c>
      <c r="Y4" s="607">
        <v>0.01</v>
      </c>
      <c r="Z4" s="573">
        <v>8.0000000000000002E-3</v>
      </c>
      <c r="AA4" s="602">
        <v>8.0000000000000002E-3</v>
      </c>
      <c r="AB4" s="615">
        <v>0.15</v>
      </c>
      <c r="AC4" s="597">
        <v>0.27</v>
      </c>
      <c r="AD4" s="623">
        <v>0.32</v>
      </c>
    </row>
    <row r="5" spans="1:30" x14ac:dyDescent="0.3">
      <c r="A5" s="556" t="str">
        <f>_xlfn.CONCAT(Physicochemical_Managed!Y4, Physicochemical_Managed!P4)</f>
        <v>Before the burnEP44313</v>
      </c>
      <c r="B5" s="557" t="str">
        <v>After the burnEP44419</v>
      </c>
      <c r="C5" s="558" t="str">
        <f t="shared" si="0"/>
        <v>EP44419</v>
      </c>
      <c r="D5" s="571" t="str">
        <f t="shared" si="1"/>
        <v>EP44313</v>
      </c>
      <c r="E5" s="572" t="str">
        <f t="shared" si="2"/>
        <v>EP44377</v>
      </c>
      <c r="F5" s="587" t="str">
        <f t="shared" si="3"/>
        <v>EP44419</v>
      </c>
      <c r="G5" s="592">
        <v>6.7</v>
      </c>
      <c r="H5" s="573">
        <v>6.71</v>
      </c>
      <c r="I5" s="602">
        <v>6.67</v>
      </c>
      <c r="J5" s="615">
        <v>24.4</v>
      </c>
      <c r="K5" s="597">
        <v>30.2</v>
      </c>
      <c r="L5" s="616">
        <v>30.2</v>
      </c>
      <c r="M5" s="607">
        <v>0.16</v>
      </c>
      <c r="N5" s="573">
        <v>3.49</v>
      </c>
      <c r="O5" s="602">
        <v>0.14000000000000001</v>
      </c>
      <c r="P5" s="615">
        <v>3.37</v>
      </c>
      <c r="Q5" s="597">
        <v>0.31</v>
      </c>
      <c r="R5" s="616">
        <v>3.26</v>
      </c>
      <c r="S5" s="607">
        <v>3.64</v>
      </c>
      <c r="T5" s="573">
        <v>3.46</v>
      </c>
      <c r="U5" s="602">
        <v>3.89</v>
      </c>
      <c r="V5" s="615">
        <v>7.0000000000000007E-2</v>
      </c>
      <c r="W5" s="597">
        <v>0.26</v>
      </c>
      <c r="X5" s="616">
        <v>0.36</v>
      </c>
      <c r="Y5" s="607">
        <v>6.0000000000000001E-3</v>
      </c>
      <c r="Z5" s="573">
        <v>0</v>
      </c>
      <c r="AA5" s="602">
        <v>8.9999999999999993E-3</v>
      </c>
      <c r="AB5" s="615">
        <v>0.2</v>
      </c>
      <c r="AC5" s="597">
        <v>0.24</v>
      </c>
      <c r="AD5" s="623">
        <v>0.27</v>
      </c>
    </row>
    <row r="6" spans="1:30" x14ac:dyDescent="0.3">
      <c r="A6" s="556" t="str">
        <f>_xlfn.CONCAT(Physicochemical_Managed!Y5, Physicochemical_Managed!P5)</f>
        <v>Before the burnEP44320</v>
      </c>
      <c r="B6" s="557" t="str">
        <v>After the burnEP44426</v>
      </c>
      <c r="C6" s="558" t="str">
        <f t="shared" si="0"/>
        <v>EP44426</v>
      </c>
      <c r="D6" s="571" t="str">
        <f t="shared" si="1"/>
        <v>EP44320</v>
      </c>
      <c r="E6" s="572" t="str">
        <f t="shared" si="2"/>
        <v>EP44385</v>
      </c>
      <c r="F6" s="587" t="str">
        <f t="shared" si="3"/>
        <v>EP44426</v>
      </c>
      <c r="G6" s="592">
        <v>6.7</v>
      </c>
      <c r="H6" s="573">
        <v>6.71</v>
      </c>
      <c r="I6" s="602">
        <v>6.71</v>
      </c>
      <c r="J6" s="615">
        <v>26.9</v>
      </c>
      <c r="K6" s="597">
        <v>31.5</v>
      </c>
      <c r="L6" s="616">
        <v>32.799999999999997</v>
      </c>
      <c r="M6" s="607">
        <v>0.12</v>
      </c>
      <c r="N6" s="573">
        <v>3.67</v>
      </c>
      <c r="O6" s="602">
        <v>0.18</v>
      </c>
      <c r="P6" s="615">
        <v>3.62</v>
      </c>
      <c r="Q6" s="597">
        <v>0</v>
      </c>
      <c r="R6" s="616">
        <v>3.66</v>
      </c>
      <c r="S6" s="607">
        <v>3.86</v>
      </c>
      <c r="T6" s="573">
        <v>3.53</v>
      </c>
      <c r="U6" s="602">
        <v>3.82</v>
      </c>
      <c r="V6" s="615">
        <v>0.09</v>
      </c>
      <c r="W6" s="597">
        <v>0.06</v>
      </c>
      <c r="X6" s="616">
        <v>0.03</v>
      </c>
      <c r="Y6" s="607">
        <v>1.0999999999999999E-2</v>
      </c>
      <c r="Z6" s="573">
        <v>7.0000000000000001E-3</v>
      </c>
      <c r="AA6" s="602">
        <v>8.0000000000000002E-3</v>
      </c>
      <c r="AB6" s="615">
        <v>0.19</v>
      </c>
      <c r="AC6" s="597">
        <v>0.28999999999999998</v>
      </c>
      <c r="AD6" s="623">
        <v>0.28999999999999998</v>
      </c>
    </row>
    <row r="7" spans="1:30" x14ac:dyDescent="0.3">
      <c r="A7" s="556" t="str">
        <f>_xlfn.CONCAT(Physicochemical_Managed!Y6, Physicochemical_Managed!P6)</f>
        <v>Before the burnEP44327</v>
      </c>
      <c r="B7" s="557" t="str">
        <v>After the burnEP44433</v>
      </c>
      <c r="C7" s="558" t="str">
        <f t="shared" si="0"/>
        <v>EP44433</v>
      </c>
      <c r="D7" s="571" t="str">
        <f t="shared" si="1"/>
        <v>EP44327</v>
      </c>
      <c r="E7" s="572" t="str">
        <f t="shared" si="2"/>
        <v>EP44391</v>
      </c>
      <c r="F7" s="587" t="str">
        <f t="shared" si="3"/>
        <v>EP44433</v>
      </c>
      <c r="G7" s="592">
        <v>6.69</v>
      </c>
      <c r="H7" s="573">
        <v>6.11</v>
      </c>
      <c r="I7" s="602">
        <v>6.84</v>
      </c>
      <c r="J7" s="615">
        <v>26.2</v>
      </c>
      <c r="K7" s="597">
        <v>29.2</v>
      </c>
      <c r="L7" s="616">
        <v>33.5</v>
      </c>
      <c r="M7" s="607">
        <v>0.21</v>
      </c>
      <c r="N7" s="573">
        <v>3.82</v>
      </c>
      <c r="O7" s="602">
        <v>0.21</v>
      </c>
      <c r="P7" s="615">
        <v>3.61</v>
      </c>
      <c r="Q7" s="597">
        <v>0.02</v>
      </c>
      <c r="R7" s="616">
        <v>3.94</v>
      </c>
      <c r="S7" s="607">
        <v>3.95</v>
      </c>
      <c r="T7" s="573">
        <v>3.67</v>
      </c>
      <c r="U7" s="602">
        <v>3.94</v>
      </c>
      <c r="V7" s="615">
        <v>0.06</v>
      </c>
      <c r="W7" s="597">
        <v>7.0000000000000007E-2</v>
      </c>
      <c r="X7" s="616">
        <v>0</v>
      </c>
      <c r="Y7" s="607">
        <v>5.0000000000000001E-3</v>
      </c>
      <c r="Z7" s="573">
        <v>7.0000000000000001E-3</v>
      </c>
      <c r="AA7" s="602">
        <v>7.0000000000000001E-3</v>
      </c>
      <c r="AB7" s="615">
        <v>0.21</v>
      </c>
      <c r="AC7" s="597">
        <v>0.23</v>
      </c>
      <c r="AD7" s="623">
        <v>0.28999999999999998</v>
      </c>
    </row>
    <row r="8" spans="1:30" x14ac:dyDescent="0.3">
      <c r="A8" s="556" t="str">
        <f>_xlfn.CONCAT(Physicochemical_Managed!Y7, Physicochemical_Managed!P7)</f>
        <v>Before the burnEP44335</v>
      </c>
      <c r="B8" s="557" t="str">
        <v>After the burnMRT44405</v>
      </c>
      <c r="C8" s="558" t="str">
        <f t="shared" si="0"/>
        <v>MRT44405</v>
      </c>
      <c r="D8" s="571" t="str">
        <f t="shared" si="1"/>
        <v>EP44335</v>
      </c>
      <c r="E8" s="572" t="str">
        <f t="shared" si="2"/>
        <v>EP44398</v>
      </c>
      <c r="F8" s="587" t="str">
        <f t="shared" si="3"/>
        <v>MRT44405</v>
      </c>
      <c r="G8" s="592">
        <v>6.72</v>
      </c>
      <c r="H8" s="573">
        <v>6.77</v>
      </c>
      <c r="I8" s="602">
        <v>6.74</v>
      </c>
      <c r="J8" s="615">
        <v>25.2</v>
      </c>
      <c r="K8" s="597">
        <v>27.4</v>
      </c>
      <c r="L8" s="616">
        <v>29.7</v>
      </c>
      <c r="M8" s="607">
        <v>0.17</v>
      </c>
      <c r="N8" s="573">
        <v>3.92</v>
      </c>
      <c r="O8" s="602">
        <v>0.04</v>
      </c>
      <c r="P8" s="615">
        <v>3.6</v>
      </c>
      <c r="Q8" s="597">
        <v>0.01</v>
      </c>
      <c r="R8" s="616">
        <v>0.02</v>
      </c>
      <c r="S8" s="607">
        <v>3.86</v>
      </c>
      <c r="T8" s="573">
        <v>3.82</v>
      </c>
      <c r="U8" s="602">
        <v>0.04</v>
      </c>
      <c r="V8" s="615">
        <v>0.25</v>
      </c>
      <c r="W8" s="597">
        <v>0.01</v>
      </c>
      <c r="X8" s="616">
        <v>0.02</v>
      </c>
      <c r="Y8" s="607">
        <v>8.0000000000000002E-3</v>
      </c>
      <c r="Z8" s="573">
        <v>6.0000000000000001E-3</v>
      </c>
      <c r="AA8" s="602">
        <v>7.0000000000000001E-3</v>
      </c>
      <c r="AB8" s="615">
        <v>0.24</v>
      </c>
      <c r="AC8" s="597">
        <v>0.19</v>
      </c>
      <c r="AD8" s="623">
        <v>0.48</v>
      </c>
    </row>
    <row r="9" spans="1:30" x14ac:dyDescent="0.3">
      <c r="A9" s="556" t="str">
        <f>_xlfn.CONCAT(Physicochemical_Managed!Y8, Physicochemical_Managed!P8)</f>
        <v>Before the burnEP44342</v>
      </c>
      <c r="B9" s="557" t="str">
        <v>After the burnMRT44419</v>
      </c>
      <c r="C9" s="558" t="str">
        <f t="shared" si="0"/>
        <v>MRT44419</v>
      </c>
      <c r="D9" s="571" t="str">
        <f t="shared" si="1"/>
        <v>EP44342</v>
      </c>
      <c r="E9" s="572" t="str">
        <f t="shared" si="2"/>
        <v>MRT44363</v>
      </c>
      <c r="F9" s="587" t="str">
        <f t="shared" si="3"/>
        <v>MRT44419</v>
      </c>
      <c r="G9" s="592">
        <v>6.66</v>
      </c>
      <c r="H9" s="573">
        <v>6.92</v>
      </c>
      <c r="I9" s="602">
        <v>6.7</v>
      </c>
      <c r="J9" s="615">
        <v>28.1</v>
      </c>
      <c r="K9" s="597">
        <v>27.6</v>
      </c>
      <c r="L9" s="616">
        <v>29.7</v>
      </c>
      <c r="M9" s="607">
        <v>0.08</v>
      </c>
      <c r="N9" s="573">
        <v>3</v>
      </c>
      <c r="O9" s="602">
        <v>0.06</v>
      </c>
      <c r="P9" s="615">
        <v>3.5</v>
      </c>
      <c r="Q9" s="597">
        <v>0</v>
      </c>
      <c r="R9" s="616">
        <v>2.19</v>
      </c>
      <c r="S9" s="607">
        <v>3.83</v>
      </c>
      <c r="T9" s="573">
        <v>2.92</v>
      </c>
      <c r="U9" s="602">
        <v>2.48</v>
      </c>
      <c r="V9" s="615">
        <v>7.0000000000000007E-2</v>
      </c>
      <c r="W9" s="597">
        <v>0</v>
      </c>
      <c r="X9" s="616">
        <v>0.19</v>
      </c>
      <c r="Y9" s="607">
        <v>7.0000000000000001E-3</v>
      </c>
      <c r="Z9" s="573">
        <v>7.0000000000000001E-3</v>
      </c>
      <c r="AA9" s="602">
        <v>7.0000000000000001E-3</v>
      </c>
      <c r="AB9" s="615">
        <v>0.24</v>
      </c>
      <c r="AC9" s="597">
        <v>0.3</v>
      </c>
      <c r="AD9" s="623">
        <v>0.43</v>
      </c>
    </row>
    <row r="10" spans="1:30" x14ac:dyDescent="0.3">
      <c r="A10" s="556" t="str">
        <f>_xlfn.CONCAT(Physicochemical_Managed!Y9, Physicochemical_Managed!P9)</f>
        <v>Before the burnEP44350</v>
      </c>
      <c r="B10" s="557" t="str">
        <v>After the burnMRT44426</v>
      </c>
      <c r="C10" s="558" t="str">
        <f t="shared" si="0"/>
        <v>MRT44426</v>
      </c>
      <c r="D10" s="571" t="str">
        <f t="shared" si="1"/>
        <v>EP44350</v>
      </c>
      <c r="E10" s="572" t="str">
        <f t="shared" si="2"/>
        <v>MRT44370</v>
      </c>
      <c r="F10" s="587" t="str">
        <f t="shared" si="3"/>
        <v>MRT44426</v>
      </c>
      <c r="G10" s="592">
        <v>6.58</v>
      </c>
      <c r="H10" s="573">
        <v>7</v>
      </c>
      <c r="I10" s="602">
        <v>6.68</v>
      </c>
      <c r="J10" s="615">
        <v>29.6</v>
      </c>
      <c r="K10" s="597">
        <v>28.1</v>
      </c>
      <c r="L10" s="616">
        <v>29.7</v>
      </c>
      <c r="M10" s="607">
        <v>0.08</v>
      </c>
      <c r="N10" s="573">
        <v>2.78</v>
      </c>
      <c r="O10" s="602">
        <v>0.1</v>
      </c>
      <c r="P10" s="615">
        <v>3.32</v>
      </c>
      <c r="Q10" s="597">
        <v>0.01</v>
      </c>
      <c r="R10" s="616">
        <v>2.0099999999999998</v>
      </c>
      <c r="S10" s="607">
        <v>3.64</v>
      </c>
      <c r="T10" s="573">
        <v>2.8</v>
      </c>
      <c r="U10" s="602">
        <v>2.35</v>
      </c>
      <c r="V10" s="615">
        <v>0.56000000000000005</v>
      </c>
      <c r="W10" s="597">
        <v>0.25</v>
      </c>
      <c r="X10" s="616">
        <v>0.18</v>
      </c>
      <c r="Y10" s="607">
        <v>8.0000000000000002E-3</v>
      </c>
      <c r="Z10" s="573">
        <v>0.1</v>
      </c>
      <c r="AA10" s="602">
        <v>6.0000000000000001E-3</v>
      </c>
      <c r="AB10" s="615">
        <v>0.28000000000000003</v>
      </c>
      <c r="AC10" s="597">
        <v>0.37</v>
      </c>
      <c r="AD10" s="623">
        <v>0.32</v>
      </c>
    </row>
    <row r="11" spans="1:30" x14ac:dyDescent="0.3">
      <c r="A11" s="556" t="str">
        <f>_xlfn.CONCAT(Physicochemical_Managed!Y10, Physicochemical_Managed!P10)</f>
        <v>Before the burnEP44356</v>
      </c>
      <c r="B11" s="557" t="str">
        <v>After the burnMRT44432</v>
      </c>
      <c r="C11" s="558" t="str">
        <f t="shared" si="0"/>
        <v>MRT44432</v>
      </c>
      <c r="D11" s="571" t="str">
        <f t="shared" si="1"/>
        <v>EP44356</v>
      </c>
      <c r="E11" s="572" t="str">
        <f t="shared" si="2"/>
        <v>MRT44377</v>
      </c>
      <c r="F11" s="587" t="str">
        <f t="shared" si="3"/>
        <v>MRT44432</v>
      </c>
      <c r="G11" s="592">
        <v>6.69</v>
      </c>
      <c r="H11" s="573">
        <v>6.88</v>
      </c>
      <c r="I11" s="602">
        <v>6.78</v>
      </c>
      <c r="J11" s="615">
        <v>28.6</v>
      </c>
      <c r="K11" s="597">
        <v>28.6</v>
      </c>
      <c r="L11" s="616">
        <v>29.9</v>
      </c>
      <c r="M11" s="607">
        <v>0.08</v>
      </c>
      <c r="N11" s="573">
        <v>2.67</v>
      </c>
      <c r="O11" s="602">
        <v>7.0000000000000007E-2</v>
      </c>
      <c r="P11" s="615">
        <v>3.91</v>
      </c>
      <c r="Q11" s="597">
        <v>0.03</v>
      </c>
      <c r="R11" s="616">
        <v>1.96</v>
      </c>
      <c r="S11" s="607">
        <v>4.08</v>
      </c>
      <c r="T11" s="573">
        <v>2.78</v>
      </c>
      <c r="U11" s="602">
        <v>2.36</v>
      </c>
      <c r="V11" s="615">
        <v>0.14000000000000001</v>
      </c>
      <c r="W11" s="597">
        <v>0.03</v>
      </c>
      <c r="X11" s="616">
        <v>0.11</v>
      </c>
      <c r="Y11" s="607">
        <v>8.0000000000000002E-3</v>
      </c>
      <c r="Z11" s="573">
        <v>5.0000000000000001E-3</v>
      </c>
      <c r="AA11" s="602">
        <v>2E-3</v>
      </c>
      <c r="AB11" s="615">
        <v>0.27</v>
      </c>
      <c r="AC11" s="597">
        <v>0.35</v>
      </c>
      <c r="AD11" s="623">
        <v>0.4</v>
      </c>
    </row>
    <row r="12" spans="1:30" x14ac:dyDescent="0.3">
      <c r="A12" s="556" t="str">
        <f>_xlfn.CONCAT(Physicochemical_Managed!Y11, Physicochemical_Managed!P11)</f>
        <v>During the burnEP44363</v>
      </c>
      <c r="B12" s="557" t="str">
        <v>After the burnMRT44433</v>
      </c>
      <c r="C12" s="558" t="str">
        <f t="shared" si="0"/>
        <v>MRT44433</v>
      </c>
      <c r="D12" s="571" t="str">
        <f t="shared" si="1"/>
        <v>MRT44294</v>
      </c>
      <c r="E12" s="572" t="str">
        <f t="shared" si="2"/>
        <v>MRT44385</v>
      </c>
      <c r="F12" s="587" t="str">
        <f t="shared" si="3"/>
        <v>MRT44433</v>
      </c>
      <c r="G12" s="592">
        <v>6.3533333333333326</v>
      </c>
      <c r="H12" s="573">
        <v>6.77</v>
      </c>
      <c r="I12" s="602">
        <v>6.85</v>
      </c>
      <c r="J12" s="615">
        <v>22.033333333333331</v>
      </c>
      <c r="K12" s="597">
        <v>28.6</v>
      </c>
      <c r="L12" s="616">
        <v>29.6</v>
      </c>
      <c r="M12" s="607">
        <v>9.3333333333333324E-2</v>
      </c>
      <c r="N12" s="573">
        <v>2.64</v>
      </c>
      <c r="O12" s="602">
        <v>0.11</v>
      </c>
      <c r="P12" s="615">
        <v>2.2066666666666666</v>
      </c>
      <c r="Q12" s="597">
        <v>0.01</v>
      </c>
      <c r="R12" s="616">
        <v>1.24</v>
      </c>
      <c r="S12" s="607">
        <v>2.7566666666666664</v>
      </c>
      <c r="T12" s="573">
        <v>2.81</v>
      </c>
      <c r="U12" s="602">
        <v>1.21</v>
      </c>
      <c r="V12" s="615">
        <v>0.2233333333333333</v>
      </c>
      <c r="W12" s="597">
        <v>0.03</v>
      </c>
      <c r="X12" s="616">
        <v>0.16</v>
      </c>
      <c r="Y12" s="607">
        <v>5.0000000000000001E-3</v>
      </c>
      <c r="Z12" s="573">
        <v>6.0000000000000001E-3</v>
      </c>
      <c r="AA12" s="602">
        <v>1E-3</v>
      </c>
      <c r="AB12" s="615">
        <v>0.27999999999999997</v>
      </c>
      <c r="AC12" s="597">
        <v>0.42</v>
      </c>
      <c r="AD12" s="623">
        <v>0.42</v>
      </c>
    </row>
    <row r="13" spans="1:30" x14ac:dyDescent="0.3">
      <c r="A13" s="556" t="str">
        <f>_xlfn.CONCAT(Physicochemical_Managed!Y12, Physicochemical_Managed!P12)</f>
        <v>During the burnEP44370</v>
      </c>
      <c r="B13" s="557" t="str">
        <v>After the burnSPI44405</v>
      </c>
      <c r="C13" s="558" t="str">
        <f t="shared" si="0"/>
        <v>SPI44405</v>
      </c>
      <c r="D13" s="571" t="str">
        <f t="shared" si="1"/>
        <v>MRT44306</v>
      </c>
      <c r="E13" s="572" t="str">
        <f t="shared" si="2"/>
        <v>MRT44391</v>
      </c>
      <c r="F13" s="587" t="str">
        <f t="shared" si="3"/>
        <v>SPI44405</v>
      </c>
      <c r="G13" s="592">
        <v>6.24</v>
      </c>
      <c r="H13" s="573">
        <v>6.71</v>
      </c>
      <c r="I13" s="602">
        <v>7</v>
      </c>
      <c r="J13" s="615">
        <v>21.2</v>
      </c>
      <c r="K13" s="597">
        <v>28.6</v>
      </c>
      <c r="L13" s="616">
        <v>28.6</v>
      </c>
      <c r="M13" s="607">
        <v>0.15</v>
      </c>
      <c r="N13" s="573">
        <v>2.78</v>
      </c>
      <c r="O13" s="602">
        <v>0.05</v>
      </c>
      <c r="P13" s="615">
        <v>2.15</v>
      </c>
      <c r="Q13" s="597">
        <v>0.03</v>
      </c>
      <c r="R13" s="616">
        <v>0.84</v>
      </c>
      <c r="S13" s="607">
        <v>2.89</v>
      </c>
      <c r="T13" s="573">
        <v>2.73</v>
      </c>
      <c r="U13" s="602">
        <v>1.02</v>
      </c>
      <c r="V13" s="615">
        <v>0.15</v>
      </c>
      <c r="W13" s="597">
        <v>0.02</v>
      </c>
      <c r="X13" s="616">
        <v>0.16</v>
      </c>
      <c r="Y13" s="607">
        <v>6.0000000000000001E-3</v>
      </c>
      <c r="Z13" s="573">
        <v>6.0000000000000001E-3</v>
      </c>
      <c r="AA13" s="602">
        <v>7.0000000000000001E-3</v>
      </c>
      <c r="AB13" s="615">
        <v>0.28999999999999998</v>
      </c>
      <c r="AC13" s="597">
        <v>0.38</v>
      </c>
      <c r="AD13" s="623">
        <v>0.47</v>
      </c>
    </row>
    <row r="14" spans="1:30" x14ac:dyDescent="0.3">
      <c r="A14" s="556" t="str">
        <f>_xlfn.CONCAT(Physicochemical_Managed!Y13, Physicochemical_Managed!P13)</f>
        <v>During the burnEP44377</v>
      </c>
      <c r="B14" s="557" t="str">
        <v>After the burnSPI44412</v>
      </c>
      <c r="C14" s="558" t="str">
        <f t="shared" si="0"/>
        <v>SPI44412</v>
      </c>
      <c r="D14" s="571" t="str">
        <f t="shared" si="1"/>
        <v>MRT44313</v>
      </c>
      <c r="E14" s="572" t="str">
        <f t="shared" si="2"/>
        <v>MRT44398</v>
      </c>
      <c r="F14" s="587" t="str">
        <f t="shared" si="3"/>
        <v>SPI44412</v>
      </c>
      <c r="G14" s="592">
        <v>6.55</v>
      </c>
      <c r="H14" s="573">
        <v>6.97</v>
      </c>
      <c r="I14" s="602">
        <v>7.07</v>
      </c>
      <c r="J14" s="615">
        <v>23.3</v>
      </c>
      <c r="K14" s="597">
        <v>26.6</v>
      </c>
      <c r="L14" s="616">
        <v>28.2</v>
      </c>
      <c r="M14" s="607">
        <v>0.04</v>
      </c>
      <c r="N14" s="573">
        <v>2.68</v>
      </c>
      <c r="O14" s="602">
        <v>0.1</v>
      </c>
      <c r="P14" s="615">
        <v>2.2000000000000002</v>
      </c>
      <c r="Q14" s="597">
        <v>0</v>
      </c>
      <c r="R14" s="616">
        <v>1.69</v>
      </c>
      <c r="S14" s="607">
        <v>2.61</v>
      </c>
      <c r="T14" s="573">
        <v>2.74</v>
      </c>
      <c r="U14" s="602">
        <v>1.91</v>
      </c>
      <c r="V14" s="615">
        <v>0.34</v>
      </c>
      <c r="W14" s="597">
        <v>0.03</v>
      </c>
      <c r="X14" s="616">
        <v>0.25</v>
      </c>
      <c r="Y14" s="607">
        <v>5.0000000000000001E-3</v>
      </c>
      <c r="Z14" s="573">
        <v>6.0000000000000001E-3</v>
      </c>
      <c r="AA14" s="602">
        <v>5.0000000000000001E-3</v>
      </c>
      <c r="AB14" s="615">
        <v>0.2</v>
      </c>
      <c r="AC14" s="597">
        <v>0.32</v>
      </c>
      <c r="AD14" s="623">
        <v>0.4</v>
      </c>
    </row>
    <row r="15" spans="1:30" x14ac:dyDescent="0.3">
      <c r="A15" s="556" t="str">
        <f>_xlfn.CONCAT(Physicochemical_Managed!Y14, Physicochemical_Managed!P14)</f>
        <v>During the burnEP44385</v>
      </c>
      <c r="B15" s="557" t="str">
        <v>After the burnSPI44419</v>
      </c>
      <c r="C15" s="558" t="str">
        <f t="shared" si="0"/>
        <v>SPI44419</v>
      </c>
      <c r="D15" s="571" t="str">
        <f t="shared" si="1"/>
        <v>MRT44320</v>
      </c>
      <c r="E15" s="572" t="str">
        <f t="shared" si="2"/>
        <v>SPI44370</v>
      </c>
      <c r="F15" s="587" t="str">
        <f t="shared" si="3"/>
        <v>SPI44419</v>
      </c>
      <c r="G15" s="592">
        <v>6.43</v>
      </c>
      <c r="H15" s="573">
        <v>6.63</v>
      </c>
      <c r="I15" s="602">
        <v>7.09</v>
      </c>
      <c r="J15" s="615">
        <v>24.6</v>
      </c>
      <c r="K15" s="597">
        <v>27.4</v>
      </c>
      <c r="L15" s="616">
        <v>29.5</v>
      </c>
      <c r="M15" s="607">
        <v>0.08</v>
      </c>
      <c r="N15" s="573">
        <v>2.52</v>
      </c>
      <c r="O15" s="602">
        <v>0.11</v>
      </c>
      <c r="P15" s="615">
        <v>2.0299999999999998</v>
      </c>
      <c r="Q15" s="597">
        <v>0.01</v>
      </c>
      <c r="R15" s="616">
        <v>1.59</v>
      </c>
      <c r="S15" s="607">
        <v>2.25</v>
      </c>
      <c r="T15" s="573">
        <v>2.5499999999999998</v>
      </c>
      <c r="U15" s="602">
        <v>1.82</v>
      </c>
      <c r="V15" s="615">
        <v>0.18</v>
      </c>
      <c r="W15" s="597">
        <v>0.21</v>
      </c>
      <c r="X15" s="616">
        <v>0.18</v>
      </c>
      <c r="Y15" s="607">
        <v>4.0000000000000001E-3</v>
      </c>
      <c r="Z15" s="573">
        <v>7.0000000000000001E-3</v>
      </c>
      <c r="AA15" s="602">
        <v>6.0000000000000001E-3</v>
      </c>
      <c r="AB15" s="615">
        <v>0.28999999999999998</v>
      </c>
      <c r="AC15" s="597">
        <v>0.37</v>
      </c>
      <c r="AD15" s="623">
        <v>0.44</v>
      </c>
    </row>
    <row r="16" spans="1:30" x14ac:dyDescent="0.3">
      <c r="A16" s="556" t="str">
        <f>_xlfn.CONCAT(Physicochemical_Managed!Y15, Physicochemical_Managed!P15)</f>
        <v>During the burnEP44391</v>
      </c>
      <c r="B16" s="557" t="str">
        <v>After the burnSPI44426</v>
      </c>
      <c r="C16" s="558" t="str">
        <f t="shared" si="0"/>
        <v>SPI44426</v>
      </c>
      <c r="D16" s="571" t="str">
        <f t="shared" si="1"/>
        <v>MRT44327</v>
      </c>
      <c r="E16" s="572" t="str">
        <f t="shared" si="2"/>
        <v>SPI44377</v>
      </c>
      <c r="F16" s="587" t="str">
        <f t="shared" si="3"/>
        <v>SPI44426</v>
      </c>
      <c r="G16" s="592">
        <v>6.44</v>
      </c>
      <c r="H16" s="573">
        <v>7.09</v>
      </c>
      <c r="I16" s="602">
        <v>6.7</v>
      </c>
      <c r="J16" s="615">
        <v>25.1</v>
      </c>
      <c r="K16" s="597">
        <v>27.2</v>
      </c>
      <c r="L16" s="616">
        <v>28.6</v>
      </c>
      <c r="M16" s="607">
        <v>0.18</v>
      </c>
      <c r="N16" s="573">
        <v>2.35</v>
      </c>
      <c r="O16" s="602">
        <v>0.09</v>
      </c>
      <c r="P16" s="615">
        <v>2.04</v>
      </c>
      <c r="Q16" s="597">
        <v>0</v>
      </c>
      <c r="R16" s="616">
        <v>1.61</v>
      </c>
      <c r="S16" s="607">
        <v>2.34</v>
      </c>
      <c r="T16" s="573">
        <v>2.56</v>
      </c>
      <c r="U16" s="602">
        <v>1.8</v>
      </c>
      <c r="V16" s="615">
        <v>0.13</v>
      </c>
      <c r="W16" s="597">
        <v>0.03</v>
      </c>
      <c r="X16" s="616">
        <v>0.18</v>
      </c>
      <c r="Y16" s="607">
        <v>6.0000000000000001E-3</v>
      </c>
      <c r="Z16" s="573">
        <v>7.0000000000000001E-3</v>
      </c>
      <c r="AA16" s="602">
        <v>5.0000000000000001E-3</v>
      </c>
      <c r="AB16" s="615">
        <v>0.28000000000000003</v>
      </c>
      <c r="AC16" s="597">
        <v>0.41</v>
      </c>
      <c r="AD16" s="623">
        <v>0.38</v>
      </c>
    </row>
    <row r="17" spans="1:30" x14ac:dyDescent="0.3">
      <c r="A17" s="556" t="str">
        <f>_xlfn.CONCAT(Physicochemical_Managed!Y16, Physicochemical_Managed!P16)</f>
        <v>During the burnEP44398</v>
      </c>
      <c r="B17" s="557" t="str">
        <v>After the burnSPI44433</v>
      </c>
      <c r="C17" s="558" t="str">
        <f t="shared" si="0"/>
        <v>SPI44433</v>
      </c>
      <c r="D17" s="571" t="str">
        <f t="shared" si="1"/>
        <v>MRT44335</v>
      </c>
      <c r="E17" s="572" t="str">
        <f t="shared" si="2"/>
        <v>SPI44385</v>
      </c>
      <c r="F17" s="587" t="str">
        <f t="shared" si="3"/>
        <v>SPI44433</v>
      </c>
      <c r="G17" s="592">
        <v>6.62</v>
      </c>
      <c r="H17" s="573">
        <v>6.67</v>
      </c>
      <c r="I17" s="602">
        <v>6.7</v>
      </c>
      <c r="J17" s="615">
        <v>24.4</v>
      </c>
      <c r="K17" s="597">
        <v>27.6</v>
      </c>
      <c r="L17" s="616">
        <v>30.4</v>
      </c>
      <c r="M17" s="607">
        <v>0.17</v>
      </c>
      <c r="N17" s="573">
        <v>2.52</v>
      </c>
      <c r="O17" s="602">
        <v>0.08</v>
      </c>
      <c r="P17" s="615">
        <v>1.99</v>
      </c>
      <c r="Q17" s="597">
        <v>0.02</v>
      </c>
      <c r="R17" s="616">
        <v>1.21</v>
      </c>
      <c r="S17" s="607">
        <v>2.25</v>
      </c>
      <c r="T17" s="573">
        <v>2.73</v>
      </c>
      <c r="U17" s="602">
        <v>1.19</v>
      </c>
      <c r="V17" s="615">
        <v>0.2</v>
      </c>
      <c r="W17" s="597">
        <v>0.22</v>
      </c>
      <c r="X17" s="616">
        <v>0.21</v>
      </c>
      <c r="Y17" s="607">
        <v>5.0000000000000001E-3</v>
      </c>
      <c r="Z17" s="573">
        <v>6.0000000000000001E-3</v>
      </c>
      <c r="AA17" s="602">
        <v>7.0000000000000001E-3</v>
      </c>
      <c r="AB17" s="615">
        <v>0.26</v>
      </c>
      <c r="AC17" s="597">
        <v>0.38</v>
      </c>
      <c r="AD17" s="623">
        <v>0.38</v>
      </c>
    </row>
    <row r="18" spans="1:30" x14ac:dyDescent="0.3">
      <c r="A18" s="556" t="str">
        <f>_xlfn.CONCAT(Physicochemical_Managed!Y17, Physicochemical_Managed!P17)</f>
        <v>After the burnEP44405</v>
      </c>
      <c r="B18" s="557" t="str">
        <v>After the burnSPO44405</v>
      </c>
      <c r="C18" s="558" t="str">
        <f t="shared" si="0"/>
        <v>SPO44405</v>
      </c>
      <c r="D18" s="571" t="str">
        <f t="shared" si="1"/>
        <v>MRT44342</v>
      </c>
      <c r="E18" s="572" t="str">
        <f t="shared" si="2"/>
        <v>SPI44391</v>
      </c>
      <c r="F18" s="587" t="str">
        <f t="shared" si="3"/>
        <v>SPO44405</v>
      </c>
      <c r="G18" s="592">
        <v>6.56</v>
      </c>
      <c r="H18" s="573">
        <v>6.57</v>
      </c>
      <c r="I18" s="602">
        <v>6.71</v>
      </c>
      <c r="J18" s="615">
        <v>25.8</v>
      </c>
      <c r="K18" s="597">
        <v>27.7</v>
      </c>
      <c r="L18" s="616">
        <v>28.8</v>
      </c>
      <c r="M18" s="607">
        <v>0.11</v>
      </c>
      <c r="N18" s="573">
        <v>2.39</v>
      </c>
      <c r="O18" s="602">
        <v>1.86</v>
      </c>
      <c r="P18" s="615">
        <v>2.2799999999999998</v>
      </c>
      <c r="Q18" s="597">
        <v>0</v>
      </c>
      <c r="R18" s="616">
        <v>0</v>
      </c>
      <c r="S18" s="607">
        <v>2.72</v>
      </c>
      <c r="T18" s="573">
        <v>2.4300000000000002</v>
      </c>
      <c r="U18" s="602">
        <v>1.54</v>
      </c>
      <c r="V18" s="615">
        <v>0.27</v>
      </c>
      <c r="W18" s="597">
        <v>0.03</v>
      </c>
      <c r="X18" s="616">
        <v>0.03</v>
      </c>
      <c r="Y18" s="607">
        <v>5.0000000000000001E-3</v>
      </c>
      <c r="Z18" s="573">
        <v>5.0000000000000001E-3</v>
      </c>
      <c r="AA18" s="602">
        <v>7.0000000000000001E-3</v>
      </c>
      <c r="AB18" s="615">
        <v>0.34</v>
      </c>
      <c r="AC18" s="597">
        <v>0.4</v>
      </c>
      <c r="AD18" s="623">
        <v>0.65</v>
      </c>
    </row>
    <row r="19" spans="1:30" x14ac:dyDescent="0.3">
      <c r="A19" s="556" t="str">
        <f>_xlfn.CONCAT(Physicochemical_Managed!Y18, Physicochemical_Managed!P18)</f>
        <v>After the burnEP44412</v>
      </c>
      <c r="B19" s="557" t="str">
        <v>After the burnSPO44412</v>
      </c>
      <c r="C19" s="558" t="str">
        <f t="shared" si="0"/>
        <v>SPO44412</v>
      </c>
      <c r="D19" s="571" t="str">
        <f t="shared" si="1"/>
        <v>MRT44356</v>
      </c>
      <c r="E19" s="572" t="str">
        <f t="shared" si="2"/>
        <v>SPI44398</v>
      </c>
      <c r="F19" s="587" t="str">
        <f t="shared" si="3"/>
        <v>SPO44412</v>
      </c>
      <c r="G19" s="592">
        <v>6.87</v>
      </c>
      <c r="H19" s="573">
        <v>6.53</v>
      </c>
      <c r="I19" s="602">
        <v>6.73</v>
      </c>
      <c r="J19" s="615">
        <v>26.4</v>
      </c>
      <c r="K19" s="597">
        <v>27.1</v>
      </c>
      <c r="L19" s="616">
        <v>28.4</v>
      </c>
      <c r="M19" s="607">
        <v>0.11</v>
      </c>
      <c r="N19" s="573">
        <v>7.0000000000000007E-2</v>
      </c>
      <c r="O19" s="602">
        <v>0.06</v>
      </c>
      <c r="P19" s="615">
        <v>2.2799999999999998</v>
      </c>
      <c r="Q19" s="597">
        <v>0.71</v>
      </c>
      <c r="R19" s="616">
        <v>0.7</v>
      </c>
      <c r="S19" s="607">
        <v>2.42</v>
      </c>
      <c r="T19" s="573">
        <v>1.03</v>
      </c>
      <c r="U19" s="602">
        <v>0.82</v>
      </c>
      <c r="V19" s="615">
        <v>0.25</v>
      </c>
      <c r="W19" s="597">
        <v>0.33</v>
      </c>
      <c r="X19" s="616">
        <v>0.17</v>
      </c>
      <c r="Y19" s="607">
        <v>7.0000000000000001E-3</v>
      </c>
      <c r="Z19" s="573">
        <v>5.0999999999999997E-2</v>
      </c>
      <c r="AA19" s="602">
        <v>8.0000000000000002E-3</v>
      </c>
      <c r="AB19" s="615">
        <v>0.35</v>
      </c>
      <c r="AC19" s="597">
        <v>0.56000000000000005</v>
      </c>
      <c r="AD19" s="623">
        <v>0.69</v>
      </c>
    </row>
    <row r="20" spans="1:30" x14ac:dyDescent="0.3">
      <c r="A20" s="556" t="str">
        <f>_xlfn.CONCAT(Physicochemical_Managed!Y19, Physicochemical_Managed!P19)</f>
        <v>After the burnEP44419</v>
      </c>
      <c r="B20" s="557" t="str">
        <v>After the burnSPO44419</v>
      </c>
      <c r="C20" s="558" t="str">
        <f t="shared" si="0"/>
        <v>SPO44419</v>
      </c>
      <c r="D20" s="571" t="str">
        <f t="shared" si="1"/>
        <v>SPI44294</v>
      </c>
      <c r="E20" s="572" t="str">
        <f t="shared" si="2"/>
        <v>SPO44370</v>
      </c>
      <c r="F20" s="587" t="str">
        <f t="shared" si="3"/>
        <v>SPO44419</v>
      </c>
      <c r="G20" s="592">
        <v>6.43</v>
      </c>
      <c r="H20" s="573">
        <v>6.97</v>
      </c>
      <c r="I20" s="602">
        <v>6.8</v>
      </c>
      <c r="J20" s="615">
        <v>21.533333333333331</v>
      </c>
      <c r="K20" s="597">
        <v>26.5</v>
      </c>
      <c r="L20" s="616">
        <v>27.5</v>
      </c>
      <c r="M20" s="607">
        <v>1.0133333333333334</v>
      </c>
      <c r="N20" s="573">
        <v>2.73</v>
      </c>
      <c r="O20" s="602">
        <v>0.1</v>
      </c>
      <c r="P20" s="615">
        <v>1.9000000000000001</v>
      </c>
      <c r="Q20" s="597">
        <v>0.01</v>
      </c>
      <c r="R20" s="616">
        <v>0.84</v>
      </c>
      <c r="S20" s="607">
        <v>1.7599999999999998</v>
      </c>
      <c r="T20" s="573">
        <v>2.65</v>
      </c>
      <c r="U20" s="602">
        <v>0.98</v>
      </c>
      <c r="V20" s="615">
        <v>0.29666666666666669</v>
      </c>
      <c r="W20" s="597">
        <v>0.19</v>
      </c>
      <c r="X20" s="616">
        <v>0.19</v>
      </c>
      <c r="Y20" s="607">
        <v>5.3333333333333332E-3</v>
      </c>
      <c r="Z20" s="573">
        <v>8.0000000000000002E-3</v>
      </c>
      <c r="AA20" s="602">
        <v>7.0000000000000001E-3</v>
      </c>
      <c r="AB20" s="615">
        <v>0.33</v>
      </c>
      <c r="AC20" s="597">
        <v>0.53</v>
      </c>
      <c r="AD20" s="623">
        <v>0.7</v>
      </c>
    </row>
    <row r="21" spans="1:30" x14ac:dyDescent="0.3">
      <c r="A21" s="556" t="str">
        <f>_xlfn.CONCAT(Physicochemical_Managed!Y20, Physicochemical_Managed!P20)</f>
        <v>After the burnEP44426</v>
      </c>
      <c r="B21" s="557" t="str">
        <v>After the burnSPO44426</v>
      </c>
      <c r="C21" s="558" t="str">
        <f t="shared" si="0"/>
        <v>SPO44426</v>
      </c>
      <c r="D21" s="571" t="str">
        <f t="shared" si="1"/>
        <v>SPI44306</v>
      </c>
      <c r="E21" s="572" t="str">
        <f t="shared" si="2"/>
        <v>SPO44377</v>
      </c>
      <c r="F21" s="587" t="str">
        <f t="shared" si="3"/>
        <v>SPO44426</v>
      </c>
      <c r="G21" s="592">
        <v>6.66</v>
      </c>
      <c r="H21" s="573">
        <v>6.86</v>
      </c>
      <c r="I21" s="602">
        <v>6.75</v>
      </c>
      <c r="J21" s="615">
        <v>20.6</v>
      </c>
      <c r="K21" s="597">
        <v>25.9</v>
      </c>
      <c r="L21" s="616">
        <v>28.1</v>
      </c>
      <c r="M21" s="607">
        <v>2.77</v>
      </c>
      <c r="N21" s="573">
        <v>2.2200000000000002</v>
      </c>
      <c r="O21" s="602">
        <v>0.04</v>
      </c>
      <c r="P21" s="615">
        <v>1.83</v>
      </c>
      <c r="Q21" s="597">
        <v>0.01</v>
      </c>
      <c r="R21" s="616">
        <v>0.66</v>
      </c>
      <c r="S21" s="607">
        <v>0.13</v>
      </c>
      <c r="T21" s="573">
        <v>2.3199999999999998</v>
      </c>
      <c r="U21" s="602">
        <v>0.77</v>
      </c>
      <c r="V21" s="615">
        <v>0.24</v>
      </c>
      <c r="W21" s="597">
        <v>0.1</v>
      </c>
      <c r="X21" s="616">
        <v>0.24</v>
      </c>
      <c r="Y21" s="607">
        <v>5.0000000000000001E-3</v>
      </c>
      <c r="Z21" s="573">
        <v>1.2E-2</v>
      </c>
      <c r="AA21" s="602">
        <v>7.0000000000000001E-3</v>
      </c>
      <c r="AB21" s="615">
        <v>0.33</v>
      </c>
      <c r="AC21" s="597">
        <v>0.67</v>
      </c>
      <c r="AD21" s="623">
        <v>0.69</v>
      </c>
    </row>
    <row r="22" spans="1:30" x14ac:dyDescent="0.3">
      <c r="A22" s="556" t="str">
        <f>_xlfn.CONCAT(Physicochemical_Managed!Y21, Physicochemical_Managed!P21)</f>
        <v>After the burnEP44433</v>
      </c>
      <c r="B22" s="557" t="str">
        <v>After the burnSPO44433</v>
      </c>
      <c r="C22" s="558" t="str">
        <f t="shared" si="0"/>
        <v>SPO44433</v>
      </c>
      <c r="D22" s="571" t="str">
        <f t="shared" si="1"/>
        <v>SPI44313</v>
      </c>
      <c r="E22" s="572" t="str">
        <f t="shared" si="2"/>
        <v>SPO44385</v>
      </c>
      <c r="F22" s="587" t="str">
        <f t="shared" si="3"/>
        <v>SPO44433</v>
      </c>
      <c r="G22" s="592">
        <v>6.31</v>
      </c>
      <c r="H22" s="573">
        <v>6.41</v>
      </c>
      <c r="I22" s="602">
        <v>6.73</v>
      </c>
      <c r="J22" s="615">
        <v>22</v>
      </c>
      <c r="K22" s="597">
        <v>26.9</v>
      </c>
      <c r="L22" s="616">
        <v>28.6</v>
      </c>
      <c r="M22" s="607">
        <v>0.21</v>
      </c>
      <c r="N22" s="573">
        <v>1.77</v>
      </c>
      <c r="O22" s="602">
        <v>0.08</v>
      </c>
      <c r="P22" s="615">
        <v>1.88</v>
      </c>
      <c r="Q22" s="597">
        <v>0.01</v>
      </c>
      <c r="R22" s="616">
        <v>0.7</v>
      </c>
      <c r="S22" s="607">
        <v>2.52</v>
      </c>
      <c r="T22" s="573">
        <v>0.84</v>
      </c>
      <c r="U22" s="602">
        <v>0.64</v>
      </c>
      <c r="V22" s="615">
        <v>0.34</v>
      </c>
      <c r="W22" s="597">
        <v>0.05</v>
      </c>
      <c r="X22" s="616">
        <v>0.7</v>
      </c>
      <c r="Y22" s="607">
        <v>6.0000000000000001E-3</v>
      </c>
      <c r="Z22" s="573">
        <v>6.0000000000000001E-3</v>
      </c>
      <c r="AA22" s="602">
        <v>8.0000000000000002E-3</v>
      </c>
      <c r="AB22" s="615">
        <v>0.32</v>
      </c>
      <c r="AC22" s="597">
        <v>0.65</v>
      </c>
      <c r="AD22" s="623">
        <v>0.66</v>
      </c>
    </row>
    <row r="23" spans="1:30" x14ac:dyDescent="0.3">
      <c r="A23" s="556" t="str">
        <f>_xlfn.CONCAT(Physicochemical_Managed!Y22, Physicochemical_Managed!P22)</f>
        <v>Before the burnSPI44294</v>
      </c>
      <c r="B23" s="557" t="str">
        <v>Before the burnEP44294</v>
      </c>
      <c r="C23" s="558" t="str">
        <f t="shared" si="0"/>
        <v>EP44294</v>
      </c>
      <c r="D23" s="571" t="str">
        <f t="shared" si="1"/>
        <v>SPI44320</v>
      </c>
      <c r="E23" s="572" t="str">
        <f t="shared" si="2"/>
        <v>SPO44391</v>
      </c>
      <c r="F23" s="587"/>
      <c r="G23" s="592">
        <v>6.43</v>
      </c>
      <c r="H23" s="573">
        <v>6.42</v>
      </c>
      <c r="I23" s="602"/>
      <c r="J23" s="615">
        <v>24.3</v>
      </c>
      <c r="K23" s="597">
        <v>27.1</v>
      </c>
      <c r="L23" s="616"/>
      <c r="M23" s="607">
        <v>0.08</v>
      </c>
      <c r="N23" s="573">
        <v>1.35</v>
      </c>
      <c r="O23" s="602"/>
      <c r="P23" s="615">
        <v>1.87</v>
      </c>
      <c r="Q23" s="597">
        <v>0.01</v>
      </c>
      <c r="R23" s="616"/>
      <c r="S23" s="607">
        <v>2.2200000000000002</v>
      </c>
      <c r="T23" s="573">
        <v>1.36</v>
      </c>
      <c r="U23" s="602"/>
      <c r="V23" s="615">
        <v>0.22</v>
      </c>
      <c r="W23" s="597">
        <v>0.01</v>
      </c>
      <c r="X23" s="616"/>
      <c r="Y23" s="607">
        <v>6.0000000000000001E-3</v>
      </c>
      <c r="Z23" s="573">
        <v>8.9999999999999993E-3</v>
      </c>
      <c r="AA23" s="602"/>
      <c r="AB23" s="615">
        <v>0.32</v>
      </c>
      <c r="AC23" s="597">
        <v>0.54</v>
      </c>
      <c r="AD23" s="623"/>
    </row>
    <row r="24" spans="1:30" x14ac:dyDescent="0.3">
      <c r="A24" s="556" t="str">
        <f>_xlfn.CONCAT(Physicochemical_Managed!Y23, Physicochemical_Managed!P23)</f>
        <v>Before the burnSPI44306</v>
      </c>
      <c r="B24" s="557" t="str">
        <v>Before the burnEP44306</v>
      </c>
      <c r="C24" s="558" t="str">
        <f t="shared" si="0"/>
        <v>EP44306</v>
      </c>
      <c r="D24" s="571" t="str">
        <f t="shared" si="1"/>
        <v>SPI44327</v>
      </c>
      <c r="E24" s="572" t="str">
        <f t="shared" si="2"/>
        <v>SPO44398</v>
      </c>
      <c r="F24" s="587"/>
      <c r="G24" s="592">
        <v>6.65</v>
      </c>
      <c r="H24" s="573">
        <v>6.83</v>
      </c>
      <c r="I24" s="602"/>
      <c r="J24" s="615">
        <v>24.4</v>
      </c>
      <c r="K24" s="597">
        <v>26.6</v>
      </c>
      <c r="L24" s="616"/>
      <c r="M24" s="607">
        <v>0.09</v>
      </c>
      <c r="N24" s="573">
        <v>1.89</v>
      </c>
      <c r="O24" s="602"/>
      <c r="P24" s="615">
        <v>1.78</v>
      </c>
      <c r="Q24" s="597">
        <v>0</v>
      </c>
      <c r="R24" s="616"/>
      <c r="S24" s="607">
        <v>2.13</v>
      </c>
      <c r="T24" s="573">
        <v>1.89</v>
      </c>
      <c r="U24" s="602"/>
      <c r="V24" s="615">
        <v>0.21</v>
      </c>
      <c r="W24" s="597">
        <v>0.24</v>
      </c>
      <c r="X24" s="616"/>
      <c r="Y24" s="607">
        <v>7.0000000000000001E-3</v>
      </c>
      <c r="Z24" s="573">
        <v>0.01</v>
      </c>
      <c r="AA24" s="602"/>
      <c r="AB24" s="615">
        <v>0.3</v>
      </c>
      <c r="AC24" s="597">
        <v>0.69</v>
      </c>
      <c r="AD24" s="623"/>
    </row>
    <row r="25" spans="1:30" x14ac:dyDescent="0.3">
      <c r="A25" s="556" t="str">
        <f>_xlfn.CONCAT(Physicochemical_Managed!Y24, Physicochemical_Managed!P24)</f>
        <v>Before the burnSPI44313</v>
      </c>
      <c r="B25" s="557" t="str">
        <v>Before the burnEP44313</v>
      </c>
      <c r="C25" s="558" t="str">
        <f t="shared" si="0"/>
        <v>EP44313</v>
      </c>
      <c r="D25" s="571" t="str">
        <f>C45</f>
        <v>SPI44335</v>
      </c>
      <c r="E25" s="572"/>
      <c r="F25" s="587"/>
      <c r="G25" s="592">
        <v>6.53</v>
      </c>
      <c r="H25" s="573"/>
      <c r="I25" s="602"/>
      <c r="J25" s="615">
        <v>24.8</v>
      </c>
      <c r="K25" s="597"/>
      <c r="L25" s="616"/>
      <c r="M25" s="607">
        <v>0.11</v>
      </c>
      <c r="N25" s="573"/>
      <c r="O25" s="602"/>
      <c r="P25" s="615">
        <v>1.77</v>
      </c>
      <c r="Q25" s="597"/>
      <c r="R25" s="616"/>
      <c r="S25" s="607">
        <v>2.23</v>
      </c>
      <c r="T25" s="573"/>
      <c r="U25" s="602"/>
      <c r="V25" s="615">
        <v>0.33</v>
      </c>
      <c r="W25" s="597"/>
      <c r="X25" s="616"/>
      <c r="Y25" s="607">
        <v>5.0000000000000001E-3</v>
      </c>
      <c r="Z25" s="573"/>
      <c r="AA25" s="602"/>
      <c r="AB25" s="615">
        <v>0.26</v>
      </c>
      <c r="AC25" s="597"/>
      <c r="AD25" s="623"/>
    </row>
    <row r="26" spans="1:30" x14ac:dyDescent="0.3">
      <c r="A26" s="556" t="str">
        <f>_xlfn.CONCAT(Physicochemical_Managed!Y25, Physicochemical_Managed!P25)</f>
        <v>Before the burnSPI44320</v>
      </c>
      <c r="B26" s="557" t="str">
        <v>Before the burnEP44320</v>
      </c>
      <c r="C26" s="558" t="str">
        <f t="shared" si="0"/>
        <v>EP44320</v>
      </c>
      <c r="D26" s="571" t="str">
        <f t="shared" si="1"/>
        <v>SPI44342</v>
      </c>
      <c r="E26" s="572"/>
      <c r="F26" s="587"/>
      <c r="G26" s="592">
        <v>6.62</v>
      </c>
      <c r="H26" s="573"/>
      <c r="I26" s="602"/>
      <c r="J26" s="615">
        <v>25.3</v>
      </c>
      <c r="K26" s="597"/>
      <c r="L26" s="616"/>
      <c r="M26" s="607">
        <v>0.09</v>
      </c>
      <c r="N26" s="573"/>
      <c r="O26" s="602"/>
      <c r="P26" s="615">
        <v>1.72</v>
      </c>
      <c r="Q26" s="597"/>
      <c r="R26" s="616"/>
      <c r="S26" s="607">
        <v>2.34</v>
      </c>
      <c r="T26" s="573"/>
      <c r="U26" s="602"/>
      <c r="V26" s="615">
        <v>0.25</v>
      </c>
      <c r="W26" s="597"/>
      <c r="X26" s="616"/>
      <c r="Y26" s="607">
        <v>5.0000000000000001E-3</v>
      </c>
      <c r="Z26" s="573"/>
      <c r="AA26" s="602"/>
      <c r="AB26" s="615">
        <v>0.35</v>
      </c>
      <c r="AC26" s="597"/>
      <c r="AD26" s="623"/>
    </row>
    <row r="27" spans="1:30" x14ac:dyDescent="0.3">
      <c r="A27" s="556" t="str">
        <f>_xlfn.CONCAT(Physicochemical_Managed!Y26, Physicochemical_Managed!P26)</f>
        <v>Before the burnSPI44327</v>
      </c>
      <c r="B27" s="557" t="str">
        <v>Before the burnEP44327</v>
      </c>
      <c r="C27" s="558" t="str">
        <f t="shared" si="0"/>
        <v>EP44327</v>
      </c>
      <c r="D27" s="571" t="str">
        <f t="shared" si="1"/>
        <v>SPI44356</v>
      </c>
      <c r="E27" s="572"/>
      <c r="F27" s="587"/>
      <c r="G27" s="592">
        <v>7.2</v>
      </c>
      <c r="H27" s="573"/>
      <c r="I27" s="602"/>
      <c r="J27" s="615">
        <v>25.2</v>
      </c>
      <c r="K27" s="597"/>
      <c r="L27" s="616"/>
      <c r="M27" s="607">
        <v>0.09</v>
      </c>
      <c r="N27" s="573"/>
      <c r="O27" s="602"/>
      <c r="P27" s="615">
        <v>1.82</v>
      </c>
      <c r="Q27" s="597"/>
      <c r="R27" s="616"/>
      <c r="S27" s="607">
        <v>2.2599999999999998</v>
      </c>
      <c r="T27" s="573"/>
      <c r="U27" s="602"/>
      <c r="V27" s="615">
        <v>0.14000000000000001</v>
      </c>
      <c r="W27" s="597"/>
      <c r="X27" s="616"/>
      <c r="Y27" s="607">
        <v>1E-3</v>
      </c>
      <c r="Z27" s="573"/>
      <c r="AA27" s="602"/>
      <c r="AB27" s="615">
        <v>0.36</v>
      </c>
      <c r="AC27" s="597"/>
      <c r="AD27" s="623"/>
    </row>
    <row r="28" spans="1:30" x14ac:dyDescent="0.3">
      <c r="A28" s="556" t="str">
        <f>_xlfn.CONCAT(Physicochemical_Managed!Y27, Physicochemical_Managed!P27)</f>
        <v>Before the burnSPI44335</v>
      </c>
      <c r="B28" s="557" t="str">
        <v>Before the burnEP44335</v>
      </c>
      <c r="C28" s="558" t="str">
        <f t="shared" si="0"/>
        <v>EP44335</v>
      </c>
      <c r="D28" s="571" t="str">
        <f t="shared" si="1"/>
        <v>SPO44294</v>
      </c>
      <c r="E28" s="572"/>
      <c r="F28" s="587"/>
      <c r="G28" s="592">
        <v>6.5533333333333337</v>
      </c>
      <c r="H28" s="573"/>
      <c r="I28" s="602"/>
      <c r="J28" s="615">
        <v>22.633333333333336</v>
      </c>
      <c r="K28" s="597"/>
      <c r="L28" s="616"/>
      <c r="M28" s="607">
        <v>6.2333333333333331E-2</v>
      </c>
      <c r="N28" s="573"/>
      <c r="O28" s="602"/>
      <c r="P28" s="615">
        <v>0.70666666666666667</v>
      </c>
      <c r="Q28" s="597"/>
      <c r="R28" s="616"/>
      <c r="S28" s="607">
        <v>1.0899999999999999</v>
      </c>
      <c r="T28" s="573"/>
      <c r="U28" s="602"/>
      <c r="V28" s="615">
        <v>0.33</v>
      </c>
      <c r="W28" s="597"/>
      <c r="X28" s="616"/>
      <c r="Y28" s="607">
        <v>0.06</v>
      </c>
      <c r="Z28" s="573"/>
      <c r="AA28" s="602"/>
      <c r="AB28" s="615">
        <v>0.5033333333333333</v>
      </c>
      <c r="AC28" s="597"/>
      <c r="AD28" s="623"/>
    </row>
    <row r="29" spans="1:30" x14ac:dyDescent="0.3">
      <c r="A29" s="556" t="str">
        <f>_xlfn.CONCAT(Physicochemical_Managed!Y28, Physicochemical_Managed!P28)</f>
        <v>Before the burnSPI44342</v>
      </c>
      <c r="B29" s="557" t="str">
        <v>Before the burnEP44342</v>
      </c>
      <c r="C29" s="558" t="str">
        <f t="shared" si="0"/>
        <v>EP44342</v>
      </c>
      <c r="D29" s="571" t="str">
        <f t="shared" si="1"/>
        <v>SPO44306</v>
      </c>
      <c r="E29" s="572"/>
      <c r="F29" s="587"/>
      <c r="G29" s="592">
        <v>6.75</v>
      </c>
      <c r="H29" s="573"/>
      <c r="I29" s="602"/>
      <c r="J29" s="615">
        <v>23</v>
      </c>
      <c r="K29" s="597"/>
      <c r="L29" s="616"/>
      <c r="M29" s="607">
        <v>7.0000000000000001E-3</v>
      </c>
      <c r="N29" s="573"/>
      <c r="O29" s="602"/>
      <c r="P29" s="615">
        <v>0.65</v>
      </c>
      <c r="Q29" s="597"/>
      <c r="R29" s="616"/>
      <c r="S29" s="607">
        <v>0.84</v>
      </c>
      <c r="T29" s="573"/>
      <c r="U29" s="602"/>
      <c r="V29" s="615">
        <v>0.22</v>
      </c>
      <c r="W29" s="597"/>
      <c r="X29" s="616"/>
      <c r="Y29" s="607">
        <v>7.0000000000000007E-2</v>
      </c>
      <c r="Z29" s="573"/>
      <c r="AA29" s="602"/>
      <c r="AB29" s="615">
        <v>0.49</v>
      </c>
      <c r="AC29" s="597"/>
      <c r="AD29" s="623"/>
    </row>
    <row r="30" spans="1:30" x14ac:dyDescent="0.3">
      <c r="A30" s="556" t="str">
        <f>_xlfn.CONCAT(Physicochemical_Managed!Y29, Physicochemical_Managed!P29)</f>
        <v>Before the burnSPI44356</v>
      </c>
      <c r="B30" s="557" t="str">
        <v>Before the burnEP44350</v>
      </c>
      <c r="C30" s="558" t="str">
        <f t="shared" si="0"/>
        <v>EP44350</v>
      </c>
      <c r="D30" s="571" t="str">
        <f t="shared" si="1"/>
        <v>SPO44313</v>
      </c>
      <c r="E30" s="572"/>
      <c r="F30" s="587"/>
      <c r="G30" s="592">
        <v>6.62</v>
      </c>
      <c r="H30" s="573"/>
      <c r="I30" s="602"/>
      <c r="J30" s="615">
        <v>22.8</v>
      </c>
      <c r="K30" s="597"/>
      <c r="L30" s="616"/>
      <c r="M30" s="607">
        <v>7.0000000000000007E-2</v>
      </c>
      <c r="N30" s="573"/>
      <c r="O30" s="602"/>
      <c r="P30" s="615">
        <v>0.72</v>
      </c>
      <c r="Q30" s="597"/>
      <c r="R30" s="616"/>
      <c r="S30" s="607">
        <v>1.18</v>
      </c>
      <c r="T30" s="573"/>
      <c r="U30" s="602"/>
      <c r="V30" s="615">
        <v>0.39</v>
      </c>
      <c r="W30" s="597"/>
      <c r="X30" s="616"/>
      <c r="Y30" s="607">
        <v>4.8000000000000001E-2</v>
      </c>
      <c r="Z30" s="573"/>
      <c r="AA30" s="602"/>
      <c r="AB30" s="615">
        <v>0.51</v>
      </c>
      <c r="AC30" s="597"/>
      <c r="AD30" s="623"/>
    </row>
    <row r="31" spans="1:30" x14ac:dyDescent="0.3">
      <c r="A31" s="556" t="str">
        <f>_xlfn.CONCAT(Physicochemical_Managed!Y30, Physicochemical_Managed!P30)</f>
        <v>During the burnSPI44370</v>
      </c>
      <c r="B31" s="557" t="str">
        <v>Before the burnEP44356</v>
      </c>
      <c r="C31" s="558" t="str">
        <f t="shared" si="0"/>
        <v>EP44356</v>
      </c>
      <c r="D31" s="571" t="str">
        <f>C51</f>
        <v>SPO44320</v>
      </c>
      <c r="E31" s="572"/>
      <c r="F31" s="587"/>
      <c r="G31" s="592">
        <v>6.54</v>
      </c>
      <c r="H31" s="573"/>
      <c r="I31" s="602"/>
      <c r="J31" s="615">
        <v>24.6</v>
      </c>
      <c r="K31" s="597"/>
      <c r="L31" s="616"/>
      <c r="M31" s="607">
        <v>0.11</v>
      </c>
      <c r="N31" s="573"/>
      <c r="O31" s="602"/>
      <c r="P31" s="615">
        <v>0.6</v>
      </c>
      <c r="Q31" s="597"/>
      <c r="R31" s="616"/>
      <c r="S31" s="607">
        <v>0.85</v>
      </c>
      <c r="T31" s="573"/>
      <c r="U31" s="602"/>
      <c r="V31" s="615">
        <v>0.28999999999999998</v>
      </c>
      <c r="W31" s="597"/>
      <c r="X31" s="616"/>
      <c r="Y31" s="607">
        <v>7.5999999999999998E-2</v>
      </c>
      <c r="Z31" s="573"/>
      <c r="AA31" s="602"/>
      <c r="AB31" s="615">
        <v>0.49</v>
      </c>
      <c r="AC31" s="597"/>
      <c r="AD31" s="623"/>
    </row>
    <row r="32" spans="1:30" x14ac:dyDescent="0.3">
      <c r="A32" s="556" t="str">
        <f>_xlfn.CONCAT(Physicochemical_Managed!Y31, Physicochemical_Managed!P31)</f>
        <v>During the burnSPI44377</v>
      </c>
      <c r="B32" s="557" t="str">
        <v>Before the burnMRT44294</v>
      </c>
      <c r="C32" s="558" t="str">
        <f t="shared" si="0"/>
        <v>MRT44294</v>
      </c>
      <c r="D32" s="571" t="str">
        <f t="shared" si="1"/>
        <v>SPO44327</v>
      </c>
      <c r="E32" s="572"/>
      <c r="F32" s="587"/>
      <c r="G32" s="592">
        <v>6.66</v>
      </c>
      <c r="H32" s="573"/>
      <c r="I32" s="602"/>
      <c r="J32" s="615">
        <v>23.7</v>
      </c>
      <c r="K32" s="597"/>
      <c r="L32" s="616"/>
      <c r="M32" s="607">
        <v>0.08</v>
      </c>
      <c r="N32" s="573"/>
      <c r="O32" s="602"/>
      <c r="P32" s="615">
        <v>0.85</v>
      </c>
      <c r="Q32" s="597"/>
      <c r="R32" s="616"/>
      <c r="S32" s="607">
        <v>1.17</v>
      </c>
      <c r="T32" s="573"/>
      <c r="U32" s="602"/>
      <c r="V32" s="615">
        <v>0.23</v>
      </c>
      <c r="W32" s="597"/>
      <c r="X32" s="616"/>
      <c r="Y32" s="607">
        <v>5.1999999999999998E-2</v>
      </c>
      <c r="Z32" s="573"/>
      <c r="AA32" s="602"/>
      <c r="AB32" s="615">
        <v>0.49</v>
      </c>
      <c r="AC32" s="597"/>
      <c r="AD32" s="623"/>
    </row>
    <row r="33" spans="1:30" x14ac:dyDescent="0.3">
      <c r="A33" s="556" t="str">
        <f>_xlfn.CONCAT(Physicochemical_Managed!Y32, Physicochemical_Managed!P32)</f>
        <v>During the burnSPI44385</v>
      </c>
      <c r="B33" s="557" t="str">
        <v>Before the burnMRT44306</v>
      </c>
      <c r="C33" s="558" t="str">
        <f t="shared" si="0"/>
        <v>MRT44306</v>
      </c>
      <c r="D33" s="571" t="str">
        <f t="shared" si="1"/>
        <v>SPO44335</v>
      </c>
      <c r="E33" s="572"/>
      <c r="F33" s="587"/>
      <c r="G33" s="592">
        <v>6.78</v>
      </c>
      <c r="H33" s="573"/>
      <c r="I33" s="602"/>
      <c r="J33" s="615">
        <v>23.8</v>
      </c>
      <c r="K33" s="597"/>
      <c r="L33" s="616"/>
      <c r="M33" s="607">
        <v>0.15</v>
      </c>
      <c r="N33" s="573"/>
      <c r="O33" s="602"/>
      <c r="P33" s="615">
        <v>0.34</v>
      </c>
      <c r="Q33" s="597"/>
      <c r="R33" s="616"/>
      <c r="S33" s="607">
        <v>0.54</v>
      </c>
      <c r="T33" s="573"/>
      <c r="U33" s="602"/>
      <c r="V33" s="615">
        <v>0.17</v>
      </c>
      <c r="W33" s="597"/>
      <c r="X33" s="616"/>
      <c r="Y33" s="607">
        <v>6.3E-2</v>
      </c>
      <c r="Z33" s="573"/>
      <c r="AA33" s="602"/>
      <c r="AB33" s="615">
        <v>0.53</v>
      </c>
      <c r="AC33" s="597"/>
      <c r="AD33" s="623"/>
    </row>
    <row r="34" spans="1:30" x14ac:dyDescent="0.3">
      <c r="A34" s="556" t="str">
        <f>_xlfn.CONCAT(Physicochemical_Managed!Y33, Physicochemical_Managed!P33)</f>
        <v>During the burnSPI44391</v>
      </c>
      <c r="B34" s="557" t="str">
        <v>Before the burnMRT44313</v>
      </c>
      <c r="C34" s="558" t="str">
        <f t="shared" si="0"/>
        <v>MRT44313</v>
      </c>
      <c r="D34" s="571" t="str">
        <f t="shared" si="1"/>
        <v>SPO44342</v>
      </c>
      <c r="E34" s="572"/>
      <c r="F34" s="587"/>
      <c r="G34" s="592">
        <v>6.35</v>
      </c>
      <c r="H34" s="573"/>
      <c r="I34" s="602"/>
      <c r="J34" s="615">
        <v>24.6</v>
      </c>
      <c r="K34" s="597"/>
      <c r="L34" s="616"/>
      <c r="M34" s="607">
        <v>0.04</v>
      </c>
      <c r="N34" s="573"/>
      <c r="O34" s="602"/>
      <c r="P34" s="615">
        <v>0.49</v>
      </c>
      <c r="Q34" s="597"/>
      <c r="R34" s="616"/>
      <c r="S34" s="607">
        <v>0.76</v>
      </c>
      <c r="T34" s="573"/>
      <c r="U34" s="602"/>
      <c r="V34" s="615">
        <v>0.19</v>
      </c>
      <c r="W34" s="597"/>
      <c r="X34" s="616"/>
      <c r="Y34" s="607">
        <v>7.6999999999999999E-2</v>
      </c>
      <c r="Z34" s="573"/>
      <c r="AA34" s="602"/>
      <c r="AB34" s="615">
        <v>0.48</v>
      </c>
      <c r="AC34" s="597"/>
      <c r="AD34" s="623"/>
    </row>
    <row r="35" spans="1:30" ht="16.350000000000001" thickBot="1" x14ac:dyDescent="0.35">
      <c r="A35" s="556" t="str">
        <f>_xlfn.CONCAT(Physicochemical_Managed!Y34, Physicochemical_Managed!P34)</f>
        <v>During the burnSPI44398</v>
      </c>
      <c r="B35" s="557" t="str">
        <v>Before the burnMRT44320</v>
      </c>
      <c r="C35" s="558" t="str">
        <f t="shared" si="0"/>
        <v>MRT44320</v>
      </c>
      <c r="D35" s="574" t="str">
        <f>C55</f>
        <v>SPO44356</v>
      </c>
      <c r="E35" s="575"/>
      <c r="F35" s="588"/>
      <c r="G35" s="593">
        <v>6.61</v>
      </c>
      <c r="H35" s="576"/>
      <c r="I35" s="603"/>
      <c r="J35" s="617">
        <v>26</v>
      </c>
      <c r="K35" s="598"/>
      <c r="L35" s="618"/>
      <c r="M35" s="608">
        <v>7.0000000000000007E-2</v>
      </c>
      <c r="N35" s="576"/>
      <c r="O35" s="603"/>
      <c r="P35" s="617">
        <v>0.73</v>
      </c>
      <c r="Q35" s="598"/>
      <c r="R35" s="618"/>
      <c r="S35" s="608">
        <v>0.86</v>
      </c>
      <c r="T35" s="576"/>
      <c r="U35" s="603"/>
      <c r="V35" s="617">
        <v>0.2</v>
      </c>
      <c r="W35" s="598"/>
      <c r="X35" s="618"/>
      <c r="Y35" s="608">
        <v>5.5E-2</v>
      </c>
      <c r="Z35" s="576"/>
      <c r="AA35" s="603"/>
      <c r="AB35" s="617">
        <v>0.51</v>
      </c>
      <c r="AC35" s="598"/>
      <c r="AD35" s="624"/>
    </row>
    <row r="36" spans="1:30" ht="16.95" thickTop="1" thickBot="1" x14ac:dyDescent="0.35">
      <c r="A36" s="556" t="str">
        <f>_xlfn.CONCAT(Physicochemical_Managed!Y35, Physicochemical_Managed!P35)</f>
        <v>After the burnSPI44405</v>
      </c>
      <c r="B36" s="557" t="str">
        <v>Before the burnMRT44327</v>
      </c>
      <c r="C36" s="558" t="str">
        <f t="shared" si="0"/>
        <v>MRT44327</v>
      </c>
    </row>
    <row r="37" spans="1:30" ht="16.350000000000001" thickTop="1" x14ac:dyDescent="0.3">
      <c r="A37" s="556" t="str">
        <f>_xlfn.CONCAT(Physicochemical_Managed!Y36, Physicochemical_Managed!P36)</f>
        <v>After the burnSPI44412</v>
      </c>
      <c r="B37" s="557" t="str">
        <v>Before the burnMRT44335</v>
      </c>
      <c r="C37" s="558" t="str">
        <f t="shared" si="0"/>
        <v>MRT44335</v>
      </c>
      <c r="F37" s="629" t="s">
        <v>256</v>
      </c>
      <c r="G37" s="627">
        <f>AVERAGE(_xlfn.ANCHORARRAY(G3))</f>
        <v>6.6089898989898996</v>
      </c>
      <c r="H37" s="625">
        <f>AVERAGE(_xlfn.ANCHORARRAY(H3))</f>
        <v>6.7409090909090912</v>
      </c>
      <c r="I37" s="631">
        <f>AVERAGE(_xlfn.ANCHORARRAY(I3))</f>
        <v>6.7859999999999996</v>
      </c>
      <c r="J37" s="633">
        <f t="shared" ref="J37:AD37" si="4">AVERAGE(_xlfn.ANCHORARRAY(J3))</f>
        <v>24.445454545454542</v>
      </c>
      <c r="K37" s="634">
        <f t="shared" si="4"/>
        <v>28.118181818181824</v>
      </c>
      <c r="L37" s="635">
        <f t="shared" si="4"/>
        <v>29.655000000000001</v>
      </c>
      <c r="M37" s="627">
        <f t="shared" si="4"/>
        <v>0.21200000000000002</v>
      </c>
      <c r="N37" s="625">
        <f t="shared" si="4"/>
        <v>2.6881818181818189</v>
      </c>
      <c r="O37" s="631">
        <f t="shared" si="4"/>
        <v>0.18600000000000003</v>
      </c>
      <c r="P37" s="633">
        <f t="shared" si="4"/>
        <v>2.0711111111111111</v>
      </c>
      <c r="Q37" s="634">
        <f t="shared" si="4"/>
        <v>5.5E-2</v>
      </c>
      <c r="R37" s="635">
        <f t="shared" si="4"/>
        <v>1.7570000000000003</v>
      </c>
      <c r="S37" s="627">
        <f t="shared" si="4"/>
        <v>2.342020202020203</v>
      </c>
      <c r="T37" s="625">
        <f t="shared" si="4"/>
        <v>2.6972727272727273</v>
      </c>
      <c r="U37" s="631">
        <f t="shared" si="4"/>
        <v>2.0104999999999995</v>
      </c>
      <c r="V37" s="633">
        <f t="shared" si="4"/>
        <v>0.22212121212121214</v>
      </c>
      <c r="W37" s="634">
        <f t="shared" si="4"/>
        <v>0.10363636363636365</v>
      </c>
      <c r="X37" s="635">
        <f t="shared" si="4"/>
        <v>0.17049999999999996</v>
      </c>
      <c r="Y37" s="627">
        <f t="shared" si="4"/>
        <v>1.982828282828283E-2</v>
      </c>
      <c r="Z37" s="625">
        <f t="shared" si="4"/>
        <v>1.3000000000000005E-2</v>
      </c>
      <c r="AA37" s="631">
        <f t="shared" si="4"/>
        <v>6.4500000000000026E-3</v>
      </c>
      <c r="AB37" s="633">
        <f t="shared" si="4"/>
        <v>0.32939393939393935</v>
      </c>
      <c r="AC37" s="634">
        <f t="shared" si="4"/>
        <v>0.4018181818181818</v>
      </c>
      <c r="AD37" s="639">
        <f t="shared" si="4"/>
        <v>0.44900000000000001</v>
      </c>
    </row>
    <row r="38" spans="1:30" ht="16.350000000000001" thickBot="1" x14ac:dyDescent="0.35">
      <c r="A38" s="556" t="str">
        <f>_xlfn.CONCAT(Physicochemical_Managed!Y37, Physicochemical_Managed!P37)</f>
        <v>After the burnSPI44419</v>
      </c>
      <c r="B38" s="557" t="str">
        <v>Before the burnMRT44342</v>
      </c>
      <c r="C38" s="558" t="str">
        <f t="shared" si="0"/>
        <v>MRT44342</v>
      </c>
      <c r="F38" s="630" t="s">
        <v>257</v>
      </c>
      <c r="G38" s="628">
        <f>STDEV(_xlfn.ANCHORARRAY(G3))</f>
        <v>0.18539276034739227</v>
      </c>
      <c r="H38" s="626">
        <f>STDEV(_xlfn.ANCHORARRAY(H3))</f>
        <v>0.23229515483763091</v>
      </c>
      <c r="I38" s="632">
        <f>STDEV(_xlfn.ANCHORARRAY(I3))</f>
        <v>0.12579850220847119</v>
      </c>
      <c r="J38" s="636">
        <f t="shared" ref="J38:AD38" si="5">STDEV(_xlfn.ANCHORARRAY(J3))</f>
        <v>2.0823800849465059</v>
      </c>
      <c r="K38" s="637">
        <f t="shared" si="5"/>
        <v>1.8178051557896913</v>
      </c>
      <c r="L38" s="638">
        <f t="shared" si="5"/>
        <v>1.5483352690109322</v>
      </c>
      <c r="M38" s="628">
        <f t="shared" si="5"/>
        <v>0.4881130120166845</v>
      </c>
      <c r="N38" s="626">
        <f t="shared" si="5"/>
        <v>0.93328725922145994</v>
      </c>
      <c r="O38" s="632">
        <f t="shared" si="5"/>
        <v>0.39651640969560736</v>
      </c>
      <c r="P38" s="636">
        <f t="shared" si="5"/>
        <v>1.0619674046403309</v>
      </c>
      <c r="Q38" s="637">
        <f t="shared" si="5"/>
        <v>0.15993302169524412</v>
      </c>
      <c r="R38" s="638">
        <f t="shared" si="5"/>
        <v>1.2339457464828651</v>
      </c>
      <c r="S38" s="628">
        <f t="shared" si="5"/>
        <v>1.1459163422641316</v>
      </c>
      <c r="T38" s="626">
        <f t="shared" si="5"/>
        <v>0.85068701545774206</v>
      </c>
      <c r="U38" s="632">
        <f t="shared" si="5"/>
        <v>1.2566977403203667</v>
      </c>
      <c r="V38" s="636">
        <f t="shared" si="5"/>
        <v>0.10398924283916404</v>
      </c>
      <c r="W38" s="637">
        <f t="shared" si="5"/>
        <v>0.10288900420427438</v>
      </c>
      <c r="X38" s="638">
        <f t="shared" si="5"/>
        <v>0.15692690219200453</v>
      </c>
      <c r="Y38" s="628">
        <f t="shared" si="5"/>
        <v>2.5166407450668518E-2</v>
      </c>
      <c r="Z38" s="626">
        <f t="shared" si="5"/>
        <v>2.1708019145884664E-2</v>
      </c>
      <c r="AA38" s="632">
        <f t="shared" si="5"/>
        <v>1.9594574974238469E-3</v>
      </c>
      <c r="AB38" s="636">
        <f t="shared" si="5"/>
        <v>0.11014338680359201</v>
      </c>
      <c r="AC38" s="637">
        <f t="shared" si="5"/>
        <v>0.14565570505676873</v>
      </c>
      <c r="AD38" s="640">
        <f t="shared" si="5"/>
        <v>0.14853317899768334</v>
      </c>
    </row>
    <row r="39" spans="1:30" ht="16.350000000000001" thickTop="1" x14ac:dyDescent="0.3">
      <c r="A39" s="556" t="str">
        <f>_xlfn.CONCAT(Physicochemical_Managed!Y38, Physicochemical_Managed!P38)</f>
        <v>After the burnSPI44426</v>
      </c>
      <c r="B39" s="557" t="str">
        <v>Before the burnMRT44356</v>
      </c>
      <c r="C39" s="558" t="str">
        <f t="shared" si="0"/>
        <v>MRT44356</v>
      </c>
    </row>
    <row r="40" spans="1:30" x14ac:dyDescent="0.3">
      <c r="A40" s="556" t="str">
        <f>_xlfn.CONCAT(Physicochemical_Managed!Y39, Physicochemical_Managed!P39)</f>
        <v>After the burnSPI44433</v>
      </c>
      <c r="B40" s="557" t="str">
        <v>Before the burnSPI44294</v>
      </c>
      <c r="C40" s="558" t="str">
        <f t="shared" si="0"/>
        <v>SPI44294</v>
      </c>
    </row>
    <row r="41" spans="1:30" x14ac:dyDescent="0.3">
      <c r="A41" s="556" t="str">
        <f>_xlfn.CONCAT(Physicochemical_Managed!Y40, Physicochemical_Managed!P40)</f>
        <v>Before the burnSPO44294</v>
      </c>
      <c r="B41" s="557" t="str">
        <v>Before the burnSPI44306</v>
      </c>
      <c r="C41" s="558" t="str">
        <f t="shared" si="0"/>
        <v>SPI44306</v>
      </c>
    </row>
    <row r="42" spans="1:30" x14ac:dyDescent="0.3">
      <c r="A42" s="556" t="str">
        <f>_xlfn.CONCAT(Physicochemical_Managed!Y41, Physicochemical_Managed!P41)</f>
        <v>Before the burnSPO44306</v>
      </c>
      <c r="B42" s="557" t="str">
        <v>Before the burnSPI44313</v>
      </c>
      <c r="C42" s="558" t="str">
        <f t="shared" si="0"/>
        <v>SPI44313</v>
      </c>
    </row>
    <row r="43" spans="1:30" x14ac:dyDescent="0.3">
      <c r="A43" s="556" t="str">
        <f>_xlfn.CONCAT(Physicochemical_Managed!Y42, Physicochemical_Managed!P42)</f>
        <v>Before the burnSPO44313</v>
      </c>
      <c r="B43" s="557" t="str">
        <v>Before the burnSPI44320</v>
      </c>
      <c r="C43" s="558" t="str">
        <f t="shared" si="0"/>
        <v>SPI44320</v>
      </c>
    </row>
    <row r="44" spans="1:30" x14ac:dyDescent="0.3">
      <c r="A44" s="556" t="str">
        <f>_xlfn.CONCAT(Physicochemical_Managed!Y43, Physicochemical_Managed!P43)</f>
        <v>Before the burnSPO44320</v>
      </c>
      <c r="B44" s="557" t="str">
        <v>Before the burnSPI44327</v>
      </c>
      <c r="C44" s="558" t="str">
        <f t="shared" si="0"/>
        <v>SPI44327</v>
      </c>
    </row>
    <row r="45" spans="1:30" x14ac:dyDescent="0.3">
      <c r="A45" s="556" t="str">
        <f>_xlfn.CONCAT(Physicochemical_Managed!Y44, Physicochemical_Managed!P44)</f>
        <v>Before the burnSPO44327</v>
      </c>
      <c r="B45" s="557" t="str">
        <v>Before the burnSPI44335</v>
      </c>
      <c r="C45" s="558" t="str">
        <f t="shared" si="0"/>
        <v>SPI44335</v>
      </c>
    </row>
    <row r="46" spans="1:30" x14ac:dyDescent="0.3">
      <c r="A46" s="556" t="str">
        <f>_xlfn.CONCAT(Physicochemical_Managed!Y45, Physicochemical_Managed!P45)</f>
        <v>Before the burnSPO44335</v>
      </c>
      <c r="B46" s="557" t="str">
        <v>Before the burnSPI44342</v>
      </c>
      <c r="C46" s="558" t="str">
        <f t="shared" si="0"/>
        <v>SPI44342</v>
      </c>
    </row>
    <row r="47" spans="1:30" x14ac:dyDescent="0.3">
      <c r="A47" s="556" t="str">
        <f>_xlfn.CONCAT(Physicochemical_Managed!Y46, Physicochemical_Managed!P46)</f>
        <v>Before the burnSPO44342</v>
      </c>
      <c r="B47" s="557" t="str">
        <v>Before the burnSPI44356</v>
      </c>
      <c r="C47" s="558" t="str">
        <f t="shared" si="0"/>
        <v>SPI44356</v>
      </c>
    </row>
    <row r="48" spans="1:30" x14ac:dyDescent="0.3">
      <c r="A48" s="556" t="str">
        <f>_xlfn.CONCAT(Physicochemical_Managed!Y47, Physicochemical_Managed!P47)</f>
        <v>Before the burnSPO44356</v>
      </c>
      <c r="B48" s="557" t="str">
        <v>Before the burnSPO44294</v>
      </c>
      <c r="C48" s="558" t="str">
        <f t="shared" si="0"/>
        <v>SPO44294</v>
      </c>
    </row>
    <row r="49" spans="1:3" x14ac:dyDescent="0.3">
      <c r="A49" s="556" t="str">
        <f>_xlfn.CONCAT(Physicochemical_Managed!Y48, Physicochemical_Managed!P48)</f>
        <v>During the burnSPO44370</v>
      </c>
      <c r="B49" s="557" t="str">
        <v>Before the burnSPO44306</v>
      </c>
      <c r="C49" s="558" t="str">
        <f t="shared" si="0"/>
        <v>SPO44306</v>
      </c>
    </row>
    <row r="50" spans="1:3" x14ac:dyDescent="0.3">
      <c r="A50" s="556" t="str">
        <f>_xlfn.CONCAT(Physicochemical_Managed!Y49, Physicochemical_Managed!P49)</f>
        <v>During the burnSPO44377</v>
      </c>
      <c r="B50" s="557" t="str">
        <v>Before the burnSPO44313</v>
      </c>
      <c r="C50" s="558" t="str">
        <f t="shared" si="0"/>
        <v>SPO44313</v>
      </c>
    </row>
    <row r="51" spans="1:3" x14ac:dyDescent="0.3">
      <c r="A51" s="556" t="str">
        <f>_xlfn.CONCAT(Physicochemical_Managed!Y50, Physicochemical_Managed!P50)</f>
        <v>During the burnSPO44385</v>
      </c>
      <c r="B51" s="557" t="str">
        <v>Before the burnSPO44320</v>
      </c>
      <c r="C51" s="558" t="str">
        <f t="shared" si="0"/>
        <v>SPO44320</v>
      </c>
    </row>
    <row r="52" spans="1:3" x14ac:dyDescent="0.3">
      <c r="A52" s="556" t="str">
        <f>_xlfn.CONCAT(Physicochemical_Managed!Y51, Physicochemical_Managed!P51)</f>
        <v>During the burnSPO44391</v>
      </c>
      <c r="B52" s="557" t="str">
        <v>Before the burnSPO44327</v>
      </c>
      <c r="C52" s="558" t="str">
        <f t="shared" si="0"/>
        <v>SPO44327</v>
      </c>
    </row>
    <row r="53" spans="1:3" x14ac:dyDescent="0.3">
      <c r="A53" s="556" t="str">
        <f>_xlfn.CONCAT(Physicochemical_Managed!Y52, Physicochemical_Managed!P52)</f>
        <v>During the burnSPO44398</v>
      </c>
      <c r="B53" s="557" t="str">
        <v>Before the burnSPO44335</v>
      </c>
      <c r="C53" s="558" t="str">
        <f t="shared" si="0"/>
        <v>SPO44335</v>
      </c>
    </row>
    <row r="54" spans="1:3" x14ac:dyDescent="0.3">
      <c r="A54" s="556" t="str">
        <f>_xlfn.CONCAT(Physicochemical_Managed!Y53, Physicochemical_Managed!P53)</f>
        <v>After the burnSPO44405</v>
      </c>
      <c r="B54" s="557" t="str">
        <v>Before the burnSPO44342</v>
      </c>
      <c r="C54" s="558" t="str">
        <f t="shared" si="0"/>
        <v>SPO44342</v>
      </c>
    </row>
    <row r="55" spans="1:3" x14ac:dyDescent="0.3">
      <c r="A55" s="556" t="str">
        <f>_xlfn.CONCAT(Physicochemical_Managed!Y54, Physicochemical_Managed!P54)</f>
        <v>After the burnSPO44412</v>
      </c>
      <c r="B55" s="557" t="str">
        <v>Before the burnSPO44356</v>
      </c>
      <c r="C55" s="558" t="str">
        <f t="shared" si="0"/>
        <v>SPO44356</v>
      </c>
    </row>
    <row r="56" spans="1:3" x14ac:dyDescent="0.3">
      <c r="A56" s="556" t="str">
        <f>_xlfn.CONCAT(Physicochemical_Managed!Y55, Physicochemical_Managed!P55)</f>
        <v>After the burnSPO44419</v>
      </c>
      <c r="B56" s="557" t="str">
        <v>During the burnEP44363</v>
      </c>
      <c r="C56" s="558" t="str">
        <f t="shared" si="0"/>
        <v>EP44363</v>
      </c>
    </row>
    <row r="57" spans="1:3" x14ac:dyDescent="0.3">
      <c r="A57" s="556" t="str">
        <f>_xlfn.CONCAT(Physicochemical_Managed!Y56, Physicochemical_Managed!P56)</f>
        <v>After the burnSPO44426</v>
      </c>
      <c r="B57" s="557" t="str">
        <v>During the burnEP44370</v>
      </c>
      <c r="C57" s="558" t="str">
        <f t="shared" si="0"/>
        <v>EP44370</v>
      </c>
    </row>
    <row r="58" spans="1:3" x14ac:dyDescent="0.3">
      <c r="A58" s="556" t="str">
        <f>_xlfn.CONCAT(Physicochemical_Managed!Y57, Physicochemical_Managed!P57)</f>
        <v>After the burnSPO44433</v>
      </c>
      <c r="B58" s="557" t="str">
        <v>During the burnEP44377</v>
      </c>
      <c r="C58" s="558" t="str">
        <f t="shared" si="0"/>
        <v>EP44377</v>
      </c>
    </row>
    <row r="59" spans="1:3" x14ac:dyDescent="0.3">
      <c r="A59" s="556" t="str">
        <f>_xlfn.CONCAT(Physicochemical_Managed!Y58, Physicochemical_Managed!P58)</f>
        <v>Before the burnMRT44294</v>
      </c>
      <c r="B59" s="557" t="str">
        <v>During the burnEP44385</v>
      </c>
      <c r="C59" s="558" t="str">
        <f t="shared" si="0"/>
        <v>EP44385</v>
      </c>
    </row>
    <row r="60" spans="1:3" x14ac:dyDescent="0.3">
      <c r="A60" s="556" t="str">
        <f>_xlfn.CONCAT(Physicochemical_Managed!Y59, Physicochemical_Managed!P59)</f>
        <v>Before the burnMRT44306</v>
      </c>
      <c r="B60" s="557" t="str">
        <v>During the burnEP44391</v>
      </c>
      <c r="C60" s="558" t="str">
        <f t="shared" si="0"/>
        <v>EP44391</v>
      </c>
    </row>
    <row r="61" spans="1:3" x14ac:dyDescent="0.3">
      <c r="A61" s="556" t="str">
        <f>_xlfn.CONCAT(Physicochemical_Managed!Y60, Physicochemical_Managed!P60)</f>
        <v>Before the burnMRT44313</v>
      </c>
      <c r="B61" s="557" t="str">
        <v>During the burnEP44398</v>
      </c>
      <c r="C61" s="558" t="str">
        <f t="shared" si="0"/>
        <v>EP44398</v>
      </c>
    </row>
    <row r="62" spans="1:3" x14ac:dyDescent="0.3">
      <c r="A62" s="556" t="str">
        <f>_xlfn.CONCAT(Physicochemical_Managed!Y61, Physicochemical_Managed!P61)</f>
        <v>Before the burnMRT44320</v>
      </c>
      <c r="B62" s="557" t="str">
        <v>During the burnMRT44363</v>
      </c>
      <c r="C62" s="558" t="str">
        <f t="shared" si="0"/>
        <v>MRT44363</v>
      </c>
    </row>
    <row r="63" spans="1:3" x14ac:dyDescent="0.3">
      <c r="A63" s="556" t="str">
        <f>_xlfn.CONCAT(Physicochemical_Managed!Y62, Physicochemical_Managed!P62)</f>
        <v>Before the burnMRT44327</v>
      </c>
      <c r="B63" s="557" t="str">
        <v>During the burnMRT44370</v>
      </c>
      <c r="C63" s="558" t="str">
        <f t="shared" si="0"/>
        <v>MRT44370</v>
      </c>
    </row>
    <row r="64" spans="1:3" x14ac:dyDescent="0.3">
      <c r="A64" s="556" t="str">
        <f>_xlfn.CONCAT(Physicochemical_Managed!Y63, Physicochemical_Managed!P63)</f>
        <v>Before the burnMRT44335</v>
      </c>
      <c r="B64" s="557" t="str">
        <v>During the burnMRT44377</v>
      </c>
      <c r="C64" s="558" t="str">
        <f t="shared" si="0"/>
        <v>MRT44377</v>
      </c>
    </row>
    <row r="65" spans="1:3" x14ac:dyDescent="0.3">
      <c r="A65" s="556" t="str">
        <f>_xlfn.CONCAT(Physicochemical_Managed!Y64, Physicochemical_Managed!P64)</f>
        <v>Before the burnMRT44342</v>
      </c>
      <c r="B65" s="557" t="str">
        <v>During the burnMRT44385</v>
      </c>
      <c r="C65" s="558" t="str">
        <f t="shared" si="0"/>
        <v>MRT44385</v>
      </c>
    </row>
    <row r="66" spans="1:3" x14ac:dyDescent="0.3">
      <c r="A66" s="556" t="str">
        <f>_xlfn.CONCAT(Physicochemical_Managed!Y65, Physicochemical_Managed!P65)</f>
        <v>Before the burnMRT44356</v>
      </c>
      <c r="B66" s="557" t="str">
        <v>During the burnMRT44391</v>
      </c>
      <c r="C66" s="558" t="str">
        <f t="shared" si="0"/>
        <v>MRT44391</v>
      </c>
    </row>
    <row r="67" spans="1:3" x14ac:dyDescent="0.3">
      <c r="A67" s="556" t="str">
        <f>_xlfn.CONCAT(Physicochemical_Managed!Y66, Physicochemical_Managed!P66)</f>
        <v>During the burnMRT44363</v>
      </c>
      <c r="B67" s="557" t="str">
        <v>During the burnMRT44398</v>
      </c>
      <c r="C67" s="558" t="str">
        <f t="shared" si="0"/>
        <v>MRT44398</v>
      </c>
    </row>
    <row r="68" spans="1:3" x14ac:dyDescent="0.3">
      <c r="A68" s="556" t="str">
        <f>_xlfn.CONCAT(Physicochemical_Managed!Y67, Physicochemical_Managed!P67)</f>
        <v>During the burnMRT44370</v>
      </c>
      <c r="B68" s="557" t="str">
        <v>During the burnSPI44370</v>
      </c>
      <c r="C68" s="558" t="str">
        <f t="shared" ref="C68:C77" si="6">RIGHT(B68, LEN(B68)-(FIND("burn", B68)+3))</f>
        <v>SPI44370</v>
      </c>
    </row>
    <row r="69" spans="1:3" x14ac:dyDescent="0.3">
      <c r="A69" s="556" t="str">
        <f>_xlfn.CONCAT(Physicochemical_Managed!Y68, Physicochemical_Managed!P68)</f>
        <v>During the burnMRT44377</v>
      </c>
      <c r="B69" s="557" t="str">
        <v>During the burnSPI44377</v>
      </c>
      <c r="C69" s="558" t="str">
        <f t="shared" si="6"/>
        <v>SPI44377</v>
      </c>
    </row>
    <row r="70" spans="1:3" x14ac:dyDescent="0.3">
      <c r="A70" s="556" t="str">
        <f>_xlfn.CONCAT(Physicochemical_Managed!Y69, Physicochemical_Managed!P69)</f>
        <v>During the burnMRT44385</v>
      </c>
      <c r="B70" s="557" t="str">
        <v>During the burnSPI44385</v>
      </c>
      <c r="C70" s="558" t="str">
        <f t="shared" si="6"/>
        <v>SPI44385</v>
      </c>
    </row>
    <row r="71" spans="1:3" x14ac:dyDescent="0.3">
      <c r="A71" s="556" t="str">
        <f>_xlfn.CONCAT(Physicochemical_Managed!Y70, Physicochemical_Managed!P70)</f>
        <v>During the burnMRT44391</v>
      </c>
      <c r="B71" s="557" t="str">
        <v>During the burnSPI44391</v>
      </c>
      <c r="C71" s="558" t="str">
        <f t="shared" si="6"/>
        <v>SPI44391</v>
      </c>
    </row>
    <row r="72" spans="1:3" x14ac:dyDescent="0.3">
      <c r="A72" s="556" t="str">
        <f>_xlfn.CONCAT(Physicochemical_Managed!Y71, Physicochemical_Managed!P71)</f>
        <v>During the burnMRT44398</v>
      </c>
      <c r="B72" s="557" t="str">
        <v>During the burnSPI44398</v>
      </c>
      <c r="C72" s="558" t="str">
        <f t="shared" si="6"/>
        <v>SPI44398</v>
      </c>
    </row>
    <row r="73" spans="1:3" x14ac:dyDescent="0.3">
      <c r="A73" s="556" t="str">
        <f>_xlfn.CONCAT(Physicochemical_Managed!Y72, Physicochemical_Managed!P72)</f>
        <v>After the burnMRT44405</v>
      </c>
      <c r="B73" s="557" t="str">
        <v>During the burnSPO44370</v>
      </c>
      <c r="C73" s="558" t="str">
        <f t="shared" si="6"/>
        <v>SPO44370</v>
      </c>
    </row>
    <row r="74" spans="1:3" x14ac:dyDescent="0.3">
      <c r="A74" s="556" t="str">
        <f>_xlfn.CONCAT(Physicochemical_Managed!Y73, Physicochemical_Managed!P73)</f>
        <v>After the burnMRT44432</v>
      </c>
      <c r="B74" s="557" t="str">
        <v>During the burnSPO44377</v>
      </c>
      <c r="C74" s="558" t="str">
        <f t="shared" si="6"/>
        <v>SPO44377</v>
      </c>
    </row>
    <row r="75" spans="1:3" x14ac:dyDescent="0.3">
      <c r="A75" s="556" t="str">
        <f>_xlfn.CONCAT(Physicochemical_Managed!Y74, Physicochemical_Managed!P74)</f>
        <v>After the burnMRT44419</v>
      </c>
      <c r="B75" s="557" t="str">
        <v>During the burnSPO44385</v>
      </c>
      <c r="C75" s="558" t="str">
        <f t="shared" si="6"/>
        <v>SPO44385</v>
      </c>
    </row>
    <row r="76" spans="1:3" x14ac:dyDescent="0.3">
      <c r="A76" s="556" t="str">
        <f>_xlfn.CONCAT(Physicochemical_Managed!Y75, Physicochemical_Managed!P75)</f>
        <v>After the burnMRT44426</v>
      </c>
      <c r="B76" s="557" t="str">
        <v>During the burnSPO44391</v>
      </c>
      <c r="C76" s="558" t="str">
        <f t="shared" si="6"/>
        <v>SPO44391</v>
      </c>
    </row>
    <row r="77" spans="1:3" ht="16.350000000000001" thickBot="1" x14ac:dyDescent="0.35">
      <c r="A77" s="559" t="str">
        <f>_xlfn.CONCAT(Physicochemical_Managed!Y76, Physicochemical_Managed!P76)</f>
        <v>After the burnMRT44433</v>
      </c>
      <c r="B77" s="560" t="str">
        <v>During the burnSPO44398</v>
      </c>
      <c r="C77" s="561" t="str">
        <f t="shared" si="6"/>
        <v>SPO44398</v>
      </c>
    </row>
    <row r="78" spans="1:3" ht="16.350000000000001" thickTop="1" x14ac:dyDescent="0.3"/>
    <row r="91" spans="1:30" ht="16.350000000000001" thickBot="1" x14ac:dyDescent="0.35"/>
    <row r="92" spans="1:30" s="641" customFormat="1" ht="16.350000000000001" thickTop="1" x14ac:dyDescent="0.3">
      <c r="A92" s="642" t="s">
        <v>262</v>
      </c>
      <c r="B92" s="643"/>
      <c r="C92" s="644"/>
      <c r="D92" s="657"/>
      <c r="E92" s="658"/>
      <c r="F92" s="676"/>
      <c r="G92" s="671" t="s">
        <v>253</v>
      </c>
      <c r="H92" s="659" t="s">
        <v>254</v>
      </c>
      <c r="I92" s="698" t="s">
        <v>255</v>
      </c>
      <c r="J92" s="704" t="s">
        <v>253</v>
      </c>
      <c r="K92" s="683" t="s">
        <v>254</v>
      </c>
      <c r="L92" s="705" t="s">
        <v>255</v>
      </c>
      <c r="M92" s="671" t="s">
        <v>253</v>
      </c>
      <c r="N92" s="659" t="s">
        <v>254</v>
      </c>
      <c r="O92" s="698" t="s">
        <v>255</v>
      </c>
      <c r="P92" s="704" t="s">
        <v>253</v>
      </c>
      <c r="Q92" s="683" t="s">
        <v>254</v>
      </c>
      <c r="R92" s="705" t="s">
        <v>255</v>
      </c>
      <c r="S92" s="671" t="s">
        <v>253</v>
      </c>
      <c r="T92" s="659" t="s">
        <v>254</v>
      </c>
      <c r="U92" s="698" t="s">
        <v>255</v>
      </c>
      <c r="V92" s="704" t="s">
        <v>253</v>
      </c>
      <c r="W92" s="683" t="s">
        <v>254</v>
      </c>
      <c r="X92" s="705" t="s">
        <v>255</v>
      </c>
      <c r="Y92" s="671" t="s">
        <v>253</v>
      </c>
      <c r="Z92" s="659" t="s">
        <v>254</v>
      </c>
      <c r="AA92" s="698" t="s">
        <v>255</v>
      </c>
      <c r="AB92" s="704" t="s">
        <v>253</v>
      </c>
      <c r="AC92" s="683" t="s">
        <v>254</v>
      </c>
      <c r="AD92" s="691" t="s">
        <v>255</v>
      </c>
    </row>
    <row r="93" spans="1:30" s="190" customFormat="1" ht="36.299999999999997" customHeight="1" thickBot="1" x14ac:dyDescent="0.35">
      <c r="A93" s="654" t="s">
        <v>247</v>
      </c>
      <c r="B93" s="655" t="s">
        <v>248</v>
      </c>
      <c r="C93" s="656" t="s">
        <v>249</v>
      </c>
      <c r="D93" s="667" t="s">
        <v>251</v>
      </c>
      <c r="E93" s="668" t="s">
        <v>250</v>
      </c>
      <c r="F93" s="677" t="s">
        <v>252</v>
      </c>
      <c r="G93" s="672" t="s">
        <v>97</v>
      </c>
      <c r="H93" s="669" t="s">
        <v>97</v>
      </c>
      <c r="I93" s="699" t="s">
        <v>97</v>
      </c>
      <c r="J93" s="706" t="s">
        <v>209</v>
      </c>
      <c r="K93" s="684" t="s">
        <v>209</v>
      </c>
      <c r="L93" s="707" t="s">
        <v>209</v>
      </c>
      <c r="M93" s="703" t="s">
        <v>202</v>
      </c>
      <c r="N93" s="670" t="s">
        <v>202</v>
      </c>
      <c r="O93" s="714" t="s">
        <v>202</v>
      </c>
      <c r="P93" s="706" t="s">
        <v>263</v>
      </c>
      <c r="Q93" s="684" t="s">
        <v>263</v>
      </c>
      <c r="R93" s="707" t="s">
        <v>263</v>
      </c>
      <c r="S93" s="703" t="s">
        <v>204</v>
      </c>
      <c r="T93" s="670" t="s">
        <v>204</v>
      </c>
      <c r="U93" s="714" t="s">
        <v>204</v>
      </c>
      <c r="V93" s="706" t="s">
        <v>264</v>
      </c>
      <c r="W93" s="684" t="s">
        <v>264</v>
      </c>
      <c r="X93" s="707" t="s">
        <v>264</v>
      </c>
      <c r="Y93" s="703" t="s">
        <v>206</v>
      </c>
      <c r="Z93" s="670" t="s">
        <v>206</v>
      </c>
      <c r="AA93" s="714" t="s">
        <v>206</v>
      </c>
      <c r="AB93" s="706" t="s">
        <v>265</v>
      </c>
      <c r="AC93" s="684" t="s">
        <v>265</v>
      </c>
      <c r="AD93" s="692" t="s">
        <v>265</v>
      </c>
    </row>
    <row r="94" spans="1:30" x14ac:dyDescent="0.3">
      <c r="A94" s="651" t="str">
        <f>_xlfn.CONCAT(Physicochemical_Managed!Y77, Physicochemical_Managed!P77)</f>
        <v>Before the burnRN44293</v>
      </c>
      <c r="B94" s="652" t="str" cm="1">
        <f t="array" ref="B94:B224">_xlfn._xlws.SORT(A94:A224, 1, 1)</f>
        <v>After the burnRL44404</v>
      </c>
      <c r="C94" s="653" t="str">
        <f>RIGHT(B94, LEN(B94)-(FIND("burn", B94)+3))</f>
        <v>RL44404</v>
      </c>
      <c r="D94" s="664" t="str">
        <f>C134</f>
        <v>RL44293</v>
      </c>
      <c r="E94" s="665" t="str">
        <f>C179</f>
        <v>RL44362</v>
      </c>
      <c r="F94" s="678" t="str">
        <f>C94</f>
        <v>RL44404</v>
      </c>
      <c r="G94" s="673" cm="1">
        <f t="array" ref="G94:G138">_xlfn._xlws.FILTER(Physicochemical_Managed!$Q$77:$Q$207, COUNTIF(Physicochemical_ANOVA!$D$94:$D$138, Physicochemical_Managed!$P$77:$P$207))</f>
        <v>6.7666666666666657</v>
      </c>
      <c r="H94" s="666" cm="1">
        <f t="array" ref="H94:H139">_xlfn._xlws.FILTER(Physicochemical_Managed!$Q$77:$Q$207, COUNTIF(Physicochemical_ANOVA!$E$94:$E$139, Physicochemical_Managed!$P$77:$P$207))</f>
        <v>6.76</v>
      </c>
      <c r="I94" s="700" cm="1">
        <f t="array" ref="I94:I133">_xlfn._xlws.FILTER(Physicochemical_Managed!$Q$77:$Q$207, COUNTIF(Physicochemical_ANOVA!$F$94:$F$133, Physicochemical_Managed!$P$77:$P$207))</f>
        <v>6.74</v>
      </c>
      <c r="J94" s="708" cm="1">
        <f t="array" ref="J94:J138">_xlfn._xlws.FILTER(Physicochemical_Managed!$R$77:$R$207, COUNTIF(Physicochemical_ANOVA!$D$94:$D$138, Physicochemical_Managed!$P$77:$P$207))</f>
        <v>22.400000000000002</v>
      </c>
      <c r="K94" s="685" cm="1">
        <f t="array" ref="K94:K139">_xlfn._xlws.FILTER(Physicochemical_Managed!$R$77:$R$207, COUNTIF(Physicochemical_ANOVA!$E$94:$E$139, Physicochemical_Managed!$P$77:$P$207))</f>
        <v>28.7</v>
      </c>
      <c r="L94" s="709" cm="1">
        <f t="array" ref="L94:L133">_xlfn._xlws.FILTER(Physicochemical_Managed!$R$77:$R$207, COUNTIF(Physicochemical_ANOVA!$F$94:$F$133, Physicochemical_Managed!$P$77:$P$207))</f>
        <v>24</v>
      </c>
      <c r="M94" s="673" cm="1">
        <f t="array" ref="M94:M138">_xlfn._xlws.FILTER(Physicochemical_Managed!$S$77:$S$207, COUNTIF(Physicochemical_ANOVA!$D$94:$D$138, Physicochemical_Managed!$P$77:$P$207))</f>
        <v>0.08</v>
      </c>
      <c r="N94" s="666" cm="1">
        <f t="array" ref="N94:N139">_xlfn._xlws.FILTER(Physicochemical_Managed!$S$77:$S$207, COUNTIF(Physicochemical_ANOVA!$E$94:$E$139, Physicochemical_Managed!$P$77:$P$207))</f>
        <v>0.09</v>
      </c>
      <c r="O94" s="700" cm="1">
        <f t="array" ref="O94:O133">_xlfn._xlws.FILTER(Physicochemical_Managed!$S$77:$S$207, COUNTIF(Physicochemical_ANOVA!$F$94:$F$133, Physicochemical_Managed!$P$77:$P$207))</f>
        <v>1.33</v>
      </c>
      <c r="P94" s="708" cm="1">
        <f t="array" ref="P94:P138">_xlfn._xlws.FILTER(Physicochemical_Managed!$T$77:$T$207, COUNTIF(Physicochemical_ANOVA!$D$94:$D$138, Physicochemical_Managed!$P$77:$P$207))</f>
        <v>1.66</v>
      </c>
      <c r="Q94" s="685" cm="1">
        <f t="array" ref="Q94:Q139">_xlfn._xlws.FILTER(Physicochemical_Managed!$T$77:$T$207, COUNTIF(Physicochemical_ANOVA!$E$94:$E$139, Physicochemical_Managed!$P$77:$P$207))</f>
        <v>1.27</v>
      </c>
      <c r="R94" s="709" cm="1">
        <f t="array" ref="R94:R133">_xlfn._xlws.FILTER(Physicochemical_Managed!$T$77:$T$207, COUNTIF(Physicochemical_ANOVA!$F$94:$F$133, Physicochemical_Managed!$P$77:$P$207))</f>
        <v>0</v>
      </c>
      <c r="S94" s="673" cm="1">
        <f t="array" ref="S94:S138">_xlfn._xlws.FILTER(Physicochemical_Managed!$U$77:$U$207, COUNTIF(Physicochemical_ANOVA!$D$94:$D$138, Physicochemical_Managed!$P$77:$P$207))</f>
        <v>1.7566666666666666</v>
      </c>
      <c r="T94" s="666" cm="1">
        <f t="array" ref="T94:T139">_xlfn._xlws.FILTER(Physicochemical_Managed!$U$77:$U$207, COUNTIF(Physicochemical_ANOVA!$E$94:$E$139, Physicochemical_Managed!$P$77:$P$207))</f>
        <v>1.1100000000000001</v>
      </c>
      <c r="U94" s="700" cm="1">
        <f t="array" ref="U94:U133">_xlfn._xlws.FILTER(Physicochemical_Managed!$U$77:$U$207, COUNTIF(Physicochemical_ANOVA!$F$94:$F$133, Physicochemical_Managed!$P$77:$P$207))</f>
        <v>1.35</v>
      </c>
      <c r="V94" s="708" cm="1">
        <f t="array" ref="V94:V138">_xlfn._xlws.FILTER(Physicochemical_Managed!$V$77:$V$207, COUNTIF(Physicochemical_ANOVA!$D$94:$D$138, Physicochemical_Managed!$P$77:$P$207))</f>
        <v>0.32333333333333331</v>
      </c>
      <c r="W94" s="685" cm="1">
        <f t="array" ref="W94:W139">_xlfn._xlws.FILTER(Physicochemical_Managed!$V$77:$V$207, COUNTIF(Physicochemical_ANOVA!$E$94:$E$139, Physicochemical_Managed!$P$77:$P$207))</f>
        <v>0.49</v>
      </c>
      <c r="X94" s="709" cm="1">
        <f t="array" ref="X94:X133">_xlfn._xlws.FILTER(Physicochemical_Managed!$V$77:$V$207, COUNTIF(Physicochemical_ANOVA!$F$94:$F$133, Physicochemical_Managed!$P$77:$P$207))</f>
        <v>0.06</v>
      </c>
      <c r="Y94" s="673" cm="1">
        <f t="array" ref="Y94:Y138">_xlfn._xlws.FILTER(Physicochemical_Managed!$W$77:$W$207, COUNTIF(Physicochemical_ANOVA!$D$94:$D$138, Physicochemical_Managed!$P$77:$P$207))</f>
        <v>5.0000000000000001E-3</v>
      </c>
      <c r="Z94" s="666" cm="1">
        <f t="array" ref="Z94:Z139">_xlfn._xlws.FILTER(Physicochemical_Managed!$W$77:$W$207, COUNTIF(Physicochemical_ANOVA!$E$94:$E$139, Physicochemical_Managed!$P$77:$P$207))</f>
        <v>6.0000000000000001E-3</v>
      </c>
      <c r="AA94" s="700" cm="1">
        <f t="array" ref="AA94:AA133">_xlfn._xlws.FILTER(Physicochemical_Managed!$W$77:$W$207, COUNTIF(Physicochemical_ANOVA!$F$94:$F$133, Physicochemical_Managed!$P$77:$P$207))</f>
        <v>6.0000000000000001E-3</v>
      </c>
      <c r="AB94" s="708" cm="1">
        <f t="array" ref="AB94:AB138">_xlfn._xlws.FILTER(Physicochemical_Managed!$X$77:$X$207, COUNTIF(Physicochemical_ANOVA!$D$94:$D$138, Physicochemical_Managed!$P$77:$P$207))</f>
        <v>0.54999999999999993</v>
      </c>
      <c r="AC94" s="685" cm="1">
        <f t="array" ref="AC94:AC139">_xlfn._xlws.FILTER(Physicochemical_Managed!$X$77:$X$207, COUNTIF(Physicochemical_ANOVA!$E$94:$E$139, Physicochemical_Managed!$P$77:$P$207))</f>
        <v>0.7</v>
      </c>
      <c r="AD94" s="693" cm="1">
        <f t="array" ref="AD94:AD133">_xlfn._xlws.FILTER(Physicochemical_Managed!$X$77:$X$207, COUNTIF(Physicochemical_ANOVA!$F$94:$F$133, Physicochemical_Managed!$P$77:$P$207))</f>
        <v>0.68</v>
      </c>
    </row>
    <row r="95" spans="1:30" x14ac:dyDescent="0.3">
      <c r="A95" s="645" t="str">
        <f>_xlfn.CONCAT(Physicochemical_Managed!Y78, Physicochemical_Managed!P78)</f>
        <v>Before the burnRN44313</v>
      </c>
      <c r="B95" s="646" t="str">
        <v>After the burnRL44405</v>
      </c>
      <c r="C95" s="647" t="str">
        <f t="shared" ref="C95:C158" si="7">RIGHT(B95, LEN(B95)-(FIND("burn", B95)+3))</f>
        <v>RL44405</v>
      </c>
      <c r="D95" s="660" t="str">
        <f t="shared" ref="D95:D138" si="8">C135</f>
        <v>RL44306</v>
      </c>
      <c r="E95" s="66" t="str">
        <f t="shared" ref="E95:E139" si="9">C180</f>
        <v>RL44363</v>
      </c>
      <c r="F95" s="679" t="str">
        <f t="shared" ref="F95:F132" si="10">C95</f>
        <v>RL44405</v>
      </c>
      <c r="G95" s="674">
        <v>6.78</v>
      </c>
      <c r="H95" s="67">
        <v>6.74</v>
      </c>
      <c r="I95" s="701">
        <v>6.75</v>
      </c>
      <c r="J95" s="710">
        <v>24.2</v>
      </c>
      <c r="K95" s="686">
        <v>28</v>
      </c>
      <c r="L95" s="711">
        <v>24.200000000000003</v>
      </c>
      <c r="M95" s="674">
        <v>0.14000000000000001</v>
      </c>
      <c r="N95" s="67">
        <v>0.70500000000000007</v>
      </c>
      <c r="O95" s="701">
        <v>0.105</v>
      </c>
      <c r="P95" s="710">
        <v>1.49</v>
      </c>
      <c r="Q95" s="686">
        <v>6.0000000000000005E-2</v>
      </c>
      <c r="R95" s="711">
        <v>1.32</v>
      </c>
      <c r="S95" s="674">
        <v>1.45</v>
      </c>
      <c r="T95" s="67">
        <v>0.85499999999999998</v>
      </c>
      <c r="U95" s="701">
        <v>1.335</v>
      </c>
      <c r="V95" s="710">
        <v>0.24</v>
      </c>
      <c r="W95" s="686">
        <v>0.13500000000000001</v>
      </c>
      <c r="X95" s="711">
        <v>0.18</v>
      </c>
      <c r="Y95" s="674">
        <v>6.0000000000000001E-3</v>
      </c>
      <c r="Z95" s="67">
        <v>6.0000000000000001E-3</v>
      </c>
      <c r="AA95" s="701">
        <v>6.5000000000000006E-3</v>
      </c>
      <c r="AB95" s="710">
        <v>0.54</v>
      </c>
      <c r="AC95" s="686">
        <v>0.57000000000000006</v>
      </c>
      <c r="AD95" s="694">
        <v>0.56499999999999995</v>
      </c>
    </row>
    <row r="96" spans="1:30" x14ac:dyDescent="0.3">
      <c r="A96" s="645" t="str">
        <f>_xlfn.CONCAT(Physicochemical_Managed!Y79, Physicochemical_Managed!P79)</f>
        <v>Before the burnRN44327</v>
      </c>
      <c r="B96" s="646" t="str">
        <v>After the burnRL44411</v>
      </c>
      <c r="C96" s="647" t="str">
        <f t="shared" si="7"/>
        <v>RL44411</v>
      </c>
      <c r="D96" s="660" t="str">
        <f t="shared" si="8"/>
        <v>RL44313</v>
      </c>
      <c r="E96" s="66" t="str">
        <f t="shared" si="9"/>
        <v>RL44369</v>
      </c>
      <c r="F96" s="679" t="str">
        <f t="shared" si="10"/>
        <v>RL44411</v>
      </c>
      <c r="G96" s="674">
        <v>6.74</v>
      </c>
      <c r="H96" s="67">
        <v>6.72</v>
      </c>
      <c r="I96" s="701">
        <v>6.81</v>
      </c>
      <c r="J96" s="710">
        <v>26.7</v>
      </c>
      <c r="K96" s="686">
        <v>27.3</v>
      </c>
      <c r="L96" s="711">
        <v>24.1</v>
      </c>
      <c r="M96" s="674">
        <v>0.14000000000000001</v>
      </c>
      <c r="N96" s="67">
        <v>0.99</v>
      </c>
      <c r="O96" s="701">
        <v>0.11</v>
      </c>
      <c r="P96" s="710">
        <v>1.48</v>
      </c>
      <c r="Q96" s="686">
        <v>0.04</v>
      </c>
      <c r="R96" s="711">
        <v>1.04</v>
      </c>
      <c r="S96" s="674">
        <v>1.39</v>
      </c>
      <c r="T96" s="67">
        <v>0.99</v>
      </c>
      <c r="U96" s="701">
        <v>0.84</v>
      </c>
      <c r="V96" s="710">
        <v>0.28999999999999998</v>
      </c>
      <c r="W96" s="686">
        <v>0.23</v>
      </c>
      <c r="X96" s="711">
        <v>0.21</v>
      </c>
      <c r="Y96" s="674">
        <v>7.0000000000000001E-3</v>
      </c>
      <c r="Z96" s="67">
        <v>6.0000000000000001E-3</v>
      </c>
      <c r="AA96" s="701">
        <v>7.0000000000000001E-3</v>
      </c>
      <c r="AB96" s="710">
        <v>0.53</v>
      </c>
      <c r="AC96" s="686">
        <v>0.7</v>
      </c>
      <c r="AD96" s="694">
        <v>0.67</v>
      </c>
    </row>
    <row r="97" spans="1:30" x14ac:dyDescent="0.3">
      <c r="A97" s="645" t="str">
        <f>_xlfn.CONCAT(Physicochemical_Managed!Y80, Physicochemical_Managed!P80)</f>
        <v>Before the burnRN44334</v>
      </c>
      <c r="B97" s="646" t="str">
        <v>After the burnRL44412</v>
      </c>
      <c r="C97" s="647" t="str">
        <f t="shared" si="7"/>
        <v>RL44412</v>
      </c>
      <c r="D97" s="660" t="str">
        <f t="shared" si="8"/>
        <v>RL44327</v>
      </c>
      <c r="E97" s="66" t="str">
        <f t="shared" si="9"/>
        <v>RL44370</v>
      </c>
      <c r="F97" s="679" t="str">
        <f t="shared" si="10"/>
        <v>RL44412</v>
      </c>
      <c r="G97" s="674">
        <v>7.09</v>
      </c>
      <c r="H97" s="67">
        <v>6.7949999999999999</v>
      </c>
      <c r="I97" s="701">
        <v>6.74</v>
      </c>
      <c r="J97" s="710">
        <v>25</v>
      </c>
      <c r="K97" s="686">
        <v>27.75</v>
      </c>
      <c r="L97" s="711">
        <v>23.6</v>
      </c>
      <c r="M97" s="674">
        <v>0.06</v>
      </c>
      <c r="N97" s="67">
        <v>2.2549999999999999</v>
      </c>
      <c r="O97" s="701">
        <v>9.5000000000000001E-2</v>
      </c>
      <c r="P97" s="710">
        <v>1.36</v>
      </c>
      <c r="Q97" s="686">
        <v>7.0000000000000007E-2</v>
      </c>
      <c r="R97" s="711">
        <v>0.89000000000000012</v>
      </c>
      <c r="S97" s="674">
        <v>1.31</v>
      </c>
      <c r="T97" s="67">
        <v>2.3849999999999998</v>
      </c>
      <c r="U97" s="701">
        <v>0.8</v>
      </c>
      <c r="V97" s="710">
        <v>0.28000000000000003</v>
      </c>
      <c r="W97" s="686">
        <v>2.5000000000000001E-2</v>
      </c>
      <c r="X97" s="711">
        <v>0.27</v>
      </c>
      <c r="Y97" s="674">
        <v>7.0000000000000001E-3</v>
      </c>
      <c r="Z97" s="67">
        <v>6.0000000000000001E-3</v>
      </c>
      <c r="AA97" s="701">
        <v>6.5000000000000006E-3</v>
      </c>
      <c r="AB97" s="710">
        <v>0.55000000000000004</v>
      </c>
      <c r="AC97" s="686">
        <v>0.53</v>
      </c>
      <c r="AD97" s="694">
        <v>0.6100000000000001</v>
      </c>
    </row>
    <row r="98" spans="1:30" x14ac:dyDescent="0.3">
      <c r="A98" s="645" t="str">
        <f>_xlfn.CONCAT(Physicochemical_Managed!Y81, Physicochemical_Managed!P81)</f>
        <v>Before the burnRN44335</v>
      </c>
      <c r="B98" s="646" t="str">
        <v>After the burnRL44418</v>
      </c>
      <c r="C98" s="647" t="str">
        <f t="shared" si="7"/>
        <v>RL44418</v>
      </c>
      <c r="D98" s="660" t="str">
        <f t="shared" si="8"/>
        <v>RL44334</v>
      </c>
      <c r="E98" s="66" t="str">
        <f t="shared" si="9"/>
        <v>RL44384</v>
      </c>
      <c r="F98" s="679" t="str">
        <f t="shared" si="10"/>
        <v>RL44418</v>
      </c>
      <c r="G98" s="674">
        <v>6.82</v>
      </c>
      <c r="H98" s="67">
        <v>6.7</v>
      </c>
      <c r="I98" s="701">
        <v>6.82</v>
      </c>
      <c r="J98" s="710">
        <v>24.8</v>
      </c>
      <c r="K98" s="686">
        <v>27.7</v>
      </c>
      <c r="L98" s="711">
        <v>24</v>
      </c>
      <c r="M98" s="674">
        <v>7.4999999999999997E-2</v>
      </c>
      <c r="N98" s="67">
        <v>1.06</v>
      </c>
      <c r="O98" s="701">
        <v>0.15</v>
      </c>
      <c r="P98" s="710">
        <v>1.6800000000000002</v>
      </c>
      <c r="Q98" s="686">
        <v>0.04</v>
      </c>
      <c r="R98" s="711">
        <v>1.35</v>
      </c>
      <c r="S98" s="674">
        <v>1.7949999999999999</v>
      </c>
      <c r="T98" s="67">
        <v>1.02</v>
      </c>
      <c r="U98" s="701">
        <v>1.26</v>
      </c>
      <c r="V98" s="710">
        <v>0.33999999999999997</v>
      </c>
      <c r="W98" s="686">
        <v>0.09</v>
      </c>
      <c r="X98" s="711">
        <v>0.23</v>
      </c>
      <c r="Y98" s="674">
        <v>6.5000000000000006E-3</v>
      </c>
      <c r="Z98" s="67">
        <v>7.0000000000000001E-3</v>
      </c>
      <c r="AA98" s="701">
        <v>5.0000000000000001E-3</v>
      </c>
      <c r="AB98" s="710">
        <v>0.46500000000000002</v>
      </c>
      <c r="AC98" s="686">
        <v>0.74</v>
      </c>
      <c r="AD98" s="694">
        <v>0.63</v>
      </c>
    </row>
    <row r="99" spans="1:30" x14ac:dyDescent="0.3">
      <c r="A99" s="645" t="str">
        <f>_xlfn.CONCAT(Physicochemical_Managed!Y82, Physicochemical_Managed!P82)</f>
        <v>Before the burnRN44341</v>
      </c>
      <c r="B99" s="646" t="str">
        <v>After the burnRL44419</v>
      </c>
      <c r="C99" s="647" t="str">
        <f t="shared" si="7"/>
        <v>RL44419</v>
      </c>
      <c r="D99" s="660" t="str">
        <f t="shared" si="8"/>
        <v>RL44335</v>
      </c>
      <c r="E99" s="66" t="str">
        <f t="shared" si="9"/>
        <v>RL44385</v>
      </c>
      <c r="F99" s="679" t="str">
        <f t="shared" si="10"/>
        <v>RL44419</v>
      </c>
      <c r="G99" s="674">
        <v>6.95</v>
      </c>
      <c r="H99" s="67">
        <v>6.76</v>
      </c>
      <c r="I99" s="701">
        <v>6.82</v>
      </c>
      <c r="J99" s="710">
        <v>25.6</v>
      </c>
      <c r="K99" s="686">
        <v>27.700000000000003</v>
      </c>
      <c r="L99" s="711">
        <v>23.1</v>
      </c>
      <c r="M99" s="674">
        <v>7.0000000000000007E-2</v>
      </c>
      <c r="N99" s="67">
        <v>1.915</v>
      </c>
      <c r="O99" s="701">
        <v>0.1</v>
      </c>
      <c r="P99" s="710">
        <v>1.44</v>
      </c>
      <c r="Q99" s="686">
        <v>5.5000000000000007E-2</v>
      </c>
      <c r="R99" s="711">
        <v>1.085</v>
      </c>
      <c r="S99" s="674">
        <v>1.34</v>
      </c>
      <c r="T99" s="67">
        <v>1.895</v>
      </c>
      <c r="U99" s="701">
        <v>1.095</v>
      </c>
      <c r="V99" s="710">
        <v>0.28000000000000003</v>
      </c>
      <c r="W99" s="686">
        <v>6.5000000000000002E-2</v>
      </c>
      <c r="X99" s="711">
        <v>0.18</v>
      </c>
      <c r="Y99" s="674">
        <v>6.0000000000000001E-3</v>
      </c>
      <c r="Z99" s="67">
        <v>7.4999999999999997E-3</v>
      </c>
      <c r="AA99" s="701">
        <v>6.5000000000000006E-3</v>
      </c>
      <c r="AB99" s="710">
        <v>0.55000000000000004</v>
      </c>
      <c r="AC99" s="686">
        <v>0.54499999999999993</v>
      </c>
      <c r="AD99" s="694">
        <v>0.61</v>
      </c>
    </row>
    <row r="100" spans="1:30" x14ac:dyDescent="0.3">
      <c r="A100" s="645" t="str">
        <f>_xlfn.CONCAT(Physicochemical_Managed!Y83, Physicochemical_Managed!P83)</f>
        <v>Before the burnRN44342</v>
      </c>
      <c r="B100" s="646" t="str">
        <v>After the burnRL44425</v>
      </c>
      <c r="C100" s="647" t="str">
        <f t="shared" si="7"/>
        <v>RL44425</v>
      </c>
      <c r="D100" s="660" t="str">
        <f t="shared" si="8"/>
        <v>RL44341</v>
      </c>
      <c r="E100" s="66" t="str">
        <f t="shared" si="9"/>
        <v>RL44390</v>
      </c>
      <c r="F100" s="679" t="str">
        <f t="shared" si="10"/>
        <v>RL44425</v>
      </c>
      <c r="G100" s="674">
        <v>6.7200000000000006</v>
      </c>
      <c r="H100" s="67">
        <v>6.8</v>
      </c>
      <c r="I100" s="701">
        <v>6.73</v>
      </c>
      <c r="J100" s="710">
        <v>25.65</v>
      </c>
      <c r="K100" s="686">
        <v>28</v>
      </c>
      <c r="L100" s="711">
        <v>23.4</v>
      </c>
      <c r="M100" s="674">
        <v>6.0000000000000005E-2</v>
      </c>
      <c r="N100" s="67">
        <v>1.19</v>
      </c>
      <c r="O100" s="701">
        <v>0.03</v>
      </c>
      <c r="P100" s="710">
        <v>1.65</v>
      </c>
      <c r="Q100" s="686">
        <v>0.05</v>
      </c>
      <c r="R100" s="711">
        <v>0.56999999999999995</v>
      </c>
      <c r="S100" s="674">
        <v>1.75</v>
      </c>
      <c r="T100" s="67">
        <v>1.21</v>
      </c>
      <c r="U100" s="701">
        <v>0.41</v>
      </c>
      <c r="V100" s="710">
        <v>0.32</v>
      </c>
      <c r="W100" s="686">
        <v>0.05</v>
      </c>
      <c r="X100" s="711">
        <v>0.19</v>
      </c>
      <c r="Y100" s="674">
        <v>7.0000000000000001E-3</v>
      </c>
      <c r="Z100" s="67">
        <v>6.0000000000000001E-3</v>
      </c>
      <c r="AA100" s="701">
        <v>6.0000000000000001E-3</v>
      </c>
      <c r="AB100" s="710">
        <v>0.505</v>
      </c>
      <c r="AC100" s="686">
        <v>0.67</v>
      </c>
      <c r="AD100" s="694">
        <v>0.64</v>
      </c>
    </row>
    <row r="101" spans="1:30" x14ac:dyDescent="0.3">
      <c r="A101" s="645" t="str">
        <f>_xlfn.CONCAT(Physicochemical_Managed!Y84, Physicochemical_Managed!P84)</f>
        <v>Before the burnRN44349</v>
      </c>
      <c r="B101" s="646" t="str">
        <v>After the burnRL44426</v>
      </c>
      <c r="C101" s="647" t="str">
        <f t="shared" si="7"/>
        <v>RL44426</v>
      </c>
      <c r="D101" s="660" t="str">
        <f t="shared" si="8"/>
        <v>RL44342</v>
      </c>
      <c r="E101" s="66" t="str">
        <f t="shared" si="9"/>
        <v>RL44391</v>
      </c>
      <c r="F101" s="679" t="str">
        <f t="shared" si="10"/>
        <v>RL44426</v>
      </c>
      <c r="G101" s="674">
        <v>6.81</v>
      </c>
      <c r="H101" s="67">
        <v>6.8849999999999998</v>
      </c>
      <c r="I101" s="701">
        <v>7.1050000000000004</v>
      </c>
      <c r="J101" s="710">
        <v>26.7</v>
      </c>
      <c r="K101" s="686">
        <v>28.15</v>
      </c>
      <c r="L101" s="711">
        <v>23.299999999999997</v>
      </c>
      <c r="M101" s="674">
        <v>0.09</v>
      </c>
      <c r="N101" s="67">
        <v>1.625</v>
      </c>
      <c r="O101" s="701">
        <v>7.0000000000000007E-2</v>
      </c>
      <c r="P101" s="710">
        <v>1.75</v>
      </c>
      <c r="Q101" s="686">
        <v>0.03</v>
      </c>
      <c r="R101" s="711">
        <v>1.2549999999999999</v>
      </c>
      <c r="S101" s="674">
        <v>1.68</v>
      </c>
      <c r="T101" s="67">
        <v>1.7050000000000001</v>
      </c>
      <c r="U101" s="701">
        <v>1.2850000000000001</v>
      </c>
      <c r="V101" s="710">
        <v>0.34</v>
      </c>
      <c r="W101" s="686">
        <v>3.5000000000000003E-2</v>
      </c>
      <c r="X101" s="711">
        <v>0.17499999999999999</v>
      </c>
      <c r="Y101" s="674">
        <v>7.0000000000000001E-3</v>
      </c>
      <c r="Z101" s="67">
        <v>6.0000000000000001E-3</v>
      </c>
      <c r="AA101" s="701">
        <v>5.4000000000000006E-2</v>
      </c>
      <c r="AB101" s="710">
        <v>0.56000000000000005</v>
      </c>
      <c r="AC101" s="686">
        <v>0.255</v>
      </c>
      <c r="AD101" s="694">
        <v>0.66999999999999993</v>
      </c>
    </row>
    <row r="102" spans="1:30" x14ac:dyDescent="0.3">
      <c r="A102" s="645" t="str">
        <f>_xlfn.CONCAT(Physicochemical_Managed!Y85, Physicochemical_Managed!P85)</f>
        <v>Before the burnRN44350</v>
      </c>
      <c r="B102" s="646" t="str">
        <v>After the burnRL44432</v>
      </c>
      <c r="C102" s="647" t="str">
        <f t="shared" si="7"/>
        <v>RL44432</v>
      </c>
      <c r="D102" s="660" t="str">
        <f t="shared" si="8"/>
        <v>RL44349</v>
      </c>
      <c r="E102" s="66" t="str">
        <f t="shared" si="9"/>
        <v>RL44397</v>
      </c>
      <c r="F102" s="679" t="str">
        <f t="shared" si="10"/>
        <v>RL44432</v>
      </c>
      <c r="G102" s="674">
        <v>6.7050000000000001</v>
      </c>
      <c r="H102" s="67">
        <v>6.74</v>
      </c>
      <c r="I102" s="701">
        <v>6.84</v>
      </c>
      <c r="J102" s="710">
        <v>26.35</v>
      </c>
      <c r="K102" s="686">
        <v>28</v>
      </c>
      <c r="L102" s="711">
        <v>23.4</v>
      </c>
      <c r="M102" s="674">
        <v>0.08</v>
      </c>
      <c r="N102" s="67">
        <v>2.14</v>
      </c>
      <c r="O102" s="701">
        <v>7.0000000000000007E-2</v>
      </c>
      <c r="P102" s="710">
        <v>1.32</v>
      </c>
      <c r="Q102" s="686">
        <v>0.04</v>
      </c>
      <c r="R102" s="711">
        <v>0.7</v>
      </c>
      <c r="S102" s="674">
        <v>1.51</v>
      </c>
      <c r="T102" s="67">
        <v>2.12</v>
      </c>
      <c r="U102" s="701">
        <v>0.55000000000000004</v>
      </c>
      <c r="V102" s="710">
        <v>0.29000000000000004</v>
      </c>
      <c r="W102" s="686">
        <v>7.0000000000000007E-2</v>
      </c>
      <c r="X102" s="711">
        <v>0.12</v>
      </c>
      <c r="Y102" s="674">
        <v>6.0000000000000001E-3</v>
      </c>
      <c r="Z102" s="67">
        <v>8.9999999999999993E-3</v>
      </c>
      <c r="AA102" s="701">
        <v>8.9999999999999993E-3</v>
      </c>
      <c r="AB102" s="710">
        <v>0.61499999999999999</v>
      </c>
      <c r="AC102" s="686">
        <v>0.63</v>
      </c>
      <c r="AD102" s="694">
        <v>0.6</v>
      </c>
    </row>
    <row r="103" spans="1:30" x14ac:dyDescent="0.3">
      <c r="A103" s="645" t="str">
        <f>_xlfn.CONCAT(Physicochemical_Managed!Y86, Physicochemical_Managed!P86)</f>
        <v>Before the burnRN44355</v>
      </c>
      <c r="B103" s="646" t="str">
        <v>After the burnRL44433</v>
      </c>
      <c r="C103" s="647" t="str">
        <f t="shared" si="7"/>
        <v>RL44433</v>
      </c>
      <c r="D103" s="660" t="str">
        <f t="shared" si="8"/>
        <v>RL44350</v>
      </c>
      <c r="E103" s="66" t="str">
        <f t="shared" si="9"/>
        <v>RL44398</v>
      </c>
      <c r="F103" s="679" t="str">
        <f t="shared" si="10"/>
        <v>RL44433</v>
      </c>
      <c r="G103" s="674">
        <v>6.75</v>
      </c>
      <c r="H103" s="67">
        <v>6.8849999999999998</v>
      </c>
      <c r="I103" s="701">
        <v>6.915</v>
      </c>
      <c r="J103" s="710">
        <v>27.1</v>
      </c>
      <c r="K103" s="686">
        <v>28</v>
      </c>
      <c r="L103" s="711">
        <v>23.9</v>
      </c>
      <c r="M103" s="674">
        <v>0.12</v>
      </c>
      <c r="N103" s="67">
        <v>1.8599999999999999</v>
      </c>
      <c r="O103" s="701">
        <v>7.0000000000000007E-2</v>
      </c>
      <c r="P103" s="710">
        <v>1.45</v>
      </c>
      <c r="Q103" s="686">
        <v>3.5000000000000003E-2</v>
      </c>
      <c r="R103" s="711">
        <v>0.79</v>
      </c>
      <c r="S103" s="674">
        <v>1.46</v>
      </c>
      <c r="T103" s="67">
        <v>1.835</v>
      </c>
      <c r="U103" s="701">
        <v>0.64500000000000002</v>
      </c>
      <c r="V103" s="710">
        <v>0.31</v>
      </c>
      <c r="W103" s="686">
        <v>0.17499999999999999</v>
      </c>
      <c r="X103" s="711">
        <v>0.24</v>
      </c>
      <c r="Y103" s="674">
        <v>6.0000000000000001E-3</v>
      </c>
      <c r="Z103" s="67">
        <v>6.5000000000000006E-3</v>
      </c>
      <c r="AA103" s="701">
        <v>8.5000000000000006E-3</v>
      </c>
      <c r="AB103" s="710">
        <v>0.56000000000000005</v>
      </c>
      <c r="AC103" s="686">
        <v>0.6100000000000001</v>
      </c>
      <c r="AD103" s="694">
        <v>0.62</v>
      </c>
    </row>
    <row r="104" spans="1:30" x14ac:dyDescent="0.3">
      <c r="A104" s="645" t="str">
        <f>_xlfn.CONCAT(Physicochemical_Managed!Y87, Physicochemical_Managed!P87)</f>
        <v>Before the burnRN44356</v>
      </c>
      <c r="B104" s="646" t="str">
        <v>After the burnRN44404</v>
      </c>
      <c r="C104" s="647" t="str">
        <f t="shared" si="7"/>
        <v>RN44404</v>
      </c>
      <c r="D104" s="660" t="str">
        <f t="shared" si="8"/>
        <v>RL44355</v>
      </c>
      <c r="E104" s="66" t="str">
        <f t="shared" si="9"/>
        <v>RN44362</v>
      </c>
      <c r="F104" s="679" t="str">
        <f t="shared" si="10"/>
        <v>RN44404</v>
      </c>
      <c r="G104" s="674">
        <v>6.7449999999999992</v>
      </c>
      <c r="H104" s="67">
        <v>6.78</v>
      </c>
      <c r="I104" s="701">
        <v>6.61</v>
      </c>
      <c r="J104" s="710">
        <v>27.25</v>
      </c>
      <c r="K104" s="686">
        <v>23.8</v>
      </c>
      <c r="L104" s="711">
        <v>26.9</v>
      </c>
      <c r="M104" s="674">
        <v>0.13500000000000001</v>
      </c>
      <c r="N104" s="67">
        <v>2.39</v>
      </c>
      <c r="O104" s="701">
        <v>0.13</v>
      </c>
      <c r="P104" s="710">
        <v>1.365</v>
      </c>
      <c r="Q104" s="686">
        <v>0.01</v>
      </c>
      <c r="R104" s="711">
        <v>1.77</v>
      </c>
      <c r="S104" s="674">
        <v>1.2850000000000001</v>
      </c>
      <c r="T104" s="67">
        <v>2.39</v>
      </c>
      <c r="U104" s="701">
        <v>1.95</v>
      </c>
      <c r="V104" s="710">
        <v>0.41500000000000004</v>
      </c>
      <c r="W104" s="686">
        <v>7.0000000000000007E-2</v>
      </c>
      <c r="X104" s="711">
        <v>0.18</v>
      </c>
      <c r="Y104" s="674">
        <v>7.0000000000000001E-3</v>
      </c>
      <c r="Z104" s="67">
        <v>5.0000000000000001E-3</v>
      </c>
      <c r="AA104" s="701">
        <v>6.0000000000000001E-3</v>
      </c>
      <c r="AB104" s="710">
        <v>0.55499999999999994</v>
      </c>
      <c r="AC104" s="686">
        <v>0.57999999999999996</v>
      </c>
      <c r="AD104" s="694">
        <v>0.42</v>
      </c>
    </row>
    <row r="105" spans="1:30" x14ac:dyDescent="0.3">
      <c r="A105" s="645" t="str">
        <f>_xlfn.CONCAT(Physicochemical_Managed!Y88, Physicochemical_Managed!P88)</f>
        <v>During the burnRN44362</v>
      </c>
      <c r="B105" s="646" t="str">
        <v>After the burnRN44405</v>
      </c>
      <c r="C105" s="647" t="str">
        <f t="shared" si="7"/>
        <v>RN44405</v>
      </c>
      <c r="D105" s="660" t="str">
        <f t="shared" si="8"/>
        <v>RL44356</v>
      </c>
      <c r="E105" s="66" t="str">
        <f t="shared" si="9"/>
        <v>RN44363</v>
      </c>
      <c r="F105" s="679" t="str">
        <f t="shared" si="10"/>
        <v>RN44405</v>
      </c>
      <c r="G105" s="674">
        <v>6.6400000000000006</v>
      </c>
      <c r="H105" s="67">
        <v>6.8450000000000006</v>
      </c>
      <c r="I105" s="701">
        <v>6.7450000000000001</v>
      </c>
      <c r="J105" s="710">
        <v>23.5</v>
      </c>
      <c r="K105" s="686">
        <v>23.4</v>
      </c>
      <c r="L105" s="711">
        <v>28.15</v>
      </c>
      <c r="M105" s="674">
        <v>7.5000000000000011E-2</v>
      </c>
      <c r="N105" s="67">
        <v>2.21</v>
      </c>
      <c r="O105" s="701">
        <v>0.1</v>
      </c>
      <c r="P105" s="710">
        <v>2.6</v>
      </c>
      <c r="Q105" s="686">
        <v>0.01</v>
      </c>
      <c r="R105" s="711">
        <v>2.0449999999999999</v>
      </c>
      <c r="S105" s="674">
        <v>2.95</v>
      </c>
      <c r="T105" s="67">
        <v>2.2000000000000002</v>
      </c>
      <c r="U105" s="701">
        <v>2.2549999999999999</v>
      </c>
      <c r="V105" s="710">
        <v>0.20500000000000002</v>
      </c>
      <c r="W105" s="686">
        <v>6.9999999999999993E-2</v>
      </c>
      <c r="X105" s="711">
        <v>0.14000000000000001</v>
      </c>
      <c r="Y105" s="674">
        <v>1.0500000000000001E-2</v>
      </c>
      <c r="Z105" s="67">
        <v>7.0000000000000001E-3</v>
      </c>
      <c r="AA105" s="701">
        <v>6.0000000000000001E-3</v>
      </c>
      <c r="AB105" s="710">
        <v>0.36499999999999999</v>
      </c>
      <c r="AC105" s="686">
        <v>0.56499999999999995</v>
      </c>
      <c r="AD105" s="694">
        <v>0.44</v>
      </c>
    </row>
    <row r="106" spans="1:30" x14ac:dyDescent="0.3">
      <c r="A106" s="645" t="str">
        <f>_xlfn.CONCAT(Physicochemical_Managed!Y89, Physicochemical_Managed!P89)</f>
        <v>During the burnRN44363</v>
      </c>
      <c r="B106" s="646" t="str">
        <v>After the burnRN44411</v>
      </c>
      <c r="C106" s="647" t="str">
        <f t="shared" si="7"/>
        <v>RN44411</v>
      </c>
      <c r="D106" s="660" t="str">
        <f t="shared" si="8"/>
        <v>RN44293</v>
      </c>
      <c r="E106" s="66" t="str">
        <f t="shared" si="9"/>
        <v>RN44369</v>
      </c>
      <c r="F106" s="679" t="str">
        <f t="shared" si="10"/>
        <v>RN44411</v>
      </c>
      <c r="G106" s="674">
        <v>7.05</v>
      </c>
      <c r="H106" s="67">
        <v>6.92</v>
      </c>
      <c r="I106" s="701">
        <v>6.61</v>
      </c>
      <c r="J106" s="710">
        <v>18.899999999999999</v>
      </c>
      <c r="K106" s="686">
        <v>24.1</v>
      </c>
      <c r="L106" s="711">
        <v>26.7</v>
      </c>
      <c r="M106" s="674">
        <v>0.15</v>
      </c>
      <c r="N106" s="67">
        <v>0.1</v>
      </c>
      <c r="O106" s="701">
        <v>0.14000000000000001</v>
      </c>
      <c r="P106" s="710">
        <v>2.0499999999999998</v>
      </c>
      <c r="Q106" s="686">
        <v>0.23</v>
      </c>
      <c r="R106" s="711">
        <v>2.19</v>
      </c>
      <c r="S106" s="674">
        <v>2.69</v>
      </c>
      <c r="T106" s="67">
        <v>0.39</v>
      </c>
      <c r="U106" s="701">
        <v>2.62</v>
      </c>
      <c r="V106" s="710">
        <v>0.24</v>
      </c>
      <c r="W106" s="686">
        <v>0.1</v>
      </c>
      <c r="X106" s="711">
        <v>0.11</v>
      </c>
      <c r="Y106" s="674">
        <v>6.0000000000000001E-3</v>
      </c>
      <c r="Z106" s="67">
        <v>1.0999999999999999E-2</v>
      </c>
      <c r="AA106" s="701">
        <v>7.0000000000000001E-3</v>
      </c>
      <c r="AB106" s="710">
        <v>0.34</v>
      </c>
      <c r="AC106" s="686">
        <v>0.56000000000000005</v>
      </c>
      <c r="AD106" s="694">
        <v>0.34</v>
      </c>
    </row>
    <row r="107" spans="1:30" x14ac:dyDescent="0.3">
      <c r="A107" s="645" t="str">
        <f>_xlfn.CONCAT(Physicochemical_Managed!Y90, Physicochemical_Managed!P90)</f>
        <v>During the burnRN44369</v>
      </c>
      <c r="B107" s="646" t="str">
        <v>After the burnRN44412</v>
      </c>
      <c r="C107" s="647" t="str">
        <f t="shared" si="7"/>
        <v>RN44412</v>
      </c>
      <c r="D107" s="660" t="str">
        <f t="shared" si="8"/>
        <v>RN44313</v>
      </c>
      <c r="E107" s="66" t="str">
        <f t="shared" si="9"/>
        <v>RN44370</v>
      </c>
      <c r="F107" s="679" t="str">
        <f t="shared" si="10"/>
        <v>RN44412</v>
      </c>
      <c r="G107" s="674">
        <v>6.95</v>
      </c>
      <c r="H107" s="67">
        <v>7.12</v>
      </c>
      <c r="I107" s="701">
        <v>6.66</v>
      </c>
      <c r="J107" s="710">
        <v>22.7</v>
      </c>
      <c r="K107" s="686">
        <v>28.8</v>
      </c>
      <c r="L107" s="711">
        <v>26.799999999999997</v>
      </c>
      <c r="M107" s="674">
        <v>0.09</v>
      </c>
      <c r="N107" s="67">
        <v>2.36</v>
      </c>
      <c r="O107" s="701">
        <v>0.01</v>
      </c>
      <c r="P107" s="710">
        <v>2.1</v>
      </c>
      <c r="Q107" s="686">
        <v>0.02</v>
      </c>
      <c r="R107" s="711">
        <v>2.415</v>
      </c>
      <c r="S107" s="674">
        <v>2.69</v>
      </c>
      <c r="T107" s="67">
        <v>2.41</v>
      </c>
      <c r="U107" s="701">
        <v>2.7800000000000002</v>
      </c>
      <c r="V107" s="710">
        <v>0.15</v>
      </c>
      <c r="W107" s="686">
        <v>0.09</v>
      </c>
      <c r="X107" s="711">
        <v>0.115</v>
      </c>
      <c r="Y107" s="674">
        <v>7.0000000000000001E-3</v>
      </c>
      <c r="Z107" s="67">
        <v>7.0000000000000001E-3</v>
      </c>
      <c r="AA107" s="701">
        <v>6.5000000000000006E-3</v>
      </c>
      <c r="AB107" s="710">
        <v>0.3</v>
      </c>
      <c r="AC107" s="686">
        <v>0.34</v>
      </c>
      <c r="AD107" s="694">
        <v>0.35499999999999998</v>
      </c>
    </row>
    <row r="108" spans="1:30" x14ac:dyDescent="0.3">
      <c r="A108" s="645" t="str">
        <f>_xlfn.CONCAT(Physicochemical_Managed!Y91, Physicochemical_Managed!P91)</f>
        <v>During the burnRN44370</v>
      </c>
      <c r="B108" s="646" t="str">
        <v>After the burnRN44418</v>
      </c>
      <c r="C108" s="647" t="str">
        <f t="shared" si="7"/>
        <v>RN44418</v>
      </c>
      <c r="D108" s="660" t="str">
        <f t="shared" si="8"/>
        <v>RN44327</v>
      </c>
      <c r="E108" s="66" t="str">
        <f t="shared" si="9"/>
        <v>RN44376</v>
      </c>
      <c r="F108" s="679" t="str">
        <f t="shared" si="10"/>
        <v>RN44418</v>
      </c>
      <c r="G108" s="674">
        <v>7.41</v>
      </c>
      <c r="H108" s="67">
        <v>7.06</v>
      </c>
      <c r="I108" s="701">
        <v>6.64</v>
      </c>
      <c r="J108" s="710">
        <v>24.8</v>
      </c>
      <c r="K108" s="686">
        <v>27</v>
      </c>
      <c r="L108" s="711">
        <v>26.1</v>
      </c>
      <c r="M108" s="674">
        <v>0.15</v>
      </c>
      <c r="N108" s="67">
        <v>2.37</v>
      </c>
      <c r="O108" s="701">
        <v>0.11</v>
      </c>
      <c r="P108" s="710">
        <v>1.48</v>
      </c>
      <c r="Q108" s="686">
        <v>0.02</v>
      </c>
      <c r="R108" s="711">
        <v>1.93</v>
      </c>
      <c r="S108" s="674">
        <v>1.79</v>
      </c>
      <c r="T108" s="67">
        <v>2.4900000000000002</v>
      </c>
      <c r="U108" s="701">
        <v>2.2200000000000002</v>
      </c>
      <c r="V108" s="710">
        <v>0.32</v>
      </c>
      <c r="W108" s="686">
        <v>0.19</v>
      </c>
      <c r="X108" s="711">
        <v>0.14000000000000001</v>
      </c>
      <c r="Y108" s="674">
        <v>1.2999999999999999E-2</v>
      </c>
      <c r="Z108" s="67">
        <v>7.0000000000000001E-3</v>
      </c>
      <c r="AA108" s="701">
        <v>8.0000000000000002E-3</v>
      </c>
      <c r="AB108" s="710">
        <v>0.25</v>
      </c>
      <c r="AC108" s="686">
        <v>0.41</v>
      </c>
      <c r="AD108" s="694">
        <v>0.43</v>
      </c>
    </row>
    <row r="109" spans="1:30" x14ac:dyDescent="0.3">
      <c r="A109" s="645" t="str">
        <f>_xlfn.CONCAT(Physicochemical_Managed!Y92, Physicochemical_Managed!P92)</f>
        <v>During the burnRN44376</v>
      </c>
      <c r="B109" s="646" t="str">
        <v>After the burnRN44419</v>
      </c>
      <c r="C109" s="647" t="str">
        <f t="shared" si="7"/>
        <v>RN44419</v>
      </c>
      <c r="D109" s="660" t="str">
        <f t="shared" si="8"/>
        <v>RN44334</v>
      </c>
      <c r="E109" s="66" t="str">
        <f t="shared" si="9"/>
        <v>RN44377</v>
      </c>
      <c r="F109" s="679" t="str">
        <f t="shared" si="10"/>
        <v>RN44419</v>
      </c>
      <c r="G109" s="674">
        <v>7.3</v>
      </c>
      <c r="H109" s="67">
        <v>7.33</v>
      </c>
      <c r="I109" s="701">
        <v>6.64</v>
      </c>
      <c r="J109" s="710">
        <v>23.3</v>
      </c>
      <c r="K109" s="686">
        <v>25</v>
      </c>
      <c r="L109" s="711">
        <v>29.5</v>
      </c>
      <c r="M109" s="674">
        <v>0.13</v>
      </c>
      <c r="N109" s="67">
        <v>2.72</v>
      </c>
      <c r="O109" s="701">
        <v>0.09</v>
      </c>
      <c r="P109" s="710">
        <v>1.5</v>
      </c>
      <c r="Q109" s="686">
        <v>0.02</v>
      </c>
      <c r="R109" s="711">
        <v>2.1950000000000003</v>
      </c>
      <c r="S109" s="674">
        <v>1.95</v>
      </c>
      <c r="T109" s="67">
        <v>2.79</v>
      </c>
      <c r="U109" s="701">
        <v>2.665</v>
      </c>
      <c r="V109" s="710">
        <v>0.43</v>
      </c>
      <c r="W109" s="686">
        <v>0.1</v>
      </c>
      <c r="X109" s="711">
        <v>0.14499999999999999</v>
      </c>
      <c r="Y109" s="674">
        <v>2.4E-2</v>
      </c>
      <c r="Z109" s="67">
        <v>8.9999999999999993E-3</v>
      </c>
      <c r="AA109" s="701">
        <v>4.5000000000000005E-3</v>
      </c>
      <c r="AB109" s="710">
        <v>0.28999999999999998</v>
      </c>
      <c r="AC109" s="686">
        <v>0.34</v>
      </c>
      <c r="AD109" s="694">
        <v>0.39500000000000002</v>
      </c>
    </row>
    <row r="110" spans="1:30" x14ac:dyDescent="0.3">
      <c r="A110" s="645" t="str">
        <f>_xlfn.CONCAT(Physicochemical_Managed!Y93, Physicochemical_Managed!P93)</f>
        <v>During the burnRN44377</v>
      </c>
      <c r="B110" s="646" t="str">
        <v>After the burnRN44425</v>
      </c>
      <c r="C110" s="647" t="str">
        <f t="shared" si="7"/>
        <v>RN44425</v>
      </c>
      <c r="D110" s="660" t="str">
        <f t="shared" si="8"/>
        <v>RN44335</v>
      </c>
      <c r="E110" s="66" t="str">
        <f t="shared" si="9"/>
        <v>RN44384</v>
      </c>
      <c r="F110" s="679" t="str">
        <f t="shared" si="10"/>
        <v>RN44425</v>
      </c>
      <c r="G110" s="674">
        <v>7.43</v>
      </c>
      <c r="H110" s="67">
        <v>7.1</v>
      </c>
      <c r="I110" s="701">
        <v>6.71</v>
      </c>
      <c r="J110" s="710">
        <v>24.5</v>
      </c>
      <c r="K110" s="686">
        <v>27.4</v>
      </c>
      <c r="L110" s="711">
        <v>26.9</v>
      </c>
      <c r="M110" s="674">
        <v>8.4999999999999992E-2</v>
      </c>
      <c r="N110" s="67">
        <v>3.26</v>
      </c>
      <c r="O110" s="701">
        <v>0.1</v>
      </c>
      <c r="P110" s="710">
        <v>2.4249999999999998</v>
      </c>
      <c r="Q110" s="686">
        <v>0.01</v>
      </c>
      <c r="R110" s="711">
        <v>1.72</v>
      </c>
      <c r="S110" s="674">
        <v>2.86</v>
      </c>
      <c r="T110" s="67">
        <v>3.3</v>
      </c>
      <c r="U110" s="701">
        <v>1.93</v>
      </c>
      <c r="V110" s="710">
        <v>0.28500000000000003</v>
      </c>
      <c r="W110" s="686">
        <v>1.4999999999999999E-2</v>
      </c>
      <c r="X110" s="711">
        <v>0.19</v>
      </c>
      <c r="Y110" s="674">
        <v>8.0000000000000002E-3</v>
      </c>
      <c r="Z110" s="67">
        <v>6.5000000000000006E-3</v>
      </c>
      <c r="AA110" s="701">
        <v>8.9999999999999993E-3</v>
      </c>
      <c r="AB110" s="710">
        <v>0.28500000000000003</v>
      </c>
      <c r="AC110" s="686">
        <v>0.32999999999999996</v>
      </c>
      <c r="AD110" s="694">
        <v>0.4</v>
      </c>
    </row>
    <row r="111" spans="1:30" x14ac:dyDescent="0.3">
      <c r="A111" s="645" t="str">
        <f>_xlfn.CONCAT(Physicochemical_Managed!Y94, Physicochemical_Managed!P94)</f>
        <v>During the burnRN44384</v>
      </c>
      <c r="B111" s="646" t="str">
        <v>After the burnRN44426</v>
      </c>
      <c r="C111" s="647" t="str">
        <f t="shared" si="7"/>
        <v>RN44426</v>
      </c>
      <c r="D111" s="660" t="str">
        <f t="shared" si="8"/>
        <v>RN44341</v>
      </c>
      <c r="E111" s="66" t="str">
        <f t="shared" si="9"/>
        <v>RN44385</v>
      </c>
      <c r="F111" s="679" t="str">
        <f t="shared" si="10"/>
        <v>RN44426</v>
      </c>
      <c r="G111" s="674">
        <v>7.35</v>
      </c>
      <c r="H111" s="67">
        <v>7.05</v>
      </c>
      <c r="I111" s="701">
        <v>6.6549999999999994</v>
      </c>
      <c r="J111" s="710">
        <v>23.4</v>
      </c>
      <c r="K111" s="686">
        <v>24.4</v>
      </c>
      <c r="L111" s="711">
        <v>28.3</v>
      </c>
      <c r="M111" s="674">
        <v>0.1</v>
      </c>
      <c r="N111" s="67">
        <v>2.58</v>
      </c>
      <c r="O111" s="701">
        <v>0.11</v>
      </c>
      <c r="P111" s="710">
        <v>2.2000000000000002</v>
      </c>
      <c r="Q111" s="686">
        <v>0.02</v>
      </c>
      <c r="R111" s="711">
        <v>2.27</v>
      </c>
      <c r="S111" s="674">
        <v>2.85</v>
      </c>
      <c r="T111" s="67">
        <v>2.69</v>
      </c>
      <c r="U111" s="701">
        <v>2.7350000000000003</v>
      </c>
      <c r="V111" s="710">
        <v>0.21</v>
      </c>
      <c r="W111" s="686">
        <v>0.1</v>
      </c>
      <c r="X111" s="711">
        <v>0.13500000000000001</v>
      </c>
      <c r="Y111" s="674">
        <v>7.0000000000000001E-3</v>
      </c>
      <c r="Z111" s="67">
        <v>7.0000000000000001E-3</v>
      </c>
      <c r="AA111" s="701">
        <v>6.5000000000000006E-3</v>
      </c>
      <c r="AB111" s="710">
        <v>0.28000000000000003</v>
      </c>
      <c r="AC111" s="686">
        <v>0.42</v>
      </c>
      <c r="AD111" s="694">
        <v>0.34</v>
      </c>
    </row>
    <row r="112" spans="1:30" x14ac:dyDescent="0.3">
      <c r="A112" s="645" t="str">
        <f>_xlfn.CONCAT(Physicochemical_Managed!Y95, Physicochemical_Managed!P95)</f>
        <v>During the burnRN44385</v>
      </c>
      <c r="B112" s="646" t="str">
        <v>After the burnRN44432</v>
      </c>
      <c r="C112" s="647" t="str">
        <f t="shared" si="7"/>
        <v>RN44432</v>
      </c>
      <c r="D112" s="660" t="str">
        <f t="shared" si="8"/>
        <v>RN44342</v>
      </c>
      <c r="E112" s="66" t="str">
        <f t="shared" si="9"/>
        <v>RN44390</v>
      </c>
      <c r="F112" s="679" t="str">
        <f t="shared" si="10"/>
        <v>RN44432</v>
      </c>
      <c r="G112" s="674">
        <v>6.88</v>
      </c>
      <c r="H112" s="67">
        <v>6.9850000000000003</v>
      </c>
      <c r="I112" s="701">
        <v>6.73</v>
      </c>
      <c r="J112" s="710">
        <v>25</v>
      </c>
      <c r="K112" s="686">
        <v>26.7</v>
      </c>
      <c r="L112" s="711">
        <v>28.5</v>
      </c>
      <c r="M112" s="674">
        <v>0.13500000000000001</v>
      </c>
      <c r="N112" s="67">
        <v>3.08</v>
      </c>
      <c r="O112" s="701">
        <v>0.12</v>
      </c>
      <c r="P112" s="710">
        <v>2.39</v>
      </c>
      <c r="Q112" s="686">
        <v>0.01</v>
      </c>
      <c r="R112" s="711">
        <v>2.35</v>
      </c>
      <c r="S112" s="674">
        <v>2.9950000000000001</v>
      </c>
      <c r="T112" s="67">
        <v>3.0649999999999999</v>
      </c>
      <c r="U112" s="701">
        <v>2.46</v>
      </c>
      <c r="V112" s="710">
        <v>0.2</v>
      </c>
      <c r="W112" s="686">
        <v>0.04</v>
      </c>
      <c r="X112" s="711">
        <v>0.1</v>
      </c>
      <c r="Y112" s="674">
        <v>7.0000000000000001E-3</v>
      </c>
      <c r="Z112" s="67">
        <v>8.0000000000000002E-3</v>
      </c>
      <c r="AA112" s="701">
        <v>2E-3</v>
      </c>
      <c r="AB112" s="710">
        <v>0.27</v>
      </c>
      <c r="AC112" s="686">
        <v>0.32</v>
      </c>
      <c r="AD112" s="694">
        <v>0.39</v>
      </c>
    </row>
    <row r="113" spans="1:30" x14ac:dyDescent="0.3">
      <c r="A113" s="645" t="str">
        <f>_xlfn.CONCAT(Physicochemical_Managed!Y96, Physicochemical_Managed!P96)</f>
        <v>During the burnRN44390</v>
      </c>
      <c r="B113" s="646" t="str">
        <v>After the burnRN44433</v>
      </c>
      <c r="C113" s="647" t="str">
        <f t="shared" si="7"/>
        <v>RN44433</v>
      </c>
      <c r="D113" s="660" t="str">
        <f t="shared" si="8"/>
        <v>RN44349</v>
      </c>
      <c r="E113" s="66" t="str">
        <f t="shared" si="9"/>
        <v>RN44391</v>
      </c>
      <c r="F113" s="679" t="str">
        <f t="shared" si="10"/>
        <v>RN44433</v>
      </c>
      <c r="G113" s="674">
        <v>7.29</v>
      </c>
      <c r="H113" s="67">
        <v>6.45</v>
      </c>
      <c r="I113" s="701">
        <v>6.8599999999999994</v>
      </c>
      <c r="J113" s="710">
        <v>25</v>
      </c>
      <c r="K113" s="686">
        <v>25</v>
      </c>
      <c r="L113" s="711">
        <v>29</v>
      </c>
      <c r="M113" s="674">
        <v>0.09</v>
      </c>
      <c r="N113" s="67">
        <v>2.29</v>
      </c>
      <c r="O113" s="701">
        <v>0.04</v>
      </c>
      <c r="P113" s="710">
        <v>2.16</v>
      </c>
      <c r="Q113" s="686">
        <v>0.02</v>
      </c>
      <c r="R113" s="711">
        <v>2.1550000000000002</v>
      </c>
      <c r="S113" s="674">
        <v>2.4300000000000002</v>
      </c>
      <c r="T113" s="67">
        <v>2.42</v>
      </c>
      <c r="U113" s="701">
        <v>2.2850000000000001</v>
      </c>
      <c r="V113" s="710">
        <v>0.25</v>
      </c>
      <c r="W113" s="686">
        <v>0.03</v>
      </c>
      <c r="X113" s="711">
        <v>0.245</v>
      </c>
      <c r="Y113" s="674">
        <v>5.0000000000000001E-3</v>
      </c>
      <c r="Z113" s="67">
        <v>7.0000000000000001E-3</v>
      </c>
      <c r="AA113" s="701">
        <v>2E-3</v>
      </c>
      <c r="AB113" s="710">
        <v>0.41</v>
      </c>
      <c r="AC113" s="686">
        <v>0.4</v>
      </c>
      <c r="AD113" s="694">
        <v>0.37</v>
      </c>
    </row>
    <row r="114" spans="1:30" x14ac:dyDescent="0.3">
      <c r="A114" s="645" t="str">
        <f>_xlfn.CONCAT(Physicochemical_Managed!Y97, Physicochemical_Managed!P97)</f>
        <v>During the burnRN44391</v>
      </c>
      <c r="B114" s="646" t="str">
        <v>After the burnRS44404</v>
      </c>
      <c r="C114" s="647" t="str">
        <f t="shared" si="7"/>
        <v>RS44404</v>
      </c>
      <c r="D114" s="660" t="str">
        <f t="shared" si="8"/>
        <v>RN44350</v>
      </c>
      <c r="E114" s="66" t="str">
        <f t="shared" si="9"/>
        <v>RN44397</v>
      </c>
      <c r="F114" s="679" t="str">
        <f t="shared" si="10"/>
        <v>RS44404</v>
      </c>
      <c r="G114" s="674">
        <v>7.2449999999999992</v>
      </c>
      <c r="H114" s="67">
        <v>6.7450000000000001</v>
      </c>
      <c r="I114" s="701">
        <v>6.72</v>
      </c>
      <c r="J114" s="710">
        <v>25.05</v>
      </c>
      <c r="K114" s="686">
        <v>27.15</v>
      </c>
      <c r="L114" s="711">
        <v>28.3</v>
      </c>
      <c r="M114" s="674">
        <v>7.4999999999999997E-2</v>
      </c>
      <c r="N114" s="67">
        <v>2.6550000000000002</v>
      </c>
      <c r="O114" s="701">
        <v>0.09</v>
      </c>
      <c r="P114" s="710">
        <v>2.34</v>
      </c>
      <c r="Q114" s="686">
        <v>5.0000000000000001E-3</v>
      </c>
      <c r="R114" s="711">
        <v>0.74</v>
      </c>
      <c r="S114" s="674">
        <v>2.56</v>
      </c>
      <c r="T114" s="67">
        <v>2.73</v>
      </c>
      <c r="U114" s="701">
        <v>0.93</v>
      </c>
      <c r="V114" s="710">
        <v>0.26</v>
      </c>
      <c r="W114" s="686">
        <v>0.05</v>
      </c>
      <c r="X114" s="711">
        <v>0.04</v>
      </c>
      <c r="Y114" s="674">
        <v>7.0000000000000001E-3</v>
      </c>
      <c r="Z114" s="67">
        <v>7.0000000000000001E-3</v>
      </c>
      <c r="AA114" s="701">
        <v>6.0000000000000001E-3</v>
      </c>
      <c r="AB114" s="710">
        <v>0.39</v>
      </c>
      <c r="AC114" s="686">
        <v>0.4</v>
      </c>
      <c r="AD114" s="694">
        <v>0.49</v>
      </c>
    </row>
    <row r="115" spans="1:30" x14ac:dyDescent="0.3">
      <c r="A115" s="645" t="str">
        <f>_xlfn.CONCAT(Physicochemical_Managed!Y98, Physicochemical_Managed!P98)</f>
        <v>During the burnRN44397</v>
      </c>
      <c r="B115" s="646" t="str">
        <v>After the burnRS44405</v>
      </c>
      <c r="C115" s="647" t="str">
        <f t="shared" si="7"/>
        <v>RS44405</v>
      </c>
      <c r="D115" s="660" t="str">
        <f t="shared" si="8"/>
        <v>RN44355</v>
      </c>
      <c r="E115" s="66" t="str">
        <f t="shared" si="9"/>
        <v>RN44398</v>
      </c>
      <c r="F115" s="679" t="str">
        <f t="shared" si="10"/>
        <v>RS44405</v>
      </c>
      <c r="G115" s="674">
        <v>7.45</v>
      </c>
      <c r="H115" s="67">
        <v>6.69</v>
      </c>
      <c r="I115" s="701">
        <v>6.4649999999999999</v>
      </c>
      <c r="J115" s="710">
        <v>25.3</v>
      </c>
      <c r="K115" s="686">
        <v>24.8</v>
      </c>
      <c r="L115" s="711">
        <v>27.6</v>
      </c>
      <c r="M115" s="674">
        <v>0.09</v>
      </c>
      <c r="N115" s="67">
        <v>2.0299999999999998</v>
      </c>
      <c r="O115" s="701">
        <v>9.5000000000000001E-2</v>
      </c>
      <c r="P115" s="710">
        <v>2.2200000000000002</v>
      </c>
      <c r="Q115" s="686">
        <v>0</v>
      </c>
      <c r="R115" s="711">
        <v>1.9849999999999999</v>
      </c>
      <c r="S115" s="674">
        <v>2.52</v>
      </c>
      <c r="T115" s="67">
        <v>2.19</v>
      </c>
      <c r="U115" s="701">
        <v>2.1349999999999998</v>
      </c>
      <c r="V115" s="710">
        <v>0.34</v>
      </c>
      <c r="W115" s="686">
        <v>0.04</v>
      </c>
      <c r="X115" s="711">
        <v>0.15</v>
      </c>
      <c r="Y115" s="674">
        <v>7.0000000000000001E-3</v>
      </c>
      <c r="Z115" s="67">
        <v>6.0000000000000001E-3</v>
      </c>
      <c r="AA115" s="701">
        <v>7.0000000000000001E-3</v>
      </c>
      <c r="AB115" s="710">
        <v>0.36</v>
      </c>
      <c r="AC115" s="686">
        <v>0.41</v>
      </c>
      <c r="AD115" s="694">
        <v>0.44999999999999996</v>
      </c>
    </row>
    <row r="116" spans="1:30" x14ac:dyDescent="0.3">
      <c r="A116" s="645" t="str">
        <f>_xlfn.CONCAT(Physicochemical_Managed!Y99, Physicochemical_Managed!P99)</f>
        <v>During the burnRN44398</v>
      </c>
      <c r="B116" s="646" t="str">
        <v>After the burnRS44411</v>
      </c>
      <c r="C116" s="647" t="str">
        <f t="shared" si="7"/>
        <v>RS44411</v>
      </c>
      <c r="D116" s="660" t="str">
        <f t="shared" si="8"/>
        <v>RN44356</v>
      </c>
      <c r="E116" s="66" t="str">
        <f t="shared" si="9"/>
        <v>RS44362</v>
      </c>
      <c r="F116" s="679" t="str">
        <f t="shared" si="10"/>
        <v>RS44411</v>
      </c>
      <c r="G116" s="674">
        <v>6.8149999999999995</v>
      </c>
      <c r="H116" s="67">
        <v>6.8650000000000002</v>
      </c>
      <c r="I116" s="701">
        <v>6.37</v>
      </c>
      <c r="J116" s="710">
        <v>26.95</v>
      </c>
      <c r="K116" s="686">
        <v>27.95</v>
      </c>
      <c r="L116" s="711">
        <v>27.3</v>
      </c>
      <c r="M116" s="674">
        <v>0.1</v>
      </c>
      <c r="N116" s="67">
        <v>3.0150000000000001</v>
      </c>
      <c r="O116" s="701">
        <v>0.14000000000000001</v>
      </c>
      <c r="P116" s="710">
        <v>2.6100000000000003</v>
      </c>
      <c r="Q116" s="686">
        <v>0.02</v>
      </c>
      <c r="R116" s="711">
        <v>1.97</v>
      </c>
      <c r="S116" s="674">
        <v>2.87</v>
      </c>
      <c r="T116" s="67">
        <v>3.0250000000000004</v>
      </c>
      <c r="U116" s="701">
        <v>2.06</v>
      </c>
      <c r="V116" s="710">
        <v>0.155</v>
      </c>
      <c r="W116" s="686">
        <v>9.5000000000000001E-2</v>
      </c>
      <c r="X116" s="711">
        <v>0.24</v>
      </c>
      <c r="Y116" s="674">
        <v>8.0000000000000002E-3</v>
      </c>
      <c r="Z116" s="67">
        <v>8.0000000000000002E-3</v>
      </c>
      <c r="AA116" s="701">
        <v>6.0000000000000001E-3</v>
      </c>
      <c r="AB116" s="710">
        <v>0.33999999999999997</v>
      </c>
      <c r="AC116" s="686">
        <v>0.46</v>
      </c>
      <c r="AD116" s="694">
        <v>0.44</v>
      </c>
    </row>
    <row r="117" spans="1:30" x14ac:dyDescent="0.3">
      <c r="A117" s="645" t="str">
        <f>_xlfn.CONCAT(Physicochemical_Managed!Y100, Physicochemical_Managed!P100)</f>
        <v>After the burnRN44404</v>
      </c>
      <c r="B117" s="646" t="str">
        <v>After the burnRS44412</v>
      </c>
      <c r="C117" s="647" t="str">
        <f t="shared" si="7"/>
        <v>RS44412</v>
      </c>
      <c r="D117" s="660" t="str">
        <f t="shared" si="8"/>
        <v>RS44293</v>
      </c>
      <c r="E117" s="66" t="str">
        <f t="shared" si="9"/>
        <v>RS44363</v>
      </c>
      <c r="F117" s="679" t="str">
        <f t="shared" si="10"/>
        <v>RS44412</v>
      </c>
      <c r="G117" s="674">
        <v>6.4849999999999994</v>
      </c>
      <c r="H117" s="67">
        <v>6.5966666666666667</v>
      </c>
      <c r="I117" s="701">
        <v>6.9049999999999994</v>
      </c>
      <c r="J117" s="710">
        <v>20.9</v>
      </c>
      <c r="K117" s="686">
        <v>27.5</v>
      </c>
      <c r="L117" s="711">
        <v>27.2</v>
      </c>
      <c r="M117" s="674">
        <v>0.14500000000000002</v>
      </c>
      <c r="N117" s="67">
        <v>2.2399999999999998</v>
      </c>
      <c r="O117" s="701">
        <v>7.0000000000000007E-2</v>
      </c>
      <c r="P117" s="710">
        <v>2.3650000000000002</v>
      </c>
      <c r="Q117" s="686">
        <v>0.01</v>
      </c>
      <c r="R117" s="711">
        <v>2.0199999999999996</v>
      </c>
      <c r="S117" s="674">
        <v>2.5350000000000001</v>
      </c>
      <c r="T117" s="67">
        <v>2.3566666666666669</v>
      </c>
      <c r="U117" s="701">
        <v>2.2999999999999998</v>
      </c>
      <c r="V117" s="710">
        <v>0.16500000000000001</v>
      </c>
      <c r="W117" s="686">
        <v>4.6666666666666669E-2</v>
      </c>
      <c r="X117" s="711">
        <v>0.16500000000000001</v>
      </c>
      <c r="Y117" s="674">
        <v>5.0000000000000001E-3</v>
      </c>
      <c r="Z117" s="67">
        <v>7.0000000000000001E-3</v>
      </c>
      <c r="AA117" s="701">
        <v>7.0000000000000001E-3</v>
      </c>
      <c r="AB117" s="710">
        <v>0.35499999999999998</v>
      </c>
      <c r="AC117" s="686">
        <v>0.40666666666666668</v>
      </c>
      <c r="AD117" s="694">
        <v>0.47</v>
      </c>
    </row>
    <row r="118" spans="1:30" x14ac:dyDescent="0.3">
      <c r="A118" s="645" t="str">
        <f>_xlfn.CONCAT(Physicochemical_Managed!Y101, Physicochemical_Managed!P101)</f>
        <v>After the burnRN44405</v>
      </c>
      <c r="B118" s="646" t="str">
        <v>After the burnRS44418</v>
      </c>
      <c r="C118" s="647" t="str">
        <f t="shared" si="7"/>
        <v>RS44418</v>
      </c>
      <c r="D118" s="660" t="str">
        <f t="shared" si="8"/>
        <v>RS44306</v>
      </c>
      <c r="E118" s="66" t="str">
        <f t="shared" si="9"/>
        <v>RS44369</v>
      </c>
      <c r="F118" s="679" t="str">
        <f t="shared" si="10"/>
        <v>RS44418</v>
      </c>
      <c r="G118" s="674">
        <v>6.86</v>
      </c>
      <c r="H118" s="67">
        <v>7.29</v>
      </c>
      <c r="I118" s="701">
        <v>6.37</v>
      </c>
      <c r="J118" s="710">
        <v>20.9</v>
      </c>
      <c r="K118" s="686">
        <v>27.4</v>
      </c>
      <c r="L118" s="711">
        <v>27.9</v>
      </c>
      <c r="M118" s="674">
        <v>0.09</v>
      </c>
      <c r="N118" s="67">
        <v>0.91</v>
      </c>
      <c r="O118" s="701">
        <v>0.12</v>
      </c>
      <c r="P118" s="710">
        <v>1.72</v>
      </c>
      <c r="Q118" s="686">
        <v>0.02</v>
      </c>
      <c r="R118" s="711">
        <v>1.89</v>
      </c>
      <c r="S118" s="674">
        <v>2.4</v>
      </c>
      <c r="T118" s="67">
        <v>1.1000000000000001</v>
      </c>
      <c r="U118" s="701">
        <v>2.21</v>
      </c>
      <c r="V118" s="710">
        <v>0.22</v>
      </c>
      <c r="W118" s="686">
        <v>0.05</v>
      </c>
      <c r="X118" s="711">
        <v>0.1</v>
      </c>
      <c r="Y118" s="674">
        <v>6.0000000000000001E-3</v>
      </c>
      <c r="Z118" s="67">
        <v>7.0000000000000001E-3</v>
      </c>
      <c r="AA118" s="701">
        <v>6.0000000000000001E-3</v>
      </c>
      <c r="AB118" s="710">
        <v>0.39</v>
      </c>
      <c r="AC118" s="686">
        <v>0.42</v>
      </c>
      <c r="AD118" s="694">
        <v>0.48</v>
      </c>
    </row>
    <row r="119" spans="1:30" x14ac:dyDescent="0.3">
      <c r="A119" s="645" t="str">
        <f>_xlfn.CONCAT(Physicochemical_Managed!Y102, Physicochemical_Managed!P102)</f>
        <v>After the burnRN44411</v>
      </c>
      <c r="B119" s="646" t="str">
        <v>After the burnRS44419</v>
      </c>
      <c r="C119" s="647" t="str">
        <f t="shared" si="7"/>
        <v>RS44419</v>
      </c>
      <c r="D119" s="660" t="str">
        <f t="shared" si="8"/>
        <v>RS44313</v>
      </c>
      <c r="E119" s="66" t="str">
        <f t="shared" si="9"/>
        <v>RS44370</v>
      </c>
      <c r="F119" s="679" t="str">
        <f t="shared" si="10"/>
        <v>RS44419</v>
      </c>
      <c r="G119" s="674">
        <v>7.14</v>
      </c>
      <c r="H119" s="67">
        <v>7.0350000000000001</v>
      </c>
      <c r="I119" s="701">
        <v>6.4049999999999994</v>
      </c>
      <c r="J119" s="710">
        <v>21.6</v>
      </c>
      <c r="K119" s="686">
        <v>26.450000000000003</v>
      </c>
      <c r="L119" s="711">
        <v>27.950000000000003</v>
      </c>
      <c r="M119" s="674">
        <v>0.05</v>
      </c>
      <c r="N119" s="67">
        <v>1.4849999999999999</v>
      </c>
      <c r="O119" s="701">
        <v>0.125</v>
      </c>
      <c r="P119" s="710">
        <v>1.74</v>
      </c>
      <c r="Q119" s="686">
        <v>1.4999999999999999E-2</v>
      </c>
      <c r="R119" s="711">
        <v>1.855</v>
      </c>
      <c r="S119" s="674">
        <v>2.19</v>
      </c>
      <c r="T119" s="67">
        <v>1.53</v>
      </c>
      <c r="U119" s="701">
        <v>2.0350000000000001</v>
      </c>
      <c r="V119" s="710">
        <v>0.18</v>
      </c>
      <c r="W119" s="686">
        <v>0.155</v>
      </c>
      <c r="X119" s="711">
        <v>0.15000000000000002</v>
      </c>
      <c r="Y119" s="674">
        <v>6.0000000000000001E-3</v>
      </c>
      <c r="Z119" s="67">
        <v>2.5000000000000001E-3</v>
      </c>
      <c r="AA119" s="701">
        <v>7.4999999999999997E-3</v>
      </c>
      <c r="AB119" s="710">
        <v>0.36</v>
      </c>
      <c r="AC119" s="686">
        <v>0.44</v>
      </c>
      <c r="AD119" s="694">
        <v>0.5</v>
      </c>
    </row>
    <row r="120" spans="1:30" x14ac:dyDescent="0.3">
      <c r="A120" s="645" t="str">
        <f>_xlfn.CONCAT(Physicochemical_Managed!Y103, Physicochemical_Managed!P103)</f>
        <v>After the burnRN44412</v>
      </c>
      <c r="B120" s="646" t="str">
        <v>After the burnRS44425</v>
      </c>
      <c r="C120" s="647" t="str">
        <f t="shared" si="7"/>
        <v>RS44425</v>
      </c>
      <c r="D120" s="660" t="str">
        <f t="shared" si="8"/>
        <v>RS44327</v>
      </c>
      <c r="E120" s="66" t="str">
        <f t="shared" si="9"/>
        <v>RS44376</v>
      </c>
      <c r="F120" s="679" t="str">
        <f t="shared" si="10"/>
        <v>RS44425</v>
      </c>
      <c r="G120" s="674">
        <v>7.39</v>
      </c>
      <c r="H120" s="67">
        <v>7.18</v>
      </c>
      <c r="I120" s="701">
        <v>6.48</v>
      </c>
      <c r="J120" s="710">
        <v>23.2</v>
      </c>
      <c r="K120" s="686">
        <v>25.8</v>
      </c>
      <c r="L120" s="711">
        <v>26.7</v>
      </c>
      <c r="M120" s="674">
        <v>0.09</v>
      </c>
      <c r="N120" s="67">
        <v>2.15</v>
      </c>
      <c r="O120" s="701">
        <v>0.17</v>
      </c>
      <c r="P120" s="710">
        <v>1.55</v>
      </c>
      <c r="Q120" s="686">
        <v>0</v>
      </c>
      <c r="R120" s="711">
        <v>1.67</v>
      </c>
      <c r="S120" s="674">
        <v>1.75</v>
      </c>
      <c r="T120" s="67">
        <v>2.04</v>
      </c>
      <c r="U120" s="701">
        <v>2.0299999999999998</v>
      </c>
      <c r="V120" s="710">
        <v>0.28999999999999998</v>
      </c>
      <c r="W120" s="686">
        <v>0.12</v>
      </c>
      <c r="X120" s="711">
        <v>0.16</v>
      </c>
      <c r="Y120" s="674">
        <v>7.0000000000000001E-3</v>
      </c>
      <c r="Z120" s="67">
        <v>6.0000000000000001E-3</v>
      </c>
      <c r="AA120" s="701">
        <v>1E-3</v>
      </c>
      <c r="AB120" s="710">
        <v>0.34</v>
      </c>
      <c r="AC120" s="686">
        <v>0.43</v>
      </c>
      <c r="AD120" s="694">
        <v>0.43</v>
      </c>
    </row>
    <row r="121" spans="1:30" x14ac:dyDescent="0.3">
      <c r="A121" s="645" t="str">
        <f>_xlfn.CONCAT(Physicochemical_Managed!Y104, Physicochemical_Managed!P104)</f>
        <v>After the burnRN44418</v>
      </c>
      <c r="B121" s="646" t="str">
        <v>After the burnRS44426</v>
      </c>
      <c r="C121" s="647" t="str">
        <f t="shared" si="7"/>
        <v>RS44426</v>
      </c>
      <c r="D121" s="660" t="str">
        <f t="shared" si="8"/>
        <v>RS44334</v>
      </c>
      <c r="E121" s="66" t="str">
        <f t="shared" si="9"/>
        <v>RS44377</v>
      </c>
      <c r="F121" s="679" t="str">
        <f t="shared" si="10"/>
        <v>RS44426</v>
      </c>
      <c r="G121" s="674">
        <v>7.15</v>
      </c>
      <c r="H121" s="67">
        <v>6.9850000000000003</v>
      </c>
      <c r="I121" s="701">
        <v>6.8849999999999998</v>
      </c>
      <c r="J121" s="710">
        <v>23.8</v>
      </c>
      <c r="K121" s="686">
        <v>26.1</v>
      </c>
      <c r="L121" s="711">
        <v>27.35</v>
      </c>
      <c r="M121" s="674">
        <v>0.1</v>
      </c>
      <c r="N121" s="67">
        <v>2.14</v>
      </c>
      <c r="O121" s="701">
        <v>6.5000000000000002E-2</v>
      </c>
      <c r="P121" s="710">
        <v>1.61</v>
      </c>
      <c r="Q121" s="686">
        <v>5.0000000000000001E-3</v>
      </c>
      <c r="R121" s="711">
        <v>1.87</v>
      </c>
      <c r="S121" s="674">
        <v>1.79</v>
      </c>
      <c r="T121" s="67">
        <v>2.165</v>
      </c>
      <c r="U121" s="701">
        <v>2.2000000000000002</v>
      </c>
      <c r="V121" s="710">
        <v>0.2</v>
      </c>
      <c r="W121" s="686">
        <v>0.08</v>
      </c>
      <c r="X121" s="711">
        <v>0.23</v>
      </c>
      <c r="Y121" s="674">
        <v>6.0000000000000001E-3</v>
      </c>
      <c r="Z121" s="67">
        <v>5.4999999999999997E-3</v>
      </c>
      <c r="AA121" s="701">
        <v>2E-3</v>
      </c>
      <c r="AB121" s="710">
        <v>0.38</v>
      </c>
      <c r="AC121" s="686">
        <v>0.42</v>
      </c>
      <c r="AD121" s="694">
        <v>0.375</v>
      </c>
    </row>
    <row r="122" spans="1:30" x14ac:dyDescent="0.3">
      <c r="A122" s="645" t="str">
        <f>_xlfn.CONCAT(Physicochemical_Managed!Y105, Physicochemical_Managed!P105)</f>
        <v>After the burnRN44419</v>
      </c>
      <c r="B122" s="646" t="str">
        <v>After the burnRS44432</v>
      </c>
      <c r="C122" s="647" t="str">
        <f t="shared" si="7"/>
        <v>RS44432</v>
      </c>
      <c r="D122" s="660" t="str">
        <f t="shared" si="8"/>
        <v>RS44335</v>
      </c>
      <c r="E122" s="66" t="str">
        <f t="shared" si="9"/>
        <v>RS44384</v>
      </c>
      <c r="F122" s="679" t="str">
        <f t="shared" si="10"/>
        <v>RS44432</v>
      </c>
      <c r="G122" s="674">
        <v>7.0449999999999999</v>
      </c>
      <c r="H122" s="67">
        <v>6.98</v>
      </c>
      <c r="I122" s="701">
        <v>6.96</v>
      </c>
      <c r="J122" s="710">
        <v>23.549999999999997</v>
      </c>
      <c r="K122" s="686">
        <v>26.7</v>
      </c>
      <c r="L122" s="711">
        <v>27.9</v>
      </c>
      <c r="M122" s="674">
        <v>0.19</v>
      </c>
      <c r="N122" s="67">
        <v>2.09</v>
      </c>
      <c r="O122" s="701">
        <v>0.08</v>
      </c>
      <c r="P122" s="710">
        <v>1.52</v>
      </c>
      <c r="Q122" s="686">
        <v>0.03</v>
      </c>
      <c r="R122" s="711">
        <v>1.18</v>
      </c>
      <c r="S122" s="674">
        <v>1.7650000000000001</v>
      </c>
      <c r="T122" s="67">
        <v>2.27</v>
      </c>
      <c r="U122" s="701">
        <v>1.19</v>
      </c>
      <c r="V122" s="710">
        <v>0.27</v>
      </c>
      <c r="W122" s="686">
        <v>0.02</v>
      </c>
      <c r="X122" s="711">
        <v>0.14000000000000001</v>
      </c>
      <c r="Y122" s="674">
        <v>6.5000000000000006E-3</v>
      </c>
      <c r="Z122" s="67">
        <v>5.0000000000000001E-3</v>
      </c>
      <c r="AA122" s="701">
        <v>2E-3</v>
      </c>
      <c r="AB122" s="710">
        <v>0.38</v>
      </c>
      <c r="AC122" s="686">
        <v>0.46</v>
      </c>
      <c r="AD122" s="694">
        <v>0.5</v>
      </c>
    </row>
    <row r="123" spans="1:30" x14ac:dyDescent="0.3">
      <c r="A123" s="645" t="str">
        <f>_xlfn.CONCAT(Physicochemical_Managed!Y106, Physicochemical_Managed!P106)</f>
        <v>After the burnRN44425</v>
      </c>
      <c r="B123" s="646" t="str">
        <v>After the burnRS44433</v>
      </c>
      <c r="C123" s="647" t="str">
        <f t="shared" si="7"/>
        <v>RS44433</v>
      </c>
      <c r="D123" s="660" t="str">
        <f t="shared" si="8"/>
        <v>RS44341</v>
      </c>
      <c r="E123" s="66" t="str">
        <f t="shared" si="9"/>
        <v>RS44385</v>
      </c>
      <c r="F123" s="679" t="str">
        <f t="shared" si="10"/>
        <v>RS44433</v>
      </c>
      <c r="G123" s="674">
        <v>7.12</v>
      </c>
      <c r="H123" s="67">
        <v>6.915</v>
      </c>
      <c r="I123" s="701">
        <v>7.0049999999999999</v>
      </c>
      <c r="J123" s="710">
        <v>23.5</v>
      </c>
      <c r="K123" s="686">
        <v>26.6</v>
      </c>
      <c r="L123" s="711">
        <v>27.95</v>
      </c>
      <c r="M123" s="674">
        <v>0.16</v>
      </c>
      <c r="N123" s="67">
        <v>1.9849999999999999</v>
      </c>
      <c r="O123" s="701">
        <v>6.0000000000000005E-2</v>
      </c>
      <c r="P123" s="710">
        <v>1.1599999999999999</v>
      </c>
      <c r="Q123" s="686">
        <v>5.0000000000000001E-3</v>
      </c>
      <c r="R123" s="711">
        <v>1.34</v>
      </c>
      <c r="S123" s="674">
        <v>1.99</v>
      </c>
      <c r="T123" s="67">
        <v>2.4500000000000002</v>
      </c>
      <c r="U123" s="701">
        <v>1.3050000000000002</v>
      </c>
      <c r="V123" s="710">
        <v>0.24</v>
      </c>
      <c r="W123" s="686">
        <v>0.04</v>
      </c>
      <c r="X123" s="711">
        <v>0.17</v>
      </c>
      <c r="Y123" s="674">
        <v>8.0000000000000002E-3</v>
      </c>
      <c r="Z123" s="67">
        <v>6.0000000000000001E-3</v>
      </c>
      <c r="AA123" s="701">
        <v>4.5000000000000005E-3</v>
      </c>
      <c r="AB123" s="710">
        <v>0.38</v>
      </c>
      <c r="AC123" s="686">
        <v>0.47499999999999998</v>
      </c>
      <c r="AD123" s="694">
        <v>0.51</v>
      </c>
    </row>
    <row r="124" spans="1:30" x14ac:dyDescent="0.3">
      <c r="A124" s="645" t="str">
        <f>_xlfn.CONCAT(Physicochemical_Managed!Y107, Physicochemical_Managed!P107)</f>
        <v>After the burnRN44426</v>
      </c>
      <c r="B124" s="646" t="str">
        <v>After the burnRU44404</v>
      </c>
      <c r="C124" s="647" t="str">
        <f t="shared" si="7"/>
        <v>RU44404</v>
      </c>
      <c r="D124" s="660" t="str">
        <f t="shared" si="8"/>
        <v>RS44342</v>
      </c>
      <c r="E124" s="66" t="str">
        <f t="shared" si="9"/>
        <v>RS44390</v>
      </c>
      <c r="F124" s="679" t="str">
        <f t="shared" si="10"/>
        <v>RU44404</v>
      </c>
      <c r="G124" s="674">
        <v>6.87</v>
      </c>
      <c r="H124" s="67">
        <v>6.81</v>
      </c>
      <c r="I124" s="701">
        <v>6.9</v>
      </c>
      <c r="J124" s="710">
        <v>23.65</v>
      </c>
      <c r="K124" s="686">
        <v>25.3</v>
      </c>
      <c r="L124" s="711">
        <v>24</v>
      </c>
      <c r="M124" s="674">
        <v>0.09</v>
      </c>
      <c r="N124" s="67">
        <v>1.49</v>
      </c>
      <c r="O124" s="701">
        <v>1.37</v>
      </c>
      <c r="P124" s="710">
        <v>1.56</v>
      </c>
      <c r="Q124" s="686">
        <v>0.04</v>
      </c>
      <c r="R124" s="711">
        <v>0.02</v>
      </c>
      <c r="S124" s="674">
        <v>1.885</v>
      </c>
      <c r="T124" s="67">
        <v>2.38</v>
      </c>
      <c r="U124" s="701">
        <v>1.54</v>
      </c>
      <c r="V124" s="710">
        <v>0.21000000000000002</v>
      </c>
      <c r="W124" s="686">
        <v>0.01</v>
      </c>
      <c r="X124" s="711">
        <v>0.04</v>
      </c>
      <c r="Y124" s="674">
        <v>7.0000000000000001E-3</v>
      </c>
      <c r="Z124" s="67">
        <v>6.0000000000000001E-3</v>
      </c>
      <c r="AA124" s="701">
        <v>6.0000000000000001E-3</v>
      </c>
      <c r="AB124" s="710">
        <v>0.32999999999999996</v>
      </c>
      <c r="AC124" s="686">
        <v>0.45</v>
      </c>
      <c r="AD124" s="694">
        <v>0.64</v>
      </c>
    </row>
    <row r="125" spans="1:30" x14ac:dyDescent="0.3">
      <c r="A125" s="645" t="str">
        <f>_xlfn.CONCAT(Physicochemical_Managed!Y108, Physicochemical_Managed!P108)</f>
        <v>After the burnRN44432</v>
      </c>
      <c r="B125" s="646" t="str">
        <v>After the burnRU44405</v>
      </c>
      <c r="C125" s="647" t="str">
        <f t="shared" si="7"/>
        <v>RU44405</v>
      </c>
      <c r="D125" s="660" t="str">
        <f t="shared" si="8"/>
        <v>RS44349</v>
      </c>
      <c r="E125" s="66" t="str">
        <f t="shared" si="9"/>
        <v>RS44391</v>
      </c>
      <c r="F125" s="679" t="str">
        <f t="shared" si="10"/>
        <v>RU44405</v>
      </c>
      <c r="G125" s="674">
        <v>7.72</v>
      </c>
      <c r="H125" s="67">
        <v>6.8800000000000008</v>
      </c>
      <c r="I125" s="701">
        <v>6.915</v>
      </c>
      <c r="J125" s="710">
        <v>23.7</v>
      </c>
      <c r="K125" s="686">
        <v>26.55</v>
      </c>
      <c r="L125" s="711">
        <v>24.725000000000001</v>
      </c>
      <c r="M125" s="674">
        <v>0.1</v>
      </c>
      <c r="N125" s="67">
        <v>2.4750000000000001</v>
      </c>
      <c r="O125" s="701">
        <v>0.05</v>
      </c>
      <c r="P125" s="710">
        <v>1.61</v>
      </c>
      <c r="Q125" s="686">
        <v>0.02</v>
      </c>
      <c r="R125" s="711">
        <v>0.60499999999999998</v>
      </c>
      <c r="S125" s="674">
        <v>1.76</v>
      </c>
      <c r="T125" s="67">
        <v>2.6949999999999998</v>
      </c>
      <c r="U125" s="701">
        <v>0.70500000000000007</v>
      </c>
      <c r="V125" s="710">
        <v>0.18</v>
      </c>
      <c r="W125" s="686">
        <v>1.4999999999999999E-2</v>
      </c>
      <c r="X125" s="711">
        <v>0.15000000000000002</v>
      </c>
      <c r="Y125" s="674">
        <v>6.0000000000000001E-3</v>
      </c>
      <c r="Z125" s="67">
        <v>5.4999999999999997E-3</v>
      </c>
      <c r="AA125" s="701">
        <v>8.0000000000000002E-3</v>
      </c>
      <c r="AB125" s="710">
        <v>0.35</v>
      </c>
      <c r="AC125" s="686">
        <v>0.45499999999999996</v>
      </c>
      <c r="AD125" s="694">
        <v>0.57499999999999996</v>
      </c>
    </row>
    <row r="126" spans="1:30" x14ac:dyDescent="0.3">
      <c r="A126" s="645" t="str">
        <f>_xlfn.CONCAT(Physicochemical_Managed!Y109, Physicochemical_Managed!P109)</f>
        <v>After the burnRN44433</v>
      </c>
      <c r="B126" s="646" t="str">
        <v>After the burnRU44411</v>
      </c>
      <c r="C126" s="647" t="str">
        <f t="shared" si="7"/>
        <v>RU44411</v>
      </c>
      <c r="D126" s="660" t="str">
        <f t="shared" si="8"/>
        <v>RS44350</v>
      </c>
      <c r="E126" s="66" t="str">
        <f t="shared" si="9"/>
        <v>RS44397</v>
      </c>
      <c r="F126" s="679" t="str">
        <f>C126</f>
        <v>RU44411</v>
      </c>
      <c r="G126" s="674">
        <v>7.0250000000000004</v>
      </c>
      <c r="H126" s="67">
        <v>6.85</v>
      </c>
      <c r="I126" s="701">
        <v>6.85</v>
      </c>
      <c r="J126" s="710">
        <v>24.35</v>
      </c>
      <c r="K126" s="686">
        <v>25.4</v>
      </c>
      <c r="L126" s="711">
        <v>24.3</v>
      </c>
      <c r="M126" s="674">
        <v>0.125</v>
      </c>
      <c r="N126" s="67">
        <v>2.14</v>
      </c>
      <c r="O126" s="701">
        <v>0</v>
      </c>
      <c r="P126" s="710">
        <v>1.4950000000000001</v>
      </c>
      <c r="Q126" s="686">
        <v>0.04</v>
      </c>
      <c r="R126" s="711">
        <v>1.1299999999999999</v>
      </c>
      <c r="S126" s="674">
        <v>1.585</v>
      </c>
      <c r="T126" s="67">
        <v>2.14</v>
      </c>
      <c r="U126" s="701">
        <v>1.25</v>
      </c>
      <c r="V126" s="710">
        <v>0.27500000000000002</v>
      </c>
      <c r="W126" s="686">
        <v>0.09</v>
      </c>
      <c r="X126" s="711">
        <v>0.19</v>
      </c>
      <c r="Y126" s="674">
        <v>7.0000000000000001E-3</v>
      </c>
      <c r="Z126" s="67">
        <v>6.0000000000000001E-3</v>
      </c>
      <c r="AA126" s="701">
        <v>6.0000000000000001E-3</v>
      </c>
      <c r="AB126" s="710">
        <v>0.41000000000000003</v>
      </c>
      <c r="AC126" s="686">
        <v>0.54</v>
      </c>
      <c r="AD126" s="694">
        <v>0.64</v>
      </c>
    </row>
    <row r="127" spans="1:30" x14ac:dyDescent="0.3">
      <c r="A127" s="645" t="str">
        <f>_xlfn.CONCAT(Physicochemical_Managed!Y110, Physicochemical_Managed!P110)</f>
        <v>Before the burnRU44293</v>
      </c>
      <c r="B127" s="646" t="str">
        <v>After the burnRU44412</v>
      </c>
      <c r="C127" s="647" t="str">
        <f t="shared" si="7"/>
        <v>RU44412</v>
      </c>
      <c r="D127" s="660" t="str">
        <f t="shared" si="8"/>
        <v>RU44293</v>
      </c>
      <c r="E127" s="66" t="str">
        <f t="shared" si="9"/>
        <v>RS44398</v>
      </c>
      <c r="F127" s="679" t="str">
        <f t="shared" si="10"/>
        <v>RU44412</v>
      </c>
      <c r="G127" s="674">
        <v>7.2</v>
      </c>
      <c r="H127" s="67">
        <v>6.8149999999999995</v>
      </c>
      <c r="I127" s="701">
        <v>6.875</v>
      </c>
      <c r="J127" s="710">
        <v>24.4</v>
      </c>
      <c r="K127" s="686">
        <v>26.85</v>
      </c>
      <c r="L127" s="711">
        <v>24.6</v>
      </c>
      <c r="M127" s="674">
        <v>0.14000000000000001</v>
      </c>
      <c r="N127" s="67">
        <v>1.85</v>
      </c>
      <c r="O127" s="701">
        <v>7.0000000000000007E-2</v>
      </c>
      <c r="P127" s="710">
        <v>1.65</v>
      </c>
      <c r="Q127" s="686">
        <v>0.01</v>
      </c>
      <c r="R127" s="711">
        <v>1.02</v>
      </c>
      <c r="S127" s="674">
        <v>1.68</v>
      </c>
      <c r="T127" s="67">
        <v>2.2549999999999999</v>
      </c>
      <c r="U127" s="701">
        <v>1.105</v>
      </c>
      <c r="V127" s="710">
        <v>0.27</v>
      </c>
      <c r="W127" s="686">
        <v>0.02</v>
      </c>
      <c r="X127" s="711">
        <v>0.20500000000000002</v>
      </c>
      <c r="Y127" s="674">
        <v>6.0000000000000001E-3</v>
      </c>
      <c r="Z127" s="67">
        <v>5.4999999999999997E-3</v>
      </c>
      <c r="AA127" s="701">
        <v>7.4999999999999997E-3</v>
      </c>
      <c r="AB127" s="710">
        <v>0.41</v>
      </c>
      <c r="AC127" s="686">
        <v>0.49</v>
      </c>
      <c r="AD127" s="694">
        <v>0.63</v>
      </c>
    </row>
    <row r="128" spans="1:30" x14ac:dyDescent="0.3">
      <c r="A128" s="645" t="str">
        <f>_xlfn.CONCAT(Physicochemical_Managed!Y111, Physicochemical_Managed!P111)</f>
        <v>Before the burnRU44306</v>
      </c>
      <c r="B128" s="646" t="str">
        <v>After the burnRU44418</v>
      </c>
      <c r="C128" s="647" t="str">
        <f t="shared" si="7"/>
        <v>RU44418</v>
      </c>
      <c r="D128" s="660" t="str">
        <f t="shared" si="8"/>
        <v>RU44306</v>
      </c>
      <c r="E128" s="66" t="str">
        <f t="shared" si="9"/>
        <v>RU44362</v>
      </c>
      <c r="F128" s="679" t="str">
        <f t="shared" si="10"/>
        <v>RU44418</v>
      </c>
      <c r="G128" s="674">
        <v>6.9249999999999998</v>
      </c>
      <c r="H128" s="67">
        <v>7.01</v>
      </c>
      <c r="I128" s="701">
        <v>6.85</v>
      </c>
      <c r="J128" s="710">
        <v>24.75</v>
      </c>
      <c r="K128" s="686">
        <v>27.9</v>
      </c>
      <c r="L128" s="711">
        <v>23.9</v>
      </c>
      <c r="M128" s="674">
        <v>8.4999999999999992E-2</v>
      </c>
      <c r="N128" s="67">
        <v>0.14000000000000001</v>
      </c>
      <c r="O128" s="701">
        <v>0.11</v>
      </c>
      <c r="P128" s="710">
        <v>1.6549999999999998</v>
      </c>
      <c r="Q128" s="686">
        <v>0.09</v>
      </c>
      <c r="R128" s="711">
        <v>1.04</v>
      </c>
      <c r="S128" s="674">
        <v>1.635</v>
      </c>
      <c r="T128" s="67">
        <v>0.15</v>
      </c>
      <c r="U128" s="701">
        <v>0.93</v>
      </c>
      <c r="V128" s="710">
        <v>0.21500000000000002</v>
      </c>
      <c r="W128" s="686">
        <v>0.01</v>
      </c>
      <c r="X128" s="711">
        <v>0.21</v>
      </c>
      <c r="Y128" s="674">
        <v>6.0000000000000001E-3</v>
      </c>
      <c r="Z128" s="67">
        <v>6.0000000000000001E-3</v>
      </c>
      <c r="AA128" s="701">
        <v>6.0000000000000001E-3</v>
      </c>
      <c r="AB128" s="710">
        <v>0.39</v>
      </c>
      <c r="AC128" s="686">
        <v>0.44</v>
      </c>
      <c r="AD128" s="694">
        <v>0.59</v>
      </c>
    </row>
    <row r="129" spans="1:30" x14ac:dyDescent="0.3">
      <c r="A129" s="645" t="str">
        <f>_xlfn.CONCAT(Physicochemical_Managed!Y112, Physicochemical_Managed!P112)</f>
        <v>Before the burnRU44313</v>
      </c>
      <c r="B129" s="646" t="str">
        <v>After the burnRU44419</v>
      </c>
      <c r="C129" s="647" t="str">
        <f t="shared" si="7"/>
        <v>RU44419</v>
      </c>
      <c r="D129" s="660" t="str">
        <f t="shared" si="8"/>
        <v>RU44313</v>
      </c>
      <c r="E129" s="66" t="str">
        <f t="shared" si="9"/>
        <v>RU44363</v>
      </c>
      <c r="F129" s="679" t="str">
        <f t="shared" si="10"/>
        <v>RU44419</v>
      </c>
      <c r="G129" s="674">
        <v>6.7750000000000004</v>
      </c>
      <c r="H129" s="67">
        <v>6.8900000000000006</v>
      </c>
      <c r="I129" s="701">
        <v>6.87</v>
      </c>
      <c r="J129" s="710">
        <v>22.35</v>
      </c>
      <c r="K129" s="686">
        <v>24.35</v>
      </c>
      <c r="L129" s="711">
        <v>24.65</v>
      </c>
      <c r="M129" s="674">
        <v>2.5000000000000001E-2</v>
      </c>
      <c r="N129" s="67">
        <v>0.02</v>
      </c>
      <c r="O129" s="701">
        <v>6.5000000000000002E-2</v>
      </c>
      <c r="P129" s="710">
        <v>1.6400000000000001</v>
      </c>
      <c r="Q129" s="686">
        <v>1.4999999999999999E-2</v>
      </c>
      <c r="R129" s="711">
        <v>0.76500000000000001</v>
      </c>
      <c r="S129" s="674">
        <v>2.125</v>
      </c>
      <c r="T129" s="67">
        <v>0.12</v>
      </c>
      <c r="U129" s="701">
        <v>0.67500000000000004</v>
      </c>
      <c r="V129" s="710">
        <v>0.23499999999999999</v>
      </c>
      <c r="W129" s="686">
        <v>6.5000000000000002E-2</v>
      </c>
      <c r="X129" s="711">
        <v>0.24</v>
      </c>
      <c r="Y129" s="674">
        <v>1.3000000000000001E-2</v>
      </c>
      <c r="Z129" s="67">
        <v>1.3499999999999998E-2</v>
      </c>
      <c r="AA129" s="701">
        <v>7.4999999999999997E-3</v>
      </c>
      <c r="AB129" s="710">
        <v>0.47499999999999998</v>
      </c>
      <c r="AC129" s="686">
        <v>0.57000000000000006</v>
      </c>
      <c r="AD129" s="694">
        <v>0.61</v>
      </c>
    </row>
    <row r="130" spans="1:30" x14ac:dyDescent="0.3">
      <c r="A130" s="645" t="str">
        <f>_xlfn.CONCAT(Physicochemical_Managed!Y113, Physicochemical_Managed!P113)</f>
        <v>Before the burnRU44327</v>
      </c>
      <c r="B130" s="646" t="str">
        <v>After the burnRU44425</v>
      </c>
      <c r="C130" s="647" t="str">
        <f t="shared" si="7"/>
        <v>RU44425</v>
      </c>
      <c r="D130" s="660" t="str">
        <f t="shared" si="8"/>
        <v>RU44327</v>
      </c>
      <c r="E130" s="66" t="str">
        <f>C215</f>
        <v>RU44364</v>
      </c>
      <c r="F130" s="679" t="str">
        <f t="shared" si="10"/>
        <v>RU44425</v>
      </c>
      <c r="G130" s="674">
        <v>6.61</v>
      </c>
      <c r="H130" s="67">
        <v>6.94</v>
      </c>
      <c r="I130" s="701">
        <v>6.9</v>
      </c>
      <c r="J130" s="710">
        <v>19</v>
      </c>
      <c r="K130" s="686">
        <v>23.8</v>
      </c>
      <c r="L130" s="711">
        <v>24.4</v>
      </c>
      <c r="M130" s="674">
        <v>0.09</v>
      </c>
      <c r="N130" s="67">
        <v>1.7</v>
      </c>
      <c r="O130" s="701">
        <v>0.09</v>
      </c>
      <c r="P130" s="710">
        <v>1.42</v>
      </c>
      <c r="Q130" s="686">
        <v>0.02</v>
      </c>
      <c r="R130" s="711">
        <v>0.95</v>
      </c>
      <c r="S130" s="674">
        <v>1.95</v>
      </c>
      <c r="T130" s="67">
        <v>1.94</v>
      </c>
      <c r="U130" s="701">
        <v>0.85</v>
      </c>
      <c r="V130" s="710">
        <v>0.27</v>
      </c>
      <c r="W130" s="686">
        <v>0.03</v>
      </c>
      <c r="X130" s="711">
        <v>0.19</v>
      </c>
      <c r="Y130" s="674">
        <v>7.0000000000000001E-3</v>
      </c>
      <c r="Z130" s="67">
        <v>6.0000000000000001E-3</v>
      </c>
      <c r="AA130" s="701">
        <v>6.0000000000000001E-3</v>
      </c>
      <c r="AB130" s="710">
        <v>0.49</v>
      </c>
      <c r="AC130" s="686">
        <v>0.56999999999999995</v>
      </c>
      <c r="AD130" s="694">
        <v>0.53</v>
      </c>
    </row>
    <row r="131" spans="1:30" x14ac:dyDescent="0.3">
      <c r="A131" s="645" t="str">
        <f>_xlfn.CONCAT(Physicochemical_Managed!Y114, Physicochemical_Managed!P114)</f>
        <v>Before the burnRU44334</v>
      </c>
      <c r="B131" s="646" t="str">
        <v>After the burnRU44426</v>
      </c>
      <c r="C131" s="647" t="str">
        <f t="shared" si="7"/>
        <v>RU44426</v>
      </c>
      <c r="D131" s="660" t="str">
        <f t="shared" si="8"/>
        <v>RU44334</v>
      </c>
      <c r="E131" s="66" t="str">
        <f t="shared" si="9"/>
        <v>RU44369</v>
      </c>
      <c r="F131" s="679" t="str">
        <f t="shared" si="10"/>
        <v>RU44426</v>
      </c>
      <c r="G131" s="674">
        <v>6.74</v>
      </c>
      <c r="H131" s="67">
        <v>7.0600000000000005</v>
      </c>
      <c r="I131" s="701">
        <v>6.8599999999999994</v>
      </c>
      <c r="J131" s="710">
        <v>22.6</v>
      </c>
      <c r="K131" s="686">
        <v>24.5</v>
      </c>
      <c r="L131" s="711">
        <v>24.9</v>
      </c>
      <c r="M131" s="674">
        <v>0.06</v>
      </c>
      <c r="N131" s="67">
        <v>1.375</v>
      </c>
      <c r="O131" s="701">
        <v>0.05</v>
      </c>
      <c r="P131" s="710">
        <v>1.29</v>
      </c>
      <c r="Q131" s="686">
        <v>0.28500000000000003</v>
      </c>
      <c r="R131" s="711">
        <v>0.92500000000000004</v>
      </c>
      <c r="S131" s="674">
        <v>1.35</v>
      </c>
      <c r="T131" s="67">
        <v>1.53</v>
      </c>
      <c r="U131" s="701">
        <v>0.95499999999999996</v>
      </c>
      <c r="V131" s="710">
        <v>0.27</v>
      </c>
      <c r="W131" s="686">
        <v>8.4999999999999992E-2</v>
      </c>
      <c r="X131" s="711">
        <v>0.23499999999999999</v>
      </c>
      <c r="Y131" s="674">
        <v>8.0000000000000002E-3</v>
      </c>
      <c r="Z131" s="67">
        <v>6.0000000000000001E-3</v>
      </c>
      <c r="AA131" s="701">
        <v>7.4999999999999997E-3</v>
      </c>
      <c r="AB131" s="710">
        <v>0.47</v>
      </c>
      <c r="AC131" s="686">
        <v>0.53500000000000003</v>
      </c>
      <c r="AD131" s="694">
        <v>0.59</v>
      </c>
    </row>
    <row r="132" spans="1:30" x14ac:dyDescent="0.3">
      <c r="A132" s="645" t="str">
        <f>_xlfn.CONCAT(Physicochemical_Managed!Y115, Physicochemical_Managed!P115)</f>
        <v>Before the burnRU44335</v>
      </c>
      <c r="B132" s="646" t="str">
        <v>After the burnRU44432</v>
      </c>
      <c r="C132" s="647" t="str">
        <f t="shared" si="7"/>
        <v>RU44432</v>
      </c>
      <c r="D132" s="660" t="str">
        <f t="shared" si="8"/>
        <v>RU44335</v>
      </c>
      <c r="E132" s="66" t="str">
        <f t="shared" si="9"/>
        <v>RU44370</v>
      </c>
      <c r="F132" s="679" t="str">
        <f t="shared" si="10"/>
        <v>RU44432</v>
      </c>
      <c r="G132" s="674">
        <v>6.79</v>
      </c>
      <c r="H132" s="67">
        <v>7.01</v>
      </c>
      <c r="I132" s="701">
        <v>6.95</v>
      </c>
      <c r="J132" s="710">
        <v>24.7</v>
      </c>
      <c r="K132" s="686">
        <v>23.8</v>
      </c>
      <c r="L132" s="711">
        <v>24.6</v>
      </c>
      <c r="M132" s="674">
        <v>0.06</v>
      </c>
      <c r="N132" s="67">
        <v>1.37</v>
      </c>
      <c r="O132" s="701">
        <v>0.04</v>
      </c>
      <c r="P132" s="710">
        <v>1.1599999999999999</v>
      </c>
      <c r="Q132" s="686">
        <v>0.02</v>
      </c>
      <c r="R132" s="711">
        <v>0.75</v>
      </c>
      <c r="S132" s="674">
        <v>1.08</v>
      </c>
      <c r="T132" s="67">
        <v>1.52</v>
      </c>
      <c r="U132" s="701">
        <v>0.6</v>
      </c>
      <c r="V132" s="710">
        <v>0.22</v>
      </c>
      <c r="W132" s="686">
        <v>0.02</v>
      </c>
      <c r="X132" s="711">
        <v>0.24</v>
      </c>
      <c r="Y132" s="674">
        <v>6.0000000000000001E-3</v>
      </c>
      <c r="Z132" s="67">
        <v>6.0000000000000001E-3</v>
      </c>
      <c r="AA132" s="701">
        <v>7.0000000000000001E-3</v>
      </c>
      <c r="AB132" s="710">
        <v>0.41</v>
      </c>
      <c r="AC132" s="686">
        <v>0.54</v>
      </c>
      <c r="AD132" s="694">
        <v>0.68</v>
      </c>
    </row>
    <row r="133" spans="1:30" x14ac:dyDescent="0.3">
      <c r="A133" s="645" t="str">
        <f>_xlfn.CONCAT(Physicochemical_Managed!Y116, Physicochemical_Managed!P116)</f>
        <v>Before the burnRU44341</v>
      </c>
      <c r="B133" s="646" t="str">
        <v>After the burnRU44433</v>
      </c>
      <c r="C133" s="647" t="str">
        <f t="shared" si="7"/>
        <v>RU44433</v>
      </c>
      <c r="D133" s="660" t="str">
        <f t="shared" si="8"/>
        <v>RU44341</v>
      </c>
      <c r="E133" s="66" t="str">
        <f t="shared" si="9"/>
        <v>RU44376</v>
      </c>
      <c r="F133" s="679" t="str">
        <f>C133</f>
        <v>RU44433</v>
      </c>
      <c r="G133" s="674">
        <v>6.8</v>
      </c>
      <c r="H133" s="67">
        <v>7.02</v>
      </c>
      <c r="I133" s="701">
        <v>7.0049999999999999</v>
      </c>
      <c r="J133" s="710">
        <v>22.7</v>
      </c>
      <c r="K133" s="686">
        <v>24.1</v>
      </c>
      <c r="L133" s="711">
        <v>24.45</v>
      </c>
      <c r="M133" s="674">
        <v>0</v>
      </c>
      <c r="N133" s="67">
        <v>1.45</v>
      </c>
      <c r="O133" s="701">
        <v>0.08</v>
      </c>
      <c r="P133" s="710">
        <v>1.1499999999999999</v>
      </c>
      <c r="Q133" s="686">
        <v>0.06</v>
      </c>
      <c r="R133" s="711">
        <v>1.03</v>
      </c>
      <c r="S133" s="674">
        <v>1.42</v>
      </c>
      <c r="T133" s="67">
        <v>1.615</v>
      </c>
      <c r="U133" s="701">
        <v>0.89</v>
      </c>
      <c r="V133" s="710">
        <v>0.25</v>
      </c>
      <c r="W133" s="686">
        <v>0.08</v>
      </c>
      <c r="X133" s="711">
        <v>0.37</v>
      </c>
      <c r="Y133" s="674">
        <v>6.0000000000000001E-3</v>
      </c>
      <c r="Z133" s="67">
        <v>6.0000000000000001E-3</v>
      </c>
      <c r="AA133" s="701">
        <v>8.5000000000000006E-3</v>
      </c>
      <c r="AB133" s="710">
        <v>0.4</v>
      </c>
      <c r="AC133" s="686">
        <v>0.59</v>
      </c>
      <c r="AD133" s="694">
        <v>0.60499999999999998</v>
      </c>
    </row>
    <row r="134" spans="1:30" x14ac:dyDescent="0.3">
      <c r="A134" s="645" t="str">
        <f>_xlfn.CONCAT(Physicochemical_Managed!Y117, Physicochemical_Managed!P117)</f>
        <v>Before the burnRU44342</v>
      </c>
      <c r="B134" s="646" t="str">
        <v>Before the burnRL44293</v>
      </c>
      <c r="C134" s="647" t="str">
        <f t="shared" si="7"/>
        <v>RL44293</v>
      </c>
      <c r="D134" s="660" t="str">
        <f t="shared" si="8"/>
        <v>RU44342</v>
      </c>
      <c r="E134" s="66" t="str">
        <f t="shared" si="9"/>
        <v>RU44377</v>
      </c>
      <c r="F134" s="679"/>
      <c r="G134" s="674">
        <v>6.7850000000000001</v>
      </c>
      <c r="H134" s="67">
        <v>7.01</v>
      </c>
      <c r="I134" s="701"/>
      <c r="J134" s="710">
        <v>22.85</v>
      </c>
      <c r="K134" s="686">
        <v>24.4</v>
      </c>
      <c r="L134" s="711"/>
      <c r="M134" s="674">
        <v>0.08</v>
      </c>
      <c r="N134" s="67">
        <v>1.74</v>
      </c>
      <c r="O134" s="701"/>
      <c r="P134" s="710">
        <v>1.01</v>
      </c>
      <c r="Q134" s="686">
        <v>0</v>
      </c>
      <c r="R134" s="711"/>
      <c r="S134" s="674">
        <v>1.0649999999999999</v>
      </c>
      <c r="T134" s="67">
        <v>1.97</v>
      </c>
      <c r="U134" s="701"/>
      <c r="V134" s="710">
        <v>0.25</v>
      </c>
      <c r="W134" s="686">
        <v>0.02</v>
      </c>
      <c r="X134" s="711"/>
      <c r="Y134" s="674">
        <v>7.4999999999999997E-3</v>
      </c>
      <c r="Z134" s="67">
        <v>7.0000000000000001E-3</v>
      </c>
      <c r="AA134" s="701"/>
      <c r="AB134" s="710">
        <v>0.435</v>
      </c>
      <c r="AC134" s="686">
        <v>0.52</v>
      </c>
      <c r="AD134" s="694"/>
    </row>
    <row r="135" spans="1:30" x14ac:dyDescent="0.3">
      <c r="A135" s="645" t="str">
        <f>_xlfn.CONCAT(Physicochemical_Managed!Y118, Physicochemical_Managed!P118)</f>
        <v>Before the burnRU44349</v>
      </c>
      <c r="B135" s="646" t="str">
        <v>Before the burnRL44306</v>
      </c>
      <c r="C135" s="647" t="str">
        <f t="shared" si="7"/>
        <v>RL44306</v>
      </c>
      <c r="D135" s="660" t="str">
        <f t="shared" si="8"/>
        <v>RU44349</v>
      </c>
      <c r="E135" s="66" t="str">
        <f t="shared" si="9"/>
        <v>RU44384</v>
      </c>
      <c r="F135" s="679"/>
      <c r="G135" s="674">
        <v>6.72</v>
      </c>
      <c r="H135" s="67">
        <v>6.9949999999999992</v>
      </c>
      <c r="I135" s="701"/>
      <c r="J135" s="710">
        <v>22.2</v>
      </c>
      <c r="K135" s="686">
        <v>24.4</v>
      </c>
      <c r="L135" s="711"/>
      <c r="M135" s="674">
        <v>0.08</v>
      </c>
      <c r="N135" s="67">
        <v>1.2050000000000001</v>
      </c>
      <c r="O135" s="701"/>
      <c r="P135" s="710">
        <v>1.05</v>
      </c>
      <c r="Q135" s="686">
        <v>0.01</v>
      </c>
      <c r="R135" s="711"/>
      <c r="S135" s="674">
        <v>1.44</v>
      </c>
      <c r="T135" s="67">
        <v>1.585</v>
      </c>
      <c r="U135" s="701"/>
      <c r="V135" s="710">
        <v>0.22</v>
      </c>
      <c r="W135" s="686">
        <v>0.12000000000000001</v>
      </c>
      <c r="X135" s="711"/>
      <c r="Y135" s="674">
        <v>4.0000000000000001E-3</v>
      </c>
      <c r="Z135" s="67">
        <v>6.0000000000000001E-3</v>
      </c>
      <c r="AA135" s="701"/>
      <c r="AB135" s="710">
        <v>0.41</v>
      </c>
      <c r="AC135" s="686">
        <v>0.54499999999999993</v>
      </c>
      <c r="AD135" s="694"/>
    </row>
    <row r="136" spans="1:30" x14ac:dyDescent="0.3">
      <c r="A136" s="645" t="str">
        <f>_xlfn.CONCAT(Physicochemical_Managed!Y119, Physicochemical_Managed!P119)</f>
        <v>Before the burnRU44350</v>
      </c>
      <c r="B136" s="646" t="str">
        <v>Before the burnRL44313</v>
      </c>
      <c r="C136" s="647" t="str">
        <f t="shared" si="7"/>
        <v>RL44313</v>
      </c>
      <c r="D136" s="660" t="str">
        <f t="shared" si="8"/>
        <v>RU44350</v>
      </c>
      <c r="E136" s="66" t="str">
        <f t="shared" si="9"/>
        <v>RU44385</v>
      </c>
      <c r="F136" s="679"/>
      <c r="G136" s="674">
        <v>6.7050000000000001</v>
      </c>
      <c r="H136" s="67">
        <v>6.9</v>
      </c>
      <c r="I136" s="701"/>
      <c r="J136" s="710">
        <v>23.15</v>
      </c>
      <c r="K136" s="686">
        <v>23.7</v>
      </c>
      <c r="L136" s="711"/>
      <c r="M136" s="674">
        <v>0.05</v>
      </c>
      <c r="N136" s="67">
        <v>1.84</v>
      </c>
      <c r="O136" s="701"/>
      <c r="P136" s="710">
        <v>0.90500000000000003</v>
      </c>
      <c r="Q136" s="686">
        <v>0.02</v>
      </c>
      <c r="R136" s="711"/>
      <c r="S136" s="674">
        <v>1.2450000000000001</v>
      </c>
      <c r="T136" s="67">
        <v>2.09</v>
      </c>
      <c r="U136" s="701"/>
      <c r="V136" s="710">
        <v>0.23499999999999999</v>
      </c>
      <c r="W136" s="686">
        <v>0.02</v>
      </c>
      <c r="X136" s="711"/>
      <c r="Y136" s="674">
        <v>3.5000000000000001E-3</v>
      </c>
      <c r="Z136" s="67">
        <v>7.0000000000000001E-3</v>
      </c>
      <c r="AA136" s="701"/>
      <c r="AB136" s="710">
        <v>0.53</v>
      </c>
      <c r="AC136" s="686">
        <v>0.55000000000000004</v>
      </c>
      <c r="AD136" s="694"/>
    </row>
    <row r="137" spans="1:30" x14ac:dyDescent="0.3">
      <c r="A137" s="645" t="str">
        <f>_xlfn.CONCAT(Physicochemical_Managed!Y120, Physicochemical_Managed!P120)</f>
        <v>Before the burnRU44355</v>
      </c>
      <c r="B137" s="646" t="str">
        <v>Before the burnRL44327</v>
      </c>
      <c r="C137" s="647" t="str">
        <f t="shared" si="7"/>
        <v>RL44327</v>
      </c>
      <c r="D137" s="660" t="str">
        <f t="shared" si="8"/>
        <v>RU44355</v>
      </c>
      <c r="E137" s="66" t="str">
        <f t="shared" si="9"/>
        <v>RU44390</v>
      </c>
      <c r="F137" s="679"/>
      <c r="G137" s="674">
        <v>6.76</v>
      </c>
      <c r="H137" s="67">
        <v>6.9450000000000003</v>
      </c>
      <c r="I137" s="701"/>
      <c r="J137" s="710">
        <v>24.3</v>
      </c>
      <c r="K137" s="686">
        <v>24.2</v>
      </c>
      <c r="L137" s="711"/>
      <c r="M137" s="674">
        <v>7.0000000000000007E-2</v>
      </c>
      <c r="N137" s="67">
        <v>1.76</v>
      </c>
      <c r="O137" s="701"/>
      <c r="P137" s="710">
        <v>1.08</v>
      </c>
      <c r="Q137" s="686">
        <v>0.01</v>
      </c>
      <c r="R137" s="711"/>
      <c r="S137" s="674">
        <v>1.29</v>
      </c>
      <c r="T137" s="67">
        <v>1.9350000000000001</v>
      </c>
      <c r="U137" s="701"/>
      <c r="V137" s="710">
        <v>0.24</v>
      </c>
      <c r="W137" s="686">
        <v>3.5000000000000003E-2</v>
      </c>
      <c r="X137" s="711"/>
      <c r="Y137" s="674">
        <v>8.9999999999999993E-3</v>
      </c>
      <c r="Z137" s="67">
        <v>7.0000000000000001E-3</v>
      </c>
      <c r="AA137" s="701"/>
      <c r="AB137" s="710">
        <v>0.49</v>
      </c>
      <c r="AC137" s="686">
        <v>0.57000000000000006</v>
      </c>
      <c r="AD137" s="694"/>
    </row>
    <row r="138" spans="1:30" x14ac:dyDescent="0.3">
      <c r="A138" s="645" t="str">
        <f>_xlfn.CONCAT(Physicochemical_Managed!Y121, Physicochemical_Managed!P121)</f>
        <v>Before the burnRU44356</v>
      </c>
      <c r="B138" s="646" t="str">
        <v>Before the burnRL44334</v>
      </c>
      <c r="C138" s="647" t="str">
        <f t="shared" si="7"/>
        <v>RL44334</v>
      </c>
      <c r="D138" s="660" t="str">
        <f t="shared" si="8"/>
        <v>RU44356</v>
      </c>
      <c r="E138" s="66" t="str">
        <f>C223</f>
        <v>RU44391</v>
      </c>
      <c r="F138" s="679"/>
      <c r="G138" s="674">
        <v>6.7750000000000004</v>
      </c>
      <c r="H138" s="67">
        <v>6.92</v>
      </c>
      <c r="I138" s="701"/>
      <c r="J138" s="710">
        <v>23.799999999999997</v>
      </c>
      <c r="K138" s="686">
        <v>24.4</v>
      </c>
      <c r="L138" s="711"/>
      <c r="M138" s="674">
        <v>0.13</v>
      </c>
      <c r="N138" s="67">
        <v>1.58</v>
      </c>
      <c r="O138" s="701"/>
      <c r="P138" s="710">
        <v>0.69</v>
      </c>
      <c r="Q138" s="686">
        <v>0.01</v>
      </c>
      <c r="R138" s="711"/>
      <c r="S138" s="674">
        <v>0.64500000000000002</v>
      </c>
      <c r="T138" s="67">
        <v>2.11</v>
      </c>
      <c r="U138" s="701"/>
      <c r="V138" s="710">
        <v>0.33499999999999996</v>
      </c>
      <c r="W138" s="686">
        <v>0.03</v>
      </c>
      <c r="X138" s="711"/>
      <c r="Y138" s="674">
        <v>9.4999999999999998E-3</v>
      </c>
      <c r="Z138" s="67">
        <v>5.0000000000000001E-3</v>
      </c>
      <c r="AA138" s="701"/>
      <c r="AB138" s="710">
        <v>0.48</v>
      </c>
      <c r="AC138" s="686">
        <v>0.56000000000000005</v>
      </c>
      <c r="AD138" s="694"/>
    </row>
    <row r="139" spans="1:30" ht="16.350000000000001" thickBot="1" x14ac:dyDescent="0.35">
      <c r="A139" s="645" t="str">
        <f>_xlfn.CONCAT(Physicochemical_Managed!Y122, Physicochemical_Managed!P122)</f>
        <v>During the burnRU44362</v>
      </c>
      <c r="B139" s="646" t="str">
        <v>Before the burnRL44335</v>
      </c>
      <c r="C139" s="647" t="str">
        <f t="shared" si="7"/>
        <v>RL44335</v>
      </c>
      <c r="D139" s="661"/>
      <c r="E139" s="662" t="str">
        <f t="shared" si="9"/>
        <v>RU44397</v>
      </c>
      <c r="F139" s="680"/>
      <c r="G139" s="675"/>
      <c r="H139" s="663">
        <v>6.9250000000000007</v>
      </c>
      <c r="I139" s="702"/>
      <c r="J139" s="712"/>
      <c r="K139" s="687">
        <v>24.299999999999997</v>
      </c>
      <c r="L139" s="713"/>
      <c r="M139" s="675"/>
      <c r="N139" s="663">
        <v>1.7349999999999999</v>
      </c>
      <c r="O139" s="702"/>
      <c r="P139" s="712"/>
      <c r="Q139" s="687">
        <v>0.01</v>
      </c>
      <c r="R139" s="713"/>
      <c r="S139" s="675"/>
      <c r="T139" s="663">
        <v>1.9650000000000001</v>
      </c>
      <c r="U139" s="702"/>
      <c r="V139" s="712"/>
      <c r="W139" s="687">
        <v>0.02</v>
      </c>
      <c r="X139" s="713"/>
      <c r="Y139" s="675"/>
      <c r="Z139" s="663">
        <v>5.4999999999999997E-3</v>
      </c>
      <c r="AA139" s="702"/>
      <c r="AB139" s="712"/>
      <c r="AC139" s="687">
        <v>0.59</v>
      </c>
      <c r="AD139" s="695"/>
    </row>
    <row r="140" spans="1:30" ht="16.95" thickTop="1" thickBot="1" x14ac:dyDescent="0.35">
      <c r="A140" s="645" t="str">
        <f>_xlfn.CONCAT(Physicochemical_Managed!Y123, Physicochemical_Managed!P123)</f>
        <v>During the burnRU44363</v>
      </c>
      <c r="B140" s="646" t="str">
        <v>Before the burnRL44341</v>
      </c>
      <c r="C140" s="647" t="str">
        <f t="shared" si="7"/>
        <v>RL44341</v>
      </c>
      <c r="J140" s="688"/>
      <c r="K140" s="688"/>
      <c r="L140" s="688"/>
      <c r="P140" s="688"/>
      <c r="Q140" s="688"/>
      <c r="R140" s="688"/>
      <c r="V140" s="688"/>
      <c r="W140" s="688"/>
      <c r="X140" s="688"/>
      <c r="AB140" s="688"/>
      <c r="AC140" s="688"/>
      <c r="AD140" s="688"/>
    </row>
    <row r="141" spans="1:30" ht="16.350000000000001" thickTop="1" x14ac:dyDescent="0.3">
      <c r="A141" s="645" t="str">
        <f>_xlfn.CONCAT(Physicochemical_Managed!Y124, Physicochemical_Managed!P124)</f>
        <v>During the burnRU44364</v>
      </c>
      <c r="B141" s="646" t="str">
        <v>Before the burnRL44342</v>
      </c>
      <c r="C141" s="647" t="str">
        <f t="shared" si="7"/>
        <v>RL44342</v>
      </c>
      <c r="F141" s="717" t="s">
        <v>256</v>
      </c>
      <c r="G141" s="715">
        <f>AVERAGE(_xlfn.ANCHORARRAY(G94))</f>
        <v>6.957259259259259</v>
      </c>
      <c r="H141" s="681">
        <f t="shared" ref="H141:AD141" si="11">AVERAGE(_xlfn.ANCHORARRAY(H94))</f>
        <v>6.9062318840579699</v>
      </c>
      <c r="I141" s="719">
        <f t="shared" si="11"/>
        <v>6.7667499999999992</v>
      </c>
      <c r="J141" s="721">
        <f t="shared" si="11"/>
        <v>23.913333333333338</v>
      </c>
      <c r="K141" s="689">
        <f t="shared" si="11"/>
        <v>26.071739130434782</v>
      </c>
      <c r="L141" s="722">
        <f t="shared" si="11"/>
        <v>25.863124999999997</v>
      </c>
      <c r="M141" s="715">
        <f t="shared" si="11"/>
        <v>9.6222222222222223E-2</v>
      </c>
      <c r="N141" s="681">
        <f t="shared" si="11"/>
        <v>1.7773913043478262</v>
      </c>
      <c r="O141" s="719">
        <f t="shared" si="11"/>
        <v>0.15049999999999999</v>
      </c>
      <c r="P141" s="721">
        <f t="shared" si="11"/>
        <v>1.6388888888888888</v>
      </c>
      <c r="Q141" s="689">
        <f t="shared" si="11"/>
        <v>6.1521739130434745E-2</v>
      </c>
      <c r="R141" s="722">
        <f t="shared" si="11"/>
        <v>1.369875</v>
      </c>
      <c r="S141" s="715">
        <f t="shared" si="11"/>
        <v>1.8768148148148152</v>
      </c>
      <c r="T141" s="681">
        <f t="shared" si="11"/>
        <v>1.9375362318840579</v>
      </c>
      <c r="U141" s="719">
        <f t="shared" si="11"/>
        <v>1.534125</v>
      </c>
      <c r="V141" s="721">
        <f t="shared" si="11"/>
        <v>0.2602962962962963</v>
      </c>
      <c r="W141" s="689">
        <f t="shared" si="11"/>
        <v>7.6884057971014497E-2</v>
      </c>
      <c r="X141" s="722">
        <f t="shared" si="11"/>
        <v>0.17425000000000007</v>
      </c>
      <c r="Y141" s="715">
        <f t="shared" si="11"/>
        <v>7.3333333333333375E-3</v>
      </c>
      <c r="Z141" s="681">
        <f t="shared" si="11"/>
        <v>6.6195652173913081E-3</v>
      </c>
      <c r="AA141" s="719">
        <f t="shared" si="11"/>
        <v>7.287500000000004E-3</v>
      </c>
      <c r="AB141" s="721">
        <f t="shared" si="11"/>
        <v>0.42055555555555557</v>
      </c>
      <c r="AC141" s="689">
        <f t="shared" si="11"/>
        <v>0.50112318840579706</v>
      </c>
      <c r="AD141" s="696">
        <f t="shared" si="11"/>
        <v>0.52275000000000005</v>
      </c>
    </row>
    <row r="142" spans="1:30" ht="16.350000000000001" thickBot="1" x14ac:dyDescent="0.35">
      <c r="A142" s="645" t="str">
        <f>_xlfn.CONCAT(Physicochemical_Managed!Y125, Physicochemical_Managed!P125)</f>
        <v>During the burnRU44369</v>
      </c>
      <c r="B142" s="646" t="str">
        <v>Before the burnRL44349</v>
      </c>
      <c r="C142" s="647" t="str">
        <f t="shared" si="7"/>
        <v>RL44349</v>
      </c>
      <c r="F142" s="718" t="s">
        <v>257</v>
      </c>
      <c r="G142" s="716">
        <f>STDEV(_xlfn.ANCHORARRAY(G94))</f>
        <v>0.27414908655885573</v>
      </c>
      <c r="H142" s="682">
        <f t="shared" ref="H142:AD142" si="12">STDEV(_xlfn.ANCHORARRAY(H94))</f>
        <v>0.16757582944785585</v>
      </c>
      <c r="I142" s="720">
        <f t="shared" si="12"/>
        <v>0.17631393184913824</v>
      </c>
      <c r="J142" s="723">
        <f t="shared" si="12"/>
        <v>1.8895165326804442</v>
      </c>
      <c r="K142" s="690">
        <f t="shared" si="12"/>
        <v>1.6599415041203855</v>
      </c>
      <c r="L142" s="724">
        <f t="shared" si="12"/>
        <v>1.938947866789668</v>
      </c>
      <c r="M142" s="716">
        <f t="shared" si="12"/>
        <v>3.744929231573671E-2</v>
      </c>
      <c r="N142" s="682">
        <f t="shared" si="12"/>
        <v>0.77117352070323097</v>
      </c>
      <c r="O142" s="720">
        <f t="shared" si="12"/>
        <v>0.28111682031971458</v>
      </c>
      <c r="P142" s="723">
        <f t="shared" si="12"/>
        <v>0.45822023397956146</v>
      </c>
      <c r="Q142" s="690">
        <f t="shared" si="12"/>
        <v>0.18947843490668265</v>
      </c>
      <c r="R142" s="724">
        <f t="shared" si="12"/>
        <v>0.64050609747092579</v>
      </c>
      <c r="S142" s="716">
        <f t="shared" si="12"/>
        <v>0.58262834262857344</v>
      </c>
      <c r="T142" s="682">
        <f t="shared" si="12"/>
        <v>0.72513878953630451</v>
      </c>
      <c r="U142" s="720">
        <f t="shared" si="12"/>
        <v>0.71510254554226449</v>
      </c>
      <c r="V142" s="723">
        <f t="shared" si="12"/>
        <v>6.1488572569851477E-2</v>
      </c>
      <c r="W142" s="690">
        <f t="shared" si="12"/>
        <v>8.009223748676314E-2</v>
      </c>
      <c r="X142" s="724">
        <f t="shared" si="12"/>
        <v>6.4644491307537133E-2</v>
      </c>
      <c r="Y142" s="716">
        <f t="shared" si="12"/>
        <v>3.1243181074217734E-3</v>
      </c>
      <c r="Z142" s="682">
        <f t="shared" si="12"/>
        <v>1.6370189118866021E-3</v>
      </c>
      <c r="AA142" s="720">
        <f t="shared" si="12"/>
        <v>7.8216395258152108E-3</v>
      </c>
      <c r="AB142" s="723">
        <f t="shared" si="12"/>
        <v>9.3991188067517148E-2</v>
      </c>
      <c r="AC142" s="690">
        <f t="shared" si="12"/>
        <v>0.10734452112605011</v>
      </c>
      <c r="AD142" s="697">
        <f t="shared" si="12"/>
        <v>0.10842077339036164</v>
      </c>
    </row>
    <row r="143" spans="1:30" ht="16.350000000000001" thickTop="1" x14ac:dyDescent="0.3">
      <c r="A143" s="645" t="str">
        <f>_xlfn.CONCAT(Physicochemical_Managed!Y126, Physicochemical_Managed!P126)</f>
        <v>During the burnRU44370</v>
      </c>
      <c r="B143" s="646" t="str">
        <v>Before the burnRL44350</v>
      </c>
      <c r="C143" s="647" t="str">
        <f t="shared" si="7"/>
        <v>RL44350</v>
      </c>
    </row>
    <row r="144" spans="1:30" x14ac:dyDescent="0.3">
      <c r="A144" s="645" t="str">
        <f>_xlfn.CONCAT(Physicochemical_Managed!Y127, Physicochemical_Managed!P127)</f>
        <v>During the burnRU44376</v>
      </c>
      <c r="B144" s="646" t="str">
        <v>Before the burnRL44355</v>
      </c>
      <c r="C144" s="647" t="str">
        <f t="shared" si="7"/>
        <v>RL44355</v>
      </c>
    </row>
    <row r="145" spans="1:3" x14ac:dyDescent="0.3">
      <c r="A145" s="645" t="str">
        <f>_xlfn.CONCAT(Physicochemical_Managed!Y128, Physicochemical_Managed!P128)</f>
        <v>During the burnRU44377</v>
      </c>
      <c r="B145" s="646" t="str">
        <v>Before the burnRL44356</v>
      </c>
      <c r="C145" s="647" t="str">
        <f t="shared" si="7"/>
        <v>RL44356</v>
      </c>
    </row>
    <row r="146" spans="1:3" x14ac:dyDescent="0.3">
      <c r="A146" s="645" t="str">
        <f>_xlfn.CONCAT(Physicochemical_Managed!Y129, Physicochemical_Managed!P129)</f>
        <v>During the burnRU44384</v>
      </c>
      <c r="B146" s="646" t="str">
        <v>Before the burnRN44293</v>
      </c>
      <c r="C146" s="647" t="str">
        <f t="shared" si="7"/>
        <v>RN44293</v>
      </c>
    </row>
    <row r="147" spans="1:3" x14ac:dyDescent="0.3">
      <c r="A147" s="645" t="str">
        <f>_xlfn.CONCAT(Physicochemical_Managed!Y130, Physicochemical_Managed!P130)</f>
        <v>During the burnRU44385</v>
      </c>
      <c r="B147" s="646" t="str">
        <v>Before the burnRN44313</v>
      </c>
      <c r="C147" s="647" t="str">
        <f t="shared" si="7"/>
        <v>RN44313</v>
      </c>
    </row>
    <row r="148" spans="1:3" x14ac:dyDescent="0.3">
      <c r="A148" s="645" t="str">
        <f>_xlfn.CONCAT(Physicochemical_Managed!Y131, Physicochemical_Managed!P131)</f>
        <v>During the burnRU44390</v>
      </c>
      <c r="B148" s="646" t="str">
        <v>Before the burnRN44327</v>
      </c>
      <c r="C148" s="647" t="str">
        <f t="shared" si="7"/>
        <v>RN44327</v>
      </c>
    </row>
    <row r="149" spans="1:3" x14ac:dyDescent="0.3">
      <c r="A149" s="645" t="str">
        <f>_xlfn.CONCAT(Physicochemical_Managed!Y132, Physicochemical_Managed!P132)</f>
        <v>During the burnRU44391</v>
      </c>
      <c r="B149" s="646" t="str">
        <v>Before the burnRN44334</v>
      </c>
      <c r="C149" s="647" t="str">
        <f t="shared" si="7"/>
        <v>RN44334</v>
      </c>
    </row>
    <row r="150" spans="1:3" x14ac:dyDescent="0.3">
      <c r="A150" s="645" t="str">
        <f>_xlfn.CONCAT(Physicochemical_Managed!Y133, Physicochemical_Managed!P133)</f>
        <v>During the burnRU44397</v>
      </c>
      <c r="B150" s="646" t="str">
        <v>Before the burnRN44335</v>
      </c>
      <c r="C150" s="647" t="str">
        <f t="shared" si="7"/>
        <v>RN44335</v>
      </c>
    </row>
    <row r="151" spans="1:3" x14ac:dyDescent="0.3">
      <c r="A151" s="645" t="str">
        <f>_xlfn.CONCAT(Physicochemical_Managed!Y134, Physicochemical_Managed!P134)</f>
        <v>After the burnRU44404</v>
      </c>
      <c r="B151" s="646" t="str">
        <v>Before the burnRN44341</v>
      </c>
      <c r="C151" s="647" t="str">
        <f t="shared" si="7"/>
        <v>RN44341</v>
      </c>
    </row>
    <row r="152" spans="1:3" x14ac:dyDescent="0.3">
      <c r="A152" s="645" t="str">
        <f>_xlfn.CONCAT(Physicochemical_Managed!Y135, Physicochemical_Managed!P135)</f>
        <v>After the burnRU44405</v>
      </c>
      <c r="B152" s="646" t="str">
        <v>Before the burnRN44342</v>
      </c>
      <c r="C152" s="647" t="str">
        <f t="shared" si="7"/>
        <v>RN44342</v>
      </c>
    </row>
    <row r="153" spans="1:3" x14ac:dyDescent="0.3">
      <c r="A153" s="645" t="str">
        <f>_xlfn.CONCAT(Physicochemical_Managed!Y136, Physicochemical_Managed!P136)</f>
        <v>After the burnRU44411</v>
      </c>
      <c r="B153" s="646" t="str">
        <v>Before the burnRN44349</v>
      </c>
      <c r="C153" s="647" t="str">
        <f t="shared" si="7"/>
        <v>RN44349</v>
      </c>
    </row>
    <row r="154" spans="1:3" x14ac:dyDescent="0.3">
      <c r="A154" s="645" t="str">
        <f>_xlfn.CONCAT(Physicochemical_Managed!Y137, Physicochemical_Managed!P137)</f>
        <v>After the burnRU44412</v>
      </c>
      <c r="B154" s="646" t="str">
        <v>Before the burnRN44350</v>
      </c>
      <c r="C154" s="647" t="str">
        <f t="shared" si="7"/>
        <v>RN44350</v>
      </c>
    </row>
    <row r="155" spans="1:3" x14ac:dyDescent="0.3">
      <c r="A155" s="645" t="str">
        <f>_xlfn.CONCAT(Physicochemical_Managed!Y138, Physicochemical_Managed!P138)</f>
        <v>After the burnRU44418</v>
      </c>
      <c r="B155" s="646" t="str">
        <v>Before the burnRN44355</v>
      </c>
      <c r="C155" s="647" t="str">
        <f t="shared" si="7"/>
        <v>RN44355</v>
      </c>
    </row>
    <row r="156" spans="1:3" x14ac:dyDescent="0.3">
      <c r="A156" s="645" t="str">
        <f>_xlfn.CONCAT(Physicochemical_Managed!Y139, Physicochemical_Managed!P139)</f>
        <v>After the burnRU44419</v>
      </c>
      <c r="B156" s="646" t="str">
        <v>Before the burnRN44356</v>
      </c>
      <c r="C156" s="647" t="str">
        <f t="shared" si="7"/>
        <v>RN44356</v>
      </c>
    </row>
    <row r="157" spans="1:3" x14ac:dyDescent="0.3">
      <c r="A157" s="645" t="str">
        <f>_xlfn.CONCAT(Physicochemical_Managed!Y140, Physicochemical_Managed!P140)</f>
        <v>After the burnRU44425</v>
      </c>
      <c r="B157" s="646" t="str">
        <v>Before the burnRS44293</v>
      </c>
      <c r="C157" s="647" t="str">
        <f t="shared" si="7"/>
        <v>RS44293</v>
      </c>
    </row>
    <row r="158" spans="1:3" x14ac:dyDescent="0.3">
      <c r="A158" s="645" t="str">
        <f>_xlfn.CONCAT(Physicochemical_Managed!Y141, Physicochemical_Managed!P141)</f>
        <v>After the burnRU44426</v>
      </c>
      <c r="B158" s="646" t="str">
        <v>Before the burnRS44306</v>
      </c>
      <c r="C158" s="647" t="str">
        <f t="shared" si="7"/>
        <v>RS44306</v>
      </c>
    </row>
    <row r="159" spans="1:3" x14ac:dyDescent="0.3">
      <c r="A159" s="645" t="str">
        <f>_xlfn.CONCAT(Physicochemical_Managed!Y142, Physicochemical_Managed!P142)</f>
        <v>After the burnRU44432</v>
      </c>
      <c r="B159" s="646" t="str">
        <v>Before the burnRS44313</v>
      </c>
      <c r="C159" s="647" t="str">
        <f t="shared" ref="C159:C222" si="13">RIGHT(B159, LEN(B159)-(FIND("burn", B159)+3))</f>
        <v>RS44313</v>
      </c>
    </row>
    <row r="160" spans="1:3" x14ac:dyDescent="0.3">
      <c r="A160" s="645" t="str">
        <f>_xlfn.CONCAT(Physicochemical_Managed!Y143, Physicochemical_Managed!P143)</f>
        <v>After the burnRU44433</v>
      </c>
      <c r="B160" s="646" t="str">
        <v>Before the burnRS44327</v>
      </c>
      <c r="C160" s="647" t="str">
        <f t="shared" si="13"/>
        <v>RS44327</v>
      </c>
    </row>
    <row r="161" spans="1:3" x14ac:dyDescent="0.3">
      <c r="A161" s="645" t="str">
        <f>_xlfn.CONCAT(Physicochemical_Managed!Y144, Physicochemical_Managed!P144)</f>
        <v>Before the burnRL44293</v>
      </c>
      <c r="B161" s="646" t="str">
        <v>Before the burnRS44334</v>
      </c>
      <c r="C161" s="647" t="str">
        <f t="shared" si="13"/>
        <v>RS44334</v>
      </c>
    </row>
    <row r="162" spans="1:3" x14ac:dyDescent="0.3">
      <c r="A162" s="645" t="str">
        <f>_xlfn.CONCAT(Physicochemical_Managed!Y145, Physicochemical_Managed!P145)</f>
        <v>Before the burnRL44306</v>
      </c>
      <c r="B162" s="646" t="str">
        <v>Before the burnRS44335</v>
      </c>
      <c r="C162" s="647" t="str">
        <f t="shared" si="13"/>
        <v>RS44335</v>
      </c>
    </row>
    <row r="163" spans="1:3" x14ac:dyDescent="0.3">
      <c r="A163" s="645" t="str">
        <f>_xlfn.CONCAT(Physicochemical_Managed!Y146, Physicochemical_Managed!P146)</f>
        <v>Before the burnRL44313</v>
      </c>
      <c r="B163" s="646" t="str">
        <v>Before the burnRS44341</v>
      </c>
      <c r="C163" s="647" t="str">
        <f t="shared" si="13"/>
        <v>RS44341</v>
      </c>
    </row>
    <row r="164" spans="1:3" x14ac:dyDescent="0.3">
      <c r="A164" s="645" t="str">
        <f>_xlfn.CONCAT(Physicochemical_Managed!Y147, Physicochemical_Managed!P147)</f>
        <v>Before the burnRL44327</v>
      </c>
      <c r="B164" s="646" t="str">
        <v>Before the burnRS44342</v>
      </c>
      <c r="C164" s="647" t="str">
        <f t="shared" si="13"/>
        <v>RS44342</v>
      </c>
    </row>
    <row r="165" spans="1:3" x14ac:dyDescent="0.3">
      <c r="A165" s="645" t="str">
        <f>_xlfn.CONCAT(Physicochemical_Managed!Y148, Physicochemical_Managed!P148)</f>
        <v>Before the burnRL44334</v>
      </c>
      <c r="B165" s="646" t="str">
        <v>Before the burnRS44349</v>
      </c>
      <c r="C165" s="647" t="str">
        <f t="shared" si="13"/>
        <v>RS44349</v>
      </c>
    </row>
    <row r="166" spans="1:3" x14ac:dyDescent="0.3">
      <c r="A166" s="645" t="str">
        <f>_xlfn.CONCAT(Physicochemical_Managed!Y149, Physicochemical_Managed!P149)</f>
        <v>Before the burnRL44335</v>
      </c>
      <c r="B166" s="646" t="str">
        <v>Before the burnRS44350</v>
      </c>
      <c r="C166" s="647" t="str">
        <f t="shared" si="13"/>
        <v>RS44350</v>
      </c>
    </row>
    <row r="167" spans="1:3" x14ac:dyDescent="0.3">
      <c r="A167" s="645" t="str">
        <f>_xlfn.CONCAT(Physicochemical_Managed!Y150, Physicochemical_Managed!P150)</f>
        <v>Before the burnRL44341</v>
      </c>
      <c r="B167" s="646" t="str">
        <v>Before the burnRU44293</v>
      </c>
      <c r="C167" s="647" t="str">
        <f t="shared" si="13"/>
        <v>RU44293</v>
      </c>
    </row>
    <row r="168" spans="1:3" x14ac:dyDescent="0.3">
      <c r="A168" s="645" t="str">
        <f>_xlfn.CONCAT(Physicochemical_Managed!Y151, Physicochemical_Managed!P151)</f>
        <v>Before the burnRL44342</v>
      </c>
      <c r="B168" s="646" t="str">
        <v>Before the burnRU44306</v>
      </c>
      <c r="C168" s="647" t="str">
        <f t="shared" si="13"/>
        <v>RU44306</v>
      </c>
    </row>
    <row r="169" spans="1:3" x14ac:dyDescent="0.3">
      <c r="A169" s="645" t="str">
        <f>_xlfn.CONCAT(Physicochemical_Managed!Y152, Physicochemical_Managed!P152)</f>
        <v>Before the burnRL44349</v>
      </c>
      <c r="B169" s="646" t="str">
        <v>Before the burnRU44313</v>
      </c>
      <c r="C169" s="647" t="str">
        <f t="shared" si="13"/>
        <v>RU44313</v>
      </c>
    </row>
    <row r="170" spans="1:3" x14ac:dyDescent="0.3">
      <c r="A170" s="645" t="str">
        <f>_xlfn.CONCAT(Physicochemical_Managed!Y153, Physicochemical_Managed!P153)</f>
        <v>Before the burnRL44350</v>
      </c>
      <c r="B170" s="646" t="str">
        <v>Before the burnRU44327</v>
      </c>
      <c r="C170" s="647" t="str">
        <f t="shared" si="13"/>
        <v>RU44327</v>
      </c>
    </row>
    <row r="171" spans="1:3" x14ac:dyDescent="0.3">
      <c r="A171" s="645" t="str">
        <f>_xlfn.CONCAT(Physicochemical_Managed!Y154, Physicochemical_Managed!P154)</f>
        <v>Before the burnRL44355</v>
      </c>
      <c r="B171" s="646" t="str">
        <v>Before the burnRU44334</v>
      </c>
      <c r="C171" s="647" t="str">
        <f t="shared" si="13"/>
        <v>RU44334</v>
      </c>
    </row>
    <row r="172" spans="1:3" x14ac:dyDescent="0.3">
      <c r="A172" s="645" t="str">
        <f>_xlfn.CONCAT(Physicochemical_Managed!Y155, Physicochemical_Managed!P155)</f>
        <v>Before the burnRL44356</v>
      </c>
      <c r="B172" s="646" t="str">
        <v>Before the burnRU44335</v>
      </c>
      <c r="C172" s="647" t="str">
        <f t="shared" si="13"/>
        <v>RU44335</v>
      </c>
    </row>
    <row r="173" spans="1:3" x14ac:dyDescent="0.3">
      <c r="A173" s="645" t="str">
        <f>_xlfn.CONCAT(Physicochemical_Managed!Y156, Physicochemical_Managed!P156)</f>
        <v>During the burnRL44362</v>
      </c>
      <c r="B173" s="646" t="str">
        <v>Before the burnRU44341</v>
      </c>
      <c r="C173" s="647" t="str">
        <f t="shared" si="13"/>
        <v>RU44341</v>
      </c>
    </row>
    <row r="174" spans="1:3" x14ac:dyDescent="0.3">
      <c r="A174" s="645" t="str">
        <f>_xlfn.CONCAT(Physicochemical_Managed!Y157, Physicochemical_Managed!P157)</f>
        <v>During the burnRL44363</v>
      </c>
      <c r="B174" s="646" t="str">
        <v>Before the burnRU44342</v>
      </c>
      <c r="C174" s="647" t="str">
        <f t="shared" si="13"/>
        <v>RU44342</v>
      </c>
    </row>
    <row r="175" spans="1:3" x14ac:dyDescent="0.3">
      <c r="A175" s="645" t="str">
        <f>_xlfn.CONCAT(Physicochemical_Managed!Y158, Physicochemical_Managed!P158)</f>
        <v>During the burnRL44369</v>
      </c>
      <c r="B175" s="646" t="str">
        <v>Before the burnRU44349</v>
      </c>
      <c r="C175" s="647" t="str">
        <f t="shared" si="13"/>
        <v>RU44349</v>
      </c>
    </row>
    <row r="176" spans="1:3" x14ac:dyDescent="0.3">
      <c r="A176" s="645" t="str">
        <f>_xlfn.CONCAT(Physicochemical_Managed!Y159, Physicochemical_Managed!P159)</f>
        <v>During the burnRL44370</v>
      </c>
      <c r="B176" s="646" t="str">
        <v>Before the burnRU44350</v>
      </c>
      <c r="C176" s="647" t="str">
        <f t="shared" si="13"/>
        <v>RU44350</v>
      </c>
    </row>
    <row r="177" spans="1:3" x14ac:dyDescent="0.3">
      <c r="A177" s="645" t="str">
        <f>_xlfn.CONCAT(Physicochemical_Managed!Y160, Physicochemical_Managed!P160)</f>
        <v>During the burnRL44384</v>
      </c>
      <c r="B177" s="646" t="str">
        <v>Before the burnRU44355</v>
      </c>
      <c r="C177" s="647" t="str">
        <f t="shared" si="13"/>
        <v>RU44355</v>
      </c>
    </row>
    <row r="178" spans="1:3" x14ac:dyDescent="0.3">
      <c r="A178" s="645" t="str">
        <f>_xlfn.CONCAT(Physicochemical_Managed!Y161, Physicochemical_Managed!P161)</f>
        <v>During the burnRL44385</v>
      </c>
      <c r="B178" s="646" t="str">
        <v>Before the burnRU44356</v>
      </c>
      <c r="C178" s="647" t="str">
        <f t="shared" si="13"/>
        <v>RU44356</v>
      </c>
    </row>
    <row r="179" spans="1:3" x14ac:dyDescent="0.3">
      <c r="A179" s="645" t="str">
        <f>_xlfn.CONCAT(Physicochemical_Managed!Y162, Physicochemical_Managed!P162)</f>
        <v>During the burnRL44390</v>
      </c>
      <c r="B179" s="646" t="str">
        <v>During the burnRL44362</v>
      </c>
      <c r="C179" s="647" t="str">
        <f t="shared" si="13"/>
        <v>RL44362</v>
      </c>
    </row>
    <row r="180" spans="1:3" x14ac:dyDescent="0.3">
      <c r="A180" s="645" t="str">
        <f>_xlfn.CONCAT(Physicochemical_Managed!Y163, Physicochemical_Managed!P163)</f>
        <v>During the burnRL44391</v>
      </c>
      <c r="B180" s="646" t="str">
        <v>During the burnRL44363</v>
      </c>
      <c r="C180" s="647" t="str">
        <f t="shared" si="13"/>
        <v>RL44363</v>
      </c>
    </row>
    <row r="181" spans="1:3" x14ac:dyDescent="0.3">
      <c r="A181" s="645" t="str">
        <f>_xlfn.CONCAT(Physicochemical_Managed!Y164, Physicochemical_Managed!P164)</f>
        <v>During the burnRL44397</v>
      </c>
      <c r="B181" s="646" t="str">
        <v>During the burnRL44369</v>
      </c>
      <c r="C181" s="647" t="str">
        <f t="shared" si="13"/>
        <v>RL44369</v>
      </c>
    </row>
    <row r="182" spans="1:3" x14ac:dyDescent="0.3">
      <c r="A182" s="645" t="str">
        <f>_xlfn.CONCAT(Physicochemical_Managed!Y165, Physicochemical_Managed!P165)</f>
        <v>During the burnRL44398</v>
      </c>
      <c r="B182" s="646" t="str">
        <v>During the burnRL44370</v>
      </c>
      <c r="C182" s="647" t="str">
        <f t="shared" si="13"/>
        <v>RL44370</v>
      </c>
    </row>
    <row r="183" spans="1:3" x14ac:dyDescent="0.3">
      <c r="A183" s="645" t="str">
        <f>_xlfn.CONCAT(Physicochemical_Managed!Y166, Physicochemical_Managed!P166)</f>
        <v>After the burnRL44404</v>
      </c>
      <c r="B183" s="646" t="str">
        <v>During the burnRL44384</v>
      </c>
      <c r="C183" s="647" t="str">
        <f t="shared" si="13"/>
        <v>RL44384</v>
      </c>
    </row>
    <row r="184" spans="1:3" x14ac:dyDescent="0.3">
      <c r="A184" s="645" t="str">
        <f>_xlfn.CONCAT(Physicochemical_Managed!Y167, Physicochemical_Managed!P167)</f>
        <v>After the burnRL44405</v>
      </c>
      <c r="B184" s="646" t="str">
        <v>During the burnRL44385</v>
      </c>
      <c r="C184" s="647" t="str">
        <f t="shared" si="13"/>
        <v>RL44385</v>
      </c>
    </row>
    <row r="185" spans="1:3" x14ac:dyDescent="0.3">
      <c r="A185" s="645" t="str">
        <f>_xlfn.CONCAT(Physicochemical_Managed!Y168, Physicochemical_Managed!P168)</f>
        <v>After the burnRL44411</v>
      </c>
      <c r="B185" s="646" t="str">
        <v>During the burnRL44390</v>
      </c>
      <c r="C185" s="647" t="str">
        <f t="shared" si="13"/>
        <v>RL44390</v>
      </c>
    </row>
    <row r="186" spans="1:3" x14ac:dyDescent="0.3">
      <c r="A186" s="645" t="str">
        <f>_xlfn.CONCAT(Physicochemical_Managed!Y169, Physicochemical_Managed!P169)</f>
        <v>After the burnRL44412</v>
      </c>
      <c r="B186" s="646" t="str">
        <v>During the burnRL44391</v>
      </c>
      <c r="C186" s="647" t="str">
        <f t="shared" si="13"/>
        <v>RL44391</v>
      </c>
    </row>
    <row r="187" spans="1:3" x14ac:dyDescent="0.3">
      <c r="A187" s="645" t="str">
        <f>_xlfn.CONCAT(Physicochemical_Managed!Y170, Physicochemical_Managed!P170)</f>
        <v>After the burnRL44418</v>
      </c>
      <c r="B187" s="646" t="str">
        <v>During the burnRL44397</v>
      </c>
      <c r="C187" s="647" t="str">
        <f t="shared" si="13"/>
        <v>RL44397</v>
      </c>
    </row>
    <row r="188" spans="1:3" x14ac:dyDescent="0.3">
      <c r="A188" s="645" t="str">
        <f>_xlfn.CONCAT(Physicochemical_Managed!Y171, Physicochemical_Managed!P171)</f>
        <v>After the burnRL44419</v>
      </c>
      <c r="B188" s="646" t="str">
        <v>During the burnRL44398</v>
      </c>
      <c r="C188" s="647" t="str">
        <f t="shared" si="13"/>
        <v>RL44398</v>
      </c>
    </row>
    <row r="189" spans="1:3" x14ac:dyDescent="0.3">
      <c r="A189" s="645" t="str">
        <f>_xlfn.CONCAT(Physicochemical_Managed!Y172, Physicochemical_Managed!P172)</f>
        <v>After the burnRL44425</v>
      </c>
      <c r="B189" s="646" t="str">
        <v>During the burnRN44362</v>
      </c>
      <c r="C189" s="647" t="str">
        <f t="shared" si="13"/>
        <v>RN44362</v>
      </c>
    </row>
    <row r="190" spans="1:3" x14ac:dyDescent="0.3">
      <c r="A190" s="645" t="str">
        <f>_xlfn.CONCAT(Physicochemical_Managed!Y173, Physicochemical_Managed!P173)</f>
        <v>After the burnRL44426</v>
      </c>
      <c r="B190" s="646" t="str">
        <v>During the burnRN44363</v>
      </c>
      <c r="C190" s="647" t="str">
        <f t="shared" si="13"/>
        <v>RN44363</v>
      </c>
    </row>
    <row r="191" spans="1:3" x14ac:dyDescent="0.3">
      <c r="A191" s="645" t="str">
        <f>_xlfn.CONCAT(Physicochemical_Managed!Y174, Physicochemical_Managed!P174)</f>
        <v>After the burnRL44432</v>
      </c>
      <c r="B191" s="646" t="str">
        <v>During the burnRN44369</v>
      </c>
      <c r="C191" s="647" t="str">
        <f t="shared" si="13"/>
        <v>RN44369</v>
      </c>
    </row>
    <row r="192" spans="1:3" x14ac:dyDescent="0.3">
      <c r="A192" s="645" t="str">
        <f>_xlfn.CONCAT(Physicochemical_Managed!Y175, Physicochemical_Managed!P175)</f>
        <v>After the burnRL44433</v>
      </c>
      <c r="B192" s="646" t="str">
        <v>During the burnRN44370</v>
      </c>
      <c r="C192" s="647" t="str">
        <f t="shared" si="13"/>
        <v>RN44370</v>
      </c>
    </row>
    <row r="193" spans="1:3" x14ac:dyDescent="0.3">
      <c r="A193" s="645" t="str">
        <f>_xlfn.CONCAT(Physicochemical_Managed!Y176, Physicochemical_Managed!P176)</f>
        <v>Before the burnRS44293</v>
      </c>
      <c r="B193" s="646" t="str">
        <v>During the burnRN44376</v>
      </c>
      <c r="C193" s="647" t="str">
        <f t="shared" si="13"/>
        <v>RN44376</v>
      </c>
    </row>
    <row r="194" spans="1:3" x14ac:dyDescent="0.3">
      <c r="A194" s="645" t="str">
        <f>_xlfn.CONCAT(Physicochemical_Managed!Y177, Physicochemical_Managed!P177)</f>
        <v>Before the burnRS44306</v>
      </c>
      <c r="B194" s="646" t="str">
        <v>During the burnRN44377</v>
      </c>
      <c r="C194" s="647" t="str">
        <f t="shared" si="13"/>
        <v>RN44377</v>
      </c>
    </row>
    <row r="195" spans="1:3" x14ac:dyDescent="0.3">
      <c r="A195" s="645" t="str">
        <f>_xlfn.CONCAT(Physicochemical_Managed!Y178, Physicochemical_Managed!P178)</f>
        <v>Before the burnRS44313</v>
      </c>
      <c r="B195" s="646" t="str">
        <v>During the burnRN44384</v>
      </c>
      <c r="C195" s="647" t="str">
        <f t="shared" si="13"/>
        <v>RN44384</v>
      </c>
    </row>
    <row r="196" spans="1:3" x14ac:dyDescent="0.3">
      <c r="A196" s="645" t="str">
        <f>_xlfn.CONCAT(Physicochemical_Managed!Y179, Physicochemical_Managed!P179)</f>
        <v>Before the burnRS44327</v>
      </c>
      <c r="B196" s="646" t="str">
        <v>During the burnRN44385</v>
      </c>
      <c r="C196" s="647" t="str">
        <f t="shared" si="13"/>
        <v>RN44385</v>
      </c>
    </row>
    <row r="197" spans="1:3" x14ac:dyDescent="0.3">
      <c r="A197" s="645" t="str">
        <f>_xlfn.CONCAT(Physicochemical_Managed!Y180, Physicochemical_Managed!P180)</f>
        <v>Before the burnRS44334</v>
      </c>
      <c r="B197" s="646" t="str">
        <v>During the burnRN44390</v>
      </c>
      <c r="C197" s="647" t="str">
        <f t="shared" si="13"/>
        <v>RN44390</v>
      </c>
    </row>
    <row r="198" spans="1:3" x14ac:dyDescent="0.3">
      <c r="A198" s="645" t="str">
        <f>_xlfn.CONCAT(Physicochemical_Managed!Y181, Physicochemical_Managed!P181)</f>
        <v>Before the burnRS44335</v>
      </c>
      <c r="B198" s="646" t="str">
        <v>During the burnRN44391</v>
      </c>
      <c r="C198" s="647" t="str">
        <f t="shared" si="13"/>
        <v>RN44391</v>
      </c>
    </row>
    <row r="199" spans="1:3" x14ac:dyDescent="0.3">
      <c r="A199" s="645" t="str">
        <f>_xlfn.CONCAT(Physicochemical_Managed!Y182, Physicochemical_Managed!P182)</f>
        <v>Before the burnRS44341</v>
      </c>
      <c r="B199" s="646" t="str">
        <v>During the burnRN44397</v>
      </c>
      <c r="C199" s="647" t="str">
        <f t="shared" si="13"/>
        <v>RN44397</v>
      </c>
    </row>
    <row r="200" spans="1:3" x14ac:dyDescent="0.3">
      <c r="A200" s="645" t="str">
        <f>_xlfn.CONCAT(Physicochemical_Managed!Y183, Physicochemical_Managed!P183)</f>
        <v>Before the burnRS44342</v>
      </c>
      <c r="B200" s="646" t="str">
        <v>During the burnRN44398</v>
      </c>
      <c r="C200" s="647" t="str">
        <f t="shared" si="13"/>
        <v>RN44398</v>
      </c>
    </row>
    <row r="201" spans="1:3" x14ac:dyDescent="0.3">
      <c r="A201" s="645" t="str">
        <f>_xlfn.CONCAT(Physicochemical_Managed!Y184, Physicochemical_Managed!P184)</f>
        <v>Before the burnRS44349</v>
      </c>
      <c r="B201" s="646" t="str">
        <v>During the burnRS44362</v>
      </c>
      <c r="C201" s="647" t="str">
        <f t="shared" si="13"/>
        <v>RS44362</v>
      </c>
    </row>
    <row r="202" spans="1:3" x14ac:dyDescent="0.3">
      <c r="A202" s="645" t="str">
        <f>_xlfn.CONCAT(Physicochemical_Managed!Y185, Physicochemical_Managed!P185)</f>
        <v>Before the burnRS44350</v>
      </c>
      <c r="B202" s="646" t="str">
        <v>During the burnRS44363</v>
      </c>
      <c r="C202" s="647" t="str">
        <f t="shared" si="13"/>
        <v>RS44363</v>
      </c>
    </row>
    <row r="203" spans="1:3" x14ac:dyDescent="0.3">
      <c r="A203" s="645" t="str">
        <f>_xlfn.CONCAT(Physicochemical_Managed!Y186, Physicochemical_Managed!P186)</f>
        <v>During the burnRS44362</v>
      </c>
      <c r="B203" s="646" t="str">
        <v>During the burnRS44369</v>
      </c>
      <c r="C203" s="647" t="str">
        <f t="shared" si="13"/>
        <v>RS44369</v>
      </c>
    </row>
    <row r="204" spans="1:3" x14ac:dyDescent="0.3">
      <c r="A204" s="645" t="str">
        <f>_xlfn.CONCAT(Physicochemical_Managed!Y187, Physicochemical_Managed!P187)</f>
        <v>During the burnRS44363</v>
      </c>
      <c r="B204" s="646" t="str">
        <v>During the burnRS44370</v>
      </c>
      <c r="C204" s="647" t="str">
        <f t="shared" si="13"/>
        <v>RS44370</v>
      </c>
    </row>
    <row r="205" spans="1:3" x14ac:dyDescent="0.3">
      <c r="A205" s="645" t="str">
        <f>_xlfn.CONCAT(Physicochemical_Managed!Y188, Physicochemical_Managed!P188)</f>
        <v>During the burnRS44369</v>
      </c>
      <c r="B205" s="646" t="str">
        <v>During the burnRS44376</v>
      </c>
      <c r="C205" s="647" t="str">
        <f t="shared" si="13"/>
        <v>RS44376</v>
      </c>
    </row>
    <row r="206" spans="1:3" x14ac:dyDescent="0.3">
      <c r="A206" s="645" t="str">
        <f>_xlfn.CONCAT(Physicochemical_Managed!Y189, Physicochemical_Managed!P189)</f>
        <v>During the burnRS44370</v>
      </c>
      <c r="B206" s="646" t="str">
        <v>During the burnRS44377</v>
      </c>
      <c r="C206" s="647" t="str">
        <f t="shared" si="13"/>
        <v>RS44377</v>
      </c>
    </row>
    <row r="207" spans="1:3" x14ac:dyDescent="0.3">
      <c r="A207" s="645" t="str">
        <f>_xlfn.CONCAT(Physicochemical_Managed!Y190, Physicochemical_Managed!P190)</f>
        <v>During the burnRS44376</v>
      </c>
      <c r="B207" s="646" t="str">
        <v>During the burnRS44384</v>
      </c>
      <c r="C207" s="647" t="str">
        <f t="shared" si="13"/>
        <v>RS44384</v>
      </c>
    </row>
    <row r="208" spans="1:3" x14ac:dyDescent="0.3">
      <c r="A208" s="645" t="str">
        <f>_xlfn.CONCAT(Physicochemical_Managed!Y191, Physicochemical_Managed!P191)</f>
        <v>During the burnRS44377</v>
      </c>
      <c r="B208" s="646" t="str">
        <v>During the burnRS44385</v>
      </c>
      <c r="C208" s="647" t="str">
        <f t="shared" si="13"/>
        <v>RS44385</v>
      </c>
    </row>
    <row r="209" spans="1:3" x14ac:dyDescent="0.3">
      <c r="A209" s="645" t="str">
        <f>_xlfn.CONCAT(Physicochemical_Managed!Y192, Physicochemical_Managed!P192)</f>
        <v>During the burnRS44384</v>
      </c>
      <c r="B209" s="646" t="str">
        <v>During the burnRS44390</v>
      </c>
      <c r="C209" s="647" t="str">
        <f t="shared" si="13"/>
        <v>RS44390</v>
      </c>
    </row>
    <row r="210" spans="1:3" x14ac:dyDescent="0.3">
      <c r="A210" s="645" t="str">
        <f>_xlfn.CONCAT(Physicochemical_Managed!Y193, Physicochemical_Managed!P193)</f>
        <v>During the burnRS44385</v>
      </c>
      <c r="B210" s="646" t="str">
        <v>During the burnRS44391</v>
      </c>
      <c r="C210" s="647" t="str">
        <f t="shared" si="13"/>
        <v>RS44391</v>
      </c>
    </row>
    <row r="211" spans="1:3" x14ac:dyDescent="0.3">
      <c r="A211" s="645" t="str">
        <f>_xlfn.CONCAT(Physicochemical_Managed!Y194, Physicochemical_Managed!P194)</f>
        <v>During the burnRS44390</v>
      </c>
      <c r="B211" s="646" t="str">
        <v>During the burnRS44397</v>
      </c>
      <c r="C211" s="647" t="str">
        <f t="shared" si="13"/>
        <v>RS44397</v>
      </c>
    </row>
    <row r="212" spans="1:3" x14ac:dyDescent="0.3">
      <c r="A212" s="645" t="str">
        <f>_xlfn.CONCAT(Physicochemical_Managed!Y195, Physicochemical_Managed!P195)</f>
        <v>During the burnRS44391</v>
      </c>
      <c r="B212" s="646" t="str">
        <v>During the burnRS44398</v>
      </c>
      <c r="C212" s="647" t="str">
        <f t="shared" si="13"/>
        <v>RS44398</v>
      </c>
    </row>
    <row r="213" spans="1:3" x14ac:dyDescent="0.3">
      <c r="A213" s="645" t="str">
        <f>_xlfn.CONCAT(Physicochemical_Managed!Y196, Physicochemical_Managed!P196)</f>
        <v>During the burnRS44397</v>
      </c>
      <c r="B213" s="646" t="str">
        <v>During the burnRU44362</v>
      </c>
      <c r="C213" s="647" t="str">
        <f t="shared" si="13"/>
        <v>RU44362</v>
      </c>
    </row>
    <row r="214" spans="1:3" x14ac:dyDescent="0.3">
      <c r="A214" s="645" t="str">
        <f>_xlfn.CONCAT(Physicochemical_Managed!Y197, Physicochemical_Managed!P197)</f>
        <v>During the burnRS44398</v>
      </c>
      <c r="B214" s="646" t="str">
        <v>During the burnRU44363</v>
      </c>
      <c r="C214" s="647" t="str">
        <f t="shared" si="13"/>
        <v>RU44363</v>
      </c>
    </row>
    <row r="215" spans="1:3" x14ac:dyDescent="0.3">
      <c r="A215" s="645" t="str">
        <f>_xlfn.CONCAT(Physicochemical_Managed!Y198, Physicochemical_Managed!P198)</f>
        <v>After the burnRS44404</v>
      </c>
      <c r="B215" s="646" t="str">
        <v>During the burnRU44364</v>
      </c>
      <c r="C215" s="647" t="str">
        <f t="shared" si="13"/>
        <v>RU44364</v>
      </c>
    </row>
    <row r="216" spans="1:3" x14ac:dyDescent="0.3">
      <c r="A216" s="645" t="str">
        <f>_xlfn.CONCAT(Physicochemical_Managed!Y199, Physicochemical_Managed!P199)</f>
        <v>After the burnRS44405</v>
      </c>
      <c r="B216" s="646" t="str">
        <v>During the burnRU44369</v>
      </c>
      <c r="C216" s="647" t="str">
        <f t="shared" si="13"/>
        <v>RU44369</v>
      </c>
    </row>
    <row r="217" spans="1:3" x14ac:dyDescent="0.3">
      <c r="A217" s="645" t="str">
        <f>_xlfn.CONCAT(Physicochemical_Managed!Y200, Physicochemical_Managed!P200)</f>
        <v>After the burnRS44411</v>
      </c>
      <c r="B217" s="646" t="str">
        <v>During the burnRU44370</v>
      </c>
      <c r="C217" s="647" t="str">
        <f t="shared" si="13"/>
        <v>RU44370</v>
      </c>
    </row>
    <row r="218" spans="1:3" x14ac:dyDescent="0.3">
      <c r="A218" s="645" t="str">
        <f>_xlfn.CONCAT(Physicochemical_Managed!Y201, Physicochemical_Managed!P201)</f>
        <v>After the burnRS44412</v>
      </c>
      <c r="B218" s="646" t="str">
        <v>During the burnRU44376</v>
      </c>
      <c r="C218" s="647" t="str">
        <f t="shared" si="13"/>
        <v>RU44376</v>
      </c>
    </row>
    <row r="219" spans="1:3" x14ac:dyDescent="0.3">
      <c r="A219" s="645" t="str">
        <f>_xlfn.CONCAT(Physicochemical_Managed!Y202, Physicochemical_Managed!P202)</f>
        <v>After the burnRS44418</v>
      </c>
      <c r="B219" s="646" t="str">
        <v>During the burnRU44377</v>
      </c>
      <c r="C219" s="647" t="str">
        <f t="shared" si="13"/>
        <v>RU44377</v>
      </c>
    </row>
    <row r="220" spans="1:3" x14ac:dyDescent="0.3">
      <c r="A220" s="645" t="str">
        <f>_xlfn.CONCAT(Physicochemical_Managed!Y203, Physicochemical_Managed!P203)</f>
        <v>After the burnRS44419</v>
      </c>
      <c r="B220" s="646" t="str">
        <v>During the burnRU44384</v>
      </c>
      <c r="C220" s="647" t="str">
        <f t="shared" si="13"/>
        <v>RU44384</v>
      </c>
    </row>
    <row r="221" spans="1:3" x14ac:dyDescent="0.3">
      <c r="A221" s="645" t="str">
        <f>_xlfn.CONCAT(Physicochemical_Managed!Y204, Physicochemical_Managed!P204)</f>
        <v>After the burnRS44425</v>
      </c>
      <c r="B221" s="646" t="str">
        <v>During the burnRU44385</v>
      </c>
      <c r="C221" s="647" t="str">
        <f t="shared" si="13"/>
        <v>RU44385</v>
      </c>
    </row>
    <row r="222" spans="1:3" x14ac:dyDescent="0.3">
      <c r="A222" s="645" t="str">
        <f>_xlfn.CONCAT(Physicochemical_Managed!Y205, Physicochemical_Managed!P205)</f>
        <v>After the burnRS44426</v>
      </c>
      <c r="B222" s="646" t="str">
        <v>During the burnRU44390</v>
      </c>
      <c r="C222" s="647" t="str">
        <f t="shared" si="13"/>
        <v>RU44390</v>
      </c>
    </row>
    <row r="223" spans="1:3" x14ac:dyDescent="0.3">
      <c r="A223" s="645" t="str">
        <f>_xlfn.CONCAT(Physicochemical_Managed!Y206, Physicochemical_Managed!P206)</f>
        <v>After the burnRS44432</v>
      </c>
      <c r="B223" s="646" t="str">
        <v>During the burnRU44391</v>
      </c>
      <c r="C223" s="647" t="str">
        <f t="shared" ref="C223:C224" si="14">RIGHT(B223, LEN(B223)-(FIND("burn", B223)+3))</f>
        <v>RU44391</v>
      </c>
    </row>
    <row r="224" spans="1:3" ht="16.350000000000001" thickBot="1" x14ac:dyDescent="0.35">
      <c r="A224" s="648" t="str">
        <f>_xlfn.CONCAT(Physicochemical_Managed!Y207, Physicochemical_Managed!P207)</f>
        <v>After the burnRS44433</v>
      </c>
      <c r="B224" s="649" t="str">
        <v>During the burnRU44397</v>
      </c>
      <c r="C224" s="650" t="str">
        <f t="shared" si="14"/>
        <v>RU44397</v>
      </c>
    </row>
    <row r="225" spans="1:30" ht="16.350000000000001" thickTop="1" x14ac:dyDescent="0.3"/>
    <row r="229" spans="1:30" ht="16.350000000000001" thickBot="1" x14ac:dyDescent="0.35"/>
    <row r="230" spans="1:30" s="725" customFormat="1" ht="16.350000000000001" thickTop="1" x14ac:dyDescent="0.3">
      <c r="A230" s="726" t="s">
        <v>266</v>
      </c>
      <c r="B230" s="727"/>
      <c r="C230" s="728"/>
      <c r="D230" s="732"/>
      <c r="E230" s="733"/>
      <c r="F230" s="746"/>
      <c r="G230" s="795" t="s">
        <v>253</v>
      </c>
      <c r="H230" s="734" t="s">
        <v>254</v>
      </c>
      <c r="I230" s="754" t="s">
        <v>255</v>
      </c>
      <c r="J230" s="757" t="s">
        <v>253</v>
      </c>
      <c r="K230" s="758" t="s">
        <v>254</v>
      </c>
      <c r="L230" s="759" t="s">
        <v>255</v>
      </c>
      <c r="M230" s="743" t="s">
        <v>253</v>
      </c>
      <c r="N230" s="734" t="s">
        <v>254</v>
      </c>
      <c r="O230" s="754" t="s">
        <v>255</v>
      </c>
      <c r="P230" s="757" t="s">
        <v>253</v>
      </c>
      <c r="Q230" s="758" t="s">
        <v>254</v>
      </c>
      <c r="R230" s="759" t="s">
        <v>255</v>
      </c>
      <c r="S230" s="743" t="s">
        <v>253</v>
      </c>
      <c r="T230" s="734" t="s">
        <v>254</v>
      </c>
      <c r="U230" s="754" t="s">
        <v>255</v>
      </c>
      <c r="V230" s="757" t="s">
        <v>253</v>
      </c>
      <c r="W230" s="758" t="s">
        <v>254</v>
      </c>
      <c r="X230" s="759" t="s">
        <v>255</v>
      </c>
      <c r="Y230" s="743" t="s">
        <v>253</v>
      </c>
      <c r="Z230" s="734" t="s">
        <v>254</v>
      </c>
      <c r="AA230" s="754" t="s">
        <v>255</v>
      </c>
      <c r="AB230" s="757" t="s">
        <v>253</v>
      </c>
      <c r="AC230" s="758" t="s">
        <v>254</v>
      </c>
      <c r="AD230" s="766" t="s">
        <v>255</v>
      </c>
    </row>
    <row r="231" spans="1:30" s="190" customFormat="1" ht="36.299999999999997" customHeight="1" thickBot="1" x14ac:dyDescent="0.35">
      <c r="A231" s="729" t="s">
        <v>247</v>
      </c>
      <c r="B231" s="730" t="s">
        <v>248</v>
      </c>
      <c r="C231" s="731" t="s">
        <v>249</v>
      </c>
      <c r="D231" s="751" t="s">
        <v>251</v>
      </c>
      <c r="E231" s="752" t="s">
        <v>250</v>
      </c>
      <c r="F231" s="753" t="s">
        <v>252</v>
      </c>
      <c r="G231" s="796" t="s">
        <v>97</v>
      </c>
      <c r="H231" s="797" t="s">
        <v>97</v>
      </c>
      <c r="I231" s="798" t="s">
        <v>97</v>
      </c>
      <c r="J231" s="799" t="s">
        <v>209</v>
      </c>
      <c r="K231" s="800" t="s">
        <v>209</v>
      </c>
      <c r="L231" s="801" t="s">
        <v>209</v>
      </c>
      <c r="M231" s="802" t="s">
        <v>202</v>
      </c>
      <c r="N231" s="803" t="s">
        <v>202</v>
      </c>
      <c r="O231" s="804" t="s">
        <v>202</v>
      </c>
      <c r="P231" s="799" t="s">
        <v>267</v>
      </c>
      <c r="Q231" s="800" t="s">
        <v>267</v>
      </c>
      <c r="R231" s="801" t="s">
        <v>267</v>
      </c>
      <c r="S231" s="802" t="s">
        <v>204</v>
      </c>
      <c r="T231" s="803" t="s">
        <v>204</v>
      </c>
      <c r="U231" s="804" t="s">
        <v>204</v>
      </c>
      <c r="V231" s="799" t="s">
        <v>268</v>
      </c>
      <c r="W231" s="800" t="s">
        <v>268</v>
      </c>
      <c r="X231" s="801" t="s">
        <v>268</v>
      </c>
      <c r="Y231" s="802" t="s">
        <v>206</v>
      </c>
      <c r="Z231" s="803" t="s">
        <v>206</v>
      </c>
      <c r="AA231" s="804" t="s">
        <v>206</v>
      </c>
      <c r="AB231" s="799" t="s">
        <v>269</v>
      </c>
      <c r="AC231" s="800" t="s">
        <v>269</v>
      </c>
      <c r="AD231" s="805" t="s">
        <v>269</v>
      </c>
    </row>
    <row r="232" spans="1:30" x14ac:dyDescent="0.3">
      <c r="A232" s="543" t="str">
        <f>_xlfn.CONCAT(Physicochemical_Managed!Y2, Physicochemical_Managed!P2)</f>
        <v>Before the burnEP44294</v>
      </c>
      <c r="B232" s="544" t="str" cm="1">
        <f t="array" ref="B232:B437">_xlfn._xlws.SORT(A232:A437, 1, 1)</f>
        <v>After the burnEP44405</v>
      </c>
      <c r="C232" s="545" t="str">
        <f>RIGHT(B232, LEN(B232)-(FIND("burn", B232)+3))</f>
        <v>EP44405</v>
      </c>
      <c r="D232" s="748" t="str">
        <f>C292</f>
        <v>EP44294</v>
      </c>
      <c r="E232" s="749" t="str">
        <f>C370</f>
        <v>EP44363</v>
      </c>
      <c r="F232" s="750" t="str">
        <f>C232</f>
        <v>EP44405</v>
      </c>
      <c r="G232" s="788" cm="1">
        <f t="array" ref="G232:G309">_xlfn._xlws.FILTER(Physicochemical_Managed!$Q$2:$Q$207, COUNTIF(Physicochemical_ANOVA!$D$232:$D$309, Physicochemical_Managed!$P$2:$P$207))</f>
        <v>6.75</v>
      </c>
      <c r="H232" s="789" cm="1">
        <f t="array" ref="H232:H299">_xlfn._xlws.FILTER(Physicochemical_Managed!$Q$2:$Q$207, COUNTIF(Physicochemical_ANOVA!$E$232:$E$299, Physicochemical_Managed!$P$2:$P$207))</f>
        <v>6.79</v>
      </c>
      <c r="I232" s="790" cm="1">
        <f t="array" ref="I232:I291">_xlfn._xlws.FILTER(Physicochemical_Managed!$Q$2:$Q$207, COUNTIF(Physicochemical_ANOVA!$F$232:$F$291, Physicochemical_Managed!$P$2:$P$207))</f>
        <v>6.71</v>
      </c>
      <c r="J232" s="791" cm="1">
        <f t="array" ref="J232:J309">_xlfn._xlws.FILTER(Physicochemical_Managed!$R$2:$R$207, COUNTIF(Physicochemical_ANOVA!$D$232:$D$309, Physicochemical_Managed!$P$2:$P$207))</f>
        <v>23.3</v>
      </c>
      <c r="K232" s="792" cm="1">
        <f t="array" ref="K232:K299">_xlfn._xlws.FILTER(Physicochemical_Managed!$R$2:$R$207, COUNTIF(Physicochemical_ANOVA!$E$232:$E$299, Physicochemical_Managed!$P$2:$P$207))</f>
        <v>33.9</v>
      </c>
      <c r="L232" s="793" cm="1">
        <f t="array" ref="L232:L291">_xlfn._xlws.FILTER(Physicochemical_Managed!$R$2:$R$207, COUNTIF(Physicochemical_ANOVA!$F$232:$F$291, Physicochemical_Managed!$P$2:$P$207))</f>
        <v>31.9</v>
      </c>
      <c r="M232" s="788" cm="1">
        <f t="array" ref="M232:M309">_xlfn._xlws.FILTER(Physicochemical_Managed!$S$2:$S$207, COUNTIF(Physicochemical_ANOVA!$D$232:$D$309, Physicochemical_Managed!$P$2:$P$207))</f>
        <v>7.0000000000000007E-2</v>
      </c>
      <c r="N232" s="789" cm="1">
        <f t="array" ref="N232:N299">_xlfn._xlws.FILTER(Physicochemical_Managed!$S$2:$S$207, COUNTIF(Physicochemical_ANOVA!$E$232:$E$299, Physicochemical_Managed!$P$2:$P$207))</f>
        <v>3.82</v>
      </c>
      <c r="O232" s="790" cm="1">
        <f t="array" ref="O232:O291">_xlfn._xlws.FILTER(Physicochemical_Managed!$S$2:$S$207, COUNTIF(Physicochemical_ANOVA!$F$232:$F$291, Physicochemical_Managed!$P$2:$P$207))</f>
        <v>0.09</v>
      </c>
      <c r="P232" s="791" cm="1">
        <f t="array" ref="P232:P309">_xlfn._xlws.FILTER(Physicochemical_Managed!$T$2:$T$207, COUNTIF(Physicochemical_ANOVA!$D$232:$D$309, Physicochemical_Managed!$P$2:$P$207))</f>
        <v>3.3733333333333335</v>
      </c>
      <c r="Q232" s="792" cm="1">
        <f t="array" ref="Q232:Q299">_xlfn._xlws.FILTER(Physicochemical_Managed!$T$2:$T$207, COUNTIF(Physicochemical_ANOVA!$E$232:$E$299, Physicochemical_Managed!$P$2:$P$207))</f>
        <v>0.01</v>
      </c>
      <c r="R232" s="793" cm="1">
        <f t="array" ref="R232:R291">_xlfn._xlws.FILTER(Physicochemical_Managed!$T$2:$T$207, COUNTIF(Physicochemical_ANOVA!$F$232:$F$291, Physicochemical_Managed!$P$2:$P$207))</f>
        <v>3.49</v>
      </c>
      <c r="S232" s="788" cm="1">
        <f t="array" ref="S232:S309">_xlfn._xlws.FILTER(Physicochemical_Managed!$U$2:$U$207, COUNTIF(Physicochemical_ANOVA!$D$232:$D$309, Physicochemical_Managed!$P$2:$P$207))</f>
        <v>3.6300000000000003</v>
      </c>
      <c r="T232" s="789" cm="1">
        <f t="array" ref="T232:T299">_xlfn._xlws.FILTER(Physicochemical_Managed!$U$2:$U$207, COUNTIF(Physicochemical_ANOVA!$E$232:$E$299, Physicochemical_Managed!$P$2:$P$207))</f>
        <v>3.89</v>
      </c>
      <c r="U232" s="790" cm="1">
        <f t="array" ref="U232:U291">_xlfn._xlws.FILTER(Physicochemical_Managed!$U$2:$U$207, COUNTIF(Physicochemical_ANOVA!$F$232:$F$291, Physicochemical_Managed!$P$2:$P$207))</f>
        <v>4.0599999999999996</v>
      </c>
      <c r="V232" s="791" cm="1">
        <f t="array" ref="V232:V309">_xlfn._xlws.FILTER(Physicochemical_Managed!$V$2:$V$207, COUNTIF(Physicochemical_ANOVA!$D$232:$D$309, Physicochemical_Managed!$P$2:$P$207))</f>
        <v>0.11</v>
      </c>
      <c r="W232" s="792" cm="1">
        <f t="array" ref="W232:W299">_xlfn._xlws.FILTER(Physicochemical_Managed!$V$2:$V$207, COUNTIF(Physicochemical_ANOVA!$E$232:$E$299, Physicochemical_Managed!$P$2:$P$207))</f>
        <v>0.08</v>
      </c>
      <c r="X232" s="793" cm="1">
        <f t="array" ref="X232:X291">_xlfn._xlws.FILTER(Physicochemical_Managed!$V$2:$V$207, COUNTIF(Physicochemical_ANOVA!$F$232:$F$291, Physicochemical_Managed!$P$2:$P$207))</f>
        <v>0.04</v>
      </c>
      <c r="Y232" s="788" cm="1">
        <f t="array" ref="Y232:Y309">_xlfn._xlws.FILTER(Physicochemical_Managed!$W$2:$W$207, COUNTIF(Physicochemical_ANOVA!$D$232:$D$309, Physicochemical_Managed!$P$2:$P$207))</f>
        <v>6.9999999999999993E-3</v>
      </c>
      <c r="Z232" s="789" cm="1">
        <f t="array" ref="Z232:Z299">_xlfn._xlws.FILTER(Physicochemical_Managed!$W$2:$W$207, COUNTIF(Physicochemical_ANOVA!$E$232:$E$299, Physicochemical_Managed!$P$2:$P$207))</f>
        <v>7.0000000000000001E-3</v>
      </c>
      <c r="AA232" s="790" cm="1">
        <f t="array" ref="AA232:AA291">_xlfn._xlws.FILTER(Physicochemical_Managed!$W$2:$W$207, COUNTIF(Physicochemical_ANOVA!$F$232:$F$291, Physicochemical_Managed!$P$2:$P$207))</f>
        <v>7.0000000000000001E-3</v>
      </c>
      <c r="AB232" s="791" cm="1">
        <f t="array" ref="AB232:AB309">_xlfn._xlws.FILTER(Physicochemical_Managed!$X$2:$X$207, COUNTIF(Physicochemical_ANOVA!$D$232:$D$309, Physicochemical_Managed!$P$2:$P$207))</f>
        <v>0.22666666666666666</v>
      </c>
      <c r="AC232" s="792" cm="1">
        <f t="array" ref="AC232:AC299">_xlfn._xlws.FILTER(Physicochemical_Managed!$X$2:$X$207, COUNTIF(Physicochemical_ANOVA!$E$232:$E$299, Physicochemical_Managed!$P$2:$P$207))</f>
        <v>0.28000000000000003</v>
      </c>
      <c r="AD232" s="794" cm="1">
        <f t="array" ref="AD232:AD291">_xlfn._xlws.FILTER(Physicochemical_Managed!$X$2:$X$207, COUNTIF(Physicochemical_ANOVA!$F$232:$F$291, Physicochemical_Managed!$P$2:$P$207))</f>
        <v>0.3</v>
      </c>
    </row>
    <row r="233" spans="1:30" x14ac:dyDescent="0.3">
      <c r="A233" s="540" t="str">
        <f>_xlfn.CONCAT(Physicochemical_Managed!Y3, Physicochemical_Managed!P3)</f>
        <v>Before the burnEP44306</v>
      </c>
      <c r="B233" s="541" t="str">
        <v>After the burnEP44412</v>
      </c>
      <c r="C233" s="542" t="str">
        <f t="shared" ref="C233:C296" si="15">RIGHT(B233, LEN(B233)-(FIND("burn", B233)+3))</f>
        <v>EP44412</v>
      </c>
      <c r="D233" s="735" t="str">
        <f t="shared" ref="D233:D296" si="16">C293</f>
        <v>EP44306</v>
      </c>
      <c r="E233" s="736" t="str">
        <f t="shared" ref="E233:E296" si="17">C371</f>
        <v>EP44370</v>
      </c>
      <c r="F233" s="739" t="str">
        <f t="shared" ref="F233:F291" si="18">C233</f>
        <v>EP44412</v>
      </c>
      <c r="G233" s="744">
        <v>6.85</v>
      </c>
      <c r="H233" s="737">
        <v>6.98</v>
      </c>
      <c r="I233" s="755">
        <v>6.76</v>
      </c>
      <c r="J233" s="760">
        <v>22.3</v>
      </c>
      <c r="K233" s="761">
        <v>28.3</v>
      </c>
      <c r="L233" s="762">
        <v>29.4</v>
      </c>
      <c r="M233" s="744">
        <v>0.05</v>
      </c>
      <c r="N233" s="737">
        <v>4.0599999999999996</v>
      </c>
      <c r="O233" s="755">
        <v>0.15</v>
      </c>
      <c r="P233" s="760">
        <v>3.21</v>
      </c>
      <c r="Q233" s="761">
        <v>0</v>
      </c>
      <c r="R233" s="762">
        <v>3.53</v>
      </c>
      <c r="S233" s="744">
        <v>3.68</v>
      </c>
      <c r="T233" s="737">
        <v>3.83</v>
      </c>
      <c r="U233" s="755">
        <v>3.57</v>
      </c>
      <c r="V233" s="760">
        <v>0.19</v>
      </c>
      <c r="W233" s="761">
        <v>0.03</v>
      </c>
      <c r="X233" s="762">
        <v>0.01</v>
      </c>
      <c r="Y233" s="744">
        <v>0.01</v>
      </c>
      <c r="Z233" s="737">
        <v>8.0000000000000002E-3</v>
      </c>
      <c r="AA233" s="755">
        <v>8.0000000000000002E-3</v>
      </c>
      <c r="AB233" s="760">
        <v>0.15</v>
      </c>
      <c r="AC233" s="761">
        <v>0.27</v>
      </c>
      <c r="AD233" s="767">
        <v>0.32</v>
      </c>
    </row>
    <row r="234" spans="1:30" x14ac:dyDescent="0.3">
      <c r="A234" s="540" t="str">
        <f>_xlfn.CONCAT(Physicochemical_Managed!Y4, Physicochemical_Managed!P4)</f>
        <v>Before the burnEP44313</v>
      </c>
      <c r="B234" s="541" t="str">
        <v>After the burnEP44419</v>
      </c>
      <c r="C234" s="542" t="str">
        <f t="shared" si="15"/>
        <v>EP44419</v>
      </c>
      <c r="D234" s="735" t="str">
        <f t="shared" si="16"/>
        <v>EP44313</v>
      </c>
      <c r="E234" s="736" t="str">
        <f t="shared" si="17"/>
        <v>EP44377</v>
      </c>
      <c r="F234" s="739" t="str">
        <f t="shared" si="18"/>
        <v>EP44419</v>
      </c>
      <c r="G234" s="744">
        <v>6.7</v>
      </c>
      <c r="H234" s="737">
        <v>6.71</v>
      </c>
      <c r="I234" s="755">
        <v>6.67</v>
      </c>
      <c r="J234" s="760">
        <v>24.4</v>
      </c>
      <c r="K234" s="761">
        <v>30.2</v>
      </c>
      <c r="L234" s="762">
        <v>30.2</v>
      </c>
      <c r="M234" s="744">
        <v>0.16</v>
      </c>
      <c r="N234" s="737">
        <v>3.49</v>
      </c>
      <c r="O234" s="755">
        <v>0.14000000000000001</v>
      </c>
      <c r="P234" s="760">
        <v>3.37</v>
      </c>
      <c r="Q234" s="761">
        <v>0.31</v>
      </c>
      <c r="R234" s="762">
        <v>3.26</v>
      </c>
      <c r="S234" s="744">
        <v>3.64</v>
      </c>
      <c r="T234" s="737">
        <v>3.46</v>
      </c>
      <c r="U234" s="755">
        <v>3.89</v>
      </c>
      <c r="V234" s="760">
        <v>7.0000000000000007E-2</v>
      </c>
      <c r="W234" s="761">
        <v>0.26</v>
      </c>
      <c r="X234" s="762">
        <v>0.36</v>
      </c>
      <c r="Y234" s="744">
        <v>6.0000000000000001E-3</v>
      </c>
      <c r="Z234" s="737">
        <v>0</v>
      </c>
      <c r="AA234" s="755">
        <v>8.9999999999999993E-3</v>
      </c>
      <c r="AB234" s="760">
        <v>0.2</v>
      </c>
      <c r="AC234" s="761">
        <v>0.24</v>
      </c>
      <c r="AD234" s="767">
        <v>0.27</v>
      </c>
    </row>
    <row r="235" spans="1:30" x14ac:dyDescent="0.3">
      <c r="A235" s="540" t="str">
        <f>_xlfn.CONCAT(Physicochemical_Managed!Y5, Physicochemical_Managed!P5)</f>
        <v>Before the burnEP44320</v>
      </c>
      <c r="B235" s="541" t="str">
        <v>After the burnEP44426</v>
      </c>
      <c r="C235" s="542" t="str">
        <f t="shared" si="15"/>
        <v>EP44426</v>
      </c>
      <c r="D235" s="735" t="str">
        <f t="shared" si="16"/>
        <v>EP44320</v>
      </c>
      <c r="E235" s="736" t="str">
        <f t="shared" si="17"/>
        <v>EP44385</v>
      </c>
      <c r="F235" s="739" t="str">
        <f t="shared" si="18"/>
        <v>EP44426</v>
      </c>
      <c r="G235" s="744">
        <v>6.7</v>
      </c>
      <c r="H235" s="737">
        <v>6.71</v>
      </c>
      <c r="I235" s="755">
        <v>6.71</v>
      </c>
      <c r="J235" s="760">
        <v>26.9</v>
      </c>
      <c r="K235" s="761">
        <v>31.5</v>
      </c>
      <c r="L235" s="762">
        <v>32.799999999999997</v>
      </c>
      <c r="M235" s="744">
        <v>0.12</v>
      </c>
      <c r="N235" s="737">
        <v>3.67</v>
      </c>
      <c r="O235" s="755">
        <v>0.18</v>
      </c>
      <c r="P235" s="760">
        <v>3.62</v>
      </c>
      <c r="Q235" s="761">
        <v>0</v>
      </c>
      <c r="R235" s="762">
        <v>3.66</v>
      </c>
      <c r="S235" s="744">
        <v>3.86</v>
      </c>
      <c r="T235" s="737">
        <v>3.53</v>
      </c>
      <c r="U235" s="755">
        <v>3.82</v>
      </c>
      <c r="V235" s="760">
        <v>0.09</v>
      </c>
      <c r="W235" s="761">
        <v>0.06</v>
      </c>
      <c r="X235" s="762">
        <v>0.03</v>
      </c>
      <c r="Y235" s="744">
        <v>1.0999999999999999E-2</v>
      </c>
      <c r="Z235" s="737">
        <v>7.0000000000000001E-3</v>
      </c>
      <c r="AA235" s="755">
        <v>8.0000000000000002E-3</v>
      </c>
      <c r="AB235" s="760">
        <v>0.19</v>
      </c>
      <c r="AC235" s="761">
        <v>0.28999999999999998</v>
      </c>
      <c r="AD235" s="767">
        <v>0.28999999999999998</v>
      </c>
    </row>
    <row r="236" spans="1:30" x14ac:dyDescent="0.3">
      <c r="A236" s="540" t="str">
        <f>_xlfn.CONCAT(Physicochemical_Managed!Y6, Physicochemical_Managed!P6)</f>
        <v>Before the burnEP44327</v>
      </c>
      <c r="B236" s="541" t="str">
        <v>After the burnEP44433</v>
      </c>
      <c r="C236" s="542" t="str">
        <f t="shared" si="15"/>
        <v>EP44433</v>
      </c>
      <c r="D236" s="735" t="str">
        <f t="shared" si="16"/>
        <v>EP44327</v>
      </c>
      <c r="E236" s="736" t="str">
        <f t="shared" si="17"/>
        <v>EP44391</v>
      </c>
      <c r="F236" s="739" t="str">
        <f t="shared" si="18"/>
        <v>EP44433</v>
      </c>
      <c r="G236" s="744">
        <v>6.69</v>
      </c>
      <c r="H236" s="737">
        <v>6.11</v>
      </c>
      <c r="I236" s="755">
        <v>6.84</v>
      </c>
      <c r="J236" s="760">
        <v>26.2</v>
      </c>
      <c r="K236" s="761">
        <v>29.2</v>
      </c>
      <c r="L236" s="762">
        <v>33.5</v>
      </c>
      <c r="M236" s="744">
        <v>0.21</v>
      </c>
      <c r="N236" s="737">
        <v>3.82</v>
      </c>
      <c r="O236" s="755">
        <v>0.21</v>
      </c>
      <c r="P236" s="760">
        <v>3.61</v>
      </c>
      <c r="Q236" s="761">
        <v>0.02</v>
      </c>
      <c r="R236" s="762">
        <v>3.94</v>
      </c>
      <c r="S236" s="744">
        <v>3.95</v>
      </c>
      <c r="T236" s="737">
        <v>3.67</v>
      </c>
      <c r="U236" s="755">
        <v>3.94</v>
      </c>
      <c r="V236" s="760">
        <v>0.06</v>
      </c>
      <c r="W236" s="761">
        <v>7.0000000000000007E-2</v>
      </c>
      <c r="X236" s="762">
        <v>0</v>
      </c>
      <c r="Y236" s="744">
        <v>5.0000000000000001E-3</v>
      </c>
      <c r="Z236" s="737">
        <v>7.0000000000000001E-3</v>
      </c>
      <c r="AA236" s="755">
        <v>7.0000000000000001E-3</v>
      </c>
      <c r="AB236" s="760">
        <v>0.21</v>
      </c>
      <c r="AC236" s="761">
        <v>0.23</v>
      </c>
      <c r="AD236" s="767">
        <v>0.28999999999999998</v>
      </c>
    </row>
    <row r="237" spans="1:30" x14ac:dyDescent="0.3">
      <c r="A237" s="540" t="str">
        <f>_xlfn.CONCAT(Physicochemical_Managed!Y7, Physicochemical_Managed!P7)</f>
        <v>Before the burnEP44335</v>
      </c>
      <c r="B237" s="541" t="str">
        <v>After the burnMRT44405</v>
      </c>
      <c r="C237" s="542" t="str">
        <f t="shared" si="15"/>
        <v>MRT44405</v>
      </c>
      <c r="D237" s="735" t="str">
        <f t="shared" si="16"/>
        <v>EP44335</v>
      </c>
      <c r="E237" s="736" t="str">
        <f t="shared" si="17"/>
        <v>EP44398</v>
      </c>
      <c r="F237" s="739" t="str">
        <f t="shared" si="18"/>
        <v>MRT44405</v>
      </c>
      <c r="G237" s="744">
        <v>6.72</v>
      </c>
      <c r="H237" s="737">
        <v>6.77</v>
      </c>
      <c r="I237" s="755">
        <v>6.74</v>
      </c>
      <c r="J237" s="760">
        <v>25.2</v>
      </c>
      <c r="K237" s="761">
        <v>27.4</v>
      </c>
      <c r="L237" s="762">
        <v>29.7</v>
      </c>
      <c r="M237" s="744">
        <v>0.17</v>
      </c>
      <c r="N237" s="737">
        <v>3.92</v>
      </c>
      <c r="O237" s="755">
        <v>0.04</v>
      </c>
      <c r="P237" s="760">
        <v>3.6</v>
      </c>
      <c r="Q237" s="761">
        <v>0.01</v>
      </c>
      <c r="R237" s="762">
        <v>0.02</v>
      </c>
      <c r="S237" s="744">
        <v>3.86</v>
      </c>
      <c r="T237" s="737">
        <v>3.82</v>
      </c>
      <c r="U237" s="755">
        <v>0.04</v>
      </c>
      <c r="V237" s="760">
        <v>0.25</v>
      </c>
      <c r="W237" s="761">
        <v>0.01</v>
      </c>
      <c r="X237" s="762">
        <v>0.02</v>
      </c>
      <c r="Y237" s="744">
        <v>8.0000000000000002E-3</v>
      </c>
      <c r="Z237" s="737">
        <v>6.0000000000000001E-3</v>
      </c>
      <c r="AA237" s="755">
        <v>7.0000000000000001E-3</v>
      </c>
      <c r="AB237" s="760">
        <v>0.24</v>
      </c>
      <c r="AC237" s="761">
        <v>0.19</v>
      </c>
      <c r="AD237" s="767">
        <v>0.48</v>
      </c>
    </row>
    <row r="238" spans="1:30" x14ac:dyDescent="0.3">
      <c r="A238" s="540" t="str">
        <f>_xlfn.CONCAT(Physicochemical_Managed!Y8, Physicochemical_Managed!P8)</f>
        <v>Before the burnEP44342</v>
      </c>
      <c r="B238" s="541" t="str">
        <v>After the burnMRT44419</v>
      </c>
      <c r="C238" s="542" t="str">
        <f t="shared" si="15"/>
        <v>MRT44419</v>
      </c>
      <c r="D238" s="735" t="str">
        <f t="shared" si="16"/>
        <v>EP44342</v>
      </c>
      <c r="E238" s="736" t="str">
        <f t="shared" si="17"/>
        <v>MRT44363</v>
      </c>
      <c r="F238" s="739" t="str">
        <f t="shared" si="18"/>
        <v>MRT44419</v>
      </c>
      <c r="G238" s="744">
        <v>6.66</v>
      </c>
      <c r="H238" s="737">
        <v>6.92</v>
      </c>
      <c r="I238" s="755">
        <v>6.7</v>
      </c>
      <c r="J238" s="760">
        <v>28.1</v>
      </c>
      <c r="K238" s="761">
        <v>27.6</v>
      </c>
      <c r="L238" s="762">
        <v>29.7</v>
      </c>
      <c r="M238" s="744">
        <v>0.08</v>
      </c>
      <c r="N238" s="737">
        <v>3</v>
      </c>
      <c r="O238" s="755">
        <v>0.06</v>
      </c>
      <c r="P238" s="760">
        <v>3.5</v>
      </c>
      <c r="Q238" s="761">
        <v>0</v>
      </c>
      <c r="R238" s="762">
        <v>2.19</v>
      </c>
      <c r="S238" s="744">
        <v>3.83</v>
      </c>
      <c r="T238" s="737">
        <v>2.92</v>
      </c>
      <c r="U238" s="755">
        <v>2.48</v>
      </c>
      <c r="V238" s="760">
        <v>7.0000000000000007E-2</v>
      </c>
      <c r="W238" s="761">
        <v>0</v>
      </c>
      <c r="X238" s="762">
        <v>0.19</v>
      </c>
      <c r="Y238" s="744">
        <v>7.0000000000000001E-3</v>
      </c>
      <c r="Z238" s="737">
        <v>7.0000000000000001E-3</v>
      </c>
      <c r="AA238" s="755">
        <v>7.0000000000000001E-3</v>
      </c>
      <c r="AB238" s="760">
        <v>0.24</v>
      </c>
      <c r="AC238" s="761">
        <v>0.3</v>
      </c>
      <c r="AD238" s="767">
        <v>0.43</v>
      </c>
    </row>
    <row r="239" spans="1:30" x14ac:dyDescent="0.3">
      <c r="A239" s="540" t="str">
        <f>_xlfn.CONCAT(Physicochemical_Managed!Y9, Physicochemical_Managed!P9)</f>
        <v>Before the burnEP44350</v>
      </c>
      <c r="B239" s="541" t="str">
        <v>After the burnMRT44426</v>
      </c>
      <c r="C239" s="542" t="str">
        <f t="shared" si="15"/>
        <v>MRT44426</v>
      </c>
      <c r="D239" s="735" t="str">
        <f t="shared" si="16"/>
        <v>EP44350</v>
      </c>
      <c r="E239" s="736" t="str">
        <f t="shared" si="17"/>
        <v>MRT44370</v>
      </c>
      <c r="F239" s="739" t="str">
        <f t="shared" si="18"/>
        <v>MRT44426</v>
      </c>
      <c r="G239" s="744">
        <v>6.58</v>
      </c>
      <c r="H239" s="737">
        <v>7</v>
      </c>
      <c r="I239" s="755">
        <v>6.68</v>
      </c>
      <c r="J239" s="760">
        <v>29.6</v>
      </c>
      <c r="K239" s="761">
        <v>28.1</v>
      </c>
      <c r="L239" s="762">
        <v>29.7</v>
      </c>
      <c r="M239" s="744">
        <v>0.08</v>
      </c>
      <c r="N239" s="737">
        <v>2.78</v>
      </c>
      <c r="O239" s="755">
        <v>0.1</v>
      </c>
      <c r="P239" s="760">
        <v>3.32</v>
      </c>
      <c r="Q239" s="761">
        <v>0.01</v>
      </c>
      <c r="R239" s="762">
        <v>2.0099999999999998</v>
      </c>
      <c r="S239" s="744">
        <v>3.64</v>
      </c>
      <c r="T239" s="737">
        <v>2.8</v>
      </c>
      <c r="U239" s="755">
        <v>2.35</v>
      </c>
      <c r="V239" s="760">
        <v>0.56000000000000005</v>
      </c>
      <c r="W239" s="761">
        <v>0.25</v>
      </c>
      <c r="X239" s="762">
        <v>0.18</v>
      </c>
      <c r="Y239" s="744">
        <v>8.0000000000000002E-3</v>
      </c>
      <c r="Z239" s="737">
        <v>0.1</v>
      </c>
      <c r="AA239" s="755">
        <v>6.0000000000000001E-3</v>
      </c>
      <c r="AB239" s="760">
        <v>0.28000000000000003</v>
      </c>
      <c r="AC239" s="761">
        <v>0.37</v>
      </c>
      <c r="AD239" s="767">
        <v>0.32</v>
      </c>
    </row>
    <row r="240" spans="1:30" x14ac:dyDescent="0.3">
      <c r="A240" s="540" t="str">
        <f>_xlfn.CONCAT(Physicochemical_Managed!Y10, Physicochemical_Managed!P10)</f>
        <v>Before the burnEP44356</v>
      </c>
      <c r="B240" s="541" t="str">
        <v>After the burnMRT44432</v>
      </c>
      <c r="C240" s="542" t="str">
        <f t="shared" si="15"/>
        <v>MRT44432</v>
      </c>
      <c r="D240" s="735" t="str">
        <f t="shared" si="16"/>
        <v>EP44356</v>
      </c>
      <c r="E240" s="736" t="str">
        <f t="shared" si="17"/>
        <v>MRT44377</v>
      </c>
      <c r="F240" s="739" t="str">
        <f t="shared" si="18"/>
        <v>MRT44432</v>
      </c>
      <c r="G240" s="744">
        <v>6.69</v>
      </c>
      <c r="H240" s="737">
        <v>6.88</v>
      </c>
      <c r="I240" s="755">
        <v>6.78</v>
      </c>
      <c r="J240" s="760">
        <v>28.6</v>
      </c>
      <c r="K240" s="761">
        <v>28.6</v>
      </c>
      <c r="L240" s="762">
        <v>29.9</v>
      </c>
      <c r="M240" s="744">
        <v>0.08</v>
      </c>
      <c r="N240" s="737">
        <v>2.67</v>
      </c>
      <c r="O240" s="755">
        <v>7.0000000000000007E-2</v>
      </c>
      <c r="P240" s="760">
        <v>3.91</v>
      </c>
      <c r="Q240" s="761">
        <v>0.03</v>
      </c>
      <c r="R240" s="762">
        <v>1.96</v>
      </c>
      <c r="S240" s="744">
        <v>4.08</v>
      </c>
      <c r="T240" s="737">
        <v>2.78</v>
      </c>
      <c r="U240" s="755">
        <v>2.36</v>
      </c>
      <c r="V240" s="760">
        <v>0.14000000000000001</v>
      </c>
      <c r="W240" s="761">
        <v>0.03</v>
      </c>
      <c r="X240" s="762">
        <v>0.11</v>
      </c>
      <c r="Y240" s="744">
        <v>8.0000000000000002E-3</v>
      </c>
      <c r="Z240" s="737">
        <v>5.0000000000000001E-3</v>
      </c>
      <c r="AA240" s="755">
        <v>2E-3</v>
      </c>
      <c r="AB240" s="760">
        <v>0.27</v>
      </c>
      <c r="AC240" s="761">
        <v>0.35</v>
      </c>
      <c r="AD240" s="767">
        <v>0.4</v>
      </c>
    </row>
    <row r="241" spans="1:30" x14ac:dyDescent="0.3">
      <c r="A241" s="540" t="str">
        <f>_xlfn.CONCAT(Physicochemical_Managed!Y11, Physicochemical_Managed!P11)</f>
        <v>During the burnEP44363</v>
      </c>
      <c r="B241" s="541" t="str">
        <v>After the burnMRT44433</v>
      </c>
      <c r="C241" s="542" t="str">
        <f t="shared" si="15"/>
        <v>MRT44433</v>
      </c>
      <c r="D241" s="735" t="str">
        <f t="shared" si="16"/>
        <v>MRT44294</v>
      </c>
      <c r="E241" s="736" t="str">
        <f t="shared" si="17"/>
        <v>MRT44385</v>
      </c>
      <c r="F241" s="739" t="str">
        <f t="shared" si="18"/>
        <v>MRT44433</v>
      </c>
      <c r="G241" s="744">
        <v>6.3533333333333326</v>
      </c>
      <c r="H241" s="737">
        <v>6.77</v>
      </c>
      <c r="I241" s="755">
        <v>6.85</v>
      </c>
      <c r="J241" s="760">
        <v>22.033333333333331</v>
      </c>
      <c r="K241" s="761">
        <v>28.6</v>
      </c>
      <c r="L241" s="762">
        <v>29.6</v>
      </c>
      <c r="M241" s="744">
        <v>9.3333333333333324E-2</v>
      </c>
      <c r="N241" s="737">
        <v>2.64</v>
      </c>
      <c r="O241" s="755">
        <v>0.11</v>
      </c>
      <c r="P241" s="760">
        <v>2.2066666666666666</v>
      </c>
      <c r="Q241" s="761">
        <v>0.01</v>
      </c>
      <c r="R241" s="762">
        <v>1.24</v>
      </c>
      <c r="S241" s="744">
        <v>2.7566666666666664</v>
      </c>
      <c r="T241" s="737">
        <v>2.81</v>
      </c>
      <c r="U241" s="755">
        <v>1.21</v>
      </c>
      <c r="V241" s="760">
        <v>0.2233333333333333</v>
      </c>
      <c r="W241" s="761">
        <v>0.03</v>
      </c>
      <c r="X241" s="762">
        <v>0.16</v>
      </c>
      <c r="Y241" s="744">
        <v>5.0000000000000001E-3</v>
      </c>
      <c r="Z241" s="737">
        <v>6.0000000000000001E-3</v>
      </c>
      <c r="AA241" s="755">
        <v>1E-3</v>
      </c>
      <c r="AB241" s="760">
        <v>0.27999999999999997</v>
      </c>
      <c r="AC241" s="761">
        <v>0.42</v>
      </c>
      <c r="AD241" s="767">
        <v>0.42</v>
      </c>
    </row>
    <row r="242" spans="1:30" x14ac:dyDescent="0.3">
      <c r="A242" s="540" t="str">
        <f>_xlfn.CONCAT(Physicochemical_Managed!Y12, Physicochemical_Managed!P12)</f>
        <v>During the burnEP44370</v>
      </c>
      <c r="B242" s="541" t="str">
        <v>After the burnRL44404</v>
      </c>
      <c r="C242" s="542" t="str">
        <f t="shared" si="15"/>
        <v>RL44404</v>
      </c>
      <c r="D242" s="735" t="str">
        <f t="shared" si="16"/>
        <v>MRT44306</v>
      </c>
      <c r="E242" s="736" t="str">
        <f t="shared" si="17"/>
        <v>MRT44391</v>
      </c>
      <c r="F242" s="739" t="str">
        <f t="shared" si="18"/>
        <v>RL44404</v>
      </c>
      <c r="G242" s="744">
        <v>6.24</v>
      </c>
      <c r="H242" s="737">
        <v>6.71</v>
      </c>
      <c r="I242" s="755">
        <v>7</v>
      </c>
      <c r="J242" s="760">
        <v>21.2</v>
      </c>
      <c r="K242" s="761">
        <v>28.6</v>
      </c>
      <c r="L242" s="762">
        <v>28.6</v>
      </c>
      <c r="M242" s="744">
        <v>0.15</v>
      </c>
      <c r="N242" s="737">
        <v>2.78</v>
      </c>
      <c r="O242" s="755">
        <v>0.05</v>
      </c>
      <c r="P242" s="760">
        <v>2.15</v>
      </c>
      <c r="Q242" s="761">
        <v>0.03</v>
      </c>
      <c r="R242" s="762">
        <v>0.84</v>
      </c>
      <c r="S242" s="744">
        <v>2.89</v>
      </c>
      <c r="T242" s="737">
        <v>2.73</v>
      </c>
      <c r="U242" s="755">
        <v>1.02</v>
      </c>
      <c r="V242" s="760">
        <v>0.15</v>
      </c>
      <c r="W242" s="761">
        <v>0.02</v>
      </c>
      <c r="X242" s="762">
        <v>0.16</v>
      </c>
      <c r="Y242" s="744">
        <v>6.0000000000000001E-3</v>
      </c>
      <c r="Z242" s="737">
        <v>6.0000000000000001E-3</v>
      </c>
      <c r="AA242" s="755">
        <v>7.0000000000000001E-3</v>
      </c>
      <c r="AB242" s="760">
        <v>0.28999999999999998</v>
      </c>
      <c r="AC242" s="761">
        <v>0.38</v>
      </c>
      <c r="AD242" s="767">
        <v>0.47</v>
      </c>
    </row>
    <row r="243" spans="1:30" x14ac:dyDescent="0.3">
      <c r="A243" s="540" t="str">
        <f>_xlfn.CONCAT(Physicochemical_Managed!Y13, Physicochemical_Managed!P13)</f>
        <v>During the burnEP44377</v>
      </c>
      <c r="B243" s="541" t="str">
        <v>After the burnRL44405</v>
      </c>
      <c r="C243" s="542" t="str">
        <f t="shared" si="15"/>
        <v>RL44405</v>
      </c>
      <c r="D243" s="735" t="str">
        <f t="shared" si="16"/>
        <v>MRT44313</v>
      </c>
      <c r="E243" s="736" t="str">
        <f t="shared" si="17"/>
        <v>MRT44398</v>
      </c>
      <c r="F243" s="739" t="str">
        <f t="shared" si="18"/>
        <v>RL44405</v>
      </c>
      <c r="G243" s="744">
        <v>6.55</v>
      </c>
      <c r="H243" s="737">
        <v>6.97</v>
      </c>
      <c r="I243" s="755">
        <v>7.07</v>
      </c>
      <c r="J243" s="760">
        <v>23.3</v>
      </c>
      <c r="K243" s="761">
        <v>26.6</v>
      </c>
      <c r="L243" s="762">
        <v>28.2</v>
      </c>
      <c r="M243" s="744">
        <v>0.04</v>
      </c>
      <c r="N243" s="737">
        <v>2.68</v>
      </c>
      <c r="O243" s="755">
        <v>0.1</v>
      </c>
      <c r="P243" s="760">
        <v>2.2000000000000002</v>
      </c>
      <c r="Q243" s="761">
        <v>0</v>
      </c>
      <c r="R243" s="762">
        <v>1.69</v>
      </c>
      <c r="S243" s="744">
        <v>2.61</v>
      </c>
      <c r="T243" s="737">
        <v>2.74</v>
      </c>
      <c r="U243" s="755">
        <v>1.91</v>
      </c>
      <c r="V243" s="760">
        <v>0.34</v>
      </c>
      <c r="W243" s="761">
        <v>0.03</v>
      </c>
      <c r="X243" s="762">
        <v>0.25</v>
      </c>
      <c r="Y243" s="744">
        <v>5.0000000000000001E-3</v>
      </c>
      <c r="Z243" s="737">
        <v>6.0000000000000001E-3</v>
      </c>
      <c r="AA243" s="755">
        <v>5.0000000000000001E-3</v>
      </c>
      <c r="AB243" s="760">
        <v>0.2</v>
      </c>
      <c r="AC243" s="761">
        <v>0.32</v>
      </c>
      <c r="AD243" s="767">
        <v>0.4</v>
      </c>
    </row>
    <row r="244" spans="1:30" x14ac:dyDescent="0.3">
      <c r="A244" s="540" t="str">
        <f>_xlfn.CONCAT(Physicochemical_Managed!Y14, Physicochemical_Managed!P14)</f>
        <v>During the burnEP44385</v>
      </c>
      <c r="B244" s="541" t="str">
        <v>After the burnRL44411</v>
      </c>
      <c r="C244" s="542" t="str">
        <f t="shared" si="15"/>
        <v>RL44411</v>
      </c>
      <c r="D244" s="735" t="str">
        <f t="shared" si="16"/>
        <v>MRT44320</v>
      </c>
      <c r="E244" s="736" t="str">
        <f t="shared" si="17"/>
        <v>RL44362</v>
      </c>
      <c r="F244" s="739" t="str">
        <f t="shared" si="18"/>
        <v>RL44411</v>
      </c>
      <c r="G244" s="744">
        <v>6.43</v>
      </c>
      <c r="H244" s="737">
        <v>6.63</v>
      </c>
      <c r="I244" s="755">
        <v>7.09</v>
      </c>
      <c r="J244" s="760">
        <v>24.6</v>
      </c>
      <c r="K244" s="761">
        <v>27.4</v>
      </c>
      <c r="L244" s="762">
        <v>29.5</v>
      </c>
      <c r="M244" s="744">
        <v>0.08</v>
      </c>
      <c r="N244" s="737">
        <v>2.52</v>
      </c>
      <c r="O244" s="755">
        <v>0.11</v>
      </c>
      <c r="P244" s="760">
        <v>2.0299999999999998</v>
      </c>
      <c r="Q244" s="761">
        <v>0.01</v>
      </c>
      <c r="R244" s="762">
        <v>1.59</v>
      </c>
      <c r="S244" s="744">
        <v>2.25</v>
      </c>
      <c r="T244" s="737">
        <v>2.5499999999999998</v>
      </c>
      <c r="U244" s="755">
        <v>1.82</v>
      </c>
      <c r="V244" s="760">
        <v>0.18</v>
      </c>
      <c r="W244" s="761">
        <v>0.21</v>
      </c>
      <c r="X244" s="762">
        <v>0.18</v>
      </c>
      <c r="Y244" s="744">
        <v>4.0000000000000001E-3</v>
      </c>
      <c r="Z244" s="737">
        <v>7.0000000000000001E-3</v>
      </c>
      <c r="AA244" s="755">
        <v>6.0000000000000001E-3</v>
      </c>
      <c r="AB244" s="760">
        <v>0.28999999999999998</v>
      </c>
      <c r="AC244" s="761">
        <v>0.37</v>
      </c>
      <c r="AD244" s="767">
        <v>0.44</v>
      </c>
    </row>
    <row r="245" spans="1:30" x14ac:dyDescent="0.3">
      <c r="A245" s="540" t="str">
        <f>_xlfn.CONCAT(Physicochemical_Managed!Y15, Physicochemical_Managed!P15)</f>
        <v>During the burnEP44391</v>
      </c>
      <c r="B245" s="541" t="str">
        <v>After the burnRL44412</v>
      </c>
      <c r="C245" s="542" t="str">
        <f t="shared" si="15"/>
        <v>RL44412</v>
      </c>
      <c r="D245" s="735" t="str">
        <f t="shared" si="16"/>
        <v>MRT44327</v>
      </c>
      <c r="E245" s="736" t="str">
        <f t="shared" si="17"/>
        <v>RL44363</v>
      </c>
      <c r="F245" s="739" t="str">
        <f t="shared" si="18"/>
        <v>RL44412</v>
      </c>
      <c r="G245" s="744">
        <v>6.44</v>
      </c>
      <c r="H245" s="737">
        <v>7.09</v>
      </c>
      <c r="I245" s="755">
        <v>6.7</v>
      </c>
      <c r="J245" s="760">
        <v>25.1</v>
      </c>
      <c r="K245" s="761">
        <v>27.2</v>
      </c>
      <c r="L245" s="762">
        <v>28.6</v>
      </c>
      <c r="M245" s="744">
        <v>0.18</v>
      </c>
      <c r="N245" s="737">
        <v>2.35</v>
      </c>
      <c r="O245" s="755">
        <v>0.09</v>
      </c>
      <c r="P245" s="760">
        <v>2.04</v>
      </c>
      <c r="Q245" s="761">
        <v>0</v>
      </c>
      <c r="R245" s="762">
        <v>1.61</v>
      </c>
      <c r="S245" s="744">
        <v>2.34</v>
      </c>
      <c r="T245" s="737">
        <v>2.56</v>
      </c>
      <c r="U245" s="755">
        <v>1.8</v>
      </c>
      <c r="V245" s="760">
        <v>0.13</v>
      </c>
      <c r="W245" s="761">
        <v>0.03</v>
      </c>
      <c r="X245" s="762">
        <v>0.18</v>
      </c>
      <c r="Y245" s="744">
        <v>6.0000000000000001E-3</v>
      </c>
      <c r="Z245" s="737">
        <v>7.0000000000000001E-3</v>
      </c>
      <c r="AA245" s="755">
        <v>5.0000000000000001E-3</v>
      </c>
      <c r="AB245" s="760">
        <v>0.28000000000000003</v>
      </c>
      <c r="AC245" s="761">
        <v>0.41</v>
      </c>
      <c r="AD245" s="767">
        <v>0.38</v>
      </c>
    </row>
    <row r="246" spans="1:30" x14ac:dyDescent="0.3">
      <c r="A246" s="540" t="str">
        <f>_xlfn.CONCAT(Physicochemical_Managed!Y16, Physicochemical_Managed!P16)</f>
        <v>During the burnEP44398</v>
      </c>
      <c r="B246" s="541" t="str">
        <v>After the burnRL44418</v>
      </c>
      <c r="C246" s="542" t="str">
        <f t="shared" si="15"/>
        <v>RL44418</v>
      </c>
      <c r="D246" s="735" t="str">
        <f t="shared" si="16"/>
        <v>MRT44335</v>
      </c>
      <c r="E246" s="736" t="str">
        <f t="shared" si="17"/>
        <v>RL44369</v>
      </c>
      <c r="F246" s="739" t="str">
        <f t="shared" si="18"/>
        <v>RL44418</v>
      </c>
      <c r="G246" s="744">
        <v>6.62</v>
      </c>
      <c r="H246" s="737">
        <v>6.67</v>
      </c>
      <c r="I246" s="755">
        <v>6.7</v>
      </c>
      <c r="J246" s="760">
        <v>24.4</v>
      </c>
      <c r="K246" s="761">
        <v>27.6</v>
      </c>
      <c r="L246" s="762">
        <v>30.4</v>
      </c>
      <c r="M246" s="744">
        <v>0.17</v>
      </c>
      <c r="N246" s="737">
        <v>2.52</v>
      </c>
      <c r="O246" s="755">
        <v>0.08</v>
      </c>
      <c r="P246" s="760">
        <v>1.99</v>
      </c>
      <c r="Q246" s="761">
        <v>0.02</v>
      </c>
      <c r="R246" s="762">
        <v>1.21</v>
      </c>
      <c r="S246" s="744">
        <v>2.25</v>
      </c>
      <c r="T246" s="737">
        <v>2.73</v>
      </c>
      <c r="U246" s="755">
        <v>1.19</v>
      </c>
      <c r="V246" s="760">
        <v>0.2</v>
      </c>
      <c r="W246" s="761">
        <v>0.22</v>
      </c>
      <c r="X246" s="762">
        <v>0.21</v>
      </c>
      <c r="Y246" s="744">
        <v>5.0000000000000001E-3</v>
      </c>
      <c r="Z246" s="737">
        <v>6.0000000000000001E-3</v>
      </c>
      <c r="AA246" s="755">
        <v>7.0000000000000001E-3</v>
      </c>
      <c r="AB246" s="760">
        <v>0.26</v>
      </c>
      <c r="AC246" s="761">
        <v>0.38</v>
      </c>
      <c r="AD246" s="767">
        <v>0.38</v>
      </c>
    </row>
    <row r="247" spans="1:30" x14ac:dyDescent="0.3">
      <c r="A247" s="540" t="str">
        <f>_xlfn.CONCAT(Physicochemical_Managed!Y17, Physicochemical_Managed!P17)</f>
        <v>After the burnEP44405</v>
      </c>
      <c r="B247" s="541" t="str">
        <v>After the burnRL44419</v>
      </c>
      <c r="C247" s="542" t="str">
        <f t="shared" si="15"/>
        <v>RL44419</v>
      </c>
      <c r="D247" s="735" t="str">
        <f t="shared" si="16"/>
        <v>MRT44342</v>
      </c>
      <c r="E247" s="736" t="str">
        <f t="shared" si="17"/>
        <v>RL44370</v>
      </c>
      <c r="F247" s="739" t="str">
        <f t="shared" si="18"/>
        <v>RL44419</v>
      </c>
      <c r="G247" s="744">
        <v>6.56</v>
      </c>
      <c r="H247" s="737">
        <v>6.57</v>
      </c>
      <c r="I247" s="755">
        <v>6.71</v>
      </c>
      <c r="J247" s="760">
        <v>25.8</v>
      </c>
      <c r="K247" s="761">
        <v>27.7</v>
      </c>
      <c r="L247" s="762">
        <v>28.8</v>
      </c>
      <c r="M247" s="744">
        <v>0.11</v>
      </c>
      <c r="N247" s="737">
        <v>2.39</v>
      </c>
      <c r="O247" s="755">
        <v>1.86</v>
      </c>
      <c r="P247" s="760">
        <v>2.2799999999999998</v>
      </c>
      <c r="Q247" s="761">
        <v>0</v>
      </c>
      <c r="R247" s="762">
        <v>0</v>
      </c>
      <c r="S247" s="744">
        <v>2.72</v>
      </c>
      <c r="T247" s="737">
        <v>2.4300000000000002</v>
      </c>
      <c r="U247" s="755">
        <v>1.54</v>
      </c>
      <c r="V247" s="760">
        <v>0.27</v>
      </c>
      <c r="W247" s="761">
        <v>0.03</v>
      </c>
      <c r="X247" s="762">
        <v>0.03</v>
      </c>
      <c r="Y247" s="744">
        <v>5.0000000000000001E-3</v>
      </c>
      <c r="Z247" s="737">
        <v>5.0000000000000001E-3</v>
      </c>
      <c r="AA247" s="755">
        <v>7.0000000000000001E-3</v>
      </c>
      <c r="AB247" s="760">
        <v>0.34</v>
      </c>
      <c r="AC247" s="761">
        <v>0.4</v>
      </c>
      <c r="AD247" s="767">
        <v>0.65</v>
      </c>
    </row>
    <row r="248" spans="1:30" x14ac:dyDescent="0.3">
      <c r="A248" s="540" t="str">
        <f>_xlfn.CONCAT(Physicochemical_Managed!Y18, Physicochemical_Managed!P18)</f>
        <v>After the burnEP44412</v>
      </c>
      <c r="B248" s="541" t="str">
        <v>After the burnRL44425</v>
      </c>
      <c r="C248" s="542" t="str">
        <f t="shared" si="15"/>
        <v>RL44425</v>
      </c>
      <c r="D248" s="735" t="str">
        <f t="shared" si="16"/>
        <v>MRT44356</v>
      </c>
      <c r="E248" s="736" t="str">
        <f t="shared" si="17"/>
        <v>RL44384</v>
      </c>
      <c r="F248" s="739" t="str">
        <f t="shared" si="18"/>
        <v>RL44425</v>
      </c>
      <c r="G248" s="744">
        <v>6.87</v>
      </c>
      <c r="H248" s="737">
        <v>6.53</v>
      </c>
      <c r="I248" s="755">
        <v>6.73</v>
      </c>
      <c r="J248" s="760">
        <v>26.4</v>
      </c>
      <c r="K248" s="761">
        <v>27.1</v>
      </c>
      <c r="L248" s="762">
        <v>28.4</v>
      </c>
      <c r="M248" s="744">
        <v>0.11</v>
      </c>
      <c r="N248" s="737">
        <v>7.0000000000000007E-2</v>
      </c>
      <c r="O248" s="755">
        <v>0.06</v>
      </c>
      <c r="P248" s="760">
        <v>2.2799999999999998</v>
      </c>
      <c r="Q248" s="761">
        <v>0.71</v>
      </c>
      <c r="R248" s="762">
        <v>0.7</v>
      </c>
      <c r="S248" s="744">
        <v>2.42</v>
      </c>
      <c r="T248" s="737">
        <v>1.03</v>
      </c>
      <c r="U248" s="755">
        <v>0.82</v>
      </c>
      <c r="V248" s="760">
        <v>0.25</v>
      </c>
      <c r="W248" s="761">
        <v>0.33</v>
      </c>
      <c r="X248" s="762">
        <v>0.17</v>
      </c>
      <c r="Y248" s="744">
        <v>7.0000000000000001E-3</v>
      </c>
      <c r="Z248" s="737">
        <v>5.0999999999999997E-2</v>
      </c>
      <c r="AA248" s="755">
        <v>8.0000000000000002E-3</v>
      </c>
      <c r="AB248" s="760">
        <v>0.35</v>
      </c>
      <c r="AC248" s="761">
        <v>0.56000000000000005</v>
      </c>
      <c r="AD248" s="767">
        <v>0.69</v>
      </c>
    </row>
    <row r="249" spans="1:30" x14ac:dyDescent="0.3">
      <c r="A249" s="540" t="str">
        <f>_xlfn.CONCAT(Physicochemical_Managed!Y19, Physicochemical_Managed!P19)</f>
        <v>After the burnEP44419</v>
      </c>
      <c r="B249" s="541" t="str">
        <v>After the burnRL44426</v>
      </c>
      <c r="C249" s="542" t="str">
        <f t="shared" si="15"/>
        <v>RL44426</v>
      </c>
      <c r="D249" s="735" t="str">
        <f t="shared" si="16"/>
        <v>RL44293</v>
      </c>
      <c r="E249" s="736" t="str">
        <f t="shared" si="17"/>
        <v>RL44385</v>
      </c>
      <c r="F249" s="739" t="str">
        <f t="shared" si="18"/>
        <v>RL44426</v>
      </c>
      <c r="G249" s="744">
        <v>6.43</v>
      </c>
      <c r="H249" s="737">
        <v>6.97</v>
      </c>
      <c r="I249" s="755">
        <v>6.8</v>
      </c>
      <c r="J249" s="760">
        <v>21.533333333333331</v>
      </c>
      <c r="K249" s="761">
        <v>26.5</v>
      </c>
      <c r="L249" s="762">
        <v>27.5</v>
      </c>
      <c r="M249" s="744">
        <v>1.0133333333333334</v>
      </c>
      <c r="N249" s="737">
        <v>2.73</v>
      </c>
      <c r="O249" s="755">
        <v>0.1</v>
      </c>
      <c r="P249" s="760">
        <v>1.9000000000000001</v>
      </c>
      <c r="Q249" s="761">
        <v>0.01</v>
      </c>
      <c r="R249" s="762">
        <v>0.84</v>
      </c>
      <c r="S249" s="744">
        <v>1.7599999999999998</v>
      </c>
      <c r="T249" s="737">
        <v>2.65</v>
      </c>
      <c r="U249" s="755">
        <v>0.98</v>
      </c>
      <c r="V249" s="760">
        <v>0.29666666666666669</v>
      </c>
      <c r="W249" s="761">
        <v>0.19</v>
      </c>
      <c r="X249" s="762">
        <v>0.19</v>
      </c>
      <c r="Y249" s="744">
        <v>5.3333333333333332E-3</v>
      </c>
      <c r="Z249" s="737">
        <v>8.0000000000000002E-3</v>
      </c>
      <c r="AA249" s="755">
        <v>7.0000000000000001E-3</v>
      </c>
      <c r="AB249" s="760">
        <v>0.33</v>
      </c>
      <c r="AC249" s="761">
        <v>0.53</v>
      </c>
      <c r="AD249" s="767">
        <v>0.7</v>
      </c>
    </row>
    <row r="250" spans="1:30" x14ac:dyDescent="0.3">
      <c r="A250" s="540" t="str">
        <f>_xlfn.CONCAT(Physicochemical_Managed!Y20, Physicochemical_Managed!P20)</f>
        <v>After the burnEP44426</v>
      </c>
      <c r="B250" s="541" t="str">
        <v>After the burnRL44432</v>
      </c>
      <c r="C250" s="542" t="str">
        <f t="shared" si="15"/>
        <v>RL44432</v>
      </c>
      <c r="D250" s="735" t="str">
        <f t="shared" si="16"/>
        <v>RL44306</v>
      </c>
      <c r="E250" s="736" t="str">
        <f t="shared" si="17"/>
        <v>RL44390</v>
      </c>
      <c r="F250" s="739" t="str">
        <f t="shared" si="18"/>
        <v>RL44432</v>
      </c>
      <c r="G250" s="744">
        <v>6.66</v>
      </c>
      <c r="H250" s="737">
        <v>6.86</v>
      </c>
      <c r="I250" s="755">
        <v>6.75</v>
      </c>
      <c r="J250" s="760">
        <v>20.6</v>
      </c>
      <c r="K250" s="761">
        <v>25.9</v>
      </c>
      <c r="L250" s="762">
        <v>28.1</v>
      </c>
      <c r="M250" s="744">
        <v>2.77</v>
      </c>
      <c r="N250" s="737">
        <v>2.2200000000000002</v>
      </c>
      <c r="O250" s="755">
        <v>0.04</v>
      </c>
      <c r="P250" s="760">
        <v>1.83</v>
      </c>
      <c r="Q250" s="761">
        <v>0.01</v>
      </c>
      <c r="R250" s="762">
        <v>0.66</v>
      </c>
      <c r="S250" s="744">
        <v>0.13</v>
      </c>
      <c r="T250" s="737">
        <v>2.3199999999999998</v>
      </c>
      <c r="U250" s="755">
        <v>0.77</v>
      </c>
      <c r="V250" s="760">
        <v>0.24</v>
      </c>
      <c r="W250" s="761">
        <v>0.1</v>
      </c>
      <c r="X250" s="762">
        <v>0.24</v>
      </c>
      <c r="Y250" s="744">
        <v>5.0000000000000001E-3</v>
      </c>
      <c r="Z250" s="737">
        <v>1.2E-2</v>
      </c>
      <c r="AA250" s="755">
        <v>7.0000000000000001E-3</v>
      </c>
      <c r="AB250" s="760">
        <v>0.33</v>
      </c>
      <c r="AC250" s="761">
        <v>0.67</v>
      </c>
      <c r="AD250" s="767">
        <v>0.69</v>
      </c>
    </row>
    <row r="251" spans="1:30" x14ac:dyDescent="0.3">
      <c r="A251" s="540" t="str">
        <f>_xlfn.CONCAT(Physicochemical_Managed!Y21, Physicochemical_Managed!P21)</f>
        <v>After the burnEP44433</v>
      </c>
      <c r="B251" s="541" t="str">
        <v>After the burnRL44433</v>
      </c>
      <c r="C251" s="542" t="str">
        <f t="shared" si="15"/>
        <v>RL44433</v>
      </c>
      <c r="D251" s="735" t="str">
        <f t="shared" si="16"/>
        <v>RL44313</v>
      </c>
      <c r="E251" s="736" t="str">
        <f t="shared" si="17"/>
        <v>RL44391</v>
      </c>
      <c r="F251" s="739" t="str">
        <f t="shared" si="18"/>
        <v>RL44433</v>
      </c>
      <c r="G251" s="744">
        <v>6.31</v>
      </c>
      <c r="H251" s="737">
        <v>6.41</v>
      </c>
      <c r="I251" s="755">
        <v>6.73</v>
      </c>
      <c r="J251" s="760">
        <v>22</v>
      </c>
      <c r="K251" s="761">
        <v>26.9</v>
      </c>
      <c r="L251" s="762">
        <v>28.6</v>
      </c>
      <c r="M251" s="744">
        <v>0.21</v>
      </c>
      <c r="N251" s="737">
        <v>1.77</v>
      </c>
      <c r="O251" s="755">
        <v>0.08</v>
      </c>
      <c r="P251" s="760">
        <v>1.88</v>
      </c>
      <c r="Q251" s="761">
        <v>0.01</v>
      </c>
      <c r="R251" s="762">
        <v>0.7</v>
      </c>
      <c r="S251" s="744">
        <v>2.52</v>
      </c>
      <c r="T251" s="737">
        <v>0.84</v>
      </c>
      <c r="U251" s="755">
        <v>0.64</v>
      </c>
      <c r="V251" s="760">
        <v>0.34</v>
      </c>
      <c r="W251" s="761">
        <v>0.05</v>
      </c>
      <c r="X251" s="762">
        <v>0.7</v>
      </c>
      <c r="Y251" s="744">
        <v>6.0000000000000001E-3</v>
      </c>
      <c r="Z251" s="737">
        <v>6.0000000000000001E-3</v>
      </c>
      <c r="AA251" s="755">
        <v>8.0000000000000002E-3</v>
      </c>
      <c r="AB251" s="760">
        <v>0.32</v>
      </c>
      <c r="AC251" s="761">
        <v>0.65</v>
      </c>
      <c r="AD251" s="767">
        <v>0.66</v>
      </c>
    </row>
    <row r="252" spans="1:30" x14ac:dyDescent="0.3">
      <c r="A252" s="540" t="str">
        <f>_xlfn.CONCAT(Physicochemical_Managed!Y22, Physicochemical_Managed!P22)</f>
        <v>Before the burnSPI44294</v>
      </c>
      <c r="B252" s="541" t="str">
        <v>After the burnRN44404</v>
      </c>
      <c r="C252" s="542" t="str">
        <f t="shared" si="15"/>
        <v>RN44404</v>
      </c>
      <c r="D252" s="735" t="str">
        <f t="shared" si="16"/>
        <v>RL44327</v>
      </c>
      <c r="E252" s="736" t="str">
        <f t="shared" si="17"/>
        <v>RL44397</v>
      </c>
      <c r="F252" s="739" t="str">
        <f t="shared" si="18"/>
        <v>RN44404</v>
      </c>
      <c r="G252" s="744">
        <v>6.43</v>
      </c>
      <c r="H252" s="737">
        <v>6.42</v>
      </c>
      <c r="I252" s="755">
        <v>6.74</v>
      </c>
      <c r="J252" s="760">
        <v>24.3</v>
      </c>
      <c r="K252" s="761">
        <v>27.1</v>
      </c>
      <c r="L252" s="762">
        <v>24</v>
      </c>
      <c r="M252" s="744">
        <v>0.08</v>
      </c>
      <c r="N252" s="737">
        <v>1.35</v>
      </c>
      <c r="O252" s="755">
        <v>1.33</v>
      </c>
      <c r="P252" s="760">
        <v>1.87</v>
      </c>
      <c r="Q252" s="761">
        <v>0.01</v>
      </c>
      <c r="R252" s="762">
        <v>0</v>
      </c>
      <c r="S252" s="744">
        <v>2.2200000000000002</v>
      </c>
      <c r="T252" s="737">
        <v>1.36</v>
      </c>
      <c r="U252" s="755">
        <v>1.35</v>
      </c>
      <c r="V252" s="760">
        <v>0.22</v>
      </c>
      <c r="W252" s="761">
        <v>0.01</v>
      </c>
      <c r="X252" s="762">
        <v>0.06</v>
      </c>
      <c r="Y252" s="744">
        <v>6.0000000000000001E-3</v>
      </c>
      <c r="Z252" s="737">
        <v>8.9999999999999993E-3</v>
      </c>
      <c r="AA252" s="755">
        <v>6.0000000000000001E-3</v>
      </c>
      <c r="AB252" s="760">
        <v>0.32</v>
      </c>
      <c r="AC252" s="761">
        <v>0.54</v>
      </c>
      <c r="AD252" s="767">
        <v>0.68</v>
      </c>
    </row>
    <row r="253" spans="1:30" x14ac:dyDescent="0.3">
      <c r="A253" s="540" t="str">
        <f>_xlfn.CONCAT(Physicochemical_Managed!Y23, Physicochemical_Managed!P23)</f>
        <v>Before the burnSPI44306</v>
      </c>
      <c r="B253" s="541" t="str">
        <v>After the burnRN44405</v>
      </c>
      <c r="C253" s="542" t="str">
        <f t="shared" si="15"/>
        <v>RN44405</v>
      </c>
      <c r="D253" s="735" t="str">
        <f t="shared" si="16"/>
        <v>RL44334</v>
      </c>
      <c r="E253" s="736" t="str">
        <f t="shared" si="17"/>
        <v>RL44398</v>
      </c>
      <c r="F253" s="739" t="str">
        <f t="shared" si="18"/>
        <v>RN44405</v>
      </c>
      <c r="G253" s="744">
        <v>6.65</v>
      </c>
      <c r="H253" s="737">
        <v>6.83</v>
      </c>
      <c r="I253" s="755">
        <v>6.75</v>
      </c>
      <c r="J253" s="760">
        <v>24.4</v>
      </c>
      <c r="K253" s="761">
        <v>26.6</v>
      </c>
      <c r="L253" s="762">
        <v>24.200000000000003</v>
      </c>
      <c r="M253" s="744">
        <v>0.09</v>
      </c>
      <c r="N253" s="737">
        <v>1.89</v>
      </c>
      <c r="O253" s="755">
        <v>0.105</v>
      </c>
      <c r="P253" s="760">
        <v>1.78</v>
      </c>
      <c r="Q253" s="761">
        <v>0</v>
      </c>
      <c r="R253" s="762">
        <v>1.32</v>
      </c>
      <c r="S253" s="744">
        <v>2.13</v>
      </c>
      <c r="T253" s="737">
        <v>1.89</v>
      </c>
      <c r="U253" s="755">
        <v>1.335</v>
      </c>
      <c r="V253" s="760">
        <v>0.21</v>
      </c>
      <c r="W253" s="761">
        <v>0.24</v>
      </c>
      <c r="X253" s="762">
        <v>0.18</v>
      </c>
      <c r="Y253" s="744">
        <v>7.0000000000000001E-3</v>
      </c>
      <c r="Z253" s="737">
        <v>0.01</v>
      </c>
      <c r="AA253" s="755">
        <v>6.5000000000000006E-3</v>
      </c>
      <c r="AB253" s="760">
        <v>0.3</v>
      </c>
      <c r="AC253" s="761">
        <v>0.69</v>
      </c>
      <c r="AD253" s="767">
        <v>0.56499999999999995</v>
      </c>
    </row>
    <row r="254" spans="1:30" x14ac:dyDescent="0.3">
      <c r="A254" s="540" t="str">
        <f>_xlfn.CONCAT(Physicochemical_Managed!Y24, Physicochemical_Managed!P24)</f>
        <v>Before the burnSPI44313</v>
      </c>
      <c r="B254" s="541" t="str">
        <v>After the burnRN44411</v>
      </c>
      <c r="C254" s="542" t="str">
        <f t="shared" si="15"/>
        <v>RN44411</v>
      </c>
      <c r="D254" s="735" t="str">
        <f t="shared" si="16"/>
        <v>RL44335</v>
      </c>
      <c r="E254" s="736" t="str">
        <f t="shared" si="17"/>
        <v>RN44362</v>
      </c>
      <c r="F254" s="739" t="str">
        <f t="shared" si="18"/>
        <v>RN44411</v>
      </c>
      <c r="G254" s="744">
        <v>6.53</v>
      </c>
      <c r="H254" s="737">
        <v>6.76</v>
      </c>
      <c r="I254" s="755">
        <v>6.81</v>
      </c>
      <c r="J254" s="760">
        <v>24.8</v>
      </c>
      <c r="K254" s="761">
        <v>28.7</v>
      </c>
      <c r="L254" s="762">
        <v>24.1</v>
      </c>
      <c r="M254" s="744">
        <v>0.11</v>
      </c>
      <c r="N254" s="737">
        <v>0.09</v>
      </c>
      <c r="O254" s="755">
        <v>0.11</v>
      </c>
      <c r="P254" s="760">
        <v>1.77</v>
      </c>
      <c r="Q254" s="761">
        <v>1.27</v>
      </c>
      <c r="R254" s="762">
        <v>1.04</v>
      </c>
      <c r="S254" s="744">
        <v>2.23</v>
      </c>
      <c r="T254" s="737">
        <v>1.1100000000000001</v>
      </c>
      <c r="U254" s="755">
        <v>0.84</v>
      </c>
      <c r="V254" s="760">
        <v>0.33</v>
      </c>
      <c r="W254" s="761">
        <v>0.49</v>
      </c>
      <c r="X254" s="762">
        <v>0.21</v>
      </c>
      <c r="Y254" s="744">
        <v>5.0000000000000001E-3</v>
      </c>
      <c r="Z254" s="737">
        <v>6.0000000000000001E-3</v>
      </c>
      <c r="AA254" s="755">
        <v>7.0000000000000001E-3</v>
      </c>
      <c r="AB254" s="760">
        <v>0.26</v>
      </c>
      <c r="AC254" s="761">
        <v>0.7</v>
      </c>
      <c r="AD254" s="767">
        <v>0.67</v>
      </c>
    </row>
    <row r="255" spans="1:30" x14ac:dyDescent="0.3">
      <c r="A255" s="540" t="str">
        <f>_xlfn.CONCAT(Physicochemical_Managed!Y25, Physicochemical_Managed!P25)</f>
        <v>Before the burnSPI44320</v>
      </c>
      <c r="B255" s="541" t="str">
        <v>After the burnRN44412</v>
      </c>
      <c r="C255" s="542" t="str">
        <f t="shared" si="15"/>
        <v>RN44412</v>
      </c>
      <c r="D255" s="735" t="str">
        <f t="shared" si="16"/>
        <v>RL44341</v>
      </c>
      <c r="E255" s="736" t="str">
        <f t="shared" si="17"/>
        <v>RN44363</v>
      </c>
      <c r="F255" s="739" t="str">
        <f t="shared" si="18"/>
        <v>RN44412</v>
      </c>
      <c r="G255" s="744">
        <v>6.62</v>
      </c>
      <c r="H255" s="737">
        <v>6.74</v>
      </c>
      <c r="I255" s="755">
        <v>6.74</v>
      </c>
      <c r="J255" s="760">
        <v>25.3</v>
      </c>
      <c r="K255" s="761">
        <v>28</v>
      </c>
      <c r="L255" s="762">
        <v>23.6</v>
      </c>
      <c r="M255" s="744">
        <v>0.09</v>
      </c>
      <c r="N255" s="737">
        <v>0.70500000000000007</v>
      </c>
      <c r="O255" s="755">
        <v>9.5000000000000001E-2</v>
      </c>
      <c r="P255" s="760">
        <v>1.72</v>
      </c>
      <c r="Q255" s="761">
        <v>6.0000000000000005E-2</v>
      </c>
      <c r="R255" s="762">
        <v>0.89000000000000012</v>
      </c>
      <c r="S255" s="744">
        <v>2.34</v>
      </c>
      <c r="T255" s="737">
        <v>0.85499999999999998</v>
      </c>
      <c r="U255" s="755">
        <v>0.8</v>
      </c>
      <c r="V255" s="760">
        <v>0.25</v>
      </c>
      <c r="W255" s="761">
        <v>0.13500000000000001</v>
      </c>
      <c r="X255" s="762">
        <v>0.27</v>
      </c>
      <c r="Y255" s="744">
        <v>5.0000000000000001E-3</v>
      </c>
      <c r="Z255" s="737">
        <v>6.0000000000000001E-3</v>
      </c>
      <c r="AA255" s="755">
        <v>6.5000000000000006E-3</v>
      </c>
      <c r="AB255" s="760">
        <v>0.35</v>
      </c>
      <c r="AC255" s="761">
        <v>0.57000000000000006</v>
      </c>
      <c r="AD255" s="767">
        <v>0.6100000000000001</v>
      </c>
    </row>
    <row r="256" spans="1:30" x14ac:dyDescent="0.3">
      <c r="A256" s="540" t="str">
        <f>_xlfn.CONCAT(Physicochemical_Managed!Y26, Physicochemical_Managed!P26)</f>
        <v>Before the burnSPI44327</v>
      </c>
      <c r="B256" s="541" t="str">
        <v>After the burnRN44418</v>
      </c>
      <c r="C256" s="542" t="str">
        <f t="shared" si="15"/>
        <v>RN44418</v>
      </c>
      <c r="D256" s="735" t="str">
        <f t="shared" si="16"/>
        <v>RL44342</v>
      </c>
      <c r="E256" s="736" t="str">
        <f t="shared" si="17"/>
        <v>RN44369</v>
      </c>
      <c r="F256" s="739" t="str">
        <f t="shared" si="18"/>
        <v>RN44418</v>
      </c>
      <c r="G256" s="744">
        <v>7.2</v>
      </c>
      <c r="H256" s="737">
        <v>6.72</v>
      </c>
      <c r="I256" s="755">
        <v>6.82</v>
      </c>
      <c r="J256" s="760">
        <v>25.2</v>
      </c>
      <c r="K256" s="761">
        <v>27.3</v>
      </c>
      <c r="L256" s="762">
        <v>24</v>
      </c>
      <c r="M256" s="744">
        <v>0.09</v>
      </c>
      <c r="N256" s="737">
        <v>0.99</v>
      </c>
      <c r="O256" s="755">
        <v>0.15</v>
      </c>
      <c r="P256" s="760">
        <v>1.82</v>
      </c>
      <c r="Q256" s="761">
        <v>0.04</v>
      </c>
      <c r="R256" s="762">
        <v>1.35</v>
      </c>
      <c r="S256" s="744">
        <v>2.2599999999999998</v>
      </c>
      <c r="T256" s="737">
        <v>0.99</v>
      </c>
      <c r="U256" s="755">
        <v>1.26</v>
      </c>
      <c r="V256" s="760">
        <v>0.14000000000000001</v>
      </c>
      <c r="W256" s="761">
        <v>0.23</v>
      </c>
      <c r="X256" s="762">
        <v>0.23</v>
      </c>
      <c r="Y256" s="744">
        <v>1E-3</v>
      </c>
      <c r="Z256" s="737">
        <v>6.0000000000000001E-3</v>
      </c>
      <c r="AA256" s="755">
        <v>5.0000000000000001E-3</v>
      </c>
      <c r="AB256" s="760">
        <v>0.36</v>
      </c>
      <c r="AC256" s="761">
        <v>0.7</v>
      </c>
      <c r="AD256" s="767">
        <v>0.63</v>
      </c>
    </row>
    <row r="257" spans="1:30" x14ac:dyDescent="0.3">
      <c r="A257" s="540" t="str">
        <f>_xlfn.CONCAT(Physicochemical_Managed!Y27, Physicochemical_Managed!P27)</f>
        <v>Before the burnSPI44335</v>
      </c>
      <c r="B257" s="541" t="str">
        <v>After the burnRN44419</v>
      </c>
      <c r="C257" s="542" t="str">
        <f t="shared" si="15"/>
        <v>RN44419</v>
      </c>
      <c r="D257" s="735" t="str">
        <f t="shared" si="16"/>
        <v>RL44349</v>
      </c>
      <c r="E257" s="736" t="str">
        <f t="shared" si="17"/>
        <v>RN44370</v>
      </c>
      <c r="F257" s="739" t="str">
        <f t="shared" si="18"/>
        <v>RN44419</v>
      </c>
      <c r="G257" s="744">
        <v>6.5533333333333337</v>
      </c>
      <c r="H257" s="737">
        <v>6.7949999999999999</v>
      </c>
      <c r="I257" s="755">
        <v>6.82</v>
      </c>
      <c r="J257" s="760">
        <v>22.633333333333336</v>
      </c>
      <c r="K257" s="761">
        <v>27.75</v>
      </c>
      <c r="L257" s="762">
        <v>23.1</v>
      </c>
      <c r="M257" s="744">
        <v>6.2333333333333331E-2</v>
      </c>
      <c r="N257" s="737">
        <v>2.2549999999999999</v>
      </c>
      <c r="O257" s="755">
        <v>0.1</v>
      </c>
      <c r="P257" s="760">
        <v>0.70666666666666667</v>
      </c>
      <c r="Q257" s="761">
        <v>7.0000000000000007E-2</v>
      </c>
      <c r="R257" s="762">
        <v>1.085</v>
      </c>
      <c r="S257" s="744">
        <v>1.0899999999999999</v>
      </c>
      <c r="T257" s="737">
        <v>2.3849999999999998</v>
      </c>
      <c r="U257" s="755">
        <v>1.095</v>
      </c>
      <c r="V257" s="760">
        <v>0.33</v>
      </c>
      <c r="W257" s="761">
        <v>2.5000000000000001E-2</v>
      </c>
      <c r="X257" s="762">
        <v>0.18</v>
      </c>
      <c r="Y257" s="744">
        <v>0.06</v>
      </c>
      <c r="Z257" s="737">
        <v>6.0000000000000001E-3</v>
      </c>
      <c r="AA257" s="755">
        <v>6.5000000000000006E-3</v>
      </c>
      <c r="AB257" s="760">
        <v>0.5033333333333333</v>
      </c>
      <c r="AC257" s="761">
        <v>0.53</v>
      </c>
      <c r="AD257" s="767">
        <v>0.61</v>
      </c>
    </row>
    <row r="258" spans="1:30" x14ac:dyDescent="0.3">
      <c r="A258" s="540" t="str">
        <f>_xlfn.CONCAT(Physicochemical_Managed!Y28, Physicochemical_Managed!P28)</f>
        <v>Before the burnSPI44342</v>
      </c>
      <c r="B258" s="541" t="str">
        <v>After the burnRN44425</v>
      </c>
      <c r="C258" s="542" t="str">
        <f t="shared" si="15"/>
        <v>RN44425</v>
      </c>
      <c r="D258" s="735" t="str">
        <f t="shared" si="16"/>
        <v>RL44350</v>
      </c>
      <c r="E258" s="736" t="str">
        <f t="shared" si="17"/>
        <v>RN44376</v>
      </c>
      <c r="F258" s="739" t="str">
        <f t="shared" si="18"/>
        <v>RN44425</v>
      </c>
      <c r="G258" s="744">
        <v>6.75</v>
      </c>
      <c r="H258" s="737">
        <v>6.7</v>
      </c>
      <c r="I258" s="755">
        <v>6.73</v>
      </c>
      <c r="J258" s="760">
        <v>23</v>
      </c>
      <c r="K258" s="761">
        <v>27.7</v>
      </c>
      <c r="L258" s="762">
        <v>23.4</v>
      </c>
      <c r="M258" s="744">
        <v>7.0000000000000001E-3</v>
      </c>
      <c r="N258" s="737">
        <v>1.06</v>
      </c>
      <c r="O258" s="755">
        <v>0.03</v>
      </c>
      <c r="P258" s="760">
        <v>0.65</v>
      </c>
      <c r="Q258" s="761">
        <v>0.04</v>
      </c>
      <c r="R258" s="762">
        <v>0.56999999999999995</v>
      </c>
      <c r="S258" s="744">
        <v>0.84</v>
      </c>
      <c r="T258" s="737">
        <v>1.02</v>
      </c>
      <c r="U258" s="755">
        <v>0.41</v>
      </c>
      <c r="V258" s="760">
        <v>0.22</v>
      </c>
      <c r="W258" s="761">
        <v>0.09</v>
      </c>
      <c r="X258" s="762">
        <v>0.19</v>
      </c>
      <c r="Y258" s="744">
        <v>7.0000000000000007E-2</v>
      </c>
      <c r="Z258" s="737">
        <v>7.0000000000000001E-3</v>
      </c>
      <c r="AA258" s="755">
        <v>6.0000000000000001E-3</v>
      </c>
      <c r="AB258" s="760">
        <v>0.49</v>
      </c>
      <c r="AC258" s="761">
        <v>0.74</v>
      </c>
      <c r="AD258" s="767">
        <v>0.64</v>
      </c>
    </row>
    <row r="259" spans="1:30" x14ac:dyDescent="0.3">
      <c r="A259" s="540" t="str">
        <f>_xlfn.CONCAT(Physicochemical_Managed!Y29, Physicochemical_Managed!P29)</f>
        <v>Before the burnSPI44356</v>
      </c>
      <c r="B259" s="541" t="str">
        <v>After the burnRN44426</v>
      </c>
      <c r="C259" s="542" t="str">
        <f t="shared" si="15"/>
        <v>RN44426</v>
      </c>
      <c r="D259" s="735" t="str">
        <f t="shared" si="16"/>
        <v>RL44355</v>
      </c>
      <c r="E259" s="736" t="str">
        <f t="shared" si="17"/>
        <v>RN44377</v>
      </c>
      <c r="F259" s="739" t="str">
        <f t="shared" si="18"/>
        <v>RN44426</v>
      </c>
      <c r="G259" s="744">
        <v>6.62</v>
      </c>
      <c r="H259" s="737">
        <v>6.76</v>
      </c>
      <c r="I259" s="755">
        <v>7.1050000000000004</v>
      </c>
      <c r="J259" s="760">
        <v>22.8</v>
      </c>
      <c r="K259" s="761">
        <v>27.700000000000003</v>
      </c>
      <c r="L259" s="762">
        <v>23.299999999999997</v>
      </c>
      <c r="M259" s="744">
        <v>7.0000000000000007E-2</v>
      </c>
      <c r="N259" s="737">
        <v>1.915</v>
      </c>
      <c r="O259" s="755">
        <v>7.0000000000000007E-2</v>
      </c>
      <c r="P259" s="760">
        <v>0.72</v>
      </c>
      <c r="Q259" s="761">
        <v>5.5000000000000007E-2</v>
      </c>
      <c r="R259" s="762">
        <v>1.2549999999999999</v>
      </c>
      <c r="S259" s="744">
        <v>1.18</v>
      </c>
      <c r="T259" s="737">
        <v>1.895</v>
      </c>
      <c r="U259" s="755">
        <v>1.2850000000000001</v>
      </c>
      <c r="V259" s="760">
        <v>0.39</v>
      </c>
      <c r="W259" s="761">
        <v>6.5000000000000002E-2</v>
      </c>
      <c r="X259" s="762">
        <v>0.17499999999999999</v>
      </c>
      <c r="Y259" s="744">
        <v>4.8000000000000001E-2</v>
      </c>
      <c r="Z259" s="737">
        <v>7.4999999999999997E-3</v>
      </c>
      <c r="AA259" s="755">
        <v>5.4000000000000006E-2</v>
      </c>
      <c r="AB259" s="760">
        <v>0.51</v>
      </c>
      <c r="AC259" s="761">
        <v>0.54499999999999993</v>
      </c>
      <c r="AD259" s="767">
        <v>0.66999999999999993</v>
      </c>
    </row>
    <row r="260" spans="1:30" x14ac:dyDescent="0.3">
      <c r="A260" s="540" t="str">
        <f>_xlfn.CONCAT(Physicochemical_Managed!Y30, Physicochemical_Managed!P30)</f>
        <v>During the burnSPI44370</v>
      </c>
      <c r="B260" s="541" t="str">
        <v>After the burnRN44432</v>
      </c>
      <c r="C260" s="542" t="str">
        <f t="shared" si="15"/>
        <v>RN44432</v>
      </c>
      <c r="D260" s="735" t="str">
        <f t="shared" si="16"/>
        <v>RL44356</v>
      </c>
      <c r="E260" s="736" t="str">
        <f t="shared" si="17"/>
        <v>RN44384</v>
      </c>
      <c r="F260" s="739" t="str">
        <f t="shared" si="18"/>
        <v>RN44432</v>
      </c>
      <c r="G260" s="744">
        <v>6.54</v>
      </c>
      <c r="H260" s="737">
        <v>6.8</v>
      </c>
      <c r="I260" s="755">
        <v>6.84</v>
      </c>
      <c r="J260" s="760">
        <v>24.6</v>
      </c>
      <c r="K260" s="761">
        <v>28</v>
      </c>
      <c r="L260" s="762">
        <v>23.4</v>
      </c>
      <c r="M260" s="744">
        <v>0.11</v>
      </c>
      <c r="N260" s="737">
        <v>1.19</v>
      </c>
      <c r="O260" s="755">
        <v>7.0000000000000007E-2</v>
      </c>
      <c r="P260" s="760">
        <v>0.6</v>
      </c>
      <c r="Q260" s="761">
        <v>0.05</v>
      </c>
      <c r="R260" s="762">
        <v>0.7</v>
      </c>
      <c r="S260" s="744">
        <v>0.85</v>
      </c>
      <c r="T260" s="737">
        <v>1.21</v>
      </c>
      <c r="U260" s="755">
        <v>0.55000000000000004</v>
      </c>
      <c r="V260" s="760">
        <v>0.28999999999999998</v>
      </c>
      <c r="W260" s="761">
        <v>0.05</v>
      </c>
      <c r="X260" s="762">
        <v>0.12</v>
      </c>
      <c r="Y260" s="744">
        <v>7.5999999999999998E-2</v>
      </c>
      <c r="Z260" s="737">
        <v>6.0000000000000001E-3</v>
      </c>
      <c r="AA260" s="755">
        <v>8.9999999999999993E-3</v>
      </c>
      <c r="AB260" s="760">
        <v>0.49</v>
      </c>
      <c r="AC260" s="761">
        <v>0.67</v>
      </c>
      <c r="AD260" s="767">
        <v>0.6</v>
      </c>
    </row>
    <row r="261" spans="1:30" x14ac:dyDescent="0.3">
      <c r="A261" s="540" t="str">
        <f>_xlfn.CONCAT(Physicochemical_Managed!Y31, Physicochemical_Managed!P31)</f>
        <v>During the burnSPI44377</v>
      </c>
      <c r="B261" s="541" t="str">
        <v>After the burnRN44433</v>
      </c>
      <c r="C261" s="542" t="str">
        <f t="shared" si="15"/>
        <v>RN44433</v>
      </c>
      <c r="D261" s="735" t="str">
        <f t="shared" si="16"/>
        <v>RN44293</v>
      </c>
      <c r="E261" s="736" t="str">
        <f t="shared" si="17"/>
        <v>RN44385</v>
      </c>
      <c r="F261" s="739" t="str">
        <f t="shared" si="18"/>
        <v>RN44433</v>
      </c>
      <c r="G261" s="744">
        <v>6.66</v>
      </c>
      <c r="H261" s="737">
        <v>6.8849999999999998</v>
      </c>
      <c r="I261" s="755">
        <v>6.915</v>
      </c>
      <c r="J261" s="760">
        <v>23.7</v>
      </c>
      <c r="K261" s="761">
        <v>28.15</v>
      </c>
      <c r="L261" s="762">
        <v>23.9</v>
      </c>
      <c r="M261" s="744">
        <v>0.08</v>
      </c>
      <c r="N261" s="737">
        <v>1.625</v>
      </c>
      <c r="O261" s="755">
        <v>7.0000000000000007E-2</v>
      </c>
      <c r="P261" s="760">
        <v>0.85</v>
      </c>
      <c r="Q261" s="761">
        <v>0.03</v>
      </c>
      <c r="R261" s="762">
        <v>0.79</v>
      </c>
      <c r="S261" s="744">
        <v>1.17</v>
      </c>
      <c r="T261" s="737">
        <v>1.7050000000000001</v>
      </c>
      <c r="U261" s="755">
        <v>0.64500000000000002</v>
      </c>
      <c r="V261" s="760">
        <v>0.23</v>
      </c>
      <c r="W261" s="761">
        <v>3.5000000000000003E-2</v>
      </c>
      <c r="X261" s="762">
        <v>0.24</v>
      </c>
      <c r="Y261" s="744">
        <v>5.1999999999999998E-2</v>
      </c>
      <c r="Z261" s="737">
        <v>6.0000000000000001E-3</v>
      </c>
      <c r="AA261" s="755">
        <v>8.5000000000000006E-3</v>
      </c>
      <c r="AB261" s="760">
        <v>0.49</v>
      </c>
      <c r="AC261" s="761">
        <v>0.255</v>
      </c>
      <c r="AD261" s="767">
        <v>0.62</v>
      </c>
    </row>
    <row r="262" spans="1:30" x14ac:dyDescent="0.3">
      <c r="A262" s="540" t="str">
        <f>_xlfn.CONCAT(Physicochemical_Managed!Y32, Physicochemical_Managed!P32)</f>
        <v>During the burnSPI44385</v>
      </c>
      <c r="B262" s="541" t="str">
        <v>After the burnRS44404</v>
      </c>
      <c r="C262" s="542" t="str">
        <f t="shared" si="15"/>
        <v>RS44404</v>
      </c>
      <c r="D262" s="735" t="str">
        <f t="shared" si="16"/>
        <v>RN44313</v>
      </c>
      <c r="E262" s="736" t="str">
        <f t="shared" si="17"/>
        <v>RN44390</v>
      </c>
      <c r="F262" s="739" t="str">
        <f t="shared" si="18"/>
        <v>RS44404</v>
      </c>
      <c r="G262" s="744">
        <v>6.78</v>
      </c>
      <c r="H262" s="737">
        <v>6.74</v>
      </c>
      <c r="I262" s="755">
        <v>6.61</v>
      </c>
      <c r="J262" s="760">
        <v>23.8</v>
      </c>
      <c r="K262" s="761">
        <v>28</v>
      </c>
      <c r="L262" s="762">
        <v>26.9</v>
      </c>
      <c r="M262" s="744">
        <v>0.15</v>
      </c>
      <c r="N262" s="737">
        <v>2.14</v>
      </c>
      <c r="O262" s="755">
        <v>0.13</v>
      </c>
      <c r="P262" s="760">
        <v>0.34</v>
      </c>
      <c r="Q262" s="761">
        <v>0.04</v>
      </c>
      <c r="R262" s="762">
        <v>1.77</v>
      </c>
      <c r="S262" s="744">
        <v>0.54</v>
      </c>
      <c r="T262" s="737">
        <v>2.12</v>
      </c>
      <c r="U262" s="755">
        <v>1.95</v>
      </c>
      <c r="V262" s="760">
        <v>0.17</v>
      </c>
      <c r="W262" s="761">
        <v>7.0000000000000007E-2</v>
      </c>
      <c r="X262" s="762">
        <v>0.18</v>
      </c>
      <c r="Y262" s="744">
        <v>6.3E-2</v>
      </c>
      <c r="Z262" s="737">
        <v>8.9999999999999993E-3</v>
      </c>
      <c r="AA262" s="755">
        <v>6.0000000000000001E-3</v>
      </c>
      <c r="AB262" s="760">
        <v>0.53</v>
      </c>
      <c r="AC262" s="761">
        <v>0.63</v>
      </c>
      <c r="AD262" s="767">
        <v>0.42</v>
      </c>
    </row>
    <row r="263" spans="1:30" x14ac:dyDescent="0.3">
      <c r="A263" s="540" t="str">
        <f>_xlfn.CONCAT(Physicochemical_Managed!Y33, Physicochemical_Managed!P33)</f>
        <v>During the burnSPI44391</v>
      </c>
      <c r="B263" s="541" t="str">
        <v>After the burnRS44405</v>
      </c>
      <c r="C263" s="542" t="str">
        <f t="shared" si="15"/>
        <v>RS44405</v>
      </c>
      <c r="D263" s="735" t="str">
        <f t="shared" si="16"/>
        <v>RN44327</v>
      </c>
      <c r="E263" s="736" t="str">
        <f t="shared" si="17"/>
        <v>RN44391</v>
      </c>
      <c r="F263" s="739" t="str">
        <f t="shared" si="18"/>
        <v>RS44405</v>
      </c>
      <c r="G263" s="744">
        <v>6.35</v>
      </c>
      <c r="H263" s="737">
        <v>6.8849999999999998</v>
      </c>
      <c r="I263" s="755">
        <v>6.7450000000000001</v>
      </c>
      <c r="J263" s="760">
        <v>24.6</v>
      </c>
      <c r="K263" s="761">
        <v>28</v>
      </c>
      <c r="L263" s="762">
        <v>28.15</v>
      </c>
      <c r="M263" s="744">
        <v>0.04</v>
      </c>
      <c r="N263" s="737">
        <v>1.8599999999999999</v>
      </c>
      <c r="O263" s="755">
        <v>0.1</v>
      </c>
      <c r="P263" s="760">
        <v>0.49</v>
      </c>
      <c r="Q263" s="761">
        <v>3.5000000000000003E-2</v>
      </c>
      <c r="R263" s="762">
        <v>2.0449999999999999</v>
      </c>
      <c r="S263" s="744">
        <v>0.76</v>
      </c>
      <c r="T263" s="737">
        <v>1.835</v>
      </c>
      <c r="U263" s="755">
        <v>2.2549999999999999</v>
      </c>
      <c r="V263" s="760">
        <v>0.19</v>
      </c>
      <c r="W263" s="761">
        <v>0.17499999999999999</v>
      </c>
      <c r="X263" s="762">
        <v>0.14000000000000001</v>
      </c>
      <c r="Y263" s="744">
        <v>7.6999999999999999E-2</v>
      </c>
      <c r="Z263" s="737">
        <v>6.5000000000000006E-3</v>
      </c>
      <c r="AA263" s="755">
        <v>6.0000000000000001E-3</v>
      </c>
      <c r="AB263" s="760">
        <v>0.48</v>
      </c>
      <c r="AC263" s="761">
        <v>0.6100000000000001</v>
      </c>
      <c r="AD263" s="767">
        <v>0.44</v>
      </c>
    </row>
    <row r="264" spans="1:30" x14ac:dyDescent="0.3">
      <c r="A264" s="540" t="str">
        <f>_xlfn.CONCAT(Physicochemical_Managed!Y34, Physicochemical_Managed!P34)</f>
        <v>During the burnSPI44398</v>
      </c>
      <c r="B264" s="541" t="str">
        <v>After the burnRS44411</v>
      </c>
      <c r="C264" s="542" t="str">
        <f t="shared" si="15"/>
        <v>RS44411</v>
      </c>
      <c r="D264" s="735" t="str">
        <f t="shared" si="16"/>
        <v>RN44334</v>
      </c>
      <c r="E264" s="736" t="str">
        <f t="shared" si="17"/>
        <v>RN44397</v>
      </c>
      <c r="F264" s="739" t="str">
        <f t="shared" si="18"/>
        <v>RS44411</v>
      </c>
      <c r="G264" s="744">
        <v>6.61</v>
      </c>
      <c r="H264" s="737">
        <v>6.78</v>
      </c>
      <c r="I264" s="755">
        <v>6.61</v>
      </c>
      <c r="J264" s="760">
        <v>26</v>
      </c>
      <c r="K264" s="761">
        <v>23.8</v>
      </c>
      <c r="L264" s="762">
        <v>26.7</v>
      </c>
      <c r="M264" s="744">
        <v>7.0000000000000007E-2</v>
      </c>
      <c r="N264" s="737">
        <v>2.39</v>
      </c>
      <c r="O264" s="755">
        <v>0.14000000000000001</v>
      </c>
      <c r="P264" s="760">
        <v>0.73</v>
      </c>
      <c r="Q264" s="761">
        <v>0.01</v>
      </c>
      <c r="R264" s="762">
        <v>2.19</v>
      </c>
      <c r="S264" s="744">
        <v>0.86</v>
      </c>
      <c r="T264" s="737">
        <v>2.39</v>
      </c>
      <c r="U264" s="755">
        <v>2.62</v>
      </c>
      <c r="V264" s="760">
        <v>0.2</v>
      </c>
      <c r="W264" s="761">
        <v>7.0000000000000007E-2</v>
      </c>
      <c r="X264" s="762">
        <v>0.11</v>
      </c>
      <c r="Y264" s="744">
        <v>5.5E-2</v>
      </c>
      <c r="Z264" s="737">
        <v>5.0000000000000001E-3</v>
      </c>
      <c r="AA264" s="755">
        <v>7.0000000000000001E-3</v>
      </c>
      <c r="AB264" s="760">
        <v>0.51</v>
      </c>
      <c r="AC264" s="761">
        <v>0.57999999999999996</v>
      </c>
      <c r="AD264" s="767">
        <v>0.34</v>
      </c>
    </row>
    <row r="265" spans="1:30" x14ac:dyDescent="0.3">
      <c r="A265" s="540" t="str">
        <f>_xlfn.CONCAT(Physicochemical_Managed!Y35, Physicochemical_Managed!P35)</f>
        <v>After the burnSPI44405</v>
      </c>
      <c r="B265" s="541" t="str">
        <v>After the burnRS44412</v>
      </c>
      <c r="C265" s="542" t="str">
        <f t="shared" si="15"/>
        <v>RS44412</v>
      </c>
      <c r="D265" s="735" t="str">
        <f t="shared" si="16"/>
        <v>RN44335</v>
      </c>
      <c r="E265" s="736" t="str">
        <f t="shared" si="17"/>
        <v>RN44398</v>
      </c>
      <c r="F265" s="739" t="str">
        <f t="shared" si="18"/>
        <v>RS44412</v>
      </c>
      <c r="G265" s="744">
        <v>6.7666666666666657</v>
      </c>
      <c r="H265" s="737">
        <v>6.8450000000000006</v>
      </c>
      <c r="I265" s="755">
        <v>6.66</v>
      </c>
      <c r="J265" s="760">
        <v>22.400000000000002</v>
      </c>
      <c r="K265" s="761">
        <v>23.4</v>
      </c>
      <c r="L265" s="762">
        <v>26.799999999999997</v>
      </c>
      <c r="M265" s="744">
        <v>0.08</v>
      </c>
      <c r="N265" s="737">
        <v>2.21</v>
      </c>
      <c r="O265" s="755">
        <v>0.01</v>
      </c>
      <c r="P265" s="760">
        <v>1.66</v>
      </c>
      <c r="Q265" s="761">
        <v>0.01</v>
      </c>
      <c r="R265" s="762">
        <v>2.415</v>
      </c>
      <c r="S265" s="744">
        <v>1.7566666666666666</v>
      </c>
      <c r="T265" s="737">
        <v>2.2000000000000002</v>
      </c>
      <c r="U265" s="755">
        <v>2.7800000000000002</v>
      </c>
      <c r="V265" s="760">
        <v>0.32333333333333331</v>
      </c>
      <c r="W265" s="761">
        <v>6.9999999999999993E-2</v>
      </c>
      <c r="X265" s="762">
        <v>0.115</v>
      </c>
      <c r="Y265" s="744">
        <v>5.0000000000000001E-3</v>
      </c>
      <c r="Z265" s="737">
        <v>7.0000000000000001E-3</v>
      </c>
      <c r="AA265" s="755">
        <v>6.5000000000000006E-3</v>
      </c>
      <c r="AB265" s="760">
        <v>0.54999999999999993</v>
      </c>
      <c r="AC265" s="761">
        <v>0.56499999999999995</v>
      </c>
      <c r="AD265" s="767">
        <v>0.35499999999999998</v>
      </c>
    </row>
    <row r="266" spans="1:30" x14ac:dyDescent="0.3">
      <c r="A266" s="540" t="str">
        <f>_xlfn.CONCAT(Physicochemical_Managed!Y36, Physicochemical_Managed!P36)</f>
        <v>After the burnSPI44412</v>
      </c>
      <c r="B266" s="541" t="str">
        <v>After the burnRS44418</v>
      </c>
      <c r="C266" s="542" t="str">
        <f t="shared" si="15"/>
        <v>RS44418</v>
      </c>
      <c r="D266" s="735" t="str">
        <f t="shared" si="16"/>
        <v>RN44341</v>
      </c>
      <c r="E266" s="736" t="str">
        <f t="shared" si="17"/>
        <v>RS44362</v>
      </c>
      <c r="F266" s="739" t="str">
        <f t="shared" si="18"/>
        <v>RS44418</v>
      </c>
      <c r="G266" s="744">
        <v>6.78</v>
      </c>
      <c r="H266" s="737">
        <v>6.92</v>
      </c>
      <c r="I266" s="755">
        <v>6.64</v>
      </c>
      <c r="J266" s="760">
        <v>24.2</v>
      </c>
      <c r="K266" s="761">
        <v>24.1</v>
      </c>
      <c r="L266" s="762">
        <v>26.1</v>
      </c>
      <c r="M266" s="744">
        <v>0.14000000000000001</v>
      </c>
      <c r="N266" s="737">
        <v>0.1</v>
      </c>
      <c r="O266" s="755">
        <v>0.11</v>
      </c>
      <c r="P266" s="760">
        <v>1.49</v>
      </c>
      <c r="Q266" s="761">
        <v>0.23</v>
      </c>
      <c r="R266" s="762">
        <v>1.93</v>
      </c>
      <c r="S266" s="744">
        <v>1.45</v>
      </c>
      <c r="T266" s="737">
        <v>0.39</v>
      </c>
      <c r="U266" s="755">
        <v>2.2200000000000002</v>
      </c>
      <c r="V266" s="760">
        <v>0.24</v>
      </c>
      <c r="W266" s="761">
        <v>0.1</v>
      </c>
      <c r="X266" s="762">
        <v>0.14000000000000001</v>
      </c>
      <c r="Y266" s="744">
        <v>6.0000000000000001E-3</v>
      </c>
      <c r="Z266" s="737">
        <v>1.0999999999999999E-2</v>
      </c>
      <c r="AA266" s="755">
        <v>8.0000000000000002E-3</v>
      </c>
      <c r="AB266" s="760">
        <v>0.54</v>
      </c>
      <c r="AC266" s="761">
        <v>0.56000000000000005</v>
      </c>
      <c r="AD266" s="767">
        <v>0.43</v>
      </c>
    </row>
    <row r="267" spans="1:30" x14ac:dyDescent="0.3">
      <c r="A267" s="540" t="str">
        <f>_xlfn.CONCAT(Physicochemical_Managed!Y37, Physicochemical_Managed!P37)</f>
        <v>After the burnSPI44419</v>
      </c>
      <c r="B267" s="541" t="str">
        <v>After the burnRS44419</v>
      </c>
      <c r="C267" s="542" t="str">
        <f t="shared" si="15"/>
        <v>RS44419</v>
      </c>
      <c r="D267" s="735" t="str">
        <f t="shared" si="16"/>
        <v>RN44342</v>
      </c>
      <c r="E267" s="736" t="str">
        <f t="shared" si="17"/>
        <v>RS44363</v>
      </c>
      <c r="F267" s="739" t="str">
        <f t="shared" si="18"/>
        <v>RS44419</v>
      </c>
      <c r="G267" s="744">
        <v>6.74</v>
      </c>
      <c r="H267" s="737">
        <v>7.12</v>
      </c>
      <c r="I267" s="755">
        <v>6.64</v>
      </c>
      <c r="J267" s="760">
        <v>26.7</v>
      </c>
      <c r="K267" s="761">
        <v>28.8</v>
      </c>
      <c r="L267" s="762">
        <v>29.5</v>
      </c>
      <c r="M267" s="744">
        <v>0.14000000000000001</v>
      </c>
      <c r="N267" s="737">
        <v>2.36</v>
      </c>
      <c r="O267" s="755">
        <v>0.09</v>
      </c>
      <c r="P267" s="760">
        <v>1.48</v>
      </c>
      <c r="Q267" s="761">
        <v>0.02</v>
      </c>
      <c r="R267" s="762">
        <v>2.1950000000000003</v>
      </c>
      <c r="S267" s="744">
        <v>1.39</v>
      </c>
      <c r="T267" s="737">
        <v>2.41</v>
      </c>
      <c r="U267" s="755">
        <v>2.665</v>
      </c>
      <c r="V267" s="760">
        <v>0.28999999999999998</v>
      </c>
      <c r="W267" s="761">
        <v>0.09</v>
      </c>
      <c r="X267" s="762">
        <v>0.14499999999999999</v>
      </c>
      <c r="Y267" s="744">
        <v>7.0000000000000001E-3</v>
      </c>
      <c r="Z267" s="737">
        <v>7.0000000000000001E-3</v>
      </c>
      <c r="AA267" s="755">
        <v>4.5000000000000005E-3</v>
      </c>
      <c r="AB267" s="760">
        <v>0.53</v>
      </c>
      <c r="AC267" s="761">
        <v>0.34</v>
      </c>
      <c r="AD267" s="767">
        <v>0.39500000000000002</v>
      </c>
    </row>
    <row r="268" spans="1:30" x14ac:dyDescent="0.3">
      <c r="A268" s="540" t="str">
        <f>_xlfn.CONCAT(Physicochemical_Managed!Y38, Physicochemical_Managed!P38)</f>
        <v>After the burnSPI44426</v>
      </c>
      <c r="B268" s="541" t="str">
        <v>After the burnRS44425</v>
      </c>
      <c r="C268" s="542" t="str">
        <f t="shared" si="15"/>
        <v>RS44425</v>
      </c>
      <c r="D268" s="735" t="str">
        <f t="shared" si="16"/>
        <v>RN44349</v>
      </c>
      <c r="E268" s="736" t="str">
        <f t="shared" si="17"/>
        <v>RS44369</v>
      </c>
      <c r="F268" s="739" t="str">
        <f t="shared" si="18"/>
        <v>RS44425</v>
      </c>
      <c r="G268" s="744">
        <v>7.09</v>
      </c>
      <c r="H268" s="737">
        <v>7.06</v>
      </c>
      <c r="I268" s="755">
        <v>6.71</v>
      </c>
      <c r="J268" s="760">
        <v>25</v>
      </c>
      <c r="K268" s="761">
        <v>27</v>
      </c>
      <c r="L268" s="762">
        <v>26.9</v>
      </c>
      <c r="M268" s="744">
        <v>0.06</v>
      </c>
      <c r="N268" s="737">
        <v>2.37</v>
      </c>
      <c r="O268" s="755">
        <v>0.1</v>
      </c>
      <c r="P268" s="760">
        <v>1.36</v>
      </c>
      <c r="Q268" s="761">
        <v>0.02</v>
      </c>
      <c r="R268" s="762">
        <v>1.72</v>
      </c>
      <c r="S268" s="744">
        <v>1.31</v>
      </c>
      <c r="T268" s="737">
        <v>2.4900000000000002</v>
      </c>
      <c r="U268" s="755">
        <v>1.93</v>
      </c>
      <c r="V268" s="760">
        <v>0.28000000000000003</v>
      </c>
      <c r="W268" s="761">
        <v>0.19</v>
      </c>
      <c r="X268" s="762">
        <v>0.19</v>
      </c>
      <c r="Y268" s="744">
        <v>7.0000000000000001E-3</v>
      </c>
      <c r="Z268" s="737">
        <v>7.0000000000000001E-3</v>
      </c>
      <c r="AA268" s="755">
        <v>8.9999999999999993E-3</v>
      </c>
      <c r="AB268" s="760">
        <v>0.55000000000000004</v>
      </c>
      <c r="AC268" s="761">
        <v>0.41</v>
      </c>
      <c r="AD268" s="767">
        <v>0.4</v>
      </c>
    </row>
    <row r="269" spans="1:30" x14ac:dyDescent="0.3">
      <c r="A269" s="540" t="str">
        <f>_xlfn.CONCAT(Physicochemical_Managed!Y39, Physicochemical_Managed!P39)</f>
        <v>After the burnSPI44433</v>
      </c>
      <c r="B269" s="541" t="str">
        <v>After the burnRS44426</v>
      </c>
      <c r="C269" s="542" t="str">
        <f t="shared" si="15"/>
        <v>RS44426</v>
      </c>
      <c r="D269" s="735" t="str">
        <f t="shared" si="16"/>
        <v>RN44350</v>
      </c>
      <c r="E269" s="736" t="str">
        <f t="shared" si="17"/>
        <v>RS44370</v>
      </c>
      <c r="F269" s="739" t="str">
        <f t="shared" si="18"/>
        <v>RS44426</v>
      </c>
      <c r="G269" s="744">
        <v>6.82</v>
      </c>
      <c r="H269" s="737">
        <v>7.33</v>
      </c>
      <c r="I269" s="755">
        <v>6.6549999999999994</v>
      </c>
      <c r="J269" s="760">
        <v>24.8</v>
      </c>
      <c r="K269" s="761">
        <v>25</v>
      </c>
      <c r="L269" s="762">
        <v>28.3</v>
      </c>
      <c r="M269" s="744">
        <v>7.4999999999999997E-2</v>
      </c>
      <c r="N269" s="737">
        <v>2.72</v>
      </c>
      <c r="O269" s="755">
        <v>0.11</v>
      </c>
      <c r="P269" s="760">
        <v>1.6800000000000002</v>
      </c>
      <c r="Q269" s="761">
        <v>0.02</v>
      </c>
      <c r="R269" s="762">
        <v>2.27</v>
      </c>
      <c r="S269" s="744">
        <v>1.7949999999999999</v>
      </c>
      <c r="T269" s="737">
        <v>2.79</v>
      </c>
      <c r="U269" s="755">
        <v>2.7350000000000003</v>
      </c>
      <c r="V269" s="760">
        <v>0.33999999999999997</v>
      </c>
      <c r="W269" s="761">
        <v>0.1</v>
      </c>
      <c r="X269" s="762">
        <v>0.13500000000000001</v>
      </c>
      <c r="Y269" s="744">
        <v>6.5000000000000006E-3</v>
      </c>
      <c r="Z269" s="737">
        <v>8.9999999999999993E-3</v>
      </c>
      <c r="AA269" s="755">
        <v>6.5000000000000006E-3</v>
      </c>
      <c r="AB269" s="760">
        <v>0.46500000000000002</v>
      </c>
      <c r="AC269" s="761">
        <v>0.34</v>
      </c>
      <c r="AD269" s="767">
        <v>0.34</v>
      </c>
    </row>
    <row r="270" spans="1:30" x14ac:dyDescent="0.3">
      <c r="A270" s="540" t="str">
        <f>_xlfn.CONCAT(Physicochemical_Managed!Y40, Physicochemical_Managed!P40)</f>
        <v>Before the burnSPO44294</v>
      </c>
      <c r="B270" s="541" t="str">
        <v>After the burnRS44432</v>
      </c>
      <c r="C270" s="542" t="str">
        <f t="shared" si="15"/>
        <v>RS44432</v>
      </c>
      <c r="D270" s="735" t="str">
        <f t="shared" si="16"/>
        <v>RN44355</v>
      </c>
      <c r="E270" s="736" t="str">
        <f t="shared" si="17"/>
        <v>RS44376</v>
      </c>
      <c r="F270" s="739" t="str">
        <f t="shared" si="18"/>
        <v>RS44432</v>
      </c>
      <c r="G270" s="744">
        <v>6.95</v>
      </c>
      <c r="H270" s="737">
        <v>7.1</v>
      </c>
      <c r="I270" s="755">
        <v>6.73</v>
      </c>
      <c r="J270" s="760">
        <v>25.6</v>
      </c>
      <c r="K270" s="761">
        <v>27.4</v>
      </c>
      <c r="L270" s="762">
        <v>28.5</v>
      </c>
      <c r="M270" s="744">
        <v>7.0000000000000007E-2</v>
      </c>
      <c r="N270" s="737">
        <v>3.26</v>
      </c>
      <c r="O270" s="755">
        <v>0.12</v>
      </c>
      <c r="P270" s="760">
        <v>1.44</v>
      </c>
      <c r="Q270" s="761">
        <v>0.01</v>
      </c>
      <c r="R270" s="762">
        <v>2.35</v>
      </c>
      <c r="S270" s="744">
        <v>1.34</v>
      </c>
      <c r="T270" s="737">
        <v>3.3</v>
      </c>
      <c r="U270" s="755">
        <v>2.46</v>
      </c>
      <c r="V270" s="760">
        <v>0.28000000000000003</v>
      </c>
      <c r="W270" s="761">
        <v>1.4999999999999999E-2</v>
      </c>
      <c r="X270" s="762">
        <v>0.1</v>
      </c>
      <c r="Y270" s="744">
        <v>6.0000000000000001E-3</v>
      </c>
      <c r="Z270" s="737">
        <v>6.5000000000000006E-3</v>
      </c>
      <c r="AA270" s="755">
        <v>2E-3</v>
      </c>
      <c r="AB270" s="760">
        <v>0.55000000000000004</v>
      </c>
      <c r="AC270" s="761">
        <v>0.32999999999999996</v>
      </c>
      <c r="AD270" s="767">
        <v>0.39</v>
      </c>
    </row>
    <row r="271" spans="1:30" x14ac:dyDescent="0.3">
      <c r="A271" s="540" t="str">
        <f>_xlfn.CONCAT(Physicochemical_Managed!Y41, Physicochemical_Managed!P41)</f>
        <v>Before the burnSPO44306</v>
      </c>
      <c r="B271" s="541" t="str">
        <v>After the burnRS44433</v>
      </c>
      <c r="C271" s="542" t="str">
        <f t="shared" si="15"/>
        <v>RS44433</v>
      </c>
      <c r="D271" s="735" t="str">
        <f t="shared" si="16"/>
        <v>RN44356</v>
      </c>
      <c r="E271" s="736" t="str">
        <f t="shared" si="17"/>
        <v>RS44377</v>
      </c>
      <c r="F271" s="739" t="str">
        <f t="shared" si="18"/>
        <v>RS44433</v>
      </c>
      <c r="G271" s="744">
        <v>6.7200000000000006</v>
      </c>
      <c r="H271" s="737">
        <v>7.05</v>
      </c>
      <c r="I271" s="755">
        <v>6.8599999999999994</v>
      </c>
      <c r="J271" s="760">
        <v>25.65</v>
      </c>
      <c r="K271" s="761">
        <v>24.4</v>
      </c>
      <c r="L271" s="762">
        <v>29</v>
      </c>
      <c r="M271" s="744">
        <v>6.0000000000000005E-2</v>
      </c>
      <c r="N271" s="737">
        <v>2.58</v>
      </c>
      <c r="O271" s="755">
        <v>0.04</v>
      </c>
      <c r="P271" s="760">
        <v>1.65</v>
      </c>
      <c r="Q271" s="761">
        <v>0.02</v>
      </c>
      <c r="R271" s="762">
        <v>2.1550000000000002</v>
      </c>
      <c r="S271" s="744">
        <v>1.75</v>
      </c>
      <c r="T271" s="737">
        <v>2.69</v>
      </c>
      <c r="U271" s="755">
        <v>2.2850000000000001</v>
      </c>
      <c r="V271" s="760">
        <v>0.32</v>
      </c>
      <c r="W271" s="761">
        <v>0.1</v>
      </c>
      <c r="X271" s="762">
        <v>0.245</v>
      </c>
      <c r="Y271" s="744">
        <v>7.0000000000000001E-3</v>
      </c>
      <c r="Z271" s="737">
        <v>7.0000000000000001E-3</v>
      </c>
      <c r="AA271" s="755">
        <v>2E-3</v>
      </c>
      <c r="AB271" s="760">
        <v>0.505</v>
      </c>
      <c r="AC271" s="761">
        <v>0.42</v>
      </c>
      <c r="AD271" s="767">
        <v>0.37</v>
      </c>
    </row>
    <row r="272" spans="1:30" x14ac:dyDescent="0.3">
      <c r="A272" s="540" t="str">
        <f>_xlfn.CONCAT(Physicochemical_Managed!Y42, Physicochemical_Managed!P42)</f>
        <v>Before the burnSPO44313</v>
      </c>
      <c r="B272" s="541" t="str">
        <v>After the burnRU44404</v>
      </c>
      <c r="C272" s="542" t="str">
        <f t="shared" si="15"/>
        <v>RU44404</v>
      </c>
      <c r="D272" s="735" t="str">
        <f t="shared" si="16"/>
        <v>RS44293</v>
      </c>
      <c r="E272" s="736" t="str">
        <f t="shared" si="17"/>
        <v>RS44384</v>
      </c>
      <c r="F272" s="739" t="str">
        <f t="shared" si="18"/>
        <v>RU44404</v>
      </c>
      <c r="G272" s="744">
        <v>6.81</v>
      </c>
      <c r="H272" s="737">
        <v>6.9850000000000003</v>
      </c>
      <c r="I272" s="755">
        <v>6.72</v>
      </c>
      <c r="J272" s="760">
        <v>26.7</v>
      </c>
      <c r="K272" s="761">
        <v>26.7</v>
      </c>
      <c r="L272" s="762">
        <v>28.3</v>
      </c>
      <c r="M272" s="744">
        <v>0.09</v>
      </c>
      <c r="N272" s="737">
        <v>3.08</v>
      </c>
      <c r="O272" s="755">
        <v>0.09</v>
      </c>
      <c r="P272" s="760">
        <v>1.75</v>
      </c>
      <c r="Q272" s="761">
        <v>0.01</v>
      </c>
      <c r="R272" s="762">
        <v>0.74</v>
      </c>
      <c r="S272" s="744">
        <v>1.68</v>
      </c>
      <c r="T272" s="737">
        <v>3.0649999999999999</v>
      </c>
      <c r="U272" s="755">
        <v>0.93</v>
      </c>
      <c r="V272" s="760">
        <v>0.34</v>
      </c>
      <c r="W272" s="761">
        <v>0.04</v>
      </c>
      <c r="X272" s="762">
        <v>0.04</v>
      </c>
      <c r="Y272" s="744">
        <v>7.0000000000000001E-3</v>
      </c>
      <c r="Z272" s="737">
        <v>8.0000000000000002E-3</v>
      </c>
      <c r="AA272" s="755">
        <v>6.0000000000000001E-3</v>
      </c>
      <c r="AB272" s="760">
        <v>0.56000000000000005</v>
      </c>
      <c r="AC272" s="761">
        <v>0.32</v>
      </c>
      <c r="AD272" s="767">
        <v>0.49</v>
      </c>
    </row>
    <row r="273" spans="1:30" x14ac:dyDescent="0.3">
      <c r="A273" s="540" t="str">
        <f>_xlfn.CONCAT(Physicochemical_Managed!Y43, Physicochemical_Managed!P43)</f>
        <v>Before the burnSPO44320</v>
      </c>
      <c r="B273" s="541" t="str">
        <v>After the burnRU44405</v>
      </c>
      <c r="C273" s="542" t="str">
        <f t="shared" si="15"/>
        <v>RU44405</v>
      </c>
      <c r="D273" s="735" t="str">
        <f t="shared" si="16"/>
        <v>RS44306</v>
      </c>
      <c r="E273" s="736" t="str">
        <f t="shared" si="17"/>
        <v>RS44385</v>
      </c>
      <c r="F273" s="739" t="str">
        <f t="shared" si="18"/>
        <v>RU44405</v>
      </c>
      <c r="G273" s="744">
        <v>6.7050000000000001</v>
      </c>
      <c r="H273" s="737">
        <v>6.45</v>
      </c>
      <c r="I273" s="755">
        <v>6.4649999999999999</v>
      </c>
      <c r="J273" s="760">
        <v>26.35</v>
      </c>
      <c r="K273" s="761">
        <v>25</v>
      </c>
      <c r="L273" s="762">
        <v>27.6</v>
      </c>
      <c r="M273" s="744">
        <v>0.08</v>
      </c>
      <c r="N273" s="737">
        <v>2.29</v>
      </c>
      <c r="O273" s="755">
        <v>9.5000000000000001E-2</v>
      </c>
      <c r="P273" s="760">
        <v>1.32</v>
      </c>
      <c r="Q273" s="761">
        <v>0.02</v>
      </c>
      <c r="R273" s="762">
        <v>1.9849999999999999</v>
      </c>
      <c r="S273" s="744">
        <v>1.51</v>
      </c>
      <c r="T273" s="737">
        <v>2.42</v>
      </c>
      <c r="U273" s="755">
        <v>2.1349999999999998</v>
      </c>
      <c r="V273" s="760">
        <v>0.29000000000000004</v>
      </c>
      <c r="W273" s="761">
        <v>0.03</v>
      </c>
      <c r="X273" s="762">
        <v>0.15</v>
      </c>
      <c r="Y273" s="744">
        <v>6.0000000000000001E-3</v>
      </c>
      <c r="Z273" s="737">
        <v>7.0000000000000001E-3</v>
      </c>
      <c r="AA273" s="755">
        <v>7.0000000000000001E-3</v>
      </c>
      <c r="AB273" s="760">
        <v>0.61499999999999999</v>
      </c>
      <c r="AC273" s="761">
        <v>0.4</v>
      </c>
      <c r="AD273" s="767">
        <v>0.44999999999999996</v>
      </c>
    </row>
    <row r="274" spans="1:30" x14ac:dyDescent="0.3">
      <c r="A274" s="540" t="str">
        <f>_xlfn.CONCAT(Physicochemical_Managed!Y44, Physicochemical_Managed!P44)</f>
        <v>Before the burnSPO44327</v>
      </c>
      <c r="B274" s="541" t="str">
        <v>After the burnRU44411</v>
      </c>
      <c r="C274" s="542" t="str">
        <f t="shared" si="15"/>
        <v>RU44411</v>
      </c>
      <c r="D274" s="735" t="str">
        <f t="shared" si="16"/>
        <v>RS44313</v>
      </c>
      <c r="E274" s="736" t="str">
        <f t="shared" si="17"/>
        <v>RS44390</v>
      </c>
      <c r="F274" s="739" t="str">
        <f t="shared" si="18"/>
        <v>RU44411</v>
      </c>
      <c r="G274" s="744">
        <v>6.75</v>
      </c>
      <c r="H274" s="737">
        <v>6.7450000000000001</v>
      </c>
      <c r="I274" s="755">
        <v>6.37</v>
      </c>
      <c r="J274" s="760">
        <v>27.1</v>
      </c>
      <c r="K274" s="761">
        <v>27.15</v>
      </c>
      <c r="L274" s="762">
        <v>27.3</v>
      </c>
      <c r="M274" s="744">
        <v>0.12</v>
      </c>
      <c r="N274" s="737">
        <v>2.6550000000000002</v>
      </c>
      <c r="O274" s="755">
        <v>0.14000000000000001</v>
      </c>
      <c r="P274" s="760">
        <v>1.45</v>
      </c>
      <c r="Q274" s="761">
        <v>5.0000000000000001E-3</v>
      </c>
      <c r="R274" s="762">
        <v>1.97</v>
      </c>
      <c r="S274" s="744">
        <v>1.46</v>
      </c>
      <c r="T274" s="737">
        <v>2.73</v>
      </c>
      <c r="U274" s="755">
        <v>2.06</v>
      </c>
      <c r="V274" s="760">
        <v>0.31</v>
      </c>
      <c r="W274" s="761">
        <v>0.05</v>
      </c>
      <c r="X274" s="762">
        <v>0.24</v>
      </c>
      <c r="Y274" s="744">
        <v>6.0000000000000001E-3</v>
      </c>
      <c r="Z274" s="737">
        <v>7.0000000000000001E-3</v>
      </c>
      <c r="AA274" s="755">
        <v>6.0000000000000001E-3</v>
      </c>
      <c r="AB274" s="760">
        <v>0.56000000000000005</v>
      </c>
      <c r="AC274" s="761">
        <v>0.4</v>
      </c>
      <c r="AD274" s="767">
        <v>0.44</v>
      </c>
    </row>
    <row r="275" spans="1:30" x14ac:dyDescent="0.3">
      <c r="A275" s="540" t="str">
        <f>_xlfn.CONCAT(Physicochemical_Managed!Y45, Physicochemical_Managed!P45)</f>
        <v>Before the burnSPO44335</v>
      </c>
      <c r="B275" s="541" t="str">
        <v>After the burnRU44412</v>
      </c>
      <c r="C275" s="542" t="str">
        <f t="shared" si="15"/>
        <v>RU44412</v>
      </c>
      <c r="D275" s="735" t="str">
        <f t="shared" si="16"/>
        <v>RS44327</v>
      </c>
      <c r="E275" s="736" t="str">
        <f t="shared" si="17"/>
        <v>RS44391</v>
      </c>
      <c r="F275" s="739" t="str">
        <f t="shared" si="18"/>
        <v>RU44412</v>
      </c>
      <c r="G275" s="744">
        <v>6.7449999999999992</v>
      </c>
      <c r="H275" s="737">
        <v>6.69</v>
      </c>
      <c r="I275" s="755">
        <v>6.9049999999999994</v>
      </c>
      <c r="J275" s="760">
        <v>27.25</v>
      </c>
      <c r="K275" s="761">
        <v>24.8</v>
      </c>
      <c r="L275" s="762">
        <v>27.2</v>
      </c>
      <c r="M275" s="744">
        <v>0.13500000000000001</v>
      </c>
      <c r="N275" s="737">
        <v>2.0299999999999998</v>
      </c>
      <c r="O275" s="755">
        <v>7.0000000000000007E-2</v>
      </c>
      <c r="P275" s="760">
        <v>1.365</v>
      </c>
      <c r="Q275" s="761">
        <v>0</v>
      </c>
      <c r="R275" s="762">
        <v>2.0199999999999996</v>
      </c>
      <c r="S275" s="744">
        <v>1.2850000000000001</v>
      </c>
      <c r="T275" s="737">
        <v>2.19</v>
      </c>
      <c r="U275" s="755">
        <v>2.2999999999999998</v>
      </c>
      <c r="V275" s="760">
        <v>0.41500000000000004</v>
      </c>
      <c r="W275" s="761">
        <v>0.04</v>
      </c>
      <c r="X275" s="762">
        <v>0.16500000000000001</v>
      </c>
      <c r="Y275" s="744">
        <v>7.0000000000000001E-3</v>
      </c>
      <c r="Z275" s="737">
        <v>6.0000000000000001E-3</v>
      </c>
      <c r="AA275" s="755">
        <v>7.0000000000000001E-3</v>
      </c>
      <c r="AB275" s="760">
        <v>0.55499999999999994</v>
      </c>
      <c r="AC275" s="761">
        <v>0.41</v>
      </c>
      <c r="AD275" s="767">
        <v>0.47</v>
      </c>
    </row>
    <row r="276" spans="1:30" x14ac:dyDescent="0.3">
      <c r="A276" s="540" t="str">
        <f>_xlfn.CONCAT(Physicochemical_Managed!Y46, Physicochemical_Managed!P46)</f>
        <v>Before the burnSPO44342</v>
      </c>
      <c r="B276" s="541" t="str">
        <v>After the burnRU44418</v>
      </c>
      <c r="C276" s="542" t="str">
        <f t="shared" si="15"/>
        <v>RU44418</v>
      </c>
      <c r="D276" s="735" t="str">
        <f t="shared" si="16"/>
        <v>RS44334</v>
      </c>
      <c r="E276" s="736" t="str">
        <f t="shared" si="17"/>
        <v>RS44397</v>
      </c>
      <c r="F276" s="739" t="str">
        <f t="shared" si="18"/>
        <v>RU44418</v>
      </c>
      <c r="G276" s="744">
        <v>6.6400000000000006</v>
      </c>
      <c r="H276" s="737">
        <v>6.8650000000000002</v>
      </c>
      <c r="I276" s="755">
        <v>6.37</v>
      </c>
      <c r="J276" s="760">
        <v>23.5</v>
      </c>
      <c r="K276" s="761">
        <v>27.95</v>
      </c>
      <c r="L276" s="762">
        <v>27.9</v>
      </c>
      <c r="M276" s="744">
        <v>7.5000000000000011E-2</v>
      </c>
      <c r="N276" s="737">
        <v>3.0150000000000001</v>
      </c>
      <c r="O276" s="755">
        <v>0.12</v>
      </c>
      <c r="P276" s="760">
        <v>2.6</v>
      </c>
      <c r="Q276" s="761">
        <v>0.02</v>
      </c>
      <c r="R276" s="762">
        <v>1.89</v>
      </c>
      <c r="S276" s="744">
        <v>2.95</v>
      </c>
      <c r="T276" s="737">
        <v>3.0250000000000004</v>
      </c>
      <c r="U276" s="755">
        <v>2.21</v>
      </c>
      <c r="V276" s="760">
        <v>0.20500000000000002</v>
      </c>
      <c r="W276" s="761">
        <v>9.5000000000000001E-2</v>
      </c>
      <c r="X276" s="762">
        <v>0.1</v>
      </c>
      <c r="Y276" s="744">
        <v>1.0500000000000001E-2</v>
      </c>
      <c r="Z276" s="737">
        <v>8.0000000000000002E-3</v>
      </c>
      <c r="AA276" s="755">
        <v>6.0000000000000001E-3</v>
      </c>
      <c r="AB276" s="760">
        <v>0.36499999999999999</v>
      </c>
      <c r="AC276" s="761">
        <v>0.46</v>
      </c>
      <c r="AD276" s="767">
        <v>0.48</v>
      </c>
    </row>
    <row r="277" spans="1:30" x14ac:dyDescent="0.3">
      <c r="A277" s="540" t="str">
        <f>_xlfn.CONCAT(Physicochemical_Managed!Y47, Physicochemical_Managed!P47)</f>
        <v>Before the burnSPO44356</v>
      </c>
      <c r="B277" s="541" t="str">
        <v>After the burnRU44419</v>
      </c>
      <c r="C277" s="542" t="str">
        <f t="shared" si="15"/>
        <v>RU44419</v>
      </c>
      <c r="D277" s="735" t="str">
        <f t="shared" si="16"/>
        <v>RS44335</v>
      </c>
      <c r="E277" s="736" t="str">
        <f t="shared" si="17"/>
        <v>RS44398</v>
      </c>
      <c r="F277" s="739" t="str">
        <f t="shared" si="18"/>
        <v>RU44419</v>
      </c>
      <c r="G277" s="744">
        <v>7.05</v>
      </c>
      <c r="H277" s="737">
        <v>6.5966666666666667</v>
      </c>
      <c r="I277" s="755">
        <v>6.4049999999999994</v>
      </c>
      <c r="J277" s="760">
        <v>18.899999999999999</v>
      </c>
      <c r="K277" s="761">
        <v>27.5</v>
      </c>
      <c r="L277" s="762">
        <v>27.950000000000003</v>
      </c>
      <c r="M277" s="744">
        <v>0.15</v>
      </c>
      <c r="N277" s="737">
        <v>2.2399999999999998</v>
      </c>
      <c r="O277" s="755">
        <v>0.125</v>
      </c>
      <c r="P277" s="760">
        <v>2.0499999999999998</v>
      </c>
      <c r="Q277" s="761">
        <v>0.01</v>
      </c>
      <c r="R277" s="762">
        <v>1.855</v>
      </c>
      <c r="S277" s="744">
        <v>2.69</v>
      </c>
      <c r="T277" s="737">
        <v>2.3566666666666669</v>
      </c>
      <c r="U277" s="755">
        <v>2.0350000000000001</v>
      </c>
      <c r="V277" s="760">
        <v>0.24</v>
      </c>
      <c r="W277" s="761">
        <v>4.6666666666666669E-2</v>
      </c>
      <c r="X277" s="762">
        <v>0.15000000000000002</v>
      </c>
      <c r="Y277" s="744">
        <v>6.0000000000000001E-3</v>
      </c>
      <c r="Z277" s="737">
        <v>7.0000000000000001E-3</v>
      </c>
      <c r="AA277" s="755">
        <v>7.4999999999999997E-3</v>
      </c>
      <c r="AB277" s="760">
        <v>0.34</v>
      </c>
      <c r="AC277" s="761">
        <v>0.40666666666666668</v>
      </c>
      <c r="AD277" s="767">
        <v>0.5</v>
      </c>
    </row>
    <row r="278" spans="1:30" x14ac:dyDescent="0.3">
      <c r="A278" s="540" t="str">
        <f>_xlfn.CONCAT(Physicochemical_Managed!Y48, Physicochemical_Managed!P48)</f>
        <v>During the burnSPO44370</v>
      </c>
      <c r="B278" s="541" t="str">
        <v>After the burnRU44425</v>
      </c>
      <c r="C278" s="542" t="str">
        <f t="shared" si="15"/>
        <v>RU44425</v>
      </c>
      <c r="D278" s="735" t="str">
        <f t="shared" si="16"/>
        <v>RS44341</v>
      </c>
      <c r="E278" s="736" t="str">
        <f t="shared" si="17"/>
        <v>RU44362</v>
      </c>
      <c r="F278" s="739" t="str">
        <f t="shared" si="18"/>
        <v>RU44425</v>
      </c>
      <c r="G278" s="744">
        <v>6.95</v>
      </c>
      <c r="H278" s="737">
        <v>7.29</v>
      </c>
      <c r="I278" s="755">
        <v>6.48</v>
      </c>
      <c r="J278" s="760">
        <v>22.7</v>
      </c>
      <c r="K278" s="761">
        <v>27.4</v>
      </c>
      <c r="L278" s="762">
        <v>26.7</v>
      </c>
      <c r="M278" s="744">
        <v>0.09</v>
      </c>
      <c r="N278" s="737">
        <v>0.91</v>
      </c>
      <c r="O278" s="755">
        <v>0.17</v>
      </c>
      <c r="P278" s="760">
        <v>2.1</v>
      </c>
      <c r="Q278" s="761">
        <v>0.02</v>
      </c>
      <c r="R278" s="762">
        <v>1.67</v>
      </c>
      <c r="S278" s="744">
        <v>2.69</v>
      </c>
      <c r="T278" s="737">
        <v>1.1000000000000001</v>
      </c>
      <c r="U278" s="755">
        <v>2.0299999999999998</v>
      </c>
      <c r="V278" s="760">
        <v>0.15</v>
      </c>
      <c r="W278" s="761">
        <v>0.05</v>
      </c>
      <c r="X278" s="762">
        <v>0.16</v>
      </c>
      <c r="Y278" s="744">
        <v>7.0000000000000001E-3</v>
      </c>
      <c r="Z278" s="737">
        <v>7.0000000000000001E-3</v>
      </c>
      <c r="AA278" s="755">
        <v>1E-3</v>
      </c>
      <c r="AB278" s="760">
        <v>0.3</v>
      </c>
      <c r="AC278" s="761">
        <v>0.42</v>
      </c>
      <c r="AD278" s="767">
        <v>0.43</v>
      </c>
    </row>
    <row r="279" spans="1:30" x14ac:dyDescent="0.3">
      <c r="A279" s="540" t="str">
        <f>_xlfn.CONCAT(Physicochemical_Managed!Y49, Physicochemical_Managed!P49)</f>
        <v>During the burnSPO44377</v>
      </c>
      <c r="B279" s="541" t="str">
        <v>After the burnRU44426</v>
      </c>
      <c r="C279" s="542" t="str">
        <f t="shared" si="15"/>
        <v>RU44426</v>
      </c>
      <c r="D279" s="735" t="str">
        <f t="shared" si="16"/>
        <v>RS44342</v>
      </c>
      <c r="E279" s="736" t="str">
        <f t="shared" si="17"/>
        <v>RU44363</v>
      </c>
      <c r="F279" s="739" t="str">
        <f t="shared" si="18"/>
        <v>RU44426</v>
      </c>
      <c r="G279" s="744">
        <v>7.41</v>
      </c>
      <c r="H279" s="737">
        <v>7.0350000000000001</v>
      </c>
      <c r="I279" s="755">
        <v>6.8849999999999998</v>
      </c>
      <c r="J279" s="760">
        <v>24.8</v>
      </c>
      <c r="K279" s="761">
        <v>26.450000000000003</v>
      </c>
      <c r="L279" s="762">
        <v>27.35</v>
      </c>
      <c r="M279" s="744">
        <v>0.15</v>
      </c>
      <c r="N279" s="737">
        <v>1.4849999999999999</v>
      </c>
      <c r="O279" s="755">
        <v>6.5000000000000002E-2</v>
      </c>
      <c r="P279" s="760">
        <v>1.48</v>
      </c>
      <c r="Q279" s="761">
        <v>1.4999999999999999E-2</v>
      </c>
      <c r="R279" s="762">
        <v>1.87</v>
      </c>
      <c r="S279" s="744">
        <v>1.79</v>
      </c>
      <c r="T279" s="737">
        <v>1.53</v>
      </c>
      <c r="U279" s="755">
        <v>2.2000000000000002</v>
      </c>
      <c r="V279" s="760">
        <v>0.32</v>
      </c>
      <c r="W279" s="761">
        <v>0.155</v>
      </c>
      <c r="X279" s="762">
        <v>0.23</v>
      </c>
      <c r="Y279" s="744">
        <v>1.2999999999999999E-2</v>
      </c>
      <c r="Z279" s="737">
        <v>2.5000000000000001E-3</v>
      </c>
      <c r="AA279" s="755">
        <v>2E-3</v>
      </c>
      <c r="AB279" s="760">
        <v>0.25</v>
      </c>
      <c r="AC279" s="761">
        <v>0.44</v>
      </c>
      <c r="AD279" s="767">
        <v>0.375</v>
      </c>
    </row>
    <row r="280" spans="1:30" x14ac:dyDescent="0.3">
      <c r="A280" s="540" t="str">
        <f>_xlfn.CONCAT(Physicochemical_Managed!Y50, Physicochemical_Managed!P50)</f>
        <v>During the burnSPO44385</v>
      </c>
      <c r="B280" s="541" t="str">
        <v>After the burnRU44432</v>
      </c>
      <c r="C280" s="542" t="str">
        <f t="shared" si="15"/>
        <v>RU44432</v>
      </c>
      <c r="D280" s="735" t="str">
        <f t="shared" si="16"/>
        <v>RS44349</v>
      </c>
      <c r="E280" s="736" t="str">
        <f t="shared" si="17"/>
        <v>RU44364</v>
      </c>
      <c r="F280" s="739" t="str">
        <f t="shared" si="18"/>
        <v>RU44432</v>
      </c>
      <c r="G280" s="744">
        <v>7.3</v>
      </c>
      <c r="H280" s="737">
        <v>7.18</v>
      </c>
      <c r="I280" s="755">
        <v>6.96</v>
      </c>
      <c r="J280" s="760">
        <v>23.3</v>
      </c>
      <c r="K280" s="761">
        <v>25.8</v>
      </c>
      <c r="L280" s="762">
        <v>27.9</v>
      </c>
      <c r="M280" s="744">
        <v>0.13</v>
      </c>
      <c r="N280" s="737">
        <v>2.15</v>
      </c>
      <c r="O280" s="755">
        <v>0.08</v>
      </c>
      <c r="P280" s="760">
        <v>1.5</v>
      </c>
      <c r="Q280" s="761">
        <v>0</v>
      </c>
      <c r="R280" s="762">
        <v>1.18</v>
      </c>
      <c r="S280" s="744">
        <v>1.95</v>
      </c>
      <c r="T280" s="737">
        <v>2.04</v>
      </c>
      <c r="U280" s="755">
        <v>1.19</v>
      </c>
      <c r="V280" s="760">
        <v>0.43</v>
      </c>
      <c r="W280" s="761">
        <v>0.12</v>
      </c>
      <c r="X280" s="762">
        <v>0.14000000000000001</v>
      </c>
      <c r="Y280" s="744">
        <v>2.4E-2</v>
      </c>
      <c r="Z280" s="737">
        <v>6.0000000000000001E-3</v>
      </c>
      <c r="AA280" s="755">
        <v>2E-3</v>
      </c>
      <c r="AB280" s="760">
        <v>0.28999999999999998</v>
      </c>
      <c r="AC280" s="761">
        <v>0.43</v>
      </c>
      <c r="AD280" s="767">
        <v>0.5</v>
      </c>
    </row>
    <row r="281" spans="1:30" x14ac:dyDescent="0.3">
      <c r="A281" s="540" t="str">
        <f>_xlfn.CONCAT(Physicochemical_Managed!Y51, Physicochemical_Managed!P51)</f>
        <v>During the burnSPO44391</v>
      </c>
      <c r="B281" s="541" t="str">
        <v>After the burnRU44433</v>
      </c>
      <c r="C281" s="542" t="str">
        <f t="shared" si="15"/>
        <v>RU44433</v>
      </c>
      <c r="D281" s="735" t="str">
        <f t="shared" si="16"/>
        <v>RS44350</v>
      </c>
      <c r="E281" s="736" t="str">
        <f t="shared" si="17"/>
        <v>RU44369</v>
      </c>
      <c r="F281" s="739" t="str">
        <f t="shared" si="18"/>
        <v>RU44433</v>
      </c>
      <c r="G281" s="744">
        <v>7.43</v>
      </c>
      <c r="H281" s="737">
        <v>6.9850000000000003</v>
      </c>
      <c r="I281" s="755">
        <v>7.0049999999999999</v>
      </c>
      <c r="J281" s="760">
        <v>24.5</v>
      </c>
      <c r="K281" s="761">
        <v>26.1</v>
      </c>
      <c r="L281" s="762">
        <v>27.95</v>
      </c>
      <c r="M281" s="744">
        <v>8.4999999999999992E-2</v>
      </c>
      <c r="N281" s="737">
        <v>2.14</v>
      </c>
      <c r="O281" s="755">
        <v>6.0000000000000005E-2</v>
      </c>
      <c r="P281" s="760">
        <v>2.4249999999999998</v>
      </c>
      <c r="Q281" s="761">
        <v>5.0000000000000001E-3</v>
      </c>
      <c r="R281" s="762">
        <v>1.34</v>
      </c>
      <c r="S281" s="744">
        <v>2.86</v>
      </c>
      <c r="T281" s="737">
        <v>2.165</v>
      </c>
      <c r="U281" s="755">
        <v>1.3050000000000002</v>
      </c>
      <c r="V281" s="760">
        <v>0.28500000000000003</v>
      </c>
      <c r="W281" s="761">
        <v>0.08</v>
      </c>
      <c r="X281" s="762">
        <v>0.17</v>
      </c>
      <c r="Y281" s="744">
        <v>8.0000000000000002E-3</v>
      </c>
      <c r="Z281" s="737">
        <v>5.4999999999999997E-3</v>
      </c>
      <c r="AA281" s="755">
        <v>4.5000000000000005E-3</v>
      </c>
      <c r="AB281" s="760">
        <v>0.28500000000000003</v>
      </c>
      <c r="AC281" s="761">
        <v>0.42</v>
      </c>
      <c r="AD281" s="767">
        <v>0.51</v>
      </c>
    </row>
    <row r="282" spans="1:30" x14ac:dyDescent="0.3">
      <c r="A282" s="540" t="str">
        <f>_xlfn.CONCAT(Physicochemical_Managed!Y52, Physicochemical_Managed!P52)</f>
        <v>During the burnSPO44398</v>
      </c>
      <c r="B282" s="541" t="str">
        <v>After the burnSPI44405</v>
      </c>
      <c r="C282" s="542" t="str">
        <f t="shared" si="15"/>
        <v>SPI44405</v>
      </c>
      <c r="D282" s="735" t="str">
        <f t="shared" si="16"/>
        <v>RU44293</v>
      </c>
      <c r="E282" s="736" t="str">
        <f t="shared" si="17"/>
        <v>RU44370</v>
      </c>
      <c r="F282" s="739" t="str">
        <f t="shared" si="18"/>
        <v>SPI44405</v>
      </c>
      <c r="G282" s="744">
        <v>7.35</v>
      </c>
      <c r="H282" s="737">
        <v>6.98</v>
      </c>
      <c r="I282" s="755">
        <v>6.9</v>
      </c>
      <c r="J282" s="760">
        <v>23.4</v>
      </c>
      <c r="K282" s="761">
        <v>26.7</v>
      </c>
      <c r="L282" s="762">
        <v>24</v>
      </c>
      <c r="M282" s="744">
        <v>0.1</v>
      </c>
      <c r="N282" s="737">
        <v>2.09</v>
      </c>
      <c r="O282" s="755">
        <v>1.37</v>
      </c>
      <c r="P282" s="760">
        <v>2.2000000000000002</v>
      </c>
      <c r="Q282" s="761">
        <v>0.03</v>
      </c>
      <c r="R282" s="762">
        <v>0.02</v>
      </c>
      <c r="S282" s="744">
        <v>2.85</v>
      </c>
      <c r="T282" s="737">
        <v>2.27</v>
      </c>
      <c r="U282" s="755">
        <v>1.54</v>
      </c>
      <c r="V282" s="760">
        <v>0.21</v>
      </c>
      <c r="W282" s="761">
        <v>0.02</v>
      </c>
      <c r="X282" s="762">
        <v>0.04</v>
      </c>
      <c r="Y282" s="744">
        <v>7.0000000000000001E-3</v>
      </c>
      <c r="Z282" s="737">
        <v>5.0000000000000001E-3</v>
      </c>
      <c r="AA282" s="755">
        <v>6.0000000000000001E-3</v>
      </c>
      <c r="AB282" s="760">
        <v>0.28000000000000003</v>
      </c>
      <c r="AC282" s="761">
        <v>0.46</v>
      </c>
      <c r="AD282" s="767">
        <v>0.64</v>
      </c>
    </row>
    <row r="283" spans="1:30" x14ac:dyDescent="0.3">
      <c r="A283" s="540" t="str">
        <f>_xlfn.CONCAT(Physicochemical_Managed!Y53, Physicochemical_Managed!P53)</f>
        <v>After the burnSPO44405</v>
      </c>
      <c r="B283" s="541" t="str">
        <v>After the burnSPI44412</v>
      </c>
      <c r="C283" s="542" t="str">
        <f t="shared" si="15"/>
        <v>SPI44412</v>
      </c>
      <c r="D283" s="735" t="str">
        <f t="shared" si="16"/>
        <v>RU44306</v>
      </c>
      <c r="E283" s="736" t="str">
        <f t="shared" si="17"/>
        <v>RU44376</v>
      </c>
      <c r="F283" s="739" t="str">
        <f t="shared" si="18"/>
        <v>SPI44412</v>
      </c>
      <c r="G283" s="744">
        <v>6.88</v>
      </c>
      <c r="H283" s="737">
        <v>6.915</v>
      </c>
      <c r="I283" s="755">
        <v>6.915</v>
      </c>
      <c r="J283" s="760">
        <v>25</v>
      </c>
      <c r="K283" s="761">
        <v>26.6</v>
      </c>
      <c r="L283" s="762">
        <v>24.725000000000001</v>
      </c>
      <c r="M283" s="744">
        <v>0.13500000000000001</v>
      </c>
      <c r="N283" s="737">
        <v>1.9849999999999999</v>
      </c>
      <c r="O283" s="755">
        <v>0.05</v>
      </c>
      <c r="P283" s="760">
        <v>2.39</v>
      </c>
      <c r="Q283" s="761">
        <v>5.0000000000000001E-3</v>
      </c>
      <c r="R283" s="762">
        <v>0.60499999999999998</v>
      </c>
      <c r="S283" s="744">
        <v>2.9950000000000001</v>
      </c>
      <c r="T283" s="737">
        <v>2.4500000000000002</v>
      </c>
      <c r="U283" s="755">
        <v>0.70500000000000007</v>
      </c>
      <c r="V283" s="760">
        <v>0.2</v>
      </c>
      <c r="W283" s="761">
        <v>0.04</v>
      </c>
      <c r="X283" s="762">
        <v>0.15000000000000002</v>
      </c>
      <c r="Y283" s="744">
        <v>7.0000000000000001E-3</v>
      </c>
      <c r="Z283" s="737">
        <v>6.0000000000000001E-3</v>
      </c>
      <c r="AA283" s="755">
        <v>8.0000000000000002E-3</v>
      </c>
      <c r="AB283" s="760">
        <v>0.27</v>
      </c>
      <c r="AC283" s="761">
        <v>0.47499999999999998</v>
      </c>
      <c r="AD283" s="767">
        <v>0.57499999999999996</v>
      </c>
    </row>
    <row r="284" spans="1:30" x14ac:dyDescent="0.3">
      <c r="A284" s="540" t="str">
        <f>_xlfn.CONCAT(Physicochemical_Managed!Y54, Physicochemical_Managed!P54)</f>
        <v>After the burnSPO44412</v>
      </c>
      <c r="B284" s="541" t="str">
        <v>After the burnSPI44419</v>
      </c>
      <c r="C284" s="542" t="str">
        <f t="shared" si="15"/>
        <v>SPI44419</v>
      </c>
      <c r="D284" s="735" t="str">
        <f t="shared" si="16"/>
        <v>RU44313</v>
      </c>
      <c r="E284" s="736" t="str">
        <f t="shared" si="17"/>
        <v>RU44377</v>
      </c>
      <c r="F284" s="739" t="str">
        <f t="shared" si="18"/>
        <v>SPI44419</v>
      </c>
      <c r="G284" s="744">
        <v>7.29</v>
      </c>
      <c r="H284" s="737">
        <v>6.81</v>
      </c>
      <c r="I284" s="755">
        <v>6.85</v>
      </c>
      <c r="J284" s="760">
        <v>25</v>
      </c>
      <c r="K284" s="761">
        <v>25.3</v>
      </c>
      <c r="L284" s="762">
        <v>24.3</v>
      </c>
      <c r="M284" s="744">
        <v>0.09</v>
      </c>
      <c r="N284" s="737">
        <v>1.49</v>
      </c>
      <c r="O284" s="755">
        <v>0</v>
      </c>
      <c r="P284" s="760">
        <v>2.16</v>
      </c>
      <c r="Q284" s="761">
        <v>0.04</v>
      </c>
      <c r="R284" s="762">
        <v>1.1299999999999999</v>
      </c>
      <c r="S284" s="744">
        <v>2.4300000000000002</v>
      </c>
      <c r="T284" s="737">
        <v>2.38</v>
      </c>
      <c r="U284" s="755">
        <v>1.25</v>
      </c>
      <c r="V284" s="760">
        <v>0.25</v>
      </c>
      <c r="W284" s="761">
        <v>0.01</v>
      </c>
      <c r="X284" s="762">
        <v>0.19</v>
      </c>
      <c r="Y284" s="744">
        <v>5.0000000000000001E-3</v>
      </c>
      <c r="Z284" s="737">
        <v>6.0000000000000001E-3</v>
      </c>
      <c r="AA284" s="755">
        <v>6.0000000000000001E-3</v>
      </c>
      <c r="AB284" s="760">
        <v>0.41</v>
      </c>
      <c r="AC284" s="761">
        <v>0.45</v>
      </c>
      <c r="AD284" s="767">
        <v>0.64</v>
      </c>
    </row>
    <row r="285" spans="1:30" x14ac:dyDescent="0.3">
      <c r="A285" s="540" t="str">
        <f>_xlfn.CONCAT(Physicochemical_Managed!Y55, Physicochemical_Managed!P55)</f>
        <v>After the burnSPO44419</v>
      </c>
      <c r="B285" s="541" t="str">
        <v>After the burnSPI44426</v>
      </c>
      <c r="C285" s="542" t="str">
        <f t="shared" si="15"/>
        <v>SPI44426</v>
      </c>
      <c r="D285" s="735" t="str">
        <f t="shared" si="16"/>
        <v>RU44327</v>
      </c>
      <c r="E285" s="736" t="str">
        <f t="shared" si="17"/>
        <v>RU44384</v>
      </c>
      <c r="F285" s="739" t="str">
        <f t="shared" si="18"/>
        <v>SPI44426</v>
      </c>
      <c r="G285" s="744">
        <v>7.2449999999999992</v>
      </c>
      <c r="H285" s="737">
        <v>6.8800000000000008</v>
      </c>
      <c r="I285" s="755">
        <v>6.875</v>
      </c>
      <c r="J285" s="760">
        <v>25.05</v>
      </c>
      <c r="K285" s="761">
        <v>26.55</v>
      </c>
      <c r="L285" s="762">
        <v>24.6</v>
      </c>
      <c r="M285" s="744">
        <v>7.4999999999999997E-2</v>
      </c>
      <c r="N285" s="737">
        <v>2.4750000000000001</v>
      </c>
      <c r="O285" s="755">
        <v>7.0000000000000007E-2</v>
      </c>
      <c r="P285" s="760">
        <v>2.34</v>
      </c>
      <c r="Q285" s="761">
        <v>0.02</v>
      </c>
      <c r="R285" s="762">
        <v>1.02</v>
      </c>
      <c r="S285" s="744">
        <v>2.56</v>
      </c>
      <c r="T285" s="737">
        <v>2.6949999999999998</v>
      </c>
      <c r="U285" s="755">
        <v>1.105</v>
      </c>
      <c r="V285" s="760">
        <v>0.26</v>
      </c>
      <c r="W285" s="761">
        <v>1.4999999999999999E-2</v>
      </c>
      <c r="X285" s="762">
        <v>0.20500000000000002</v>
      </c>
      <c r="Y285" s="744">
        <v>7.0000000000000001E-3</v>
      </c>
      <c r="Z285" s="737">
        <v>5.4999999999999997E-3</v>
      </c>
      <c r="AA285" s="755">
        <v>7.4999999999999997E-3</v>
      </c>
      <c r="AB285" s="760">
        <v>0.39</v>
      </c>
      <c r="AC285" s="761">
        <v>0.45499999999999996</v>
      </c>
      <c r="AD285" s="767">
        <v>0.63</v>
      </c>
    </row>
    <row r="286" spans="1:30" x14ac:dyDescent="0.3">
      <c r="A286" s="540" t="str">
        <f>_xlfn.CONCAT(Physicochemical_Managed!Y56, Physicochemical_Managed!P56)</f>
        <v>After the burnSPO44426</v>
      </c>
      <c r="B286" s="541" t="str">
        <v>After the burnSPI44433</v>
      </c>
      <c r="C286" s="542" t="str">
        <f t="shared" si="15"/>
        <v>SPI44433</v>
      </c>
      <c r="D286" s="735" t="str">
        <f t="shared" si="16"/>
        <v>RU44334</v>
      </c>
      <c r="E286" s="736" t="str">
        <f t="shared" si="17"/>
        <v>RU44385</v>
      </c>
      <c r="F286" s="739" t="str">
        <f t="shared" si="18"/>
        <v>SPI44433</v>
      </c>
      <c r="G286" s="744">
        <v>7.45</v>
      </c>
      <c r="H286" s="737">
        <v>6.85</v>
      </c>
      <c r="I286" s="755">
        <v>6.85</v>
      </c>
      <c r="J286" s="760">
        <v>25.3</v>
      </c>
      <c r="K286" s="761">
        <v>25.4</v>
      </c>
      <c r="L286" s="762">
        <v>23.9</v>
      </c>
      <c r="M286" s="744">
        <v>0.09</v>
      </c>
      <c r="N286" s="737">
        <v>2.14</v>
      </c>
      <c r="O286" s="755">
        <v>0.11</v>
      </c>
      <c r="P286" s="760">
        <v>2.2200000000000002</v>
      </c>
      <c r="Q286" s="761">
        <v>0.04</v>
      </c>
      <c r="R286" s="762">
        <v>1.04</v>
      </c>
      <c r="S286" s="744">
        <v>2.52</v>
      </c>
      <c r="T286" s="737">
        <v>2.14</v>
      </c>
      <c r="U286" s="755">
        <v>0.93</v>
      </c>
      <c r="V286" s="760">
        <v>0.34</v>
      </c>
      <c r="W286" s="761">
        <v>0.09</v>
      </c>
      <c r="X286" s="762">
        <v>0.21</v>
      </c>
      <c r="Y286" s="744">
        <v>7.0000000000000001E-3</v>
      </c>
      <c r="Z286" s="737">
        <v>6.0000000000000001E-3</v>
      </c>
      <c r="AA286" s="755">
        <v>6.0000000000000001E-3</v>
      </c>
      <c r="AB286" s="760">
        <v>0.36</v>
      </c>
      <c r="AC286" s="761">
        <v>0.54</v>
      </c>
      <c r="AD286" s="767">
        <v>0.59</v>
      </c>
    </row>
    <row r="287" spans="1:30" x14ac:dyDescent="0.3">
      <c r="A287" s="540" t="str">
        <f>_xlfn.CONCAT(Physicochemical_Managed!Y57, Physicochemical_Managed!P57)</f>
        <v>After the burnSPO44433</v>
      </c>
      <c r="B287" s="541" t="str">
        <v>After the burnSPO44405</v>
      </c>
      <c r="C287" s="542" t="str">
        <f t="shared" si="15"/>
        <v>SPO44405</v>
      </c>
      <c r="D287" s="735" t="str">
        <f t="shared" si="16"/>
        <v>RU44335</v>
      </c>
      <c r="E287" s="736" t="str">
        <f t="shared" si="17"/>
        <v>RU44390</v>
      </c>
      <c r="F287" s="739" t="str">
        <f t="shared" si="18"/>
        <v>SPO44405</v>
      </c>
      <c r="G287" s="744">
        <v>6.8149999999999995</v>
      </c>
      <c r="H287" s="737">
        <v>6.8149999999999995</v>
      </c>
      <c r="I287" s="755">
        <v>6.87</v>
      </c>
      <c r="J287" s="760">
        <v>26.95</v>
      </c>
      <c r="K287" s="761">
        <v>26.85</v>
      </c>
      <c r="L287" s="762">
        <v>24.65</v>
      </c>
      <c r="M287" s="744">
        <v>0.1</v>
      </c>
      <c r="N287" s="737">
        <v>1.85</v>
      </c>
      <c r="O287" s="755">
        <v>6.5000000000000002E-2</v>
      </c>
      <c r="P287" s="760">
        <v>2.6100000000000003</v>
      </c>
      <c r="Q287" s="761">
        <v>0.01</v>
      </c>
      <c r="R287" s="762">
        <v>0.76500000000000001</v>
      </c>
      <c r="S287" s="744">
        <v>2.87</v>
      </c>
      <c r="T287" s="737">
        <v>2.2549999999999999</v>
      </c>
      <c r="U287" s="755">
        <v>0.67500000000000004</v>
      </c>
      <c r="V287" s="760">
        <v>0.155</v>
      </c>
      <c r="W287" s="761">
        <v>0.02</v>
      </c>
      <c r="X287" s="762">
        <v>0.24</v>
      </c>
      <c r="Y287" s="744">
        <v>8.0000000000000002E-3</v>
      </c>
      <c r="Z287" s="737">
        <v>5.4999999999999997E-3</v>
      </c>
      <c r="AA287" s="755">
        <v>7.4999999999999997E-3</v>
      </c>
      <c r="AB287" s="760">
        <v>0.33999999999999997</v>
      </c>
      <c r="AC287" s="761">
        <v>0.49</v>
      </c>
      <c r="AD287" s="767">
        <v>0.61</v>
      </c>
    </row>
    <row r="288" spans="1:30" x14ac:dyDescent="0.3">
      <c r="A288" s="540" t="str">
        <f>_xlfn.CONCAT(Physicochemical_Managed!Y58, Physicochemical_Managed!P58)</f>
        <v>Before the burnMRT44294</v>
      </c>
      <c r="B288" s="541" t="str">
        <v>After the burnSPO44412</v>
      </c>
      <c r="C288" s="542" t="str">
        <f t="shared" si="15"/>
        <v>SPO44412</v>
      </c>
      <c r="D288" s="735" t="str">
        <f t="shared" si="16"/>
        <v>RU44341</v>
      </c>
      <c r="E288" s="736" t="str">
        <f t="shared" si="17"/>
        <v>RU44391</v>
      </c>
      <c r="F288" s="739" t="str">
        <f t="shared" si="18"/>
        <v>SPO44412</v>
      </c>
      <c r="G288" s="744">
        <v>6.4849999999999994</v>
      </c>
      <c r="H288" s="737">
        <v>7.01</v>
      </c>
      <c r="I288" s="755">
        <v>6.9</v>
      </c>
      <c r="J288" s="760">
        <v>20.9</v>
      </c>
      <c r="K288" s="761">
        <v>27.9</v>
      </c>
      <c r="L288" s="762">
        <v>24.4</v>
      </c>
      <c r="M288" s="744">
        <v>0.14500000000000002</v>
      </c>
      <c r="N288" s="737">
        <v>0.14000000000000001</v>
      </c>
      <c r="O288" s="755">
        <v>0.09</v>
      </c>
      <c r="P288" s="760">
        <v>2.3650000000000002</v>
      </c>
      <c r="Q288" s="761">
        <v>0.09</v>
      </c>
      <c r="R288" s="762">
        <v>0.95</v>
      </c>
      <c r="S288" s="744">
        <v>2.5350000000000001</v>
      </c>
      <c r="T288" s="737">
        <v>0.15</v>
      </c>
      <c r="U288" s="755">
        <v>0.85</v>
      </c>
      <c r="V288" s="760">
        <v>0.16500000000000001</v>
      </c>
      <c r="W288" s="761">
        <v>0.01</v>
      </c>
      <c r="X288" s="762">
        <v>0.19</v>
      </c>
      <c r="Y288" s="744">
        <v>5.0000000000000001E-3</v>
      </c>
      <c r="Z288" s="737">
        <v>6.0000000000000001E-3</v>
      </c>
      <c r="AA288" s="755">
        <v>6.0000000000000001E-3</v>
      </c>
      <c r="AB288" s="760">
        <v>0.35499999999999998</v>
      </c>
      <c r="AC288" s="761">
        <v>0.44</v>
      </c>
      <c r="AD288" s="767">
        <v>0.53</v>
      </c>
    </row>
    <row r="289" spans="1:30" x14ac:dyDescent="0.3">
      <c r="A289" s="540" t="str">
        <f>_xlfn.CONCAT(Physicochemical_Managed!Y59, Physicochemical_Managed!P59)</f>
        <v>Before the burnMRT44306</v>
      </c>
      <c r="B289" s="541" t="str">
        <v>After the burnSPO44419</v>
      </c>
      <c r="C289" s="542" t="str">
        <f t="shared" si="15"/>
        <v>SPO44419</v>
      </c>
      <c r="D289" s="735" t="str">
        <f t="shared" si="16"/>
        <v>RU44342</v>
      </c>
      <c r="E289" s="736" t="str">
        <f t="shared" si="17"/>
        <v>RU44397</v>
      </c>
      <c r="F289" s="739" t="str">
        <f t="shared" si="18"/>
        <v>SPO44419</v>
      </c>
      <c r="G289" s="744">
        <v>6.86</v>
      </c>
      <c r="H289" s="737">
        <v>6.8900000000000006</v>
      </c>
      <c r="I289" s="755">
        <v>6.8599999999999994</v>
      </c>
      <c r="J289" s="760">
        <v>20.9</v>
      </c>
      <c r="K289" s="761">
        <v>24.35</v>
      </c>
      <c r="L289" s="762">
        <v>24.9</v>
      </c>
      <c r="M289" s="744">
        <v>0.09</v>
      </c>
      <c r="N289" s="737">
        <v>0.02</v>
      </c>
      <c r="O289" s="755">
        <v>0.05</v>
      </c>
      <c r="P289" s="760">
        <v>1.72</v>
      </c>
      <c r="Q289" s="761">
        <v>1.4999999999999999E-2</v>
      </c>
      <c r="R289" s="762">
        <v>0.92500000000000004</v>
      </c>
      <c r="S289" s="744">
        <v>2.4</v>
      </c>
      <c r="T289" s="737">
        <v>0.12</v>
      </c>
      <c r="U289" s="755">
        <v>0.95499999999999996</v>
      </c>
      <c r="V289" s="760">
        <v>0.22</v>
      </c>
      <c r="W289" s="761">
        <v>6.5000000000000002E-2</v>
      </c>
      <c r="X289" s="762">
        <v>0.23499999999999999</v>
      </c>
      <c r="Y289" s="744">
        <v>6.0000000000000001E-3</v>
      </c>
      <c r="Z289" s="737">
        <v>1.3499999999999998E-2</v>
      </c>
      <c r="AA289" s="755">
        <v>7.4999999999999997E-3</v>
      </c>
      <c r="AB289" s="760">
        <v>0.39</v>
      </c>
      <c r="AC289" s="761">
        <v>0.57000000000000006</v>
      </c>
      <c r="AD289" s="767">
        <v>0.59</v>
      </c>
    </row>
    <row r="290" spans="1:30" x14ac:dyDescent="0.3">
      <c r="A290" s="540" t="str">
        <f>_xlfn.CONCAT(Physicochemical_Managed!Y60, Physicochemical_Managed!P60)</f>
        <v>Before the burnMRT44313</v>
      </c>
      <c r="B290" s="541" t="str">
        <v>After the burnSPO44426</v>
      </c>
      <c r="C290" s="542" t="str">
        <f t="shared" si="15"/>
        <v>SPO44426</v>
      </c>
      <c r="D290" s="735" t="str">
        <f t="shared" si="16"/>
        <v>RU44349</v>
      </c>
      <c r="E290" s="736" t="str">
        <f t="shared" si="17"/>
        <v>SPI44370</v>
      </c>
      <c r="F290" s="739" t="str">
        <f t="shared" si="18"/>
        <v>SPO44426</v>
      </c>
      <c r="G290" s="744">
        <v>7.14</v>
      </c>
      <c r="H290" s="737">
        <v>6.94</v>
      </c>
      <c r="I290" s="755">
        <v>6.95</v>
      </c>
      <c r="J290" s="760">
        <v>21.6</v>
      </c>
      <c r="K290" s="761">
        <v>23.8</v>
      </c>
      <c r="L290" s="762">
        <v>24.6</v>
      </c>
      <c r="M290" s="744">
        <v>0.05</v>
      </c>
      <c r="N290" s="737">
        <v>1.7</v>
      </c>
      <c r="O290" s="755">
        <v>0.04</v>
      </c>
      <c r="P290" s="760">
        <v>1.74</v>
      </c>
      <c r="Q290" s="761">
        <v>0.02</v>
      </c>
      <c r="R290" s="762">
        <v>0.75</v>
      </c>
      <c r="S290" s="744">
        <v>2.19</v>
      </c>
      <c r="T290" s="737">
        <v>1.94</v>
      </c>
      <c r="U290" s="755">
        <v>0.6</v>
      </c>
      <c r="V290" s="760">
        <v>0.18</v>
      </c>
      <c r="W290" s="761">
        <v>0.03</v>
      </c>
      <c r="X290" s="762">
        <v>0.24</v>
      </c>
      <c r="Y290" s="744">
        <v>6.0000000000000001E-3</v>
      </c>
      <c r="Z290" s="737">
        <v>6.0000000000000001E-3</v>
      </c>
      <c r="AA290" s="755">
        <v>7.0000000000000001E-3</v>
      </c>
      <c r="AB290" s="760">
        <v>0.36</v>
      </c>
      <c r="AC290" s="761">
        <v>0.56999999999999995</v>
      </c>
      <c r="AD290" s="767">
        <v>0.68</v>
      </c>
    </row>
    <row r="291" spans="1:30" x14ac:dyDescent="0.3">
      <c r="A291" s="540" t="str">
        <f>_xlfn.CONCAT(Physicochemical_Managed!Y61, Physicochemical_Managed!P61)</f>
        <v>Before the burnMRT44320</v>
      </c>
      <c r="B291" s="541" t="str">
        <v>After the burnSPO44433</v>
      </c>
      <c r="C291" s="542" t="str">
        <f t="shared" si="15"/>
        <v>SPO44433</v>
      </c>
      <c r="D291" s="735" t="str">
        <f t="shared" si="16"/>
        <v>RU44350</v>
      </c>
      <c r="E291" s="736" t="str">
        <f t="shared" si="17"/>
        <v>SPI44377</v>
      </c>
      <c r="F291" s="739" t="str">
        <f t="shared" si="18"/>
        <v>SPO44433</v>
      </c>
      <c r="G291" s="744">
        <v>7.39</v>
      </c>
      <c r="H291" s="737">
        <v>7.0600000000000005</v>
      </c>
      <c r="I291" s="755">
        <v>7.0049999999999999</v>
      </c>
      <c r="J291" s="760">
        <v>23.2</v>
      </c>
      <c r="K291" s="761">
        <v>24.5</v>
      </c>
      <c r="L291" s="762">
        <v>24.45</v>
      </c>
      <c r="M291" s="744">
        <v>0.09</v>
      </c>
      <c r="N291" s="737">
        <v>1.375</v>
      </c>
      <c r="O291" s="755">
        <v>0.08</v>
      </c>
      <c r="P291" s="760">
        <v>1.55</v>
      </c>
      <c r="Q291" s="761">
        <v>0.28500000000000003</v>
      </c>
      <c r="R291" s="762">
        <v>1.03</v>
      </c>
      <c r="S291" s="744">
        <v>1.75</v>
      </c>
      <c r="T291" s="737">
        <v>1.53</v>
      </c>
      <c r="U291" s="755">
        <v>0.89</v>
      </c>
      <c r="V291" s="760">
        <v>0.28999999999999998</v>
      </c>
      <c r="W291" s="761">
        <v>8.4999999999999992E-2</v>
      </c>
      <c r="X291" s="762">
        <v>0.37</v>
      </c>
      <c r="Y291" s="744">
        <v>7.0000000000000001E-3</v>
      </c>
      <c r="Z291" s="737">
        <v>6.0000000000000001E-3</v>
      </c>
      <c r="AA291" s="755">
        <v>8.5000000000000006E-3</v>
      </c>
      <c r="AB291" s="760">
        <v>0.34</v>
      </c>
      <c r="AC291" s="761">
        <v>0.53500000000000003</v>
      </c>
      <c r="AD291" s="767">
        <v>0.60499999999999998</v>
      </c>
    </row>
    <row r="292" spans="1:30" x14ac:dyDescent="0.3">
      <c r="A292" s="540" t="str">
        <f>_xlfn.CONCAT(Physicochemical_Managed!Y62, Physicochemical_Managed!P62)</f>
        <v>Before the burnMRT44327</v>
      </c>
      <c r="B292" s="541" t="str">
        <v>Before the burnEP44294</v>
      </c>
      <c r="C292" s="542" t="str">
        <f t="shared" si="15"/>
        <v>EP44294</v>
      </c>
      <c r="D292" s="735" t="str">
        <f t="shared" si="16"/>
        <v>RU44355</v>
      </c>
      <c r="E292" s="736" t="str">
        <f t="shared" si="17"/>
        <v>SPI44385</v>
      </c>
      <c r="F292" s="739"/>
      <c r="G292" s="744">
        <v>7.15</v>
      </c>
      <c r="H292" s="737">
        <v>7.01</v>
      </c>
      <c r="I292" s="755"/>
      <c r="J292" s="760">
        <v>23.8</v>
      </c>
      <c r="K292" s="761">
        <v>23.8</v>
      </c>
      <c r="L292" s="762"/>
      <c r="M292" s="744">
        <v>0.1</v>
      </c>
      <c r="N292" s="737">
        <v>1.37</v>
      </c>
      <c r="O292" s="755"/>
      <c r="P292" s="760">
        <v>1.61</v>
      </c>
      <c r="Q292" s="761">
        <v>0.02</v>
      </c>
      <c r="R292" s="762"/>
      <c r="S292" s="744">
        <v>1.79</v>
      </c>
      <c r="T292" s="737">
        <v>1.52</v>
      </c>
      <c r="U292" s="755"/>
      <c r="V292" s="760">
        <v>0.2</v>
      </c>
      <c r="W292" s="761">
        <v>0.02</v>
      </c>
      <c r="X292" s="762"/>
      <c r="Y292" s="744">
        <v>6.0000000000000001E-3</v>
      </c>
      <c r="Z292" s="737">
        <v>6.0000000000000001E-3</v>
      </c>
      <c r="AA292" s="755"/>
      <c r="AB292" s="760">
        <v>0.38</v>
      </c>
      <c r="AC292" s="761">
        <v>0.54</v>
      </c>
      <c r="AD292" s="767"/>
    </row>
    <row r="293" spans="1:30" x14ac:dyDescent="0.3">
      <c r="A293" s="540" t="str">
        <f>_xlfn.CONCAT(Physicochemical_Managed!Y63, Physicochemical_Managed!P63)</f>
        <v>Before the burnMRT44335</v>
      </c>
      <c r="B293" s="541" t="str">
        <v>Before the burnEP44306</v>
      </c>
      <c r="C293" s="542" t="str">
        <f t="shared" si="15"/>
        <v>EP44306</v>
      </c>
      <c r="D293" s="735" t="str">
        <f t="shared" si="16"/>
        <v>RU44356</v>
      </c>
      <c r="E293" s="736" t="str">
        <f t="shared" si="17"/>
        <v>SPI44391</v>
      </c>
      <c r="F293" s="739"/>
      <c r="G293" s="744">
        <v>7.0449999999999999</v>
      </c>
      <c r="H293" s="737">
        <v>7.02</v>
      </c>
      <c r="I293" s="755"/>
      <c r="J293" s="760">
        <v>23.549999999999997</v>
      </c>
      <c r="K293" s="761">
        <v>24.1</v>
      </c>
      <c r="L293" s="762"/>
      <c r="M293" s="744">
        <v>0.19</v>
      </c>
      <c r="N293" s="737">
        <v>1.45</v>
      </c>
      <c r="O293" s="755"/>
      <c r="P293" s="760">
        <v>1.52</v>
      </c>
      <c r="Q293" s="761">
        <v>0.06</v>
      </c>
      <c r="R293" s="762"/>
      <c r="S293" s="744">
        <v>1.7650000000000001</v>
      </c>
      <c r="T293" s="737">
        <v>1.615</v>
      </c>
      <c r="U293" s="755"/>
      <c r="V293" s="760">
        <v>0.27</v>
      </c>
      <c r="W293" s="761">
        <v>0.08</v>
      </c>
      <c r="X293" s="762"/>
      <c r="Y293" s="744">
        <v>6.5000000000000006E-3</v>
      </c>
      <c r="Z293" s="737">
        <v>6.0000000000000001E-3</v>
      </c>
      <c r="AA293" s="755"/>
      <c r="AB293" s="760">
        <v>0.38</v>
      </c>
      <c r="AC293" s="761">
        <v>0.59</v>
      </c>
      <c r="AD293" s="767"/>
    </row>
    <row r="294" spans="1:30" x14ac:dyDescent="0.3">
      <c r="A294" s="540" t="str">
        <f>_xlfn.CONCAT(Physicochemical_Managed!Y64, Physicochemical_Managed!P64)</f>
        <v>Before the burnMRT44342</v>
      </c>
      <c r="B294" s="541" t="str">
        <v>Before the burnEP44313</v>
      </c>
      <c r="C294" s="542" t="str">
        <f t="shared" si="15"/>
        <v>EP44313</v>
      </c>
      <c r="D294" s="735" t="str">
        <f t="shared" si="16"/>
        <v>SPI44294</v>
      </c>
      <c r="E294" s="736" t="str">
        <f t="shared" si="17"/>
        <v>SPI44398</v>
      </c>
      <c r="F294" s="739"/>
      <c r="G294" s="744">
        <v>7.12</v>
      </c>
      <c r="H294" s="737">
        <v>7.01</v>
      </c>
      <c r="I294" s="755"/>
      <c r="J294" s="760">
        <v>23.5</v>
      </c>
      <c r="K294" s="761">
        <v>24.4</v>
      </c>
      <c r="L294" s="762"/>
      <c r="M294" s="744">
        <v>0.16</v>
      </c>
      <c r="N294" s="737">
        <v>1.74</v>
      </c>
      <c r="O294" s="755"/>
      <c r="P294" s="760">
        <v>1.1599999999999999</v>
      </c>
      <c r="Q294" s="761">
        <v>0</v>
      </c>
      <c r="R294" s="762"/>
      <c r="S294" s="744">
        <v>1.99</v>
      </c>
      <c r="T294" s="737">
        <v>1.97</v>
      </c>
      <c r="U294" s="755"/>
      <c r="V294" s="760">
        <v>0.24</v>
      </c>
      <c r="W294" s="761">
        <v>0.02</v>
      </c>
      <c r="X294" s="762"/>
      <c r="Y294" s="744">
        <v>8.0000000000000002E-3</v>
      </c>
      <c r="Z294" s="737">
        <v>7.0000000000000001E-3</v>
      </c>
      <c r="AA294" s="755"/>
      <c r="AB294" s="760">
        <v>0.38</v>
      </c>
      <c r="AC294" s="761">
        <v>0.52</v>
      </c>
      <c r="AD294" s="767"/>
    </row>
    <row r="295" spans="1:30" x14ac:dyDescent="0.3">
      <c r="A295" s="540" t="str">
        <f>_xlfn.CONCAT(Physicochemical_Managed!Y65, Physicochemical_Managed!P65)</f>
        <v>Before the burnMRT44356</v>
      </c>
      <c r="B295" s="541" t="str">
        <v>Before the burnEP44320</v>
      </c>
      <c r="C295" s="542" t="str">
        <f t="shared" si="15"/>
        <v>EP44320</v>
      </c>
      <c r="D295" s="735" t="str">
        <f t="shared" si="16"/>
        <v>SPI44306</v>
      </c>
      <c r="E295" s="736" t="str">
        <f t="shared" si="17"/>
        <v>SPO44370</v>
      </c>
      <c r="F295" s="739"/>
      <c r="G295" s="744">
        <v>6.87</v>
      </c>
      <c r="H295" s="737">
        <v>6.9949999999999992</v>
      </c>
      <c r="I295" s="755"/>
      <c r="J295" s="760">
        <v>23.65</v>
      </c>
      <c r="K295" s="761">
        <v>24.4</v>
      </c>
      <c r="L295" s="762"/>
      <c r="M295" s="744">
        <v>0.09</v>
      </c>
      <c r="N295" s="737">
        <v>1.2050000000000001</v>
      </c>
      <c r="O295" s="755"/>
      <c r="P295" s="760">
        <v>1.56</v>
      </c>
      <c r="Q295" s="761">
        <v>0.01</v>
      </c>
      <c r="R295" s="762"/>
      <c r="S295" s="744">
        <v>1.885</v>
      </c>
      <c r="T295" s="737">
        <v>1.585</v>
      </c>
      <c r="U295" s="755"/>
      <c r="V295" s="760">
        <v>0.21000000000000002</v>
      </c>
      <c r="W295" s="761">
        <v>0.12000000000000001</v>
      </c>
      <c r="X295" s="762"/>
      <c r="Y295" s="744">
        <v>7.0000000000000001E-3</v>
      </c>
      <c r="Z295" s="737">
        <v>6.0000000000000001E-3</v>
      </c>
      <c r="AA295" s="755"/>
      <c r="AB295" s="760">
        <v>0.32999999999999996</v>
      </c>
      <c r="AC295" s="761">
        <v>0.54499999999999993</v>
      </c>
      <c r="AD295" s="767"/>
    </row>
    <row r="296" spans="1:30" x14ac:dyDescent="0.3">
      <c r="A296" s="540" t="str">
        <f>_xlfn.CONCAT(Physicochemical_Managed!Y66, Physicochemical_Managed!P66)</f>
        <v>During the burnMRT44363</v>
      </c>
      <c r="B296" s="541" t="str">
        <v>Before the burnEP44327</v>
      </c>
      <c r="C296" s="542" t="str">
        <f t="shared" si="15"/>
        <v>EP44327</v>
      </c>
      <c r="D296" s="735" t="str">
        <f t="shared" si="16"/>
        <v>SPI44313</v>
      </c>
      <c r="E296" s="736" t="str">
        <f t="shared" si="17"/>
        <v>SPO44377</v>
      </c>
      <c r="F296" s="739"/>
      <c r="G296" s="744">
        <v>7.72</v>
      </c>
      <c r="H296" s="737">
        <v>6.9</v>
      </c>
      <c r="I296" s="755"/>
      <c r="J296" s="760">
        <v>23.7</v>
      </c>
      <c r="K296" s="761">
        <v>23.7</v>
      </c>
      <c r="L296" s="762"/>
      <c r="M296" s="744">
        <v>0.1</v>
      </c>
      <c r="N296" s="737">
        <v>1.84</v>
      </c>
      <c r="O296" s="755"/>
      <c r="P296" s="760">
        <v>1.61</v>
      </c>
      <c r="Q296" s="761">
        <v>0.02</v>
      </c>
      <c r="R296" s="762"/>
      <c r="S296" s="744">
        <v>1.76</v>
      </c>
      <c r="T296" s="737">
        <v>2.09</v>
      </c>
      <c r="U296" s="755"/>
      <c r="V296" s="760">
        <v>0.18</v>
      </c>
      <c r="W296" s="761">
        <v>0.02</v>
      </c>
      <c r="X296" s="762"/>
      <c r="Y296" s="744">
        <v>6.0000000000000001E-3</v>
      </c>
      <c r="Z296" s="737">
        <v>7.0000000000000001E-3</v>
      </c>
      <c r="AA296" s="755"/>
      <c r="AB296" s="760">
        <v>0.35</v>
      </c>
      <c r="AC296" s="761">
        <v>0.55000000000000004</v>
      </c>
      <c r="AD296" s="767"/>
    </row>
    <row r="297" spans="1:30" x14ac:dyDescent="0.3">
      <c r="A297" s="540" t="str">
        <f>_xlfn.CONCAT(Physicochemical_Managed!Y67, Physicochemical_Managed!P67)</f>
        <v>During the burnMRT44370</v>
      </c>
      <c r="B297" s="541" t="str">
        <v>Before the burnEP44335</v>
      </c>
      <c r="C297" s="542" t="str">
        <f t="shared" ref="C297:C360" si="19">RIGHT(B297, LEN(B297)-(FIND("burn", B297)+3))</f>
        <v>EP44335</v>
      </c>
      <c r="D297" s="735" t="str">
        <f t="shared" ref="D297:D309" si="20">C357</f>
        <v>SPI44320</v>
      </c>
      <c r="E297" s="736" t="str">
        <f t="shared" ref="E297:E298" si="21">C435</f>
        <v>SPO44385</v>
      </c>
      <c r="F297" s="739"/>
      <c r="G297" s="744">
        <v>7.0250000000000004</v>
      </c>
      <c r="H297" s="737">
        <v>6.9450000000000003</v>
      </c>
      <c r="I297" s="755"/>
      <c r="J297" s="760">
        <v>24.35</v>
      </c>
      <c r="K297" s="761">
        <v>24.2</v>
      </c>
      <c r="L297" s="762"/>
      <c r="M297" s="744">
        <v>0.125</v>
      </c>
      <c r="N297" s="737">
        <v>1.76</v>
      </c>
      <c r="O297" s="755"/>
      <c r="P297" s="760">
        <v>1.4950000000000001</v>
      </c>
      <c r="Q297" s="761">
        <v>0.01</v>
      </c>
      <c r="R297" s="762"/>
      <c r="S297" s="744">
        <v>1.585</v>
      </c>
      <c r="T297" s="737">
        <v>1.9350000000000001</v>
      </c>
      <c r="U297" s="755"/>
      <c r="V297" s="760">
        <v>0.27500000000000002</v>
      </c>
      <c r="W297" s="761">
        <v>3.5000000000000003E-2</v>
      </c>
      <c r="X297" s="762"/>
      <c r="Y297" s="744">
        <v>7.0000000000000001E-3</v>
      </c>
      <c r="Z297" s="737">
        <v>7.0000000000000001E-3</v>
      </c>
      <c r="AA297" s="755"/>
      <c r="AB297" s="760">
        <v>0.41000000000000003</v>
      </c>
      <c r="AC297" s="761">
        <v>0.57000000000000006</v>
      </c>
      <c r="AD297" s="767"/>
    </row>
    <row r="298" spans="1:30" x14ac:dyDescent="0.3">
      <c r="A298" s="540" t="str">
        <f>_xlfn.CONCAT(Physicochemical_Managed!Y68, Physicochemical_Managed!P68)</f>
        <v>During the burnMRT44377</v>
      </c>
      <c r="B298" s="541" t="str">
        <v>Before the burnEP44342</v>
      </c>
      <c r="C298" s="542" t="str">
        <f t="shared" si="19"/>
        <v>EP44342</v>
      </c>
      <c r="D298" s="735" t="str">
        <f t="shared" si="20"/>
        <v>SPI44327</v>
      </c>
      <c r="E298" s="736" t="str">
        <f t="shared" si="21"/>
        <v>SPO44391</v>
      </c>
      <c r="F298" s="739"/>
      <c r="G298" s="744">
        <v>7.2</v>
      </c>
      <c r="H298" s="737">
        <v>6.92</v>
      </c>
      <c r="I298" s="755"/>
      <c r="J298" s="760">
        <v>24.4</v>
      </c>
      <c r="K298" s="761">
        <v>24.4</v>
      </c>
      <c r="L298" s="762"/>
      <c r="M298" s="744">
        <v>0.14000000000000001</v>
      </c>
      <c r="N298" s="737">
        <v>1.58</v>
      </c>
      <c r="O298" s="755"/>
      <c r="P298" s="760">
        <v>1.65</v>
      </c>
      <c r="Q298" s="761">
        <v>0.01</v>
      </c>
      <c r="R298" s="762"/>
      <c r="S298" s="744">
        <v>1.68</v>
      </c>
      <c r="T298" s="737">
        <v>2.11</v>
      </c>
      <c r="U298" s="755"/>
      <c r="V298" s="760">
        <v>0.27</v>
      </c>
      <c r="W298" s="761">
        <v>0.03</v>
      </c>
      <c r="X298" s="762"/>
      <c r="Y298" s="744">
        <v>6.0000000000000001E-3</v>
      </c>
      <c r="Z298" s="737">
        <v>5.0000000000000001E-3</v>
      </c>
      <c r="AA298" s="755"/>
      <c r="AB298" s="760">
        <v>0.41</v>
      </c>
      <c r="AC298" s="761">
        <v>0.56000000000000005</v>
      </c>
      <c r="AD298" s="767"/>
    </row>
    <row r="299" spans="1:30" x14ac:dyDescent="0.3">
      <c r="A299" s="540" t="str">
        <f>_xlfn.CONCAT(Physicochemical_Managed!Y69, Physicochemical_Managed!P69)</f>
        <v>During the burnMRT44385</v>
      </c>
      <c r="B299" s="541" t="str">
        <v>Before the burnEP44350</v>
      </c>
      <c r="C299" s="542" t="str">
        <f t="shared" si="19"/>
        <v>EP44350</v>
      </c>
      <c r="D299" s="735" t="str">
        <f t="shared" si="20"/>
        <v>SPI44335</v>
      </c>
      <c r="E299" s="736" t="str">
        <f>C437</f>
        <v>SPO44398</v>
      </c>
      <c r="F299" s="739"/>
      <c r="G299" s="744">
        <v>6.9249999999999998</v>
      </c>
      <c r="H299" s="737">
        <v>6.9250000000000007</v>
      </c>
      <c r="I299" s="755"/>
      <c r="J299" s="760">
        <v>24.75</v>
      </c>
      <c r="K299" s="761">
        <v>24.299999999999997</v>
      </c>
      <c r="L299" s="762"/>
      <c r="M299" s="744">
        <v>8.4999999999999992E-2</v>
      </c>
      <c r="N299" s="737">
        <v>1.7349999999999999</v>
      </c>
      <c r="O299" s="755"/>
      <c r="P299" s="760">
        <v>1.6549999999999998</v>
      </c>
      <c r="Q299" s="761">
        <v>0.01</v>
      </c>
      <c r="R299" s="762"/>
      <c r="S299" s="744">
        <v>1.635</v>
      </c>
      <c r="T299" s="737">
        <v>1.9650000000000001</v>
      </c>
      <c r="U299" s="755"/>
      <c r="V299" s="760">
        <v>0.21500000000000002</v>
      </c>
      <c r="W299" s="761">
        <v>0.02</v>
      </c>
      <c r="X299" s="762"/>
      <c r="Y299" s="744">
        <v>6.0000000000000001E-3</v>
      </c>
      <c r="Z299" s="737">
        <v>5.4999999999999997E-3</v>
      </c>
      <c r="AA299" s="755"/>
      <c r="AB299" s="760">
        <v>0.39</v>
      </c>
      <c r="AC299" s="761">
        <v>0.59</v>
      </c>
      <c r="AD299" s="767"/>
    </row>
    <row r="300" spans="1:30" x14ac:dyDescent="0.3">
      <c r="A300" s="540" t="str">
        <f>_xlfn.CONCAT(Physicochemical_Managed!Y70, Physicochemical_Managed!P70)</f>
        <v>During the burnMRT44391</v>
      </c>
      <c r="B300" s="541" t="str">
        <v>Before the burnEP44356</v>
      </c>
      <c r="C300" s="542" t="str">
        <f t="shared" si="19"/>
        <v>EP44356</v>
      </c>
      <c r="D300" s="735" t="str">
        <f t="shared" si="20"/>
        <v>SPI44342</v>
      </c>
      <c r="E300" s="736"/>
      <c r="F300" s="738"/>
      <c r="G300" s="744">
        <v>6.7750000000000004</v>
      </c>
      <c r="H300" s="737"/>
      <c r="I300" s="755"/>
      <c r="J300" s="760">
        <v>22.35</v>
      </c>
      <c r="K300" s="761"/>
      <c r="L300" s="762"/>
      <c r="M300" s="744">
        <v>2.5000000000000001E-2</v>
      </c>
      <c r="N300" s="737"/>
      <c r="O300" s="755"/>
      <c r="P300" s="760">
        <v>1.6400000000000001</v>
      </c>
      <c r="Q300" s="761"/>
      <c r="R300" s="762"/>
      <c r="S300" s="744">
        <v>2.125</v>
      </c>
      <c r="T300" s="737"/>
      <c r="U300" s="755"/>
      <c r="V300" s="760">
        <v>0.23499999999999999</v>
      </c>
      <c r="W300" s="761"/>
      <c r="X300" s="762"/>
      <c r="Y300" s="744">
        <v>1.3000000000000001E-2</v>
      </c>
      <c r="Z300" s="737"/>
      <c r="AA300" s="755"/>
      <c r="AB300" s="760">
        <v>0.47499999999999998</v>
      </c>
      <c r="AC300" s="761"/>
      <c r="AD300" s="768"/>
    </row>
    <row r="301" spans="1:30" x14ac:dyDescent="0.3">
      <c r="A301" s="540" t="str">
        <f>_xlfn.CONCAT(Physicochemical_Managed!Y71, Physicochemical_Managed!P71)</f>
        <v>During the burnMRT44398</v>
      </c>
      <c r="B301" s="541" t="str">
        <v>Before the burnMRT44294</v>
      </c>
      <c r="C301" s="542" t="str">
        <f t="shared" si="19"/>
        <v>MRT44294</v>
      </c>
      <c r="D301" s="735" t="str">
        <f t="shared" si="20"/>
        <v>SPI44356</v>
      </c>
      <c r="E301" s="736"/>
      <c r="F301" s="738"/>
      <c r="G301" s="744">
        <v>6.61</v>
      </c>
      <c r="H301" s="737"/>
      <c r="I301" s="755"/>
      <c r="J301" s="760">
        <v>19</v>
      </c>
      <c r="K301" s="761"/>
      <c r="L301" s="762"/>
      <c r="M301" s="744">
        <v>0.09</v>
      </c>
      <c r="N301" s="737"/>
      <c r="O301" s="755"/>
      <c r="P301" s="760">
        <v>1.42</v>
      </c>
      <c r="Q301" s="761"/>
      <c r="R301" s="762"/>
      <c r="S301" s="744">
        <v>1.95</v>
      </c>
      <c r="T301" s="737"/>
      <c r="U301" s="755"/>
      <c r="V301" s="760">
        <v>0.27</v>
      </c>
      <c r="W301" s="761"/>
      <c r="X301" s="762"/>
      <c r="Y301" s="744">
        <v>7.0000000000000001E-3</v>
      </c>
      <c r="Z301" s="737"/>
      <c r="AA301" s="755"/>
      <c r="AB301" s="760">
        <v>0.49</v>
      </c>
      <c r="AC301" s="761"/>
      <c r="AD301" s="768"/>
    </row>
    <row r="302" spans="1:30" x14ac:dyDescent="0.3">
      <c r="A302" s="540" t="str">
        <f>_xlfn.CONCAT(Physicochemical_Managed!Y72, Physicochemical_Managed!P72)</f>
        <v>After the burnMRT44405</v>
      </c>
      <c r="B302" s="541" t="str">
        <v>Before the burnMRT44306</v>
      </c>
      <c r="C302" s="542" t="str">
        <f t="shared" si="19"/>
        <v>MRT44306</v>
      </c>
      <c r="D302" s="735" t="str">
        <f t="shared" si="20"/>
        <v>SPO44294</v>
      </c>
      <c r="E302" s="736"/>
      <c r="F302" s="738"/>
      <c r="G302" s="744">
        <v>6.74</v>
      </c>
      <c r="H302" s="737"/>
      <c r="I302" s="755"/>
      <c r="J302" s="760">
        <v>22.6</v>
      </c>
      <c r="K302" s="761"/>
      <c r="L302" s="762"/>
      <c r="M302" s="744">
        <v>0.06</v>
      </c>
      <c r="N302" s="737"/>
      <c r="O302" s="755"/>
      <c r="P302" s="760">
        <v>1.29</v>
      </c>
      <c r="Q302" s="761"/>
      <c r="R302" s="762"/>
      <c r="S302" s="744">
        <v>1.35</v>
      </c>
      <c r="T302" s="737"/>
      <c r="U302" s="755"/>
      <c r="V302" s="760">
        <v>0.27</v>
      </c>
      <c r="W302" s="761"/>
      <c r="X302" s="762"/>
      <c r="Y302" s="744">
        <v>8.0000000000000002E-3</v>
      </c>
      <c r="Z302" s="737"/>
      <c r="AA302" s="755"/>
      <c r="AB302" s="760">
        <v>0.47</v>
      </c>
      <c r="AC302" s="761"/>
      <c r="AD302" s="768"/>
    </row>
    <row r="303" spans="1:30" x14ac:dyDescent="0.3">
      <c r="A303" s="540" t="str">
        <f>_xlfn.CONCAT(Physicochemical_Managed!Y73, Physicochemical_Managed!P73)</f>
        <v>After the burnMRT44432</v>
      </c>
      <c r="B303" s="541" t="str">
        <v>Before the burnMRT44313</v>
      </c>
      <c r="C303" s="542" t="str">
        <f t="shared" si="19"/>
        <v>MRT44313</v>
      </c>
      <c r="D303" s="735" t="str">
        <f t="shared" si="20"/>
        <v>SPO44306</v>
      </c>
      <c r="E303" s="736"/>
      <c r="F303" s="738"/>
      <c r="G303" s="744">
        <v>6.79</v>
      </c>
      <c r="H303" s="737"/>
      <c r="I303" s="755"/>
      <c r="J303" s="760">
        <v>24.7</v>
      </c>
      <c r="K303" s="761"/>
      <c r="L303" s="762"/>
      <c r="M303" s="744">
        <v>0.06</v>
      </c>
      <c r="N303" s="737"/>
      <c r="O303" s="755"/>
      <c r="P303" s="760">
        <v>1.1599999999999999</v>
      </c>
      <c r="Q303" s="761"/>
      <c r="R303" s="762"/>
      <c r="S303" s="744">
        <v>1.08</v>
      </c>
      <c r="T303" s="737"/>
      <c r="U303" s="755"/>
      <c r="V303" s="760">
        <v>0.22</v>
      </c>
      <c r="W303" s="761"/>
      <c r="X303" s="762"/>
      <c r="Y303" s="744">
        <v>6.0000000000000001E-3</v>
      </c>
      <c r="Z303" s="737"/>
      <c r="AA303" s="755"/>
      <c r="AB303" s="760">
        <v>0.41</v>
      </c>
      <c r="AC303" s="761"/>
      <c r="AD303" s="768"/>
    </row>
    <row r="304" spans="1:30" x14ac:dyDescent="0.3">
      <c r="A304" s="540" t="str">
        <f>_xlfn.CONCAT(Physicochemical_Managed!Y74, Physicochemical_Managed!P74)</f>
        <v>After the burnMRT44419</v>
      </c>
      <c r="B304" s="541" t="str">
        <v>Before the burnMRT44320</v>
      </c>
      <c r="C304" s="542" t="str">
        <f t="shared" si="19"/>
        <v>MRT44320</v>
      </c>
      <c r="D304" s="735" t="str">
        <f t="shared" si="20"/>
        <v>SPO44313</v>
      </c>
      <c r="E304" s="736"/>
      <c r="F304" s="738"/>
      <c r="G304" s="744">
        <v>6.8</v>
      </c>
      <c r="H304" s="737"/>
      <c r="I304" s="755"/>
      <c r="J304" s="760">
        <v>22.7</v>
      </c>
      <c r="K304" s="761"/>
      <c r="L304" s="762"/>
      <c r="M304" s="744">
        <v>0</v>
      </c>
      <c r="N304" s="737"/>
      <c r="O304" s="755"/>
      <c r="P304" s="760">
        <v>1.1499999999999999</v>
      </c>
      <c r="Q304" s="761"/>
      <c r="R304" s="762"/>
      <c r="S304" s="744">
        <v>1.42</v>
      </c>
      <c r="T304" s="737"/>
      <c r="U304" s="755"/>
      <c r="V304" s="760">
        <v>0.25</v>
      </c>
      <c r="W304" s="761"/>
      <c r="X304" s="762"/>
      <c r="Y304" s="744">
        <v>6.0000000000000001E-3</v>
      </c>
      <c r="Z304" s="737"/>
      <c r="AA304" s="755"/>
      <c r="AB304" s="760">
        <v>0.4</v>
      </c>
      <c r="AC304" s="761"/>
      <c r="AD304" s="768"/>
    </row>
    <row r="305" spans="1:30" x14ac:dyDescent="0.3">
      <c r="A305" s="540" t="str">
        <f>_xlfn.CONCAT(Physicochemical_Managed!Y75, Physicochemical_Managed!P75)</f>
        <v>After the burnMRT44426</v>
      </c>
      <c r="B305" s="541" t="str">
        <v>Before the burnMRT44327</v>
      </c>
      <c r="C305" s="542" t="str">
        <f t="shared" si="19"/>
        <v>MRT44327</v>
      </c>
      <c r="D305" s="735" t="str">
        <f t="shared" si="20"/>
        <v>SPO44320</v>
      </c>
      <c r="E305" s="736"/>
      <c r="F305" s="738"/>
      <c r="G305" s="744">
        <v>6.7850000000000001</v>
      </c>
      <c r="H305" s="737"/>
      <c r="I305" s="755"/>
      <c r="J305" s="760">
        <v>22.85</v>
      </c>
      <c r="K305" s="761"/>
      <c r="L305" s="762"/>
      <c r="M305" s="744">
        <v>0.08</v>
      </c>
      <c r="N305" s="737"/>
      <c r="O305" s="755"/>
      <c r="P305" s="760">
        <v>1.01</v>
      </c>
      <c r="Q305" s="761"/>
      <c r="R305" s="762"/>
      <c r="S305" s="744">
        <v>1.0649999999999999</v>
      </c>
      <c r="T305" s="737"/>
      <c r="U305" s="755"/>
      <c r="V305" s="760">
        <v>0.25</v>
      </c>
      <c r="W305" s="761"/>
      <c r="X305" s="762"/>
      <c r="Y305" s="744">
        <v>7.4999999999999997E-3</v>
      </c>
      <c r="Z305" s="737"/>
      <c r="AA305" s="755"/>
      <c r="AB305" s="760">
        <v>0.435</v>
      </c>
      <c r="AC305" s="761"/>
      <c r="AD305" s="768"/>
    </row>
    <row r="306" spans="1:30" x14ac:dyDescent="0.3">
      <c r="A306" s="540" t="str">
        <f>_xlfn.CONCAT(Physicochemical_Managed!Y76, Physicochemical_Managed!P76)</f>
        <v>After the burnMRT44433</v>
      </c>
      <c r="B306" s="541" t="str">
        <v>Before the burnMRT44335</v>
      </c>
      <c r="C306" s="542" t="str">
        <f t="shared" si="19"/>
        <v>MRT44335</v>
      </c>
      <c r="D306" s="735" t="str">
        <f t="shared" si="20"/>
        <v>SPO44327</v>
      </c>
      <c r="E306" s="736"/>
      <c r="F306" s="738"/>
      <c r="G306" s="744">
        <v>6.72</v>
      </c>
      <c r="H306" s="737"/>
      <c r="I306" s="755"/>
      <c r="J306" s="760">
        <v>22.2</v>
      </c>
      <c r="K306" s="761"/>
      <c r="L306" s="762"/>
      <c r="M306" s="744">
        <v>0.08</v>
      </c>
      <c r="N306" s="737"/>
      <c r="O306" s="755"/>
      <c r="P306" s="760">
        <v>1.05</v>
      </c>
      <c r="Q306" s="761"/>
      <c r="R306" s="762"/>
      <c r="S306" s="744">
        <v>1.44</v>
      </c>
      <c r="T306" s="737"/>
      <c r="U306" s="755"/>
      <c r="V306" s="760">
        <v>0.22</v>
      </c>
      <c r="W306" s="761"/>
      <c r="X306" s="762"/>
      <c r="Y306" s="744">
        <v>4.0000000000000001E-3</v>
      </c>
      <c r="Z306" s="737"/>
      <c r="AA306" s="755"/>
      <c r="AB306" s="760">
        <v>0.41</v>
      </c>
      <c r="AC306" s="761"/>
      <c r="AD306" s="768"/>
    </row>
    <row r="307" spans="1:30" x14ac:dyDescent="0.3">
      <c r="A307" s="540" t="str">
        <f>_xlfn.CONCAT(Physicochemical_Managed!Y77, Physicochemical_Managed!P77)</f>
        <v>Before the burnRN44293</v>
      </c>
      <c r="B307" s="541" t="str">
        <v>Before the burnMRT44342</v>
      </c>
      <c r="C307" s="542" t="str">
        <f t="shared" si="19"/>
        <v>MRT44342</v>
      </c>
      <c r="D307" s="735" t="str">
        <f t="shared" si="20"/>
        <v>SPO44335</v>
      </c>
      <c r="E307" s="736"/>
      <c r="F307" s="738"/>
      <c r="G307" s="744">
        <v>6.7050000000000001</v>
      </c>
      <c r="H307" s="737"/>
      <c r="I307" s="755"/>
      <c r="J307" s="760">
        <v>23.15</v>
      </c>
      <c r="K307" s="761"/>
      <c r="L307" s="762"/>
      <c r="M307" s="744">
        <v>0.05</v>
      </c>
      <c r="N307" s="737"/>
      <c r="O307" s="755"/>
      <c r="P307" s="760">
        <v>0.90500000000000003</v>
      </c>
      <c r="Q307" s="761"/>
      <c r="R307" s="762"/>
      <c r="S307" s="744">
        <v>1.2450000000000001</v>
      </c>
      <c r="T307" s="737"/>
      <c r="U307" s="755"/>
      <c r="V307" s="760">
        <v>0.23499999999999999</v>
      </c>
      <c r="W307" s="761"/>
      <c r="X307" s="762"/>
      <c r="Y307" s="744">
        <v>3.5000000000000001E-3</v>
      </c>
      <c r="Z307" s="737"/>
      <c r="AA307" s="755"/>
      <c r="AB307" s="760">
        <v>0.53</v>
      </c>
      <c r="AC307" s="761"/>
      <c r="AD307" s="768"/>
    </row>
    <row r="308" spans="1:30" x14ac:dyDescent="0.3">
      <c r="A308" s="540" t="str">
        <f>_xlfn.CONCAT(Physicochemical_Managed!Y78, Physicochemical_Managed!P78)</f>
        <v>Before the burnRN44313</v>
      </c>
      <c r="B308" s="541" t="str">
        <v>Before the burnMRT44356</v>
      </c>
      <c r="C308" s="542" t="str">
        <f t="shared" si="19"/>
        <v>MRT44356</v>
      </c>
      <c r="D308" s="735" t="str">
        <f t="shared" si="20"/>
        <v>SPO44342</v>
      </c>
      <c r="E308" s="736"/>
      <c r="F308" s="738"/>
      <c r="G308" s="744">
        <v>6.76</v>
      </c>
      <c r="H308" s="737"/>
      <c r="I308" s="755"/>
      <c r="J308" s="760">
        <v>24.3</v>
      </c>
      <c r="K308" s="761"/>
      <c r="L308" s="762"/>
      <c r="M308" s="744">
        <v>7.0000000000000007E-2</v>
      </c>
      <c r="N308" s="737"/>
      <c r="O308" s="755"/>
      <c r="P308" s="760">
        <v>1.08</v>
      </c>
      <c r="Q308" s="761"/>
      <c r="R308" s="762"/>
      <c r="S308" s="744">
        <v>1.29</v>
      </c>
      <c r="T308" s="737"/>
      <c r="U308" s="755"/>
      <c r="V308" s="760">
        <v>0.24</v>
      </c>
      <c r="W308" s="761"/>
      <c r="X308" s="762"/>
      <c r="Y308" s="744">
        <v>8.9999999999999993E-3</v>
      </c>
      <c r="Z308" s="737"/>
      <c r="AA308" s="755"/>
      <c r="AB308" s="760">
        <v>0.49</v>
      </c>
      <c r="AC308" s="761"/>
      <c r="AD308" s="768"/>
    </row>
    <row r="309" spans="1:30" ht="16.350000000000001" thickBot="1" x14ac:dyDescent="0.35">
      <c r="A309" s="540" t="str">
        <f>_xlfn.CONCAT(Physicochemical_Managed!Y79, Physicochemical_Managed!P79)</f>
        <v>Before the burnRN44327</v>
      </c>
      <c r="B309" s="541" t="str">
        <v>Before the burnRL44293</v>
      </c>
      <c r="C309" s="542" t="str">
        <f t="shared" si="19"/>
        <v>RL44293</v>
      </c>
      <c r="D309" s="740" t="str">
        <f t="shared" si="20"/>
        <v>SPO44356</v>
      </c>
      <c r="E309" s="741"/>
      <c r="F309" s="747"/>
      <c r="G309" s="745">
        <v>6.7750000000000004</v>
      </c>
      <c r="H309" s="742"/>
      <c r="I309" s="756"/>
      <c r="J309" s="763">
        <v>23.799999999999997</v>
      </c>
      <c r="K309" s="764"/>
      <c r="L309" s="765"/>
      <c r="M309" s="745">
        <v>0.13</v>
      </c>
      <c r="N309" s="742"/>
      <c r="O309" s="756"/>
      <c r="P309" s="763">
        <v>0.69</v>
      </c>
      <c r="Q309" s="764"/>
      <c r="R309" s="765"/>
      <c r="S309" s="745">
        <v>0.64500000000000002</v>
      </c>
      <c r="T309" s="742"/>
      <c r="U309" s="756"/>
      <c r="V309" s="763">
        <v>0.33499999999999996</v>
      </c>
      <c r="W309" s="764"/>
      <c r="X309" s="765"/>
      <c r="Y309" s="745">
        <v>9.4999999999999998E-3</v>
      </c>
      <c r="Z309" s="742"/>
      <c r="AA309" s="756"/>
      <c r="AB309" s="763">
        <v>0.48</v>
      </c>
      <c r="AC309" s="764"/>
      <c r="AD309" s="769"/>
    </row>
    <row r="310" spans="1:30" ht="16.95" thickTop="1" thickBot="1" x14ac:dyDescent="0.35">
      <c r="A310" s="540" t="str">
        <f>_xlfn.CONCAT(Physicochemical_Managed!Y80, Physicochemical_Managed!P80)</f>
        <v>Before the burnRN44334</v>
      </c>
      <c r="B310" s="541" t="str">
        <v>Before the burnRL44306</v>
      </c>
      <c r="C310" s="542" t="str">
        <f t="shared" si="19"/>
        <v>RL44306</v>
      </c>
      <c r="D310" s="786"/>
      <c r="F310" s="70"/>
      <c r="AD310" s="549"/>
    </row>
    <row r="311" spans="1:30" ht="16.350000000000001" thickTop="1" x14ac:dyDescent="0.3">
      <c r="A311" s="540" t="str">
        <f>_xlfn.CONCAT(Physicochemical_Managed!Y81, Physicochemical_Managed!P81)</f>
        <v>Before the burnRN44335</v>
      </c>
      <c r="B311" s="541" t="str">
        <v>Before the burnRL44313</v>
      </c>
      <c r="C311" s="542" t="str">
        <f t="shared" si="19"/>
        <v>RL44313</v>
      </c>
      <c r="D311" s="787"/>
      <c r="F311" s="774" t="s">
        <v>256</v>
      </c>
      <c r="G311" s="772">
        <f>AVERAGE(_xlfn.ANCHORARRAY(G232))</f>
        <v>6.8099145299145318</v>
      </c>
      <c r="H311" s="770">
        <f t="shared" ref="H311:AD311" si="22">AVERAGE(_xlfn.ANCHORARRAY(H232))</f>
        <v>6.8527450980392173</v>
      </c>
      <c r="I311" s="776">
        <f t="shared" si="22"/>
        <v>6.7731666666666666</v>
      </c>
      <c r="J311" s="778">
        <f t="shared" si="22"/>
        <v>24.138461538461538</v>
      </c>
      <c r="K311" s="779">
        <f t="shared" si="22"/>
        <v>26.733823529411769</v>
      </c>
      <c r="L311" s="780">
        <f t="shared" si="22"/>
        <v>27.127083333333339</v>
      </c>
      <c r="M311" s="772">
        <f t="shared" si="22"/>
        <v>0.14520512820512824</v>
      </c>
      <c r="N311" s="770">
        <f t="shared" si="22"/>
        <v>2.0720588235294128</v>
      </c>
      <c r="O311" s="776">
        <f t="shared" si="22"/>
        <v>0.16233333333333336</v>
      </c>
      <c r="P311" s="778">
        <f t="shared" si="22"/>
        <v>1.8217521367521361</v>
      </c>
      <c r="Q311" s="779">
        <f t="shared" si="22"/>
        <v>5.9411764705882317E-2</v>
      </c>
      <c r="R311" s="780">
        <f t="shared" si="22"/>
        <v>1.4989166666666671</v>
      </c>
      <c r="S311" s="772">
        <f t="shared" si="22"/>
        <v>2.0736324786324789</v>
      </c>
      <c r="T311" s="770">
        <f t="shared" si="22"/>
        <v>2.1833333333333336</v>
      </c>
      <c r="U311" s="776">
        <f t="shared" si="22"/>
        <v>1.6929166666666666</v>
      </c>
      <c r="V311" s="778">
        <f t="shared" si="22"/>
        <v>0.24414529914529906</v>
      </c>
      <c r="W311" s="779">
        <f t="shared" si="22"/>
        <v>8.5539215686274456E-2</v>
      </c>
      <c r="X311" s="780">
        <f t="shared" si="22"/>
        <v>0.17299999999999999</v>
      </c>
      <c r="Y311" s="772">
        <f t="shared" si="22"/>
        <v>1.2619658119658121E-2</v>
      </c>
      <c r="Z311" s="770">
        <f t="shared" si="22"/>
        <v>8.6838235294117664E-3</v>
      </c>
      <c r="AA311" s="776">
        <f t="shared" si="22"/>
        <v>7.0083333333333378E-3</v>
      </c>
      <c r="AB311" s="778">
        <f t="shared" si="22"/>
        <v>0.38198717948717942</v>
      </c>
      <c r="AC311" s="779">
        <f t="shared" si="22"/>
        <v>0.46899509803921563</v>
      </c>
      <c r="AD311" s="784">
        <f t="shared" si="22"/>
        <v>0.49816666666666659</v>
      </c>
    </row>
    <row r="312" spans="1:30" ht="16.350000000000001" thickBot="1" x14ac:dyDescent="0.35">
      <c r="A312" s="540" t="str">
        <f>_xlfn.CONCAT(Physicochemical_Managed!Y82, Physicochemical_Managed!P82)</f>
        <v>Before the burnRN44341</v>
      </c>
      <c r="B312" s="541" t="str">
        <v>Before the burnRL44327</v>
      </c>
      <c r="C312" s="542" t="str">
        <f t="shared" si="19"/>
        <v>RL44327</v>
      </c>
      <c r="D312" s="787"/>
      <c r="F312" s="775" t="s">
        <v>257</v>
      </c>
      <c r="G312" s="773">
        <f>STDEV(_xlfn.ANCHORARRAY(G232))</f>
        <v>0.29533163024094089</v>
      </c>
      <c r="H312" s="771">
        <f t="shared" ref="H312:AD312" si="23">STDEV(_xlfn.ANCHORARRAY(H232))</f>
        <v>0.20456051761112212</v>
      </c>
      <c r="I312" s="777">
        <f t="shared" si="23"/>
        <v>0.16040194921114415</v>
      </c>
      <c r="J312" s="781">
        <f t="shared" si="23"/>
        <v>1.9779453309603208</v>
      </c>
      <c r="K312" s="782">
        <f t="shared" si="23"/>
        <v>1.9536120617451955</v>
      </c>
      <c r="L312" s="783">
        <f t="shared" si="23"/>
        <v>2.5507779291395223</v>
      </c>
      <c r="M312" s="773">
        <f t="shared" si="23"/>
        <v>0.32113934180737946</v>
      </c>
      <c r="N312" s="771">
        <f t="shared" si="23"/>
        <v>0.92558099353466849</v>
      </c>
      <c r="O312" s="777">
        <f t="shared" si="23"/>
        <v>0.321176949310441</v>
      </c>
      <c r="P312" s="781">
        <f t="shared" si="23"/>
        <v>0.79677904519185982</v>
      </c>
      <c r="Q312" s="782">
        <f t="shared" si="23"/>
        <v>0.179276176114431</v>
      </c>
      <c r="R312" s="783">
        <f t="shared" si="23"/>
        <v>0.8918434971710717</v>
      </c>
      <c r="S312" s="773">
        <f t="shared" si="23"/>
        <v>0.89061674010102532</v>
      </c>
      <c r="T312" s="771">
        <f t="shared" si="23"/>
        <v>0.8415453584813013</v>
      </c>
      <c r="U312" s="777">
        <f t="shared" si="23"/>
        <v>0.94757285470392749</v>
      </c>
      <c r="V312" s="781">
        <f t="shared" si="23"/>
        <v>8.3754668018233044E-2</v>
      </c>
      <c r="W312" s="782">
        <f t="shared" si="23"/>
        <v>8.8235156732569583E-2</v>
      </c>
      <c r="X312" s="783">
        <f t="shared" si="23"/>
        <v>0.10342114002170846</v>
      </c>
      <c r="Y312" s="773">
        <f t="shared" si="23"/>
        <v>1.7532527952053484E-2</v>
      </c>
      <c r="Z312" s="771">
        <f t="shared" si="23"/>
        <v>1.2591428146733931E-2</v>
      </c>
      <c r="AA312" s="777">
        <f t="shared" si="23"/>
        <v>6.4679730318889569E-3</v>
      </c>
      <c r="AB312" s="781">
        <f t="shared" si="23"/>
        <v>0.11020283597605474</v>
      </c>
      <c r="AC312" s="782">
        <f t="shared" si="23"/>
        <v>0.12876088232870508</v>
      </c>
      <c r="AD312" s="785">
        <f t="shared" si="23"/>
        <v>0.12690236025995799</v>
      </c>
    </row>
    <row r="313" spans="1:30" ht="16.350000000000001" thickTop="1" x14ac:dyDescent="0.3">
      <c r="A313" s="540" t="str">
        <f>_xlfn.CONCAT(Physicochemical_Managed!Y83, Physicochemical_Managed!P83)</f>
        <v>Before the burnRN44342</v>
      </c>
      <c r="B313" s="541" t="str">
        <v>Before the burnRL44334</v>
      </c>
      <c r="C313" s="542" t="str">
        <f t="shared" si="19"/>
        <v>RL44334</v>
      </c>
      <c r="D313" s="787"/>
      <c r="F313" s="70"/>
      <c r="AD313" s="549"/>
    </row>
    <row r="314" spans="1:30" x14ac:dyDescent="0.3">
      <c r="A314" s="540" t="str">
        <f>_xlfn.CONCAT(Physicochemical_Managed!Y84, Physicochemical_Managed!P84)</f>
        <v>Before the burnRN44349</v>
      </c>
      <c r="B314" s="541" t="str">
        <v>Before the burnRL44335</v>
      </c>
      <c r="C314" s="542" t="str">
        <f t="shared" si="19"/>
        <v>RL44335</v>
      </c>
      <c r="D314" s="787"/>
      <c r="F314" s="70"/>
      <c r="AD314" s="549"/>
    </row>
    <row r="315" spans="1:30" x14ac:dyDescent="0.3">
      <c r="A315" s="540" t="str">
        <f>_xlfn.CONCAT(Physicochemical_Managed!Y85, Physicochemical_Managed!P85)</f>
        <v>Before the burnRN44350</v>
      </c>
      <c r="B315" s="541" t="str">
        <v>Before the burnRL44341</v>
      </c>
      <c r="C315" s="542" t="str">
        <f t="shared" si="19"/>
        <v>RL44341</v>
      </c>
      <c r="D315" s="787"/>
      <c r="F315" s="70"/>
      <c r="AD315" s="549"/>
    </row>
    <row r="316" spans="1:30" x14ac:dyDescent="0.3">
      <c r="A316" s="540" t="str">
        <f>_xlfn.CONCAT(Physicochemical_Managed!Y86, Physicochemical_Managed!P86)</f>
        <v>Before the burnRN44355</v>
      </c>
      <c r="B316" s="541" t="str">
        <v>Before the burnRL44342</v>
      </c>
      <c r="C316" s="542" t="str">
        <f t="shared" si="19"/>
        <v>RL44342</v>
      </c>
      <c r="D316" s="787"/>
      <c r="F316" s="70"/>
      <c r="AD316" s="549"/>
    </row>
    <row r="317" spans="1:30" x14ac:dyDescent="0.3">
      <c r="A317" s="540" t="str">
        <f>_xlfn.CONCAT(Physicochemical_Managed!Y87, Physicochemical_Managed!P87)</f>
        <v>Before the burnRN44356</v>
      </c>
      <c r="B317" s="541" t="str">
        <v>Before the burnRL44349</v>
      </c>
      <c r="C317" s="542" t="str">
        <f t="shared" si="19"/>
        <v>RL44349</v>
      </c>
      <c r="D317" s="787"/>
      <c r="F317" s="70"/>
      <c r="AD317" s="549"/>
    </row>
    <row r="318" spans="1:30" x14ac:dyDescent="0.3">
      <c r="A318" s="540" t="str">
        <f>_xlfn.CONCAT(Physicochemical_Managed!Y88, Physicochemical_Managed!P88)</f>
        <v>During the burnRN44362</v>
      </c>
      <c r="B318" s="541" t="str">
        <v>Before the burnRL44350</v>
      </c>
      <c r="C318" s="542" t="str">
        <f t="shared" si="19"/>
        <v>RL44350</v>
      </c>
      <c r="D318" s="787"/>
      <c r="F318" s="70"/>
      <c r="AD318" s="549"/>
    </row>
    <row r="319" spans="1:30" x14ac:dyDescent="0.3">
      <c r="A319" s="540" t="str">
        <f>_xlfn.CONCAT(Physicochemical_Managed!Y89, Physicochemical_Managed!P89)</f>
        <v>During the burnRN44363</v>
      </c>
      <c r="B319" s="541" t="str">
        <v>Before the burnRL44355</v>
      </c>
      <c r="C319" s="542" t="str">
        <f t="shared" si="19"/>
        <v>RL44355</v>
      </c>
      <c r="D319" s="787"/>
      <c r="F319" s="70"/>
      <c r="AD319" s="549"/>
    </row>
    <row r="320" spans="1:30" x14ac:dyDescent="0.3">
      <c r="A320" s="540" t="str">
        <f>_xlfn.CONCAT(Physicochemical_Managed!Y90, Physicochemical_Managed!P90)</f>
        <v>During the burnRN44369</v>
      </c>
      <c r="B320" s="541" t="str">
        <v>Before the burnRL44356</v>
      </c>
      <c r="C320" s="542" t="str">
        <f t="shared" si="19"/>
        <v>RL44356</v>
      </c>
      <c r="D320" s="787"/>
      <c r="F320" s="70"/>
      <c r="AD320" s="549"/>
    </row>
    <row r="321" spans="1:30" x14ac:dyDescent="0.3">
      <c r="A321" s="540" t="str">
        <f>_xlfn.CONCAT(Physicochemical_Managed!Y91, Physicochemical_Managed!P91)</f>
        <v>During the burnRN44370</v>
      </c>
      <c r="B321" s="541" t="str">
        <v>Before the burnRN44293</v>
      </c>
      <c r="C321" s="542" t="str">
        <f t="shared" si="19"/>
        <v>RN44293</v>
      </c>
      <c r="D321" s="787"/>
      <c r="F321" s="70"/>
      <c r="AD321" s="549"/>
    </row>
    <row r="322" spans="1:30" x14ac:dyDescent="0.3">
      <c r="A322" s="540" t="str">
        <f>_xlfn.CONCAT(Physicochemical_Managed!Y92, Physicochemical_Managed!P92)</f>
        <v>During the burnRN44376</v>
      </c>
      <c r="B322" s="541" t="str">
        <v>Before the burnRN44313</v>
      </c>
      <c r="C322" s="542" t="str">
        <f t="shared" si="19"/>
        <v>RN44313</v>
      </c>
      <c r="D322" s="787"/>
      <c r="F322" s="70"/>
      <c r="AD322" s="549"/>
    </row>
    <row r="323" spans="1:30" x14ac:dyDescent="0.3">
      <c r="A323" s="540" t="str">
        <f>_xlfn.CONCAT(Physicochemical_Managed!Y93, Physicochemical_Managed!P93)</f>
        <v>During the burnRN44377</v>
      </c>
      <c r="B323" s="541" t="str">
        <v>Before the burnRN44327</v>
      </c>
      <c r="C323" s="542" t="str">
        <f t="shared" si="19"/>
        <v>RN44327</v>
      </c>
    </row>
    <row r="324" spans="1:30" x14ac:dyDescent="0.3">
      <c r="A324" s="540" t="str">
        <f>_xlfn.CONCAT(Physicochemical_Managed!Y94, Physicochemical_Managed!P94)</f>
        <v>During the burnRN44384</v>
      </c>
      <c r="B324" s="541" t="str">
        <v>Before the burnRN44334</v>
      </c>
      <c r="C324" s="542" t="str">
        <f t="shared" si="19"/>
        <v>RN44334</v>
      </c>
    </row>
    <row r="325" spans="1:30" x14ac:dyDescent="0.3">
      <c r="A325" s="540" t="str">
        <f>_xlfn.CONCAT(Physicochemical_Managed!Y95, Physicochemical_Managed!P95)</f>
        <v>During the burnRN44385</v>
      </c>
      <c r="B325" s="541" t="str">
        <v>Before the burnRN44335</v>
      </c>
      <c r="C325" s="542" t="str">
        <f t="shared" si="19"/>
        <v>RN44335</v>
      </c>
    </row>
    <row r="326" spans="1:30" x14ac:dyDescent="0.3">
      <c r="A326" s="540" t="str">
        <f>_xlfn.CONCAT(Physicochemical_Managed!Y96, Physicochemical_Managed!P96)</f>
        <v>During the burnRN44390</v>
      </c>
      <c r="B326" s="541" t="str">
        <v>Before the burnRN44341</v>
      </c>
      <c r="C326" s="542" t="str">
        <f t="shared" si="19"/>
        <v>RN44341</v>
      </c>
    </row>
    <row r="327" spans="1:30" x14ac:dyDescent="0.3">
      <c r="A327" s="540" t="str">
        <f>_xlfn.CONCAT(Physicochemical_Managed!Y97, Physicochemical_Managed!P97)</f>
        <v>During the burnRN44391</v>
      </c>
      <c r="B327" s="541" t="str">
        <v>Before the burnRN44342</v>
      </c>
      <c r="C327" s="542" t="str">
        <f t="shared" si="19"/>
        <v>RN44342</v>
      </c>
    </row>
    <row r="328" spans="1:30" x14ac:dyDescent="0.3">
      <c r="A328" s="540" t="str">
        <f>_xlfn.CONCAT(Physicochemical_Managed!Y98, Physicochemical_Managed!P98)</f>
        <v>During the burnRN44397</v>
      </c>
      <c r="B328" s="541" t="str">
        <v>Before the burnRN44349</v>
      </c>
      <c r="C328" s="542" t="str">
        <f t="shared" si="19"/>
        <v>RN44349</v>
      </c>
    </row>
    <row r="329" spans="1:30" x14ac:dyDescent="0.3">
      <c r="A329" s="540" t="str">
        <f>_xlfn.CONCAT(Physicochemical_Managed!Y99, Physicochemical_Managed!P99)</f>
        <v>During the burnRN44398</v>
      </c>
      <c r="B329" s="541" t="str">
        <v>Before the burnRN44350</v>
      </c>
      <c r="C329" s="542" t="str">
        <f t="shared" si="19"/>
        <v>RN44350</v>
      </c>
    </row>
    <row r="330" spans="1:30" x14ac:dyDescent="0.3">
      <c r="A330" s="540" t="str">
        <f>_xlfn.CONCAT(Physicochemical_Managed!Y100, Physicochemical_Managed!P100)</f>
        <v>After the burnRN44404</v>
      </c>
      <c r="B330" s="541" t="str">
        <v>Before the burnRN44355</v>
      </c>
      <c r="C330" s="542" t="str">
        <f t="shared" si="19"/>
        <v>RN44355</v>
      </c>
    </row>
    <row r="331" spans="1:30" x14ac:dyDescent="0.3">
      <c r="A331" s="540" t="str">
        <f>_xlfn.CONCAT(Physicochemical_Managed!Y101, Physicochemical_Managed!P101)</f>
        <v>After the burnRN44405</v>
      </c>
      <c r="B331" s="541" t="str">
        <v>Before the burnRN44356</v>
      </c>
      <c r="C331" s="542" t="str">
        <f t="shared" si="19"/>
        <v>RN44356</v>
      </c>
    </row>
    <row r="332" spans="1:30" x14ac:dyDescent="0.3">
      <c r="A332" s="540" t="str">
        <f>_xlfn.CONCAT(Physicochemical_Managed!Y102, Physicochemical_Managed!P102)</f>
        <v>After the burnRN44411</v>
      </c>
      <c r="B332" s="541" t="str">
        <v>Before the burnRS44293</v>
      </c>
      <c r="C332" s="542" t="str">
        <f t="shared" si="19"/>
        <v>RS44293</v>
      </c>
    </row>
    <row r="333" spans="1:30" x14ac:dyDescent="0.3">
      <c r="A333" s="540" t="str">
        <f>_xlfn.CONCAT(Physicochemical_Managed!Y103, Physicochemical_Managed!P103)</f>
        <v>After the burnRN44412</v>
      </c>
      <c r="B333" s="541" t="str">
        <v>Before the burnRS44306</v>
      </c>
      <c r="C333" s="542" t="str">
        <f t="shared" si="19"/>
        <v>RS44306</v>
      </c>
    </row>
    <row r="334" spans="1:30" x14ac:dyDescent="0.3">
      <c r="A334" s="540" t="str">
        <f>_xlfn.CONCAT(Physicochemical_Managed!Y104, Physicochemical_Managed!P104)</f>
        <v>After the burnRN44418</v>
      </c>
      <c r="B334" s="541" t="str">
        <v>Before the burnRS44313</v>
      </c>
      <c r="C334" s="542" t="str">
        <f t="shared" si="19"/>
        <v>RS44313</v>
      </c>
    </row>
    <row r="335" spans="1:30" x14ac:dyDescent="0.3">
      <c r="A335" s="540" t="str">
        <f>_xlfn.CONCAT(Physicochemical_Managed!Y105, Physicochemical_Managed!P105)</f>
        <v>After the burnRN44419</v>
      </c>
      <c r="B335" s="541" t="str">
        <v>Before the burnRS44327</v>
      </c>
      <c r="C335" s="542" t="str">
        <f t="shared" si="19"/>
        <v>RS44327</v>
      </c>
    </row>
    <row r="336" spans="1:30" x14ac:dyDescent="0.3">
      <c r="A336" s="540" t="str">
        <f>_xlfn.CONCAT(Physicochemical_Managed!Y106, Physicochemical_Managed!P106)</f>
        <v>After the burnRN44425</v>
      </c>
      <c r="B336" s="541" t="str">
        <v>Before the burnRS44334</v>
      </c>
      <c r="C336" s="542" t="str">
        <f t="shared" si="19"/>
        <v>RS44334</v>
      </c>
    </row>
    <row r="337" spans="1:3" x14ac:dyDescent="0.3">
      <c r="A337" s="540" t="str">
        <f>_xlfn.CONCAT(Physicochemical_Managed!Y107, Physicochemical_Managed!P107)</f>
        <v>After the burnRN44426</v>
      </c>
      <c r="B337" s="541" t="str">
        <v>Before the burnRS44335</v>
      </c>
      <c r="C337" s="542" t="str">
        <f t="shared" si="19"/>
        <v>RS44335</v>
      </c>
    </row>
    <row r="338" spans="1:3" x14ac:dyDescent="0.3">
      <c r="A338" s="540" t="str">
        <f>_xlfn.CONCAT(Physicochemical_Managed!Y108, Physicochemical_Managed!P108)</f>
        <v>After the burnRN44432</v>
      </c>
      <c r="B338" s="541" t="str">
        <v>Before the burnRS44341</v>
      </c>
      <c r="C338" s="542" t="str">
        <f t="shared" si="19"/>
        <v>RS44341</v>
      </c>
    </row>
    <row r="339" spans="1:3" x14ac:dyDescent="0.3">
      <c r="A339" s="540" t="str">
        <f>_xlfn.CONCAT(Physicochemical_Managed!Y109, Physicochemical_Managed!P109)</f>
        <v>After the burnRN44433</v>
      </c>
      <c r="B339" s="541" t="str">
        <v>Before the burnRS44342</v>
      </c>
      <c r="C339" s="542" t="str">
        <f t="shared" si="19"/>
        <v>RS44342</v>
      </c>
    </row>
    <row r="340" spans="1:3" x14ac:dyDescent="0.3">
      <c r="A340" s="540" t="str">
        <f>_xlfn.CONCAT(Physicochemical_Managed!Y110, Physicochemical_Managed!P110)</f>
        <v>Before the burnRU44293</v>
      </c>
      <c r="B340" s="541" t="str">
        <v>Before the burnRS44349</v>
      </c>
      <c r="C340" s="542" t="str">
        <f t="shared" si="19"/>
        <v>RS44349</v>
      </c>
    </row>
    <row r="341" spans="1:3" x14ac:dyDescent="0.3">
      <c r="A341" s="540" t="str">
        <f>_xlfn.CONCAT(Physicochemical_Managed!Y111, Physicochemical_Managed!P111)</f>
        <v>Before the burnRU44306</v>
      </c>
      <c r="B341" s="541" t="str">
        <v>Before the burnRS44350</v>
      </c>
      <c r="C341" s="542" t="str">
        <f t="shared" si="19"/>
        <v>RS44350</v>
      </c>
    </row>
    <row r="342" spans="1:3" x14ac:dyDescent="0.3">
      <c r="A342" s="540" t="str">
        <f>_xlfn.CONCAT(Physicochemical_Managed!Y112, Physicochemical_Managed!P112)</f>
        <v>Before the burnRU44313</v>
      </c>
      <c r="B342" s="541" t="str">
        <v>Before the burnRU44293</v>
      </c>
      <c r="C342" s="542" t="str">
        <f t="shared" si="19"/>
        <v>RU44293</v>
      </c>
    </row>
    <row r="343" spans="1:3" x14ac:dyDescent="0.3">
      <c r="A343" s="540" t="str">
        <f>_xlfn.CONCAT(Physicochemical_Managed!Y113, Physicochemical_Managed!P113)</f>
        <v>Before the burnRU44327</v>
      </c>
      <c r="B343" s="541" t="str">
        <v>Before the burnRU44306</v>
      </c>
      <c r="C343" s="542" t="str">
        <f t="shared" si="19"/>
        <v>RU44306</v>
      </c>
    </row>
    <row r="344" spans="1:3" x14ac:dyDescent="0.3">
      <c r="A344" s="540" t="str">
        <f>_xlfn.CONCAT(Physicochemical_Managed!Y114, Physicochemical_Managed!P114)</f>
        <v>Before the burnRU44334</v>
      </c>
      <c r="B344" s="541" t="str">
        <v>Before the burnRU44313</v>
      </c>
      <c r="C344" s="542" t="str">
        <f t="shared" si="19"/>
        <v>RU44313</v>
      </c>
    </row>
    <row r="345" spans="1:3" x14ac:dyDescent="0.3">
      <c r="A345" s="540" t="str">
        <f>_xlfn.CONCAT(Physicochemical_Managed!Y115, Physicochemical_Managed!P115)</f>
        <v>Before the burnRU44335</v>
      </c>
      <c r="B345" s="541" t="str">
        <v>Before the burnRU44327</v>
      </c>
      <c r="C345" s="542" t="str">
        <f t="shared" si="19"/>
        <v>RU44327</v>
      </c>
    </row>
    <row r="346" spans="1:3" x14ac:dyDescent="0.3">
      <c r="A346" s="540" t="str">
        <f>_xlfn.CONCAT(Physicochemical_Managed!Y116, Physicochemical_Managed!P116)</f>
        <v>Before the burnRU44341</v>
      </c>
      <c r="B346" s="541" t="str">
        <v>Before the burnRU44334</v>
      </c>
      <c r="C346" s="542" t="str">
        <f t="shared" si="19"/>
        <v>RU44334</v>
      </c>
    </row>
    <row r="347" spans="1:3" x14ac:dyDescent="0.3">
      <c r="A347" s="540" t="str">
        <f>_xlfn.CONCAT(Physicochemical_Managed!Y117, Physicochemical_Managed!P117)</f>
        <v>Before the burnRU44342</v>
      </c>
      <c r="B347" s="541" t="str">
        <v>Before the burnRU44335</v>
      </c>
      <c r="C347" s="542" t="str">
        <f t="shared" si="19"/>
        <v>RU44335</v>
      </c>
    </row>
    <row r="348" spans="1:3" x14ac:dyDescent="0.3">
      <c r="A348" s="540" t="str">
        <f>_xlfn.CONCAT(Physicochemical_Managed!Y118, Physicochemical_Managed!P118)</f>
        <v>Before the burnRU44349</v>
      </c>
      <c r="B348" s="541" t="str">
        <v>Before the burnRU44341</v>
      </c>
      <c r="C348" s="542" t="str">
        <f t="shared" si="19"/>
        <v>RU44341</v>
      </c>
    </row>
    <row r="349" spans="1:3" x14ac:dyDescent="0.3">
      <c r="A349" s="540" t="str">
        <f>_xlfn.CONCAT(Physicochemical_Managed!Y119, Physicochemical_Managed!P119)</f>
        <v>Before the burnRU44350</v>
      </c>
      <c r="B349" s="541" t="str">
        <v>Before the burnRU44342</v>
      </c>
      <c r="C349" s="542" t="str">
        <f t="shared" si="19"/>
        <v>RU44342</v>
      </c>
    </row>
    <row r="350" spans="1:3" x14ac:dyDescent="0.3">
      <c r="A350" s="540" t="str">
        <f>_xlfn.CONCAT(Physicochemical_Managed!Y120, Physicochemical_Managed!P120)</f>
        <v>Before the burnRU44355</v>
      </c>
      <c r="B350" s="541" t="str">
        <v>Before the burnRU44349</v>
      </c>
      <c r="C350" s="542" t="str">
        <f t="shared" si="19"/>
        <v>RU44349</v>
      </c>
    </row>
    <row r="351" spans="1:3" x14ac:dyDescent="0.3">
      <c r="A351" s="540" t="str">
        <f>_xlfn.CONCAT(Physicochemical_Managed!Y121, Physicochemical_Managed!P121)</f>
        <v>Before the burnRU44356</v>
      </c>
      <c r="B351" s="541" t="str">
        <v>Before the burnRU44350</v>
      </c>
      <c r="C351" s="542" t="str">
        <f t="shared" si="19"/>
        <v>RU44350</v>
      </c>
    </row>
    <row r="352" spans="1:3" x14ac:dyDescent="0.3">
      <c r="A352" s="540" t="str">
        <f>_xlfn.CONCAT(Physicochemical_Managed!Y122, Physicochemical_Managed!P122)</f>
        <v>During the burnRU44362</v>
      </c>
      <c r="B352" s="541" t="str">
        <v>Before the burnRU44355</v>
      </c>
      <c r="C352" s="542" t="str">
        <f t="shared" si="19"/>
        <v>RU44355</v>
      </c>
    </row>
    <row r="353" spans="1:3" x14ac:dyDescent="0.3">
      <c r="A353" s="540" t="str">
        <f>_xlfn.CONCAT(Physicochemical_Managed!Y123, Physicochemical_Managed!P123)</f>
        <v>During the burnRU44363</v>
      </c>
      <c r="B353" s="541" t="str">
        <v>Before the burnRU44356</v>
      </c>
      <c r="C353" s="542" t="str">
        <f t="shared" si="19"/>
        <v>RU44356</v>
      </c>
    </row>
    <row r="354" spans="1:3" x14ac:dyDescent="0.3">
      <c r="A354" s="540" t="str">
        <f>_xlfn.CONCAT(Physicochemical_Managed!Y124, Physicochemical_Managed!P124)</f>
        <v>During the burnRU44364</v>
      </c>
      <c r="B354" s="541" t="str">
        <v>Before the burnSPI44294</v>
      </c>
      <c r="C354" s="542" t="str">
        <f t="shared" si="19"/>
        <v>SPI44294</v>
      </c>
    </row>
    <row r="355" spans="1:3" x14ac:dyDescent="0.3">
      <c r="A355" s="540" t="str">
        <f>_xlfn.CONCAT(Physicochemical_Managed!Y125, Physicochemical_Managed!P125)</f>
        <v>During the burnRU44369</v>
      </c>
      <c r="B355" s="541" t="str">
        <v>Before the burnSPI44306</v>
      </c>
      <c r="C355" s="542" t="str">
        <f t="shared" si="19"/>
        <v>SPI44306</v>
      </c>
    </row>
    <row r="356" spans="1:3" x14ac:dyDescent="0.3">
      <c r="A356" s="540" t="str">
        <f>_xlfn.CONCAT(Physicochemical_Managed!Y126, Physicochemical_Managed!P126)</f>
        <v>During the burnRU44370</v>
      </c>
      <c r="B356" s="541" t="str">
        <v>Before the burnSPI44313</v>
      </c>
      <c r="C356" s="542" t="str">
        <f t="shared" si="19"/>
        <v>SPI44313</v>
      </c>
    </row>
    <row r="357" spans="1:3" x14ac:dyDescent="0.3">
      <c r="A357" s="540" t="str">
        <f>_xlfn.CONCAT(Physicochemical_Managed!Y127, Physicochemical_Managed!P127)</f>
        <v>During the burnRU44376</v>
      </c>
      <c r="B357" s="541" t="str">
        <v>Before the burnSPI44320</v>
      </c>
      <c r="C357" s="542" t="str">
        <f t="shared" si="19"/>
        <v>SPI44320</v>
      </c>
    </row>
    <row r="358" spans="1:3" x14ac:dyDescent="0.3">
      <c r="A358" s="540" t="str">
        <f>_xlfn.CONCAT(Physicochemical_Managed!Y128, Physicochemical_Managed!P128)</f>
        <v>During the burnRU44377</v>
      </c>
      <c r="B358" s="541" t="str">
        <v>Before the burnSPI44327</v>
      </c>
      <c r="C358" s="542" t="str">
        <f t="shared" si="19"/>
        <v>SPI44327</v>
      </c>
    </row>
    <row r="359" spans="1:3" x14ac:dyDescent="0.3">
      <c r="A359" s="540" t="str">
        <f>_xlfn.CONCAT(Physicochemical_Managed!Y129, Physicochemical_Managed!P129)</f>
        <v>During the burnRU44384</v>
      </c>
      <c r="B359" s="541" t="str">
        <v>Before the burnSPI44335</v>
      </c>
      <c r="C359" s="542" t="str">
        <f t="shared" si="19"/>
        <v>SPI44335</v>
      </c>
    </row>
    <row r="360" spans="1:3" x14ac:dyDescent="0.3">
      <c r="A360" s="540" t="str">
        <f>_xlfn.CONCAT(Physicochemical_Managed!Y130, Physicochemical_Managed!P130)</f>
        <v>During the burnRU44385</v>
      </c>
      <c r="B360" s="541" t="str">
        <v>Before the burnSPI44342</v>
      </c>
      <c r="C360" s="542" t="str">
        <f t="shared" si="19"/>
        <v>SPI44342</v>
      </c>
    </row>
    <row r="361" spans="1:3" x14ac:dyDescent="0.3">
      <c r="A361" s="540" t="str">
        <f>_xlfn.CONCAT(Physicochemical_Managed!Y131, Physicochemical_Managed!P131)</f>
        <v>During the burnRU44390</v>
      </c>
      <c r="B361" s="541" t="str">
        <v>Before the burnSPI44356</v>
      </c>
      <c r="C361" s="542" t="str">
        <f t="shared" ref="C361:C424" si="24">RIGHT(B361, LEN(B361)-(FIND("burn", B361)+3))</f>
        <v>SPI44356</v>
      </c>
    </row>
    <row r="362" spans="1:3" x14ac:dyDescent="0.3">
      <c r="A362" s="540" t="str">
        <f>_xlfn.CONCAT(Physicochemical_Managed!Y132, Physicochemical_Managed!P132)</f>
        <v>During the burnRU44391</v>
      </c>
      <c r="B362" s="541" t="str">
        <v>Before the burnSPO44294</v>
      </c>
      <c r="C362" s="542" t="str">
        <f t="shared" si="24"/>
        <v>SPO44294</v>
      </c>
    </row>
    <row r="363" spans="1:3" x14ac:dyDescent="0.3">
      <c r="A363" s="540" t="str">
        <f>_xlfn.CONCAT(Physicochemical_Managed!Y133, Physicochemical_Managed!P133)</f>
        <v>During the burnRU44397</v>
      </c>
      <c r="B363" s="541" t="str">
        <v>Before the burnSPO44306</v>
      </c>
      <c r="C363" s="542" t="str">
        <f t="shared" si="24"/>
        <v>SPO44306</v>
      </c>
    </row>
    <row r="364" spans="1:3" x14ac:dyDescent="0.3">
      <c r="A364" s="540" t="str">
        <f>_xlfn.CONCAT(Physicochemical_Managed!Y134, Physicochemical_Managed!P134)</f>
        <v>After the burnRU44404</v>
      </c>
      <c r="B364" s="541" t="str">
        <v>Before the burnSPO44313</v>
      </c>
      <c r="C364" s="542" t="str">
        <f t="shared" si="24"/>
        <v>SPO44313</v>
      </c>
    </row>
    <row r="365" spans="1:3" x14ac:dyDescent="0.3">
      <c r="A365" s="540" t="str">
        <f>_xlfn.CONCAT(Physicochemical_Managed!Y135, Physicochemical_Managed!P135)</f>
        <v>After the burnRU44405</v>
      </c>
      <c r="B365" s="541" t="str">
        <v>Before the burnSPO44320</v>
      </c>
      <c r="C365" s="542" t="str">
        <f t="shared" si="24"/>
        <v>SPO44320</v>
      </c>
    </row>
    <row r="366" spans="1:3" x14ac:dyDescent="0.3">
      <c r="A366" s="540" t="str">
        <f>_xlfn.CONCAT(Physicochemical_Managed!Y136, Physicochemical_Managed!P136)</f>
        <v>After the burnRU44411</v>
      </c>
      <c r="B366" s="541" t="str">
        <v>Before the burnSPO44327</v>
      </c>
      <c r="C366" s="542" t="str">
        <f t="shared" si="24"/>
        <v>SPO44327</v>
      </c>
    </row>
    <row r="367" spans="1:3" x14ac:dyDescent="0.3">
      <c r="A367" s="540" t="str">
        <f>_xlfn.CONCAT(Physicochemical_Managed!Y137, Physicochemical_Managed!P137)</f>
        <v>After the burnRU44412</v>
      </c>
      <c r="B367" s="541" t="str">
        <v>Before the burnSPO44335</v>
      </c>
      <c r="C367" s="542" t="str">
        <f t="shared" si="24"/>
        <v>SPO44335</v>
      </c>
    </row>
    <row r="368" spans="1:3" x14ac:dyDescent="0.3">
      <c r="A368" s="540" t="str">
        <f>_xlfn.CONCAT(Physicochemical_Managed!Y138, Physicochemical_Managed!P138)</f>
        <v>After the burnRU44418</v>
      </c>
      <c r="B368" s="541" t="str">
        <v>Before the burnSPO44342</v>
      </c>
      <c r="C368" s="542" t="str">
        <f t="shared" si="24"/>
        <v>SPO44342</v>
      </c>
    </row>
    <row r="369" spans="1:3" x14ac:dyDescent="0.3">
      <c r="A369" s="540" t="str">
        <f>_xlfn.CONCAT(Physicochemical_Managed!Y139, Physicochemical_Managed!P139)</f>
        <v>After the burnRU44419</v>
      </c>
      <c r="B369" s="541" t="str">
        <v>Before the burnSPO44356</v>
      </c>
      <c r="C369" s="542" t="str">
        <f t="shared" si="24"/>
        <v>SPO44356</v>
      </c>
    </row>
    <row r="370" spans="1:3" x14ac:dyDescent="0.3">
      <c r="A370" s="540" t="str">
        <f>_xlfn.CONCAT(Physicochemical_Managed!Y140, Physicochemical_Managed!P140)</f>
        <v>After the burnRU44425</v>
      </c>
      <c r="B370" s="541" t="str">
        <v>During the burnEP44363</v>
      </c>
      <c r="C370" s="542" t="str">
        <f t="shared" si="24"/>
        <v>EP44363</v>
      </c>
    </row>
    <row r="371" spans="1:3" x14ac:dyDescent="0.3">
      <c r="A371" s="540" t="str">
        <f>_xlfn.CONCAT(Physicochemical_Managed!Y141, Physicochemical_Managed!P141)</f>
        <v>After the burnRU44426</v>
      </c>
      <c r="B371" s="541" t="str">
        <v>During the burnEP44370</v>
      </c>
      <c r="C371" s="542" t="str">
        <f t="shared" si="24"/>
        <v>EP44370</v>
      </c>
    </row>
    <row r="372" spans="1:3" x14ac:dyDescent="0.3">
      <c r="A372" s="540" t="str">
        <f>_xlfn.CONCAT(Physicochemical_Managed!Y142, Physicochemical_Managed!P142)</f>
        <v>After the burnRU44432</v>
      </c>
      <c r="B372" s="541" t="str">
        <v>During the burnEP44377</v>
      </c>
      <c r="C372" s="542" t="str">
        <f t="shared" si="24"/>
        <v>EP44377</v>
      </c>
    </row>
    <row r="373" spans="1:3" x14ac:dyDescent="0.3">
      <c r="A373" s="540" t="str">
        <f>_xlfn.CONCAT(Physicochemical_Managed!Y143, Physicochemical_Managed!P143)</f>
        <v>After the burnRU44433</v>
      </c>
      <c r="B373" s="541" t="str">
        <v>During the burnEP44385</v>
      </c>
      <c r="C373" s="542" t="str">
        <f t="shared" si="24"/>
        <v>EP44385</v>
      </c>
    </row>
    <row r="374" spans="1:3" x14ac:dyDescent="0.3">
      <c r="A374" s="540" t="str">
        <f>_xlfn.CONCAT(Physicochemical_Managed!Y144, Physicochemical_Managed!P144)</f>
        <v>Before the burnRL44293</v>
      </c>
      <c r="B374" s="541" t="str">
        <v>During the burnEP44391</v>
      </c>
      <c r="C374" s="542" t="str">
        <f t="shared" si="24"/>
        <v>EP44391</v>
      </c>
    </row>
    <row r="375" spans="1:3" x14ac:dyDescent="0.3">
      <c r="A375" s="540" t="str">
        <f>_xlfn.CONCAT(Physicochemical_Managed!Y145, Physicochemical_Managed!P145)</f>
        <v>Before the burnRL44306</v>
      </c>
      <c r="B375" s="541" t="str">
        <v>During the burnEP44398</v>
      </c>
      <c r="C375" s="542" t="str">
        <f t="shared" si="24"/>
        <v>EP44398</v>
      </c>
    </row>
    <row r="376" spans="1:3" x14ac:dyDescent="0.3">
      <c r="A376" s="540" t="str">
        <f>_xlfn.CONCAT(Physicochemical_Managed!Y146, Physicochemical_Managed!P146)</f>
        <v>Before the burnRL44313</v>
      </c>
      <c r="B376" s="541" t="str">
        <v>During the burnMRT44363</v>
      </c>
      <c r="C376" s="542" t="str">
        <f t="shared" si="24"/>
        <v>MRT44363</v>
      </c>
    </row>
    <row r="377" spans="1:3" x14ac:dyDescent="0.3">
      <c r="A377" s="540" t="str">
        <f>_xlfn.CONCAT(Physicochemical_Managed!Y147, Physicochemical_Managed!P147)</f>
        <v>Before the burnRL44327</v>
      </c>
      <c r="B377" s="541" t="str">
        <v>During the burnMRT44370</v>
      </c>
      <c r="C377" s="542" t="str">
        <f t="shared" si="24"/>
        <v>MRT44370</v>
      </c>
    </row>
    <row r="378" spans="1:3" x14ac:dyDescent="0.3">
      <c r="A378" s="540" t="str">
        <f>_xlfn.CONCAT(Physicochemical_Managed!Y148, Physicochemical_Managed!P148)</f>
        <v>Before the burnRL44334</v>
      </c>
      <c r="B378" s="541" t="str">
        <v>During the burnMRT44377</v>
      </c>
      <c r="C378" s="542" t="str">
        <f t="shared" si="24"/>
        <v>MRT44377</v>
      </c>
    </row>
    <row r="379" spans="1:3" x14ac:dyDescent="0.3">
      <c r="A379" s="540" t="str">
        <f>_xlfn.CONCAT(Physicochemical_Managed!Y149, Physicochemical_Managed!P149)</f>
        <v>Before the burnRL44335</v>
      </c>
      <c r="B379" s="541" t="str">
        <v>During the burnMRT44385</v>
      </c>
      <c r="C379" s="542" t="str">
        <f t="shared" si="24"/>
        <v>MRT44385</v>
      </c>
    </row>
    <row r="380" spans="1:3" x14ac:dyDescent="0.3">
      <c r="A380" s="540" t="str">
        <f>_xlfn.CONCAT(Physicochemical_Managed!Y150, Physicochemical_Managed!P150)</f>
        <v>Before the burnRL44341</v>
      </c>
      <c r="B380" s="541" t="str">
        <v>During the burnMRT44391</v>
      </c>
      <c r="C380" s="542" t="str">
        <f t="shared" si="24"/>
        <v>MRT44391</v>
      </c>
    </row>
    <row r="381" spans="1:3" x14ac:dyDescent="0.3">
      <c r="A381" s="540" t="str">
        <f>_xlfn.CONCAT(Physicochemical_Managed!Y151, Physicochemical_Managed!P151)</f>
        <v>Before the burnRL44342</v>
      </c>
      <c r="B381" s="541" t="str">
        <v>During the burnMRT44398</v>
      </c>
      <c r="C381" s="542" t="str">
        <f t="shared" si="24"/>
        <v>MRT44398</v>
      </c>
    </row>
    <row r="382" spans="1:3" x14ac:dyDescent="0.3">
      <c r="A382" s="540" t="str">
        <f>_xlfn.CONCAT(Physicochemical_Managed!Y152, Physicochemical_Managed!P152)</f>
        <v>Before the burnRL44349</v>
      </c>
      <c r="B382" s="541" t="str">
        <v>During the burnRL44362</v>
      </c>
      <c r="C382" s="542" t="str">
        <f t="shared" si="24"/>
        <v>RL44362</v>
      </c>
    </row>
    <row r="383" spans="1:3" x14ac:dyDescent="0.3">
      <c r="A383" s="540" t="str">
        <f>_xlfn.CONCAT(Physicochemical_Managed!Y153, Physicochemical_Managed!P153)</f>
        <v>Before the burnRL44350</v>
      </c>
      <c r="B383" s="541" t="str">
        <v>During the burnRL44363</v>
      </c>
      <c r="C383" s="542" t="str">
        <f t="shared" si="24"/>
        <v>RL44363</v>
      </c>
    </row>
    <row r="384" spans="1:3" x14ac:dyDescent="0.3">
      <c r="A384" s="540" t="str">
        <f>_xlfn.CONCAT(Physicochemical_Managed!Y154, Physicochemical_Managed!P154)</f>
        <v>Before the burnRL44355</v>
      </c>
      <c r="B384" s="541" t="str">
        <v>During the burnRL44369</v>
      </c>
      <c r="C384" s="542" t="str">
        <f t="shared" si="24"/>
        <v>RL44369</v>
      </c>
    </row>
    <row r="385" spans="1:3" x14ac:dyDescent="0.3">
      <c r="A385" s="540" t="str">
        <f>_xlfn.CONCAT(Physicochemical_Managed!Y155, Physicochemical_Managed!P155)</f>
        <v>Before the burnRL44356</v>
      </c>
      <c r="B385" s="541" t="str">
        <v>During the burnRL44370</v>
      </c>
      <c r="C385" s="542" t="str">
        <f t="shared" si="24"/>
        <v>RL44370</v>
      </c>
    </row>
    <row r="386" spans="1:3" x14ac:dyDescent="0.3">
      <c r="A386" s="540" t="str">
        <f>_xlfn.CONCAT(Physicochemical_Managed!Y156, Physicochemical_Managed!P156)</f>
        <v>During the burnRL44362</v>
      </c>
      <c r="B386" s="541" t="str">
        <v>During the burnRL44384</v>
      </c>
      <c r="C386" s="542" t="str">
        <f t="shared" si="24"/>
        <v>RL44384</v>
      </c>
    </row>
    <row r="387" spans="1:3" x14ac:dyDescent="0.3">
      <c r="A387" s="540" t="str">
        <f>_xlfn.CONCAT(Physicochemical_Managed!Y157, Physicochemical_Managed!P157)</f>
        <v>During the burnRL44363</v>
      </c>
      <c r="B387" s="541" t="str">
        <v>During the burnRL44385</v>
      </c>
      <c r="C387" s="542" t="str">
        <f t="shared" si="24"/>
        <v>RL44385</v>
      </c>
    </row>
    <row r="388" spans="1:3" x14ac:dyDescent="0.3">
      <c r="A388" s="540" t="str">
        <f>_xlfn.CONCAT(Physicochemical_Managed!Y158, Physicochemical_Managed!P158)</f>
        <v>During the burnRL44369</v>
      </c>
      <c r="B388" s="541" t="str">
        <v>During the burnRL44390</v>
      </c>
      <c r="C388" s="542" t="str">
        <f t="shared" si="24"/>
        <v>RL44390</v>
      </c>
    </row>
    <row r="389" spans="1:3" x14ac:dyDescent="0.3">
      <c r="A389" s="540" t="str">
        <f>_xlfn.CONCAT(Physicochemical_Managed!Y159, Physicochemical_Managed!P159)</f>
        <v>During the burnRL44370</v>
      </c>
      <c r="B389" s="541" t="str">
        <v>During the burnRL44391</v>
      </c>
      <c r="C389" s="542" t="str">
        <f t="shared" si="24"/>
        <v>RL44391</v>
      </c>
    </row>
    <row r="390" spans="1:3" x14ac:dyDescent="0.3">
      <c r="A390" s="540" t="str">
        <f>_xlfn.CONCAT(Physicochemical_Managed!Y160, Physicochemical_Managed!P160)</f>
        <v>During the burnRL44384</v>
      </c>
      <c r="B390" s="541" t="str">
        <v>During the burnRL44397</v>
      </c>
      <c r="C390" s="542" t="str">
        <f t="shared" si="24"/>
        <v>RL44397</v>
      </c>
    </row>
    <row r="391" spans="1:3" x14ac:dyDescent="0.3">
      <c r="A391" s="540" t="str">
        <f>_xlfn.CONCAT(Physicochemical_Managed!Y161, Physicochemical_Managed!P161)</f>
        <v>During the burnRL44385</v>
      </c>
      <c r="B391" s="541" t="str">
        <v>During the burnRL44398</v>
      </c>
      <c r="C391" s="542" t="str">
        <f t="shared" si="24"/>
        <v>RL44398</v>
      </c>
    </row>
    <row r="392" spans="1:3" x14ac:dyDescent="0.3">
      <c r="A392" s="540" t="str">
        <f>_xlfn.CONCAT(Physicochemical_Managed!Y162, Physicochemical_Managed!P162)</f>
        <v>During the burnRL44390</v>
      </c>
      <c r="B392" s="541" t="str">
        <v>During the burnRN44362</v>
      </c>
      <c r="C392" s="542" t="str">
        <f t="shared" si="24"/>
        <v>RN44362</v>
      </c>
    </row>
    <row r="393" spans="1:3" x14ac:dyDescent="0.3">
      <c r="A393" s="540" t="str">
        <f>_xlfn.CONCAT(Physicochemical_Managed!Y163, Physicochemical_Managed!P163)</f>
        <v>During the burnRL44391</v>
      </c>
      <c r="B393" s="541" t="str">
        <v>During the burnRN44363</v>
      </c>
      <c r="C393" s="542" t="str">
        <f t="shared" si="24"/>
        <v>RN44363</v>
      </c>
    </row>
    <row r="394" spans="1:3" x14ac:dyDescent="0.3">
      <c r="A394" s="540" t="str">
        <f>_xlfn.CONCAT(Physicochemical_Managed!Y164, Physicochemical_Managed!P164)</f>
        <v>During the burnRL44397</v>
      </c>
      <c r="B394" s="541" t="str">
        <v>During the burnRN44369</v>
      </c>
      <c r="C394" s="542" t="str">
        <f t="shared" si="24"/>
        <v>RN44369</v>
      </c>
    </row>
    <row r="395" spans="1:3" x14ac:dyDescent="0.3">
      <c r="A395" s="540" t="str">
        <f>_xlfn.CONCAT(Physicochemical_Managed!Y165, Physicochemical_Managed!P165)</f>
        <v>During the burnRL44398</v>
      </c>
      <c r="B395" s="541" t="str">
        <v>During the burnRN44370</v>
      </c>
      <c r="C395" s="542" t="str">
        <f t="shared" si="24"/>
        <v>RN44370</v>
      </c>
    </row>
    <row r="396" spans="1:3" x14ac:dyDescent="0.3">
      <c r="A396" s="540" t="str">
        <f>_xlfn.CONCAT(Physicochemical_Managed!Y166, Physicochemical_Managed!P166)</f>
        <v>After the burnRL44404</v>
      </c>
      <c r="B396" s="541" t="str">
        <v>During the burnRN44376</v>
      </c>
      <c r="C396" s="542" t="str">
        <f t="shared" si="24"/>
        <v>RN44376</v>
      </c>
    </row>
    <row r="397" spans="1:3" x14ac:dyDescent="0.3">
      <c r="A397" s="540" t="str">
        <f>_xlfn.CONCAT(Physicochemical_Managed!Y167, Physicochemical_Managed!P167)</f>
        <v>After the burnRL44405</v>
      </c>
      <c r="B397" s="541" t="str">
        <v>During the burnRN44377</v>
      </c>
      <c r="C397" s="542" t="str">
        <f t="shared" si="24"/>
        <v>RN44377</v>
      </c>
    </row>
    <row r="398" spans="1:3" x14ac:dyDescent="0.3">
      <c r="A398" s="540" t="str">
        <f>_xlfn.CONCAT(Physicochemical_Managed!Y168, Physicochemical_Managed!P168)</f>
        <v>After the burnRL44411</v>
      </c>
      <c r="B398" s="541" t="str">
        <v>During the burnRN44384</v>
      </c>
      <c r="C398" s="542" t="str">
        <f t="shared" si="24"/>
        <v>RN44384</v>
      </c>
    </row>
    <row r="399" spans="1:3" x14ac:dyDescent="0.3">
      <c r="A399" s="540" t="str">
        <f>_xlfn.CONCAT(Physicochemical_Managed!Y169, Physicochemical_Managed!P169)</f>
        <v>After the burnRL44412</v>
      </c>
      <c r="B399" s="541" t="str">
        <v>During the burnRN44385</v>
      </c>
      <c r="C399" s="542" t="str">
        <f t="shared" si="24"/>
        <v>RN44385</v>
      </c>
    </row>
    <row r="400" spans="1:3" x14ac:dyDescent="0.3">
      <c r="A400" s="540" t="str">
        <f>_xlfn.CONCAT(Physicochemical_Managed!Y170, Physicochemical_Managed!P170)</f>
        <v>After the burnRL44418</v>
      </c>
      <c r="B400" s="541" t="str">
        <v>During the burnRN44390</v>
      </c>
      <c r="C400" s="542" t="str">
        <f t="shared" si="24"/>
        <v>RN44390</v>
      </c>
    </row>
    <row r="401" spans="1:3" x14ac:dyDescent="0.3">
      <c r="A401" s="540" t="str">
        <f>_xlfn.CONCAT(Physicochemical_Managed!Y171, Physicochemical_Managed!P171)</f>
        <v>After the burnRL44419</v>
      </c>
      <c r="B401" s="541" t="str">
        <v>During the burnRN44391</v>
      </c>
      <c r="C401" s="542" t="str">
        <f t="shared" si="24"/>
        <v>RN44391</v>
      </c>
    </row>
    <row r="402" spans="1:3" x14ac:dyDescent="0.3">
      <c r="A402" s="540" t="str">
        <f>_xlfn.CONCAT(Physicochemical_Managed!Y172, Physicochemical_Managed!P172)</f>
        <v>After the burnRL44425</v>
      </c>
      <c r="B402" s="541" t="str">
        <v>During the burnRN44397</v>
      </c>
      <c r="C402" s="542" t="str">
        <f t="shared" si="24"/>
        <v>RN44397</v>
      </c>
    </row>
    <row r="403" spans="1:3" x14ac:dyDescent="0.3">
      <c r="A403" s="540" t="str">
        <f>_xlfn.CONCAT(Physicochemical_Managed!Y173, Physicochemical_Managed!P173)</f>
        <v>After the burnRL44426</v>
      </c>
      <c r="B403" s="541" t="str">
        <v>During the burnRN44398</v>
      </c>
      <c r="C403" s="542" t="str">
        <f t="shared" si="24"/>
        <v>RN44398</v>
      </c>
    </row>
    <row r="404" spans="1:3" x14ac:dyDescent="0.3">
      <c r="A404" s="540" t="str">
        <f>_xlfn.CONCAT(Physicochemical_Managed!Y174, Physicochemical_Managed!P174)</f>
        <v>After the burnRL44432</v>
      </c>
      <c r="B404" s="541" t="str">
        <v>During the burnRS44362</v>
      </c>
      <c r="C404" s="542" t="str">
        <f t="shared" si="24"/>
        <v>RS44362</v>
      </c>
    </row>
    <row r="405" spans="1:3" x14ac:dyDescent="0.3">
      <c r="A405" s="540" t="str">
        <f>_xlfn.CONCAT(Physicochemical_Managed!Y175, Physicochemical_Managed!P175)</f>
        <v>After the burnRL44433</v>
      </c>
      <c r="B405" s="541" t="str">
        <v>During the burnRS44363</v>
      </c>
      <c r="C405" s="542" t="str">
        <f t="shared" si="24"/>
        <v>RS44363</v>
      </c>
    </row>
    <row r="406" spans="1:3" x14ac:dyDescent="0.3">
      <c r="A406" s="540" t="str">
        <f>_xlfn.CONCAT(Physicochemical_Managed!Y176, Physicochemical_Managed!P176)</f>
        <v>Before the burnRS44293</v>
      </c>
      <c r="B406" s="541" t="str">
        <v>During the burnRS44369</v>
      </c>
      <c r="C406" s="542" t="str">
        <f t="shared" si="24"/>
        <v>RS44369</v>
      </c>
    </row>
    <row r="407" spans="1:3" x14ac:dyDescent="0.3">
      <c r="A407" s="540" t="str">
        <f>_xlfn.CONCAT(Physicochemical_Managed!Y177, Physicochemical_Managed!P177)</f>
        <v>Before the burnRS44306</v>
      </c>
      <c r="B407" s="541" t="str">
        <v>During the burnRS44370</v>
      </c>
      <c r="C407" s="542" t="str">
        <f t="shared" si="24"/>
        <v>RS44370</v>
      </c>
    </row>
    <row r="408" spans="1:3" x14ac:dyDescent="0.3">
      <c r="A408" s="540" t="str">
        <f>_xlfn.CONCAT(Physicochemical_Managed!Y178, Physicochemical_Managed!P178)</f>
        <v>Before the burnRS44313</v>
      </c>
      <c r="B408" s="541" t="str">
        <v>During the burnRS44376</v>
      </c>
      <c r="C408" s="542" t="str">
        <f t="shared" si="24"/>
        <v>RS44376</v>
      </c>
    </row>
    <row r="409" spans="1:3" x14ac:dyDescent="0.3">
      <c r="A409" s="540" t="str">
        <f>_xlfn.CONCAT(Physicochemical_Managed!Y179, Physicochemical_Managed!P179)</f>
        <v>Before the burnRS44327</v>
      </c>
      <c r="B409" s="541" t="str">
        <v>During the burnRS44377</v>
      </c>
      <c r="C409" s="542" t="str">
        <f t="shared" si="24"/>
        <v>RS44377</v>
      </c>
    </row>
    <row r="410" spans="1:3" x14ac:dyDescent="0.3">
      <c r="A410" s="540" t="str">
        <f>_xlfn.CONCAT(Physicochemical_Managed!Y180, Physicochemical_Managed!P180)</f>
        <v>Before the burnRS44334</v>
      </c>
      <c r="B410" s="541" t="str">
        <v>During the burnRS44384</v>
      </c>
      <c r="C410" s="542" t="str">
        <f t="shared" si="24"/>
        <v>RS44384</v>
      </c>
    </row>
    <row r="411" spans="1:3" x14ac:dyDescent="0.3">
      <c r="A411" s="540" t="str">
        <f>_xlfn.CONCAT(Physicochemical_Managed!Y181, Physicochemical_Managed!P181)</f>
        <v>Before the burnRS44335</v>
      </c>
      <c r="B411" s="541" t="str">
        <v>During the burnRS44385</v>
      </c>
      <c r="C411" s="542" t="str">
        <f t="shared" si="24"/>
        <v>RS44385</v>
      </c>
    </row>
    <row r="412" spans="1:3" x14ac:dyDescent="0.3">
      <c r="A412" s="540" t="str">
        <f>_xlfn.CONCAT(Physicochemical_Managed!Y182, Physicochemical_Managed!P182)</f>
        <v>Before the burnRS44341</v>
      </c>
      <c r="B412" s="541" t="str">
        <v>During the burnRS44390</v>
      </c>
      <c r="C412" s="542" t="str">
        <f t="shared" si="24"/>
        <v>RS44390</v>
      </c>
    </row>
    <row r="413" spans="1:3" x14ac:dyDescent="0.3">
      <c r="A413" s="540" t="str">
        <f>_xlfn.CONCAT(Physicochemical_Managed!Y183, Physicochemical_Managed!P183)</f>
        <v>Before the burnRS44342</v>
      </c>
      <c r="B413" s="541" t="str">
        <v>During the burnRS44391</v>
      </c>
      <c r="C413" s="542" t="str">
        <f t="shared" si="24"/>
        <v>RS44391</v>
      </c>
    </row>
    <row r="414" spans="1:3" x14ac:dyDescent="0.3">
      <c r="A414" s="540" t="str">
        <f>_xlfn.CONCAT(Physicochemical_Managed!Y184, Physicochemical_Managed!P184)</f>
        <v>Before the burnRS44349</v>
      </c>
      <c r="B414" s="541" t="str">
        <v>During the burnRS44397</v>
      </c>
      <c r="C414" s="542" t="str">
        <f t="shared" si="24"/>
        <v>RS44397</v>
      </c>
    </row>
    <row r="415" spans="1:3" x14ac:dyDescent="0.3">
      <c r="A415" s="540" t="str">
        <f>_xlfn.CONCAT(Physicochemical_Managed!Y185, Physicochemical_Managed!P185)</f>
        <v>Before the burnRS44350</v>
      </c>
      <c r="B415" s="541" t="str">
        <v>During the burnRS44398</v>
      </c>
      <c r="C415" s="542" t="str">
        <f t="shared" si="24"/>
        <v>RS44398</v>
      </c>
    </row>
    <row r="416" spans="1:3" x14ac:dyDescent="0.3">
      <c r="A416" s="540" t="str">
        <f>_xlfn.CONCAT(Physicochemical_Managed!Y186, Physicochemical_Managed!P186)</f>
        <v>During the burnRS44362</v>
      </c>
      <c r="B416" s="541" t="str">
        <v>During the burnRU44362</v>
      </c>
      <c r="C416" s="542" t="str">
        <f t="shared" si="24"/>
        <v>RU44362</v>
      </c>
    </row>
    <row r="417" spans="1:3" x14ac:dyDescent="0.3">
      <c r="A417" s="540" t="str">
        <f>_xlfn.CONCAT(Physicochemical_Managed!Y187, Physicochemical_Managed!P187)</f>
        <v>During the burnRS44363</v>
      </c>
      <c r="B417" s="541" t="str">
        <v>During the burnRU44363</v>
      </c>
      <c r="C417" s="542" t="str">
        <f t="shared" si="24"/>
        <v>RU44363</v>
      </c>
    </row>
    <row r="418" spans="1:3" x14ac:dyDescent="0.3">
      <c r="A418" s="540" t="str">
        <f>_xlfn.CONCAT(Physicochemical_Managed!Y188, Physicochemical_Managed!P188)</f>
        <v>During the burnRS44369</v>
      </c>
      <c r="B418" s="541" t="str">
        <v>During the burnRU44364</v>
      </c>
      <c r="C418" s="542" t="str">
        <f t="shared" si="24"/>
        <v>RU44364</v>
      </c>
    </row>
    <row r="419" spans="1:3" x14ac:dyDescent="0.3">
      <c r="A419" s="540" t="str">
        <f>_xlfn.CONCAT(Physicochemical_Managed!Y189, Physicochemical_Managed!P189)</f>
        <v>During the burnRS44370</v>
      </c>
      <c r="B419" s="541" t="str">
        <v>During the burnRU44369</v>
      </c>
      <c r="C419" s="542" t="str">
        <f t="shared" si="24"/>
        <v>RU44369</v>
      </c>
    </row>
    <row r="420" spans="1:3" x14ac:dyDescent="0.3">
      <c r="A420" s="540" t="str">
        <f>_xlfn.CONCAT(Physicochemical_Managed!Y190, Physicochemical_Managed!P190)</f>
        <v>During the burnRS44376</v>
      </c>
      <c r="B420" s="541" t="str">
        <v>During the burnRU44370</v>
      </c>
      <c r="C420" s="542" t="str">
        <f t="shared" si="24"/>
        <v>RU44370</v>
      </c>
    </row>
    <row r="421" spans="1:3" x14ac:dyDescent="0.3">
      <c r="A421" s="540" t="str">
        <f>_xlfn.CONCAT(Physicochemical_Managed!Y191, Physicochemical_Managed!P191)</f>
        <v>During the burnRS44377</v>
      </c>
      <c r="B421" s="541" t="str">
        <v>During the burnRU44376</v>
      </c>
      <c r="C421" s="542" t="str">
        <f t="shared" si="24"/>
        <v>RU44376</v>
      </c>
    </row>
    <row r="422" spans="1:3" x14ac:dyDescent="0.3">
      <c r="A422" s="540" t="str">
        <f>_xlfn.CONCAT(Physicochemical_Managed!Y192, Physicochemical_Managed!P192)</f>
        <v>During the burnRS44384</v>
      </c>
      <c r="B422" s="541" t="str">
        <v>During the burnRU44377</v>
      </c>
      <c r="C422" s="542" t="str">
        <f t="shared" si="24"/>
        <v>RU44377</v>
      </c>
    </row>
    <row r="423" spans="1:3" x14ac:dyDescent="0.3">
      <c r="A423" s="540" t="str">
        <f>_xlfn.CONCAT(Physicochemical_Managed!Y193, Physicochemical_Managed!P193)</f>
        <v>During the burnRS44385</v>
      </c>
      <c r="B423" s="541" t="str">
        <v>During the burnRU44384</v>
      </c>
      <c r="C423" s="542" t="str">
        <f t="shared" si="24"/>
        <v>RU44384</v>
      </c>
    </row>
    <row r="424" spans="1:3" x14ac:dyDescent="0.3">
      <c r="A424" s="540" t="str">
        <f>_xlfn.CONCAT(Physicochemical_Managed!Y194, Physicochemical_Managed!P194)</f>
        <v>During the burnRS44390</v>
      </c>
      <c r="B424" s="541" t="str">
        <v>During the burnRU44385</v>
      </c>
      <c r="C424" s="542" t="str">
        <f t="shared" si="24"/>
        <v>RU44385</v>
      </c>
    </row>
    <row r="425" spans="1:3" x14ac:dyDescent="0.3">
      <c r="A425" s="540" t="str">
        <f>_xlfn.CONCAT(Physicochemical_Managed!Y195, Physicochemical_Managed!P195)</f>
        <v>During the burnRS44391</v>
      </c>
      <c r="B425" s="541" t="str">
        <v>During the burnRU44390</v>
      </c>
      <c r="C425" s="542" t="str">
        <f t="shared" ref="C425:C437" si="25">RIGHT(B425, LEN(B425)-(FIND("burn", B425)+3))</f>
        <v>RU44390</v>
      </c>
    </row>
    <row r="426" spans="1:3" x14ac:dyDescent="0.3">
      <c r="A426" s="540" t="str">
        <f>_xlfn.CONCAT(Physicochemical_Managed!Y196, Physicochemical_Managed!P196)</f>
        <v>During the burnRS44397</v>
      </c>
      <c r="B426" s="541" t="str">
        <v>During the burnRU44391</v>
      </c>
      <c r="C426" s="542" t="str">
        <f t="shared" si="25"/>
        <v>RU44391</v>
      </c>
    </row>
    <row r="427" spans="1:3" x14ac:dyDescent="0.3">
      <c r="A427" s="540" t="str">
        <f>_xlfn.CONCAT(Physicochemical_Managed!Y197, Physicochemical_Managed!P197)</f>
        <v>During the burnRS44398</v>
      </c>
      <c r="B427" s="541" t="str">
        <v>During the burnRU44397</v>
      </c>
      <c r="C427" s="542" t="str">
        <f t="shared" si="25"/>
        <v>RU44397</v>
      </c>
    </row>
    <row r="428" spans="1:3" x14ac:dyDescent="0.3">
      <c r="A428" s="540" t="str">
        <f>_xlfn.CONCAT(Physicochemical_Managed!Y198, Physicochemical_Managed!P198)</f>
        <v>After the burnRS44404</v>
      </c>
      <c r="B428" s="541" t="str">
        <v>During the burnSPI44370</v>
      </c>
      <c r="C428" s="542" t="str">
        <f t="shared" si="25"/>
        <v>SPI44370</v>
      </c>
    </row>
    <row r="429" spans="1:3" x14ac:dyDescent="0.3">
      <c r="A429" s="540" t="str">
        <f>_xlfn.CONCAT(Physicochemical_Managed!Y199, Physicochemical_Managed!P199)</f>
        <v>After the burnRS44405</v>
      </c>
      <c r="B429" s="541" t="str">
        <v>During the burnSPI44377</v>
      </c>
      <c r="C429" s="542" t="str">
        <f t="shared" si="25"/>
        <v>SPI44377</v>
      </c>
    </row>
    <row r="430" spans="1:3" x14ac:dyDescent="0.3">
      <c r="A430" s="540" t="str">
        <f>_xlfn.CONCAT(Physicochemical_Managed!Y200, Physicochemical_Managed!P200)</f>
        <v>After the burnRS44411</v>
      </c>
      <c r="B430" s="541" t="str">
        <v>During the burnSPI44385</v>
      </c>
      <c r="C430" s="542" t="str">
        <f t="shared" si="25"/>
        <v>SPI44385</v>
      </c>
    </row>
    <row r="431" spans="1:3" x14ac:dyDescent="0.3">
      <c r="A431" s="540" t="str">
        <f>_xlfn.CONCAT(Physicochemical_Managed!Y201, Physicochemical_Managed!P201)</f>
        <v>After the burnRS44412</v>
      </c>
      <c r="B431" s="541" t="str">
        <v>During the burnSPI44391</v>
      </c>
      <c r="C431" s="542" t="str">
        <f t="shared" si="25"/>
        <v>SPI44391</v>
      </c>
    </row>
    <row r="432" spans="1:3" x14ac:dyDescent="0.3">
      <c r="A432" s="540" t="str">
        <f>_xlfn.CONCAT(Physicochemical_Managed!Y202, Physicochemical_Managed!P202)</f>
        <v>After the burnRS44418</v>
      </c>
      <c r="B432" s="541" t="str">
        <v>During the burnSPI44398</v>
      </c>
      <c r="C432" s="542" t="str">
        <f t="shared" si="25"/>
        <v>SPI44398</v>
      </c>
    </row>
    <row r="433" spans="1:3" x14ac:dyDescent="0.3">
      <c r="A433" s="540" t="str">
        <f>_xlfn.CONCAT(Physicochemical_Managed!Y203, Physicochemical_Managed!P203)</f>
        <v>After the burnRS44419</v>
      </c>
      <c r="B433" s="541" t="str">
        <v>During the burnSPO44370</v>
      </c>
      <c r="C433" s="542" t="str">
        <f t="shared" si="25"/>
        <v>SPO44370</v>
      </c>
    </row>
    <row r="434" spans="1:3" x14ac:dyDescent="0.3">
      <c r="A434" s="540" t="str">
        <f>_xlfn.CONCAT(Physicochemical_Managed!Y204, Physicochemical_Managed!P204)</f>
        <v>After the burnRS44425</v>
      </c>
      <c r="B434" s="541" t="str">
        <v>During the burnSPO44377</v>
      </c>
      <c r="C434" s="542" t="str">
        <f t="shared" si="25"/>
        <v>SPO44377</v>
      </c>
    </row>
    <row r="435" spans="1:3" x14ac:dyDescent="0.3">
      <c r="A435" s="540" t="str">
        <f>_xlfn.CONCAT(Physicochemical_Managed!Y205, Physicochemical_Managed!P205)</f>
        <v>After the burnRS44426</v>
      </c>
      <c r="B435" s="541" t="str">
        <v>During the burnSPO44385</v>
      </c>
      <c r="C435" s="542" t="str">
        <f t="shared" si="25"/>
        <v>SPO44385</v>
      </c>
    </row>
    <row r="436" spans="1:3" x14ac:dyDescent="0.3">
      <c r="A436" s="540" t="str">
        <f>_xlfn.CONCAT(Physicochemical_Managed!Y206, Physicochemical_Managed!P206)</f>
        <v>After the burnRS44432</v>
      </c>
      <c r="B436" s="541" t="str">
        <v>During the burnSPO44391</v>
      </c>
      <c r="C436" s="542" t="str">
        <f t="shared" si="25"/>
        <v>SPO44391</v>
      </c>
    </row>
    <row r="437" spans="1:3" ht="16.350000000000001" thickBot="1" x14ac:dyDescent="0.35">
      <c r="A437" s="6" t="str">
        <f>_xlfn.CONCAT(Physicochemical_Managed!Y207, Physicochemical_Managed!P207)</f>
        <v>After the burnRS44433</v>
      </c>
      <c r="B437" s="547" t="str">
        <v>During the burnSPO44398</v>
      </c>
      <c r="C437" s="548" t="str">
        <f t="shared" si="25"/>
        <v>SPO44398</v>
      </c>
    </row>
    <row r="438" spans="1:3" ht="16.350000000000001" thickTop="1" x14ac:dyDescent="0.3"/>
  </sheetData>
  <sheetProtection algorithmName="SHA-512" hashValue="lhe2L4S0VZuC2CkE8EhmINoD1SnEGMCTDjNkmZnVrLXVNFAqpQkscmFYksdofcNWQqrkm8ZDypa9UBoOVLaPtQ==" saltValue="n0vfHbX1r1goEmQxaO1njQ==" spinCount="100000" sheet="1" objects="1" scenarios="1"/>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15BD0-04B3-495A-8478-E131ED137F89}">
  <dimension ref="A1:DK293"/>
  <sheetViews>
    <sheetView topLeftCell="A205" zoomScaleNormal="100" workbookViewId="0">
      <selection activeCell="M243" sqref="M243"/>
    </sheetView>
  </sheetViews>
  <sheetFormatPr defaultRowHeight="15.75" x14ac:dyDescent="0.3"/>
  <cols>
    <col min="1" max="3" width="8.88671875" style="62"/>
    <col min="4" max="4" width="10.109375" style="62" bestFit="1" customWidth="1"/>
    <col min="5" max="16384" width="8.88671875" style="62"/>
  </cols>
  <sheetData>
    <row r="1" spans="1:115" s="538" customFormat="1" x14ac:dyDescent="0.3">
      <c r="A1" s="538" t="s">
        <v>233</v>
      </c>
      <c r="B1" s="538" t="s">
        <v>233</v>
      </c>
      <c r="C1" s="538" t="s">
        <v>233</v>
      </c>
      <c r="D1" s="538" t="s">
        <v>233</v>
      </c>
      <c r="E1" s="538" t="s">
        <v>233</v>
      </c>
      <c r="F1" s="538" t="s">
        <v>233</v>
      </c>
      <c r="G1" s="538" t="s">
        <v>233</v>
      </c>
      <c r="H1" s="538" t="s">
        <v>233</v>
      </c>
      <c r="I1" s="538" t="s">
        <v>233</v>
      </c>
      <c r="J1" s="538" t="s">
        <v>233</v>
      </c>
      <c r="K1" s="538" t="s">
        <v>233</v>
      </c>
      <c r="L1" s="538" t="s">
        <v>233</v>
      </c>
      <c r="M1" s="538" t="s">
        <v>233</v>
      </c>
      <c r="N1" s="538" t="s">
        <v>233</v>
      </c>
      <c r="O1" s="538" t="s">
        <v>233</v>
      </c>
      <c r="P1" s="538" t="s">
        <v>233</v>
      </c>
      <c r="Q1" s="538" t="s">
        <v>233</v>
      </c>
      <c r="R1" s="538" t="s">
        <v>233</v>
      </c>
      <c r="S1" s="538" t="s">
        <v>233</v>
      </c>
      <c r="T1" s="538" t="s">
        <v>233</v>
      </c>
      <c r="U1" s="538" t="s">
        <v>233</v>
      </c>
      <c r="V1" s="538" t="s">
        <v>233</v>
      </c>
      <c r="W1" s="538" t="s">
        <v>233</v>
      </c>
      <c r="X1" s="538" t="s">
        <v>233</v>
      </c>
      <c r="Y1" s="538" t="s">
        <v>233</v>
      </c>
      <c r="Z1" s="538" t="s">
        <v>233</v>
      </c>
      <c r="AA1" s="538" t="s">
        <v>233</v>
      </c>
      <c r="AB1" s="538" t="s">
        <v>233</v>
      </c>
      <c r="AC1" s="538" t="s">
        <v>233</v>
      </c>
      <c r="AD1" s="538" t="s">
        <v>233</v>
      </c>
      <c r="AE1" s="538" t="s">
        <v>233</v>
      </c>
      <c r="AF1" s="538" t="s">
        <v>233</v>
      </c>
      <c r="AG1" s="538" t="s">
        <v>233</v>
      </c>
      <c r="AH1" s="538" t="s">
        <v>233</v>
      </c>
      <c r="AI1" s="538" t="s">
        <v>233</v>
      </c>
      <c r="AJ1" s="538" t="s">
        <v>233</v>
      </c>
      <c r="AK1" s="538" t="s">
        <v>233</v>
      </c>
      <c r="AL1" s="538" t="s">
        <v>233</v>
      </c>
      <c r="AM1" s="538" t="s">
        <v>233</v>
      </c>
      <c r="AN1" s="538" t="s">
        <v>233</v>
      </c>
      <c r="AO1" s="538" t="s">
        <v>233</v>
      </c>
      <c r="AP1" s="538" t="s">
        <v>233</v>
      </c>
      <c r="AQ1" s="538" t="s">
        <v>233</v>
      </c>
      <c r="AR1" s="538" t="s">
        <v>233</v>
      </c>
      <c r="AS1" s="538" t="s">
        <v>233</v>
      </c>
      <c r="AT1" s="538" t="s">
        <v>233</v>
      </c>
      <c r="AU1" s="538" t="s">
        <v>233</v>
      </c>
      <c r="AV1" s="538" t="s">
        <v>233</v>
      </c>
      <c r="AW1" s="538" t="s">
        <v>233</v>
      </c>
      <c r="AX1" s="538" t="s">
        <v>233</v>
      </c>
      <c r="AY1" s="538" t="s">
        <v>233</v>
      </c>
      <c r="AZ1" s="538" t="s">
        <v>233</v>
      </c>
      <c r="BA1" s="538" t="s">
        <v>233</v>
      </c>
      <c r="BB1" s="538" t="s">
        <v>233</v>
      </c>
      <c r="BC1" s="538" t="s">
        <v>233</v>
      </c>
      <c r="BD1" s="538" t="s">
        <v>233</v>
      </c>
      <c r="BE1" s="538" t="s">
        <v>233</v>
      </c>
      <c r="BF1" s="538" t="s">
        <v>233</v>
      </c>
      <c r="BG1" s="538" t="s">
        <v>233</v>
      </c>
      <c r="BH1" s="538" t="s">
        <v>233</v>
      </c>
      <c r="BI1" s="538" t="s">
        <v>233</v>
      </c>
      <c r="BJ1" s="538" t="s">
        <v>233</v>
      </c>
      <c r="BK1" s="538" t="s">
        <v>233</v>
      </c>
      <c r="BL1" s="538" t="s">
        <v>233</v>
      </c>
      <c r="BM1" s="538" t="s">
        <v>233</v>
      </c>
      <c r="BN1" s="538" t="s">
        <v>233</v>
      </c>
      <c r="BO1" s="538" t="s">
        <v>233</v>
      </c>
      <c r="BP1" s="538" t="s">
        <v>233</v>
      </c>
      <c r="BQ1" s="538" t="s">
        <v>233</v>
      </c>
      <c r="BR1" s="538" t="s">
        <v>233</v>
      </c>
      <c r="BS1" s="538" t="s">
        <v>233</v>
      </c>
      <c r="BT1" s="538" t="s">
        <v>233</v>
      </c>
      <c r="BU1" s="538" t="s">
        <v>233</v>
      </c>
      <c r="BV1" s="538" t="s">
        <v>233</v>
      </c>
      <c r="BW1" s="538" t="s">
        <v>233</v>
      </c>
      <c r="BX1" s="538" t="s">
        <v>233</v>
      </c>
      <c r="BY1" s="538" t="s">
        <v>233</v>
      </c>
      <c r="BZ1" s="538" t="s">
        <v>233</v>
      </c>
      <c r="CA1" s="538" t="s">
        <v>233</v>
      </c>
      <c r="CB1" s="538" t="s">
        <v>233</v>
      </c>
      <c r="CC1" s="538" t="s">
        <v>233</v>
      </c>
      <c r="CD1" s="538" t="s">
        <v>233</v>
      </c>
      <c r="CE1" s="538" t="s">
        <v>233</v>
      </c>
      <c r="CF1" s="538" t="s">
        <v>233</v>
      </c>
      <c r="CG1" s="538" t="s">
        <v>233</v>
      </c>
      <c r="CH1" s="538" t="s">
        <v>233</v>
      </c>
      <c r="CI1" s="538" t="s">
        <v>233</v>
      </c>
      <c r="CJ1" s="538" t="s">
        <v>233</v>
      </c>
      <c r="CK1" s="538" t="s">
        <v>233</v>
      </c>
      <c r="CL1" s="538" t="s">
        <v>233</v>
      </c>
      <c r="CM1" s="538" t="s">
        <v>233</v>
      </c>
      <c r="CN1" s="538" t="s">
        <v>233</v>
      </c>
      <c r="CO1" s="538" t="s">
        <v>233</v>
      </c>
      <c r="CP1" s="538" t="s">
        <v>233</v>
      </c>
      <c r="CQ1" s="538" t="s">
        <v>233</v>
      </c>
      <c r="CR1" s="538" t="s">
        <v>233</v>
      </c>
      <c r="CS1" s="538" t="s">
        <v>233</v>
      </c>
      <c r="CT1" s="538" t="s">
        <v>233</v>
      </c>
      <c r="CU1" s="538" t="s">
        <v>233</v>
      </c>
      <c r="CV1" s="538" t="s">
        <v>233</v>
      </c>
      <c r="CW1" s="538" t="s">
        <v>233</v>
      </c>
      <c r="CX1" s="538" t="s">
        <v>233</v>
      </c>
      <c r="CY1" s="538" t="s">
        <v>233</v>
      </c>
      <c r="CZ1" s="538" t="s">
        <v>233</v>
      </c>
      <c r="DA1" s="538" t="s">
        <v>233</v>
      </c>
      <c r="DB1" s="538" t="s">
        <v>233</v>
      </c>
      <c r="DC1" s="538" t="s">
        <v>233</v>
      </c>
      <c r="DD1" s="538" t="s">
        <v>233</v>
      </c>
      <c r="DE1" s="538" t="s">
        <v>233</v>
      </c>
      <c r="DF1" s="538" t="s">
        <v>233</v>
      </c>
      <c r="DG1" s="538" t="s">
        <v>233</v>
      </c>
      <c r="DH1" s="538" t="s">
        <v>233</v>
      </c>
      <c r="DI1" s="538" t="s">
        <v>233</v>
      </c>
      <c r="DJ1" s="538" t="s">
        <v>233</v>
      </c>
      <c r="DK1" s="538" t="s">
        <v>233</v>
      </c>
    </row>
    <row r="29" spans="1:109" s="539" customFormat="1" x14ac:dyDescent="0.3">
      <c r="A29" s="539" t="s">
        <v>234</v>
      </c>
      <c r="B29" s="539" t="s">
        <v>234</v>
      </c>
      <c r="C29" s="539" t="s">
        <v>234</v>
      </c>
      <c r="D29" s="539" t="s">
        <v>234</v>
      </c>
      <c r="E29" s="539" t="s">
        <v>234</v>
      </c>
      <c r="F29" s="539" t="s">
        <v>234</v>
      </c>
      <c r="G29" s="539" t="s">
        <v>234</v>
      </c>
      <c r="H29" s="539" t="s">
        <v>234</v>
      </c>
      <c r="I29" s="539" t="s">
        <v>234</v>
      </c>
      <c r="J29" s="539" t="s">
        <v>234</v>
      </c>
      <c r="K29" s="539" t="s">
        <v>234</v>
      </c>
      <c r="L29" s="539" t="s">
        <v>234</v>
      </c>
      <c r="M29" s="539" t="s">
        <v>234</v>
      </c>
      <c r="N29" s="539" t="s">
        <v>234</v>
      </c>
      <c r="O29" s="539" t="s">
        <v>234</v>
      </c>
      <c r="P29" s="539" t="s">
        <v>234</v>
      </c>
      <c r="Q29" s="539" t="s">
        <v>234</v>
      </c>
      <c r="R29" s="539" t="s">
        <v>234</v>
      </c>
      <c r="S29" s="539" t="s">
        <v>234</v>
      </c>
      <c r="T29" s="539" t="s">
        <v>234</v>
      </c>
      <c r="U29" s="539" t="s">
        <v>234</v>
      </c>
      <c r="V29" s="539" t="s">
        <v>234</v>
      </c>
      <c r="W29" s="539" t="s">
        <v>234</v>
      </c>
      <c r="X29" s="539" t="s">
        <v>234</v>
      </c>
      <c r="Y29" s="539" t="s">
        <v>234</v>
      </c>
      <c r="Z29" s="539" t="s">
        <v>234</v>
      </c>
      <c r="AA29" s="539" t="s">
        <v>234</v>
      </c>
      <c r="AB29" s="539" t="s">
        <v>234</v>
      </c>
      <c r="AC29" s="539" t="s">
        <v>234</v>
      </c>
      <c r="AD29" s="539" t="s">
        <v>234</v>
      </c>
      <c r="AE29" s="539" t="s">
        <v>234</v>
      </c>
      <c r="AF29" s="539" t="s">
        <v>234</v>
      </c>
      <c r="AG29" s="539" t="s">
        <v>234</v>
      </c>
      <c r="AH29" s="539" t="s">
        <v>234</v>
      </c>
      <c r="AI29" s="539" t="s">
        <v>234</v>
      </c>
      <c r="AJ29" s="539" t="s">
        <v>234</v>
      </c>
      <c r="AK29" s="539" t="s">
        <v>234</v>
      </c>
      <c r="AL29" s="539" t="s">
        <v>234</v>
      </c>
      <c r="AM29" s="539" t="s">
        <v>234</v>
      </c>
      <c r="AN29" s="539" t="s">
        <v>234</v>
      </c>
      <c r="AO29" s="539" t="s">
        <v>234</v>
      </c>
      <c r="AP29" s="539" t="s">
        <v>234</v>
      </c>
      <c r="AQ29" s="539" t="s">
        <v>234</v>
      </c>
      <c r="AR29" s="539" t="s">
        <v>234</v>
      </c>
      <c r="AS29" s="539" t="s">
        <v>234</v>
      </c>
      <c r="AT29" s="539" t="s">
        <v>234</v>
      </c>
      <c r="AU29" s="539" t="s">
        <v>234</v>
      </c>
      <c r="AV29" s="539" t="s">
        <v>234</v>
      </c>
      <c r="AW29" s="539" t="s">
        <v>234</v>
      </c>
      <c r="AX29" s="539" t="s">
        <v>234</v>
      </c>
      <c r="AY29" s="539" t="s">
        <v>234</v>
      </c>
      <c r="AZ29" s="539" t="s">
        <v>234</v>
      </c>
      <c r="BA29" s="539" t="s">
        <v>234</v>
      </c>
      <c r="BB29" s="539" t="s">
        <v>234</v>
      </c>
      <c r="BC29" s="539" t="s">
        <v>234</v>
      </c>
      <c r="BD29" s="539" t="s">
        <v>234</v>
      </c>
      <c r="BE29" s="539" t="s">
        <v>234</v>
      </c>
      <c r="BF29" s="539" t="s">
        <v>234</v>
      </c>
      <c r="BG29" s="539" t="s">
        <v>234</v>
      </c>
      <c r="BH29" s="539" t="s">
        <v>234</v>
      </c>
      <c r="BI29" s="539" t="s">
        <v>234</v>
      </c>
      <c r="BJ29" s="539" t="s">
        <v>234</v>
      </c>
      <c r="BK29" s="539" t="s">
        <v>234</v>
      </c>
      <c r="BL29" s="539" t="s">
        <v>234</v>
      </c>
      <c r="BM29" s="539" t="s">
        <v>234</v>
      </c>
      <c r="BN29" s="539" t="s">
        <v>234</v>
      </c>
      <c r="BO29" s="539" t="s">
        <v>234</v>
      </c>
      <c r="BP29" s="539" t="s">
        <v>234</v>
      </c>
      <c r="BQ29" s="539" t="s">
        <v>234</v>
      </c>
      <c r="BR29" s="539" t="s">
        <v>234</v>
      </c>
      <c r="BS29" s="539" t="s">
        <v>234</v>
      </c>
      <c r="BT29" s="539" t="s">
        <v>234</v>
      </c>
      <c r="BU29" s="539" t="s">
        <v>234</v>
      </c>
      <c r="BV29" s="539" t="s">
        <v>234</v>
      </c>
      <c r="BW29" s="539" t="s">
        <v>234</v>
      </c>
      <c r="BX29" s="539" t="s">
        <v>234</v>
      </c>
      <c r="BY29" s="539" t="s">
        <v>234</v>
      </c>
      <c r="BZ29" s="539" t="s">
        <v>234</v>
      </c>
      <c r="CA29" s="539" t="s">
        <v>234</v>
      </c>
      <c r="CB29" s="539" t="s">
        <v>234</v>
      </c>
      <c r="CC29" s="539" t="s">
        <v>234</v>
      </c>
      <c r="CD29" s="539" t="s">
        <v>234</v>
      </c>
      <c r="CE29" s="539" t="s">
        <v>234</v>
      </c>
      <c r="CF29" s="539" t="s">
        <v>234</v>
      </c>
      <c r="CG29" s="539" t="s">
        <v>234</v>
      </c>
      <c r="CH29" s="539" t="s">
        <v>234</v>
      </c>
      <c r="CI29" s="539" t="s">
        <v>234</v>
      </c>
      <c r="CJ29" s="539" t="s">
        <v>234</v>
      </c>
      <c r="CK29" s="539" t="s">
        <v>234</v>
      </c>
      <c r="CL29" s="539" t="s">
        <v>234</v>
      </c>
      <c r="CM29" s="539" t="s">
        <v>234</v>
      </c>
      <c r="CN29" s="539" t="s">
        <v>234</v>
      </c>
      <c r="CO29" s="539" t="s">
        <v>234</v>
      </c>
      <c r="CP29" s="539" t="s">
        <v>234</v>
      </c>
      <c r="CQ29" s="539" t="s">
        <v>234</v>
      </c>
      <c r="CR29" s="539" t="s">
        <v>234</v>
      </c>
      <c r="CS29" s="539" t="s">
        <v>234</v>
      </c>
      <c r="CT29" s="539" t="s">
        <v>234</v>
      </c>
      <c r="CU29" s="539" t="s">
        <v>234</v>
      </c>
      <c r="CV29" s="539" t="s">
        <v>234</v>
      </c>
      <c r="CW29" s="539" t="s">
        <v>234</v>
      </c>
      <c r="CX29" s="539" t="s">
        <v>234</v>
      </c>
      <c r="CY29" s="539" t="s">
        <v>234</v>
      </c>
      <c r="CZ29" s="539" t="s">
        <v>234</v>
      </c>
      <c r="DA29" s="539" t="s">
        <v>234</v>
      </c>
      <c r="DB29" s="539" t="s">
        <v>234</v>
      </c>
      <c r="DC29" s="539" t="s">
        <v>234</v>
      </c>
      <c r="DD29" s="539" t="s">
        <v>234</v>
      </c>
      <c r="DE29" s="539" t="s">
        <v>234</v>
      </c>
    </row>
    <row r="59" spans="1:107" s="539" customFormat="1" x14ac:dyDescent="0.3">
      <c r="A59" s="539" t="s">
        <v>235</v>
      </c>
      <c r="B59" s="539" t="s">
        <v>235</v>
      </c>
      <c r="C59" s="539" t="s">
        <v>235</v>
      </c>
      <c r="D59" s="539" t="s">
        <v>235</v>
      </c>
      <c r="E59" s="539" t="s">
        <v>235</v>
      </c>
      <c r="F59" s="539" t="s">
        <v>235</v>
      </c>
      <c r="G59" s="539" t="s">
        <v>235</v>
      </c>
      <c r="H59" s="539" t="s">
        <v>235</v>
      </c>
      <c r="I59" s="539" t="s">
        <v>235</v>
      </c>
      <c r="J59" s="539" t="s">
        <v>235</v>
      </c>
      <c r="K59" s="539" t="s">
        <v>235</v>
      </c>
      <c r="L59" s="539" t="s">
        <v>235</v>
      </c>
      <c r="M59" s="539" t="s">
        <v>235</v>
      </c>
      <c r="N59" s="539" t="s">
        <v>235</v>
      </c>
      <c r="O59" s="539" t="s">
        <v>235</v>
      </c>
      <c r="P59" s="539" t="s">
        <v>235</v>
      </c>
      <c r="Q59" s="539" t="s">
        <v>235</v>
      </c>
      <c r="R59" s="539" t="s">
        <v>235</v>
      </c>
      <c r="S59" s="539" t="s">
        <v>235</v>
      </c>
      <c r="T59" s="539" t="s">
        <v>235</v>
      </c>
      <c r="U59" s="539" t="s">
        <v>235</v>
      </c>
      <c r="V59" s="539" t="s">
        <v>235</v>
      </c>
      <c r="W59" s="539" t="s">
        <v>235</v>
      </c>
      <c r="X59" s="539" t="s">
        <v>235</v>
      </c>
      <c r="Y59" s="539" t="s">
        <v>235</v>
      </c>
      <c r="Z59" s="539" t="s">
        <v>235</v>
      </c>
      <c r="AA59" s="539" t="s">
        <v>235</v>
      </c>
      <c r="AB59" s="539" t="s">
        <v>235</v>
      </c>
      <c r="AC59" s="539" t="s">
        <v>235</v>
      </c>
      <c r="AD59" s="539" t="s">
        <v>235</v>
      </c>
      <c r="AE59" s="539" t="s">
        <v>235</v>
      </c>
      <c r="AF59" s="539" t="s">
        <v>235</v>
      </c>
      <c r="AG59" s="539" t="s">
        <v>235</v>
      </c>
      <c r="AH59" s="539" t="s">
        <v>235</v>
      </c>
      <c r="AI59" s="539" t="s">
        <v>235</v>
      </c>
      <c r="AJ59" s="539" t="s">
        <v>235</v>
      </c>
      <c r="AK59" s="539" t="s">
        <v>235</v>
      </c>
      <c r="AL59" s="539" t="s">
        <v>235</v>
      </c>
      <c r="AM59" s="539" t="s">
        <v>235</v>
      </c>
      <c r="AN59" s="539" t="s">
        <v>235</v>
      </c>
      <c r="AO59" s="539" t="s">
        <v>235</v>
      </c>
      <c r="AP59" s="539" t="s">
        <v>235</v>
      </c>
      <c r="AQ59" s="539" t="s">
        <v>235</v>
      </c>
      <c r="AR59" s="539" t="s">
        <v>235</v>
      </c>
      <c r="AS59" s="539" t="s">
        <v>235</v>
      </c>
      <c r="AT59" s="539" t="s">
        <v>235</v>
      </c>
      <c r="AU59" s="539" t="s">
        <v>235</v>
      </c>
      <c r="AV59" s="539" t="s">
        <v>235</v>
      </c>
      <c r="AW59" s="539" t="s">
        <v>235</v>
      </c>
      <c r="AX59" s="539" t="s">
        <v>235</v>
      </c>
      <c r="AY59" s="539" t="s">
        <v>235</v>
      </c>
      <c r="AZ59" s="539" t="s">
        <v>235</v>
      </c>
      <c r="BA59" s="539" t="s">
        <v>235</v>
      </c>
      <c r="BB59" s="539" t="s">
        <v>235</v>
      </c>
      <c r="BC59" s="539" t="s">
        <v>235</v>
      </c>
      <c r="BD59" s="539" t="s">
        <v>235</v>
      </c>
      <c r="BE59" s="539" t="s">
        <v>235</v>
      </c>
      <c r="BF59" s="539" t="s">
        <v>235</v>
      </c>
      <c r="BG59" s="539" t="s">
        <v>235</v>
      </c>
      <c r="BH59" s="539" t="s">
        <v>235</v>
      </c>
      <c r="BI59" s="539" t="s">
        <v>235</v>
      </c>
      <c r="BJ59" s="539" t="s">
        <v>235</v>
      </c>
      <c r="BK59" s="539" t="s">
        <v>235</v>
      </c>
      <c r="BL59" s="539" t="s">
        <v>235</v>
      </c>
      <c r="BM59" s="539" t="s">
        <v>235</v>
      </c>
      <c r="BN59" s="539" t="s">
        <v>235</v>
      </c>
      <c r="BO59" s="539" t="s">
        <v>235</v>
      </c>
      <c r="BP59" s="539" t="s">
        <v>235</v>
      </c>
      <c r="BQ59" s="539" t="s">
        <v>235</v>
      </c>
      <c r="BR59" s="539" t="s">
        <v>235</v>
      </c>
      <c r="BS59" s="539" t="s">
        <v>235</v>
      </c>
      <c r="BT59" s="539" t="s">
        <v>235</v>
      </c>
      <c r="BU59" s="539" t="s">
        <v>235</v>
      </c>
      <c r="BV59" s="539" t="s">
        <v>235</v>
      </c>
      <c r="BW59" s="539" t="s">
        <v>235</v>
      </c>
      <c r="BX59" s="539" t="s">
        <v>235</v>
      </c>
      <c r="BY59" s="539" t="s">
        <v>235</v>
      </c>
      <c r="BZ59" s="539" t="s">
        <v>235</v>
      </c>
      <c r="CA59" s="539" t="s">
        <v>235</v>
      </c>
      <c r="CB59" s="539" t="s">
        <v>235</v>
      </c>
      <c r="CC59" s="539" t="s">
        <v>235</v>
      </c>
      <c r="CD59" s="539" t="s">
        <v>235</v>
      </c>
      <c r="CE59" s="539" t="s">
        <v>235</v>
      </c>
      <c r="CF59" s="539" t="s">
        <v>235</v>
      </c>
      <c r="CG59" s="539" t="s">
        <v>235</v>
      </c>
      <c r="CH59" s="539" t="s">
        <v>235</v>
      </c>
      <c r="CI59" s="539" t="s">
        <v>235</v>
      </c>
      <c r="CJ59" s="539" t="s">
        <v>235</v>
      </c>
      <c r="CK59" s="539" t="s">
        <v>235</v>
      </c>
      <c r="CL59" s="539" t="s">
        <v>235</v>
      </c>
      <c r="CM59" s="539" t="s">
        <v>235</v>
      </c>
      <c r="CN59" s="539" t="s">
        <v>235</v>
      </c>
      <c r="CO59" s="539" t="s">
        <v>235</v>
      </c>
      <c r="CP59" s="539" t="s">
        <v>235</v>
      </c>
      <c r="CQ59" s="539" t="s">
        <v>235</v>
      </c>
      <c r="CR59" s="539" t="s">
        <v>235</v>
      </c>
      <c r="CS59" s="539" t="s">
        <v>235</v>
      </c>
      <c r="CT59" s="539" t="s">
        <v>235</v>
      </c>
      <c r="CU59" s="539" t="s">
        <v>235</v>
      </c>
      <c r="CV59" s="539" t="s">
        <v>235</v>
      </c>
      <c r="CW59" s="539" t="s">
        <v>235</v>
      </c>
      <c r="CX59" s="539" t="s">
        <v>235</v>
      </c>
      <c r="CY59" s="539" t="s">
        <v>235</v>
      </c>
      <c r="CZ59" s="539" t="s">
        <v>235</v>
      </c>
      <c r="DA59" s="539" t="s">
        <v>235</v>
      </c>
      <c r="DB59" s="539" t="s">
        <v>235</v>
      </c>
      <c r="DC59" s="539" t="s">
        <v>235</v>
      </c>
    </row>
    <row r="89" spans="1:107" s="539" customFormat="1" x14ac:dyDescent="0.3">
      <c r="A89" s="539" t="s">
        <v>240</v>
      </c>
      <c r="B89" s="539" t="s">
        <v>240</v>
      </c>
      <c r="C89" s="539" t="s">
        <v>240</v>
      </c>
      <c r="D89" s="539" t="s">
        <v>240</v>
      </c>
      <c r="E89" s="539" t="s">
        <v>240</v>
      </c>
      <c r="F89" s="539" t="s">
        <v>240</v>
      </c>
      <c r="G89" s="539" t="s">
        <v>240</v>
      </c>
      <c r="H89" s="539" t="s">
        <v>240</v>
      </c>
      <c r="I89" s="539" t="s">
        <v>240</v>
      </c>
      <c r="J89" s="539" t="s">
        <v>240</v>
      </c>
      <c r="K89" s="539" t="s">
        <v>240</v>
      </c>
      <c r="L89" s="539" t="s">
        <v>240</v>
      </c>
      <c r="M89" s="539" t="s">
        <v>240</v>
      </c>
      <c r="N89" s="539" t="s">
        <v>240</v>
      </c>
      <c r="O89" s="539" t="s">
        <v>240</v>
      </c>
      <c r="P89" s="539" t="s">
        <v>240</v>
      </c>
      <c r="Q89" s="539" t="s">
        <v>240</v>
      </c>
      <c r="R89" s="539" t="s">
        <v>240</v>
      </c>
      <c r="S89" s="539" t="s">
        <v>240</v>
      </c>
      <c r="T89" s="539" t="s">
        <v>240</v>
      </c>
      <c r="U89" s="539" t="s">
        <v>240</v>
      </c>
      <c r="V89" s="539" t="s">
        <v>240</v>
      </c>
      <c r="W89" s="539" t="s">
        <v>240</v>
      </c>
      <c r="X89" s="539" t="s">
        <v>240</v>
      </c>
      <c r="Y89" s="539" t="s">
        <v>240</v>
      </c>
      <c r="Z89" s="539" t="s">
        <v>240</v>
      </c>
      <c r="AA89" s="539" t="s">
        <v>240</v>
      </c>
      <c r="AB89" s="539" t="s">
        <v>240</v>
      </c>
      <c r="AC89" s="539" t="s">
        <v>240</v>
      </c>
      <c r="AD89" s="539" t="s">
        <v>240</v>
      </c>
      <c r="AE89" s="539" t="s">
        <v>240</v>
      </c>
      <c r="AF89" s="539" t="s">
        <v>240</v>
      </c>
      <c r="AG89" s="539" t="s">
        <v>240</v>
      </c>
      <c r="AH89" s="539" t="s">
        <v>240</v>
      </c>
      <c r="AI89" s="539" t="s">
        <v>240</v>
      </c>
      <c r="AJ89" s="539" t="s">
        <v>240</v>
      </c>
      <c r="AK89" s="539" t="s">
        <v>240</v>
      </c>
      <c r="AL89" s="539" t="s">
        <v>240</v>
      </c>
      <c r="AM89" s="539" t="s">
        <v>240</v>
      </c>
      <c r="AN89" s="539" t="s">
        <v>240</v>
      </c>
      <c r="AO89" s="539" t="s">
        <v>240</v>
      </c>
      <c r="AP89" s="539" t="s">
        <v>240</v>
      </c>
      <c r="AQ89" s="539" t="s">
        <v>240</v>
      </c>
      <c r="AR89" s="539" t="s">
        <v>240</v>
      </c>
      <c r="AS89" s="539" t="s">
        <v>240</v>
      </c>
      <c r="AT89" s="539" t="s">
        <v>240</v>
      </c>
      <c r="AU89" s="539" t="s">
        <v>240</v>
      </c>
      <c r="AV89" s="539" t="s">
        <v>240</v>
      </c>
      <c r="AW89" s="539" t="s">
        <v>240</v>
      </c>
      <c r="AX89" s="539" t="s">
        <v>240</v>
      </c>
      <c r="AY89" s="539" t="s">
        <v>240</v>
      </c>
      <c r="AZ89" s="539" t="s">
        <v>240</v>
      </c>
      <c r="BA89" s="539" t="s">
        <v>240</v>
      </c>
      <c r="BB89" s="539" t="s">
        <v>240</v>
      </c>
      <c r="BC89" s="539" t="s">
        <v>240</v>
      </c>
      <c r="BD89" s="539" t="s">
        <v>240</v>
      </c>
      <c r="BE89" s="539" t="s">
        <v>240</v>
      </c>
      <c r="BF89" s="539" t="s">
        <v>240</v>
      </c>
      <c r="BG89" s="539" t="s">
        <v>240</v>
      </c>
      <c r="BH89" s="539" t="s">
        <v>240</v>
      </c>
      <c r="BI89" s="539" t="s">
        <v>240</v>
      </c>
      <c r="BJ89" s="539" t="s">
        <v>240</v>
      </c>
      <c r="BK89" s="539" t="s">
        <v>240</v>
      </c>
      <c r="BL89" s="539" t="s">
        <v>240</v>
      </c>
      <c r="BM89" s="539" t="s">
        <v>240</v>
      </c>
      <c r="BN89" s="539" t="s">
        <v>240</v>
      </c>
      <c r="BO89" s="539" t="s">
        <v>240</v>
      </c>
      <c r="BP89" s="539" t="s">
        <v>240</v>
      </c>
      <c r="BQ89" s="539" t="s">
        <v>240</v>
      </c>
      <c r="BR89" s="539" t="s">
        <v>240</v>
      </c>
      <c r="BS89" s="539" t="s">
        <v>240</v>
      </c>
      <c r="BT89" s="539" t="s">
        <v>240</v>
      </c>
      <c r="BU89" s="539" t="s">
        <v>240</v>
      </c>
      <c r="BV89" s="539" t="s">
        <v>240</v>
      </c>
      <c r="BW89" s="539" t="s">
        <v>240</v>
      </c>
      <c r="BX89" s="539" t="s">
        <v>240</v>
      </c>
      <c r="BY89" s="539" t="s">
        <v>240</v>
      </c>
      <c r="BZ89" s="539" t="s">
        <v>240</v>
      </c>
      <c r="CA89" s="539" t="s">
        <v>240</v>
      </c>
      <c r="CB89" s="539" t="s">
        <v>240</v>
      </c>
      <c r="CC89" s="539" t="s">
        <v>240</v>
      </c>
      <c r="CD89" s="539" t="s">
        <v>240</v>
      </c>
      <c r="CE89" s="539" t="s">
        <v>240</v>
      </c>
      <c r="CF89" s="539" t="s">
        <v>240</v>
      </c>
      <c r="CG89" s="539" t="s">
        <v>240</v>
      </c>
      <c r="CH89" s="539" t="s">
        <v>240</v>
      </c>
      <c r="CI89" s="539" t="s">
        <v>240</v>
      </c>
      <c r="CJ89" s="539" t="s">
        <v>240</v>
      </c>
      <c r="CK89" s="539" t="s">
        <v>240</v>
      </c>
      <c r="CL89" s="539" t="s">
        <v>240</v>
      </c>
      <c r="CM89" s="539" t="s">
        <v>240</v>
      </c>
      <c r="CN89" s="539" t="s">
        <v>240</v>
      </c>
      <c r="CO89" s="539" t="s">
        <v>240</v>
      </c>
      <c r="CP89" s="539" t="s">
        <v>240</v>
      </c>
      <c r="CQ89" s="539" t="s">
        <v>240</v>
      </c>
      <c r="CR89" s="539" t="s">
        <v>240</v>
      </c>
      <c r="CS89" s="539" t="s">
        <v>240</v>
      </c>
      <c r="CT89" s="539" t="s">
        <v>240</v>
      </c>
      <c r="CU89" s="539" t="s">
        <v>240</v>
      </c>
      <c r="CV89" s="539" t="s">
        <v>240</v>
      </c>
      <c r="CW89" s="539" t="s">
        <v>240</v>
      </c>
      <c r="CX89" s="539" t="s">
        <v>240</v>
      </c>
      <c r="CY89" s="539" t="s">
        <v>240</v>
      </c>
      <c r="CZ89" s="539" t="s">
        <v>240</v>
      </c>
      <c r="DA89" s="539" t="s">
        <v>240</v>
      </c>
      <c r="DB89" s="539" t="s">
        <v>240</v>
      </c>
      <c r="DC89" s="539" t="s">
        <v>240</v>
      </c>
    </row>
    <row r="119" spans="1:107" s="539" customFormat="1" x14ac:dyDescent="0.3">
      <c r="A119" s="539" t="s">
        <v>239</v>
      </c>
      <c r="B119" s="539" t="s">
        <v>239</v>
      </c>
      <c r="C119" s="539" t="s">
        <v>239</v>
      </c>
      <c r="D119" s="539" t="s">
        <v>239</v>
      </c>
      <c r="E119" s="539" t="s">
        <v>239</v>
      </c>
      <c r="F119" s="539" t="s">
        <v>239</v>
      </c>
      <c r="G119" s="539" t="s">
        <v>239</v>
      </c>
      <c r="H119" s="539" t="s">
        <v>239</v>
      </c>
      <c r="I119" s="539" t="s">
        <v>239</v>
      </c>
      <c r="J119" s="539" t="s">
        <v>239</v>
      </c>
      <c r="K119" s="539" t="s">
        <v>239</v>
      </c>
      <c r="L119" s="539" t="s">
        <v>239</v>
      </c>
      <c r="M119" s="539" t="s">
        <v>239</v>
      </c>
      <c r="N119" s="539" t="s">
        <v>239</v>
      </c>
      <c r="O119" s="539" t="s">
        <v>239</v>
      </c>
      <c r="P119" s="539" t="s">
        <v>239</v>
      </c>
      <c r="Q119" s="539" t="s">
        <v>239</v>
      </c>
      <c r="R119" s="539" t="s">
        <v>239</v>
      </c>
      <c r="S119" s="539" t="s">
        <v>239</v>
      </c>
      <c r="T119" s="539" t="s">
        <v>239</v>
      </c>
      <c r="U119" s="539" t="s">
        <v>239</v>
      </c>
      <c r="V119" s="539" t="s">
        <v>239</v>
      </c>
      <c r="W119" s="539" t="s">
        <v>239</v>
      </c>
      <c r="X119" s="539" t="s">
        <v>239</v>
      </c>
      <c r="Y119" s="539" t="s">
        <v>239</v>
      </c>
      <c r="Z119" s="539" t="s">
        <v>239</v>
      </c>
      <c r="AA119" s="539" t="s">
        <v>239</v>
      </c>
      <c r="AB119" s="539" t="s">
        <v>239</v>
      </c>
      <c r="AC119" s="539" t="s">
        <v>239</v>
      </c>
      <c r="AD119" s="539" t="s">
        <v>239</v>
      </c>
      <c r="AE119" s="539" t="s">
        <v>239</v>
      </c>
      <c r="AF119" s="539" t="s">
        <v>239</v>
      </c>
      <c r="AG119" s="539" t="s">
        <v>239</v>
      </c>
      <c r="AH119" s="539" t="s">
        <v>239</v>
      </c>
      <c r="AI119" s="539" t="s">
        <v>239</v>
      </c>
      <c r="AJ119" s="539" t="s">
        <v>239</v>
      </c>
      <c r="AK119" s="539" t="s">
        <v>239</v>
      </c>
      <c r="AL119" s="539" t="s">
        <v>239</v>
      </c>
      <c r="AM119" s="539" t="s">
        <v>239</v>
      </c>
      <c r="AN119" s="539" t="s">
        <v>239</v>
      </c>
      <c r="AO119" s="539" t="s">
        <v>239</v>
      </c>
      <c r="AP119" s="539" t="s">
        <v>239</v>
      </c>
      <c r="AQ119" s="539" t="s">
        <v>239</v>
      </c>
      <c r="AR119" s="539" t="s">
        <v>239</v>
      </c>
      <c r="AS119" s="539" t="s">
        <v>239</v>
      </c>
      <c r="AT119" s="539" t="s">
        <v>239</v>
      </c>
      <c r="AU119" s="539" t="s">
        <v>239</v>
      </c>
      <c r="AV119" s="539" t="s">
        <v>239</v>
      </c>
      <c r="AW119" s="539" t="s">
        <v>239</v>
      </c>
      <c r="AX119" s="539" t="s">
        <v>239</v>
      </c>
      <c r="AY119" s="539" t="s">
        <v>239</v>
      </c>
      <c r="AZ119" s="539" t="s">
        <v>239</v>
      </c>
      <c r="BA119" s="539" t="s">
        <v>239</v>
      </c>
      <c r="BB119" s="539" t="s">
        <v>239</v>
      </c>
      <c r="BC119" s="539" t="s">
        <v>239</v>
      </c>
      <c r="BD119" s="539" t="s">
        <v>239</v>
      </c>
      <c r="BE119" s="539" t="s">
        <v>239</v>
      </c>
      <c r="BF119" s="539" t="s">
        <v>239</v>
      </c>
      <c r="BG119" s="539" t="s">
        <v>239</v>
      </c>
      <c r="BH119" s="539" t="s">
        <v>239</v>
      </c>
      <c r="BI119" s="539" t="s">
        <v>239</v>
      </c>
      <c r="BJ119" s="539" t="s">
        <v>239</v>
      </c>
      <c r="BK119" s="539" t="s">
        <v>239</v>
      </c>
      <c r="BL119" s="539" t="s">
        <v>239</v>
      </c>
      <c r="BM119" s="539" t="s">
        <v>239</v>
      </c>
      <c r="BN119" s="539" t="s">
        <v>239</v>
      </c>
      <c r="BO119" s="539" t="s">
        <v>239</v>
      </c>
      <c r="BP119" s="539" t="s">
        <v>239</v>
      </c>
      <c r="BQ119" s="539" t="s">
        <v>239</v>
      </c>
      <c r="BR119" s="539" t="s">
        <v>239</v>
      </c>
      <c r="BS119" s="539" t="s">
        <v>239</v>
      </c>
      <c r="BT119" s="539" t="s">
        <v>239</v>
      </c>
      <c r="BU119" s="539" t="s">
        <v>239</v>
      </c>
      <c r="BV119" s="539" t="s">
        <v>239</v>
      </c>
      <c r="BW119" s="539" t="s">
        <v>239</v>
      </c>
      <c r="BX119" s="539" t="s">
        <v>239</v>
      </c>
      <c r="BY119" s="539" t="s">
        <v>239</v>
      </c>
      <c r="BZ119" s="539" t="s">
        <v>239</v>
      </c>
      <c r="CA119" s="539" t="s">
        <v>239</v>
      </c>
      <c r="CB119" s="539" t="s">
        <v>239</v>
      </c>
      <c r="CC119" s="539" t="s">
        <v>239</v>
      </c>
      <c r="CD119" s="539" t="s">
        <v>239</v>
      </c>
      <c r="CE119" s="539" t="s">
        <v>239</v>
      </c>
      <c r="CF119" s="539" t="s">
        <v>239</v>
      </c>
      <c r="CG119" s="539" t="s">
        <v>239</v>
      </c>
      <c r="CH119" s="539" t="s">
        <v>239</v>
      </c>
      <c r="CI119" s="539" t="s">
        <v>239</v>
      </c>
      <c r="CJ119" s="539" t="s">
        <v>239</v>
      </c>
      <c r="CK119" s="539" t="s">
        <v>239</v>
      </c>
      <c r="CL119" s="539" t="s">
        <v>239</v>
      </c>
      <c r="CM119" s="539" t="s">
        <v>239</v>
      </c>
      <c r="CN119" s="539" t="s">
        <v>239</v>
      </c>
      <c r="CO119" s="539" t="s">
        <v>239</v>
      </c>
      <c r="CP119" s="539" t="s">
        <v>239</v>
      </c>
      <c r="CQ119" s="539" t="s">
        <v>239</v>
      </c>
      <c r="CR119" s="539" t="s">
        <v>239</v>
      </c>
      <c r="CS119" s="539" t="s">
        <v>239</v>
      </c>
      <c r="CT119" s="539" t="s">
        <v>239</v>
      </c>
      <c r="CU119" s="539" t="s">
        <v>239</v>
      </c>
      <c r="CV119" s="539" t="s">
        <v>239</v>
      </c>
      <c r="CW119" s="539" t="s">
        <v>239</v>
      </c>
      <c r="CX119" s="539" t="s">
        <v>239</v>
      </c>
      <c r="CY119" s="539" t="s">
        <v>239</v>
      </c>
      <c r="CZ119" s="539" t="s">
        <v>239</v>
      </c>
      <c r="DA119" s="539" t="s">
        <v>239</v>
      </c>
      <c r="DB119" s="539" t="s">
        <v>239</v>
      </c>
      <c r="DC119" s="539" t="s">
        <v>239</v>
      </c>
    </row>
    <row r="146" spans="1:105" s="537" customFormat="1" x14ac:dyDescent="0.3">
      <c r="A146" s="539" t="s">
        <v>238</v>
      </c>
      <c r="B146" s="539" t="s">
        <v>238</v>
      </c>
      <c r="C146" s="539" t="s">
        <v>238</v>
      </c>
      <c r="D146" s="539" t="s">
        <v>238</v>
      </c>
      <c r="E146" s="539" t="s">
        <v>238</v>
      </c>
      <c r="F146" s="539" t="s">
        <v>238</v>
      </c>
      <c r="G146" s="539" t="s">
        <v>238</v>
      </c>
      <c r="H146" s="539" t="s">
        <v>238</v>
      </c>
      <c r="I146" s="539" t="s">
        <v>238</v>
      </c>
      <c r="J146" s="539" t="s">
        <v>238</v>
      </c>
      <c r="K146" s="539" t="s">
        <v>238</v>
      </c>
      <c r="L146" s="539" t="s">
        <v>238</v>
      </c>
      <c r="M146" s="539" t="s">
        <v>238</v>
      </c>
      <c r="N146" s="539" t="s">
        <v>238</v>
      </c>
      <c r="O146" s="539" t="s">
        <v>238</v>
      </c>
      <c r="P146" s="539" t="s">
        <v>238</v>
      </c>
      <c r="Q146" s="539" t="s">
        <v>238</v>
      </c>
      <c r="R146" s="539" t="s">
        <v>238</v>
      </c>
      <c r="S146" s="539" t="s">
        <v>238</v>
      </c>
      <c r="T146" s="539" t="s">
        <v>238</v>
      </c>
      <c r="U146" s="539" t="s">
        <v>238</v>
      </c>
      <c r="V146" s="539" t="s">
        <v>238</v>
      </c>
      <c r="W146" s="539" t="s">
        <v>238</v>
      </c>
      <c r="X146" s="539" t="s">
        <v>238</v>
      </c>
      <c r="Y146" s="539" t="s">
        <v>238</v>
      </c>
      <c r="Z146" s="539" t="s">
        <v>238</v>
      </c>
      <c r="AA146" s="539" t="s">
        <v>238</v>
      </c>
      <c r="AB146" s="539" t="s">
        <v>238</v>
      </c>
      <c r="AC146" s="539" t="s">
        <v>238</v>
      </c>
      <c r="AD146" s="539" t="s">
        <v>238</v>
      </c>
      <c r="AE146" s="539" t="s">
        <v>238</v>
      </c>
      <c r="AF146" s="539" t="s">
        <v>238</v>
      </c>
      <c r="AG146" s="539" t="s">
        <v>238</v>
      </c>
      <c r="AH146" s="539" t="s">
        <v>238</v>
      </c>
      <c r="AI146" s="539" t="s">
        <v>238</v>
      </c>
      <c r="AJ146" s="539" t="s">
        <v>238</v>
      </c>
      <c r="AK146" s="539" t="s">
        <v>238</v>
      </c>
      <c r="AL146" s="539" t="s">
        <v>238</v>
      </c>
      <c r="AM146" s="539" t="s">
        <v>238</v>
      </c>
      <c r="AN146" s="539" t="s">
        <v>238</v>
      </c>
      <c r="AO146" s="539" t="s">
        <v>238</v>
      </c>
      <c r="AP146" s="539" t="s">
        <v>238</v>
      </c>
      <c r="AQ146" s="539" t="s">
        <v>238</v>
      </c>
      <c r="AR146" s="539" t="s">
        <v>238</v>
      </c>
      <c r="AS146" s="539" t="s">
        <v>238</v>
      </c>
      <c r="AT146" s="539" t="s">
        <v>238</v>
      </c>
      <c r="AU146" s="539" t="s">
        <v>238</v>
      </c>
      <c r="AV146" s="539" t="s">
        <v>238</v>
      </c>
      <c r="AW146" s="539" t="s">
        <v>238</v>
      </c>
      <c r="AX146" s="539" t="s">
        <v>238</v>
      </c>
      <c r="AY146" s="539" t="s">
        <v>238</v>
      </c>
      <c r="AZ146" s="539" t="s">
        <v>238</v>
      </c>
      <c r="BA146" s="539" t="s">
        <v>238</v>
      </c>
      <c r="BB146" s="539" t="s">
        <v>238</v>
      </c>
      <c r="BC146" s="539" t="s">
        <v>238</v>
      </c>
      <c r="BD146" s="539" t="s">
        <v>238</v>
      </c>
      <c r="BE146" s="539" t="s">
        <v>238</v>
      </c>
      <c r="BF146" s="539" t="s">
        <v>238</v>
      </c>
      <c r="BG146" s="539" t="s">
        <v>238</v>
      </c>
      <c r="BH146" s="539" t="s">
        <v>238</v>
      </c>
      <c r="BI146" s="539" t="s">
        <v>238</v>
      </c>
      <c r="BJ146" s="539" t="s">
        <v>238</v>
      </c>
      <c r="BK146" s="539" t="s">
        <v>238</v>
      </c>
      <c r="BL146" s="539" t="s">
        <v>238</v>
      </c>
      <c r="BM146" s="539" t="s">
        <v>238</v>
      </c>
      <c r="BN146" s="539" t="s">
        <v>238</v>
      </c>
      <c r="BO146" s="539" t="s">
        <v>238</v>
      </c>
      <c r="BP146" s="539" t="s">
        <v>238</v>
      </c>
      <c r="BQ146" s="539" t="s">
        <v>238</v>
      </c>
      <c r="BR146" s="539" t="s">
        <v>238</v>
      </c>
      <c r="BS146" s="539" t="s">
        <v>238</v>
      </c>
      <c r="BT146" s="539" t="s">
        <v>238</v>
      </c>
      <c r="BU146" s="539" t="s">
        <v>238</v>
      </c>
      <c r="BV146" s="539" t="s">
        <v>238</v>
      </c>
      <c r="BW146" s="539" t="s">
        <v>238</v>
      </c>
      <c r="BX146" s="539" t="s">
        <v>238</v>
      </c>
      <c r="BY146" s="539" t="s">
        <v>238</v>
      </c>
      <c r="BZ146" s="539" t="s">
        <v>238</v>
      </c>
      <c r="CA146" s="539" t="s">
        <v>238</v>
      </c>
      <c r="CB146" s="539" t="s">
        <v>238</v>
      </c>
      <c r="CC146" s="539" t="s">
        <v>238</v>
      </c>
      <c r="CD146" s="539" t="s">
        <v>238</v>
      </c>
      <c r="CE146" s="539" t="s">
        <v>238</v>
      </c>
      <c r="CF146" s="539" t="s">
        <v>238</v>
      </c>
      <c r="CG146" s="539" t="s">
        <v>238</v>
      </c>
      <c r="CH146" s="539" t="s">
        <v>238</v>
      </c>
      <c r="CI146" s="539" t="s">
        <v>238</v>
      </c>
      <c r="CJ146" s="539" t="s">
        <v>238</v>
      </c>
      <c r="CK146" s="539" t="s">
        <v>238</v>
      </c>
      <c r="CL146" s="539" t="s">
        <v>238</v>
      </c>
      <c r="CM146" s="539" t="s">
        <v>238</v>
      </c>
      <c r="CN146" s="539" t="s">
        <v>238</v>
      </c>
      <c r="CO146" s="539" t="s">
        <v>238</v>
      </c>
      <c r="CP146" s="539" t="s">
        <v>238</v>
      </c>
      <c r="CQ146" s="539" t="s">
        <v>238</v>
      </c>
      <c r="CR146" s="539" t="s">
        <v>238</v>
      </c>
      <c r="CS146" s="539" t="s">
        <v>238</v>
      </c>
      <c r="CT146" s="539" t="s">
        <v>238</v>
      </c>
      <c r="CU146" s="539" t="s">
        <v>238</v>
      </c>
      <c r="CV146" s="539" t="s">
        <v>238</v>
      </c>
      <c r="CW146" s="539" t="s">
        <v>238</v>
      </c>
      <c r="CX146" s="539" t="s">
        <v>238</v>
      </c>
      <c r="CY146" s="539" t="s">
        <v>238</v>
      </c>
      <c r="CZ146" s="539" t="s">
        <v>238</v>
      </c>
      <c r="DA146" s="539" t="s">
        <v>238</v>
      </c>
    </row>
    <row r="176" spans="1:105" s="539" customFormat="1" x14ac:dyDescent="0.3">
      <c r="A176" s="539" t="s">
        <v>237</v>
      </c>
      <c r="B176" s="539" t="s">
        <v>237</v>
      </c>
      <c r="C176" s="539" t="s">
        <v>237</v>
      </c>
      <c r="D176" s="539" t="s">
        <v>237</v>
      </c>
      <c r="E176" s="539" t="s">
        <v>237</v>
      </c>
      <c r="F176" s="539" t="s">
        <v>237</v>
      </c>
      <c r="G176" s="539" t="s">
        <v>237</v>
      </c>
      <c r="H176" s="539" t="s">
        <v>237</v>
      </c>
      <c r="I176" s="539" t="s">
        <v>237</v>
      </c>
      <c r="J176" s="539" t="s">
        <v>237</v>
      </c>
      <c r="K176" s="539" t="s">
        <v>237</v>
      </c>
      <c r="L176" s="539" t="s">
        <v>237</v>
      </c>
      <c r="M176" s="539" t="s">
        <v>237</v>
      </c>
      <c r="N176" s="539" t="s">
        <v>237</v>
      </c>
      <c r="O176" s="539" t="s">
        <v>237</v>
      </c>
      <c r="P176" s="539" t="s">
        <v>237</v>
      </c>
      <c r="Q176" s="539" t="s">
        <v>237</v>
      </c>
      <c r="R176" s="539" t="s">
        <v>237</v>
      </c>
      <c r="S176" s="539" t="s">
        <v>237</v>
      </c>
      <c r="T176" s="539" t="s">
        <v>237</v>
      </c>
      <c r="U176" s="539" t="s">
        <v>237</v>
      </c>
      <c r="V176" s="539" t="s">
        <v>237</v>
      </c>
      <c r="W176" s="539" t="s">
        <v>237</v>
      </c>
      <c r="X176" s="539" t="s">
        <v>237</v>
      </c>
      <c r="Y176" s="539" t="s">
        <v>237</v>
      </c>
      <c r="Z176" s="539" t="s">
        <v>237</v>
      </c>
      <c r="AA176" s="539" t="s">
        <v>237</v>
      </c>
      <c r="AB176" s="539" t="s">
        <v>237</v>
      </c>
      <c r="AC176" s="539" t="s">
        <v>237</v>
      </c>
      <c r="AD176" s="539" t="s">
        <v>237</v>
      </c>
      <c r="AE176" s="539" t="s">
        <v>237</v>
      </c>
      <c r="AF176" s="539" t="s">
        <v>237</v>
      </c>
      <c r="AG176" s="539" t="s">
        <v>237</v>
      </c>
      <c r="AH176" s="539" t="s">
        <v>237</v>
      </c>
      <c r="AI176" s="539" t="s">
        <v>237</v>
      </c>
      <c r="AJ176" s="539" t="s">
        <v>237</v>
      </c>
      <c r="AK176" s="539" t="s">
        <v>237</v>
      </c>
      <c r="AL176" s="539" t="s">
        <v>237</v>
      </c>
      <c r="AM176" s="539" t="s">
        <v>237</v>
      </c>
      <c r="AN176" s="539" t="s">
        <v>237</v>
      </c>
      <c r="AO176" s="539" t="s">
        <v>237</v>
      </c>
      <c r="AP176" s="539" t="s">
        <v>237</v>
      </c>
      <c r="AQ176" s="539" t="s">
        <v>237</v>
      </c>
      <c r="AR176" s="539" t="s">
        <v>237</v>
      </c>
      <c r="AS176" s="539" t="s">
        <v>237</v>
      </c>
      <c r="AT176" s="539" t="s">
        <v>237</v>
      </c>
      <c r="AU176" s="539" t="s">
        <v>237</v>
      </c>
      <c r="AV176" s="539" t="s">
        <v>237</v>
      </c>
      <c r="AW176" s="539" t="s">
        <v>237</v>
      </c>
      <c r="AX176" s="539" t="s">
        <v>237</v>
      </c>
      <c r="AY176" s="539" t="s">
        <v>237</v>
      </c>
      <c r="AZ176" s="539" t="s">
        <v>237</v>
      </c>
      <c r="BA176" s="539" t="s">
        <v>237</v>
      </c>
      <c r="BB176" s="539" t="s">
        <v>237</v>
      </c>
      <c r="BC176" s="539" t="s">
        <v>237</v>
      </c>
      <c r="BD176" s="539" t="s">
        <v>237</v>
      </c>
      <c r="BE176" s="539" t="s">
        <v>237</v>
      </c>
      <c r="BF176" s="539" t="s">
        <v>237</v>
      </c>
      <c r="BG176" s="539" t="s">
        <v>237</v>
      </c>
      <c r="BH176" s="539" t="s">
        <v>237</v>
      </c>
      <c r="BI176" s="539" t="s">
        <v>237</v>
      </c>
      <c r="BJ176" s="539" t="s">
        <v>237</v>
      </c>
      <c r="BK176" s="539" t="s">
        <v>237</v>
      </c>
      <c r="BL176" s="539" t="s">
        <v>237</v>
      </c>
      <c r="BM176" s="539" t="s">
        <v>237</v>
      </c>
      <c r="BN176" s="539" t="s">
        <v>237</v>
      </c>
      <c r="BO176" s="539" t="s">
        <v>237</v>
      </c>
      <c r="BP176" s="539" t="s">
        <v>237</v>
      </c>
      <c r="BQ176" s="539" t="s">
        <v>237</v>
      </c>
      <c r="BR176" s="539" t="s">
        <v>237</v>
      </c>
      <c r="BS176" s="539" t="s">
        <v>237</v>
      </c>
      <c r="BT176" s="539" t="s">
        <v>237</v>
      </c>
      <c r="BU176" s="539" t="s">
        <v>237</v>
      </c>
      <c r="BV176" s="539" t="s">
        <v>237</v>
      </c>
      <c r="BW176" s="539" t="s">
        <v>237</v>
      </c>
      <c r="BX176" s="539" t="s">
        <v>237</v>
      </c>
      <c r="BY176" s="539" t="s">
        <v>237</v>
      </c>
      <c r="BZ176" s="539" t="s">
        <v>237</v>
      </c>
      <c r="CA176" s="539" t="s">
        <v>237</v>
      </c>
      <c r="CB176" s="539" t="s">
        <v>237</v>
      </c>
      <c r="CC176" s="539" t="s">
        <v>237</v>
      </c>
      <c r="CD176" s="539" t="s">
        <v>237</v>
      </c>
      <c r="CE176" s="539" t="s">
        <v>237</v>
      </c>
      <c r="CF176" s="539" t="s">
        <v>237</v>
      </c>
      <c r="CG176" s="539" t="s">
        <v>237</v>
      </c>
      <c r="CH176" s="539" t="s">
        <v>237</v>
      </c>
      <c r="CI176" s="539" t="s">
        <v>237</v>
      </c>
      <c r="CJ176" s="539" t="s">
        <v>237</v>
      </c>
      <c r="CK176" s="539" t="s">
        <v>237</v>
      </c>
      <c r="CL176" s="539" t="s">
        <v>237</v>
      </c>
      <c r="CM176" s="539" t="s">
        <v>237</v>
      </c>
      <c r="CN176" s="539" t="s">
        <v>237</v>
      </c>
      <c r="CO176" s="539" t="s">
        <v>237</v>
      </c>
      <c r="CP176" s="539" t="s">
        <v>237</v>
      </c>
      <c r="CQ176" s="539" t="s">
        <v>237</v>
      </c>
      <c r="CR176" s="539" t="s">
        <v>237</v>
      </c>
      <c r="CS176" s="539" t="s">
        <v>237</v>
      </c>
      <c r="CT176" s="539" t="s">
        <v>237</v>
      </c>
      <c r="CU176" s="539" t="s">
        <v>237</v>
      </c>
      <c r="CV176" s="539" t="s">
        <v>237</v>
      </c>
      <c r="CW176" s="539" t="s">
        <v>237</v>
      </c>
      <c r="CX176" s="539" t="s">
        <v>237</v>
      </c>
      <c r="CY176" s="539" t="s">
        <v>237</v>
      </c>
      <c r="CZ176" s="539" t="s">
        <v>237</v>
      </c>
      <c r="DA176" s="539" t="s">
        <v>237</v>
      </c>
    </row>
    <row r="180" spans="6:6" x14ac:dyDescent="0.3">
      <c r="F180" s="64"/>
    </row>
    <row r="205" spans="1:103" s="539" customFormat="1" x14ac:dyDescent="0.3">
      <c r="A205" s="539" t="s">
        <v>236</v>
      </c>
      <c r="B205" s="539" t="s">
        <v>236</v>
      </c>
      <c r="C205" s="539" t="s">
        <v>236</v>
      </c>
      <c r="D205" s="539" t="s">
        <v>236</v>
      </c>
      <c r="E205" s="539" t="s">
        <v>236</v>
      </c>
      <c r="F205" s="539" t="s">
        <v>236</v>
      </c>
      <c r="G205" s="539" t="s">
        <v>236</v>
      </c>
      <c r="H205" s="539" t="s">
        <v>236</v>
      </c>
      <c r="I205" s="539" t="s">
        <v>236</v>
      </c>
      <c r="J205" s="539" t="s">
        <v>236</v>
      </c>
      <c r="K205" s="539" t="s">
        <v>236</v>
      </c>
      <c r="L205" s="539" t="s">
        <v>236</v>
      </c>
      <c r="M205" s="539" t="s">
        <v>236</v>
      </c>
      <c r="N205" s="539" t="s">
        <v>236</v>
      </c>
      <c r="O205" s="539" t="s">
        <v>236</v>
      </c>
      <c r="P205" s="539" t="s">
        <v>236</v>
      </c>
      <c r="Q205" s="539" t="s">
        <v>236</v>
      </c>
      <c r="R205" s="539" t="s">
        <v>236</v>
      </c>
      <c r="S205" s="539" t="s">
        <v>236</v>
      </c>
      <c r="T205" s="539" t="s">
        <v>236</v>
      </c>
      <c r="U205" s="539" t="s">
        <v>236</v>
      </c>
      <c r="V205" s="539" t="s">
        <v>236</v>
      </c>
      <c r="W205" s="539" t="s">
        <v>236</v>
      </c>
      <c r="X205" s="539" t="s">
        <v>236</v>
      </c>
      <c r="Y205" s="539" t="s">
        <v>236</v>
      </c>
      <c r="Z205" s="539" t="s">
        <v>236</v>
      </c>
      <c r="AA205" s="539" t="s">
        <v>236</v>
      </c>
      <c r="AB205" s="539" t="s">
        <v>236</v>
      </c>
      <c r="AC205" s="539" t="s">
        <v>236</v>
      </c>
      <c r="AD205" s="539" t="s">
        <v>236</v>
      </c>
      <c r="AE205" s="539" t="s">
        <v>236</v>
      </c>
      <c r="AF205" s="539" t="s">
        <v>236</v>
      </c>
      <c r="AG205" s="539" t="s">
        <v>236</v>
      </c>
      <c r="AH205" s="539" t="s">
        <v>236</v>
      </c>
      <c r="AI205" s="539" t="s">
        <v>236</v>
      </c>
      <c r="AJ205" s="539" t="s">
        <v>236</v>
      </c>
      <c r="AK205" s="539" t="s">
        <v>236</v>
      </c>
      <c r="AL205" s="539" t="s">
        <v>236</v>
      </c>
      <c r="AM205" s="539" t="s">
        <v>236</v>
      </c>
      <c r="AN205" s="539" t="s">
        <v>236</v>
      </c>
      <c r="AO205" s="539" t="s">
        <v>236</v>
      </c>
      <c r="AP205" s="539" t="s">
        <v>236</v>
      </c>
      <c r="AQ205" s="539" t="s">
        <v>236</v>
      </c>
      <c r="AR205" s="539" t="s">
        <v>236</v>
      </c>
      <c r="AS205" s="539" t="s">
        <v>236</v>
      </c>
      <c r="AT205" s="539" t="s">
        <v>236</v>
      </c>
      <c r="AU205" s="539" t="s">
        <v>236</v>
      </c>
      <c r="AV205" s="539" t="s">
        <v>236</v>
      </c>
      <c r="AW205" s="539" t="s">
        <v>236</v>
      </c>
      <c r="AX205" s="539" t="s">
        <v>236</v>
      </c>
      <c r="AY205" s="539" t="s">
        <v>236</v>
      </c>
      <c r="AZ205" s="539" t="s">
        <v>236</v>
      </c>
      <c r="BA205" s="539" t="s">
        <v>236</v>
      </c>
      <c r="BB205" s="539" t="s">
        <v>236</v>
      </c>
      <c r="BC205" s="539" t="s">
        <v>236</v>
      </c>
      <c r="BD205" s="539" t="s">
        <v>236</v>
      </c>
      <c r="BE205" s="539" t="s">
        <v>236</v>
      </c>
      <c r="BF205" s="539" t="s">
        <v>236</v>
      </c>
      <c r="BG205" s="539" t="s">
        <v>236</v>
      </c>
      <c r="BH205" s="539" t="s">
        <v>236</v>
      </c>
      <c r="BI205" s="539" t="s">
        <v>236</v>
      </c>
      <c r="BJ205" s="539" t="s">
        <v>236</v>
      </c>
      <c r="BK205" s="539" t="s">
        <v>236</v>
      </c>
      <c r="BL205" s="539" t="s">
        <v>236</v>
      </c>
      <c r="BM205" s="539" t="s">
        <v>236</v>
      </c>
      <c r="BN205" s="539" t="s">
        <v>236</v>
      </c>
      <c r="BO205" s="539" t="s">
        <v>236</v>
      </c>
      <c r="BP205" s="539" t="s">
        <v>236</v>
      </c>
      <c r="BQ205" s="539" t="s">
        <v>236</v>
      </c>
      <c r="BR205" s="539" t="s">
        <v>236</v>
      </c>
      <c r="BS205" s="539" t="s">
        <v>236</v>
      </c>
      <c r="BT205" s="539" t="s">
        <v>236</v>
      </c>
      <c r="BU205" s="539" t="s">
        <v>236</v>
      </c>
      <c r="BV205" s="539" t="s">
        <v>236</v>
      </c>
      <c r="BW205" s="539" t="s">
        <v>236</v>
      </c>
      <c r="BX205" s="539" t="s">
        <v>236</v>
      </c>
      <c r="BY205" s="539" t="s">
        <v>236</v>
      </c>
      <c r="BZ205" s="539" t="s">
        <v>236</v>
      </c>
      <c r="CA205" s="539" t="s">
        <v>236</v>
      </c>
      <c r="CB205" s="539" t="s">
        <v>236</v>
      </c>
      <c r="CC205" s="539" t="s">
        <v>236</v>
      </c>
      <c r="CD205" s="539" t="s">
        <v>236</v>
      </c>
      <c r="CE205" s="539" t="s">
        <v>236</v>
      </c>
      <c r="CF205" s="539" t="s">
        <v>236</v>
      </c>
      <c r="CG205" s="539" t="s">
        <v>236</v>
      </c>
      <c r="CH205" s="539" t="s">
        <v>236</v>
      </c>
      <c r="CI205" s="539" t="s">
        <v>236</v>
      </c>
      <c r="CJ205" s="539" t="s">
        <v>236</v>
      </c>
      <c r="CK205" s="539" t="s">
        <v>236</v>
      </c>
      <c r="CL205" s="539" t="s">
        <v>236</v>
      </c>
      <c r="CM205" s="539" t="s">
        <v>236</v>
      </c>
      <c r="CN205" s="539" t="s">
        <v>236</v>
      </c>
      <c r="CO205" s="539" t="s">
        <v>236</v>
      </c>
      <c r="CP205" s="539" t="s">
        <v>236</v>
      </c>
      <c r="CQ205" s="539" t="s">
        <v>236</v>
      </c>
      <c r="CR205" s="539" t="s">
        <v>236</v>
      </c>
      <c r="CS205" s="539" t="s">
        <v>236</v>
      </c>
      <c r="CT205" s="539" t="s">
        <v>236</v>
      </c>
      <c r="CU205" s="539" t="s">
        <v>236</v>
      </c>
      <c r="CV205" s="539" t="s">
        <v>236</v>
      </c>
      <c r="CW205" s="539" t="s">
        <v>236</v>
      </c>
      <c r="CX205" s="539" t="s">
        <v>236</v>
      </c>
      <c r="CY205" s="539" t="s">
        <v>236</v>
      </c>
    </row>
    <row r="235" spans="1:105" s="539" customFormat="1" x14ac:dyDescent="0.3">
      <c r="A235" s="539" t="s">
        <v>241</v>
      </c>
      <c r="B235" s="539" t="s">
        <v>241</v>
      </c>
      <c r="C235" s="539" t="s">
        <v>241</v>
      </c>
      <c r="D235" s="539" t="s">
        <v>241</v>
      </c>
      <c r="E235" s="539" t="s">
        <v>241</v>
      </c>
      <c r="F235" s="539" t="s">
        <v>241</v>
      </c>
      <c r="G235" s="539" t="s">
        <v>241</v>
      </c>
      <c r="H235" s="539" t="s">
        <v>241</v>
      </c>
      <c r="I235" s="539" t="s">
        <v>241</v>
      </c>
      <c r="J235" s="539" t="s">
        <v>241</v>
      </c>
      <c r="K235" s="539" t="s">
        <v>241</v>
      </c>
      <c r="L235" s="539" t="s">
        <v>241</v>
      </c>
      <c r="M235" s="539" t="s">
        <v>241</v>
      </c>
      <c r="N235" s="539" t="s">
        <v>241</v>
      </c>
      <c r="O235" s="539" t="s">
        <v>241</v>
      </c>
      <c r="P235" s="539" t="s">
        <v>241</v>
      </c>
      <c r="Q235" s="539" t="s">
        <v>241</v>
      </c>
      <c r="R235" s="539" t="s">
        <v>241</v>
      </c>
      <c r="S235" s="539" t="s">
        <v>241</v>
      </c>
      <c r="T235" s="539" t="s">
        <v>241</v>
      </c>
      <c r="U235" s="539" t="s">
        <v>241</v>
      </c>
      <c r="V235" s="539" t="s">
        <v>241</v>
      </c>
      <c r="W235" s="539" t="s">
        <v>241</v>
      </c>
      <c r="X235" s="539" t="s">
        <v>241</v>
      </c>
      <c r="Y235" s="539" t="s">
        <v>241</v>
      </c>
      <c r="Z235" s="539" t="s">
        <v>241</v>
      </c>
      <c r="AA235" s="539" t="s">
        <v>241</v>
      </c>
      <c r="AB235" s="539" t="s">
        <v>241</v>
      </c>
      <c r="AC235" s="539" t="s">
        <v>241</v>
      </c>
      <c r="AD235" s="539" t="s">
        <v>241</v>
      </c>
      <c r="AE235" s="539" t="s">
        <v>241</v>
      </c>
      <c r="AF235" s="539" t="s">
        <v>241</v>
      </c>
      <c r="AG235" s="539" t="s">
        <v>241</v>
      </c>
      <c r="AH235" s="539" t="s">
        <v>241</v>
      </c>
      <c r="AI235" s="539" t="s">
        <v>241</v>
      </c>
      <c r="AJ235" s="539" t="s">
        <v>241</v>
      </c>
      <c r="AK235" s="539" t="s">
        <v>241</v>
      </c>
      <c r="AL235" s="539" t="s">
        <v>241</v>
      </c>
      <c r="AM235" s="539" t="s">
        <v>241</v>
      </c>
      <c r="AN235" s="539" t="s">
        <v>241</v>
      </c>
      <c r="AO235" s="539" t="s">
        <v>241</v>
      </c>
      <c r="AP235" s="539" t="s">
        <v>241</v>
      </c>
      <c r="AQ235" s="539" t="s">
        <v>241</v>
      </c>
      <c r="AR235" s="539" t="s">
        <v>241</v>
      </c>
      <c r="AS235" s="539" t="s">
        <v>241</v>
      </c>
      <c r="AT235" s="539" t="s">
        <v>241</v>
      </c>
      <c r="AU235" s="539" t="s">
        <v>241</v>
      </c>
      <c r="AV235" s="539" t="s">
        <v>241</v>
      </c>
      <c r="AW235" s="539" t="s">
        <v>241</v>
      </c>
      <c r="AX235" s="539" t="s">
        <v>241</v>
      </c>
      <c r="AY235" s="539" t="s">
        <v>241</v>
      </c>
      <c r="AZ235" s="539" t="s">
        <v>241</v>
      </c>
      <c r="BA235" s="539" t="s">
        <v>241</v>
      </c>
      <c r="BB235" s="539" t="s">
        <v>241</v>
      </c>
      <c r="BC235" s="539" t="s">
        <v>241</v>
      </c>
      <c r="BD235" s="539" t="s">
        <v>241</v>
      </c>
      <c r="BE235" s="539" t="s">
        <v>241</v>
      </c>
      <c r="BF235" s="539" t="s">
        <v>241</v>
      </c>
      <c r="BG235" s="539" t="s">
        <v>241</v>
      </c>
      <c r="BH235" s="539" t="s">
        <v>241</v>
      </c>
      <c r="BI235" s="539" t="s">
        <v>241</v>
      </c>
      <c r="BJ235" s="539" t="s">
        <v>241</v>
      </c>
      <c r="BK235" s="539" t="s">
        <v>241</v>
      </c>
      <c r="BL235" s="539" t="s">
        <v>241</v>
      </c>
      <c r="BM235" s="539" t="s">
        <v>241</v>
      </c>
      <c r="BN235" s="539" t="s">
        <v>241</v>
      </c>
      <c r="BO235" s="539" t="s">
        <v>241</v>
      </c>
      <c r="BP235" s="539" t="s">
        <v>241</v>
      </c>
      <c r="BQ235" s="539" t="s">
        <v>241</v>
      </c>
      <c r="BR235" s="539" t="s">
        <v>241</v>
      </c>
      <c r="BS235" s="539" t="s">
        <v>241</v>
      </c>
      <c r="BT235" s="539" t="s">
        <v>241</v>
      </c>
      <c r="BU235" s="539" t="s">
        <v>241</v>
      </c>
      <c r="BV235" s="539" t="s">
        <v>241</v>
      </c>
      <c r="BW235" s="539" t="s">
        <v>241</v>
      </c>
      <c r="BX235" s="539" t="s">
        <v>241</v>
      </c>
      <c r="BY235" s="539" t="s">
        <v>241</v>
      </c>
      <c r="BZ235" s="539" t="s">
        <v>241</v>
      </c>
      <c r="CA235" s="539" t="s">
        <v>241</v>
      </c>
      <c r="CB235" s="539" t="s">
        <v>241</v>
      </c>
      <c r="CC235" s="539" t="s">
        <v>241</v>
      </c>
      <c r="CD235" s="539" t="s">
        <v>241</v>
      </c>
      <c r="CE235" s="539" t="s">
        <v>241</v>
      </c>
      <c r="CF235" s="539" t="s">
        <v>241</v>
      </c>
      <c r="CG235" s="539" t="s">
        <v>241</v>
      </c>
      <c r="CH235" s="539" t="s">
        <v>241</v>
      </c>
      <c r="CI235" s="539" t="s">
        <v>241</v>
      </c>
      <c r="CJ235" s="539" t="s">
        <v>241</v>
      </c>
      <c r="CK235" s="539" t="s">
        <v>241</v>
      </c>
      <c r="CL235" s="539" t="s">
        <v>241</v>
      </c>
      <c r="CM235" s="539" t="s">
        <v>241</v>
      </c>
      <c r="CN235" s="539" t="s">
        <v>241</v>
      </c>
      <c r="CO235" s="539" t="s">
        <v>241</v>
      </c>
      <c r="CP235" s="539" t="s">
        <v>241</v>
      </c>
      <c r="CQ235" s="539" t="s">
        <v>241</v>
      </c>
      <c r="CR235" s="539" t="s">
        <v>241</v>
      </c>
      <c r="CS235" s="539" t="s">
        <v>241</v>
      </c>
      <c r="CT235" s="539" t="s">
        <v>241</v>
      </c>
      <c r="CU235" s="539" t="s">
        <v>241</v>
      </c>
      <c r="CV235" s="539" t="s">
        <v>241</v>
      </c>
      <c r="CW235" s="539" t="s">
        <v>241</v>
      </c>
      <c r="CX235" s="539" t="s">
        <v>241</v>
      </c>
      <c r="CY235" s="539" t="s">
        <v>241</v>
      </c>
      <c r="CZ235" s="539" t="s">
        <v>241</v>
      </c>
      <c r="DA235" s="539" t="s">
        <v>241</v>
      </c>
    </row>
    <row r="265" spans="1:101" s="539" customFormat="1" x14ac:dyDescent="0.3">
      <c r="A265" s="539" t="s">
        <v>242</v>
      </c>
      <c r="B265" s="539" t="s">
        <v>242</v>
      </c>
      <c r="C265" s="539" t="s">
        <v>242</v>
      </c>
      <c r="D265" s="539" t="s">
        <v>242</v>
      </c>
      <c r="E265" s="539" t="s">
        <v>242</v>
      </c>
      <c r="F265" s="539" t="s">
        <v>242</v>
      </c>
      <c r="G265" s="539" t="s">
        <v>242</v>
      </c>
      <c r="H265" s="539" t="s">
        <v>242</v>
      </c>
      <c r="I265" s="539" t="s">
        <v>242</v>
      </c>
      <c r="J265" s="539" t="s">
        <v>242</v>
      </c>
      <c r="K265" s="539" t="s">
        <v>242</v>
      </c>
      <c r="L265" s="539" t="s">
        <v>242</v>
      </c>
      <c r="M265" s="539" t="s">
        <v>242</v>
      </c>
      <c r="N265" s="539" t="s">
        <v>242</v>
      </c>
      <c r="O265" s="539" t="s">
        <v>242</v>
      </c>
      <c r="P265" s="539" t="s">
        <v>242</v>
      </c>
      <c r="Q265" s="539" t="s">
        <v>242</v>
      </c>
      <c r="R265" s="539" t="s">
        <v>242</v>
      </c>
      <c r="S265" s="539" t="s">
        <v>242</v>
      </c>
      <c r="T265" s="539" t="s">
        <v>242</v>
      </c>
      <c r="U265" s="539" t="s">
        <v>242</v>
      </c>
      <c r="V265" s="539" t="s">
        <v>242</v>
      </c>
      <c r="W265" s="539" t="s">
        <v>242</v>
      </c>
      <c r="X265" s="539" t="s">
        <v>242</v>
      </c>
      <c r="Y265" s="539" t="s">
        <v>242</v>
      </c>
      <c r="Z265" s="539" t="s">
        <v>242</v>
      </c>
      <c r="AA265" s="539" t="s">
        <v>242</v>
      </c>
      <c r="AB265" s="539" t="s">
        <v>242</v>
      </c>
      <c r="AC265" s="539" t="s">
        <v>242</v>
      </c>
      <c r="AD265" s="539" t="s">
        <v>242</v>
      </c>
      <c r="AE265" s="539" t="s">
        <v>242</v>
      </c>
      <c r="AF265" s="539" t="s">
        <v>242</v>
      </c>
      <c r="AG265" s="539" t="s">
        <v>242</v>
      </c>
      <c r="AH265" s="539" t="s">
        <v>242</v>
      </c>
      <c r="AI265" s="539" t="s">
        <v>242</v>
      </c>
      <c r="AJ265" s="539" t="s">
        <v>242</v>
      </c>
      <c r="AK265" s="539" t="s">
        <v>242</v>
      </c>
      <c r="AL265" s="539" t="s">
        <v>242</v>
      </c>
      <c r="AM265" s="539" t="s">
        <v>242</v>
      </c>
      <c r="AN265" s="539" t="s">
        <v>242</v>
      </c>
      <c r="AO265" s="539" t="s">
        <v>242</v>
      </c>
      <c r="AP265" s="539" t="s">
        <v>242</v>
      </c>
      <c r="AQ265" s="539" t="s">
        <v>242</v>
      </c>
      <c r="AR265" s="539" t="s">
        <v>242</v>
      </c>
      <c r="AS265" s="539" t="s">
        <v>242</v>
      </c>
      <c r="AT265" s="539" t="s">
        <v>242</v>
      </c>
      <c r="AU265" s="539" t="s">
        <v>242</v>
      </c>
      <c r="AV265" s="539" t="s">
        <v>242</v>
      </c>
      <c r="AW265" s="539" t="s">
        <v>242</v>
      </c>
      <c r="AX265" s="539" t="s">
        <v>242</v>
      </c>
      <c r="AY265" s="539" t="s">
        <v>242</v>
      </c>
      <c r="AZ265" s="539" t="s">
        <v>242</v>
      </c>
      <c r="BA265" s="539" t="s">
        <v>242</v>
      </c>
      <c r="BB265" s="539" t="s">
        <v>242</v>
      </c>
      <c r="BC265" s="539" t="s">
        <v>242</v>
      </c>
      <c r="BD265" s="539" t="s">
        <v>242</v>
      </c>
      <c r="BE265" s="539" t="s">
        <v>242</v>
      </c>
      <c r="BF265" s="539" t="s">
        <v>242</v>
      </c>
      <c r="BG265" s="539" t="s">
        <v>242</v>
      </c>
      <c r="BH265" s="539" t="s">
        <v>242</v>
      </c>
      <c r="BI265" s="539" t="s">
        <v>242</v>
      </c>
      <c r="BJ265" s="539" t="s">
        <v>242</v>
      </c>
      <c r="BK265" s="539" t="s">
        <v>242</v>
      </c>
      <c r="BL265" s="539" t="s">
        <v>242</v>
      </c>
      <c r="BM265" s="539" t="s">
        <v>242</v>
      </c>
      <c r="BN265" s="539" t="s">
        <v>242</v>
      </c>
      <c r="BO265" s="539" t="s">
        <v>242</v>
      </c>
      <c r="BP265" s="539" t="s">
        <v>242</v>
      </c>
      <c r="BQ265" s="539" t="s">
        <v>242</v>
      </c>
      <c r="BR265" s="539" t="s">
        <v>242</v>
      </c>
      <c r="BS265" s="539" t="s">
        <v>242</v>
      </c>
      <c r="BT265" s="539" t="s">
        <v>242</v>
      </c>
      <c r="BU265" s="539" t="s">
        <v>242</v>
      </c>
      <c r="BV265" s="539" t="s">
        <v>242</v>
      </c>
      <c r="BW265" s="539" t="s">
        <v>242</v>
      </c>
      <c r="BX265" s="539" t="s">
        <v>242</v>
      </c>
      <c r="BY265" s="539" t="s">
        <v>242</v>
      </c>
      <c r="BZ265" s="539" t="s">
        <v>242</v>
      </c>
      <c r="CA265" s="539" t="s">
        <v>242</v>
      </c>
      <c r="CB265" s="539" t="s">
        <v>242</v>
      </c>
      <c r="CC265" s="539" t="s">
        <v>242</v>
      </c>
      <c r="CD265" s="539" t="s">
        <v>242</v>
      </c>
      <c r="CE265" s="539" t="s">
        <v>242</v>
      </c>
      <c r="CF265" s="539" t="s">
        <v>242</v>
      </c>
      <c r="CG265" s="539" t="s">
        <v>242</v>
      </c>
      <c r="CH265" s="539" t="s">
        <v>242</v>
      </c>
      <c r="CI265" s="539" t="s">
        <v>242</v>
      </c>
      <c r="CJ265" s="539" t="s">
        <v>242</v>
      </c>
      <c r="CK265" s="539" t="s">
        <v>242</v>
      </c>
      <c r="CL265" s="539" t="s">
        <v>242</v>
      </c>
      <c r="CM265" s="539" t="s">
        <v>242</v>
      </c>
      <c r="CN265" s="539" t="s">
        <v>242</v>
      </c>
      <c r="CO265" s="539" t="s">
        <v>242</v>
      </c>
      <c r="CP265" s="539" t="s">
        <v>242</v>
      </c>
      <c r="CQ265" s="539" t="s">
        <v>242</v>
      </c>
      <c r="CR265" s="539" t="s">
        <v>242</v>
      </c>
      <c r="CS265" s="539" t="s">
        <v>242</v>
      </c>
      <c r="CT265" s="539" t="s">
        <v>242</v>
      </c>
      <c r="CU265" s="539" t="s">
        <v>242</v>
      </c>
      <c r="CV265" s="539" t="s">
        <v>242</v>
      </c>
      <c r="CW265" s="539" t="s">
        <v>242</v>
      </c>
    </row>
    <row r="293" spans="1:103" s="539" customFormat="1" x14ac:dyDescent="0.3">
      <c r="A293" s="539" t="s">
        <v>243</v>
      </c>
      <c r="B293" s="539" t="s">
        <v>243</v>
      </c>
      <c r="C293" s="539" t="s">
        <v>243</v>
      </c>
      <c r="D293" s="539" t="s">
        <v>243</v>
      </c>
      <c r="E293" s="539" t="s">
        <v>243</v>
      </c>
      <c r="F293" s="539" t="s">
        <v>243</v>
      </c>
      <c r="G293" s="539" t="s">
        <v>243</v>
      </c>
      <c r="H293" s="539" t="s">
        <v>243</v>
      </c>
      <c r="I293" s="539" t="s">
        <v>243</v>
      </c>
      <c r="J293" s="539" t="s">
        <v>243</v>
      </c>
      <c r="K293" s="539" t="s">
        <v>243</v>
      </c>
      <c r="L293" s="539" t="s">
        <v>243</v>
      </c>
      <c r="M293" s="539" t="s">
        <v>243</v>
      </c>
      <c r="N293" s="539" t="s">
        <v>243</v>
      </c>
      <c r="O293" s="539" t="s">
        <v>243</v>
      </c>
      <c r="P293" s="539" t="s">
        <v>243</v>
      </c>
      <c r="Q293" s="539" t="s">
        <v>243</v>
      </c>
      <c r="R293" s="539" t="s">
        <v>243</v>
      </c>
      <c r="S293" s="539" t="s">
        <v>243</v>
      </c>
      <c r="T293" s="539" t="s">
        <v>243</v>
      </c>
      <c r="U293" s="539" t="s">
        <v>243</v>
      </c>
      <c r="V293" s="539" t="s">
        <v>243</v>
      </c>
      <c r="W293" s="539" t="s">
        <v>243</v>
      </c>
      <c r="X293" s="539" t="s">
        <v>243</v>
      </c>
      <c r="Y293" s="539" t="s">
        <v>243</v>
      </c>
      <c r="Z293" s="539" t="s">
        <v>243</v>
      </c>
      <c r="AA293" s="539" t="s">
        <v>243</v>
      </c>
      <c r="AB293" s="539" t="s">
        <v>243</v>
      </c>
      <c r="AC293" s="539" t="s">
        <v>243</v>
      </c>
      <c r="AD293" s="539" t="s">
        <v>243</v>
      </c>
      <c r="AE293" s="539" t="s">
        <v>243</v>
      </c>
      <c r="AF293" s="539" t="s">
        <v>243</v>
      </c>
      <c r="AG293" s="539" t="s">
        <v>243</v>
      </c>
      <c r="AH293" s="539" t="s">
        <v>243</v>
      </c>
      <c r="AI293" s="539" t="s">
        <v>243</v>
      </c>
      <c r="AJ293" s="539" t="s">
        <v>243</v>
      </c>
      <c r="AK293" s="539" t="s">
        <v>243</v>
      </c>
      <c r="AL293" s="539" t="s">
        <v>243</v>
      </c>
      <c r="AM293" s="539" t="s">
        <v>243</v>
      </c>
      <c r="AN293" s="539" t="s">
        <v>243</v>
      </c>
      <c r="AO293" s="539" t="s">
        <v>243</v>
      </c>
      <c r="AP293" s="539" t="s">
        <v>243</v>
      </c>
      <c r="AQ293" s="539" t="s">
        <v>243</v>
      </c>
      <c r="AR293" s="539" t="s">
        <v>243</v>
      </c>
      <c r="AS293" s="539" t="s">
        <v>243</v>
      </c>
      <c r="AT293" s="539" t="s">
        <v>243</v>
      </c>
      <c r="AU293" s="539" t="s">
        <v>243</v>
      </c>
      <c r="AV293" s="539" t="s">
        <v>243</v>
      </c>
      <c r="AW293" s="539" t="s">
        <v>243</v>
      </c>
      <c r="AX293" s="539" t="s">
        <v>243</v>
      </c>
      <c r="AY293" s="539" t="s">
        <v>243</v>
      </c>
      <c r="AZ293" s="539" t="s">
        <v>243</v>
      </c>
      <c r="BA293" s="539" t="s">
        <v>243</v>
      </c>
      <c r="BB293" s="539" t="s">
        <v>243</v>
      </c>
      <c r="BC293" s="539" t="s">
        <v>243</v>
      </c>
      <c r="BD293" s="539" t="s">
        <v>243</v>
      </c>
      <c r="BE293" s="539" t="s">
        <v>243</v>
      </c>
      <c r="BF293" s="539" t="s">
        <v>243</v>
      </c>
      <c r="BG293" s="539" t="s">
        <v>243</v>
      </c>
      <c r="BH293" s="539" t="s">
        <v>243</v>
      </c>
      <c r="BI293" s="539" t="s">
        <v>243</v>
      </c>
      <c r="BJ293" s="539" t="s">
        <v>243</v>
      </c>
      <c r="BK293" s="539" t="s">
        <v>243</v>
      </c>
      <c r="BL293" s="539" t="s">
        <v>243</v>
      </c>
      <c r="BM293" s="539" t="s">
        <v>243</v>
      </c>
      <c r="BN293" s="539" t="s">
        <v>243</v>
      </c>
      <c r="BO293" s="539" t="s">
        <v>243</v>
      </c>
      <c r="BP293" s="539" t="s">
        <v>243</v>
      </c>
      <c r="BQ293" s="539" t="s">
        <v>243</v>
      </c>
      <c r="BR293" s="539" t="s">
        <v>243</v>
      </c>
      <c r="BS293" s="539" t="s">
        <v>243</v>
      </c>
      <c r="BT293" s="539" t="s">
        <v>243</v>
      </c>
      <c r="BU293" s="539" t="s">
        <v>243</v>
      </c>
      <c r="BV293" s="539" t="s">
        <v>243</v>
      </c>
      <c r="BW293" s="539" t="s">
        <v>243</v>
      </c>
      <c r="BX293" s="539" t="s">
        <v>243</v>
      </c>
      <c r="BY293" s="539" t="s">
        <v>243</v>
      </c>
      <c r="BZ293" s="539" t="s">
        <v>243</v>
      </c>
      <c r="CA293" s="539" t="s">
        <v>243</v>
      </c>
      <c r="CB293" s="539" t="s">
        <v>243</v>
      </c>
      <c r="CC293" s="539" t="s">
        <v>243</v>
      </c>
      <c r="CD293" s="539" t="s">
        <v>243</v>
      </c>
      <c r="CE293" s="539" t="s">
        <v>243</v>
      </c>
      <c r="CF293" s="539" t="s">
        <v>243</v>
      </c>
      <c r="CG293" s="539" t="s">
        <v>243</v>
      </c>
      <c r="CH293" s="539" t="s">
        <v>243</v>
      </c>
      <c r="CI293" s="539" t="s">
        <v>243</v>
      </c>
      <c r="CJ293" s="539" t="s">
        <v>243</v>
      </c>
      <c r="CK293" s="539" t="s">
        <v>243</v>
      </c>
      <c r="CL293" s="539" t="s">
        <v>243</v>
      </c>
      <c r="CM293" s="539" t="s">
        <v>243</v>
      </c>
      <c r="CN293" s="539" t="s">
        <v>243</v>
      </c>
      <c r="CO293" s="539" t="s">
        <v>243</v>
      </c>
      <c r="CP293" s="539" t="s">
        <v>243</v>
      </c>
      <c r="CQ293" s="539" t="s">
        <v>243</v>
      </c>
      <c r="CR293" s="539" t="s">
        <v>243</v>
      </c>
      <c r="CS293" s="539" t="s">
        <v>243</v>
      </c>
      <c r="CT293" s="539" t="s">
        <v>243</v>
      </c>
      <c r="CU293" s="539" t="s">
        <v>243</v>
      </c>
      <c r="CV293" s="539" t="s">
        <v>243</v>
      </c>
      <c r="CW293" s="539" t="s">
        <v>243</v>
      </c>
      <c r="CX293" s="539" t="s">
        <v>243</v>
      </c>
      <c r="CY293" s="539" t="s">
        <v>243</v>
      </c>
    </row>
  </sheetData>
  <sheetProtection algorithmName="SHA-512" hashValue="rOnznnQwqdhSFUkK87DU6kvYPFYC162gZqY0iJYrvh7qiaJTxrCzkon3w5reooPsaTFna+ea7aCKNwD0rowsvg==" saltValue="7YhIfPkxoKf1CVX7Fj0l1w==" spinCount="100000" sheet="1" objects="1" scenarios="1"/>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F092E9-22BC-446C-AEC8-FFBDE0546476}">
  <dimension ref="A1"/>
  <sheetViews>
    <sheetView topLeftCell="A73" workbookViewId="0">
      <selection activeCell="P86" sqref="P86"/>
    </sheetView>
  </sheetViews>
  <sheetFormatPr defaultRowHeight="15.75" x14ac:dyDescent="0.3"/>
  <cols>
    <col min="1" max="16384" width="8.88671875" style="62"/>
  </cols>
  <sheetData/>
  <sheetProtection algorithmName="SHA-512" hashValue="979UdEyPpoVUro3PeN626rLY+TAsLzmgPVXNPFQQcWtJCioDuDha09OI9VzBjqjm0c/mn4oFqp9nTZkoQN/b7w==" saltValue="kpw7w+kxB6/wP0cLOYVn/A==" spinCount="100000" sheet="1" objects="1" scenarios="1"/>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8ACF9-D446-4955-A374-F9CE64EB2D88}">
  <dimension ref="A1:AM251"/>
  <sheetViews>
    <sheetView zoomScaleNormal="100" workbookViewId="0">
      <pane xSplit="2" topLeftCell="C1" activePane="topRight" state="frozen"/>
      <selection pane="topRight" activeCell="F1" sqref="F1"/>
    </sheetView>
  </sheetViews>
  <sheetFormatPr defaultRowHeight="14.55" x14ac:dyDescent="0.3"/>
  <cols>
    <col min="1" max="1" width="13.44140625" bestFit="1" customWidth="1"/>
    <col min="2" max="2" width="9.77734375" bestFit="1" customWidth="1"/>
    <col min="3" max="3" width="18.21875" bestFit="1" customWidth="1"/>
    <col min="4" max="4" width="15.5546875" style="23" bestFit="1" customWidth="1"/>
    <col min="5" max="5" width="14" bestFit="1" customWidth="1"/>
    <col min="6" max="6" width="18.77734375" style="24" bestFit="1" customWidth="1"/>
    <col min="8" max="8" width="25.88671875" bestFit="1" customWidth="1"/>
    <col min="9" max="9" width="18.77734375" bestFit="1" customWidth="1"/>
    <col min="10" max="10" width="13.33203125" bestFit="1" customWidth="1"/>
    <col min="12" max="12" width="13.33203125" bestFit="1" customWidth="1"/>
    <col min="13" max="13" width="18.77734375" bestFit="1" customWidth="1"/>
    <col min="14" max="14" width="13.33203125" style="24" bestFit="1" customWidth="1"/>
    <col min="15" max="15" width="13" bestFit="1" customWidth="1"/>
    <col min="17" max="17" width="9.77734375" bestFit="1" customWidth="1"/>
    <col min="18" max="18" width="13" bestFit="1" customWidth="1"/>
    <col min="20" max="20" width="9.77734375" style="24" bestFit="1" customWidth="1"/>
    <col min="22" max="22" width="9.77734375" bestFit="1" customWidth="1"/>
    <col min="26" max="26" width="8.88671875" style="24"/>
    <col min="28" max="28" width="10.77734375" bestFit="1" customWidth="1"/>
    <col min="29" max="29" width="9.77734375" bestFit="1" customWidth="1"/>
    <col min="30" max="30" width="13" bestFit="1" customWidth="1"/>
    <col min="31" max="31" width="9.77734375" bestFit="1" customWidth="1"/>
    <col min="32" max="32" width="9.77734375" style="24" bestFit="1" customWidth="1"/>
    <col min="34" max="34" width="10.77734375" bestFit="1" customWidth="1"/>
    <col min="35" max="35" width="9.77734375" bestFit="1" customWidth="1"/>
    <col min="37" max="37" width="10.77734375" bestFit="1" customWidth="1"/>
    <col min="38" max="38" width="10.77734375" style="24" bestFit="1" customWidth="1"/>
  </cols>
  <sheetData>
    <row r="1" spans="1:38" x14ac:dyDescent="0.3">
      <c r="G1" s="1736" t="s">
        <v>47</v>
      </c>
      <c r="H1" s="1736"/>
      <c r="I1" s="1736"/>
      <c r="J1" s="1736"/>
      <c r="K1" s="1736"/>
      <c r="L1" s="1736"/>
      <c r="M1" s="1736"/>
      <c r="N1" s="1736"/>
      <c r="O1" s="1736" t="s">
        <v>48</v>
      </c>
      <c r="P1" s="1736"/>
      <c r="Q1" s="1736"/>
      <c r="R1" s="1736"/>
      <c r="S1" s="1736"/>
      <c r="T1" s="1736"/>
      <c r="U1" s="1736" t="s">
        <v>49</v>
      </c>
      <c r="V1" s="1736"/>
      <c r="W1" s="1736"/>
      <c r="X1" s="1736"/>
      <c r="Y1" s="1736"/>
      <c r="Z1" s="1736"/>
      <c r="AA1" s="1736" t="s">
        <v>50</v>
      </c>
      <c r="AB1" s="1736"/>
      <c r="AC1" s="1736"/>
      <c r="AD1" s="1736"/>
      <c r="AE1" s="1736"/>
      <c r="AF1" s="1736"/>
      <c r="AG1" s="1736" t="s">
        <v>51</v>
      </c>
      <c r="AH1" s="1736"/>
      <c r="AI1" s="1736"/>
      <c r="AJ1" s="1736"/>
      <c r="AK1" s="1736"/>
      <c r="AL1" s="1736"/>
    </row>
    <row r="2" spans="1:38" x14ac:dyDescent="0.3">
      <c r="G2" s="1737" t="s">
        <v>52</v>
      </c>
      <c r="H2" s="1737"/>
      <c r="I2" s="1737"/>
      <c r="J2" s="1738"/>
      <c r="K2" s="1737" t="s">
        <v>53</v>
      </c>
      <c r="L2" s="1737"/>
      <c r="M2" s="1737"/>
      <c r="N2" s="1737"/>
      <c r="O2" s="1737" t="s">
        <v>52</v>
      </c>
      <c r="P2" s="1737"/>
      <c r="Q2" s="1738"/>
      <c r="R2" s="1737" t="s">
        <v>53</v>
      </c>
      <c r="S2" s="1737"/>
      <c r="T2" s="1737"/>
      <c r="U2" s="1736" t="s">
        <v>52</v>
      </c>
      <c r="V2" s="1736"/>
      <c r="W2" s="1736"/>
      <c r="X2" s="1736" t="s">
        <v>53</v>
      </c>
      <c r="Y2" s="1736"/>
      <c r="Z2" s="1736"/>
      <c r="AA2" s="1736" t="s">
        <v>52</v>
      </c>
      <c r="AB2" s="1736"/>
      <c r="AC2" s="1736"/>
      <c r="AD2" s="1736" t="s">
        <v>53</v>
      </c>
      <c r="AE2" s="1736"/>
      <c r="AF2" s="1736"/>
      <c r="AG2" s="1736" t="s">
        <v>52</v>
      </c>
      <c r="AH2" s="1736"/>
      <c r="AI2" s="1736"/>
      <c r="AJ2" s="1736" t="s">
        <v>53</v>
      </c>
      <c r="AK2" s="1736"/>
      <c r="AL2" s="1736"/>
    </row>
    <row r="3" spans="1:38" s="25" customFormat="1" x14ac:dyDescent="0.3">
      <c r="A3" s="25" t="s">
        <v>54</v>
      </c>
      <c r="B3" s="25" t="s">
        <v>55</v>
      </c>
      <c r="C3" s="25" t="s">
        <v>56</v>
      </c>
      <c r="D3" s="26" t="s">
        <v>57</v>
      </c>
      <c r="E3" s="25" t="s">
        <v>58</v>
      </c>
      <c r="F3" s="27" t="s">
        <v>59</v>
      </c>
      <c r="G3" s="25" t="s">
        <v>60</v>
      </c>
      <c r="H3" s="25" t="s">
        <v>61</v>
      </c>
      <c r="I3" s="25" t="s">
        <v>62</v>
      </c>
      <c r="J3" s="27" t="s">
        <v>63</v>
      </c>
      <c r="K3" s="28" t="s">
        <v>60</v>
      </c>
      <c r="L3" s="25" t="s">
        <v>61</v>
      </c>
      <c r="M3" s="25" t="s">
        <v>62</v>
      </c>
      <c r="N3" s="27" t="s">
        <v>63</v>
      </c>
      <c r="O3" s="28" t="s">
        <v>60</v>
      </c>
      <c r="P3" s="25" t="s">
        <v>61</v>
      </c>
      <c r="Q3" s="27" t="s">
        <v>63</v>
      </c>
      <c r="R3" s="28" t="s">
        <v>60</v>
      </c>
      <c r="S3" s="25" t="s">
        <v>61</v>
      </c>
      <c r="T3" s="27" t="s">
        <v>63</v>
      </c>
      <c r="U3" s="25" t="s">
        <v>60</v>
      </c>
      <c r="V3" s="25" t="s">
        <v>61</v>
      </c>
      <c r="W3" s="27" t="s">
        <v>63</v>
      </c>
      <c r="X3" s="28" t="s">
        <v>60</v>
      </c>
      <c r="Y3" s="25" t="s">
        <v>61</v>
      </c>
      <c r="Z3" s="27" t="s">
        <v>63</v>
      </c>
      <c r="AA3" s="25" t="s">
        <v>60</v>
      </c>
      <c r="AB3" s="25" t="s">
        <v>61</v>
      </c>
      <c r="AC3" s="27" t="s">
        <v>63</v>
      </c>
      <c r="AD3" s="28" t="s">
        <v>60</v>
      </c>
      <c r="AE3" s="25" t="s">
        <v>61</v>
      </c>
      <c r="AF3" s="27" t="s">
        <v>63</v>
      </c>
      <c r="AG3" s="25" t="s">
        <v>60</v>
      </c>
      <c r="AH3" s="25" t="s">
        <v>61</v>
      </c>
      <c r="AI3" s="27" t="s">
        <v>63</v>
      </c>
      <c r="AJ3" s="28" t="s">
        <v>60</v>
      </c>
      <c r="AK3" s="25" t="s">
        <v>61</v>
      </c>
      <c r="AL3" s="27" t="s">
        <v>63</v>
      </c>
    </row>
    <row r="4" spans="1:38" ht="15.15" thickBot="1" x14ac:dyDescent="0.35">
      <c r="A4" s="29" t="s">
        <v>64</v>
      </c>
      <c r="B4" s="30">
        <v>44335</v>
      </c>
      <c r="C4" s="29">
        <v>900</v>
      </c>
      <c r="D4" s="23" t="s">
        <v>65</v>
      </c>
      <c r="E4" s="30">
        <v>44406</v>
      </c>
      <c r="F4" s="24">
        <v>100</v>
      </c>
      <c r="G4" s="31">
        <v>17.655921936035156</v>
      </c>
      <c r="H4" s="31">
        <v>317818.28125</v>
      </c>
      <c r="I4" s="31">
        <f t="shared" ref="I4:I42" si="0">H4-$H$242</f>
        <v>304835.64269612631</v>
      </c>
      <c r="J4" s="31">
        <f>(I4*$F4)/$C4</f>
        <v>33870.626966236254</v>
      </c>
      <c r="K4" s="31">
        <v>20.962043762207031</v>
      </c>
      <c r="L4" s="31">
        <v>36125.6328125</v>
      </c>
      <c r="M4" s="31">
        <f t="shared" ref="M4:M42" si="1">L4-$H$242</f>
        <v>23142.994258626302</v>
      </c>
      <c r="N4" s="32">
        <f>(M4*($F4*10))/($C4)</f>
        <v>25714.438065140333</v>
      </c>
      <c r="O4" s="31">
        <v>28.69841194152832</v>
      </c>
      <c r="P4" s="31">
        <v>481.86752319335938</v>
      </c>
      <c r="Q4" s="31">
        <f>(P4*$F4)/$C4</f>
        <v>53.540835910373261</v>
      </c>
      <c r="R4" s="31">
        <v>31.539279937744141</v>
      </c>
      <c r="S4" s="31">
        <v>63.751411437988281</v>
      </c>
      <c r="T4" s="32">
        <f>(S4*($F4*10))/($C4)</f>
        <v>70.834901597764755</v>
      </c>
      <c r="U4" s="31">
        <v>32.052833557128906</v>
      </c>
      <c r="V4" s="31">
        <v>7.8383822441101074</v>
      </c>
      <c r="W4" s="31">
        <f>(V4*$F4)/$C4</f>
        <v>0.87093136045667863</v>
      </c>
      <c r="X4" s="31">
        <v>34.321857452392578</v>
      </c>
      <c r="Y4" s="31">
        <v>1.7845737934112549</v>
      </c>
      <c r="Z4" s="32">
        <f>(Y4*($F4*10))/($C4)</f>
        <v>1.9828597704569499</v>
      </c>
      <c r="AA4" s="31">
        <v>30.98675537109375</v>
      </c>
      <c r="AB4" s="31">
        <v>1.45326828956604</v>
      </c>
      <c r="AC4" s="31">
        <f>(AB4*$F4)/$C4</f>
        <v>0.16147425439622667</v>
      </c>
      <c r="AD4" s="31" t="s">
        <v>66</v>
      </c>
      <c r="AE4" s="31"/>
      <c r="AF4" s="32">
        <f>(AE4*($F4*10))/($C4)</f>
        <v>0</v>
      </c>
      <c r="AG4" t="s">
        <v>66</v>
      </c>
      <c r="AH4" s="31"/>
      <c r="AI4" s="31">
        <f>(AH4*$F4)/$C4</f>
        <v>0</v>
      </c>
      <c r="AJ4" s="31">
        <v>37.526649475097656</v>
      </c>
      <c r="AK4" s="31">
        <v>0.632254958152771</v>
      </c>
      <c r="AL4" s="32">
        <f>(AK4*($F4*10))/($C4)</f>
        <v>0.7025055090586344</v>
      </c>
    </row>
    <row r="5" spans="1:38" ht="15.15" thickBot="1" x14ac:dyDescent="0.35">
      <c r="A5" s="33" t="s">
        <v>67</v>
      </c>
      <c r="B5" s="30">
        <v>44335</v>
      </c>
      <c r="C5" s="33">
        <v>960</v>
      </c>
      <c r="D5" s="23" t="s">
        <v>65</v>
      </c>
      <c r="E5" s="30">
        <v>44406</v>
      </c>
      <c r="F5" s="24">
        <v>100</v>
      </c>
      <c r="G5" s="31">
        <v>17.716598510742188</v>
      </c>
      <c r="H5" s="31">
        <v>305384.625</v>
      </c>
      <c r="I5" s="31">
        <f t="shared" si="0"/>
        <v>292401.98644612631</v>
      </c>
      <c r="J5" s="31">
        <f>(I5*$F5)/$C5</f>
        <v>30458.540254804822</v>
      </c>
      <c r="K5" s="31">
        <v>20.899068832397461</v>
      </c>
      <c r="L5" s="31">
        <v>37653.35546875</v>
      </c>
      <c r="M5" s="31">
        <f t="shared" si="1"/>
        <v>24670.716914876302</v>
      </c>
      <c r="N5" s="32">
        <f t="shared" ref="N5:N65" si="2">(M5*($F5*10))/($C5)</f>
        <v>25698.663452996148</v>
      </c>
      <c r="O5" s="31">
        <v>29.210968017578125</v>
      </c>
      <c r="P5" s="31">
        <v>334.53213500976563</v>
      </c>
      <c r="Q5" s="31">
        <f t="shared" ref="Q5:Q65" si="3">(P5*$F5)/$C5</f>
        <v>34.847097396850586</v>
      </c>
      <c r="R5" s="31">
        <v>32.620658874511719</v>
      </c>
      <c r="S5" s="31">
        <v>29.519681930541992</v>
      </c>
      <c r="T5" s="32">
        <f t="shared" ref="T5:T65" si="4">(S5*($F5*10))/($C5)</f>
        <v>30.749668677647907</v>
      </c>
      <c r="U5" s="31">
        <v>31.677692413330078</v>
      </c>
      <c r="V5" s="31">
        <v>10.011142730712891</v>
      </c>
      <c r="W5" s="31">
        <f t="shared" ref="W5:W65" si="5">(V5*$F5)/$C5</f>
        <v>1.0428273677825928</v>
      </c>
      <c r="X5" s="31">
        <v>34.914299011230469</v>
      </c>
      <c r="Y5" s="31">
        <v>1.2126286029815674</v>
      </c>
      <c r="Z5" s="32">
        <f t="shared" ref="Z5:Z65" si="6">(Y5*($F5*10))/($C5)</f>
        <v>1.2631547947724659</v>
      </c>
      <c r="AA5" s="31">
        <v>29.860187530517578</v>
      </c>
      <c r="AB5" s="31">
        <v>3.0521073341369629</v>
      </c>
      <c r="AC5" s="31">
        <f t="shared" ref="AC5:AC65" si="7">(AB5*$F5)/$C5</f>
        <v>0.31792784730593365</v>
      </c>
      <c r="AD5" t="s">
        <v>66</v>
      </c>
      <c r="AF5" s="32">
        <f t="shared" ref="AF5:AF65" si="8">(AE5*($F5*10))/($C5)</f>
        <v>0</v>
      </c>
      <c r="AG5" t="s">
        <v>66</v>
      </c>
      <c r="AI5" s="31">
        <f t="shared" ref="AI5:AI65" si="9">(AH5*$F5)/$C5</f>
        <v>0</v>
      </c>
      <c r="AJ5" s="31">
        <v>37.114276885986328</v>
      </c>
      <c r="AK5" s="31">
        <v>0.81664800643920898</v>
      </c>
      <c r="AL5" s="32">
        <f t="shared" ref="AL5:AL65" si="10">(AK5*($F5*10))/($C5)</f>
        <v>0.8506750067075094</v>
      </c>
    </row>
    <row r="6" spans="1:38" ht="15.15" thickBot="1" x14ac:dyDescent="0.35">
      <c r="A6" s="33" t="s">
        <v>68</v>
      </c>
      <c r="B6" s="30">
        <v>44335</v>
      </c>
      <c r="C6" s="33">
        <v>850</v>
      </c>
      <c r="D6" s="23" t="s">
        <v>65</v>
      </c>
      <c r="E6" s="30">
        <v>44406</v>
      </c>
      <c r="F6" s="24">
        <v>100</v>
      </c>
      <c r="G6" s="31">
        <v>17.11353874206543</v>
      </c>
      <c r="H6" s="31">
        <v>454052.09375</v>
      </c>
      <c r="I6" s="31">
        <f t="shared" si="0"/>
        <v>441069.45519612631</v>
      </c>
      <c r="J6" s="31">
        <f t="shared" ref="J6:J64" si="11">(I6*$F6)/$C6</f>
        <v>51890.524140720743</v>
      </c>
      <c r="K6" s="31">
        <v>20.087358474731445</v>
      </c>
      <c r="L6" s="31">
        <v>64218.671875</v>
      </c>
      <c r="M6" s="31">
        <f t="shared" si="1"/>
        <v>51236.033321126306</v>
      </c>
      <c r="N6" s="32">
        <f t="shared" si="2"/>
        <v>60277.686260148592</v>
      </c>
      <c r="O6" s="31">
        <v>27.88972282409668</v>
      </c>
      <c r="P6" s="31">
        <v>857.010498046875</v>
      </c>
      <c r="Q6" s="31">
        <f t="shared" si="3"/>
        <v>100.82476447610294</v>
      </c>
      <c r="R6" s="31">
        <v>30.655202865600586</v>
      </c>
      <c r="S6" s="31">
        <v>119.63529968261719</v>
      </c>
      <c r="T6" s="32">
        <f t="shared" si="4"/>
        <v>140.74741139131433</v>
      </c>
      <c r="U6" s="31">
        <v>31.491466522216797</v>
      </c>
      <c r="V6" s="31">
        <v>11.303980827331543</v>
      </c>
      <c r="W6" s="31">
        <f t="shared" si="5"/>
        <v>1.3298800973331226</v>
      </c>
      <c r="X6" s="31">
        <v>34.990257263183594</v>
      </c>
      <c r="Y6" s="31">
        <v>1.1540188789367676</v>
      </c>
      <c r="Z6" s="32">
        <f t="shared" si="6"/>
        <v>1.3576692693373735</v>
      </c>
      <c r="AA6" s="31">
        <v>28.467479705810547</v>
      </c>
      <c r="AB6" s="31">
        <v>7.638059139251709</v>
      </c>
      <c r="AC6" s="31">
        <f t="shared" si="7"/>
        <v>0.89859519285314227</v>
      </c>
      <c r="AD6" t="s">
        <v>66</v>
      </c>
      <c r="AF6" s="32">
        <f t="shared" si="8"/>
        <v>0</v>
      </c>
      <c r="AG6" s="31">
        <v>37.339405059814453</v>
      </c>
      <c r="AH6" s="31">
        <v>0.71016353368759155</v>
      </c>
      <c r="AI6" s="31">
        <f t="shared" si="9"/>
        <v>8.3548651022069598E-2</v>
      </c>
      <c r="AJ6" t="s">
        <v>66</v>
      </c>
      <c r="AL6" s="32">
        <f t="shared" si="10"/>
        <v>0</v>
      </c>
    </row>
    <row r="7" spans="1:38" ht="15.15" thickBot="1" x14ac:dyDescent="0.35">
      <c r="A7" s="33" t="s">
        <v>69</v>
      </c>
      <c r="B7" s="30">
        <v>44335</v>
      </c>
      <c r="C7" s="33">
        <v>960</v>
      </c>
      <c r="D7" s="23" t="s">
        <v>65</v>
      </c>
      <c r="E7" s="30">
        <v>44406</v>
      </c>
      <c r="F7" s="24">
        <v>100</v>
      </c>
      <c r="G7" s="31">
        <v>15.104617118835449</v>
      </c>
      <c r="H7" s="31">
        <v>1701906.625</v>
      </c>
      <c r="I7" s="31">
        <f t="shared" si="0"/>
        <v>1688923.9864461264</v>
      </c>
      <c r="J7" s="31">
        <f t="shared" si="11"/>
        <v>175929.58192147149</v>
      </c>
      <c r="K7" s="31">
        <v>18.629159927368164</v>
      </c>
      <c r="L7" s="31">
        <v>167564.640625</v>
      </c>
      <c r="M7" s="31">
        <f t="shared" si="1"/>
        <v>154582.00207112631</v>
      </c>
      <c r="N7" s="32">
        <f t="shared" si="2"/>
        <v>161022.91882408989</v>
      </c>
      <c r="O7" s="31">
        <v>26.403478622436523</v>
      </c>
      <c r="P7" s="31">
        <v>2469.190185546875</v>
      </c>
      <c r="Q7" s="31">
        <f t="shared" si="3"/>
        <v>257.20731099446613</v>
      </c>
      <c r="R7" s="31">
        <v>29.76582145690918</v>
      </c>
      <c r="S7" s="31">
        <v>225.35597229003906</v>
      </c>
      <c r="T7" s="32">
        <f t="shared" si="4"/>
        <v>234.74580446879068</v>
      </c>
      <c r="U7" s="31">
        <v>30.746095657348633</v>
      </c>
      <c r="V7" s="31">
        <v>18.380390167236328</v>
      </c>
      <c r="W7" s="31">
        <f t="shared" si="5"/>
        <v>1.9146239757537842</v>
      </c>
      <c r="X7" s="31">
        <v>33.676994323730469</v>
      </c>
      <c r="Y7" s="31">
        <v>2.7176241874694824</v>
      </c>
      <c r="Z7" s="32">
        <f t="shared" si="6"/>
        <v>2.8308585286140442</v>
      </c>
      <c r="AA7" s="31">
        <v>28.782886505126953</v>
      </c>
      <c r="AB7" s="31">
        <v>6.2052760124206543</v>
      </c>
      <c r="AC7" s="31">
        <f t="shared" si="7"/>
        <v>0.64638291796048486</v>
      </c>
      <c r="AD7" s="31">
        <v>32.11614990234375</v>
      </c>
      <c r="AE7" s="31">
        <v>0.69069004058837891</v>
      </c>
      <c r="AF7" s="32">
        <f t="shared" si="8"/>
        <v>0.7194687922795614</v>
      </c>
      <c r="AG7" s="31">
        <v>36.029151916503906</v>
      </c>
      <c r="AH7" s="31">
        <v>1.601392388343811</v>
      </c>
      <c r="AI7" s="31">
        <f t="shared" si="9"/>
        <v>0.16681170711914697</v>
      </c>
      <c r="AJ7" t="s">
        <v>66</v>
      </c>
      <c r="AL7" s="32">
        <f t="shared" si="10"/>
        <v>0</v>
      </c>
    </row>
    <row r="8" spans="1:38" ht="15.15" thickBot="1" x14ac:dyDescent="0.35">
      <c r="A8" s="33" t="s">
        <v>70</v>
      </c>
      <c r="B8" s="30">
        <v>44335</v>
      </c>
      <c r="C8" s="33">
        <v>980</v>
      </c>
      <c r="D8" s="23" t="s">
        <v>65</v>
      </c>
      <c r="E8" s="30">
        <v>44406</v>
      </c>
      <c r="F8" s="24">
        <v>100</v>
      </c>
      <c r="G8" s="31">
        <v>15.26304817199707</v>
      </c>
      <c r="H8" s="31">
        <v>1533491.375</v>
      </c>
      <c r="I8" s="31">
        <f t="shared" si="0"/>
        <v>1520508.7364461264</v>
      </c>
      <c r="J8" s="31">
        <f t="shared" si="11"/>
        <v>155153.95269858433</v>
      </c>
      <c r="K8" s="31">
        <v>18.568704605102539</v>
      </c>
      <c r="L8" s="31">
        <v>174361.609375</v>
      </c>
      <c r="M8" s="31">
        <f t="shared" si="1"/>
        <v>161378.97082112631</v>
      </c>
      <c r="N8" s="32">
        <f t="shared" si="2"/>
        <v>164672.41920523092</v>
      </c>
      <c r="O8" s="31">
        <v>25.819942474365234</v>
      </c>
      <c r="P8" s="31">
        <v>3741.040771484375</v>
      </c>
      <c r="Q8" s="31">
        <f t="shared" si="3"/>
        <v>381.73885423309952</v>
      </c>
      <c r="R8" s="31">
        <v>28.937826156616211</v>
      </c>
      <c r="S8" s="31">
        <v>406.34722900390625</v>
      </c>
      <c r="T8" s="32">
        <f t="shared" si="4"/>
        <v>414.64002959582268</v>
      </c>
      <c r="U8" s="31">
        <v>28.981958389282227</v>
      </c>
      <c r="V8" s="31">
        <v>58.081729888916016</v>
      </c>
      <c r="W8" s="31">
        <f t="shared" si="5"/>
        <v>5.9267071315220425</v>
      </c>
      <c r="X8" s="31">
        <v>32.553752899169922</v>
      </c>
      <c r="Y8" s="31">
        <v>5.6538338661193848</v>
      </c>
      <c r="Z8" s="32">
        <f t="shared" si="6"/>
        <v>5.769218230734066</v>
      </c>
      <c r="AA8" s="31">
        <v>26.791070938110352</v>
      </c>
      <c r="AB8" s="31">
        <v>23.041921615600586</v>
      </c>
      <c r="AC8" s="31">
        <f t="shared" si="7"/>
        <v>2.3512164913878149</v>
      </c>
      <c r="AD8" s="31">
        <v>29.12013053894043</v>
      </c>
      <c r="AE8" s="31">
        <v>4.9692707061767578</v>
      </c>
      <c r="AF8" s="32">
        <f t="shared" si="8"/>
        <v>5.070684394057916</v>
      </c>
      <c r="AG8" s="31">
        <v>28.006856918334961</v>
      </c>
      <c r="AH8" s="31">
        <v>232.63047790527344</v>
      </c>
      <c r="AI8" s="31">
        <f t="shared" si="9"/>
        <v>23.737803867885045</v>
      </c>
      <c r="AJ8" s="31">
        <v>31.145301818847656</v>
      </c>
      <c r="AK8" s="31">
        <v>33.173629760742188</v>
      </c>
      <c r="AL8" s="32">
        <f t="shared" si="10"/>
        <v>33.850642613002229</v>
      </c>
    </row>
    <row r="9" spans="1:38" ht="15.15" thickBot="1" x14ac:dyDescent="0.35">
      <c r="A9" s="33" t="s">
        <v>71</v>
      </c>
      <c r="B9" s="30">
        <v>44335</v>
      </c>
      <c r="C9" s="33">
        <v>940</v>
      </c>
      <c r="D9" s="23" t="s">
        <v>65</v>
      </c>
      <c r="E9" s="30">
        <v>44406</v>
      </c>
      <c r="F9" s="24">
        <v>100</v>
      </c>
      <c r="G9" s="31">
        <v>15.260120391845703</v>
      </c>
      <c r="H9" s="31">
        <v>1536447.25</v>
      </c>
      <c r="I9" s="31">
        <f t="shared" si="0"/>
        <v>1523464.6114461264</v>
      </c>
      <c r="J9" s="31">
        <f t="shared" si="11"/>
        <v>162070.70334533259</v>
      </c>
      <c r="K9" s="31">
        <v>18.457422256469727</v>
      </c>
      <c r="L9" s="31">
        <v>187602.09375</v>
      </c>
      <c r="M9" s="31">
        <f t="shared" si="1"/>
        <v>174619.45519612631</v>
      </c>
      <c r="N9" s="32">
        <f t="shared" si="2"/>
        <v>185765.37786821948</v>
      </c>
      <c r="O9" s="31">
        <v>25.535945892333984</v>
      </c>
      <c r="P9" s="31">
        <v>4579.3974609375</v>
      </c>
      <c r="Q9" s="31">
        <f t="shared" si="3"/>
        <v>487.16994265292556</v>
      </c>
      <c r="R9" s="31">
        <v>28.801225662231445</v>
      </c>
      <c r="S9" s="31">
        <v>447.85369873046875</v>
      </c>
      <c r="T9" s="32">
        <f t="shared" si="4"/>
        <v>476.44010503241356</v>
      </c>
      <c r="U9" s="31">
        <v>29.252632141113281</v>
      </c>
      <c r="V9" s="31">
        <v>48.68243408203125</v>
      </c>
      <c r="W9" s="31">
        <f t="shared" si="5"/>
        <v>5.1789823491522604</v>
      </c>
      <c r="X9" s="31">
        <v>32.720916748046875</v>
      </c>
      <c r="Y9" s="31">
        <v>5.0698432922363281</v>
      </c>
      <c r="Z9" s="32">
        <f t="shared" si="6"/>
        <v>5.3934503108897109</v>
      </c>
      <c r="AA9" s="31">
        <v>26.652378082275391</v>
      </c>
      <c r="AB9" s="31">
        <v>25.245948791503906</v>
      </c>
      <c r="AC9" s="31">
        <f t="shared" si="7"/>
        <v>2.6857392331387135</v>
      </c>
      <c r="AD9" s="31">
        <v>29.28449821472168</v>
      </c>
      <c r="AE9" s="31">
        <v>4.4593892097473145</v>
      </c>
      <c r="AF9" s="32">
        <f>(AE9*($F9*10))/($C9)</f>
        <v>4.7440310741992704</v>
      </c>
      <c r="AG9" s="31">
        <v>28.886772155761719</v>
      </c>
      <c r="AH9" s="31">
        <v>134.7447509765625</v>
      </c>
      <c r="AI9" s="31">
        <f t="shared" si="9"/>
        <v>14.334547976230054</v>
      </c>
      <c r="AJ9" s="31">
        <v>32.823112487792969</v>
      </c>
      <c r="AK9" s="31">
        <v>11.710878372192383</v>
      </c>
      <c r="AL9" s="32">
        <f t="shared" si="10"/>
        <v>12.458381247013174</v>
      </c>
    </row>
    <row r="10" spans="1:38" ht="15.15" thickBot="1" x14ac:dyDescent="0.35">
      <c r="A10" s="33" t="s">
        <v>72</v>
      </c>
      <c r="B10" s="30">
        <v>44335</v>
      </c>
      <c r="C10" s="33">
        <v>900</v>
      </c>
      <c r="D10" s="23" t="s">
        <v>65</v>
      </c>
      <c r="E10" s="30">
        <v>44406</v>
      </c>
      <c r="F10" s="24">
        <v>100</v>
      </c>
      <c r="G10" s="31">
        <v>18.155811309814453</v>
      </c>
      <c r="H10" s="31">
        <v>228765.25</v>
      </c>
      <c r="I10" s="31">
        <f t="shared" si="0"/>
        <v>215782.61144612631</v>
      </c>
      <c r="J10" s="31">
        <f t="shared" si="11"/>
        <v>23975.845716236254</v>
      </c>
      <c r="K10" s="31">
        <v>20.973480224609375</v>
      </c>
      <c r="L10" s="31">
        <v>35854.921875</v>
      </c>
      <c r="M10" s="31">
        <f t="shared" si="1"/>
        <v>22872.283321126302</v>
      </c>
      <c r="N10" s="32">
        <f t="shared" si="2"/>
        <v>25413.648134584779</v>
      </c>
      <c r="O10" s="31">
        <v>28.558364868164063</v>
      </c>
      <c r="P10" s="31">
        <v>532.39288330078125</v>
      </c>
      <c r="Q10" s="31">
        <f t="shared" si="3"/>
        <v>59.154764811197914</v>
      </c>
      <c r="R10" s="31">
        <v>31.714502334594727</v>
      </c>
      <c r="S10" s="31">
        <v>56.274089813232422</v>
      </c>
      <c r="T10" s="32">
        <f t="shared" si="4"/>
        <v>62.526766459147133</v>
      </c>
      <c r="U10" s="31">
        <v>26.087747573852539</v>
      </c>
      <c r="V10" s="31">
        <v>383.54220581054688</v>
      </c>
      <c r="W10" s="31">
        <f t="shared" si="5"/>
        <v>42.615800645616318</v>
      </c>
      <c r="X10" s="31">
        <v>29.136268615722656</v>
      </c>
      <c r="Y10" s="31">
        <v>52.520854949951172</v>
      </c>
      <c r="Z10" s="32">
        <f t="shared" si="6"/>
        <v>58.356505499945747</v>
      </c>
      <c r="AA10" s="31">
        <v>28.928619384765625</v>
      </c>
      <c r="AB10" s="31">
        <v>5.6373410224914551</v>
      </c>
      <c r="AC10" s="31">
        <f>(AB10*$F10)/$C10</f>
        <v>0.62637122472127282</v>
      </c>
      <c r="AD10" s="31">
        <v>31.634092330932617</v>
      </c>
      <c r="AE10" s="31">
        <v>0.94880169630050659</v>
      </c>
      <c r="AF10" s="32">
        <f t="shared" si="8"/>
        <v>1.0542241070005629</v>
      </c>
      <c r="AG10" s="31">
        <v>33.909873962402344</v>
      </c>
      <c r="AH10" s="31">
        <v>5.966031551361084</v>
      </c>
      <c r="AI10" s="31">
        <f t="shared" si="9"/>
        <v>0.66289239459567595</v>
      </c>
      <c r="AJ10" t="s">
        <v>66</v>
      </c>
      <c r="AL10" s="32">
        <f t="shared" si="10"/>
        <v>0</v>
      </c>
    </row>
    <row r="11" spans="1:38" ht="15.15" thickBot="1" x14ac:dyDescent="0.35">
      <c r="A11" s="33" t="s">
        <v>73</v>
      </c>
      <c r="B11" s="30">
        <v>44335</v>
      </c>
      <c r="C11" s="33">
        <v>900</v>
      </c>
      <c r="D11" s="23" t="s">
        <v>65</v>
      </c>
      <c r="E11" s="30">
        <v>44406</v>
      </c>
      <c r="F11" s="24">
        <v>100</v>
      </c>
      <c r="G11" s="31">
        <v>18.191873550415039</v>
      </c>
      <c r="H11" s="31">
        <v>223403.109375</v>
      </c>
      <c r="I11" s="31">
        <f t="shared" si="0"/>
        <v>210420.47082112631</v>
      </c>
      <c r="J11" s="31">
        <f t="shared" si="11"/>
        <v>23380.052313458476</v>
      </c>
      <c r="K11" s="31">
        <v>20.692583084106445</v>
      </c>
      <c r="L11" s="31">
        <v>43130.49609375</v>
      </c>
      <c r="M11" s="31">
        <f t="shared" si="1"/>
        <v>30147.857539876302</v>
      </c>
      <c r="N11" s="32">
        <f t="shared" si="2"/>
        <v>33497.619488751443</v>
      </c>
      <c r="O11" s="31">
        <v>28.77330207824707</v>
      </c>
      <c r="P11" s="31">
        <v>456.84674072265625</v>
      </c>
      <c r="Q11" s="31">
        <f t="shared" si="3"/>
        <v>50.760748969184029</v>
      </c>
      <c r="R11" s="31">
        <v>31.725141525268555</v>
      </c>
      <c r="S11" s="31">
        <v>55.849422454833984</v>
      </c>
      <c r="T11" s="32">
        <f t="shared" si="4"/>
        <v>62.054913838704429</v>
      </c>
      <c r="U11" s="31">
        <v>28.609855651855469</v>
      </c>
      <c r="V11" s="31">
        <v>74.034843444824219</v>
      </c>
      <c r="W11" s="31">
        <f t="shared" si="5"/>
        <v>8.2260937160915795</v>
      </c>
      <c r="X11" s="31">
        <v>32.062442779541016</v>
      </c>
      <c r="Y11" s="31">
        <v>7.7894120216369629</v>
      </c>
      <c r="Z11" s="32">
        <f t="shared" si="6"/>
        <v>8.6549022462632923</v>
      </c>
      <c r="AA11" s="31">
        <v>29.303291320800781</v>
      </c>
      <c r="AB11" s="31">
        <v>4.4045305252075195</v>
      </c>
      <c r="AC11" s="31">
        <f t="shared" si="7"/>
        <v>0.48939228057861328</v>
      </c>
      <c r="AD11" s="31">
        <v>31.95135498046875</v>
      </c>
      <c r="AE11" s="31">
        <v>0.76987934112548828</v>
      </c>
      <c r="AF11" s="32">
        <f t="shared" si="8"/>
        <v>0.85542149013943147</v>
      </c>
      <c r="AG11" s="31">
        <v>37.901760101318359</v>
      </c>
      <c r="AH11" s="31">
        <v>0.50094777345657349</v>
      </c>
      <c r="AI11" s="31">
        <f t="shared" si="9"/>
        <v>5.5660863717397056E-2</v>
      </c>
      <c r="AJ11" t="s">
        <v>66</v>
      </c>
      <c r="AL11" s="32">
        <f t="shared" si="10"/>
        <v>0</v>
      </c>
    </row>
    <row r="12" spans="1:38" ht="15.15" thickBot="1" x14ac:dyDescent="0.35">
      <c r="A12" s="33" t="s">
        <v>74</v>
      </c>
      <c r="B12" s="30">
        <v>44335</v>
      </c>
      <c r="C12" s="33">
        <v>820</v>
      </c>
      <c r="D12" s="23" t="s">
        <v>65</v>
      </c>
      <c r="E12" s="30">
        <v>44406</v>
      </c>
      <c r="F12" s="24">
        <v>100</v>
      </c>
      <c r="G12" s="31">
        <v>18.217311859130859</v>
      </c>
      <c r="H12" s="31">
        <v>219696.4375</v>
      </c>
      <c r="I12" s="31">
        <f t="shared" si="0"/>
        <v>206713.79894612631</v>
      </c>
      <c r="J12" s="31">
        <f t="shared" si="11"/>
        <v>25208.999871478816</v>
      </c>
      <c r="K12" s="31">
        <v>21.312290191650391</v>
      </c>
      <c r="L12" s="31">
        <v>28692.66015625</v>
      </c>
      <c r="M12" s="31">
        <f t="shared" si="1"/>
        <v>15710.021602376302</v>
      </c>
      <c r="N12" s="32">
        <f t="shared" si="2"/>
        <v>19158.562929727199</v>
      </c>
      <c r="O12" s="31">
        <v>27.574007034301758</v>
      </c>
      <c r="P12" s="31">
        <v>1073.0255126953125</v>
      </c>
      <c r="Q12" s="31">
        <f t="shared" si="3"/>
        <v>130.85676984089176</v>
      </c>
      <c r="R12" s="31">
        <v>30.853111267089844</v>
      </c>
      <c r="S12" s="31">
        <v>103.91139984130859</v>
      </c>
      <c r="T12" s="32">
        <f t="shared" si="4"/>
        <v>126.72121931866901</v>
      </c>
      <c r="U12" s="31">
        <v>31.511152267456055</v>
      </c>
      <c r="V12" s="31">
        <v>11.15977668762207</v>
      </c>
      <c r="W12" s="31">
        <f t="shared" si="5"/>
        <v>1.3609483765392769</v>
      </c>
      <c r="X12" s="31">
        <v>36.401603698730469</v>
      </c>
      <c r="Y12" s="31">
        <v>0.45967903733253479</v>
      </c>
      <c r="Z12" s="32">
        <f t="shared" si="6"/>
        <v>0.56058419186894481</v>
      </c>
      <c r="AA12" s="31">
        <v>28.978330612182617</v>
      </c>
      <c r="AB12" s="31">
        <v>5.45574951171875</v>
      </c>
      <c r="AC12" s="31">
        <f t="shared" si="7"/>
        <v>0.66533530630716464</v>
      </c>
      <c r="AD12" t="s">
        <v>66</v>
      </c>
      <c r="AF12" s="32">
        <f t="shared" si="8"/>
        <v>0</v>
      </c>
      <c r="AG12" t="s">
        <v>66</v>
      </c>
      <c r="AI12" s="31">
        <f t="shared" si="9"/>
        <v>0</v>
      </c>
      <c r="AJ12" s="31">
        <v>39.055450439453125</v>
      </c>
      <c r="AK12" s="31">
        <v>0.24482166767120361</v>
      </c>
      <c r="AL12" s="32">
        <f t="shared" si="10"/>
        <v>0.29856300935512636</v>
      </c>
    </row>
    <row r="13" spans="1:38" ht="15.15" thickBot="1" x14ac:dyDescent="0.35">
      <c r="A13" s="33" t="s">
        <v>75</v>
      </c>
      <c r="B13" s="30">
        <v>44335</v>
      </c>
      <c r="C13" s="33">
        <v>990</v>
      </c>
      <c r="D13" s="23" t="s">
        <v>65</v>
      </c>
      <c r="E13" s="30">
        <v>44406</v>
      </c>
      <c r="F13" s="24">
        <v>100</v>
      </c>
      <c r="G13" s="31">
        <v>17.972585678100586</v>
      </c>
      <c r="H13" s="31">
        <v>258063.625</v>
      </c>
      <c r="I13" s="31">
        <f t="shared" si="0"/>
        <v>245080.98644612631</v>
      </c>
      <c r="J13" s="31">
        <f t="shared" si="11"/>
        <v>24755.655196578413</v>
      </c>
      <c r="K13" s="31">
        <v>21.048732757568359</v>
      </c>
      <c r="L13" s="31">
        <v>34123.5</v>
      </c>
      <c r="M13" s="31">
        <f t="shared" si="1"/>
        <v>21140.861446126302</v>
      </c>
      <c r="N13" s="32">
        <f t="shared" si="2"/>
        <v>21354.405501137677</v>
      </c>
      <c r="O13" s="31">
        <v>27.385980606079102</v>
      </c>
      <c r="P13" s="31">
        <v>1226.7344970703125</v>
      </c>
      <c r="Q13" s="31">
        <f t="shared" si="3"/>
        <v>123.91257546164773</v>
      </c>
      <c r="R13" s="31">
        <v>30.394567489624023</v>
      </c>
      <c r="S13" s="31">
        <v>144.02955627441406</v>
      </c>
      <c r="T13" s="32">
        <f t="shared" si="4"/>
        <v>145.48440027718593</v>
      </c>
      <c r="U13" s="31">
        <v>31.801950454711914</v>
      </c>
      <c r="V13" s="31">
        <v>9.2318363189697266</v>
      </c>
      <c r="W13" s="31">
        <f t="shared" si="5"/>
        <v>0.93250871908785116</v>
      </c>
      <c r="X13" s="31">
        <v>33.384647369384766</v>
      </c>
      <c r="Y13" s="31">
        <v>3.2884821891784668</v>
      </c>
      <c r="Z13" s="32">
        <f t="shared" si="6"/>
        <v>3.3216991809883503</v>
      </c>
      <c r="AA13" s="31">
        <v>28.377798080444336</v>
      </c>
      <c r="AB13" s="31">
        <v>8.1028232574462891</v>
      </c>
      <c r="AC13" s="31">
        <f t="shared" si="7"/>
        <v>0.81846699570164538</v>
      </c>
      <c r="AD13" t="s">
        <v>66</v>
      </c>
      <c r="AF13" s="32">
        <f t="shared" si="8"/>
        <v>0</v>
      </c>
      <c r="AG13" s="31">
        <v>35.771099090576172</v>
      </c>
      <c r="AH13" s="31">
        <v>1.8795253038406372</v>
      </c>
      <c r="AI13" s="31">
        <f t="shared" si="9"/>
        <v>0.18985104079198356</v>
      </c>
      <c r="AJ13" t="s">
        <v>66</v>
      </c>
      <c r="AL13" s="32">
        <f t="shared" si="10"/>
        <v>0</v>
      </c>
    </row>
    <row r="14" spans="1:38" ht="15.15" thickBot="1" x14ac:dyDescent="0.35">
      <c r="A14" s="33" t="s">
        <v>76</v>
      </c>
      <c r="B14" s="30">
        <v>44335</v>
      </c>
      <c r="C14" s="33">
        <v>970</v>
      </c>
      <c r="D14" s="23" t="s">
        <v>65</v>
      </c>
      <c r="E14" s="30">
        <v>44406</v>
      </c>
      <c r="F14" s="24">
        <v>100</v>
      </c>
      <c r="G14" s="31">
        <v>14.414107322692871</v>
      </c>
      <c r="H14" s="31">
        <v>2680239</v>
      </c>
      <c r="I14" s="31">
        <f t="shared" si="0"/>
        <v>2667256.3614461264</v>
      </c>
      <c r="J14" s="31">
        <f t="shared" si="11"/>
        <v>274974.88262331201</v>
      </c>
      <c r="K14" s="31">
        <v>17.566396713256836</v>
      </c>
      <c r="L14" s="31">
        <v>337093.9375</v>
      </c>
      <c r="M14" s="31">
        <f t="shared" si="1"/>
        <v>324111.29894612631</v>
      </c>
      <c r="N14" s="32">
        <f t="shared" si="2"/>
        <v>334135.35973827454</v>
      </c>
      <c r="O14" s="31">
        <v>28.506610870361328</v>
      </c>
      <c r="P14" s="31">
        <v>552.376708984375</v>
      </c>
      <c r="Q14" s="31">
        <f t="shared" si="3"/>
        <v>56.946052472615982</v>
      </c>
      <c r="R14" s="31">
        <v>31.641054153442383</v>
      </c>
      <c r="S14" s="31">
        <v>59.29522705078125</v>
      </c>
      <c r="T14" s="32">
        <f t="shared" si="4"/>
        <v>61.129100052351802</v>
      </c>
      <c r="U14" s="31">
        <v>26.11491584777832</v>
      </c>
      <c r="V14" s="31">
        <v>376.80606079101563</v>
      </c>
      <c r="W14" s="31">
        <f t="shared" si="5"/>
        <v>38.845985648558312</v>
      </c>
      <c r="X14" s="31">
        <v>29.289247512817383</v>
      </c>
      <c r="Y14" s="31">
        <v>47.533645629882813</v>
      </c>
      <c r="Z14" s="32">
        <f t="shared" si="6"/>
        <v>49.003758381322484</v>
      </c>
      <c r="AA14" s="31">
        <v>28.686870574951172</v>
      </c>
      <c r="AB14" s="31">
        <v>6.6103792190551758</v>
      </c>
      <c r="AC14" s="31">
        <f t="shared" si="7"/>
        <v>0.68148239371702846</v>
      </c>
      <c r="AD14" t="s">
        <v>66</v>
      </c>
      <c r="AF14" s="32">
        <f t="shared" si="8"/>
        <v>0</v>
      </c>
      <c r="AG14" s="31">
        <v>24.872049331665039</v>
      </c>
      <c r="AH14" s="31">
        <v>1627.645751953125</v>
      </c>
      <c r="AI14" s="31">
        <f t="shared" si="9"/>
        <v>167.79853112918815</v>
      </c>
      <c r="AJ14" s="31">
        <v>28.7601318359375</v>
      </c>
      <c r="AK14" s="31">
        <v>145.76187133789063</v>
      </c>
      <c r="AL14" s="32">
        <f t="shared" si="10"/>
        <v>150.26997045143364</v>
      </c>
    </row>
    <row r="15" spans="1:38" ht="15.15" thickBot="1" x14ac:dyDescent="0.35">
      <c r="A15" s="33" t="s">
        <v>77</v>
      </c>
      <c r="B15" s="30">
        <v>44335</v>
      </c>
      <c r="C15" s="33">
        <v>960</v>
      </c>
      <c r="D15" s="23" t="s">
        <v>65</v>
      </c>
      <c r="E15" s="30">
        <v>44406</v>
      </c>
      <c r="F15" s="24">
        <v>100</v>
      </c>
      <c r="G15" s="31">
        <v>17.512794494628906</v>
      </c>
      <c r="H15" s="31">
        <v>349190.09375</v>
      </c>
      <c r="I15" s="31">
        <f t="shared" si="0"/>
        <v>336207.45519612631</v>
      </c>
      <c r="J15" s="31">
        <f t="shared" si="11"/>
        <v>35021.609916263158</v>
      </c>
      <c r="K15" s="31">
        <v>20.725961685180664</v>
      </c>
      <c r="L15" s="31">
        <v>42193.94921875</v>
      </c>
      <c r="M15" s="31">
        <f t="shared" si="1"/>
        <v>29211.310664876302</v>
      </c>
      <c r="N15" s="32">
        <f t="shared" si="2"/>
        <v>30428.448609246148</v>
      </c>
      <c r="O15" s="31">
        <v>28.001529693603516</v>
      </c>
      <c r="P15" s="31">
        <v>791.432373046875</v>
      </c>
      <c r="Q15" s="31">
        <f t="shared" si="3"/>
        <v>82.440872192382813</v>
      </c>
      <c r="R15" s="31">
        <v>31.140905380249023</v>
      </c>
      <c r="S15" s="31">
        <v>84.658981323242188</v>
      </c>
      <c r="T15" s="32">
        <f t="shared" si="4"/>
        <v>88.186438878377274</v>
      </c>
      <c r="U15" s="31">
        <v>28.478551864624023</v>
      </c>
      <c r="V15" s="31">
        <v>80.654281616210938</v>
      </c>
      <c r="W15" s="31">
        <f t="shared" si="5"/>
        <v>8.4014876683553066</v>
      </c>
      <c r="X15" s="31">
        <v>31.408246994018555</v>
      </c>
      <c r="Y15" s="31">
        <v>11.934466361999512</v>
      </c>
      <c r="Z15" s="32">
        <f t="shared" si="6"/>
        <v>12.431735793749491</v>
      </c>
      <c r="AA15" s="31">
        <v>28.879434585571289</v>
      </c>
      <c r="AB15" s="31">
        <v>5.8229570388793945</v>
      </c>
      <c r="AC15" s="31">
        <f t="shared" si="7"/>
        <v>0.60655802488327026</v>
      </c>
      <c r="AD15" s="31">
        <v>30.566520690917969</v>
      </c>
      <c r="AE15" s="31">
        <v>1.9166978597640991</v>
      </c>
      <c r="AF15" s="32">
        <f t="shared" si="8"/>
        <v>1.9965602705876033</v>
      </c>
      <c r="AG15" s="31">
        <v>26.44066047668457</v>
      </c>
      <c r="AH15" s="31">
        <v>614.87640380859375</v>
      </c>
      <c r="AI15" s="31">
        <f t="shared" si="9"/>
        <v>64.049625396728516</v>
      </c>
      <c r="AJ15" s="31">
        <v>31.744434356689453</v>
      </c>
      <c r="AK15" s="31">
        <v>22.872560501098633</v>
      </c>
      <c r="AL15" s="32">
        <f t="shared" si="10"/>
        <v>23.825583855311077</v>
      </c>
    </row>
    <row r="16" spans="1:38" ht="15.15" thickBot="1" x14ac:dyDescent="0.35">
      <c r="A16" s="33" t="s">
        <v>78</v>
      </c>
      <c r="B16" s="30">
        <v>44335</v>
      </c>
      <c r="C16" s="33">
        <v>900</v>
      </c>
      <c r="D16" s="23" t="s">
        <v>65</v>
      </c>
      <c r="E16" s="30">
        <v>44406</v>
      </c>
      <c r="F16" s="24">
        <v>100</v>
      </c>
      <c r="G16" s="31">
        <v>13.095625877380371</v>
      </c>
      <c r="H16" s="31">
        <v>6379485.5</v>
      </c>
      <c r="I16" s="31">
        <f t="shared" si="0"/>
        <v>6366502.8614461264</v>
      </c>
      <c r="J16" s="31">
        <f t="shared" si="11"/>
        <v>707389.2068273474</v>
      </c>
      <c r="K16" s="31">
        <v>15.347894668579102</v>
      </c>
      <c r="L16" s="31">
        <v>1450259.5</v>
      </c>
      <c r="M16" s="31">
        <f t="shared" si="1"/>
        <v>1437276.8614461264</v>
      </c>
      <c r="N16" s="32">
        <f t="shared" si="2"/>
        <v>1596974.290495696</v>
      </c>
      <c r="O16" s="31">
        <v>27.699651718139648</v>
      </c>
      <c r="P16" s="31">
        <v>981.20306396484375</v>
      </c>
      <c r="Q16" s="31">
        <f t="shared" si="3"/>
        <v>109.02256266276042</v>
      </c>
      <c r="R16" s="31">
        <v>30.816370010375977</v>
      </c>
      <c r="S16" s="31">
        <v>106.66553497314453</v>
      </c>
      <c r="T16" s="32">
        <f t="shared" si="4"/>
        <v>118.5172610812717</v>
      </c>
      <c r="U16" s="31">
        <v>22.613681793212891</v>
      </c>
      <c r="V16" s="31">
        <v>3696.82080078125</v>
      </c>
      <c r="W16" s="31">
        <f t="shared" si="5"/>
        <v>410.75786675347223</v>
      </c>
      <c r="X16" s="31">
        <v>25.518779754638672</v>
      </c>
      <c r="Y16" s="31">
        <v>555.8671875</v>
      </c>
      <c r="Z16" s="32">
        <f t="shared" si="6"/>
        <v>617.63020833333337</v>
      </c>
      <c r="AA16" s="31">
        <v>30.699953079223633</v>
      </c>
      <c r="AB16" s="31">
        <v>1.7554376125335693</v>
      </c>
      <c r="AC16" s="31">
        <f t="shared" si="7"/>
        <v>0.19504862361484104</v>
      </c>
      <c r="AD16" s="31">
        <v>31.885061264038086</v>
      </c>
      <c r="AE16" s="31">
        <v>0.80424052476882935</v>
      </c>
      <c r="AF16" s="32">
        <f t="shared" si="8"/>
        <v>0.89360058307647705</v>
      </c>
      <c r="AG16" s="31">
        <v>18.709680557250977</v>
      </c>
      <c r="AH16" s="31">
        <v>74548.9296875</v>
      </c>
      <c r="AI16" s="31">
        <f t="shared" si="9"/>
        <v>8283.2144097222226</v>
      </c>
      <c r="AJ16" s="31">
        <v>21.012155532836914</v>
      </c>
      <c r="AK16" s="31">
        <v>17859.875</v>
      </c>
      <c r="AL16" s="32">
        <f t="shared" si="10"/>
        <v>19844.305555555555</v>
      </c>
    </row>
    <row r="17" spans="1:38" ht="15.15" thickBot="1" x14ac:dyDescent="0.35">
      <c r="A17" s="33" t="s">
        <v>79</v>
      </c>
      <c r="B17" s="30">
        <v>44335</v>
      </c>
      <c r="C17" s="33">
        <v>930</v>
      </c>
      <c r="D17" s="23" t="s">
        <v>65</v>
      </c>
      <c r="E17" s="30">
        <v>44406</v>
      </c>
      <c r="F17" s="24">
        <v>100</v>
      </c>
      <c r="G17" s="31">
        <v>14.033653259277344</v>
      </c>
      <c r="H17" s="31">
        <v>3442284.25</v>
      </c>
      <c r="I17" s="31">
        <f t="shared" si="0"/>
        <v>3429301.6114461264</v>
      </c>
      <c r="J17" s="31">
        <f t="shared" si="11"/>
        <v>368742.10875764798</v>
      </c>
      <c r="K17" s="31">
        <v>16.655725479125977</v>
      </c>
      <c r="L17" s="31">
        <v>613586.5625</v>
      </c>
      <c r="M17" s="31">
        <f t="shared" si="1"/>
        <v>600603.92394612625</v>
      </c>
      <c r="N17" s="32">
        <f t="shared" si="2"/>
        <v>645810.67090981314</v>
      </c>
      <c r="O17" s="31">
        <v>28.887002944946289</v>
      </c>
      <c r="P17" s="31">
        <v>421.32049560546875</v>
      </c>
      <c r="Q17" s="31">
        <f t="shared" si="3"/>
        <v>45.303279097362228</v>
      </c>
      <c r="R17" s="31">
        <v>32.094371795654297</v>
      </c>
      <c r="S17" s="31">
        <v>42.938545227050781</v>
      </c>
      <c r="T17" s="32">
        <f t="shared" si="4"/>
        <v>46.170478738764281</v>
      </c>
      <c r="U17" s="31">
        <v>22.478057861328125</v>
      </c>
      <c r="V17" s="31">
        <v>4038.71630859375</v>
      </c>
      <c r="W17" s="31">
        <f t="shared" si="5"/>
        <v>434.27057081653226</v>
      </c>
      <c r="X17" s="31">
        <v>25.783369064331055</v>
      </c>
      <c r="Y17" s="31">
        <v>467.764404296875</v>
      </c>
      <c r="Z17" s="32">
        <f t="shared" si="6"/>
        <v>502.97247773857526</v>
      </c>
      <c r="AA17" s="31">
        <v>31.274370193481445</v>
      </c>
      <c r="AB17" s="31">
        <v>1.2024686336517334</v>
      </c>
      <c r="AC17" s="31">
        <f t="shared" si="7"/>
        <v>0.12929770254319714</v>
      </c>
      <c r="AD17" t="s">
        <v>66</v>
      </c>
      <c r="AF17" s="32">
        <f t="shared" si="8"/>
        <v>0</v>
      </c>
      <c r="AG17" s="31">
        <v>20.656650543212891</v>
      </c>
      <c r="AH17" s="31">
        <v>22268.662109375</v>
      </c>
      <c r="AI17" s="31">
        <f t="shared" si="9"/>
        <v>2394.4797967069894</v>
      </c>
      <c r="AJ17" s="31">
        <v>23.476823806762695</v>
      </c>
      <c r="AK17" s="31">
        <v>3869.020751953125</v>
      </c>
      <c r="AL17" s="32">
        <f t="shared" si="10"/>
        <v>4160.2373676915322</v>
      </c>
    </row>
    <row r="18" spans="1:38" ht="15.15" thickBot="1" x14ac:dyDescent="0.35">
      <c r="A18" s="33" t="s">
        <v>80</v>
      </c>
      <c r="B18" s="30">
        <v>44335</v>
      </c>
      <c r="C18" s="33">
        <v>1000</v>
      </c>
      <c r="D18" s="23" t="s">
        <v>65</v>
      </c>
      <c r="E18" s="30">
        <v>44406</v>
      </c>
      <c r="F18" s="24">
        <v>100</v>
      </c>
      <c r="G18" s="31">
        <v>18.736507415771484</v>
      </c>
      <c r="H18" s="31">
        <v>156141.9375</v>
      </c>
      <c r="I18" s="31">
        <f t="shared" si="0"/>
        <v>143159.29894612631</v>
      </c>
      <c r="J18" s="31">
        <f t="shared" si="11"/>
        <v>14315.929894612631</v>
      </c>
      <c r="K18" s="31">
        <v>22.218088150024414</v>
      </c>
      <c r="L18" s="31">
        <v>15813.861328125</v>
      </c>
      <c r="M18" s="31">
        <f t="shared" si="1"/>
        <v>2831.2227742513023</v>
      </c>
      <c r="N18" s="32">
        <f t="shared" si="2"/>
        <v>2831.2227742513023</v>
      </c>
      <c r="O18" s="31">
        <v>28.67108154296875</v>
      </c>
      <c r="P18" s="31">
        <v>491.33602905273438</v>
      </c>
      <c r="Q18" s="31">
        <f t="shared" si="3"/>
        <v>49.133602905273435</v>
      </c>
      <c r="R18" s="31">
        <v>32.215251922607422</v>
      </c>
      <c r="S18" s="31">
        <v>39.397567749023438</v>
      </c>
      <c r="T18" s="32">
        <f t="shared" si="4"/>
        <v>39.397567749023438</v>
      </c>
      <c r="U18" s="31">
        <v>32.866687774658203</v>
      </c>
      <c r="V18" s="31">
        <v>4.6100482940673828</v>
      </c>
      <c r="W18" s="31">
        <f t="shared" si="5"/>
        <v>0.46100482940673826</v>
      </c>
      <c r="X18" s="31">
        <v>36.549530029296875</v>
      </c>
      <c r="Y18" s="31">
        <v>0.41740259528160095</v>
      </c>
      <c r="Z18" s="32">
        <f t="shared" si="6"/>
        <v>0.41740259528160095</v>
      </c>
      <c r="AA18" s="31">
        <v>29.467681884765625</v>
      </c>
      <c r="AB18" s="31">
        <v>3.9525356292724609</v>
      </c>
      <c r="AC18" s="31">
        <f t="shared" si="7"/>
        <v>0.39525356292724612</v>
      </c>
      <c r="AD18" t="s">
        <v>66</v>
      </c>
      <c r="AF18" s="32">
        <f t="shared" si="8"/>
        <v>0</v>
      </c>
      <c r="AG18" s="31">
        <v>34.7330322265625</v>
      </c>
      <c r="AH18" s="31">
        <v>3.5795459747314453</v>
      </c>
      <c r="AI18" s="31">
        <f t="shared" si="9"/>
        <v>0.35795459747314451</v>
      </c>
      <c r="AJ18" t="s">
        <v>66</v>
      </c>
      <c r="AL18" s="32">
        <f t="shared" si="10"/>
        <v>0</v>
      </c>
    </row>
    <row r="19" spans="1:38" ht="15.15" thickBot="1" x14ac:dyDescent="0.35">
      <c r="A19" s="33" t="s">
        <v>81</v>
      </c>
      <c r="B19" s="30">
        <v>44335</v>
      </c>
      <c r="C19" s="33">
        <v>930</v>
      </c>
      <c r="D19" s="23" t="s">
        <v>65</v>
      </c>
      <c r="E19" s="30">
        <v>44406</v>
      </c>
      <c r="F19" s="24">
        <v>100</v>
      </c>
      <c r="G19" s="31">
        <v>18.578975677490234</v>
      </c>
      <c r="H19" s="31">
        <v>173187.703125</v>
      </c>
      <c r="I19" s="31">
        <f t="shared" si="0"/>
        <v>160205.06457112631</v>
      </c>
      <c r="J19" s="31">
        <f t="shared" si="11"/>
        <v>17226.351029153368</v>
      </c>
      <c r="K19" s="31">
        <v>21.115510940551758</v>
      </c>
      <c r="L19" s="31">
        <v>32657.203125</v>
      </c>
      <c r="M19" s="31">
        <f t="shared" si="1"/>
        <v>19674.564571126302</v>
      </c>
      <c r="N19" s="32">
        <f t="shared" si="2"/>
        <v>21155.445775404623</v>
      </c>
      <c r="O19" s="31">
        <v>28.58180046081543</v>
      </c>
      <c r="P19" s="31">
        <v>523.5831298828125</v>
      </c>
      <c r="Q19" s="31">
        <f t="shared" si="3"/>
        <v>56.299261277721776</v>
      </c>
      <c r="R19" s="31">
        <v>31.610774993896484</v>
      </c>
      <c r="S19" s="31">
        <v>60.587425231933594</v>
      </c>
      <c r="T19" s="32">
        <f t="shared" si="4"/>
        <v>65.147769066595259</v>
      </c>
      <c r="U19" s="31">
        <v>33.990886688232422</v>
      </c>
      <c r="V19" s="31">
        <v>2.2145252227783203</v>
      </c>
      <c r="W19" s="31">
        <f t="shared" si="5"/>
        <v>0.23812099169659359</v>
      </c>
      <c r="X19" t="s">
        <v>66</v>
      </c>
      <c r="Y19" t="s">
        <v>82</v>
      </c>
      <c r="Z19" s="32" t="e">
        <f t="shared" si="6"/>
        <v>#VALUE!</v>
      </c>
      <c r="AA19" s="31">
        <v>29.574459075927734</v>
      </c>
      <c r="AB19" s="31">
        <v>3.6841070652008057</v>
      </c>
      <c r="AC19" s="31">
        <f t="shared" si="7"/>
        <v>0.39614054464524789</v>
      </c>
      <c r="AD19" t="s">
        <v>66</v>
      </c>
      <c r="AF19" s="32">
        <f t="shared" si="8"/>
        <v>0</v>
      </c>
      <c r="AG19" s="31">
        <v>35.051784515380859</v>
      </c>
      <c r="AH19" s="31">
        <v>2.9370937347412109</v>
      </c>
      <c r="AI19" s="31">
        <f t="shared" si="9"/>
        <v>0.3158165306173345</v>
      </c>
      <c r="AJ19" t="s">
        <v>66</v>
      </c>
      <c r="AL19" s="32">
        <f t="shared" si="10"/>
        <v>0</v>
      </c>
    </row>
    <row r="20" spans="1:38" ht="15.15" thickBot="1" x14ac:dyDescent="0.35">
      <c r="A20" s="33" t="s">
        <v>64</v>
      </c>
      <c r="B20" s="30">
        <v>44342</v>
      </c>
      <c r="C20" s="33">
        <v>955</v>
      </c>
      <c r="D20" s="23" t="s">
        <v>65</v>
      </c>
      <c r="E20" s="30">
        <v>44414</v>
      </c>
      <c r="F20" s="24">
        <v>100</v>
      </c>
      <c r="G20" s="31">
        <v>17.81602668762207</v>
      </c>
      <c r="H20" s="31">
        <v>286052.9375</v>
      </c>
      <c r="I20" s="31">
        <f t="shared" si="0"/>
        <v>273070.29894612631</v>
      </c>
      <c r="J20" s="31">
        <f t="shared" si="11"/>
        <v>28593.748580746207</v>
      </c>
      <c r="K20" s="31">
        <v>20.738927841186523</v>
      </c>
      <c r="L20" s="31">
        <v>41835.6484375</v>
      </c>
      <c r="M20" s="31">
        <f t="shared" si="1"/>
        <v>28853.009883626302</v>
      </c>
      <c r="N20" s="32">
        <f t="shared" si="2"/>
        <v>30212.57579437309</v>
      </c>
      <c r="O20" s="31">
        <v>29.521736145019531</v>
      </c>
      <c r="P20" s="31">
        <v>268.12899780273438</v>
      </c>
      <c r="Q20" s="31">
        <f t="shared" si="3"/>
        <v>28.076334848453861</v>
      </c>
      <c r="R20" s="31">
        <v>32.684024810791016</v>
      </c>
      <c r="S20" s="31">
        <v>28.217464447021484</v>
      </c>
      <c r="T20" s="32">
        <f t="shared" si="4"/>
        <v>29.547083190598414</v>
      </c>
      <c r="U20" s="31">
        <v>32.179813385009766</v>
      </c>
      <c r="V20" s="31">
        <v>7.2153916358947754</v>
      </c>
      <c r="W20" s="31">
        <f t="shared" si="5"/>
        <v>0.75553839119317023</v>
      </c>
      <c r="X20" s="31">
        <v>34.733993530273438</v>
      </c>
      <c r="Y20" s="31">
        <v>1.3639504909515381</v>
      </c>
      <c r="Z20" s="32">
        <f t="shared" si="6"/>
        <v>1.4282204093733384</v>
      </c>
      <c r="AA20" s="31">
        <v>29.740377426147461</v>
      </c>
      <c r="AB20" s="31">
        <v>3.3027174472808838</v>
      </c>
      <c r="AC20" s="31">
        <f t="shared" si="7"/>
        <v>0.34583428767339097</v>
      </c>
      <c r="AD20" t="s">
        <v>66</v>
      </c>
      <c r="AF20" s="32">
        <f t="shared" si="8"/>
        <v>0</v>
      </c>
      <c r="AG20" s="31">
        <v>36.769481658935547</v>
      </c>
      <c r="AH20" s="31">
        <v>1.01149582862854</v>
      </c>
      <c r="AI20" s="31">
        <f t="shared" si="9"/>
        <v>0.10591579357366912</v>
      </c>
      <c r="AJ20" t="s">
        <v>66</v>
      </c>
      <c r="AL20" s="32">
        <f t="shared" si="10"/>
        <v>0</v>
      </c>
    </row>
    <row r="21" spans="1:38" ht="15.15" thickBot="1" x14ac:dyDescent="0.35">
      <c r="A21" s="33" t="s">
        <v>67</v>
      </c>
      <c r="B21" s="30">
        <v>44342</v>
      </c>
      <c r="C21" s="33">
        <v>900</v>
      </c>
      <c r="D21" s="23" t="s">
        <v>65</v>
      </c>
      <c r="E21" s="30">
        <v>44414</v>
      </c>
      <c r="F21" s="24">
        <v>100</v>
      </c>
      <c r="G21" s="31">
        <v>18.989603042602539</v>
      </c>
      <c r="H21" s="31">
        <v>132198.0625</v>
      </c>
      <c r="I21" s="31">
        <f t="shared" si="0"/>
        <v>119215.42394612631</v>
      </c>
      <c r="J21" s="31">
        <f t="shared" si="11"/>
        <v>13246.158216236256</v>
      </c>
      <c r="K21" s="31">
        <v>20.977445602416992</v>
      </c>
      <c r="L21" s="31">
        <v>35761.53125</v>
      </c>
      <c r="M21" s="31">
        <f t="shared" si="1"/>
        <v>22778.892696126302</v>
      </c>
      <c r="N21" s="32">
        <f t="shared" si="2"/>
        <v>25309.880773473669</v>
      </c>
      <c r="O21" s="31">
        <v>29.949516296386719</v>
      </c>
      <c r="P21" s="31">
        <v>197.72789001464844</v>
      </c>
      <c r="Q21" s="31">
        <f t="shared" si="3"/>
        <v>21.969765557183159</v>
      </c>
      <c r="R21" s="31">
        <v>33.489158630371094</v>
      </c>
      <c r="S21" s="31">
        <v>15.905922889709473</v>
      </c>
      <c r="T21" s="32">
        <f t="shared" si="4"/>
        <v>17.673247655232746</v>
      </c>
      <c r="U21" s="31">
        <v>33.446640014648438</v>
      </c>
      <c r="V21" s="31">
        <v>3.1581759452819824</v>
      </c>
      <c r="W21" s="31">
        <f t="shared" si="5"/>
        <v>0.35090843836466473</v>
      </c>
      <c r="X21" s="31">
        <v>36.739494323730469</v>
      </c>
      <c r="Y21" s="31">
        <v>0.36876401305198669</v>
      </c>
      <c r="Z21" s="32">
        <f t="shared" si="6"/>
        <v>0.40973779227998519</v>
      </c>
      <c r="AA21" s="31">
        <v>31.050165176391602</v>
      </c>
      <c r="AB21" s="31">
        <v>1.3938224315643311</v>
      </c>
      <c r="AC21" s="31">
        <f t="shared" si="7"/>
        <v>0.15486915906270346</v>
      </c>
      <c r="AD21" s="31">
        <v>31.932271957397461</v>
      </c>
      <c r="AE21" s="31">
        <v>0.77961713075637817</v>
      </c>
      <c r="AF21" s="32">
        <f t="shared" si="8"/>
        <v>0.86624125639597571</v>
      </c>
      <c r="AG21" s="31">
        <v>35.979465484619141</v>
      </c>
      <c r="AH21" s="31">
        <v>1.6515406370162964</v>
      </c>
      <c r="AI21" s="31">
        <f t="shared" si="9"/>
        <v>0.18350451522403294</v>
      </c>
      <c r="AJ21" t="s">
        <v>66</v>
      </c>
      <c r="AL21" s="32">
        <f t="shared" si="10"/>
        <v>0</v>
      </c>
    </row>
    <row r="22" spans="1:38" ht="15.15" thickBot="1" x14ac:dyDescent="0.35">
      <c r="A22" s="33" t="s">
        <v>68</v>
      </c>
      <c r="B22" s="30">
        <v>44342</v>
      </c>
      <c r="C22" s="33">
        <v>968</v>
      </c>
      <c r="D22" s="23" t="s">
        <v>65</v>
      </c>
      <c r="E22" s="30">
        <v>44414</v>
      </c>
      <c r="F22" s="24">
        <v>100</v>
      </c>
      <c r="G22" s="31">
        <v>16.272127151489258</v>
      </c>
      <c r="H22" s="31">
        <v>789672.8125</v>
      </c>
      <c r="I22" s="31">
        <f t="shared" si="0"/>
        <v>776690.17394612625</v>
      </c>
      <c r="J22" s="31">
        <f t="shared" si="11"/>
        <v>80236.58821757503</v>
      </c>
      <c r="K22" s="31">
        <v>19.710145950317383</v>
      </c>
      <c r="L22" s="31">
        <v>82301.6640625</v>
      </c>
      <c r="M22" s="31">
        <f t="shared" si="1"/>
        <v>69319.025508626306</v>
      </c>
      <c r="N22" s="32">
        <f t="shared" si="2"/>
        <v>71610.563541969328</v>
      </c>
      <c r="O22" s="31">
        <v>27.564682006835938</v>
      </c>
      <c r="P22" s="31">
        <v>1080.1734619140625</v>
      </c>
      <c r="Q22" s="31">
        <f t="shared" si="3"/>
        <v>111.58816755310563</v>
      </c>
      <c r="R22" s="31">
        <v>31.141513824462891</v>
      </c>
      <c r="S22" s="31">
        <v>84.622314453125</v>
      </c>
      <c r="T22" s="32">
        <f t="shared" si="4"/>
        <v>87.419746335872929</v>
      </c>
      <c r="U22" s="31">
        <v>32.355331420898438</v>
      </c>
      <c r="V22" s="31">
        <v>6.4349493980407715</v>
      </c>
      <c r="W22" s="31">
        <f t="shared" si="5"/>
        <v>0.66476749979760041</v>
      </c>
      <c r="X22" s="31">
        <v>34.744651794433594</v>
      </c>
      <c r="Y22" s="31">
        <v>1.3545020818710327</v>
      </c>
      <c r="Z22" s="32">
        <f t="shared" si="6"/>
        <v>1.3992790101973478</v>
      </c>
      <c r="AA22" s="31">
        <v>28.890764236450195</v>
      </c>
      <c r="AB22" s="31">
        <v>5.7796659469604492</v>
      </c>
      <c r="AC22" s="31">
        <f t="shared" si="7"/>
        <v>0.59707292840500503</v>
      </c>
      <c r="AD22" s="31">
        <v>30.552532196044922</v>
      </c>
      <c r="AE22" s="31">
        <v>1.9344390630722046</v>
      </c>
      <c r="AF22" s="32">
        <f t="shared" si="8"/>
        <v>1.998387461851451</v>
      </c>
      <c r="AG22" t="s">
        <v>66</v>
      </c>
      <c r="AI22" s="31">
        <f t="shared" si="9"/>
        <v>0</v>
      </c>
      <c r="AJ22" t="s">
        <v>66</v>
      </c>
      <c r="AL22" s="32">
        <f t="shared" si="10"/>
        <v>0</v>
      </c>
    </row>
    <row r="23" spans="1:38" ht="15.15" thickBot="1" x14ac:dyDescent="0.35">
      <c r="A23" s="33" t="s">
        <v>69</v>
      </c>
      <c r="B23" s="30">
        <v>44342</v>
      </c>
      <c r="C23" s="33">
        <v>855</v>
      </c>
      <c r="D23" s="23" t="s">
        <v>65</v>
      </c>
      <c r="E23" s="30">
        <v>44414</v>
      </c>
      <c r="F23" s="24">
        <v>100</v>
      </c>
      <c r="G23" s="31">
        <v>16.860343933105469</v>
      </c>
      <c r="H23" s="31">
        <v>536325.5</v>
      </c>
      <c r="I23" s="31">
        <f t="shared" si="0"/>
        <v>523342.86144612631</v>
      </c>
      <c r="J23" s="31">
        <f t="shared" si="11"/>
        <v>61209.69139720776</v>
      </c>
      <c r="K23" s="31">
        <v>19.942461013793945</v>
      </c>
      <c r="L23" s="31">
        <v>70639.8828125</v>
      </c>
      <c r="M23" s="31">
        <f t="shared" si="1"/>
        <v>57657.244258626306</v>
      </c>
      <c r="N23" s="32">
        <f t="shared" si="2"/>
        <v>67435.373401902107</v>
      </c>
      <c r="O23" s="31">
        <v>27.971183776855469</v>
      </c>
      <c r="P23" s="31">
        <v>808.71820068359375</v>
      </c>
      <c r="Q23" s="31">
        <f t="shared" si="3"/>
        <v>94.586924056560676</v>
      </c>
      <c r="R23" s="31">
        <v>31.14605712890625</v>
      </c>
      <c r="S23" s="31">
        <v>84.349021911621094</v>
      </c>
      <c r="T23" s="32">
        <f t="shared" si="4"/>
        <v>98.653826797217647</v>
      </c>
      <c r="U23" s="31">
        <v>32.347080230712891</v>
      </c>
      <c r="V23" s="31">
        <v>6.4696717262268066</v>
      </c>
      <c r="W23" s="31">
        <f t="shared" si="5"/>
        <v>0.75668675160547449</v>
      </c>
      <c r="X23" s="31">
        <v>35.994430541992188</v>
      </c>
      <c r="Y23" s="31">
        <v>0.59949404001235962</v>
      </c>
      <c r="Z23" s="32">
        <f t="shared" si="6"/>
        <v>0.70116261989749662</v>
      </c>
      <c r="AA23" s="31">
        <v>28.560710906982422</v>
      </c>
      <c r="AB23" s="31">
        <v>7.1831393241882324</v>
      </c>
      <c r="AC23" s="31">
        <f t="shared" si="7"/>
        <v>0.84013325429102137</v>
      </c>
      <c r="AD23" s="31">
        <v>31.485540390014648</v>
      </c>
      <c r="AE23" s="31">
        <v>1.0463299751281738</v>
      </c>
      <c r="AF23" s="32">
        <f t="shared" si="8"/>
        <v>1.2237777486879227</v>
      </c>
      <c r="AG23" s="31">
        <v>35.568637847900391</v>
      </c>
      <c r="AH23" s="31">
        <v>2.131157398223877</v>
      </c>
      <c r="AI23" s="31">
        <f t="shared" si="9"/>
        <v>0.2492581752308628</v>
      </c>
      <c r="AJ23" t="s">
        <v>66</v>
      </c>
      <c r="AL23" s="32">
        <f t="shared" si="10"/>
        <v>0</v>
      </c>
    </row>
    <row r="24" spans="1:38" ht="15.15" thickBot="1" x14ac:dyDescent="0.35">
      <c r="A24" s="33" t="s">
        <v>70</v>
      </c>
      <c r="B24" s="30">
        <v>44342</v>
      </c>
      <c r="C24" s="33">
        <v>960</v>
      </c>
      <c r="D24" s="23" t="s">
        <v>65</v>
      </c>
      <c r="E24" s="30">
        <v>44414</v>
      </c>
      <c r="F24" s="24">
        <v>100</v>
      </c>
      <c r="G24" s="31">
        <v>15.545906066894531</v>
      </c>
      <c r="H24" s="31">
        <v>1273167.625</v>
      </c>
      <c r="I24" s="31">
        <f t="shared" si="0"/>
        <v>1260184.9864461264</v>
      </c>
      <c r="J24" s="31">
        <f t="shared" si="11"/>
        <v>131269.26942147149</v>
      </c>
      <c r="K24" s="31">
        <v>18.243335723876953</v>
      </c>
      <c r="L24" s="31">
        <v>215968.0625</v>
      </c>
      <c r="M24" s="31">
        <f t="shared" si="1"/>
        <v>202985.42394612631</v>
      </c>
      <c r="N24" s="32">
        <f t="shared" si="2"/>
        <v>211443.14994388158</v>
      </c>
      <c r="O24" s="31">
        <v>29.57066535949707</v>
      </c>
      <c r="P24" s="31">
        <v>258.948974609375</v>
      </c>
      <c r="Q24" s="31">
        <f t="shared" si="3"/>
        <v>26.973851521809895</v>
      </c>
      <c r="R24" s="31">
        <v>32.768085479736328</v>
      </c>
      <c r="S24" s="31">
        <v>26.578178405761719</v>
      </c>
      <c r="T24" s="32">
        <f t="shared" si="4"/>
        <v>27.685602506001789</v>
      </c>
      <c r="U24" s="31">
        <v>31.372381210327148</v>
      </c>
      <c r="V24" s="31">
        <v>12.216922760009766</v>
      </c>
      <c r="W24" s="31">
        <f t="shared" si="5"/>
        <v>1.2725961208343506</v>
      </c>
      <c r="X24" s="31">
        <v>34.413257598876953</v>
      </c>
      <c r="Y24" s="31">
        <v>1.6813021898269653</v>
      </c>
      <c r="Z24" s="32">
        <f t="shared" si="6"/>
        <v>1.7513564477364223</v>
      </c>
      <c r="AA24" s="31">
        <v>19.918720245361328</v>
      </c>
      <c r="AB24" s="31">
        <v>2129.856201171875</v>
      </c>
      <c r="AC24" s="31">
        <f t="shared" si="7"/>
        <v>221.86002095540366</v>
      </c>
      <c r="AD24" s="31">
        <v>22.990161895751953</v>
      </c>
      <c r="AE24" s="31">
        <v>281.68667602539063</v>
      </c>
      <c r="AF24" s="32">
        <f t="shared" si="8"/>
        <v>293.42362085978192</v>
      </c>
      <c r="AG24" s="31">
        <v>26.427623748779297</v>
      </c>
      <c r="AH24" s="31">
        <v>619.87127685546875</v>
      </c>
      <c r="AI24" s="31">
        <f t="shared" si="9"/>
        <v>64.569924672444657</v>
      </c>
      <c r="AJ24" s="31">
        <v>29.804416656494141</v>
      </c>
      <c r="AK24" s="31">
        <v>76.240951538085938</v>
      </c>
      <c r="AL24" s="32">
        <f t="shared" si="10"/>
        <v>79.417657852172852</v>
      </c>
    </row>
    <row r="25" spans="1:38" ht="15.15" thickBot="1" x14ac:dyDescent="0.35">
      <c r="A25" s="33" t="s">
        <v>71</v>
      </c>
      <c r="B25" s="30">
        <v>44342</v>
      </c>
      <c r="C25" s="33">
        <v>900</v>
      </c>
      <c r="D25" s="23" t="s">
        <v>65</v>
      </c>
      <c r="E25" s="30">
        <v>44414</v>
      </c>
      <c r="F25" s="24">
        <v>100</v>
      </c>
      <c r="G25" s="31">
        <v>14.525671005249023</v>
      </c>
      <c r="H25" s="31">
        <v>2490613.75</v>
      </c>
      <c r="I25" s="31">
        <f t="shared" si="0"/>
        <v>2477631.1114461264</v>
      </c>
      <c r="J25" s="31">
        <f t="shared" si="11"/>
        <v>275292.34571623628</v>
      </c>
      <c r="K25" s="31">
        <v>20.286899566650391</v>
      </c>
      <c r="L25" s="31">
        <v>56320.20703125</v>
      </c>
      <c r="M25" s="31">
        <f t="shared" si="1"/>
        <v>43337.568477376306</v>
      </c>
      <c r="N25" s="32">
        <f t="shared" si="2"/>
        <v>48152.85386375145</v>
      </c>
      <c r="O25" s="31">
        <v>26.077491760253906</v>
      </c>
      <c r="P25" s="31">
        <v>3114.2568359375</v>
      </c>
      <c r="Q25" s="31">
        <f t="shared" si="3"/>
        <v>346.02853732638891</v>
      </c>
      <c r="R25" s="31">
        <v>31.952810287475586</v>
      </c>
      <c r="S25" s="31">
        <v>47.491970062255859</v>
      </c>
      <c r="T25" s="32">
        <f t="shared" si="4"/>
        <v>52.768855624728729</v>
      </c>
      <c r="U25" s="31">
        <v>28.792251586914063</v>
      </c>
      <c r="V25" s="31">
        <v>65.731452941894531</v>
      </c>
      <c r="W25" s="31">
        <f t="shared" si="5"/>
        <v>7.3034947713216143</v>
      </c>
      <c r="X25" s="31">
        <v>34.541511535644531</v>
      </c>
      <c r="Y25" s="31">
        <v>1.5463875532150269</v>
      </c>
      <c r="Z25" s="32">
        <f t="shared" si="6"/>
        <v>1.7182083924611409</v>
      </c>
      <c r="AA25" s="31">
        <v>21.106685638427734</v>
      </c>
      <c r="AB25" s="31">
        <v>973.9429931640625</v>
      </c>
      <c r="AC25" s="31">
        <f t="shared" si="7"/>
        <v>108.21588812934027</v>
      </c>
      <c r="AD25" s="31">
        <v>27.277856826782227</v>
      </c>
      <c r="AE25" s="31">
        <v>16.72144889831543</v>
      </c>
      <c r="AF25" s="32">
        <f t="shared" si="8"/>
        <v>18.579387664794922</v>
      </c>
      <c r="AG25" s="31">
        <v>26.166452407836914</v>
      </c>
      <c r="AH25" s="31">
        <v>728.9410400390625</v>
      </c>
      <c r="AI25" s="31">
        <f t="shared" si="9"/>
        <v>80.993448893229171</v>
      </c>
      <c r="AJ25" s="31">
        <v>32.478065490722656</v>
      </c>
      <c r="AK25" s="31">
        <v>14.507297515869141</v>
      </c>
      <c r="AL25" s="32">
        <f t="shared" si="10"/>
        <v>16.119219462076824</v>
      </c>
    </row>
    <row r="26" spans="1:38" ht="15.15" thickBot="1" x14ac:dyDescent="0.35">
      <c r="A26" s="33" t="s">
        <v>72</v>
      </c>
      <c r="B26" s="30">
        <v>44342</v>
      </c>
      <c r="C26" s="33">
        <v>920</v>
      </c>
      <c r="D26" s="23" t="s">
        <v>65</v>
      </c>
      <c r="E26" s="30">
        <v>44414</v>
      </c>
      <c r="F26" s="24">
        <v>100</v>
      </c>
      <c r="G26" s="31">
        <v>17.25306510925293</v>
      </c>
      <c r="H26" s="31">
        <v>414239.25</v>
      </c>
      <c r="I26" s="31">
        <f t="shared" si="0"/>
        <v>401256.61144612631</v>
      </c>
      <c r="J26" s="31">
        <f t="shared" si="11"/>
        <v>43614.849070231125</v>
      </c>
      <c r="K26" s="31">
        <v>20.232528686523438</v>
      </c>
      <c r="L26" s="31">
        <v>58370.68359375</v>
      </c>
      <c r="M26" s="31">
        <f t="shared" si="1"/>
        <v>45388.045039876306</v>
      </c>
      <c r="N26" s="32">
        <f t="shared" si="2"/>
        <v>49334.831565082939</v>
      </c>
      <c r="O26" s="31">
        <v>28.893238067626953</v>
      </c>
      <c r="P26" s="31">
        <v>419.4542236328125</v>
      </c>
      <c r="Q26" s="31">
        <f t="shared" si="3"/>
        <v>45.592850394870922</v>
      </c>
      <c r="R26" s="31">
        <v>31.905580520629883</v>
      </c>
      <c r="S26" s="31">
        <v>49.11614990234375</v>
      </c>
      <c r="T26" s="32">
        <f t="shared" si="4"/>
        <v>53.387119459069297</v>
      </c>
      <c r="U26" s="31">
        <v>26.860437393188477</v>
      </c>
      <c r="V26" s="31">
        <v>231.71379089355469</v>
      </c>
      <c r="W26" s="31">
        <f t="shared" si="5"/>
        <v>25.186281618864641</v>
      </c>
      <c r="X26" s="31">
        <v>30.463125228881836</v>
      </c>
      <c r="Y26" s="31">
        <v>22.105735778808594</v>
      </c>
      <c r="Z26" s="32">
        <f t="shared" si="6"/>
        <v>24.027973672618035</v>
      </c>
      <c r="AA26" s="31">
        <v>28.940828323364258</v>
      </c>
      <c r="AB26" s="31">
        <v>5.5921902656555176</v>
      </c>
      <c r="AC26" s="31">
        <f t="shared" si="7"/>
        <v>0.60784676800603454</v>
      </c>
      <c r="AD26" t="s">
        <v>66</v>
      </c>
      <c r="AF26" s="32">
        <f t="shared" si="8"/>
        <v>0</v>
      </c>
      <c r="AG26" s="31">
        <v>32.828067779541016</v>
      </c>
      <c r="AH26" s="31">
        <v>11.674920082092285</v>
      </c>
      <c r="AI26" s="31">
        <f t="shared" si="9"/>
        <v>1.2690130524013354</v>
      </c>
      <c r="AJ26" t="s">
        <v>66</v>
      </c>
      <c r="AL26" s="32">
        <f t="shared" si="10"/>
        <v>0</v>
      </c>
    </row>
    <row r="27" spans="1:38" ht="15.15" thickBot="1" x14ac:dyDescent="0.35">
      <c r="A27" s="33" t="s">
        <v>73</v>
      </c>
      <c r="B27" s="30">
        <v>44342</v>
      </c>
      <c r="C27" s="33">
        <v>900</v>
      </c>
      <c r="D27" s="23" t="s">
        <v>65</v>
      </c>
      <c r="E27" s="30">
        <v>44414</v>
      </c>
      <c r="F27" s="24">
        <v>100</v>
      </c>
      <c r="G27" s="31">
        <v>17.541952133178711</v>
      </c>
      <c r="H27" s="31">
        <v>342557.375</v>
      </c>
      <c r="I27" s="31">
        <f t="shared" si="0"/>
        <v>329574.73644612631</v>
      </c>
      <c r="J27" s="31">
        <f t="shared" si="11"/>
        <v>36619.415160680699</v>
      </c>
      <c r="K27" s="31">
        <v>20.158218383789063</v>
      </c>
      <c r="L27" s="31">
        <v>61294.40625</v>
      </c>
      <c r="M27" s="31">
        <f t="shared" si="1"/>
        <v>48311.767696126306</v>
      </c>
      <c r="N27" s="32">
        <f t="shared" si="2"/>
        <v>53679.741884584786</v>
      </c>
      <c r="O27" s="31">
        <v>28.546468734741211</v>
      </c>
      <c r="P27" s="31">
        <v>536.92138671875</v>
      </c>
      <c r="Q27" s="31">
        <f t="shared" si="3"/>
        <v>59.657931857638886</v>
      </c>
      <c r="R27" s="31">
        <v>32.184478759765625</v>
      </c>
      <c r="S27" s="31">
        <v>40.270305633544922</v>
      </c>
      <c r="T27" s="32">
        <f t="shared" si="4"/>
        <v>44.744784037272133</v>
      </c>
      <c r="U27" s="31">
        <v>29.686433792114258</v>
      </c>
      <c r="V27" s="31">
        <v>36.685943603515625</v>
      </c>
      <c r="W27" s="31">
        <f t="shared" si="5"/>
        <v>4.0762159559461804</v>
      </c>
      <c r="X27" s="31">
        <v>32.440769195556641</v>
      </c>
      <c r="Y27" s="31">
        <v>6.0861859321594238</v>
      </c>
      <c r="Z27" s="32">
        <f t="shared" si="6"/>
        <v>6.7624288135104713</v>
      </c>
      <c r="AA27" s="31">
        <v>29.834819793701172</v>
      </c>
      <c r="AB27" s="31">
        <v>3.103532075881958</v>
      </c>
      <c r="AC27" s="31">
        <f t="shared" si="7"/>
        <v>0.34483689732021755</v>
      </c>
      <c r="AD27" s="31">
        <v>30.742263793945313</v>
      </c>
      <c r="AE27" s="31">
        <v>1.7071923017501831</v>
      </c>
      <c r="AF27" s="32">
        <f t="shared" si="8"/>
        <v>1.8968803352779813</v>
      </c>
      <c r="AG27" s="31">
        <v>37.655689239501953</v>
      </c>
      <c r="AH27" s="31">
        <v>0.58359754085540771</v>
      </c>
      <c r="AI27" s="31">
        <f t="shared" si="9"/>
        <v>6.4844171206156417E-2</v>
      </c>
      <c r="AJ27" t="s">
        <v>66</v>
      </c>
      <c r="AL27" s="32">
        <f t="shared" si="10"/>
        <v>0</v>
      </c>
    </row>
    <row r="28" spans="1:38" ht="15.15" thickBot="1" x14ac:dyDescent="0.35">
      <c r="A28" s="33" t="s">
        <v>74</v>
      </c>
      <c r="B28" s="30">
        <v>44342</v>
      </c>
      <c r="C28" s="33">
        <v>980</v>
      </c>
      <c r="D28" s="23" t="s">
        <v>65</v>
      </c>
      <c r="E28" s="30">
        <v>44414</v>
      </c>
      <c r="F28" s="24">
        <v>100</v>
      </c>
      <c r="G28" s="31">
        <v>18.673473358154297</v>
      </c>
      <c r="H28" s="31">
        <v>162751.375</v>
      </c>
      <c r="I28" s="31">
        <f t="shared" si="0"/>
        <v>149768.73644612631</v>
      </c>
      <c r="J28" s="31">
        <f t="shared" si="11"/>
        <v>15282.524127155746</v>
      </c>
      <c r="K28" s="31">
        <v>21.591501235961914</v>
      </c>
      <c r="L28" s="31">
        <v>23879.033203125</v>
      </c>
      <c r="M28" s="31">
        <f t="shared" si="1"/>
        <v>10896.394649251302</v>
      </c>
      <c r="N28" s="32">
        <f t="shared" si="2"/>
        <v>11118.770050256431</v>
      </c>
      <c r="O28" s="31">
        <v>29.833858489990234</v>
      </c>
      <c r="P28" s="31">
        <v>214.69949340820313</v>
      </c>
      <c r="Q28" s="31">
        <f t="shared" si="3"/>
        <v>21.908111572265625</v>
      </c>
      <c r="R28" s="31">
        <v>33.416912078857422</v>
      </c>
      <c r="S28" s="31">
        <v>16.745515823364258</v>
      </c>
      <c r="T28" s="32">
        <f t="shared" si="4"/>
        <v>17.087261044249242</v>
      </c>
      <c r="U28" s="31">
        <v>33.242584228515625</v>
      </c>
      <c r="V28" s="31">
        <v>3.6077325344085693</v>
      </c>
      <c r="W28" s="31">
        <f t="shared" si="5"/>
        <v>0.3681359728988336</v>
      </c>
      <c r="X28" s="31">
        <v>37.086246490478516</v>
      </c>
      <c r="Y28" s="31">
        <v>0.29412528872489929</v>
      </c>
      <c r="Z28" s="32">
        <f t="shared" si="6"/>
        <v>0.30012784563765232</v>
      </c>
      <c r="AA28" s="31">
        <v>24.757678985595703</v>
      </c>
      <c r="AB28" s="31">
        <v>87.936500549316406</v>
      </c>
      <c r="AC28" s="31">
        <f t="shared" si="7"/>
        <v>8.9731123009506533</v>
      </c>
      <c r="AD28" s="31">
        <v>27.055116653442383</v>
      </c>
      <c r="AE28" s="31">
        <v>19.363710403442383</v>
      </c>
      <c r="AF28" s="32">
        <f t="shared" si="8"/>
        <v>19.758888166777943</v>
      </c>
      <c r="AG28" s="31">
        <v>35.221958160400391</v>
      </c>
      <c r="AH28" s="31">
        <v>2.6427290439605713</v>
      </c>
      <c r="AI28" s="31">
        <f t="shared" si="9"/>
        <v>0.26966622897556852</v>
      </c>
      <c r="AJ28" s="31">
        <v>38.353443145751953</v>
      </c>
      <c r="AK28" s="31">
        <v>0.37849035859107971</v>
      </c>
      <c r="AL28" s="32">
        <f t="shared" si="10"/>
        <v>0.38621465162355073</v>
      </c>
    </row>
    <row r="29" spans="1:38" ht="15.15" thickBot="1" x14ac:dyDescent="0.35">
      <c r="A29" s="33" t="s">
        <v>75</v>
      </c>
      <c r="B29" s="30">
        <v>44342</v>
      </c>
      <c r="C29" s="33">
        <v>890</v>
      </c>
      <c r="D29" s="23" t="s">
        <v>65</v>
      </c>
      <c r="E29" s="30">
        <v>44414</v>
      </c>
      <c r="F29" s="24">
        <v>100</v>
      </c>
      <c r="G29" s="31">
        <v>19.281597137451172</v>
      </c>
      <c r="H29" s="31">
        <v>109098.71875</v>
      </c>
      <c r="I29" s="31">
        <f t="shared" si="0"/>
        <v>96116.080196126306</v>
      </c>
      <c r="J29" s="31">
        <f t="shared" si="11"/>
        <v>10799.559572598462</v>
      </c>
      <c r="K29" s="31">
        <v>22.024570465087891</v>
      </c>
      <c r="L29" s="31">
        <v>17960.3359375</v>
      </c>
      <c r="M29" s="31">
        <f t="shared" si="1"/>
        <v>4977.6973836263023</v>
      </c>
      <c r="N29" s="32">
        <f t="shared" si="2"/>
        <v>5592.9184085688794</v>
      </c>
      <c r="O29" s="31">
        <v>29.858894348144531</v>
      </c>
      <c r="P29" s="31">
        <v>210.90631103515625</v>
      </c>
      <c r="Q29" s="31">
        <f t="shared" si="3"/>
        <v>23.697338318556881</v>
      </c>
      <c r="R29" s="31">
        <v>32.933940887451172</v>
      </c>
      <c r="S29" s="31">
        <v>23.61784553527832</v>
      </c>
      <c r="T29" s="32">
        <f t="shared" si="4"/>
        <v>26.536905095818337</v>
      </c>
      <c r="U29" s="31">
        <v>33.954299926757813</v>
      </c>
      <c r="V29" s="31">
        <v>2.2680034637451172</v>
      </c>
      <c r="W29" s="31">
        <f t="shared" si="5"/>
        <v>0.25483184985900192</v>
      </c>
      <c r="X29" s="31">
        <v>37.844036102294922</v>
      </c>
      <c r="Y29" s="31">
        <v>0.17942853271961212</v>
      </c>
      <c r="Z29" s="32">
        <f t="shared" si="6"/>
        <v>0.20160509294338441</v>
      </c>
      <c r="AA29" s="31">
        <v>29.390039443969727</v>
      </c>
      <c r="AB29" s="31">
        <v>4.1599235534667969</v>
      </c>
      <c r="AC29" s="31">
        <f t="shared" si="7"/>
        <v>0.46740714083896595</v>
      </c>
      <c r="AD29" t="s">
        <v>66</v>
      </c>
      <c r="AF29" s="32">
        <f t="shared" si="8"/>
        <v>0</v>
      </c>
      <c r="AG29" s="31">
        <v>35.636566162109375</v>
      </c>
      <c r="AH29" s="31">
        <v>2.0431840419769287</v>
      </c>
      <c r="AI29" s="31">
        <f t="shared" si="9"/>
        <v>0.22957124067156504</v>
      </c>
      <c r="AJ29" s="31">
        <v>39.878173828125</v>
      </c>
      <c r="AK29" s="31">
        <v>0.14692965149879456</v>
      </c>
      <c r="AL29" s="32">
        <f t="shared" si="10"/>
        <v>0.1650894960660613</v>
      </c>
    </row>
    <row r="30" spans="1:38" ht="15.15" thickBot="1" x14ac:dyDescent="0.35">
      <c r="A30" s="33" t="s">
        <v>76</v>
      </c>
      <c r="B30" s="30">
        <v>44342</v>
      </c>
      <c r="C30" s="33">
        <v>1000</v>
      </c>
      <c r="D30" s="23" t="s">
        <v>65</v>
      </c>
      <c r="E30" s="30">
        <v>44414</v>
      </c>
      <c r="F30" s="24">
        <v>100</v>
      </c>
      <c r="G30" s="31">
        <v>13.40313720703125</v>
      </c>
      <c r="H30" s="31">
        <v>5211321.5</v>
      </c>
      <c r="I30" s="31">
        <f t="shared" si="0"/>
        <v>5198338.8614461264</v>
      </c>
      <c r="J30" s="31">
        <f t="shared" si="11"/>
        <v>519833.88614461262</v>
      </c>
      <c r="K30" s="31">
        <v>15.466180801391602</v>
      </c>
      <c r="L30" s="31">
        <v>1341709.125</v>
      </c>
      <c r="M30" s="31">
        <f t="shared" si="1"/>
        <v>1328726.4864461264</v>
      </c>
      <c r="N30" s="32">
        <f t="shared" si="2"/>
        <v>1328726.4864461264</v>
      </c>
      <c r="O30" s="31">
        <v>27.716707229614258</v>
      </c>
      <c r="P30" s="31">
        <v>969.3599853515625</v>
      </c>
      <c r="Q30" s="31">
        <f t="shared" si="3"/>
        <v>96.935998535156244</v>
      </c>
      <c r="R30" s="31">
        <v>30.546394348144531</v>
      </c>
      <c r="S30" s="31">
        <v>129.27201843261719</v>
      </c>
      <c r="T30" s="32">
        <f t="shared" si="4"/>
        <v>129.27201843261719</v>
      </c>
      <c r="U30" s="31">
        <v>25.770021438598633</v>
      </c>
      <c r="V30" s="31">
        <v>471.85421752929688</v>
      </c>
      <c r="W30" s="31">
        <f t="shared" si="5"/>
        <v>47.185421752929685</v>
      </c>
      <c r="X30" s="31">
        <v>28.489137649536133</v>
      </c>
      <c r="Y30" s="31">
        <v>80.099357604980469</v>
      </c>
      <c r="Z30" s="32">
        <f t="shared" si="6"/>
        <v>80.099357604980469</v>
      </c>
      <c r="AA30" s="31">
        <v>29.535678863525391</v>
      </c>
      <c r="AB30" s="31">
        <v>3.779421329498291</v>
      </c>
      <c r="AC30" s="31">
        <f t="shared" si="7"/>
        <v>0.37794213294982909</v>
      </c>
      <c r="AD30" t="s">
        <v>66</v>
      </c>
      <c r="AF30" s="32">
        <f t="shared" si="8"/>
        <v>0</v>
      </c>
      <c r="AG30" s="31">
        <v>23.499765396118164</v>
      </c>
      <c r="AH30" s="31">
        <v>3814.326171875</v>
      </c>
      <c r="AI30" s="31">
        <f t="shared" si="9"/>
        <v>381.4326171875</v>
      </c>
      <c r="AJ30" s="31">
        <v>26.966920852661133</v>
      </c>
      <c r="AK30" s="31">
        <v>443.5577392578125</v>
      </c>
      <c r="AL30" s="32">
        <f t="shared" si="10"/>
        <v>443.5577392578125</v>
      </c>
    </row>
    <row r="31" spans="1:38" ht="15.15" thickBot="1" x14ac:dyDescent="0.35">
      <c r="A31" s="33" t="s">
        <v>77</v>
      </c>
      <c r="B31" s="30">
        <v>44342</v>
      </c>
      <c r="C31" s="33">
        <v>900</v>
      </c>
      <c r="D31" s="23" t="s">
        <v>65</v>
      </c>
      <c r="E31" s="30">
        <v>44414</v>
      </c>
      <c r="F31" s="24">
        <v>100</v>
      </c>
      <c r="G31" s="31">
        <v>19.547101974487305</v>
      </c>
      <c r="H31" s="31">
        <v>91617.96875</v>
      </c>
      <c r="I31" s="31">
        <f t="shared" si="0"/>
        <v>78635.330196126306</v>
      </c>
      <c r="J31" s="31">
        <f t="shared" si="11"/>
        <v>8737.2589106807009</v>
      </c>
      <c r="K31" s="31">
        <v>21.613002777099609</v>
      </c>
      <c r="L31" s="31">
        <v>23543.716796875</v>
      </c>
      <c r="M31" s="31">
        <f t="shared" si="1"/>
        <v>10561.078243001302</v>
      </c>
      <c r="N31" s="32">
        <f t="shared" si="2"/>
        <v>11734.531381112558</v>
      </c>
      <c r="O31" s="31">
        <v>29.043899536132813</v>
      </c>
      <c r="P31" s="31">
        <v>376.7886962890625</v>
      </c>
      <c r="Q31" s="31">
        <f t="shared" si="3"/>
        <v>41.865410698784721</v>
      </c>
      <c r="R31" s="31">
        <v>31.921512603759766</v>
      </c>
      <c r="S31" s="31">
        <v>48.562149047851563</v>
      </c>
      <c r="T31" s="32">
        <f t="shared" si="4"/>
        <v>53.957943386501739</v>
      </c>
      <c r="U31" s="31">
        <v>28.574798583984375</v>
      </c>
      <c r="V31" s="31">
        <v>75.747085571289063</v>
      </c>
      <c r="W31" s="31">
        <f t="shared" si="5"/>
        <v>8.4163428412543411</v>
      </c>
      <c r="X31" s="31">
        <v>31.740114212036133</v>
      </c>
      <c r="Y31" s="31">
        <v>9.611760139465332</v>
      </c>
      <c r="Z31" s="32">
        <f t="shared" si="6"/>
        <v>10.679733488294813</v>
      </c>
      <c r="AA31" s="31">
        <v>29.193613052368164</v>
      </c>
      <c r="AB31" s="31">
        <v>4.7344880104064941</v>
      </c>
      <c r="AC31" s="31">
        <f t="shared" si="7"/>
        <v>0.52605422337849939</v>
      </c>
      <c r="AD31" s="31">
        <v>31.795022964477539</v>
      </c>
      <c r="AE31" s="31">
        <v>0.8533778190612793</v>
      </c>
      <c r="AF31" s="32">
        <f t="shared" si="8"/>
        <v>0.9481975767347548</v>
      </c>
      <c r="AG31" s="31">
        <v>26.163885116577148</v>
      </c>
      <c r="AH31" s="31">
        <v>730.10333251953125</v>
      </c>
      <c r="AI31" s="31">
        <f t="shared" si="9"/>
        <v>81.122592502170136</v>
      </c>
      <c r="AJ31" s="31">
        <v>30.192428588867188</v>
      </c>
      <c r="AK31" s="31">
        <v>59.925457000732422</v>
      </c>
      <c r="AL31" s="32">
        <f t="shared" si="10"/>
        <v>66.583841111924912</v>
      </c>
    </row>
    <row r="32" spans="1:38" ht="15.15" thickBot="1" x14ac:dyDescent="0.35">
      <c r="A32" s="33" t="s">
        <v>78</v>
      </c>
      <c r="B32" s="30">
        <v>44342</v>
      </c>
      <c r="C32" s="33">
        <v>938</v>
      </c>
      <c r="D32" s="23" t="s">
        <v>65</v>
      </c>
      <c r="E32" s="30">
        <v>44414</v>
      </c>
      <c r="F32" s="24">
        <v>100</v>
      </c>
      <c r="G32" s="31">
        <v>15.33519458770752</v>
      </c>
      <c r="H32" s="31">
        <v>1462424.25</v>
      </c>
      <c r="I32" s="31">
        <f t="shared" si="0"/>
        <v>1449441.6114461264</v>
      </c>
      <c r="J32" s="31">
        <f t="shared" si="11"/>
        <v>154524.69205182584</v>
      </c>
      <c r="K32" s="31">
        <v>18.14677619934082</v>
      </c>
      <c r="L32" s="31">
        <v>230128.75</v>
      </c>
      <c r="M32" s="31">
        <f t="shared" si="1"/>
        <v>217146.11144612631</v>
      </c>
      <c r="N32" s="32">
        <f t="shared" si="2"/>
        <v>231499.05271442037</v>
      </c>
      <c r="O32" s="31">
        <v>28.489921569824219</v>
      </c>
      <c r="P32" s="31">
        <v>558.97955322265625</v>
      </c>
      <c r="Q32" s="31">
        <f t="shared" si="3"/>
        <v>59.592702902202156</v>
      </c>
      <c r="R32" s="31">
        <v>31.900190353393555</v>
      </c>
      <c r="S32" s="31">
        <v>49.305007934570313</v>
      </c>
      <c r="T32" s="32">
        <f t="shared" si="4"/>
        <v>52.563974343891594</v>
      </c>
      <c r="U32" s="31">
        <v>25.413457870483398</v>
      </c>
      <c r="V32" s="31">
        <v>595.39208984375</v>
      </c>
      <c r="W32" s="31">
        <f t="shared" si="5"/>
        <v>63.474636443896586</v>
      </c>
      <c r="X32" s="31">
        <v>28.820205688476563</v>
      </c>
      <c r="Y32" s="31">
        <v>64.543922424316406</v>
      </c>
      <c r="Z32" s="32">
        <f t="shared" si="6"/>
        <v>68.810151838290409</v>
      </c>
      <c r="AA32" s="31">
        <v>29.142656326293945</v>
      </c>
      <c r="AB32" s="31">
        <v>4.8960871696472168</v>
      </c>
      <c r="AC32" s="31">
        <f t="shared" si="7"/>
        <v>0.52197091360844527</v>
      </c>
      <c r="AD32" s="31">
        <v>30.586751937866211</v>
      </c>
      <c r="AE32" s="31">
        <v>1.8913265466690063</v>
      </c>
      <c r="AF32" s="32">
        <f t="shared" si="8"/>
        <v>2.0163396019925441</v>
      </c>
      <c r="AG32" s="31">
        <v>21.241935729980469</v>
      </c>
      <c r="AH32" s="31">
        <v>15486.3134765625</v>
      </c>
      <c r="AI32" s="31">
        <f t="shared" si="9"/>
        <v>1650.9929079490937</v>
      </c>
      <c r="AJ32" s="31">
        <v>24.444784164428711</v>
      </c>
      <c r="AK32" s="31">
        <v>2121.8583984375</v>
      </c>
      <c r="AL32" s="32">
        <f t="shared" si="10"/>
        <v>2262.1091667777187</v>
      </c>
    </row>
    <row r="33" spans="1:38" ht="15.15" thickBot="1" x14ac:dyDescent="0.35">
      <c r="A33" s="33" t="s">
        <v>79</v>
      </c>
      <c r="B33" s="30">
        <v>44342</v>
      </c>
      <c r="C33" s="33">
        <v>1000</v>
      </c>
      <c r="D33" s="23" t="s">
        <v>65</v>
      </c>
      <c r="E33" s="30">
        <v>44414</v>
      </c>
      <c r="F33" s="24">
        <v>100</v>
      </c>
      <c r="G33" s="31">
        <v>19.971630096435547</v>
      </c>
      <c r="H33" s="31">
        <v>69297.578125</v>
      </c>
      <c r="I33" s="31">
        <f t="shared" si="0"/>
        <v>56314.939571126306</v>
      </c>
      <c r="J33" s="31">
        <f t="shared" si="11"/>
        <v>5631.4939571126306</v>
      </c>
      <c r="K33" s="31">
        <v>23.945396423339844</v>
      </c>
      <c r="L33" s="31">
        <v>5077.47900390625</v>
      </c>
      <c r="M33" s="31">
        <f t="shared" si="1"/>
        <v>-7905.1595499674477</v>
      </c>
      <c r="N33" s="32">
        <f t="shared" si="2"/>
        <v>-7905.1595499674477</v>
      </c>
      <c r="O33" s="31">
        <v>30.173599243164063</v>
      </c>
      <c r="P33" s="31">
        <v>168.56919860839844</v>
      </c>
      <c r="Q33" s="31">
        <f t="shared" si="3"/>
        <v>16.856919860839845</v>
      </c>
      <c r="R33" s="31">
        <v>33.907756805419922</v>
      </c>
      <c r="S33" s="31">
        <v>11.806528091430664</v>
      </c>
      <c r="T33" s="32">
        <f t="shared" si="4"/>
        <v>11.806528091430664</v>
      </c>
      <c r="U33" s="31">
        <v>27.822170257568359</v>
      </c>
      <c r="V33" s="31">
        <v>123.74990844726563</v>
      </c>
      <c r="W33" s="31">
        <f t="shared" si="5"/>
        <v>12.374990844726563</v>
      </c>
      <c r="X33" s="31">
        <v>32.917861938476563</v>
      </c>
      <c r="Y33" s="31">
        <v>4.4587240219116211</v>
      </c>
      <c r="Z33" s="32">
        <f t="shared" si="6"/>
        <v>4.4587240219116211</v>
      </c>
      <c r="AA33" t="s">
        <v>66</v>
      </c>
      <c r="AC33" s="31">
        <f t="shared" si="7"/>
        <v>0</v>
      </c>
      <c r="AD33" t="s">
        <v>66</v>
      </c>
      <c r="AF33" s="32">
        <f t="shared" si="8"/>
        <v>0</v>
      </c>
      <c r="AG33" s="31">
        <v>25.749725341796875</v>
      </c>
      <c r="AH33" s="31">
        <v>944.0797119140625</v>
      </c>
      <c r="AI33" s="31">
        <f t="shared" si="9"/>
        <v>94.407971191406247</v>
      </c>
      <c r="AJ33" s="31">
        <v>32.4718017578125</v>
      </c>
      <c r="AK33" s="31">
        <v>14.563800811767578</v>
      </c>
      <c r="AL33" s="32">
        <f t="shared" si="10"/>
        <v>14.563800811767578</v>
      </c>
    </row>
    <row r="34" spans="1:38" ht="15.15" thickBot="1" x14ac:dyDescent="0.35">
      <c r="A34" s="33" t="s">
        <v>80</v>
      </c>
      <c r="B34" s="30">
        <v>44342</v>
      </c>
      <c r="C34" s="33">
        <v>962</v>
      </c>
      <c r="D34" s="23" t="s">
        <v>65</v>
      </c>
      <c r="E34" s="30">
        <v>44414</v>
      </c>
      <c r="F34" s="24">
        <v>100</v>
      </c>
      <c r="G34" s="31">
        <v>18.226961135864258</v>
      </c>
      <c r="H34" s="31">
        <v>218306.546875</v>
      </c>
      <c r="I34" s="31">
        <f t="shared" si="0"/>
        <v>205323.90832112631</v>
      </c>
      <c r="J34" s="31">
        <f t="shared" si="11"/>
        <v>21343.441613422692</v>
      </c>
      <c r="K34" s="31">
        <v>22.274192810058594</v>
      </c>
      <c r="L34" s="31">
        <v>15240.953125</v>
      </c>
      <c r="M34" s="31">
        <f t="shared" si="1"/>
        <v>2258.3145711263023</v>
      </c>
      <c r="N34" s="32">
        <f t="shared" si="2"/>
        <v>2347.5203442061352</v>
      </c>
      <c r="O34" s="31">
        <v>28.851860046386719</v>
      </c>
      <c r="P34" s="31">
        <v>431.99554443359375</v>
      </c>
      <c r="Q34" s="31">
        <f t="shared" si="3"/>
        <v>44.905981749853822</v>
      </c>
      <c r="R34" s="31">
        <v>32.204208374023438</v>
      </c>
      <c r="S34" s="31">
        <v>39.708568572998047</v>
      </c>
      <c r="T34" s="32">
        <f t="shared" si="4"/>
        <v>41.277098308729776</v>
      </c>
      <c r="U34" s="31">
        <v>32.000679016113281</v>
      </c>
      <c r="V34" s="31">
        <v>8.1095924377441406</v>
      </c>
      <c r="W34" s="31">
        <f t="shared" si="5"/>
        <v>0.84299297689648034</v>
      </c>
      <c r="X34" s="31">
        <v>35.716815948486328</v>
      </c>
      <c r="Y34" s="31">
        <v>0.71848565340042114</v>
      </c>
      <c r="Z34" s="32">
        <f t="shared" si="6"/>
        <v>0.74686658357632141</v>
      </c>
      <c r="AA34" t="s">
        <v>66</v>
      </c>
      <c r="AC34" s="31">
        <f t="shared" si="7"/>
        <v>0</v>
      </c>
      <c r="AD34" t="s">
        <v>66</v>
      </c>
      <c r="AF34" s="32">
        <f t="shared" si="8"/>
        <v>0</v>
      </c>
      <c r="AG34" t="s">
        <v>66</v>
      </c>
      <c r="AI34" s="31">
        <f t="shared" si="9"/>
        <v>0</v>
      </c>
      <c r="AJ34" t="s">
        <v>66</v>
      </c>
      <c r="AL34" s="32">
        <f t="shared" si="10"/>
        <v>0</v>
      </c>
    </row>
    <row r="35" spans="1:38" ht="15.15" thickBot="1" x14ac:dyDescent="0.35">
      <c r="A35" s="33" t="s">
        <v>81</v>
      </c>
      <c r="B35" s="30">
        <v>44342</v>
      </c>
      <c r="C35" s="33">
        <v>935</v>
      </c>
      <c r="D35" s="23" t="s">
        <v>65</v>
      </c>
      <c r="E35" s="30">
        <v>44414</v>
      </c>
      <c r="F35" s="24">
        <v>100</v>
      </c>
      <c r="G35" s="31">
        <v>17.766716003417969</v>
      </c>
      <c r="H35" s="31">
        <v>295482.375</v>
      </c>
      <c r="I35" s="31">
        <f t="shared" si="0"/>
        <v>282499.73644612631</v>
      </c>
      <c r="J35" s="31">
        <f t="shared" si="11"/>
        <v>30213.875555735431</v>
      </c>
      <c r="K35" s="31">
        <v>20.706523895263672</v>
      </c>
      <c r="L35" s="31">
        <v>42736.83984375</v>
      </c>
      <c r="M35" s="31">
        <f t="shared" si="1"/>
        <v>29754.201289876302</v>
      </c>
      <c r="N35" s="32">
        <f t="shared" si="2"/>
        <v>31822.675176338289</v>
      </c>
      <c r="O35" s="31">
        <v>27.796417236328125</v>
      </c>
      <c r="P35" s="31">
        <v>915.8779296875</v>
      </c>
      <c r="Q35" s="31">
        <f t="shared" si="3"/>
        <v>97.954858790106954</v>
      </c>
      <c r="R35" s="31">
        <v>31.503101348876953</v>
      </c>
      <c r="S35" s="31">
        <v>65.414909362792969</v>
      </c>
      <c r="T35" s="32">
        <f t="shared" si="4"/>
        <v>69.962469906730448</v>
      </c>
      <c r="U35" s="31">
        <v>39.787403106689453</v>
      </c>
      <c r="V35" s="31">
        <v>5.0517350435256958E-2</v>
      </c>
      <c r="W35" s="31">
        <f t="shared" si="5"/>
        <v>5.4029251802413863E-3</v>
      </c>
      <c r="X35" s="31">
        <v>36.061042785644531</v>
      </c>
      <c r="Y35" s="31">
        <v>0.57400703430175781</v>
      </c>
      <c r="Z35" s="32">
        <f t="shared" si="6"/>
        <v>0.61391126663289608</v>
      </c>
      <c r="AA35" s="31">
        <v>30.497703552246094</v>
      </c>
      <c r="AB35" s="31">
        <v>2.0055742263793945</v>
      </c>
      <c r="AC35" s="31">
        <f t="shared" si="7"/>
        <v>0.21449991725982828</v>
      </c>
      <c r="AD35" t="s">
        <v>66</v>
      </c>
      <c r="AF35" s="32">
        <f t="shared" si="8"/>
        <v>0</v>
      </c>
      <c r="AG35" s="31">
        <v>34.033046722412109</v>
      </c>
      <c r="AH35" s="31">
        <v>5.5269813537597656</v>
      </c>
      <c r="AI35" s="31">
        <f t="shared" si="9"/>
        <v>0.59112100040211402</v>
      </c>
      <c r="AJ35" t="s">
        <v>66</v>
      </c>
      <c r="AL35" s="32">
        <f t="shared" si="10"/>
        <v>0</v>
      </c>
    </row>
    <row r="36" spans="1:38" ht="15.15" thickBot="1" x14ac:dyDescent="0.35">
      <c r="A36" s="33" t="s">
        <v>64</v>
      </c>
      <c r="B36" s="30">
        <v>44350</v>
      </c>
      <c r="C36" s="33">
        <v>910</v>
      </c>
      <c r="D36" s="23" t="s">
        <v>65</v>
      </c>
      <c r="E36" s="30">
        <v>44417</v>
      </c>
      <c r="F36" s="24">
        <v>100</v>
      </c>
      <c r="G36" s="31">
        <v>18.442655563354492</v>
      </c>
      <c r="H36" s="31">
        <v>189433</v>
      </c>
      <c r="I36" s="31">
        <f t="shared" si="0"/>
        <v>176450.36144612631</v>
      </c>
      <c r="J36" s="31">
        <f t="shared" si="11"/>
        <v>19390.149609464428</v>
      </c>
      <c r="K36" s="31">
        <v>21.352970123291016</v>
      </c>
      <c r="L36" s="31">
        <v>27935.146484375</v>
      </c>
      <c r="M36" s="31">
        <f t="shared" si="1"/>
        <v>14952.507930501302</v>
      </c>
      <c r="N36" s="32">
        <f t="shared" si="2"/>
        <v>16431.327396155277</v>
      </c>
      <c r="O36" s="31">
        <v>31.267242431640625</v>
      </c>
      <c r="P36" s="31">
        <v>77.376266479492188</v>
      </c>
      <c r="Q36" s="31">
        <f t="shared" si="3"/>
        <v>8.5028864263178221</v>
      </c>
      <c r="R36" s="31">
        <v>34.605503082275391</v>
      </c>
      <c r="S36" s="31">
        <v>7.1840419769287109</v>
      </c>
      <c r="T36" s="32">
        <f t="shared" si="4"/>
        <v>7.8945516229985833</v>
      </c>
      <c r="U36" s="31">
        <v>30.839181900024414</v>
      </c>
      <c r="V36" s="31">
        <v>17.297702789306641</v>
      </c>
      <c r="W36" s="31">
        <f t="shared" si="5"/>
        <v>1.900846460363367</v>
      </c>
      <c r="X36" s="31">
        <v>33.967765808105469</v>
      </c>
      <c r="Y36" s="31">
        <v>2.2481720447540283</v>
      </c>
      <c r="Z36" s="32">
        <f t="shared" si="6"/>
        <v>2.4705187304989322</v>
      </c>
      <c r="AA36" s="31">
        <v>30.654111862182617</v>
      </c>
      <c r="AB36" s="31">
        <v>1.809248685836792</v>
      </c>
      <c r="AC36" s="31">
        <f t="shared" si="7"/>
        <v>0.19881853690514198</v>
      </c>
      <c r="AD36" t="s">
        <v>66</v>
      </c>
      <c r="AF36" s="32">
        <f t="shared" si="8"/>
        <v>0</v>
      </c>
      <c r="AG36" s="31">
        <v>33.062393188476563</v>
      </c>
      <c r="AH36" s="31">
        <v>10.094819068908691</v>
      </c>
      <c r="AI36" s="31">
        <f t="shared" si="9"/>
        <v>1.109320776803153</v>
      </c>
      <c r="AJ36" t="s">
        <v>66</v>
      </c>
      <c r="AL36" s="32">
        <f t="shared" si="10"/>
        <v>0</v>
      </c>
    </row>
    <row r="37" spans="1:38" ht="15.15" thickBot="1" x14ac:dyDescent="0.35">
      <c r="A37" s="33" t="s">
        <v>67</v>
      </c>
      <c r="B37" s="30">
        <v>44350</v>
      </c>
      <c r="C37" s="33">
        <v>900</v>
      </c>
      <c r="D37" s="23" t="s">
        <v>65</v>
      </c>
      <c r="E37" s="30">
        <v>44417</v>
      </c>
      <c r="F37" s="24">
        <v>100</v>
      </c>
      <c r="G37" s="31">
        <v>18.78660774230957</v>
      </c>
      <c r="H37" s="31">
        <v>151080.65625</v>
      </c>
      <c r="I37" s="31">
        <f t="shared" si="0"/>
        <v>138098.01769612631</v>
      </c>
      <c r="J37" s="31">
        <f t="shared" si="11"/>
        <v>15344.224188458478</v>
      </c>
      <c r="K37" s="31">
        <v>22.358880996704102</v>
      </c>
      <c r="L37" s="31">
        <v>14415.2353515625</v>
      </c>
      <c r="M37" s="31">
        <f t="shared" si="1"/>
        <v>1432.5967976888023</v>
      </c>
      <c r="N37" s="32">
        <f t="shared" si="2"/>
        <v>1591.7742196542247</v>
      </c>
      <c r="O37" s="31">
        <v>31.362125396728516</v>
      </c>
      <c r="P37" s="31">
        <v>72.321693420410156</v>
      </c>
      <c r="Q37" s="31">
        <f t="shared" si="3"/>
        <v>8.0357437133789063</v>
      </c>
      <c r="R37" s="31">
        <v>35.483421325683594</v>
      </c>
      <c r="S37" s="31">
        <v>3.8450653553009033</v>
      </c>
      <c r="T37" s="32">
        <f t="shared" si="4"/>
        <v>4.2722948392232256</v>
      </c>
      <c r="U37" s="31">
        <v>31.117818832397461</v>
      </c>
      <c r="V37" s="31">
        <v>14.423332214355469</v>
      </c>
      <c r="W37" s="31">
        <f t="shared" si="5"/>
        <v>1.6025924682617188</v>
      </c>
      <c r="X37" s="31">
        <v>34.928256988525391</v>
      </c>
      <c r="Y37" s="31">
        <v>1.2016396522521973</v>
      </c>
      <c r="Z37" s="32">
        <f t="shared" si="6"/>
        <v>1.3351551691691081</v>
      </c>
      <c r="AA37" s="31">
        <v>30.601451873779297</v>
      </c>
      <c r="AB37" s="31">
        <v>1.8731027841567993</v>
      </c>
      <c r="AC37" s="31">
        <f t="shared" si="7"/>
        <v>0.20812253157297769</v>
      </c>
      <c r="AD37" s="31">
        <v>32.285350799560547</v>
      </c>
      <c r="AE37" s="31">
        <v>0.61785048246383667</v>
      </c>
      <c r="AF37" s="32">
        <f t="shared" si="8"/>
        <v>0.68650053607092965</v>
      </c>
      <c r="AG37" t="s">
        <v>66</v>
      </c>
      <c r="AI37" s="31">
        <f t="shared" si="9"/>
        <v>0</v>
      </c>
      <c r="AJ37" t="s">
        <v>66</v>
      </c>
      <c r="AL37" s="32">
        <f t="shared" si="10"/>
        <v>0</v>
      </c>
    </row>
    <row r="38" spans="1:38" ht="15.15" thickBot="1" x14ac:dyDescent="0.35">
      <c r="A38" s="33" t="s">
        <v>68</v>
      </c>
      <c r="B38" s="30">
        <v>44350</v>
      </c>
      <c r="C38" s="33">
        <v>1000</v>
      </c>
      <c r="D38" s="23" t="s">
        <v>65</v>
      </c>
      <c r="E38" s="30">
        <v>44417</v>
      </c>
      <c r="F38" s="24">
        <v>100</v>
      </c>
      <c r="G38" s="31">
        <v>16.754219055175781</v>
      </c>
      <c r="H38" s="31">
        <v>603551.25</v>
      </c>
      <c r="I38" s="31">
        <f t="shared" si="0"/>
        <v>590568.61144612625</v>
      </c>
      <c r="J38" s="31">
        <f t="shared" si="11"/>
        <v>59056.861144612623</v>
      </c>
      <c r="K38" s="31">
        <v>19.965038299560547</v>
      </c>
      <c r="L38" s="31">
        <v>81743.9921875</v>
      </c>
      <c r="M38" s="31">
        <f t="shared" si="1"/>
        <v>68761.353633626306</v>
      </c>
      <c r="N38" s="32">
        <f t="shared" si="2"/>
        <v>68761.353633626306</v>
      </c>
      <c r="O38" s="31">
        <v>32.933952331542969</v>
      </c>
      <c r="P38" s="31">
        <v>187.21766662597656</v>
      </c>
      <c r="Q38" s="31">
        <f t="shared" si="3"/>
        <v>18.721766662597656</v>
      </c>
      <c r="R38" s="31">
        <v>31.285758972167969</v>
      </c>
      <c r="S38" s="31">
        <v>499.77725219726563</v>
      </c>
      <c r="T38" s="32">
        <f t="shared" si="4"/>
        <v>499.77725219726563</v>
      </c>
      <c r="U38" s="31">
        <v>36.130817413330078</v>
      </c>
      <c r="V38" s="31">
        <v>0.7062002420425415</v>
      </c>
      <c r="W38" s="31">
        <f t="shared" si="5"/>
        <v>7.0620024204254145E-2</v>
      </c>
      <c r="X38" t="s">
        <v>66</v>
      </c>
      <c r="Z38" s="32">
        <f t="shared" si="6"/>
        <v>0</v>
      </c>
      <c r="AA38" s="31">
        <v>30.273244857788086</v>
      </c>
      <c r="AB38" s="31">
        <v>2.3110160827636719</v>
      </c>
      <c r="AC38" s="31">
        <f t="shared" si="7"/>
        <v>0.23110160827636719</v>
      </c>
      <c r="AD38" t="s">
        <v>66</v>
      </c>
      <c r="AF38" s="32">
        <f t="shared" si="8"/>
        <v>0</v>
      </c>
      <c r="AG38" t="s">
        <v>66</v>
      </c>
      <c r="AH38" s="31"/>
      <c r="AI38" s="31">
        <f t="shared" si="9"/>
        <v>0</v>
      </c>
      <c r="AJ38" t="s">
        <v>66</v>
      </c>
      <c r="AK38" s="31"/>
      <c r="AL38" s="32">
        <f t="shared" si="10"/>
        <v>0</v>
      </c>
    </row>
    <row r="39" spans="1:38" ht="15.15" thickBot="1" x14ac:dyDescent="0.35">
      <c r="A39" s="33" t="s">
        <v>69</v>
      </c>
      <c r="B39" s="30">
        <v>44350</v>
      </c>
      <c r="C39" s="33">
        <v>900</v>
      </c>
      <c r="D39" s="23" t="s">
        <v>65</v>
      </c>
      <c r="E39" s="30">
        <v>44417</v>
      </c>
      <c r="F39" s="24">
        <v>100</v>
      </c>
      <c r="G39" s="31">
        <v>17.018051147460938</v>
      </c>
      <c r="H39" s="31">
        <v>512117.5</v>
      </c>
      <c r="I39" s="31">
        <f t="shared" si="0"/>
        <v>499134.86144612631</v>
      </c>
      <c r="J39" s="31">
        <f t="shared" si="11"/>
        <v>55459.42904956959</v>
      </c>
      <c r="K39" s="31">
        <v>20.393613815307617</v>
      </c>
      <c r="L39" s="31">
        <v>62598.21875</v>
      </c>
      <c r="M39" s="31">
        <f t="shared" si="1"/>
        <v>49615.580196126306</v>
      </c>
      <c r="N39" s="32">
        <f t="shared" si="2"/>
        <v>55128.422440140341</v>
      </c>
      <c r="O39" s="31">
        <v>31.687356948852539</v>
      </c>
      <c r="P39" s="31">
        <v>393.43487548828125</v>
      </c>
      <c r="Q39" s="31">
        <f t="shared" si="3"/>
        <v>43.714986165364586</v>
      </c>
      <c r="R39" s="31">
        <v>34.800807952880859</v>
      </c>
      <c r="S39" s="31">
        <v>61.566379547119141</v>
      </c>
      <c r="T39" s="32">
        <f t="shared" si="4"/>
        <v>68.407088385687928</v>
      </c>
      <c r="U39" s="31">
        <v>33.109592437744141</v>
      </c>
      <c r="V39" s="31">
        <v>4.9321250915527344</v>
      </c>
      <c r="W39" s="31">
        <f t="shared" si="5"/>
        <v>0.54801389906141496</v>
      </c>
      <c r="X39" s="31">
        <v>36.641960144042969</v>
      </c>
      <c r="Y39" s="31">
        <v>0.50829827785491943</v>
      </c>
      <c r="Z39" s="32">
        <f t="shared" si="6"/>
        <v>0.56477586428324378</v>
      </c>
      <c r="AA39" s="31">
        <v>30.065032958984375</v>
      </c>
      <c r="AB39" s="31">
        <v>2.6564815044403076</v>
      </c>
      <c r="AC39" s="31">
        <f t="shared" si="7"/>
        <v>0.2951646116044786</v>
      </c>
      <c r="AD39" t="s">
        <v>66</v>
      </c>
      <c r="AF39" s="32">
        <f t="shared" si="8"/>
        <v>0</v>
      </c>
      <c r="AG39" s="31">
        <v>37.25006103515625</v>
      </c>
      <c r="AH39" s="31">
        <v>0.64798223972320557</v>
      </c>
      <c r="AI39" s="31">
        <f t="shared" si="9"/>
        <v>7.1998026635911733E-2</v>
      </c>
      <c r="AJ39" t="s">
        <v>66</v>
      </c>
      <c r="AL39" s="32">
        <f t="shared" si="10"/>
        <v>0</v>
      </c>
    </row>
    <row r="40" spans="1:38" ht="15.15" thickBot="1" x14ac:dyDescent="0.35">
      <c r="A40" s="33" t="s">
        <v>70</v>
      </c>
      <c r="B40" s="30">
        <v>44350</v>
      </c>
      <c r="C40" s="33">
        <v>800</v>
      </c>
      <c r="D40" s="23" t="s">
        <v>65</v>
      </c>
      <c r="E40" s="30">
        <v>44417</v>
      </c>
      <c r="F40" s="24">
        <v>100</v>
      </c>
      <c r="G40" s="31">
        <v>16.609580993652344</v>
      </c>
      <c r="H40" s="31">
        <v>660429.8125</v>
      </c>
      <c r="I40" s="31">
        <f t="shared" si="0"/>
        <v>647447.17394612625</v>
      </c>
      <c r="J40" s="31">
        <f t="shared" si="11"/>
        <v>80930.896743265781</v>
      </c>
      <c r="K40" s="31">
        <v>19.415191650390625</v>
      </c>
      <c r="L40" s="31">
        <v>115118.046875</v>
      </c>
      <c r="M40" s="31">
        <f t="shared" si="1"/>
        <v>102135.40832112631</v>
      </c>
      <c r="N40" s="32">
        <f t="shared" si="2"/>
        <v>127669.2604014079</v>
      </c>
      <c r="O40" s="31">
        <v>28.914619445800781</v>
      </c>
      <c r="P40" s="31">
        <v>2052.346923828125</v>
      </c>
      <c r="Q40" s="31">
        <f t="shared" si="3"/>
        <v>256.54336547851563</v>
      </c>
      <c r="R40" s="31">
        <v>32.306892395019531</v>
      </c>
      <c r="S40" s="31">
        <v>272.00897216796875</v>
      </c>
      <c r="T40" s="32">
        <f t="shared" si="4"/>
        <v>340.01121520996094</v>
      </c>
      <c r="U40" s="31">
        <v>30.564037322998047</v>
      </c>
      <c r="V40" s="31">
        <v>25.365411758422852</v>
      </c>
      <c r="W40" s="31">
        <f t="shared" si="5"/>
        <v>3.1706764698028564</v>
      </c>
      <c r="X40" s="31">
        <v>34.714622497558594</v>
      </c>
      <c r="Y40" s="31">
        <v>1.7563110589981079</v>
      </c>
      <c r="Z40" s="32">
        <f t="shared" si="6"/>
        <v>2.1953888237476349</v>
      </c>
      <c r="AA40" s="31">
        <v>25.586933135986328</v>
      </c>
      <c r="AB40" s="31">
        <v>53.160400390625</v>
      </c>
      <c r="AC40" s="31">
        <f t="shared" si="7"/>
        <v>6.645050048828125</v>
      </c>
      <c r="AD40" s="31">
        <v>28.914815902709961</v>
      </c>
      <c r="AE40" s="31">
        <v>5.7351651191711426</v>
      </c>
      <c r="AF40" s="32">
        <f t="shared" si="8"/>
        <v>7.1689563989639282</v>
      </c>
      <c r="AG40" s="31">
        <v>29.318700790405273</v>
      </c>
      <c r="AH40" s="31">
        <v>97.7303466796875</v>
      </c>
      <c r="AI40" s="31">
        <f t="shared" si="9"/>
        <v>12.216293334960938</v>
      </c>
      <c r="AJ40" s="31">
        <v>32.972770690917969</v>
      </c>
      <c r="AK40" s="31">
        <v>9.6913585662841797</v>
      </c>
      <c r="AL40" s="32">
        <f t="shared" si="10"/>
        <v>12.114198207855225</v>
      </c>
    </row>
    <row r="41" spans="1:38" ht="15.15" thickBot="1" x14ac:dyDescent="0.35">
      <c r="A41" s="33" t="s">
        <v>71</v>
      </c>
      <c r="B41" s="30">
        <v>44350</v>
      </c>
      <c r="C41" s="33">
        <v>880</v>
      </c>
      <c r="D41" s="23" t="s">
        <v>65</v>
      </c>
      <c r="E41" s="30">
        <v>44417</v>
      </c>
      <c r="F41" s="24">
        <v>100</v>
      </c>
      <c r="G41" s="31">
        <v>16.696020126342773</v>
      </c>
      <c r="H41" s="31">
        <v>625823.8125</v>
      </c>
      <c r="I41" s="31">
        <f t="shared" si="0"/>
        <v>612841.17394612625</v>
      </c>
      <c r="J41" s="31">
        <f t="shared" si="11"/>
        <v>69641.042493877976</v>
      </c>
      <c r="K41" s="31">
        <v>19.523082733154297</v>
      </c>
      <c r="L41" s="31">
        <v>107638.5625</v>
      </c>
      <c r="M41" s="31">
        <f t="shared" si="1"/>
        <v>94655.923946126306</v>
      </c>
      <c r="N41" s="32">
        <f t="shared" si="2"/>
        <v>107563.54993877991</v>
      </c>
      <c r="O41" s="31">
        <v>34.628608703613281</v>
      </c>
      <c r="P41" s="31">
        <v>68.217529296875</v>
      </c>
      <c r="Q41" s="31">
        <f t="shared" si="3"/>
        <v>7.7519919655539775</v>
      </c>
      <c r="R41" s="31">
        <v>37.849308013916016</v>
      </c>
      <c r="S41" s="31">
        <v>10.014260292053223</v>
      </c>
      <c r="T41" s="32">
        <f t="shared" si="4"/>
        <v>11.37984124096957</v>
      </c>
      <c r="U41" s="31">
        <v>30.967811584472656</v>
      </c>
      <c r="V41" s="31">
        <v>19.562782287597656</v>
      </c>
      <c r="W41" s="31">
        <f t="shared" si="5"/>
        <v>2.2230434417724609</v>
      </c>
      <c r="X41" s="31">
        <v>34.636089324951172</v>
      </c>
      <c r="Y41" s="31">
        <v>1.8473236560821533</v>
      </c>
      <c r="Z41" s="32">
        <f t="shared" si="6"/>
        <v>2.0992314273660835</v>
      </c>
      <c r="AA41" s="31">
        <v>20.252361297607422</v>
      </c>
      <c r="AB41" s="31">
        <v>1886.9051513671875</v>
      </c>
      <c r="AC41" s="31">
        <f t="shared" si="7"/>
        <v>214.4210399280895</v>
      </c>
      <c r="AD41" s="31">
        <v>23.488063812255859</v>
      </c>
      <c r="AE41" s="31">
        <v>216.51809692382813</v>
      </c>
      <c r="AF41" s="32">
        <f t="shared" si="8"/>
        <v>246.04329195889559</v>
      </c>
      <c r="AG41" s="31">
        <v>29.991912841796875</v>
      </c>
      <c r="AH41" s="31">
        <v>63.84423828125</v>
      </c>
      <c r="AI41" s="31">
        <f t="shared" si="9"/>
        <v>7.2550270774147725</v>
      </c>
      <c r="AJ41" s="31">
        <v>33.940521240234375</v>
      </c>
      <c r="AK41" s="31">
        <v>5.2550582885742188</v>
      </c>
      <c r="AL41" s="32">
        <f t="shared" si="10"/>
        <v>5.9716571461070664</v>
      </c>
    </row>
    <row r="42" spans="1:38" ht="15.15" thickBot="1" x14ac:dyDescent="0.35">
      <c r="A42" s="33" t="s">
        <v>72</v>
      </c>
      <c r="B42" s="30">
        <v>44350</v>
      </c>
      <c r="C42" s="33">
        <v>880</v>
      </c>
      <c r="D42" s="23" t="s">
        <v>65</v>
      </c>
      <c r="E42" s="30">
        <v>44417</v>
      </c>
      <c r="F42" s="24">
        <v>100</v>
      </c>
      <c r="G42" s="31">
        <v>18.282363891601563</v>
      </c>
      <c r="H42" s="31">
        <v>233065.859375</v>
      </c>
      <c r="I42" s="31">
        <f t="shared" si="0"/>
        <v>220083.22082112631</v>
      </c>
      <c r="J42" s="31">
        <f t="shared" si="11"/>
        <v>25009.456911491623</v>
      </c>
      <c r="K42" s="31">
        <v>21.838169097900391</v>
      </c>
      <c r="L42" s="31">
        <v>25464.2265625</v>
      </c>
      <c r="M42" s="31">
        <f t="shared" si="1"/>
        <v>12481.588008626302</v>
      </c>
      <c r="N42" s="32">
        <f t="shared" si="2"/>
        <v>14183.622737075344</v>
      </c>
      <c r="O42" s="31">
        <v>32.127708435058594</v>
      </c>
      <c r="P42" s="31">
        <v>302.65139770507813</v>
      </c>
      <c r="Q42" s="31">
        <f t="shared" si="3"/>
        <v>34.392204284667969</v>
      </c>
      <c r="R42" s="31">
        <v>35.383590698242188</v>
      </c>
      <c r="S42" s="31">
        <v>43.507373809814453</v>
      </c>
      <c r="T42" s="32">
        <f t="shared" si="4"/>
        <v>49.440197511152789</v>
      </c>
      <c r="U42" s="31">
        <v>28.627311706542969</v>
      </c>
      <c r="V42" s="31">
        <v>88.175445556640625</v>
      </c>
      <c r="W42" s="31">
        <f t="shared" si="5"/>
        <v>10.019936995072799</v>
      </c>
      <c r="X42" s="31">
        <v>32.307704925537109</v>
      </c>
      <c r="Y42" s="31">
        <v>8.2618074417114258</v>
      </c>
      <c r="Z42" s="32">
        <f t="shared" si="6"/>
        <v>9.3884175473993476</v>
      </c>
      <c r="AA42" s="31">
        <v>30.064403533935547</v>
      </c>
      <c r="AB42" s="31">
        <v>2.6576006412506104</v>
      </c>
      <c r="AC42" s="31">
        <f t="shared" si="7"/>
        <v>0.30200007286938751</v>
      </c>
      <c r="AD42" s="31">
        <v>31.885046005249023</v>
      </c>
      <c r="AE42" s="31">
        <v>0.78601914644241333</v>
      </c>
      <c r="AF42" s="32">
        <f t="shared" si="8"/>
        <v>0.89320357550274243</v>
      </c>
      <c r="AG42" s="31">
        <v>33.431076049804688</v>
      </c>
      <c r="AH42" s="31">
        <v>7.2527761459350586</v>
      </c>
      <c r="AI42" s="31">
        <f t="shared" si="9"/>
        <v>0.82417910749262024</v>
      </c>
      <c r="AJ42" t="s">
        <v>66</v>
      </c>
      <c r="AL42" s="32">
        <f t="shared" si="10"/>
        <v>0</v>
      </c>
    </row>
    <row r="43" spans="1:38" ht="15.15" thickBot="1" x14ac:dyDescent="0.35">
      <c r="A43" s="33" t="s">
        <v>73</v>
      </c>
      <c r="B43" s="30">
        <v>44350</v>
      </c>
      <c r="C43" s="33">
        <v>940</v>
      </c>
      <c r="D43" s="23" t="s">
        <v>65</v>
      </c>
      <c r="E43" s="30">
        <v>44417</v>
      </c>
      <c r="F43" s="24">
        <v>100</v>
      </c>
      <c r="G43" t="s">
        <v>66</v>
      </c>
      <c r="I43" s="31"/>
      <c r="J43" s="31"/>
      <c r="K43" t="s">
        <v>66</v>
      </c>
      <c r="M43" s="31"/>
      <c r="N43" s="32"/>
      <c r="O43" s="31">
        <v>33.965736389160156</v>
      </c>
      <c r="P43" s="31">
        <v>101.25067901611328</v>
      </c>
      <c r="Q43" s="31">
        <f t="shared" si="3"/>
        <v>10.771348831501413</v>
      </c>
      <c r="R43" s="31">
        <v>38.704242706298828</v>
      </c>
      <c r="S43" s="31">
        <v>6.0176296234130859</v>
      </c>
      <c r="T43" s="32">
        <f t="shared" si="4"/>
        <v>6.4017336419288151</v>
      </c>
      <c r="U43" s="31">
        <v>31.384363174438477</v>
      </c>
      <c r="V43" s="31">
        <v>14.964058876037598</v>
      </c>
      <c r="W43" s="31">
        <f t="shared" si="5"/>
        <v>1.5919211570252763</v>
      </c>
      <c r="X43" s="31">
        <v>34.629043579101563</v>
      </c>
      <c r="Y43" s="31">
        <v>1.8557159900665283</v>
      </c>
      <c r="Z43" s="32">
        <f t="shared" si="6"/>
        <v>1.9741659468792854</v>
      </c>
      <c r="AA43" s="31">
        <v>29.410202026367188</v>
      </c>
      <c r="AB43" s="31">
        <v>4.1171126365661621</v>
      </c>
      <c r="AC43" s="31">
        <f t="shared" si="7"/>
        <v>0.43799070601767681</v>
      </c>
      <c r="AD43" t="s">
        <v>66</v>
      </c>
      <c r="AF43" s="32">
        <f t="shared" si="8"/>
        <v>0</v>
      </c>
      <c r="AG43" s="31">
        <v>34.783351898193359</v>
      </c>
      <c r="AH43" s="31">
        <v>3.0837669372558594</v>
      </c>
      <c r="AI43" s="31">
        <f t="shared" si="9"/>
        <v>0.32806031247402762</v>
      </c>
      <c r="AJ43" t="s">
        <v>66</v>
      </c>
      <c r="AL43" s="32">
        <f t="shared" si="10"/>
        <v>0</v>
      </c>
    </row>
    <row r="44" spans="1:38" ht="15.15" thickBot="1" x14ac:dyDescent="0.35">
      <c r="A44" s="33" t="s">
        <v>74</v>
      </c>
      <c r="B44" s="30">
        <v>44350</v>
      </c>
      <c r="C44" s="33">
        <v>920</v>
      </c>
      <c r="D44" s="23" t="s">
        <v>65</v>
      </c>
      <c r="E44" s="30">
        <v>44417</v>
      </c>
      <c r="F44" s="24">
        <v>100</v>
      </c>
      <c r="G44" s="31">
        <v>19.80866813659668</v>
      </c>
      <c r="H44" s="31">
        <v>90103.34375</v>
      </c>
      <c r="I44" s="31">
        <f t="shared" ref="I44:I49" si="12">H44-$H$242</f>
        <v>77120.705196126306</v>
      </c>
      <c r="J44" s="31">
        <f t="shared" si="11"/>
        <v>8382.6853474050331</v>
      </c>
      <c r="K44" s="31">
        <v>23.010299682617188</v>
      </c>
      <c r="L44" s="31">
        <v>12273.4619140625</v>
      </c>
      <c r="M44" s="31">
        <f t="shared" ref="M44:M49" si="13">L44-$H$242</f>
        <v>-709.17663981119767</v>
      </c>
      <c r="N44" s="32">
        <f t="shared" si="2"/>
        <v>-770.84417370782353</v>
      </c>
      <c r="O44" s="31">
        <v>31.055070877075195</v>
      </c>
      <c r="P44" s="31">
        <v>573.4049072265625</v>
      </c>
      <c r="Q44" s="31">
        <f t="shared" si="3"/>
        <v>62.326620350713313</v>
      </c>
      <c r="R44" s="31">
        <v>34.911338806152344</v>
      </c>
      <c r="S44" s="31">
        <v>57.642986297607422</v>
      </c>
      <c r="T44" s="32">
        <f t="shared" si="4"/>
        <v>62.655419888703719</v>
      </c>
      <c r="U44" s="31">
        <v>32.475231170654297</v>
      </c>
      <c r="V44" s="31">
        <v>7.4177050590515137</v>
      </c>
      <c r="W44" s="31">
        <f t="shared" si="5"/>
        <v>0.8062722890273385</v>
      </c>
      <c r="X44" s="31">
        <v>34.755863189697266</v>
      </c>
      <c r="Y44" s="31">
        <v>1.7103269100189209</v>
      </c>
      <c r="Z44" s="32">
        <f t="shared" si="6"/>
        <v>1.859050989151001</v>
      </c>
      <c r="AA44" s="31">
        <v>29.680091857910156</v>
      </c>
      <c r="AB44" s="31">
        <v>3.4368932247161865</v>
      </c>
      <c r="AC44" s="31">
        <f t="shared" si="7"/>
        <v>0.37357535051262897</v>
      </c>
      <c r="AD44" t="s">
        <v>66</v>
      </c>
      <c r="AF44" s="32">
        <f t="shared" si="8"/>
        <v>0</v>
      </c>
      <c r="AG44" s="31">
        <v>36.669956207275391</v>
      </c>
      <c r="AH44" s="31">
        <v>0.9351850152015686</v>
      </c>
      <c r="AI44" s="31">
        <f t="shared" si="9"/>
        <v>0.10165054513060529</v>
      </c>
      <c r="AJ44" t="s">
        <v>66</v>
      </c>
      <c r="AL44" s="32">
        <f t="shared" si="10"/>
        <v>0</v>
      </c>
    </row>
    <row r="45" spans="1:38" ht="15.15" thickBot="1" x14ac:dyDescent="0.35">
      <c r="A45" s="33" t="s">
        <v>75</v>
      </c>
      <c r="B45" s="30">
        <v>44350</v>
      </c>
      <c r="C45" s="33">
        <v>900</v>
      </c>
      <c r="D45" s="23" t="s">
        <v>65</v>
      </c>
      <c r="E45" s="30">
        <v>44417</v>
      </c>
      <c r="F45" s="24">
        <v>100</v>
      </c>
      <c r="G45" s="31">
        <v>18.671392440795898</v>
      </c>
      <c r="H45" s="31">
        <v>182927.484375</v>
      </c>
      <c r="I45" s="31">
        <f t="shared" si="12"/>
        <v>169944.84582112631</v>
      </c>
      <c r="J45" s="31">
        <f t="shared" si="11"/>
        <v>18882.760646791809</v>
      </c>
      <c r="K45" s="31">
        <v>21.949716567993164</v>
      </c>
      <c r="L45" s="31">
        <v>23755.611328125</v>
      </c>
      <c r="M45" s="31">
        <f t="shared" si="13"/>
        <v>10772.972774251302</v>
      </c>
      <c r="N45" s="32">
        <f t="shared" si="2"/>
        <v>11969.969749168115</v>
      </c>
      <c r="O45" s="31">
        <v>30.727001190185547</v>
      </c>
      <c r="P45" s="31">
        <v>697.17431640625</v>
      </c>
      <c r="Q45" s="31">
        <f t="shared" si="3"/>
        <v>77.463812934027771</v>
      </c>
      <c r="R45" s="31">
        <v>33.847194671630859</v>
      </c>
      <c r="S45" s="31">
        <v>108.65950012207031</v>
      </c>
      <c r="T45" s="32">
        <f t="shared" si="4"/>
        <v>120.73277791341145</v>
      </c>
      <c r="U45" s="31">
        <v>32.947200775146484</v>
      </c>
      <c r="V45" s="31">
        <v>5.4752635955810547</v>
      </c>
      <c r="W45" s="31">
        <f t="shared" si="5"/>
        <v>0.60836262173122835</v>
      </c>
      <c r="X45" s="31">
        <v>35.583946228027344</v>
      </c>
      <c r="Y45" s="31">
        <v>1.0039666891098022</v>
      </c>
      <c r="Z45" s="32">
        <f t="shared" si="6"/>
        <v>1.1155185434553359</v>
      </c>
      <c r="AA45" s="31">
        <v>27.498956680297852</v>
      </c>
      <c r="AB45" s="31">
        <v>14.790314674377441</v>
      </c>
      <c r="AC45" s="31">
        <f t="shared" si="7"/>
        <v>1.643368297153049</v>
      </c>
      <c r="AD45" s="31">
        <v>30.589944839477539</v>
      </c>
      <c r="AE45" s="31">
        <v>1.8697080612182617</v>
      </c>
      <c r="AF45" s="32">
        <f t="shared" si="8"/>
        <v>2.0774534013536243</v>
      </c>
      <c r="AG45" s="31">
        <v>37.440029144287109</v>
      </c>
      <c r="AH45" s="31">
        <v>0.57462632656097412</v>
      </c>
      <c r="AI45" s="31">
        <f t="shared" si="9"/>
        <v>6.3847369617886007E-2</v>
      </c>
      <c r="AJ45" t="s">
        <v>66</v>
      </c>
      <c r="AL45" s="32">
        <f t="shared" si="10"/>
        <v>0</v>
      </c>
    </row>
    <row r="46" spans="1:38" ht="15.15" thickBot="1" x14ac:dyDescent="0.35">
      <c r="A46" s="33" t="s">
        <v>76</v>
      </c>
      <c r="B46" s="30">
        <v>44350</v>
      </c>
      <c r="C46" s="33">
        <v>900</v>
      </c>
      <c r="D46" s="23" t="s">
        <v>65</v>
      </c>
      <c r="E46" s="30">
        <v>44417</v>
      </c>
      <c r="F46" s="24">
        <v>100</v>
      </c>
      <c r="G46" s="31">
        <v>9.8082008361816406</v>
      </c>
      <c r="H46" s="31">
        <v>45607020</v>
      </c>
      <c r="I46" s="31">
        <f t="shared" si="12"/>
        <v>45594037.361446127</v>
      </c>
      <c r="J46" s="31">
        <f t="shared" si="11"/>
        <v>5066004.1512717912</v>
      </c>
      <c r="K46" s="31">
        <v>12.373018264770508</v>
      </c>
      <c r="L46" s="31">
        <v>9235552</v>
      </c>
      <c r="M46" s="31">
        <f t="shared" si="13"/>
        <v>9222569.3614461254</v>
      </c>
      <c r="N46" s="32">
        <f t="shared" si="2"/>
        <v>10247299.290495694</v>
      </c>
      <c r="O46" s="31">
        <v>29.675907135009766</v>
      </c>
      <c r="P46" s="31">
        <v>1304.0260009765625</v>
      </c>
      <c r="Q46" s="31">
        <f t="shared" si="3"/>
        <v>144.89177788628473</v>
      </c>
      <c r="R46" s="31">
        <v>32.483463287353516</v>
      </c>
      <c r="S46" s="31">
        <v>244.84983825683594</v>
      </c>
      <c r="T46" s="32">
        <f t="shared" si="4"/>
        <v>272.05537584092883</v>
      </c>
      <c r="U46" s="31">
        <v>25.608776092529297</v>
      </c>
      <c r="V46" s="31">
        <v>614.75555419921875</v>
      </c>
      <c r="W46" s="31">
        <f t="shared" si="5"/>
        <v>68.306172688802079</v>
      </c>
      <c r="X46" s="31">
        <v>28.504611968994141</v>
      </c>
      <c r="Y46" s="31">
        <v>95.417709350585938</v>
      </c>
      <c r="Z46" s="32">
        <f t="shared" si="6"/>
        <v>106.0196770562066</v>
      </c>
      <c r="AA46" s="31">
        <v>30.072658538818359</v>
      </c>
      <c r="AB46" s="31">
        <v>2.6429619789123535</v>
      </c>
      <c r="AC46" s="31">
        <f t="shared" si="7"/>
        <v>0.2936624421013726</v>
      </c>
      <c r="AD46" s="31">
        <v>31.408628463745117</v>
      </c>
      <c r="AE46" s="31">
        <v>1.0811209678649902</v>
      </c>
      <c r="AF46" s="32">
        <f t="shared" si="8"/>
        <v>1.2012455198499892</v>
      </c>
      <c r="AG46" s="31">
        <v>25.412641525268555</v>
      </c>
      <c r="AH46" s="31">
        <v>1155.81103515625</v>
      </c>
      <c r="AI46" s="31">
        <f t="shared" si="9"/>
        <v>128.42344835069446</v>
      </c>
      <c r="AJ46" s="31">
        <v>28.170585632324219</v>
      </c>
      <c r="AK46" s="31">
        <v>202.01164245605469</v>
      </c>
      <c r="AL46" s="32">
        <f t="shared" si="10"/>
        <v>224.45738050672742</v>
      </c>
    </row>
    <row r="47" spans="1:38" ht="15.15" thickBot="1" x14ac:dyDescent="0.35">
      <c r="A47" s="33" t="s">
        <v>77</v>
      </c>
      <c r="B47" s="30">
        <v>44350</v>
      </c>
      <c r="C47" s="33">
        <v>970</v>
      </c>
      <c r="D47" s="23" t="s">
        <v>65</v>
      </c>
      <c r="E47" s="30">
        <v>44417</v>
      </c>
      <c r="F47" s="24">
        <v>100</v>
      </c>
      <c r="G47" s="31">
        <v>9.1707515716552734</v>
      </c>
      <c r="H47" s="31">
        <v>67827912</v>
      </c>
      <c r="I47" s="31">
        <f t="shared" si="12"/>
        <v>67814929.361446127</v>
      </c>
      <c r="J47" s="31">
        <f t="shared" si="11"/>
        <v>6991229.83107692</v>
      </c>
      <c r="K47" s="31">
        <v>10.920645713806152</v>
      </c>
      <c r="L47" s="31">
        <v>22814360</v>
      </c>
      <c r="M47" s="31">
        <f t="shared" si="13"/>
        <v>22801377.361446127</v>
      </c>
      <c r="N47" s="32">
        <f t="shared" si="2"/>
        <v>23506574.599429</v>
      </c>
      <c r="O47" s="31">
        <v>28.811748504638672</v>
      </c>
      <c r="P47" s="31">
        <v>2182.05712890625</v>
      </c>
      <c r="Q47" s="31">
        <f t="shared" si="3"/>
        <v>224.95434318621133</v>
      </c>
      <c r="R47" s="31">
        <v>31.156417846679688</v>
      </c>
      <c r="S47" s="31">
        <v>539.80926513671875</v>
      </c>
      <c r="T47" s="32">
        <f t="shared" si="4"/>
        <v>556.5043970481637</v>
      </c>
      <c r="U47" s="31">
        <v>25.439479827880859</v>
      </c>
      <c r="V47" s="31">
        <v>685.4921875</v>
      </c>
      <c r="W47" s="31">
        <f t="shared" si="5"/>
        <v>70.66929768041237</v>
      </c>
      <c r="X47" s="31">
        <v>29.68792724609375</v>
      </c>
      <c r="Y47" s="31">
        <v>44.56768798828125</v>
      </c>
      <c r="Z47" s="32">
        <f t="shared" si="6"/>
        <v>45.946070091011599</v>
      </c>
      <c r="AA47" s="31">
        <v>30.930418014526367</v>
      </c>
      <c r="AB47" s="31">
        <v>1.4888001680374146</v>
      </c>
      <c r="AC47" s="31">
        <f t="shared" si="7"/>
        <v>0.15348455340591902</v>
      </c>
      <c r="AD47" s="31">
        <v>31.025461196899414</v>
      </c>
      <c r="AE47" s="31">
        <v>1.3970695734024048</v>
      </c>
      <c r="AF47" s="32">
        <f t="shared" si="8"/>
        <v>1.4402779107241286</v>
      </c>
      <c r="AG47" s="31">
        <v>27.831655502319336</v>
      </c>
      <c r="AH47" s="31">
        <v>250.30447387695313</v>
      </c>
      <c r="AI47" s="31">
        <f t="shared" si="9"/>
        <v>25.804584935768364</v>
      </c>
      <c r="AJ47" s="31">
        <v>28.579591751098633</v>
      </c>
      <c r="AK47" s="31">
        <v>155.96846008300781</v>
      </c>
      <c r="AL47" s="32">
        <f t="shared" si="10"/>
        <v>160.79222688969878</v>
      </c>
    </row>
    <row r="48" spans="1:38" ht="15.15" thickBot="1" x14ac:dyDescent="0.35">
      <c r="A48" s="33" t="s">
        <v>78</v>
      </c>
      <c r="B48" s="30">
        <v>44350</v>
      </c>
      <c r="C48" s="33">
        <v>950</v>
      </c>
      <c r="D48" s="23" t="s">
        <v>65</v>
      </c>
      <c r="E48" s="30">
        <v>44417</v>
      </c>
      <c r="F48" s="24">
        <v>100</v>
      </c>
      <c r="G48" s="31">
        <v>11.101107597351074</v>
      </c>
      <c r="H48" s="31">
        <v>20389588</v>
      </c>
      <c r="I48" s="31">
        <f t="shared" si="12"/>
        <v>20376605.361446127</v>
      </c>
      <c r="J48" s="31">
        <f t="shared" si="11"/>
        <v>2144905.8275206452</v>
      </c>
      <c r="K48" s="31">
        <v>12.251007080078125</v>
      </c>
      <c r="L48" s="31">
        <v>9964528</v>
      </c>
      <c r="M48" s="31">
        <f t="shared" si="13"/>
        <v>9951545.3614461254</v>
      </c>
      <c r="N48" s="32">
        <f t="shared" si="2"/>
        <v>10475310.906785395</v>
      </c>
      <c r="O48" s="31">
        <v>29.362771987915039</v>
      </c>
      <c r="P48" s="31">
        <v>1571.456298828125</v>
      </c>
      <c r="Q48" s="31">
        <f t="shared" si="3"/>
        <v>165.41645250822367</v>
      </c>
      <c r="R48" s="31">
        <v>32.437908172607422</v>
      </c>
      <c r="S48" s="31">
        <v>251.58578491210938</v>
      </c>
      <c r="T48" s="32">
        <f t="shared" si="4"/>
        <v>264.82714201274672</v>
      </c>
      <c r="U48" s="31">
        <v>24.217025756835938</v>
      </c>
      <c r="V48" s="31">
        <v>1505.034423828125</v>
      </c>
      <c r="W48" s="31">
        <f t="shared" si="5"/>
        <v>158.42467619243422</v>
      </c>
      <c r="X48" s="31">
        <v>26.564014434814453</v>
      </c>
      <c r="Y48" s="31">
        <v>332.51901245117188</v>
      </c>
      <c r="Z48" s="32">
        <f t="shared" si="6"/>
        <v>350.02001310649672</v>
      </c>
      <c r="AA48" s="31">
        <v>31.308303833007813</v>
      </c>
      <c r="AB48" s="31">
        <v>1.1561851501464844</v>
      </c>
      <c r="AC48" s="31">
        <f t="shared" si="7"/>
        <v>0.12170370001541941</v>
      </c>
      <c r="AD48" t="s">
        <v>66</v>
      </c>
      <c r="AF48" s="32">
        <f t="shared" si="8"/>
        <v>0</v>
      </c>
      <c r="AG48" s="31">
        <v>22.175689697265625</v>
      </c>
      <c r="AH48" s="31">
        <v>8952.904296875</v>
      </c>
      <c r="AI48" s="31">
        <f t="shared" si="9"/>
        <v>942.41097861842104</v>
      </c>
      <c r="AJ48" s="31">
        <v>22.000802993774414</v>
      </c>
      <c r="AK48" s="31">
        <v>9999.9814453125</v>
      </c>
      <c r="AL48" s="32">
        <f t="shared" si="10"/>
        <v>10526.296258223685</v>
      </c>
    </row>
    <row r="49" spans="1:38" ht="15.15" thickBot="1" x14ac:dyDescent="0.35">
      <c r="A49" s="33" t="s">
        <v>79</v>
      </c>
      <c r="B49" s="30">
        <v>44350</v>
      </c>
      <c r="C49" s="33">
        <v>930</v>
      </c>
      <c r="D49" s="23" t="s">
        <v>65</v>
      </c>
      <c r="E49" s="30">
        <v>44417</v>
      </c>
      <c r="F49" s="24">
        <v>100</v>
      </c>
      <c r="G49" s="31">
        <v>10.92292594909668</v>
      </c>
      <c r="H49" s="31">
        <v>22781992</v>
      </c>
      <c r="I49" s="31">
        <f t="shared" si="12"/>
        <v>22769009.361446127</v>
      </c>
      <c r="J49" s="31">
        <f t="shared" si="11"/>
        <v>2448280.5764995837</v>
      </c>
      <c r="K49" s="31">
        <v>12.649701118469238</v>
      </c>
      <c r="L49" s="31">
        <v>7773977.5</v>
      </c>
      <c r="M49" s="31">
        <f t="shared" si="13"/>
        <v>7760994.8614461264</v>
      </c>
      <c r="N49" s="32">
        <f t="shared" si="2"/>
        <v>8345155.7649958348</v>
      </c>
      <c r="O49" s="31">
        <v>30.40306282043457</v>
      </c>
      <c r="P49" s="31">
        <v>845.57574462890625</v>
      </c>
      <c r="Q49" s="31">
        <f t="shared" si="3"/>
        <v>90.922123078377012</v>
      </c>
      <c r="R49" s="31">
        <v>33.314659118652344</v>
      </c>
      <c r="S49" s="31">
        <v>149.227294921875</v>
      </c>
      <c r="T49" s="32">
        <f t="shared" si="4"/>
        <v>160.45945690524192</v>
      </c>
      <c r="U49" s="31">
        <v>25.433696746826172</v>
      </c>
      <c r="V49" s="31">
        <v>688.0472412109375</v>
      </c>
      <c r="W49" s="31">
        <f t="shared" si="5"/>
        <v>73.983574323756727</v>
      </c>
      <c r="X49" s="31">
        <v>28.128391265869141</v>
      </c>
      <c r="Y49" s="31">
        <v>121.54638671875</v>
      </c>
      <c r="Z49" s="32">
        <f t="shared" si="6"/>
        <v>130.69503948252688</v>
      </c>
      <c r="AA49" s="31">
        <v>27.613698959350586</v>
      </c>
      <c r="AB49" s="31">
        <v>13.697292327880859</v>
      </c>
      <c r="AC49" s="31">
        <f t="shared" si="7"/>
        <v>1.4728271320302</v>
      </c>
      <c r="AD49" s="31">
        <v>29.080694198608398</v>
      </c>
      <c r="AE49" s="31">
        <v>5.1326742172241211</v>
      </c>
      <c r="AF49" s="32">
        <f t="shared" si="8"/>
        <v>5.5190045346495928</v>
      </c>
      <c r="AG49" s="31">
        <v>22.272891998291016</v>
      </c>
      <c r="AH49" s="31">
        <v>8419.1044921875</v>
      </c>
      <c r="AI49" s="31">
        <f t="shared" si="9"/>
        <v>905.28005292338707</v>
      </c>
      <c r="AJ49" s="31">
        <v>23.195926666259766</v>
      </c>
      <c r="AK49" s="31">
        <v>4696.1357421875</v>
      </c>
      <c r="AL49" s="32">
        <f t="shared" si="10"/>
        <v>5049.6083249327958</v>
      </c>
    </row>
    <row r="50" spans="1:38" ht="15.15" thickBot="1" x14ac:dyDescent="0.35">
      <c r="A50" s="33" t="s">
        <v>80</v>
      </c>
      <c r="B50" s="30">
        <v>44350</v>
      </c>
      <c r="C50" s="33">
        <v>900</v>
      </c>
      <c r="D50" s="23" t="s">
        <v>65</v>
      </c>
      <c r="E50" s="30">
        <v>44417</v>
      </c>
      <c r="F50" s="24">
        <v>100</v>
      </c>
      <c r="G50" t="s">
        <v>66</v>
      </c>
      <c r="I50" s="31"/>
      <c r="J50" s="31"/>
      <c r="K50" s="34" t="s">
        <v>66</v>
      </c>
      <c r="M50" s="31"/>
      <c r="N50" s="32"/>
      <c r="O50" s="31">
        <v>31.291084289550781</v>
      </c>
      <c r="P50" s="31">
        <v>498.19424438476563</v>
      </c>
      <c r="Q50" s="31">
        <f t="shared" si="3"/>
        <v>55.354916042751739</v>
      </c>
      <c r="R50" s="31">
        <v>34.775424957275391</v>
      </c>
      <c r="S50" s="31">
        <v>62.504436492919922</v>
      </c>
      <c r="T50" s="32">
        <f t="shared" si="4"/>
        <v>69.44937388102214</v>
      </c>
      <c r="U50" s="31">
        <v>31.739269256591797</v>
      </c>
      <c r="V50" s="31">
        <v>11.909443855285645</v>
      </c>
      <c r="W50" s="31">
        <f t="shared" si="5"/>
        <v>1.3232715394761827</v>
      </c>
      <c r="X50" s="31">
        <v>35.483963012695313</v>
      </c>
      <c r="Y50" s="31">
        <v>1.0706655979156494</v>
      </c>
      <c r="Z50" s="32">
        <f t="shared" si="6"/>
        <v>1.1896284421284993</v>
      </c>
      <c r="AA50" s="31">
        <v>26.31892204284668</v>
      </c>
      <c r="AB50" s="31">
        <v>32.574756622314453</v>
      </c>
      <c r="AC50" s="31">
        <f t="shared" si="7"/>
        <v>3.6194174024793835</v>
      </c>
      <c r="AD50" s="31">
        <v>29.597909927368164</v>
      </c>
      <c r="AE50" s="31">
        <v>3.6311743259429932</v>
      </c>
      <c r="AF50" s="32">
        <f t="shared" si="8"/>
        <v>4.0346381399366589</v>
      </c>
      <c r="AG50" s="31">
        <v>34.563491821289063</v>
      </c>
      <c r="AH50" s="31">
        <v>3.5438015460968018</v>
      </c>
      <c r="AI50" s="31">
        <f t="shared" si="9"/>
        <v>0.39375572734408909</v>
      </c>
      <c r="AJ50" t="s">
        <v>66</v>
      </c>
      <c r="AL50" s="32">
        <f t="shared" si="10"/>
        <v>0</v>
      </c>
    </row>
    <row r="51" spans="1:38" ht="15.15" thickBot="1" x14ac:dyDescent="0.35">
      <c r="A51" s="33" t="s">
        <v>81</v>
      </c>
      <c r="B51" s="30">
        <v>44350</v>
      </c>
      <c r="C51" s="33">
        <v>920</v>
      </c>
      <c r="D51" s="23" t="s">
        <v>65</v>
      </c>
      <c r="E51" s="30">
        <v>44417</v>
      </c>
      <c r="F51" s="24">
        <v>100</v>
      </c>
      <c r="G51" t="s">
        <v>66</v>
      </c>
      <c r="I51" s="31"/>
      <c r="J51" s="31"/>
      <c r="K51" s="34" t="s">
        <v>66</v>
      </c>
      <c r="M51" s="31"/>
      <c r="N51" s="32"/>
      <c r="O51" s="31">
        <v>31.466829299926758</v>
      </c>
      <c r="P51" s="31">
        <v>448.67202758789063</v>
      </c>
      <c r="Q51" s="31">
        <f t="shared" si="3"/>
        <v>48.768698650857679</v>
      </c>
      <c r="R51" s="31">
        <v>34.921352386474609</v>
      </c>
      <c r="S51" s="31">
        <v>57.300144195556641</v>
      </c>
      <c r="T51" s="32">
        <f t="shared" si="4"/>
        <v>62.282765429952867</v>
      </c>
      <c r="U51" s="31">
        <v>32.271263122558594</v>
      </c>
      <c r="V51" s="31">
        <v>8.4577846527099609</v>
      </c>
      <c r="W51" s="31">
        <f t="shared" si="5"/>
        <v>0.91932441877282189</v>
      </c>
      <c r="X51" s="31">
        <v>34.713233947753906</v>
      </c>
      <c r="Y51" s="31">
        <v>1.757880687713623</v>
      </c>
      <c r="Z51" s="32">
        <f t="shared" si="6"/>
        <v>1.9107398779495903</v>
      </c>
      <c r="AA51" s="31">
        <v>26.910219192504883</v>
      </c>
      <c r="AB51" s="31">
        <v>21.930948257446289</v>
      </c>
      <c r="AC51" s="31">
        <f t="shared" si="7"/>
        <v>2.3837987236354663</v>
      </c>
      <c r="AD51" s="31">
        <v>30.671493530273438</v>
      </c>
      <c r="AE51" s="31">
        <v>1.7704217433929443</v>
      </c>
      <c r="AF51" s="32">
        <f t="shared" si="8"/>
        <v>1.9243714602097222</v>
      </c>
      <c r="AG51" s="31">
        <v>32.950954437255859</v>
      </c>
      <c r="AH51" s="31">
        <v>9.8260011672973633</v>
      </c>
      <c r="AI51" s="31">
        <f t="shared" si="9"/>
        <v>1.0680436051410178</v>
      </c>
      <c r="AJ51" t="s">
        <v>66</v>
      </c>
      <c r="AL51" s="32">
        <f t="shared" si="10"/>
        <v>0</v>
      </c>
    </row>
    <row r="52" spans="1:38" ht="15.15" thickBot="1" x14ac:dyDescent="0.35">
      <c r="A52" s="33" t="s">
        <v>64</v>
      </c>
      <c r="B52" s="30">
        <v>44356</v>
      </c>
      <c r="C52" s="33">
        <v>960</v>
      </c>
      <c r="D52" s="23" t="s">
        <v>65</v>
      </c>
      <c r="E52" s="30">
        <v>44419</v>
      </c>
      <c r="F52" s="24">
        <v>100</v>
      </c>
      <c r="G52" s="31">
        <v>18.787420272827148</v>
      </c>
      <c r="H52" s="31">
        <v>170177.890625</v>
      </c>
      <c r="I52" s="31">
        <f t="shared" ref="I52:I83" si="14">H52-$H$242</f>
        <v>157195.25207112631</v>
      </c>
      <c r="J52" s="31">
        <f t="shared" si="11"/>
        <v>16374.505424075656</v>
      </c>
      <c r="K52" s="31">
        <v>20.664154052734375</v>
      </c>
      <c r="L52" s="31">
        <v>52893.640625</v>
      </c>
      <c r="M52" s="31">
        <f t="shared" ref="M52:M83" si="15">L52-$H$242</f>
        <v>39911.002071126306</v>
      </c>
      <c r="N52" s="32">
        <f t="shared" si="2"/>
        <v>41573.960490756566</v>
      </c>
      <c r="O52" s="31">
        <v>35.190685272216797</v>
      </c>
      <c r="P52" s="31">
        <v>48.805908203125</v>
      </c>
      <c r="Q52" s="31">
        <f t="shared" si="3"/>
        <v>5.0839487711588545</v>
      </c>
      <c r="R52" s="31">
        <v>38.951301574707031</v>
      </c>
      <c r="S52" s="31">
        <v>5.1940364837646484</v>
      </c>
      <c r="T52" s="32">
        <f t="shared" si="4"/>
        <v>5.4104546705881758</v>
      </c>
      <c r="U52" s="31">
        <v>32.052120208740234</v>
      </c>
      <c r="V52" s="31">
        <v>9.7383060455322266</v>
      </c>
      <c r="W52" s="31">
        <f t="shared" si="5"/>
        <v>1.0144068797429402</v>
      </c>
      <c r="X52" s="31">
        <v>35.453678131103516</v>
      </c>
      <c r="Y52" s="31">
        <v>1.0917298793792725</v>
      </c>
      <c r="Z52" s="32">
        <f t="shared" si="6"/>
        <v>1.1372186243534088</v>
      </c>
      <c r="AA52" s="31">
        <v>26.155073165893555</v>
      </c>
      <c r="AB52" s="31">
        <v>36.349098205566406</v>
      </c>
      <c r="AC52" s="31">
        <f t="shared" si="7"/>
        <v>3.7863643964131675</v>
      </c>
      <c r="AD52" s="31">
        <v>29.741870880126953</v>
      </c>
      <c r="AE52" s="31">
        <v>3.297720193862915</v>
      </c>
      <c r="AF52" s="32">
        <f t="shared" si="8"/>
        <v>3.4351252019405365</v>
      </c>
      <c r="AG52" t="s">
        <v>66</v>
      </c>
      <c r="AI52" s="31">
        <f t="shared" si="9"/>
        <v>0</v>
      </c>
      <c r="AJ52" s="31">
        <v>36.961193084716797</v>
      </c>
      <c r="AK52" s="31">
        <v>0.77786636352539063</v>
      </c>
      <c r="AL52" s="32">
        <f t="shared" si="10"/>
        <v>0.81027746200561523</v>
      </c>
    </row>
    <row r="53" spans="1:38" ht="15.15" thickBot="1" x14ac:dyDescent="0.35">
      <c r="A53" s="33" t="s">
        <v>67</v>
      </c>
      <c r="B53" s="30">
        <v>44356</v>
      </c>
      <c r="C53" s="33">
        <v>1000</v>
      </c>
      <c r="D53" s="23" t="s">
        <v>65</v>
      </c>
      <c r="E53" s="30">
        <v>44419</v>
      </c>
      <c r="F53" s="24">
        <v>100</v>
      </c>
      <c r="G53" s="31">
        <v>17.613988876342773</v>
      </c>
      <c r="H53" s="31">
        <v>353360.71875</v>
      </c>
      <c r="I53" s="31">
        <f t="shared" si="14"/>
        <v>340378.08019612631</v>
      </c>
      <c r="J53" s="31">
        <f t="shared" si="11"/>
        <v>34037.808019612632</v>
      </c>
      <c r="K53" s="31">
        <v>21.402200698852539</v>
      </c>
      <c r="L53" s="31">
        <v>33405.92578125</v>
      </c>
      <c r="M53" s="31">
        <f t="shared" si="15"/>
        <v>20423.287227376302</v>
      </c>
      <c r="N53" s="32">
        <f t="shared" si="2"/>
        <v>20423.287227376302</v>
      </c>
      <c r="O53" s="31">
        <v>32.451187133789063</v>
      </c>
      <c r="P53" s="31">
        <v>249.6033935546875</v>
      </c>
      <c r="Q53" s="31">
        <f t="shared" si="3"/>
        <v>24.960339355468751</v>
      </c>
      <c r="R53" s="31">
        <v>36.458808898925781</v>
      </c>
      <c r="S53" s="31">
        <v>22.928543090820313</v>
      </c>
      <c r="T53" s="32">
        <f t="shared" si="4"/>
        <v>22.928543090820313</v>
      </c>
      <c r="U53" s="31">
        <v>30.243104934692383</v>
      </c>
      <c r="V53" s="31">
        <v>31.182281494140625</v>
      </c>
      <c r="W53" s="31">
        <f t="shared" si="5"/>
        <v>3.1182281494140627</v>
      </c>
      <c r="X53" s="31">
        <v>35.756107330322266</v>
      </c>
      <c r="Y53" s="31">
        <v>0.8987085223197937</v>
      </c>
      <c r="Z53" s="32">
        <f t="shared" si="6"/>
        <v>0.8987085223197937</v>
      </c>
      <c r="AA53" s="31">
        <v>28.431427001953125</v>
      </c>
      <c r="AB53" s="31">
        <v>7.9252481460571289</v>
      </c>
      <c r="AC53" s="31">
        <f t="shared" si="7"/>
        <v>0.79252481460571289</v>
      </c>
      <c r="AD53" s="31">
        <v>32.289569854736328</v>
      </c>
      <c r="AE53" s="31">
        <v>0.59963005781173706</v>
      </c>
      <c r="AF53" s="32">
        <f t="shared" si="8"/>
        <v>0.59963005781173706</v>
      </c>
      <c r="AG53" t="s">
        <v>66</v>
      </c>
      <c r="AI53" s="31">
        <f t="shared" si="9"/>
        <v>0</v>
      </c>
      <c r="AJ53" s="31">
        <v>38.350105285644531</v>
      </c>
      <c r="AK53" s="31">
        <v>0.32316145300865173</v>
      </c>
      <c r="AL53" s="32">
        <f t="shared" si="10"/>
        <v>0.32316145300865173</v>
      </c>
    </row>
    <row r="54" spans="1:38" ht="15.15" thickBot="1" x14ac:dyDescent="0.35">
      <c r="A54" s="33" t="s">
        <v>68</v>
      </c>
      <c r="B54" s="30">
        <v>44356</v>
      </c>
      <c r="C54" s="33">
        <v>920</v>
      </c>
      <c r="D54" s="23" t="s">
        <v>65</v>
      </c>
      <c r="E54" s="30">
        <v>44419</v>
      </c>
      <c r="F54" s="24">
        <v>100</v>
      </c>
      <c r="G54" s="31">
        <v>11.088505744934082</v>
      </c>
      <c r="H54" s="31">
        <v>20550206</v>
      </c>
      <c r="I54" s="31">
        <f t="shared" si="14"/>
        <v>20537223.361446127</v>
      </c>
      <c r="J54" s="31">
        <f t="shared" si="11"/>
        <v>2232306.8871137095</v>
      </c>
      <c r="K54" s="31">
        <v>13.152755737304688</v>
      </c>
      <c r="L54" s="31">
        <v>5683411</v>
      </c>
      <c r="M54" s="31">
        <f t="shared" si="15"/>
        <v>5670428.3614461264</v>
      </c>
      <c r="N54" s="32">
        <f t="shared" si="2"/>
        <v>6163509.0885283975</v>
      </c>
      <c r="O54" s="31">
        <v>32.315021514892578</v>
      </c>
      <c r="P54" s="31">
        <v>270.69485473632813</v>
      </c>
      <c r="Q54" s="31">
        <f t="shared" si="3"/>
        <v>29.42335377568784</v>
      </c>
      <c r="R54" s="31">
        <v>36.016128540039063</v>
      </c>
      <c r="S54" s="31">
        <v>29.847583770751953</v>
      </c>
      <c r="T54" s="32">
        <f t="shared" si="4"/>
        <v>32.44302583777386</v>
      </c>
      <c r="U54" s="31">
        <v>31.546113967895508</v>
      </c>
      <c r="V54" s="31">
        <v>13.485203742980957</v>
      </c>
      <c r="W54" s="31">
        <f t="shared" si="5"/>
        <v>1.4657830155414084</v>
      </c>
      <c r="X54" s="31">
        <v>34.547443389892578</v>
      </c>
      <c r="Y54" s="31">
        <v>1.9557347297668457</v>
      </c>
      <c r="Z54" s="32">
        <f t="shared" si="6"/>
        <v>2.1257986193117886</v>
      </c>
      <c r="AA54" s="31">
        <v>25.79576301574707</v>
      </c>
      <c r="AB54" s="31">
        <v>46.227970123291016</v>
      </c>
      <c r="AC54" s="31">
        <f t="shared" si="7"/>
        <v>5.0247793612272842</v>
      </c>
      <c r="AD54" s="31">
        <v>27.406459808349609</v>
      </c>
      <c r="AE54" s="31">
        <v>15.734606742858887</v>
      </c>
      <c r="AF54" s="32">
        <f t="shared" si="8"/>
        <v>17.102833416150965</v>
      </c>
      <c r="AG54" s="31">
        <v>39.040966033935547</v>
      </c>
      <c r="AH54" s="31">
        <v>0.20876820385456085</v>
      </c>
      <c r="AI54" s="31">
        <f t="shared" si="9"/>
        <v>2.2692196071147919E-2</v>
      </c>
      <c r="AJ54" s="31">
        <v>36.344463348388672</v>
      </c>
      <c r="AK54" s="31">
        <v>1.1489443778991699</v>
      </c>
      <c r="AL54" s="32">
        <f t="shared" si="10"/>
        <v>1.2488525846730107</v>
      </c>
    </row>
    <row r="55" spans="1:38" ht="15.15" thickBot="1" x14ac:dyDescent="0.35">
      <c r="A55" s="33" t="s">
        <v>69</v>
      </c>
      <c r="B55" s="30">
        <v>44356</v>
      </c>
      <c r="C55" s="33">
        <v>970</v>
      </c>
      <c r="D55" s="23" t="s">
        <v>65</v>
      </c>
      <c r="E55" s="30">
        <v>44419</v>
      </c>
      <c r="F55" s="24">
        <v>100</v>
      </c>
      <c r="G55" s="31">
        <v>12.697244644165039</v>
      </c>
      <c r="H55" s="31">
        <v>7547215.5</v>
      </c>
      <c r="I55" s="31">
        <f t="shared" si="14"/>
        <v>7534232.8614461264</v>
      </c>
      <c r="J55" s="31">
        <f t="shared" si="11"/>
        <v>776725.03726248734</v>
      </c>
      <c r="K55" s="31">
        <v>16.238630294799805</v>
      </c>
      <c r="L55" s="31">
        <v>832027.8125</v>
      </c>
      <c r="M55" s="31">
        <f t="shared" si="15"/>
        <v>819045.17394612625</v>
      </c>
      <c r="N55" s="32">
        <f t="shared" si="2"/>
        <v>844376.46798569709</v>
      </c>
      <c r="O55" s="31">
        <v>30.957048416137695</v>
      </c>
      <c r="P55" s="31">
        <v>607.88623046875</v>
      </c>
      <c r="Q55" s="31">
        <f t="shared" si="3"/>
        <v>62.668683553479383</v>
      </c>
      <c r="R55" s="31">
        <v>35.560897827148438</v>
      </c>
      <c r="S55" s="31">
        <v>39.146144866943359</v>
      </c>
      <c r="T55" s="32">
        <f t="shared" si="4"/>
        <v>40.356850378292123</v>
      </c>
      <c r="U55" s="31">
        <v>31.510036468505859</v>
      </c>
      <c r="V55" s="31">
        <v>13.801849365234375</v>
      </c>
      <c r="W55" s="31">
        <f t="shared" si="5"/>
        <v>1.4228710685808634</v>
      </c>
      <c r="X55" s="31">
        <v>36.051712036132813</v>
      </c>
      <c r="Y55" s="31">
        <v>0.74306923151016235</v>
      </c>
      <c r="Z55" s="32">
        <f t="shared" si="6"/>
        <v>0.76605075413418799</v>
      </c>
      <c r="AA55" s="31">
        <v>24.790138244628906</v>
      </c>
      <c r="AB55" s="31">
        <v>90.599784851074219</v>
      </c>
      <c r="AC55" s="31">
        <f t="shared" si="7"/>
        <v>9.3401840052653835</v>
      </c>
      <c r="AD55" t="s">
        <v>66</v>
      </c>
      <c r="AF55" s="32">
        <f t="shared" si="8"/>
        <v>0</v>
      </c>
      <c r="AG55" s="31">
        <v>35.171916961669922</v>
      </c>
      <c r="AH55" s="31">
        <v>2.4118835926055908</v>
      </c>
      <c r="AI55" s="31">
        <f t="shared" si="9"/>
        <v>0.24864779305212276</v>
      </c>
      <c r="AJ55" s="31">
        <v>36.746646881103516</v>
      </c>
      <c r="AK55" s="31">
        <v>0.89090895652770996</v>
      </c>
      <c r="AL55" s="32">
        <f t="shared" si="10"/>
        <v>0.91846284178114423</v>
      </c>
    </row>
    <row r="56" spans="1:38" ht="15.15" thickBot="1" x14ac:dyDescent="0.35">
      <c r="A56" s="33" t="s">
        <v>70</v>
      </c>
      <c r="B56" s="30">
        <v>44356</v>
      </c>
      <c r="C56" s="33">
        <v>900</v>
      </c>
      <c r="D56" s="23" t="s">
        <v>65</v>
      </c>
      <c r="E56" s="30">
        <v>44419</v>
      </c>
      <c r="F56" s="24">
        <v>100</v>
      </c>
      <c r="G56" s="31">
        <v>11.823856353759766</v>
      </c>
      <c r="H56" s="31">
        <v>13000657</v>
      </c>
      <c r="I56" s="31">
        <f t="shared" si="14"/>
        <v>12987674.361446125</v>
      </c>
      <c r="J56" s="31">
        <f t="shared" si="11"/>
        <v>1443074.9290495694</v>
      </c>
      <c r="K56" s="31">
        <v>14.085411071777344</v>
      </c>
      <c r="L56" s="31">
        <v>3179828.5</v>
      </c>
      <c r="M56" s="31">
        <f t="shared" si="15"/>
        <v>3166845.8614461264</v>
      </c>
      <c r="N56" s="32">
        <f t="shared" si="2"/>
        <v>3518717.6238290295</v>
      </c>
      <c r="O56" s="31">
        <v>30.686494827270508</v>
      </c>
      <c r="P56" s="31">
        <v>714.20257568359375</v>
      </c>
      <c r="Q56" s="31">
        <f t="shared" si="3"/>
        <v>79.355841742621521</v>
      </c>
      <c r="R56" s="31">
        <v>33.709453582763672</v>
      </c>
      <c r="S56" s="31">
        <v>117.95187377929688</v>
      </c>
      <c r="T56" s="32">
        <f t="shared" si="4"/>
        <v>131.05763753255209</v>
      </c>
      <c r="U56" s="31">
        <v>27.779542922973633</v>
      </c>
      <c r="V56" s="31">
        <v>152.12742614746094</v>
      </c>
      <c r="W56" s="31">
        <f t="shared" si="5"/>
        <v>16.90304734971788</v>
      </c>
      <c r="X56" s="31">
        <v>31.160884857177734</v>
      </c>
      <c r="Y56" s="31">
        <v>17.277761459350586</v>
      </c>
      <c r="Z56" s="32">
        <f t="shared" si="6"/>
        <v>19.197512732611763</v>
      </c>
      <c r="AA56" s="31">
        <v>20.617702484130859</v>
      </c>
      <c r="AB56" s="31">
        <v>1477.7003173828125</v>
      </c>
      <c r="AC56" s="31">
        <f t="shared" si="7"/>
        <v>164.18892415364584</v>
      </c>
      <c r="AD56" s="31">
        <v>27.639200210571289</v>
      </c>
      <c r="AE56" s="31">
        <v>13.465558052062988</v>
      </c>
      <c r="AF56" s="32">
        <f t="shared" si="8"/>
        <v>14.961731168958876</v>
      </c>
      <c r="AG56" s="31">
        <v>29.790180206298828</v>
      </c>
      <c r="AH56" s="31">
        <v>72.532157897949219</v>
      </c>
      <c r="AI56" s="31">
        <f t="shared" si="9"/>
        <v>8.0591286553276902</v>
      </c>
      <c r="AJ56" s="31">
        <v>31.794179916381836</v>
      </c>
      <c r="AK56" s="31">
        <v>20.422183990478516</v>
      </c>
      <c r="AL56" s="32">
        <f t="shared" si="10"/>
        <v>22.691315544976128</v>
      </c>
    </row>
    <row r="57" spans="1:38" ht="15.15" thickBot="1" x14ac:dyDescent="0.35">
      <c r="A57" s="33" t="s">
        <v>71</v>
      </c>
      <c r="B57" s="30">
        <v>44356</v>
      </c>
      <c r="C57" s="33">
        <v>920</v>
      </c>
      <c r="D57" s="23" t="s">
        <v>65</v>
      </c>
      <c r="E57" s="30">
        <v>44419</v>
      </c>
      <c r="F57" s="24">
        <v>100</v>
      </c>
      <c r="G57" s="31">
        <v>8.9698362350463867</v>
      </c>
      <c r="H57" s="31">
        <v>76866880</v>
      </c>
      <c r="I57" s="31">
        <f t="shared" si="14"/>
        <v>76853897.361446127</v>
      </c>
      <c r="J57" s="31">
        <f t="shared" si="11"/>
        <v>8353684.4958093613</v>
      </c>
      <c r="K57" s="31">
        <v>11.260991096496582</v>
      </c>
      <c r="L57" s="31">
        <v>18457518</v>
      </c>
      <c r="M57" s="31">
        <f t="shared" si="15"/>
        <v>18444535.361446127</v>
      </c>
      <c r="N57" s="32">
        <f t="shared" si="2"/>
        <v>20048408.001571879</v>
      </c>
      <c r="O57" s="35" t="s">
        <v>66</v>
      </c>
      <c r="P57" s="35"/>
      <c r="Q57" s="36">
        <f t="shared" si="3"/>
        <v>0</v>
      </c>
      <c r="R57" s="35" t="s">
        <v>66</v>
      </c>
      <c r="S57" s="35"/>
      <c r="T57" s="37">
        <f t="shared" si="4"/>
        <v>0</v>
      </c>
      <c r="U57" s="31">
        <v>28.683868408203125</v>
      </c>
      <c r="V57" s="31">
        <v>85.02490234375</v>
      </c>
      <c r="W57" s="31">
        <f t="shared" si="5"/>
        <v>9.2418372112771738</v>
      </c>
      <c r="X57" s="31">
        <v>32.859733581542969</v>
      </c>
      <c r="Y57" s="31">
        <v>5.7921881675720215</v>
      </c>
      <c r="Z57" s="32">
        <f t="shared" si="6"/>
        <v>6.2958567038826319</v>
      </c>
      <c r="AA57" s="36">
        <v>19.028112411499023</v>
      </c>
      <c r="AB57" s="36">
        <v>4280.5732421875</v>
      </c>
      <c r="AC57" s="36">
        <f t="shared" si="7"/>
        <v>465.27970023777175</v>
      </c>
      <c r="AD57" s="36">
        <v>17.530517578125</v>
      </c>
      <c r="AE57" s="36">
        <v>11659.630859375</v>
      </c>
      <c r="AF57" s="37">
        <f t="shared" si="8"/>
        <v>12673.511803668478</v>
      </c>
      <c r="AG57" s="31">
        <v>33.807731628417969</v>
      </c>
      <c r="AH57" s="31">
        <v>5.715446949005127</v>
      </c>
      <c r="AI57" s="31">
        <f t="shared" si="9"/>
        <v>0.62124423358751379</v>
      </c>
      <c r="AJ57" s="31">
        <v>33.307834625244141</v>
      </c>
      <c r="AK57" s="31">
        <v>7.8406915664672852</v>
      </c>
      <c r="AL57" s="32">
        <f t="shared" si="10"/>
        <v>8.5224908331166151</v>
      </c>
    </row>
    <row r="58" spans="1:38" ht="15.15" thickBot="1" x14ac:dyDescent="0.35">
      <c r="A58" s="33" t="s">
        <v>72</v>
      </c>
      <c r="B58" s="30">
        <v>44356</v>
      </c>
      <c r="C58" s="33">
        <v>920</v>
      </c>
      <c r="D58" s="23" t="s">
        <v>65</v>
      </c>
      <c r="E58" s="30">
        <v>44419</v>
      </c>
      <c r="F58" s="24">
        <v>100</v>
      </c>
      <c r="G58" s="31">
        <v>17.434112548828125</v>
      </c>
      <c r="H58" s="31">
        <v>395239</v>
      </c>
      <c r="I58" s="31">
        <f t="shared" si="14"/>
        <v>382256.36144612631</v>
      </c>
      <c r="J58" s="31">
        <f t="shared" si="11"/>
        <v>41549.604505013733</v>
      </c>
      <c r="K58" s="31">
        <v>20.229831695556641</v>
      </c>
      <c r="L58" s="31">
        <v>69318.8515625</v>
      </c>
      <c r="M58" s="31">
        <f t="shared" si="15"/>
        <v>56336.213008626306</v>
      </c>
      <c r="N58" s="32">
        <f t="shared" si="2"/>
        <v>61235.014139811203</v>
      </c>
      <c r="O58" s="31">
        <v>31.871515274047852</v>
      </c>
      <c r="P58" s="31">
        <v>352.55459594726563</v>
      </c>
      <c r="Q58" s="31">
        <f t="shared" si="3"/>
        <v>38.321151733398438</v>
      </c>
      <c r="R58" s="31">
        <v>35.353908538818359</v>
      </c>
      <c r="S58" s="31">
        <v>44.283546447753906</v>
      </c>
      <c r="T58" s="32">
        <f t="shared" si="4"/>
        <v>48.134289617123812</v>
      </c>
      <c r="U58" s="31">
        <v>29.387151718139648</v>
      </c>
      <c r="V58" s="31">
        <v>54.082206726074219</v>
      </c>
      <c r="W58" s="31">
        <f t="shared" si="5"/>
        <v>5.8785007310950235</v>
      </c>
      <c r="X58" s="31">
        <v>32.000347137451172</v>
      </c>
      <c r="Y58" s="31">
        <v>10.068120002746582</v>
      </c>
      <c r="Z58" s="32">
        <f t="shared" si="6"/>
        <v>10.94360869863759</v>
      </c>
      <c r="AA58" s="31">
        <v>29.08784294128418</v>
      </c>
      <c r="AB58" s="31">
        <v>5.1081819534301758</v>
      </c>
      <c r="AC58" s="31">
        <f t="shared" si="7"/>
        <v>0.55523716885110608</v>
      </c>
      <c r="AD58" t="s">
        <v>66</v>
      </c>
      <c r="AF58" s="32">
        <f t="shared" si="8"/>
        <v>0</v>
      </c>
      <c r="AG58" s="31">
        <v>38.634250640869141</v>
      </c>
      <c r="AH58" s="31">
        <v>0.27000686526298523</v>
      </c>
      <c r="AI58" s="31">
        <f t="shared" si="9"/>
        <v>2.9348572311194046E-2</v>
      </c>
      <c r="AJ58" t="s">
        <v>66</v>
      </c>
      <c r="AL58" s="32">
        <f t="shared" si="10"/>
        <v>0</v>
      </c>
    </row>
    <row r="59" spans="1:38" ht="15.15" thickBot="1" x14ac:dyDescent="0.35">
      <c r="A59" s="33" t="s">
        <v>73</v>
      </c>
      <c r="B59" s="30">
        <v>44356</v>
      </c>
      <c r="C59" s="33">
        <v>965</v>
      </c>
      <c r="D59" s="23" t="s">
        <v>65</v>
      </c>
      <c r="E59" s="30">
        <v>44419</v>
      </c>
      <c r="F59" s="24">
        <v>100</v>
      </c>
      <c r="G59" s="31">
        <v>17.164787292480469</v>
      </c>
      <c r="H59" s="31">
        <v>467401.125</v>
      </c>
      <c r="I59" s="31">
        <f t="shared" si="14"/>
        <v>454418.48644612631</v>
      </c>
      <c r="J59" s="31">
        <f t="shared" si="11"/>
        <v>47089.998595453508</v>
      </c>
      <c r="K59" s="31">
        <v>20.336545944213867</v>
      </c>
      <c r="L59" s="31">
        <v>64862.55859375</v>
      </c>
      <c r="M59" s="31">
        <f t="shared" si="15"/>
        <v>51879.920039876306</v>
      </c>
      <c r="N59" s="32">
        <f t="shared" si="2"/>
        <v>53761.575170856275</v>
      </c>
      <c r="O59" s="31">
        <v>35.266475677490234</v>
      </c>
      <c r="P59" s="31">
        <v>46.651271820068359</v>
      </c>
      <c r="Q59" s="31">
        <f t="shared" si="3"/>
        <v>4.8343286860174466</v>
      </c>
      <c r="R59" t="s">
        <v>66</v>
      </c>
      <c r="T59" s="32">
        <f t="shared" si="4"/>
        <v>0</v>
      </c>
      <c r="U59" s="31">
        <v>33.721363067626953</v>
      </c>
      <c r="V59" s="31">
        <v>3.3274400234222412</v>
      </c>
      <c r="W59" s="31">
        <f t="shared" si="5"/>
        <v>0.34481243766033587</v>
      </c>
      <c r="X59" t="s">
        <v>66</v>
      </c>
      <c r="Y59" t="s">
        <v>82</v>
      </c>
      <c r="Z59" s="32"/>
      <c r="AA59" s="31">
        <v>32.185390472412109</v>
      </c>
      <c r="AB59" s="31">
        <v>0.64291960000991821</v>
      </c>
      <c r="AC59" s="31">
        <f t="shared" si="7"/>
        <v>6.662379274714178E-2</v>
      </c>
      <c r="AD59" s="31">
        <v>33.152202606201172</v>
      </c>
      <c r="AE59" s="31">
        <v>0.33667650818824768</v>
      </c>
      <c r="AF59" s="32">
        <f t="shared" si="8"/>
        <v>0.34888757325207015</v>
      </c>
      <c r="AG59" t="s">
        <v>66</v>
      </c>
      <c r="AI59" s="31">
        <f t="shared" si="9"/>
        <v>0</v>
      </c>
      <c r="AJ59" t="s">
        <v>66</v>
      </c>
      <c r="AL59" s="32">
        <f t="shared" si="10"/>
        <v>0</v>
      </c>
    </row>
    <row r="60" spans="1:38" ht="15.15" thickBot="1" x14ac:dyDescent="0.35">
      <c r="A60" s="33" t="s">
        <v>74</v>
      </c>
      <c r="B60" s="30">
        <v>44356</v>
      </c>
      <c r="C60" s="33">
        <v>1000</v>
      </c>
      <c r="D60" s="23" t="s">
        <v>65</v>
      </c>
      <c r="E60" s="30">
        <v>44419</v>
      </c>
      <c r="F60" s="24">
        <v>100</v>
      </c>
      <c r="G60" s="31">
        <v>19.574769973754883</v>
      </c>
      <c r="H60" s="31">
        <v>104229.5390625</v>
      </c>
      <c r="I60" s="31">
        <f t="shared" si="14"/>
        <v>91246.900508626306</v>
      </c>
      <c r="J60" s="31">
        <f t="shared" si="11"/>
        <v>9124.6900508626313</v>
      </c>
      <c r="K60" s="31">
        <v>22.431432723999023</v>
      </c>
      <c r="L60" s="31">
        <v>17599.578125</v>
      </c>
      <c r="M60" s="31">
        <f t="shared" si="15"/>
        <v>4616.9395711263023</v>
      </c>
      <c r="N60" s="32">
        <f t="shared" si="2"/>
        <v>4616.9395711263023</v>
      </c>
      <c r="O60" s="31">
        <v>33.236808776855469</v>
      </c>
      <c r="P60" s="31">
        <v>156.31120300292969</v>
      </c>
      <c r="Q60" s="31">
        <f t="shared" si="3"/>
        <v>15.631120300292968</v>
      </c>
      <c r="R60" s="31">
        <v>36.628978729248047</v>
      </c>
      <c r="S60" s="31">
        <v>20.71806526184082</v>
      </c>
      <c r="T60" s="32">
        <f t="shared" si="4"/>
        <v>20.71806526184082</v>
      </c>
      <c r="U60" s="31">
        <v>32.386898040771484</v>
      </c>
      <c r="V60" s="31">
        <v>7.8514366149902344</v>
      </c>
      <c r="W60" s="31">
        <f t="shared" si="5"/>
        <v>0.78514366149902348</v>
      </c>
      <c r="X60" s="31">
        <v>34.804317474365234</v>
      </c>
      <c r="Y60" s="31">
        <v>1.6578353643417358</v>
      </c>
      <c r="Z60" s="32">
        <f t="shared" si="6"/>
        <v>1.6578353643417358</v>
      </c>
      <c r="AA60" s="31">
        <v>28.558544158935547</v>
      </c>
      <c r="AB60" s="31">
        <v>7.2790412902832031</v>
      </c>
      <c r="AC60" s="31">
        <f t="shared" si="7"/>
        <v>0.72790412902832036</v>
      </c>
      <c r="AD60" s="31">
        <v>31.440120697021484</v>
      </c>
      <c r="AE60" s="31">
        <v>1.0585783720016479</v>
      </c>
      <c r="AF60" s="32">
        <f t="shared" si="8"/>
        <v>1.0585783720016479</v>
      </c>
      <c r="AG60" t="s">
        <v>66</v>
      </c>
      <c r="AI60" s="31">
        <f t="shared" si="9"/>
        <v>0</v>
      </c>
      <c r="AJ60" s="31">
        <v>38.5850830078125</v>
      </c>
      <c r="AK60" s="31">
        <v>0.27853477001190186</v>
      </c>
      <c r="AL60" s="32">
        <f t="shared" si="10"/>
        <v>0.27853477001190186</v>
      </c>
    </row>
    <row r="61" spans="1:38" ht="15.15" thickBot="1" x14ac:dyDescent="0.35">
      <c r="A61" s="33" t="s">
        <v>75</v>
      </c>
      <c r="B61" s="30">
        <v>44356</v>
      </c>
      <c r="C61" s="33">
        <v>955</v>
      </c>
      <c r="D61" s="23" t="s">
        <v>65</v>
      </c>
      <c r="E61" s="30">
        <v>44419</v>
      </c>
      <c r="F61" s="24">
        <v>100</v>
      </c>
      <c r="G61" s="31">
        <v>19.823375701904297</v>
      </c>
      <c r="H61" s="31">
        <v>89281.9609375</v>
      </c>
      <c r="I61" s="31">
        <f t="shared" si="14"/>
        <v>76299.322383626306</v>
      </c>
      <c r="J61" s="31">
        <f t="shared" si="11"/>
        <v>7989.4578412174142</v>
      </c>
      <c r="K61" s="31">
        <v>21.99260139465332</v>
      </c>
      <c r="L61" s="31">
        <v>23129.669921875</v>
      </c>
      <c r="M61" s="31">
        <f t="shared" si="15"/>
        <v>10147.031368001302</v>
      </c>
      <c r="N61" s="32">
        <f t="shared" si="2"/>
        <v>10625.163736127019</v>
      </c>
      <c r="O61" s="31">
        <v>31.950275421142578</v>
      </c>
      <c r="P61" s="31">
        <v>336.39468383789063</v>
      </c>
      <c r="Q61" s="31">
        <f t="shared" si="3"/>
        <v>35.224574223862895</v>
      </c>
      <c r="R61" s="31">
        <v>35.962715148925781</v>
      </c>
      <c r="S61" s="31">
        <v>30.812616348266602</v>
      </c>
      <c r="T61" s="32">
        <f t="shared" si="4"/>
        <v>32.264519736404822</v>
      </c>
      <c r="U61" s="31">
        <v>34.748325347900391</v>
      </c>
      <c r="V61" s="31">
        <v>1.718640923500061</v>
      </c>
      <c r="W61" s="31">
        <f t="shared" si="5"/>
        <v>0.17996240036649855</v>
      </c>
      <c r="X61" s="31">
        <v>34.159389495849609</v>
      </c>
      <c r="Y61" s="31">
        <v>2.5103201866149902</v>
      </c>
      <c r="Z61" s="32">
        <f t="shared" si="6"/>
        <v>2.6286075252512986</v>
      </c>
      <c r="AA61" s="31">
        <v>27.966323852539063</v>
      </c>
      <c r="AB61" s="31">
        <v>10.818478584289551</v>
      </c>
      <c r="AC61" s="31">
        <f t="shared" si="7"/>
        <v>1.1328249826481205</v>
      </c>
      <c r="AD61" t="s">
        <v>66</v>
      </c>
      <c r="AF61" s="32">
        <f t="shared" si="8"/>
        <v>0</v>
      </c>
      <c r="AG61" s="31">
        <v>36.682628631591797</v>
      </c>
      <c r="AH61" s="31">
        <v>0.92771989107131958</v>
      </c>
      <c r="AI61" s="31">
        <f t="shared" si="9"/>
        <v>9.7143444091237652E-2</v>
      </c>
      <c r="AJ61" s="31">
        <v>38.455600738525391</v>
      </c>
      <c r="AK61" s="31">
        <v>0.30230382084846497</v>
      </c>
      <c r="AL61" s="32">
        <f t="shared" si="10"/>
        <v>0.31654850350624603</v>
      </c>
    </row>
    <row r="62" spans="1:38" ht="15.15" thickBot="1" x14ac:dyDescent="0.35">
      <c r="A62" s="33" t="s">
        <v>78</v>
      </c>
      <c r="B62" s="30">
        <v>44356</v>
      </c>
      <c r="C62" s="33">
        <v>1000</v>
      </c>
      <c r="D62" s="23" t="s">
        <v>65</v>
      </c>
      <c r="E62" s="30">
        <v>44419</v>
      </c>
      <c r="F62" s="24">
        <v>100</v>
      </c>
      <c r="G62" s="31">
        <v>12.337592124938965</v>
      </c>
      <c r="H62" s="31">
        <v>9441537</v>
      </c>
      <c r="I62" s="31">
        <f t="shared" si="14"/>
        <v>9428554.3614461254</v>
      </c>
      <c r="J62" s="31">
        <f t="shared" si="11"/>
        <v>942855.4361446125</v>
      </c>
      <c r="K62" s="31">
        <v>14.832536697387695</v>
      </c>
      <c r="L62" s="31">
        <v>1996956.75</v>
      </c>
      <c r="M62" s="31">
        <f t="shared" si="15"/>
        <v>1983974.1114461264</v>
      </c>
      <c r="N62" s="32">
        <f t="shared" si="2"/>
        <v>1983974.1114461264</v>
      </c>
      <c r="O62" s="31">
        <v>33.437702178955078</v>
      </c>
      <c r="P62" s="31">
        <v>138.68000793457031</v>
      </c>
      <c r="Q62" s="31">
        <f t="shared" si="3"/>
        <v>13.868000793457032</v>
      </c>
      <c r="R62" s="31">
        <v>36.882537841796875</v>
      </c>
      <c r="S62" s="31">
        <v>17.813405990600586</v>
      </c>
      <c r="T62" s="32">
        <f t="shared" si="4"/>
        <v>17.813405990600586</v>
      </c>
      <c r="U62" s="31">
        <v>27.409944534301758</v>
      </c>
      <c r="V62" s="31">
        <v>192.96136474609375</v>
      </c>
      <c r="W62" s="31">
        <f t="shared" si="5"/>
        <v>19.296136474609376</v>
      </c>
      <c r="X62" s="31">
        <v>32.521514892578125</v>
      </c>
      <c r="Y62" s="31">
        <v>7.2000956535339355</v>
      </c>
      <c r="Z62" s="32">
        <f t="shared" si="6"/>
        <v>7.2000956535339355</v>
      </c>
      <c r="AA62" s="31">
        <v>22.89610481262207</v>
      </c>
      <c r="AB62" s="31">
        <v>321.743896484375</v>
      </c>
      <c r="AC62" s="31">
        <f t="shared" si="7"/>
        <v>32.174389648437497</v>
      </c>
      <c r="AD62" s="31">
        <v>26.957767486572266</v>
      </c>
      <c r="AE62" s="31">
        <v>21.244203567504883</v>
      </c>
      <c r="AF62" s="32">
        <f t="shared" si="8"/>
        <v>21.244203567504883</v>
      </c>
      <c r="AG62" s="31">
        <v>19.683479309082031</v>
      </c>
      <c r="AH62" s="31">
        <v>43299.87890625</v>
      </c>
      <c r="AI62" s="31">
        <f t="shared" si="9"/>
        <v>4329.9878906249996</v>
      </c>
      <c r="AJ62" s="31">
        <v>22.952985763549805</v>
      </c>
      <c r="AK62" s="31">
        <v>5476.05712890625</v>
      </c>
      <c r="AL62" s="32">
        <f t="shared" si="10"/>
        <v>5476.05712890625</v>
      </c>
    </row>
    <row r="63" spans="1:38" ht="15.15" thickBot="1" x14ac:dyDescent="0.35">
      <c r="A63" s="33" t="s">
        <v>79</v>
      </c>
      <c r="B63" s="30">
        <v>44356</v>
      </c>
      <c r="C63" s="33">
        <v>950</v>
      </c>
      <c r="D63" s="23" t="s">
        <v>65</v>
      </c>
      <c r="E63" s="30">
        <v>44419</v>
      </c>
      <c r="F63" s="24">
        <v>100</v>
      </c>
      <c r="G63" s="31">
        <v>14.569214820861816</v>
      </c>
      <c r="H63" s="31">
        <v>2352747</v>
      </c>
      <c r="I63" s="31">
        <f t="shared" si="14"/>
        <v>2339764.3614461264</v>
      </c>
      <c r="J63" s="31">
        <f t="shared" si="11"/>
        <v>246290.98541538173</v>
      </c>
      <c r="K63" s="31">
        <v>17.354381561279297</v>
      </c>
      <c r="L63" s="31">
        <v>415355.875</v>
      </c>
      <c r="M63" s="31">
        <f t="shared" si="15"/>
        <v>402373.23644612631</v>
      </c>
      <c r="N63" s="32">
        <f t="shared" si="2"/>
        <v>423550.77520644874</v>
      </c>
      <c r="O63" s="31">
        <v>30.955904006958008</v>
      </c>
      <c r="P63" s="31">
        <v>608.30078125</v>
      </c>
      <c r="Q63" s="31">
        <f t="shared" si="3"/>
        <v>64.03166118421052</v>
      </c>
      <c r="R63" s="31">
        <v>33.98919677734375</v>
      </c>
      <c r="S63" s="31">
        <v>99.845420837402344</v>
      </c>
      <c r="T63" s="32">
        <f t="shared" si="4"/>
        <v>105.10044298673931</v>
      </c>
      <c r="U63" s="31">
        <v>27.315841674804688</v>
      </c>
      <c r="V63" s="31">
        <v>205.00381469726563</v>
      </c>
      <c r="W63" s="31">
        <f t="shared" si="5"/>
        <v>21.579348915501644</v>
      </c>
      <c r="X63" s="31">
        <v>30.989604949951172</v>
      </c>
      <c r="Y63" s="31">
        <v>19.290420532226563</v>
      </c>
      <c r="Z63" s="32">
        <f t="shared" si="6"/>
        <v>20.30570582339638</v>
      </c>
      <c r="AA63" s="31">
        <v>29.766000747680664</v>
      </c>
      <c r="AB63" s="31">
        <v>3.2449047565460205</v>
      </c>
      <c r="AC63" s="31">
        <f t="shared" si="7"/>
        <v>0.34156892174168635</v>
      </c>
      <c r="AD63" t="s">
        <v>66</v>
      </c>
      <c r="AF63" s="32">
        <f t="shared" si="8"/>
        <v>0</v>
      </c>
      <c r="AG63" s="31">
        <v>23.404335021972656</v>
      </c>
      <c r="AH63" s="31">
        <v>4116.21630859375</v>
      </c>
      <c r="AI63" s="31">
        <f t="shared" si="9"/>
        <v>433.28592722039474</v>
      </c>
      <c r="AJ63" s="31">
        <v>23.877410888671875</v>
      </c>
      <c r="AK63" s="31">
        <v>3051.83349609375</v>
      </c>
      <c r="AL63" s="32">
        <f t="shared" si="10"/>
        <v>3212.4563116776317</v>
      </c>
    </row>
    <row r="64" spans="1:38" ht="15.15" thickBot="1" x14ac:dyDescent="0.35">
      <c r="A64" s="33" t="s">
        <v>80</v>
      </c>
      <c r="B64" s="30">
        <v>44356</v>
      </c>
      <c r="C64" s="33">
        <v>900</v>
      </c>
      <c r="D64" s="23" t="s">
        <v>65</v>
      </c>
      <c r="E64" s="30">
        <v>44419</v>
      </c>
      <c r="F64" s="24">
        <v>100</v>
      </c>
      <c r="G64" s="31">
        <v>18.915332794189453</v>
      </c>
      <c r="H64" s="31">
        <v>157149.671875</v>
      </c>
      <c r="I64" s="31">
        <f t="shared" si="14"/>
        <v>144167.03332112631</v>
      </c>
      <c r="J64" s="31">
        <f t="shared" si="11"/>
        <v>16018.559257902923</v>
      </c>
      <c r="K64" s="31">
        <v>22.420406341552734</v>
      </c>
      <c r="L64" s="31">
        <v>17720.826171875</v>
      </c>
      <c r="M64" s="31">
        <f t="shared" si="15"/>
        <v>4738.1876180013023</v>
      </c>
      <c r="N64" s="32">
        <f t="shared" si="2"/>
        <v>5264.6529088903362</v>
      </c>
      <c r="O64" s="31">
        <v>32.904331207275391</v>
      </c>
      <c r="P64" s="31">
        <v>190.55070495605469</v>
      </c>
      <c r="Q64" s="31">
        <f t="shared" si="3"/>
        <v>21.172300550672745</v>
      </c>
      <c r="R64" s="31">
        <v>36.188751220703125</v>
      </c>
      <c r="S64" s="31">
        <v>26.93067741394043</v>
      </c>
      <c r="T64" s="32">
        <f t="shared" si="4"/>
        <v>29.922974904378254</v>
      </c>
      <c r="U64" s="31">
        <v>32.074577331542969</v>
      </c>
      <c r="V64" s="31">
        <v>9.5986261367797852</v>
      </c>
      <c r="W64" s="31">
        <f t="shared" si="5"/>
        <v>1.0665140151977539</v>
      </c>
      <c r="X64" s="31">
        <v>35.004840850830078</v>
      </c>
      <c r="Y64" s="31">
        <v>1.4571919441223145</v>
      </c>
      <c r="Z64" s="32">
        <f t="shared" si="6"/>
        <v>1.619102160135905</v>
      </c>
      <c r="AA64" s="31">
        <v>26.531801223754883</v>
      </c>
      <c r="AB64" s="31">
        <v>28.25016975402832</v>
      </c>
      <c r="AC64" s="31">
        <f t="shared" si="7"/>
        <v>3.1389077504475913</v>
      </c>
      <c r="AD64" s="31">
        <v>30.411594390869141</v>
      </c>
      <c r="AE64" s="31">
        <v>2.1066882610321045</v>
      </c>
      <c r="AF64" s="32">
        <f t="shared" si="8"/>
        <v>2.3407647344801159</v>
      </c>
      <c r="AG64" s="31">
        <v>32.700084686279297</v>
      </c>
      <c r="AH64" s="31">
        <v>11.515477180480957</v>
      </c>
      <c r="AI64" s="31">
        <f t="shared" si="9"/>
        <v>1.279497464497884</v>
      </c>
      <c r="AJ64" s="31">
        <v>37.256065368652344</v>
      </c>
      <c r="AK64" s="31">
        <v>0.64552628993988037</v>
      </c>
      <c r="AL64" s="32">
        <f t="shared" si="10"/>
        <v>0.71725143326653373</v>
      </c>
    </row>
    <row r="65" spans="1:39" s="44" customFormat="1" ht="13.5" customHeight="1" thickBot="1" x14ac:dyDescent="0.35">
      <c r="A65" s="38" t="s">
        <v>81</v>
      </c>
      <c r="B65" s="39">
        <v>44356</v>
      </c>
      <c r="C65" s="38">
        <v>900</v>
      </c>
      <c r="D65" s="40" t="s">
        <v>65</v>
      </c>
      <c r="E65" s="39">
        <v>44419</v>
      </c>
      <c r="F65" s="41">
        <v>100</v>
      </c>
      <c r="G65" s="31">
        <v>19.072219848632813</v>
      </c>
      <c r="H65" s="31">
        <v>142524.203125</v>
      </c>
      <c r="I65" s="31">
        <f t="shared" si="14"/>
        <v>129541.56457112631</v>
      </c>
      <c r="J65" s="31">
        <f>(I65*$F65)/$C65</f>
        <v>14393.50717456959</v>
      </c>
      <c r="K65" s="31">
        <v>21.996492385864258</v>
      </c>
      <c r="L65" s="31">
        <v>23073.701171875</v>
      </c>
      <c r="M65" s="31">
        <f t="shared" si="15"/>
        <v>10091.062618001302</v>
      </c>
      <c r="N65" s="32">
        <f t="shared" si="2"/>
        <v>11212.291797779226</v>
      </c>
      <c r="O65" s="31">
        <v>34.544281005859375</v>
      </c>
      <c r="P65" s="31">
        <v>71.732124328613281</v>
      </c>
      <c r="Q65" s="42">
        <f t="shared" si="3"/>
        <v>7.9702360365125866</v>
      </c>
      <c r="R65" s="31">
        <v>37.619564056396484</v>
      </c>
      <c r="S65" s="31">
        <v>11.483109474182129</v>
      </c>
      <c r="T65" s="43">
        <f t="shared" si="4"/>
        <v>12.759010526869032</v>
      </c>
      <c r="U65" s="31">
        <v>32.600074768066406</v>
      </c>
      <c r="V65" s="31">
        <v>6.8452491760253906</v>
      </c>
      <c r="W65" s="31">
        <f t="shared" si="5"/>
        <v>0.760583241780599</v>
      </c>
      <c r="X65" s="31">
        <v>35.031806945800781</v>
      </c>
      <c r="Y65" s="31">
        <v>1.4321306943893433</v>
      </c>
      <c r="Z65" s="32">
        <f t="shared" si="6"/>
        <v>1.5912563270992703</v>
      </c>
      <c r="AA65" s="31">
        <v>24.874170303344727</v>
      </c>
      <c r="AB65" s="31">
        <v>85.646278381347656</v>
      </c>
      <c r="AC65" s="31">
        <f t="shared" si="7"/>
        <v>9.5162531534830723</v>
      </c>
      <c r="AD65" s="31">
        <v>28.392999649047852</v>
      </c>
      <c r="AE65" s="31">
        <v>8.1316633224487305</v>
      </c>
      <c r="AF65" s="32">
        <f t="shared" si="8"/>
        <v>9.0351814693874779</v>
      </c>
      <c r="AG65" s="31">
        <v>33.45404052734375</v>
      </c>
      <c r="AH65" s="31">
        <v>7.148200511932373</v>
      </c>
      <c r="AI65" s="31">
        <f t="shared" si="9"/>
        <v>0.79424450132581925</v>
      </c>
      <c r="AJ65" t="s">
        <v>66</v>
      </c>
      <c r="AK65"/>
      <c r="AL65" s="32">
        <f t="shared" si="10"/>
        <v>0</v>
      </c>
      <c r="AM65"/>
    </row>
    <row r="66" spans="1:39" ht="15.15" thickBot="1" x14ac:dyDescent="0.35">
      <c r="A66" s="29" t="s">
        <v>64</v>
      </c>
      <c r="B66" s="30">
        <v>44363</v>
      </c>
      <c r="C66" s="29">
        <v>920</v>
      </c>
      <c r="D66" s="23" t="s">
        <v>65</v>
      </c>
      <c r="E66" s="30">
        <v>44420</v>
      </c>
      <c r="F66" s="24">
        <v>100</v>
      </c>
      <c r="G66" s="31">
        <v>15.97596549987793</v>
      </c>
      <c r="H66" s="31">
        <v>979866.0625</v>
      </c>
      <c r="I66" s="31">
        <f t="shared" si="14"/>
        <v>966883.42394612625</v>
      </c>
      <c r="J66" s="31">
        <f>(I66*$F66)/$C66</f>
        <v>105096.02434197025</v>
      </c>
      <c r="K66" s="31">
        <v>17.763509750366211</v>
      </c>
      <c r="L66" s="31">
        <v>321947.71875</v>
      </c>
      <c r="M66" s="31">
        <f t="shared" si="15"/>
        <v>308965.08019612631</v>
      </c>
      <c r="N66" s="32">
        <f t="shared" ref="N66:N123" si="16">(M66*($F66*10))/($C66)</f>
        <v>335831.60890883289</v>
      </c>
      <c r="O66" t="s">
        <v>66</v>
      </c>
      <c r="Q66" s="31">
        <f t="shared" ref="Q66:Q123" si="17">(P66*$F66)/$C66</f>
        <v>0</v>
      </c>
      <c r="R66" t="s">
        <v>66</v>
      </c>
      <c r="T66" s="32">
        <f t="shared" ref="T66:T123" si="18">(S66*($F66*10))/($C66)</f>
        <v>0</v>
      </c>
      <c r="U66" s="31">
        <v>33.378482818603516</v>
      </c>
      <c r="V66" s="31">
        <v>4.1486639976501465</v>
      </c>
      <c r="W66" s="31">
        <f t="shared" ref="W66:W123" si="19">(V66*$F66)/$C66</f>
        <v>0.45094173887501593</v>
      </c>
      <c r="X66" s="31">
        <v>36.144233703613281</v>
      </c>
      <c r="Y66" s="31">
        <v>0.70013123750686646</v>
      </c>
      <c r="Z66" s="32">
        <f t="shared" ref="Z66:Z123" si="20">(Y66*($F66*10))/($C66)</f>
        <v>0.76101221468137659</v>
      </c>
      <c r="AA66" s="31">
        <v>19.145620346069336</v>
      </c>
      <c r="AB66" s="31">
        <v>3956.904296875</v>
      </c>
      <c r="AC66" s="31">
        <f t="shared" ref="AC66:AC123" si="21">(AB66*$F66)/$C66</f>
        <v>430.09829313858694</v>
      </c>
      <c r="AD66" s="31">
        <v>23.172460556030273</v>
      </c>
      <c r="AE66" s="31">
        <v>267.4266357421875</v>
      </c>
      <c r="AF66" s="32">
        <f t="shared" ref="AF66:AF123" si="22">(AE66*($F66*10))/($C66)</f>
        <v>290.68112580672556</v>
      </c>
      <c r="AG66" s="31">
        <v>38.450950622558594</v>
      </c>
      <c r="AH66" s="31">
        <v>0.30319419503211975</v>
      </c>
      <c r="AI66" s="31">
        <f t="shared" ref="AI66:AI123" si="23">(AH66*$F66)/$C66</f>
        <v>3.295589076436084E-2</v>
      </c>
      <c r="AJ66" s="31">
        <v>39.59222412109375</v>
      </c>
      <c r="AK66" s="31">
        <v>0.14731708168983459</v>
      </c>
      <c r="AL66" s="32">
        <f t="shared" ref="AL66:AL123" si="24">(AK66*($F66*10))/($C66)</f>
        <v>0.16012726270634195</v>
      </c>
    </row>
    <row r="67" spans="1:39" ht="15.15" thickBot="1" x14ac:dyDescent="0.35">
      <c r="A67" s="33" t="s">
        <v>67</v>
      </c>
      <c r="B67" s="30">
        <v>44363</v>
      </c>
      <c r="C67" s="33">
        <v>900</v>
      </c>
      <c r="D67" s="23" t="s">
        <v>65</v>
      </c>
      <c r="E67" s="30">
        <v>44420</v>
      </c>
      <c r="F67" s="24">
        <v>100</v>
      </c>
      <c r="G67" s="31">
        <v>12.874423027038574</v>
      </c>
      <c r="H67" s="31">
        <v>6758881</v>
      </c>
      <c r="I67" s="31">
        <f t="shared" si="14"/>
        <v>6745898.3614461264</v>
      </c>
      <c r="J67" s="31">
        <f>(I67*$F67)/$C67</f>
        <v>749544.26238290302</v>
      </c>
      <c r="K67" s="31">
        <v>15.639421463012695</v>
      </c>
      <c r="L67" s="31">
        <v>1208297.125</v>
      </c>
      <c r="M67" s="31">
        <f t="shared" si="15"/>
        <v>1195314.4864461264</v>
      </c>
      <c r="N67" s="32">
        <f t="shared" si="16"/>
        <v>1328127.2071623628</v>
      </c>
      <c r="O67" t="s">
        <v>66</v>
      </c>
      <c r="Q67" s="31">
        <f t="shared" si="17"/>
        <v>0</v>
      </c>
      <c r="R67" t="s">
        <v>66</v>
      </c>
      <c r="T67" s="32">
        <f t="shared" si="18"/>
        <v>0</v>
      </c>
      <c r="U67" s="31">
        <v>32.362159729003906</v>
      </c>
      <c r="V67" s="31">
        <v>7.9773898124694824</v>
      </c>
      <c r="W67" s="31">
        <f t="shared" si="19"/>
        <v>0.88637664582994247</v>
      </c>
      <c r="X67" s="31">
        <v>35.509494781494141</v>
      </c>
      <c r="Y67" s="31">
        <v>1.0532232522964478</v>
      </c>
      <c r="Z67" s="32">
        <f t="shared" si="20"/>
        <v>1.1702480581071641</v>
      </c>
      <c r="AA67" s="31">
        <v>12.941454887390137</v>
      </c>
      <c r="AB67" s="31">
        <v>251310.546875</v>
      </c>
      <c r="AC67" s="31">
        <f t="shared" si="21"/>
        <v>27923.394097222223</v>
      </c>
      <c r="AD67" s="31">
        <v>15.813839912414551</v>
      </c>
      <c r="AE67" s="31">
        <v>36773.12109375</v>
      </c>
      <c r="AF67" s="32">
        <f t="shared" si="22"/>
        <v>40859.0234375</v>
      </c>
      <c r="AG67" s="31">
        <v>34.743270874023438</v>
      </c>
      <c r="AH67" s="31">
        <v>3.1629359722137451</v>
      </c>
      <c r="AI67" s="31">
        <f t="shared" si="23"/>
        <v>0.35143733024597168</v>
      </c>
      <c r="AJ67" s="31">
        <v>36.500080108642578</v>
      </c>
      <c r="AK67" s="31">
        <v>1.0412536859512329</v>
      </c>
      <c r="AL67" s="32">
        <f t="shared" si="24"/>
        <v>1.1569485399458144</v>
      </c>
    </row>
    <row r="68" spans="1:39" ht="15.15" thickBot="1" x14ac:dyDescent="0.35">
      <c r="A68" s="33" t="s">
        <v>68</v>
      </c>
      <c r="B68" s="30">
        <v>44363</v>
      </c>
      <c r="C68" s="33">
        <v>900</v>
      </c>
      <c r="D68" s="23" t="s">
        <v>65</v>
      </c>
      <c r="E68" s="30">
        <v>44420</v>
      </c>
      <c r="F68" s="24">
        <v>100</v>
      </c>
      <c r="G68" s="31">
        <v>12.8616943359375</v>
      </c>
      <c r="H68" s="31">
        <v>6812662</v>
      </c>
      <c r="I68" s="31">
        <f t="shared" si="14"/>
        <v>6799679.3614461264</v>
      </c>
      <c r="J68" s="31">
        <f>(I68*$F68)/$C68</f>
        <v>755519.92904956965</v>
      </c>
      <c r="K68" s="31">
        <v>15.643561363220215</v>
      </c>
      <c r="L68" s="31">
        <v>1205186.5</v>
      </c>
      <c r="M68" s="31">
        <f t="shared" si="15"/>
        <v>1192203.8614461264</v>
      </c>
      <c r="N68" s="32">
        <f t="shared" si="16"/>
        <v>1324670.9571623628</v>
      </c>
      <c r="O68" t="s">
        <v>66</v>
      </c>
      <c r="Q68" s="31">
        <f t="shared" si="17"/>
        <v>0</v>
      </c>
      <c r="R68" t="s">
        <v>66</v>
      </c>
      <c r="T68" s="32">
        <f t="shared" si="18"/>
        <v>0</v>
      </c>
      <c r="U68" s="31">
        <v>37.218513488769531</v>
      </c>
      <c r="V68" s="31">
        <v>0.35077953338623047</v>
      </c>
      <c r="W68" s="31">
        <f t="shared" si="19"/>
        <v>3.8975503709581166E-2</v>
      </c>
      <c r="X68" t="s">
        <v>66</v>
      </c>
      <c r="Z68" s="32">
        <f t="shared" si="20"/>
        <v>0</v>
      </c>
      <c r="AA68" s="31">
        <v>30.377130508422852</v>
      </c>
      <c r="AB68" s="31">
        <v>2.1558327674865723</v>
      </c>
      <c r="AC68" s="31">
        <f t="shared" si="21"/>
        <v>0.23953697416517469</v>
      </c>
      <c r="AD68" t="s">
        <v>66</v>
      </c>
      <c r="AF68" s="32">
        <f t="shared" si="22"/>
        <v>0</v>
      </c>
      <c r="AG68" s="31">
        <v>37.585411071777344</v>
      </c>
      <c r="AH68" s="31">
        <v>0.52414834499359131</v>
      </c>
      <c r="AI68" s="31">
        <f t="shared" si="23"/>
        <v>5.8238704999287925E-2</v>
      </c>
      <c r="AJ68" t="s">
        <v>66</v>
      </c>
      <c r="AL68" s="32">
        <f t="shared" si="24"/>
        <v>0</v>
      </c>
    </row>
    <row r="69" spans="1:39" ht="15.15" thickBot="1" x14ac:dyDescent="0.35">
      <c r="A69" s="33" t="s">
        <v>69</v>
      </c>
      <c r="B69" s="30">
        <v>44363</v>
      </c>
      <c r="C69" s="33">
        <v>1000</v>
      </c>
      <c r="D69" s="23" t="s">
        <v>65</v>
      </c>
      <c r="E69" s="30">
        <v>44420</v>
      </c>
      <c r="F69" s="24">
        <v>100</v>
      </c>
      <c r="G69" s="31">
        <v>13.118880271911621</v>
      </c>
      <c r="H69" s="31">
        <v>5804563</v>
      </c>
      <c r="I69" s="31">
        <f t="shared" si="14"/>
        <v>5791580.3614461264</v>
      </c>
      <c r="J69" s="31">
        <f t="shared" ref="J69:J73" si="25">(I69*$F69)/$C69</f>
        <v>579158.03614461271</v>
      </c>
      <c r="K69" s="31">
        <v>15.697354316711426</v>
      </c>
      <c r="L69" s="31">
        <v>1165487.875</v>
      </c>
      <c r="M69" s="31">
        <f t="shared" si="15"/>
        <v>1152505.2364461264</v>
      </c>
      <c r="N69" s="32">
        <f t="shared" si="16"/>
        <v>1152505.2364461264</v>
      </c>
      <c r="O69" t="s">
        <v>66</v>
      </c>
      <c r="Q69" s="31">
        <f t="shared" si="17"/>
        <v>0</v>
      </c>
      <c r="R69" t="s">
        <v>66</v>
      </c>
      <c r="T69" s="32">
        <f t="shared" si="18"/>
        <v>0</v>
      </c>
      <c r="U69" s="31">
        <v>35.999050140380859</v>
      </c>
      <c r="V69" s="31">
        <v>0.76867467164993286</v>
      </c>
      <c r="W69" s="31">
        <f t="shared" si="19"/>
        <v>7.6867467164993292E-2</v>
      </c>
      <c r="X69" s="31">
        <v>38.431163787841797</v>
      </c>
      <c r="Y69" s="31">
        <v>0.16077902913093567</v>
      </c>
      <c r="Z69" s="32">
        <f t="shared" si="20"/>
        <v>0.16077902913093567</v>
      </c>
      <c r="AA69" s="31">
        <v>30.700675964355469</v>
      </c>
      <c r="AB69" s="31">
        <v>1.7361876964569092</v>
      </c>
      <c r="AC69" s="31">
        <f t="shared" si="21"/>
        <v>0.17361876964569092</v>
      </c>
      <c r="AD69" t="s">
        <v>66</v>
      </c>
      <c r="AF69" s="32">
        <f t="shared" si="22"/>
        <v>0</v>
      </c>
      <c r="AG69" s="31">
        <v>36.31304931640625</v>
      </c>
      <c r="AH69" s="31">
        <v>1.1719993352890015</v>
      </c>
      <c r="AI69" s="31">
        <f t="shared" si="23"/>
        <v>0.11719993352890015</v>
      </c>
      <c r="AJ69" t="s">
        <v>66</v>
      </c>
      <c r="AL69" s="32">
        <f t="shared" si="24"/>
        <v>0</v>
      </c>
    </row>
    <row r="70" spans="1:39" ht="15.15" thickBot="1" x14ac:dyDescent="0.35">
      <c r="A70" s="33" t="s">
        <v>70</v>
      </c>
      <c r="B70" s="30">
        <v>44363</v>
      </c>
      <c r="C70" s="33">
        <v>910</v>
      </c>
      <c r="D70" s="23" t="s">
        <v>65</v>
      </c>
      <c r="E70" s="30">
        <v>44420</v>
      </c>
      <c r="F70" s="24">
        <v>100</v>
      </c>
      <c r="G70" s="31">
        <v>17.661212921142578</v>
      </c>
      <c r="H70" s="31">
        <v>343121.625</v>
      </c>
      <c r="I70" s="31">
        <f t="shared" si="14"/>
        <v>330138.98644612631</v>
      </c>
      <c r="J70" s="31">
        <f t="shared" si="25"/>
        <v>36279.00949957432</v>
      </c>
      <c r="K70" s="31">
        <v>20.793397903442383</v>
      </c>
      <c r="L70" s="31">
        <v>48803.81640625</v>
      </c>
      <c r="M70" s="31">
        <f t="shared" si="15"/>
        <v>35821.177852376306</v>
      </c>
      <c r="N70" s="32">
        <f t="shared" si="16"/>
        <v>39363.931705908028</v>
      </c>
      <c r="O70" s="31">
        <v>29.968271255493164</v>
      </c>
      <c r="P70" s="31">
        <v>1095.5802001953125</v>
      </c>
      <c r="Q70" s="31">
        <f t="shared" si="17"/>
        <v>120.39342859289148</v>
      </c>
      <c r="R70" s="31">
        <v>33.364345550537109</v>
      </c>
      <c r="S70" s="31">
        <v>144.8748779296875</v>
      </c>
      <c r="T70" s="32">
        <f t="shared" si="18"/>
        <v>159.20316256009616</v>
      </c>
      <c r="U70" s="31">
        <v>30.9620361328125</v>
      </c>
      <c r="V70" s="31">
        <v>19.635601043701172</v>
      </c>
      <c r="W70" s="31">
        <f t="shared" si="19"/>
        <v>2.1577583564506781</v>
      </c>
      <c r="X70" s="31">
        <v>33.705459594726563</v>
      </c>
      <c r="Y70" s="31">
        <v>3.3616580963134766</v>
      </c>
      <c r="Z70" s="32">
        <f t="shared" si="20"/>
        <v>3.6941297761686553</v>
      </c>
      <c r="AA70" s="31">
        <v>27.843114852905273</v>
      </c>
      <c r="AB70" s="31">
        <v>11.748143196105957</v>
      </c>
      <c r="AC70" s="31">
        <f t="shared" si="21"/>
        <v>1.2910047468248305</v>
      </c>
      <c r="AD70" s="31">
        <v>30.887601852416992</v>
      </c>
      <c r="AE70" s="31">
        <v>1.5320688486099243</v>
      </c>
      <c r="AF70" s="32">
        <f t="shared" si="22"/>
        <v>1.6835921413295871</v>
      </c>
      <c r="AG70" s="31">
        <v>32.552951812744141</v>
      </c>
      <c r="AH70" s="31">
        <v>12.638461112976074</v>
      </c>
      <c r="AI70" s="31">
        <f t="shared" si="23"/>
        <v>1.3888418805468215</v>
      </c>
      <c r="AJ70" s="31">
        <v>37.357128143310547</v>
      </c>
      <c r="AK70" s="31">
        <v>0.60555768013000488</v>
      </c>
      <c r="AL70" s="32">
        <f t="shared" si="24"/>
        <v>0.66544800014286254</v>
      </c>
    </row>
    <row r="71" spans="1:39" ht="15.15" thickBot="1" x14ac:dyDescent="0.35">
      <c r="A71" s="33" t="s">
        <v>71</v>
      </c>
      <c r="B71" s="30">
        <v>44363</v>
      </c>
      <c r="C71" s="33">
        <v>960</v>
      </c>
      <c r="D71" s="23" t="s">
        <v>65</v>
      </c>
      <c r="E71" s="30">
        <v>44420</v>
      </c>
      <c r="F71" s="24">
        <v>100</v>
      </c>
      <c r="G71" s="31">
        <v>15.962621688842773</v>
      </c>
      <c r="H71" s="31">
        <v>988041.3125</v>
      </c>
      <c r="I71" s="31">
        <f t="shared" si="14"/>
        <v>975058.67394612625</v>
      </c>
      <c r="J71" s="31">
        <f t="shared" si="25"/>
        <v>101568.61186938816</v>
      </c>
      <c r="K71" s="31">
        <v>18.998651504516602</v>
      </c>
      <c r="L71" s="31">
        <v>149204.78125</v>
      </c>
      <c r="M71" s="31">
        <f t="shared" si="15"/>
        <v>136222.14269612631</v>
      </c>
      <c r="N71" s="32">
        <f t="shared" si="16"/>
        <v>141898.06530846489</v>
      </c>
      <c r="O71" t="s">
        <v>66</v>
      </c>
      <c r="Q71" s="31">
        <f t="shared" si="17"/>
        <v>0</v>
      </c>
      <c r="R71" t="s">
        <v>66</v>
      </c>
      <c r="T71" s="32">
        <f t="shared" si="18"/>
        <v>0</v>
      </c>
      <c r="U71" s="31">
        <v>31.820650100708008</v>
      </c>
      <c r="V71" s="31">
        <v>11.301974296569824</v>
      </c>
      <c r="W71" s="31">
        <f t="shared" si="19"/>
        <v>1.1772889892260234</v>
      </c>
      <c r="X71" s="31">
        <v>34.74896240234375</v>
      </c>
      <c r="Y71" s="31">
        <v>1.717936635017395</v>
      </c>
      <c r="Z71" s="32">
        <f t="shared" si="20"/>
        <v>1.7895173281431198</v>
      </c>
      <c r="AA71" s="31">
        <v>16.282512664794922</v>
      </c>
      <c r="AB71" s="31">
        <v>26874.46875</v>
      </c>
      <c r="AC71" s="31">
        <f t="shared" si="21"/>
        <v>2799.423828125</v>
      </c>
      <c r="AD71" s="31">
        <v>19.66651725769043</v>
      </c>
      <c r="AE71" s="31">
        <v>2792.474609375</v>
      </c>
      <c r="AF71" s="32">
        <f t="shared" si="22"/>
        <v>2908.8277180989585</v>
      </c>
      <c r="AG71" s="31">
        <v>30.593513488769531</v>
      </c>
      <c r="AH71" s="31">
        <v>43.639839172363281</v>
      </c>
      <c r="AI71" s="31">
        <f t="shared" si="23"/>
        <v>4.5458165804545088</v>
      </c>
      <c r="AJ71" s="31">
        <v>33.989856719970703</v>
      </c>
      <c r="AK71" s="31">
        <v>5.093623161315918</v>
      </c>
      <c r="AL71" s="32">
        <f t="shared" si="24"/>
        <v>5.3058574597040815</v>
      </c>
    </row>
    <row r="72" spans="1:39" ht="15.15" thickBot="1" x14ac:dyDescent="0.35">
      <c r="A72" s="33" t="s">
        <v>72</v>
      </c>
      <c r="B72" s="30">
        <v>44363</v>
      </c>
      <c r="C72" s="33">
        <v>940</v>
      </c>
      <c r="D72" s="23" t="s">
        <v>65</v>
      </c>
      <c r="E72" s="30">
        <v>44420</v>
      </c>
      <c r="F72" s="24">
        <v>100</v>
      </c>
      <c r="G72" s="31">
        <v>20.510574340820313</v>
      </c>
      <c r="H72" s="31">
        <v>77955.9765625</v>
      </c>
      <c r="I72" s="31">
        <f t="shared" si="14"/>
        <v>64973.338008626306</v>
      </c>
      <c r="J72" s="31">
        <f t="shared" si="25"/>
        <v>6912.0572349602453</v>
      </c>
      <c r="K72" s="31">
        <v>23.596611022949219</v>
      </c>
      <c r="L72" s="31">
        <v>10430.640625</v>
      </c>
      <c r="M72" s="31">
        <f t="shared" si="15"/>
        <v>-2551.9979288736977</v>
      </c>
      <c r="N72" s="32">
        <f t="shared" si="16"/>
        <v>-2714.8914136954231</v>
      </c>
      <c r="O72" t="s">
        <v>66</v>
      </c>
      <c r="Q72" s="31">
        <f t="shared" si="17"/>
        <v>0</v>
      </c>
      <c r="R72" t="s">
        <v>66</v>
      </c>
      <c r="T72" s="32">
        <f t="shared" si="18"/>
        <v>0</v>
      </c>
      <c r="U72" s="31">
        <v>27.233957290649414</v>
      </c>
      <c r="V72" s="31">
        <v>271.18804931640625</v>
      </c>
      <c r="W72" s="31">
        <f t="shared" si="19"/>
        <v>28.84979248046875</v>
      </c>
      <c r="X72" s="31">
        <v>30.236961364746094</v>
      </c>
      <c r="Y72" s="31">
        <v>39.007610321044922</v>
      </c>
      <c r="Z72" s="32">
        <f t="shared" si="20"/>
        <v>41.497457788345663</v>
      </c>
      <c r="AA72" s="31">
        <v>29.614559173583984</v>
      </c>
      <c r="AB72" s="31">
        <v>2.5488853454589844</v>
      </c>
      <c r="AC72" s="31">
        <f t="shared" si="21"/>
        <v>0.27115801547436003</v>
      </c>
      <c r="AD72" t="s">
        <v>66</v>
      </c>
      <c r="AF72" s="32">
        <f t="shared" si="22"/>
        <v>0</v>
      </c>
      <c r="AG72" s="31">
        <v>37.308887481689453</v>
      </c>
      <c r="AH72" s="31">
        <v>1.3684134483337402</v>
      </c>
      <c r="AI72" s="31">
        <f t="shared" si="23"/>
        <v>0.14557589875890853</v>
      </c>
      <c r="AJ72" t="s">
        <v>66</v>
      </c>
      <c r="AL72" s="32">
        <f t="shared" si="24"/>
        <v>0</v>
      </c>
    </row>
    <row r="73" spans="1:39" ht="15.15" thickBot="1" x14ac:dyDescent="0.35">
      <c r="A73" s="33" t="s">
        <v>73</v>
      </c>
      <c r="B73" s="30">
        <v>44363</v>
      </c>
      <c r="C73" s="33">
        <v>940</v>
      </c>
      <c r="D73" s="23" t="s">
        <v>65</v>
      </c>
      <c r="E73" s="30">
        <v>44420</v>
      </c>
      <c r="F73" s="24">
        <v>100</v>
      </c>
      <c r="G73" s="31">
        <v>21.485513687133789</v>
      </c>
      <c r="H73" s="31">
        <v>41293.484375</v>
      </c>
      <c r="I73" s="31">
        <f t="shared" si="14"/>
        <v>28310.845821126302</v>
      </c>
      <c r="J73" s="31">
        <f t="shared" si="25"/>
        <v>3011.7921086304577</v>
      </c>
      <c r="K73" s="31">
        <v>24.340539932250977</v>
      </c>
      <c r="L73" s="31">
        <v>6422.93115234375</v>
      </c>
      <c r="M73" s="31">
        <f t="shared" si="15"/>
        <v>-6559.7074015299477</v>
      </c>
      <c r="N73" s="32">
        <f t="shared" si="16"/>
        <v>-6978.4121292871778</v>
      </c>
      <c r="O73" t="s">
        <v>66</v>
      </c>
      <c r="Q73" s="31">
        <f t="shared" si="17"/>
        <v>0</v>
      </c>
      <c r="R73" t="s">
        <v>66</v>
      </c>
      <c r="T73" s="32">
        <f t="shared" si="18"/>
        <v>0</v>
      </c>
      <c r="U73" s="31">
        <v>28.88075065612793</v>
      </c>
      <c r="V73" s="31">
        <v>93.641090393066406</v>
      </c>
      <c r="W73" s="31">
        <f t="shared" si="19"/>
        <v>9.9618181269219583</v>
      </c>
      <c r="X73" s="31">
        <v>31.661327362060547</v>
      </c>
      <c r="Y73" s="31">
        <v>15.549618721008301</v>
      </c>
      <c r="Z73" s="32">
        <f t="shared" si="20"/>
        <v>16.542147575540746</v>
      </c>
      <c r="AA73" s="31">
        <v>29.861528396606445</v>
      </c>
      <c r="AB73" s="31">
        <v>2.1594617366790771</v>
      </c>
      <c r="AC73" s="31">
        <f t="shared" si="21"/>
        <v>0.22972997198713588</v>
      </c>
      <c r="AD73" t="s">
        <v>66</v>
      </c>
      <c r="AF73" s="32">
        <f t="shared" si="22"/>
        <v>0</v>
      </c>
      <c r="AG73" t="s">
        <v>66</v>
      </c>
      <c r="AI73" s="31">
        <f t="shared" si="23"/>
        <v>0</v>
      </c>
      <c r="AJ73" t="s">
        <v>66</v>
      </c>
      <c r="AL73" s="32">
        <f t="shared" si="24"/>
        <v>0</v>
      </c>
    </row>
    <row r="74" spans="1:39" ht="15.15" thickBot="1" x14ac:dyDescent="0.35">
      <c r="A74" s="33" t="s">
        <v>76</v>
      </c>
      <c r="B74" s="30">
        <v>44363</v>
      </c>
      <c r="C74" s="33">
        <v>1000</v>
      </c>
      <c r="D74" s="23" t="s">
        <v>65</v>
      </c>
      <c r="E74" s="30">
        <v>44420</v>
      </c>
      <c r="F74" s="24">
        <v>100</v>
      </c>
      <c r="G74" s="31">
        <v>9.7662982940673828</v>
      </c>
      <c r="H74" s="31">
        <v>85731680</v>
      </c>
      <c r="I74" s="31">
        <f t="shared" si="14"/>
        <v>85718697.361446127</v>
      </c>
      <c r="J74" s="31">
        <f>(I74*$F74)/$C74</f>
        <v>8571869.7361446116</v>
      </c>
      <c r="K74" s="31">
        <v>11.401461601257324</v>
      </c>
      <c r="L74" s="31">
        <v>29531764</v>
      </c>
      <c r="M74" s="31">
        <f t="shared" si="15"/>
        <v>29518781.361446127</v>
      </c>
      <c r="N74" s="32">
        <f t="shared" si="16"/>
        <v>29518781.361446127</v>
      </c>
      <c r="O74" s="31">
        <v>30.833740234375</v>
      </c>
      <c r="P74" s="31">
        <v>636.7713623046875</v>
      </c>
      <c r="Q74" s="31">
        <f t="shared" si="17"/>
        <v>63.677136230468747</v>
      </c>
      <c r="R74" s="31">
        <v>33.292110443115234</v>
      </c>
      <c r="S74" s="31">
        <v>142.46463012695313</v>
      </c>
      <c r="T74" s="32">
        <f t="shared" si="18"/>
        <v>142.46463012695313</v>
      </c>
      <c r="U74" s="31">
        <v>26.669389724731445</v>
      </c>
      <c r="V74" s="31">
        <v>390.47216796875</v>
      </c>
      <c r="W74" s="31">
        <f t="shared" si="19"/>
        <v>39.047216796874999</v>
      </c>
      <c r="X74" s="31">
        <v>29.1148681640625</v>
      </c>
      <c r="Y74" s="31">
        <v>80.503311157226563</v>
      </c>
      <c r="Z74" s="32">
        <f t="shared" si="20"/>
        <v>80.503311157226563</v>
      </c>
      <c r="AA74" s="31">
        <v>30.065309524536133</v>
      </c>
      <c r="AB74" s="31">
        <v>1.8833557367324829</v>
      </c>
      <c r="AC74" s="31">
        <f t="shared" si="21"/>
        <v>0.1883355736732483</v>
      </c>
      <c r="AD74" s="31">
        <v>30.852794647216797</v>
      </c>
      <c r="AE74" s="31">
        <v>1.1100387573242188</v>
      </c>
      <c r="AF74" s="32">
        <f t="shared" si="22"/>
        <v>1.1100387573242188</v>
      </c>
      <c r="AG74" s="31">
        <v>25.797187805175781</v>
      </c>
      <c r="AH74" s="31">
        <v>1750.3345947265625</v>
      </c>
      <c r="AI74" s="31">
        <f t="shared" si="23"/>
        <v>175.03345947265626</v>
      </c>
      <c r="AJ74" s="31">
        <v>27.599546432495117</v>
      </c>
      <c r="AK74" s="31">
        <v>571.0587158203125</v>
      </c>
      <c r="AL74" s="32">
        <f t="shared" si="24"/>
        <v>571.0587158203125</v>
      </c>
    </row>
    <row r="75" spans="1:39" ht="15.15" thickBot="1" x14ac:dyDescent="0.35">
      <c r="A75" s="33" t="s">
        <v>77</v>
      </c>
      <c r="B75" s="30">
        <v>44363</v>
      </c>
      <c r="C75" s="33">
        <v>1000</v>
      </c>
      <c r="D75" s="23" t="s">
        <v>65</v>
      </c>
      <c r="E75" s="30">
        <v>44420</v>
      </c>
      <c r="F75" s="24">
        <v>100</v>
      </c>
      <c r="G75" s="31">
        <v>12.972076416015625</v>
      </c>
      <c r="H75" s="31">
        <v>10609836</v>
      </c>
      <c r="I75" s="31">
        <f t="shared" si="14"/>
        <v>10596853.361446125</v>
      </c>
      <c r="J75" s="31">
        <f t="shared" ref="J75:J77" si="26">(I75*$F75)/$C75</f>
        <v>1059685.3361446126</v>
      </c>
      <c r="K75" s="31">
        <v>15.61700439453125</v>
      </c>
      <c r="L75" s="31">
        <v>1892479.25</v>
      </c>
      <c r="M75" s="31">
        <f t="shared" si="15"/>
        <v>1879496.6114461264</v>
      </c>
      <c r="N75" s="32">
        <f t="shared" si="16"/>
        <v>1879496.6114461264</v>
      </c>
      <c r="O75" s="31">
        <v>30.5506591796875</v>
      </c>
      <c r="P75" s="31">
        <v>756.59381103515625</v>
      </c>
      <c r="Q75" s="31">
        <f t="shared" si="17"/>
        <v>75.659381103515628</v>
      </c>
      <c r="R75" s="31">
        <v>33.959362030029297</v>
      </c>
      <c r="S75" s="31">
        <v>94.887458801269531</v>
      </c>
      <c r="T75" s="32">
        <f t="shared" si="18"/>
        <v>94.887458801269531</v>
      </c>
      <c r="U75" s="31">
        <v>26.994512557983398</v>
      </c>
      <c r="V75" s="31">
        <v>316.53164672851563</v>
      </c>
      <c r="W75" s="31">
        <f t="shared" si="19"/>
        <v>31.653164672851563</v>
      </c>
      <c r="X75" s="31">
        <v>29.64567756652832</v>
      </c>
      <c r="Y75" s="31">
        <v>57.142715454101563</v>
      </c>
      <c r="Z75" s="32">
        <f t="shared" si="20"/>
        <v>57.142715454101563</v>
      </c>
      <c r="AA75" s="31">
        <v>29.548467636108398</v>
      </c>
      <c r="AB75" s="31">
        <v>2.6645231246948242</v>
      </c>
      <c r="AC75" s="31">
        <f t="shared" si="21"/>
        <v>0.26645231246948242</v>
      </c>
      <c r="AD75" s="31">
        <v>31.550436019897461</v>
      </c>
      <c r="AE75" s="31">
        <v>0.69492548704147339</v>
      </c>
      <c r="AF75" s="32">
        <f t="shared" si="22"/>
        <v>0.69492548704147339</v>
      </c>
      <c r="AG75" s="31">
        <v>27.206394195556641</v>
      </c>
      <c r="AH75" s="31">
        <v>729.10321044921875</v>
      </c>
      <c r="AI75" s="31">
        <f t="shared" si="23"/>
        <v>72.910321044921872</v>
      </c>
      <c r="AJ75" s="31">
        <v>30.792428970336914</v>
      </c>
      <c r="AK75" s="31">
        <v>78.514633178710938</v>
      </c>
      <c r="AL75" s="32">
        <f t="shared" si="24"/>
        <v>78.514633178710938</v>
      </c>
    </row>
    <row r="76" spans="1:39" ht="15.15" thickBot="1" x14ac:dyDescent="0.35">
      <c r="A76" s="33" t="s">
        <v>78</v>
      </c>
      <c r="B76" s="30">
        <v>44363</v>
      </c>
      <c r="C76" s="33">
        <v>1000</v>
      </c>
      <c r="D76" s="23" t="s">
        <v>65</v>
      </c>
      <c r="E76" s="30">
        <v>44420</v>
      </c>
      <c r="F76" s="24">
        <v>100</v>
      </c>
      <c r="G76" s="31">
        <v>20.169744491577148</v>
      </c>
      <c r="H76" s="31">
        <v>97347.6015625</v>
      </c>
      <c r="I76" s="31">
        <f t="shared" si="14"/>
        <v>84364.963008626306</v>
      </c>
      <c r="J76" s="31">
        <f t="shared" si="26"/>
        <v>8436.496300862631</v>
      </c>
      <c r="K76" s="31">
        <v>23.022993087768555</v>
      </c>
      <c r="L76" s="31">
        <v>15159.3359375</v>
      </c>
      <c r="M76" s="31">
        <f t="shared" si="15"/>
        <v>2176.6973836263023</v>
      </c>
      <c r="N76" s="32">
        <f t="shared" si="16"/>
        <v>2176.6973836263023</v>
      </c>
      <c r="O76" t="s">
        <v>66</v>
      </c>
      <c r="Q76" s="31">
        <f t="shared" si="17"/>
        <v>0</v>
      </c>
      <c r="R76" t="s">
        <v>66</v>
      </c>
      <c r="T76" s="32">
        <f t="shared" si="18"/>
        <v>0</v>
      </c>
      <c r="U76" s="31">
        <v>29.767391204833984</v>
      </c>
      <c r="V76" s="31">
        <v>52.823741912841797</v>
      </c>
      <c r="W76" s="31">
        <f t="shared" si="19"/>
        <v>5.2823741912841795</v>
      </c>
      <c r="X76" s="31">
        <v>32.857402801513672</v>
      </c>
      <c r="Y76" s="31">
        <v>7.1830487251281738</v>
      </c>
      <c r="Z76" s="32">
        <f t="shared" si="20"/>
        <v>7.1830487251281738</v>
      </c>
      <c r="AA76" s="31">
        <v>28.356924057006836</v>
      </c>
      <c r="AB76" s="31">
        <v>5.9295048713684082</v>
      </c>
      <c r="AC76" s="31">
        <f t="shared" si="21"/>
        <v>0.59295048713684084</v>
      </c>
      <c r="AD76" s="31">
        <v>31.551416397094727</v>
      </c>
      <c r="AE76" s="31">
        <v>0.69446825981140137</v>
      </c>
      <c r="AF76" s="32">
        <f t="shared" si="22"/>
        <v>0.69446825981140137</v>
      </c>
      <c r="AG76" s="31">
        <v>27.543802261352539</v>
      </c>
      <c r="AH76" s="31">
        <v>591.18798828125</v>
      </c>
      <c r="AI76" s="31">
        <f t="shared" si="23"/>
        <v>59.118798828125001</v>
      </c>
      <c r="AJ76" s="31">
        <v>31.17083740234375</v>
      </c>
      <c r="AK76" s="31">
        <v>62.061405181884766</v>
      </c>
      <c r="AL76" s="32">
        <f t="shared" si="24"/>
        <v>62.061405181884766</v>
      </c>
    </row>
    <row r="77" spans="1:39" ht="15.15" thickBot="1" x14ac:dyDescent="0.35">
      <c r="A77" s="33" t="s">
        <v>79</v>
      </c>
      <c r="B77" s="30">
        <v>44363</v>
      </c>
      <c r="C77" s="33">
        <v>930</v>
      </c>
      <c r="D77" s="23" t="s">
        <v>65</v>
      </c>
      <c r="E77" s="30">
        <v>44420</v>
      </c>
      <c r="F77" s="24">
        <v>100</v>
      </c>
      <c r="G77" s="31">
        <v>17.158927917480469</v>
      </c>
      <c r="H77" s="31">
        <v>692742.4375</v>
      </c>
      <c r="I77" s="31">
        <f t="shared" si="14"/>
        <v>679759.79894612625</v>
      </c>
      <c r="J77" s="31">
        <f t="shared" si="26"/>
        <v>73092.451499583462</v>
      </c>
      <c r="K77" s="31">
        <v>21.051338195800781</v>
      </c>
      <c r="L77" s="31">
        <v>54799.921875</v>
      </c>
      <c r="M77" s="31">
        <f t="shared" si="15"/>
        <v>41817.283321126306</v>
      </c>
      <c r="N77" s="32">
        <f t="shared" si="16"/>
        <v>44964.820775404631</v>
      </c>
      <c r="O77" t="s">
        <v>66</v>
      </c>
      <c r="Q77" s="31">
        <f t="shared" si="17"/>
        <v>0</v>
      </c>
      <c r="R77" t="s">
        <v>66</v>
      </c>
      <c r="T77" s="32">
        <f t="shared" si="18"/>
        <v>0</v>
      </c>
      <c r="U77" s="31">
        <v>27.341726303100586</v>
      </c>
      <c r="V77" s="31">
        <v>252.95849609375</v>
      </c>
      <c r="W77" s="31">
        <f t="shared" si="19"/>
        <v>27.199838289650536</v>
      </c>
      <c r="X77" s="31">
        <v>31.040281295776367</v>
      </c>
      <c r="Y77" s="31">
        <v>23.220809936523438</v>
      </c>
      <c r="Z77" s="32">
        <f t="shared" si="20"/>
        <v>24.968612834971438</v>
      </c>
      <c r="AA77" s="31">
        <v>28.749298095703125</v>
      </c>
      <c r="AB77" s="31">
        <v>4.5563840866088867</v>
      </c>
      <c r="AC77" s="31">
        <f t="shared" si="21"/>
        <v>0.48993377275364375</v>
      </c>
      <c r="AD77" t="s">
        <v>66</v>
      </c>
      <c r="AF77" s="32">
        <f t="shared" si="22"/>
        <v>0</v>
      </c>
      <c r="AG77" s="31">
        <v>36.507724761962891</v>
      </c>
      <c r="AH77" s="31">
        <v>2.2513546943664551</v>
      </c>
      <c r="AI77" s="31">
        <f t="shared" si="23"/>
        <v>0.24208114993187688</v>
      </c>
      <c r="AJ77" s="31">
        <v>25.622003555297852</v>
      </c>
      <c r="AK77" s="31">
        <v>1951.6490478515625</v>
      </c>
      <c r="AL77" s="32">
        <f t="shared" si="24"/>
        <v>2098.54736328125</v>
      </c>
    </row>
    <row r="78" spans="1:39" ht="15.15" thickBot="1" x14ac:dyDescent="0.35">
      <c r="A78" s="33" t="s">
        <v>64</v>
      </c>
      <c r="B78" s="30">
        <v>44370</v>
      </c>
      <c r="C78" s="33">
        <v>1000</v>
      </c>
      <c r="D78" s="23" t="s">
        <v>65</v>
      </c>
      <c r="E78" s="30">
        <v>44432</v>
      </c>
      <c r="F78" s="24">
        <v>100</v>
      </c>
      <c r="G78" s="31">
        <v>18.982578277587891</v>
      </c>
      <c r="H78" s="31">
        <v>211040.796875</v>
      </c>
      <c r="I78" s="31">
        <f t="shared" si="14"/>
        <v>198058.15832112631</v>
      </c>
      <c r="J78" s="31">
        <f>(I78*$F78)/$C78</f>
        <v>19805.815832112628</v>
      </c>
      <c r="K78" s="31">
        <v>21.742347717285156</v>
      </c>
      <c r="L78" s="31">
        <v>34928.640625</v>
      </c>
      <c r="M78" s="31">
        <f t="shared" si="15"/>
        <v>21946.002071126302</v>
      </c>
      <c r="N78" s="32">
        <f t="shared" si="16"/>
        <v>21946.002071126302</v>
      </c>
      <c r="O78" s="31">
        <v>35.402984619140625</v>
      </c>
      <c r="P78" s="31">
        <v>39.386608123779297</v>
      </c>
      <c r="Q78" s="31">
        <f t="shared" si="17"/>
        <v>3.9386608123779299</v>
      </c>
      <c r="R78" t="s">
        <v>66</v>
      </c>
      <c r="T78" s="32">
        <f t="shared" si="18"/>
        <v>0</v>
      </c>
      <c r="U78" s="31">
        <v>32.039722442626953</v>
      </c>
      <c r="V78" s="31">
        <v>12.17889404296875</v>
      </c>
      <c r="W78" s="31">
        <f t="shared" si="19"/>
        <v>1.2178894042968751</v>
      </c>
      <c r="X78" s="31">
        <v>35.499664306640625</v>
      </c>
      <c r="Y78" s="31">
        <v>1.3042154312133789</v>
      </c>
      <c r="Z78" s="32">
        <f t="shared" si="20"/>
        <v>1.3042154312133789</v>
      </c>
      <c r="AA78" s="31">
        <v>30.042816162109375</v>
      </c>
      <c r="AB78" s="31">
        <v>1.9120109081268311</v>
      </c>
      <c r="AC78" s="31">
        <f t="shared" si="21"/>
        <v>0.19120109081268311</v>
      </c>
      <c r="AD78" t="s">
        <v>66</v>
      </c>
      <c r="AF78" s="32">
        <f t="shared" si="22"/>
        <v>0</v>
      </c>
      <c r="AG78" s="31">
        <v>35.343215942382813</v>
      </c>
      <c r="AH78" s="31">
        <v>4.6423120498657227</v>
      </c>
      <c r="AI78" s="31">
        <f t="shared" si="23"/>
        <v>0.46423120498657228</v>
      </c>
      <c r="AJ78" t="s">
        <v>66</v>
      </c>
      <c r="AL78" s="32">
        <f t="shared" si="24"/>
        <v>0</v>
      </c>
    </row>
    <row r="79" spans="1:39" ht="15.15" thickBot="1" x14ac:dyDescent="0.35">
      <c r="A79" s="33" t="s">
        <v>67</v>
      </c>
      <c r="B79" s="30">
        <v>44370</v>
      </c>
      <c r="C79" s="33">
        <v>960</v>
      </c>
      <c r="D79" s="23" t="s">
        <v>65</v>
      </c>
      <c r="E79" s="30">
        <v>44432</v>
      </c>
      <c r="F79" s="24">
        <v>100</v>
      </c>
      <c r="G79" s="31">
        <v>18.620100021362305</v>
      </c>
      <c r="H79" s="31">
        <v>267282.25</v>
      </c>
      <c r="I79" s="31">
        <f t="shared" si="14"/>
        <v>254299.61144612631</v>
      </c>
      <c r="J79" s="31">
        <f t="shared" ref="J79:J95" si="27">(I79*$F79)/$C79</f>
        <v>26489.54285897149</v>
      </c>
      <c r="K79" s="31">
        <v>21.806789398193359</v>
      </c>
      <c r="L79" s="31">
        <v>33491.97265625</v>
      </c>
      <c r="M79" s="31">
        <f t="shared" si="15"/>
        <v>20509.334102376302</v>
      </c>
      <c r="N79" s="32">
        <f t="shared" si="16"/>
        <v>21363.889689975313</v>
      </c>
      <c r="O79" s="31">
        <v>34.682228088378906</v>
      </c>
      <c r="P79" s="31">
        <v>61.094161987304688</v>
      </c>
      <c r="Q79" s="31">
        <f t="shared" si="17"/>
        <v>6.3639752070109052</v>
      </c>
      <c r="R79" s="31">
        <v>38.266178131103516</v>
      </c>
      <c r="S79" s="31">
        <v>6.8863673210144043</v>
      </c>
      <c r="T79" s="32">
        <f t="shared" si="18"/>
        <v>7.1732992927233381</v>
      </c>
      <c r="U79" s="31">
        <v>32.131385803222656</v>
      </c>
      <c r="V79" s="31">
        <v>11.478972434997559</v>
      </c>
      <c r="W79" s="31">
        <f t="shared" si="19"/>
        <v>1.1957262953122456</v>
      </c>
      <c r="X79" s="31">
        <v>35.759239196777344</v>
      </c>
      <c r="Y79" s="31">
        <v>1.1029547452926636</v>
      </c>
      <c r="Z79" s="32">
        <f t="shared" si="20"/>
        <v>1.1489111930131912</v>
      </c>
      <c r="AA79" s="31">
        <v>29.60774040222168</v>
      </c>
      <c r="AB79" s="31">
        <v>2.560579776763916</v>
      </c>
      <c r="AC79" s="31">
        <f t="shared" si="21"/>
        <v>0.26672706007957458</v>
      </c>
      <c r="AD79" t="s">
        <v>66</v>
      </c>
      <c r="AF79" s="32">
        <f t="shared" si="22"/>
        <v>0</v>
      </c>
      <c r="AG79" s="31">
        <v>34.35772705078125</v>
      </c>
      <c r="AH79" s="31">
        <v>8.5646352767944336</v>
      </c>
      <c r="AI79" s="31">
        <f t="shared" si="23"/>
        <v>0.89214950799942017</v>
      </c>
      <c r="AJ79" t="s">
        <v>66</v>
      </c>
      <c r="AL79" s="32">
        <f t="shared" si="24"/>
        <v>0</v>
      </c>
    </row>
    <row r="80" spans="1:39" ht="15.15" thickBot="1" x14ac:dyDescent="0.35">
      <c r="A80" s="33" t="s">
        <v>68</v>
      </c>
      <c r="B80" s="30">
        <v>44370</v>
      </c>
      <c r="C80" s="33">
        <v>838</v>
      </c>
      <c r="D80" s="23" t="s">
        <v>65</v>
      </c>
      <c r="E80" s="30">
        <v>44432</v>
      </c>
      <c r="F80" s="24">
        <v>100</v>
      </c>
      <c r="G80" s="31">
        <v>15.148251533508301</v>
      </c>
      <c r="H80" s="31">
        <v>2568721.75</v>
      </c>
      <c r="I80" s="31">
        <f t="shared" si="14"/>
        <v>2555739.1114461264</v>
      </c>
      <c r="J80" s="31">
        <f t="shared" si="27"/>
        <v>304980.80088855926</v>
      </c>
      <c r="K80" s="31">
        <v>18.501974105834961</v>
      </c>
      <c r="L80" s="31">
        <v>288673.5625</v>
      </c>
      <c r="M80" s="31">
        <f t="shared" si="15"/>
        <v>275690.92394612631</v>
      </c>
      <c r="N80" s="32">
        <f t="shared" si="16"/>
        <v>328986.78275194066</v>
      </c>
      <c r="O80" t="s">
        <v>66</v>
      </c>
      <c r="Q80" s="31">
        <f t="shared" si="17"/>
        <v>0</v>
      </c>
      <c r="R80" t="s">
        <v>66</v>
      </c>
      <c r="T80" s="32">
        <f t="shared" si="18"/>
        <v>0</v>
      </c>
      <c r="U80" s="31">
        <v>23.020088195800781</v>
      </c>
      <c r="V80" s="31">
        <v>4120.5009765625</v>
      </c>
      <c r="W80" s="31">
        <f t="shared" si="19"/>
        <v>491.70656044898567</v>
      </c>
      <c r="X80" s="31">
        <v>26.323911666870117</v>
      </c>
      <c r="Y80" s="31">
        <v>488.0577392578125</v>
      </c>
      <c r="Z80" s="32">
        <f t="shared" si="20"/>
        <v>582.40780341027744</v>
      </c>
      <c r="AA80" s="31">
        <v>29.559635162353516</v>
      </c>
      <c r="AB80" s="31">
        <v>2.6446218490600586</v>
      </c>
      <c r="AC80" s="31">
        <f t="shared" si="21"/>
        <v>0.31558733282339602</v>
      </c>
      <c r="AD80" s="31">
        <v>30.747957229614258</v>
      </c>
      <c r="AE80" s="31">
        <v>1.1909784078598022</v>
      </c>
      <c r="AF80" s="32">
        <f t="shared" si="22"/>
        <v>1.421215283842246</v>
      </c>
      <c r="AG80" s="31">
        <v>33.396800994873047</v>
      </c>
      <c r="AH80" s="31">
        <v>15.561595916748047</v>
      </c>
      <c r="AI80" s="31">
        <f t="shared" si="23"/>
        <v>1.8569923528338959</v>
      </c>
      <c r="AJ80" s="31">
        <v>39.210845947265625</v>
      </c>
      <c r="AK80" s="31">
        <v>0.41965842247009277</v>
      </c>
      <c r="AL80" s="32">
        <f t="shared" si="24"/>
        <v>0.50078570700488401</v>
      </c>
    </row>
    <row r="81" spans="1:38" ht="15.15" thickBot="1" x14ac:dyDescent="0.35">
      <c r="A81" s="33" t="s">
        <v>69</v>
      </c>
      <c r="B81" s="30">
        <v>44370</v>
      </c>
      <c r="C81" s="33">
        <v>900</v>
      </c>
      <c r="D81" s="23" t="s">
        <v>65</v>
      </c>
      <c r="E81" s="30">
        <v>44432</v>
      </c>
      <c r="F81" s="24">
        <v>100</v>
      </c>
      <c r="G81" s="31">
        <v>15.992849349975586</v>
      </c>
      <c r="H81" s="31">
        <v>1481302.875</v>
      </c>
      <c r="I81" s="31">
        <f t="shared" si="14"/>
        <v>1468320.2364461264</v>
      </c>
      <c r="J81" s="31">
        <f t="shared" si="27"/>
        <v>163146.69293845849</v>
      </c>
      <c r="K81" s="31">
        <v>18.568090438842773</v>
      </c>
      <c r="L81" s="31">
        <v>276498</v>
      </c>
      <c r="M81" s="31">
        <f t="shared" si="15"/>
        <v>263515.36144612631</v>
      </c>
      <c r="N81" s="32">
        <f t="shared" si="16"/>
        <v>292794.84605125146</v>
      </c>
      <c r="O81" t="s">
        <v>66</v>
      </c>
      <c r="Q81" s="31">
        <f t="shared" si="17"/>
        <v>0</v>
      </c>
      <c r="R81" t="s">
        <v>66</v>
      </c>
      <c r="T81" s="32">
        <f t="shared" si="18"/>
        <v>0</v>
      </c>
      <c r="U81" s="31">
        <v>35.661647796630859</v>
      </c>
      <c r="V81" s="31">
        <v>1.1746944189071655</v>
      </c>
      <c r="W81" s="31">
        <f t="shared" si="19"/>
        <v>0.13052160210079616</v>
      </c>
      <c r="X81" s="31">
        <v>38.538246154785156</v>
      </c>
      <c r="Y81" s="31">
        <v>0.18333746492862701</v>
      </c>
      <c r="Z81" s="32">
        <f t="shared" si="20"/>
        <v>0.20370829436514112</v>
      </c>
      <c r="AA81" s="31">
        <v>29.584606170654297</v>
      </c>
      <c r="AB81" s="31">
        <v>2.6006577014923096</v>
      </c>
      <c r="AC81" s="31">
        <f t="shared" si="21"/>
        <v>0.28896196683247882</v>
      </c>
      <c r="AD81" t="s">
        <v>66</v>
      </c>
      <c r="AF81" s="32">
        <f t="shared" si="22"/>
        <v>0</v>
      </c>
      <c r="AG81" t="s">
        <v>66</v>
      </c>
      <c r="AI81" s="31">
        <f t="shared" si="23"/>
        <v>0</v>
      </c>
      <c r="AJ81" t="s">
        <v>66</v>
      </c>
      <c r="AL81" s="32">
        <f t="shared" si="24"/>
        <v>0</v>
      </c>
    </row>
    <row r="82" spans="1:38" ht="15.15" thickBot="1" x14ac:dyDescent="0.35">
      <c r="A82" s="33" t="s">
        <v>70</v>
      </c>
      <c r="B82" s="30">
        <v>44370</v>
      </c>
      <c r="C82" s="33">
        <v>900</v>
      </c>
      <c r="D82" s="23" t="s">
        <v>65</v>
      </c>
      <c r="E82" s="30">
        <v>44432</v>
      </c>
      <c r="F82" s="24">
        <v>100</v>
      </c>
      <c r="G82" s="31">
        <v>22.220300674438477</v>
      </c>
      <c r="H82" s="31">
        <v>25579.470703125</v>
      </c>
      <c r="I82" s="31">
        <f t="shared" si="14"/>
        <v>12596.832149251302</v>
      </c>
      <c r="J82" s="31">
        <f t="shared" si="27"/>
        <v>1399.648016583478</v>
      </c>
      <c r="K82" s="31">
        <v>24.980480194091797</v>
      </c>
      <c r="L82" s="31">
        <v>4232.439453125</v>
      </c>
      <c r="M82" s="31">
        <f t="shared" si="15"/>
        <v>-8750.1991007486977</v>
      </c>
      <c r="N82" s="32">
        <f t="shared" si="16"/>
        <v>-9722.4434452763307</v>
      </c>
      <c r="O82" t="s">
        <v>66</v>
      </c>
      <c r="Q82" s="31">
        <f t="shared" si="17"/>
        <v>0</v>
      </c>
      <c r="R82" t="s">
        <v>66</v>
      </c>
      <c r="T82" s="32">
        <f t="shared" si="18"/>
        <v>0</v>
      </c>
      <c r="U82" s="31">
        <v>35.457969665527344</v>
      </c>
      <c r="V82" s="31">
        <v>1.339805006980896</v>
      </c>
      <c r="W82" s="31">
        <f t="shared" si="19"/>
        <v>0.14886722299787733</v>
      </c>
      <c r="X82" s="31">
        <v>38.591323852539063</v>
      </c>
      <c r="Y82" s="31">
        <v>0.17716047167778015</v>
      </c>
      <c r="Z82" s="32">
        <f t="shared" si="20"/>
        <v>0.19684496853086683</v>
      </c>
      <c r="AA82" s="31">
        <v>29.877767562866211</v>
      </c>
      <c r="AB82" s="31">
        <v>2.1360476016998291</v>
      </c>
      <c r="AC82" s="31">
        <f t="shared" si="21"/>
        <v>0.23733862241109213</v>
      </c>
      <c r="AD82" s="31">
        <v>31.542179107666016</v>
      </c>
      <c r="AE82" s="31">
        <v>0.69878822565078735</v>
      </c>
      <c r="AF82" s="32">
        <f t="shared" si="22"/>
        <v>0.77643136183420813</v>
      </c>
      <c r="AG82" t="s">
        <v>66</v>
      </c>
      <c r="AI82" s="31">
        <f t="shared" si="23"/>
        <v>0</v>
      </c>
      <c r="AJ82" t="s">
        <v>66</v>
      </c>
      <c r="AL82" s="32">
        <f t="shared" si="24"/>
        <v>0</v>
      </c>
    </row>
    <row r="83" spans="1:38" ht="15.15" thickBot="1" x14ac:dyDescent="0.35">
      <c r="A83" s="33" t="s">
        <v>71</v>
      </c>
      <c r="B83" s="30">
        <v>44370</v>
      </c>
      <c r="C83" s="33">
        <v>930</v>
      </c>
      <c r="D83" s="23" t="s">
        <v>65</v>
      </c>
      <c r="E83" s="30">
        <v>44432</v>
      </c>
      <c r="F83" s="24">
        <v>100</v>
      </c>
      <c r="G83" s="31">
        <v>19.734649658203125</v>
      </c>
      <c r="H83" s="31">
        <v>129265.8828125</v>
      </c>
      <c r="I83" s="31">
        <f t="shared" si="14"/>
        <v>116283.24425862631</v>
      </c>
      <c r="J83" s="31">
        <f t="shared" si="27"/>
        <v>12503.574651465195</v>
      </c>
      <c r="K83" s="31">
        <v>24.639677047729492</v>
      </c>
      <c r="L83" s="31">
        <v>5285.1708984375</v>
      </c>
      <c r="M83" s="31">
        <f t="shared" si="15"/>
        <v>-7697.4676554361977</v>
      </c>
      <c r="N83" s="32">
        <f t="shared" si="16"/>
        <v>-8276.8469413292441</v>
      </c>
      <c r="O83" t="s">
        <v>66</v>
      </c>
      <c r="Q83" s="31">
        <f t="shared" si="17"/>
        <v>0</v>
      </c>
      <c r="R83" t="s">
        <v>66</v>
      </c>
      <c r="T83" s="32">
        <f t="shared" si="18"/>
        <v>0</v>
      </c>
      <c r="U83" s="31">
        <v>34.832809448242188</v>
      </c>
      <c r="V83" s="31">
        <v>2.0061016082763672</v>
      </c>
      <c r="W83" s="31">
        <f t="shared" si="19"/>
        <v>0.21570985035229756</v>
      </c>
      <c r="X83" s="31">
        <v>37.228263854980469</v>
      </c>
      <c r="Y83" s="31">
        <v>0.42717382311820984</v>
      </c>
      <c r="Z83" s="32">
        <f t="shared" si="20"/>
        <v>0.45932669152495681</v>
      </c>
      <c r="AA83" s="31">
        <v>30.152444839477539</v>
      </c>
      <c r="AB83" s="31">
        <v>1.7763466835021973</v>
      </c>
      <c r="AC83" s="31">
        <f t="shared" si="21"/>
        <v>0.19100501973141906</v>
      </c>
      <c r="AD83" t="s">
        <v>66</v>
      </c>
      <c r="AF83" s="32">
        <f t="shared" si="22"/>
        <v>0</v>
      </c>
      <c r="AG83" t="s">
        <v>66</v>
      </c>
      <c r="AI83" s="31">
        <f t="shared" si="23"/>
        <v>0</v>
      </c>
      <c r="AJ83" t="s">
        <v>66</v>
      </c>
      <c r="AL83" s="32">
        <f t="shared" si="24"/>
        <v>0</v>
      </c>
    </row>
    <row r="84" spans="1:38" ht="15.15" thickBot="1" x14ac:dyDescent="0.35">
      <c r="A84" s="33" t="s">
        <v>72</v>
      </c>
      <c r="B84" s="30">
        <v>44370</v>
      </c>
      <c r="C84" s="33">
        <v>860</v>
      </c>
      <c r="D84" s="23" t="s">
        <v>65</v>
      </c>
      <c r="E84" s="30">
        <v>44432</v>
      </c>
      <c r="F84" s="24">
        <v>100</v>
      </c>
      <c r="G84" s="31">
        <v>20.499090194702148</v>
      </c>
      <c r="H84" s="31">
        <v>78541.671875</v>
      </c>
      <c r="I84" s="31">
        <f t="shared" ref="I84:I100" si="28">H84-$H$242</f>
        <v>65559.033321126306</v>
      </c>
      <c r="J84" s="31">
        <f t="shared" si="27"/>
        <v>7623.1434094332917</v>
      </c>
      <c r="K84" s="31">
        <v>23.756057739257813</v>
      </c>
      <c r="L84" s="31">
        <v>9401.0791015625</v>
      </c>
      <c r="M84" s="31">
        <f t="shared" ref="M84:M115" si="29">L84-$H$242</f>
        <v>-3581.5594523111977</v>
      </c>
      <c r="N84" s="32">
        <f t="shared" si="16"/>
        <v>-4164.6040143153459</v>
      </c>
      <c r="O84" t="s">
        <v>66</v>
      </c>
      <c r="Q84" s="31">
        <f t="shared" si="17"/>
        <v>0</v>
      </c>
      <c r="R84" t="s">
        <v>66</v>
      </c>
      <c r="T84" s="32">
        <f t="shared" si="18"/>
        <v>0</v>
      </c>
      <c r="U84" s="31">
        <v>27.111778259277344</v>
      </c>
      <c r="V84" s="31">
        <v>293.44906616210938</v>
      </c>
      <c r="W84" s="31">
        <f t="shared" si="19"/>
        <v>34.121984437454579</v>
      </c>
      <c r="X84" s="31">
        <v>29.908065795898438</v>
      </c>
      <c r="Y84" s="31">
        <v>48.237003326416016</v>
      </c>
      <c r="Z84" s="32">
        <f t="shared" si="20"/>
        <v>56.089538751646529</v>
      </c>
      <c r="AA84" s="31">
        <v>31.036720275878906</v>
      </c>
      <c r="AB84" s="31">
        <v>0.98110157251358032</v>
      </c>
      <c r="AC84" s="31">
        <f t="shared" si="21"/>
        <v>0.11408157819925352</v>
      </c>
      <c r="AD84" t="s">
        <v>66</v>
      </c>
      <c r="AF84" s="32">
        <f t="shared" si="22"/>
        <v>0</v>
      </c>
      <c r="AG84" s="31">
        <v>33.077507019042969</v>
      </c>
      <c r="AH84" s="31">
        <v>18.97705078125</v>
      </c>
      <c r="AI84" s="31">
        <f t="shared" si="23"/>
        <v>2.2066338117732558</v>
      </c>
      <c r="AJ84" s="31">
        <v>35.534523010253906</v>
      </c>
      <c r="AK84" s="31">
        <v>4.121945858001709</v>
      </c>
      <c r="AL84" s="32">
        <f t="shared" si="24"/>
        <v>4.7929603000019876</v>
      </c>
    </row>
    <row r="85" spans="1:38" ht="15.15" thickBot="1" x14ac:dyDescent="0.35">
      <c r="A85" s="33" t="s">
        <v>73</v>
      </c>
      <c r="B85" s="30">
        <v>44370</v>
      </c>
      <c r="C85" s="33">
        <v>905</v>
      </c>
      <c r="D85" s="23" t="s">
        <v>65</v>
      </c>
      <c r="E85" s="30">
        <v>44432</v>
      </c>
      <c r="F85" s="24">
        <v>100</v>
      </c>
      <c r="G85" s="31">
        <v>21.649154663085938</v>
      </c>
      <c r="H85" s="31">
        <v>37115.9921875</v>
      </c>
      <c r="I85" s="31">
        <f t="shared" si="28"/>
        <v>24133.353633626302</v>
      </c>
      <c r="J85" s="31">
        <f t="shared" si="27"/>
        <v>2666.6689097929616</v>
      </c>
      <c r="K85" s="31">
        <v>24.423263549804688</v>
      </c>
      <c r="L85" s="31">
        <v>6085.7958984375</v>
      </c>
      <c r="M85" s="31">
        <f t="shared" si="29"/>
        <v>-6896.8426554361977</v>
      </c>
      <c r="N85" s="32">
        <f t="shared" si="16"/>
        <v>-7620.8206137416546</v>
      </c>
      <c r="O85" t="s">
        <v>66</v>
      </c>
      <c r="Q85" s="31">
        <f t="shared" si="17"/>
        <v>0</v>
      </c>
      <c r="R85" t="s">
        <v>66</v>
      </c>
      <c r="T85" s="32">
        <f t="shared" si="18"/>
        <v>0</v>
      </c>
      <c r="U85" s="31">
        <v>31.224580764770508</v>
      </c>
      <c r="V85" s="31">
        <v>20.615550994873047</v>
      </c>
      <c r="W85" s="31">
        <f t="shared" si="19"/>
        <v>2.2779614358975744</v>
      </c>
      <c r="X85" s="31">
        <v>32.287357330322266</v>
      </c>
      <c r="Y85" s="31">
        <v>10.379215240478516</v>
      </c>
      <c r="Z85" s="32">
        <f t="shared" si="20"/>
        <v>11.468746122075707</v>
      </c>
      <c r="AA85" s="31">
        <v>30.200454711914063</v>
      </c>
      <c r="AB85" s="31">
        <v>1.7200071811676025</v>
      </c>
      <c r="AC85" s="31">
        <f t="shared" si="21"/>
        <v>0.19005604211796714</v>
      </c>
      <c r="AD85" t="s">
        <v>66</v>
      </c>
      <c r="AF85" s="32">
        <f t="shared" si="22"/>
        <v>0</v>
      </c>
      <c r="AG85" s="31">
        <v>31.683683395385742</v>
      </c>
      <c r="AH85" s="31">
        <v>45.124156951904297</v>
      </c>
      <c r="AI85" s="31">
        <f t="shared" si="23"/>
        <v>4.9860946908181543</v>
      </c>
      <c r="AJ85" t="s">
        <v>66</v>
      </c>
      <c r="AL85" s="32">
        <f t="shared" si="24"/>
        <v>0</v>
      </c>
    </row>
    <row r="86" spans="1:38" ht="15.15" thickBot="1" x14ac:dyDescent="0.35">
      <c r="A86" s="33" t="s">
        <v>74</v>
      </c>
      <c r="B86" s="30">
        <v>44370</v>
      </c>
      <c r="C86" s="33">
        <v>905</v>
      </c>
      <c r="D86" s="23" t="s">
        <v>65</v>
      </c>
      <c r="E86" s="30">
        <v>44432</v>
      </c>
      <c r="F86" s="24">
        <v>100</v>
      </c>
      <c r="G86" s="31">
        <v>23.049032211303711</v>
      </c>
      <c r="H86" s="31">
        <v>14904.228515625</v>
      </c>
      <c r="I86" s="31">
        <f t="shared" si="28"/>
        <v>1921.5899617513023</v>
      </c>
      <c r="J86" s="31">
        <f t="shared" si="27"/>
        <v>212.33038251395607</v>
      </c>
      <c r="K86" s="31">
        <v>25.978614807128906</v>
      </c>
      <c r="L86" s="31">
        <v>2208.29541015625</v>
      </c>
      <c r="M86" s="31">
        <f t="shared" si="29"/>
        <v>-10774.343143717448</v>
      </c>
      <c r="N86" s="32">
        <f t="shared" si="16"/>
        <v>-11905.351540019279</v>
      </c>
      <c r="O86" t="s">
        <v>66</v>
      </c>
      <c r="Q86" s="31">
        <f t="shared" si="17"/>
        <v>0</v>
      </c>
      <c r="R86" t="s">
        <v>66</v>
      </c>
      <c r="T86" s="32">
        <f t="shared" si="18"/>
        <v>0</v>
      </c>
      <c r="U86" t="s">
        <v>66</v>
      </c>
      <c r="W86" s="31">
        <f t="shared" si="19"/>
        <v>0</v>
      </c>
      <c r="X86" t="s">
        <v>66</v>
      </c>
      <c r="Z86" s="32">
        <f t="shared" si="20"/>
        <v>0</v>
      </c>
      <c r="AA86" s="31">
        <v>30.56675910949707</v>
      </c>
      <c r="AB86" s="31">
        <v>1.345032811164856</v>
      </c>
      <c r="AC86" s="31">
        <f t="shared" si="21"/>
        <v>0.14862241007346474</v>
      </c>
      <c r="AD86" t="s">
        <v>66</v>
      </c>
      <c r="AF86" s="32">
        <f t="shared" si="22"/>
        <v>0</v>
      </c>
      <c r="AG86" t="s">
        <v>66</v>
      </c>
      <c r="AI86" s="31">
        <f t="shared" si="23"/>
        <v>0</v>
      </c>
      <c r="AJ86" t="s">
        <v>66</v>
      </c>
      <c r="AL86" s="32">
        <f t="shared" si="24"/>
        <v>0</v>
      </c>
    </row>
    <row r="87" spans="1:38" ht="15.15" thickBot="1" x14ac:dyDescent="0.35">
      <c r="A87" s="33" t="s">
        <v>75</v>
      </c>
      <c r="B87" s="30">
        <v>44370</v>
      </c>
      <c r="C87" s="33">
        <v>970</v>
      </c>
      <c r="D87" s="23" t="s">
        <v>65</v>
      </c>
      <c r="E87" s="30">
        <v>44432</v>
      </c>
      <c r="F87" s="24">
        <v>100</v>
      </c>
      <c r="G87" s="31">
        <v>23.298141479492188</v>
      </c>
      <c r="H87" s="31">
        <v>12670.572265625</v>
      </c>
      <c r="I87" s="31">
        <f t="shared" si="28"/>
        <v>-312.06628824869767</v>
      </c>
      <c r="J87" s="31">
        <f t="shared" si="27"/>
        <v>-32.171782293680174</v>
      </c>
      <c r="K87" s="31">
        <v>26.240047454833984</v>
      </c>
      <c r="L87" s="31">
        <v>1862.32568359375</v>
      </c>
      <c r="M87" s="31">
        <f t="shared" si="29"/>
        <v>-11120.312870279948</v>
      </c>
      <c r="N87" s="32">
        <f t="shared" si="16"/>
        <v>-11464.240072453555</v>
      </c>
      <c r="O87" t="s">
        <v>66</v>
      </c>
      <c r="Q87" s="31">
        <f t="shared" si="17"/>
        <v>0</v>
      </c>
      <c r="R87" t="s">
        <v>66</v>
      </c>
      <c r="T87" s="32">
        <f t="shared" si="18"/>
        <v>0</v>
      </c>
      <c r="U87" t="s">
        <v>66</v>
      </c>
      <c r="W87" s="31">
        <f t="shared" si="19"/>
        <v>0</v>
      </c>
      <c r="X87" t="s">
        <v>66</v>
      </c>
      <c r="Z87" s="32">
        <f t="shared" si="20"/>
        <v>0</v>
      </c>
      <c r="AA87" s="31">
        <v>29.879581451416016</v>
      </c>
      <c r="AB87" s="31">
        <v>2.1334478855133057</v>
      </c>
      <c r="AC87" s="31">
        <f t="shared" si="21"/>
        <v>0.21994308098075316</v>
      </c>
      <c r="AD87" t="s">
        <v>66</v>
      </c>
      <c r="AF87" s="32">
        <f t="shared" si="22"/>
        <v>0</v>
      </c>
      <c r="AG87" t="s">
        <v>66</v>
      </c>
      <c r="AI87" s="31">
        <f t="shared" si="23"/>
        <v>0</v>
      </c>
      <c r="AJ87" t="s">
        <v>66</v>
      </c>
      <c r="AL87" s="32">
        <f t="shared" si="24"/>
        <v>0</v>
      </c>
    </row>
    <row r="88" spans="1:38" ht="15.15" thickBot="1" x14ac:dyDescent="0.35">
      <c r="A88" s="33" t="s">
        <v>76</v>
      </c>
      <c r="B88" s="30">
        <v>44370</v>
      </c>
      <c r="C88" s="33">
        <v>1000</v>
      </c>
      <c r="D88" s="23" t="s">
        <v>65</v>
      </c>
      <c r="E88" s="30">
        <v>44432</v>
      </c>
      <c r="F88" s="24">
        <v>100</v>
      </c>
      <c r="G88" s="31">
        <v>12.476798057556152</v>
      </c>
      <c r="H88" s="31">
        <v>14652204</v>
      </c>
      <c r="I88" s="31">
        <f t="shared" si="28"/>
        <v>14639221.361446125</v>
      </c>
      <c r="J88" s="31">
        <f t="shared" si="27"/>
        <v>1463922.1361446125</v>
      </c>
      <c r="K88" s="31">
        <v>15.264969825744629</v>
      </c>
      <c r="L88" s="31">
        <v>2380557</v>
      </c>
      <c r="M88" s="31">
        <f t="shared" si="29"/>
        <v>2367574.3614461264</v>
      </c>
      <c r="N88" s="32">
        <f t="shared" si="16"/>
        <v>2367574.3614461264</v>
      </c>
      <c r="O88" s="31">
        <v>30.483665466308594</v>
      </c>
      <c r="P88" s="31">
        <v>788.104248046875</v>
      </c>
      <c r="Q88" s="31">
        <f t="shared" si="17"/>
        <v>78.8104248046875</v>
      </c>
      <c r="R88" s="31">
        <v>33.8331298828125</v>
      </c>
      <c r="S88" s="31">
        <v>102.47057342529297</v>
      </c>
      <c r="T88" s="32">
        <f t="shared" si="18"/>
        <v>102.47057342529297</v>
      </c>
      <c r="U88" s="31">
        <v>24.879140853881836</v>
      </c>
      <c r="V88" s="31">
        <v>1240.5745849609375</v>
      </c>
      <c r="W88" s="31">
        <f t="shared" si="19"/>
        <v>124.05745849609374</v>
      </c>
      <c r="X88" s="31">
        <v>28.153751373291016</v>
      </c>
      <c r="Y88" s="31">
        <v>149.73941040039063</v>
      </c>
      <c r="Z88" s="32">
        <f t="shared" si="20"/>
        <v>149.73941040039063</v>
      </c>
      <c r="AA88" s="31">
        <v>27.986703872680664</v>
      </c>
      <c r="AB88" s="31">
        <v>7.6025185585021973</v>
      </c>
      <c r="AC88" s="31">
        <f t="shared" si="21"/>
        <v>0.7602518558502197</v>
      </c>
      <c r="AD88" s="31">
        <v>31.325004577636719</v>
      </c>
      <c r="AE88" s="31">
        <v>0.80846947431564331</v>
      </c>
      <c r="AF88" s="32">
        <f t="shared" si="22"/>
        <v>0.80846947431564331</v>
      </c>
      <c r="AG88" s="31">
        <v>23.696506500244141</v>
      </c>
      <c r="AH88" s="31">
        <v>6457.671875</v>
      </c>
      <c r="AI88" s="31">
        <f t="shared" si="23"/>
        <v>645.76718749999998</v>
      </c>
      <c r="AJ88" s="31">
        <v>27.228456497192383</v>
      </c>
      <c r="AK88" s="31">
        <v>719.17498779296875</v>
      </c>
      <c r="AL88" s="32">
        <f t="shared" si="24"/>
        <v>719.17498779296875</v>
      </c>
    </row>
    <row r="89" spans="1:38" ht="15.15" thickBot="1" x14ac:dyDescent="0.35">
      <c r="A89" s="33" t="s">
        <v>77</v>
      </c>
      <c r="B89" s="30">
        <v>44370</v>
      </c>
      <c r="C89" s="33">
        <v>1000</v>
      </c>
      <c r="D89" s="23" t="s">
        <v>65</v>
      </c>
      <c r="E89" s="30">
        <v>44432</v>
      </c>
      <c r="F89" s="24">
        <v>100</v>
      </c>
      <c r="G89" s="31">
        <v>15.598285675048828</v>
      </c>
      <c r="H89" s="31">
        <v>1915709.625</v>
      </c>
      <c r="I89" s="31">
        <f t="shared" si="28"/>
        <v>1902726.9864461264</v>
      </c>
      <c r="J89" s="31">
        <f t="shared" si="27"/>
        <v>190272.69864461265</v>
      </c>
      <c r="K89" s="31">
        <v>19.794778823852539</v>
      </c>
      <c r="L89" s="31">
        <v>124297.859375</v>
      </c>
      <c r="M89" s="31">
        <f t="shared" si="29"/>
        <v>111315.22082112631</v>
      </c>
      <c r="N89" s="32">
        <f t="shared" si="16"/>
        <v>111315.22082112631</v>
      </c>
      <c r="O89" s="31">
        <v>32.092567443847656</v>
      </c>
      <c r="P89" s="31">
        <v>295.8043212890625</v>
      </c>
      <c r="Q89" s="31">
        <f t="shared" si="17"/>
        <v>29.580432128906249</v>
      </c>
      <c r="R89" s="31">
        <v>35.055202484130859</v>
      </c>
      <c r="S89" s="31">
        <v>48.679073333740234</v>
      </c>
      <c r="T89" s="32">
        <f t="shared" si="18"/>
        <v>48.679073333740234</v>
      </c>
      <c r="U89" s="31">
        <v>26.77971076965332</v>
      </c>
      <c r="V89" s="31">
        <v>363.62454223632813</v>
      </c>
      <c r="W89" s="31">
        <f t="shared" si="19"/>
        <v>36.36245422363281</v>
      </c>
      <c r="X89" s="31">
        <v>29.882286071777344</v>
      </c>
      <c r="Y89" s="31">
        <v>49.046680450439453</v>
      </c>
      <c r="Z89" s="32">
        <f t="shared" si="20"/>
        <v>49.046680450439453</v>
      </c>
      <c r="AA89" s="31">
        <v>30.245218276977539</v>
      </c>
      <c r="AB89" s="31">
        <v>1.6690882444381714</v>
      </c>
      <c r="AC89" s="31">
        <f t="shared" si="21"/>
        <v>0.16690882444381713</v>
      </c>
      <c r="AD89" s="31">
        <v>32.211994171142578</v>
      </c>
      <c r="AE89" s="31">
        <v>0.44571632146835327</v>
      </c>
      <c r="AF89" s="32">
        <f t="shared" si="22"/>
        <v>0.44571632146835327</v>
      </c>
      <c r="AG89" s="31">
        <v>23.860042572021484</v>
      </c>
      <c r="AH89" s="31">
        <v>5833.63232421875</v>
      </c>
      <c r="AI89" s="31">
        <f t="shared" si="23"/>
        <v>583.36323242187495</v>
      </c>
      <c r="AJ89" s="31">
        <v>27.652048110961914</v>
      </c>
      <c r="AK89" s="31">
        <v>552.72747802734375</v>
      </c>
      <c r="AL89" s="32">
        <f t="shared" si="24"/>
        <v>552.72747802734375</v>
      </c>
    </row>
    <row r="90" spans="1:38" ht="15.15" thickBot="1" x14ac:dyDescent="0.35">
      <c r="A90" s="33" t="s">
        <v>78</v>
      </c>
      <c r="B90" s="30">
        <v>44370</v>
      </c>
      <c r="C90" s="33">
        <v>1000</v>
      </c>
      <c r="D90" s="23" t="s">
        <v>65</v>
      </c>
      <c r="E90" s="30">
        <v>44432</v>
      </c>
      <c r="F90" s="24">
        <v>100</v>
      </c>
      <c r="G90" s="31">
        <v>13.652145385742188</v>
      </c>
      <c r="H90" s="31">
        <v>6810943.5</v>
      </c>
      <c r="I90" s="31">
        <f t="shared" si="28"/>
        <v>6797960.8614461264</v>
      </c>
      <c r="J90" s="31">
        <f t="shared" si="27"/>
        <v>679796.08614461264</v>
      </c>
      <c r="K90" s="31">
        <v>16.423955917358398</v>
      </c>
      <c r="L90" s="31">
        <v>1118443.75</v>
      </c>
      <c r="M90" s="31">
        <f t="shared" si="29"/>
        <v>1105461.1114461264</v>
      </c>
      <c r="N90" s="32">
        <f t="shared" si="16"/>
        <v>1105461.1114461264</v>
      </c>
      <c r="O90" t="s">
        <v>66</v>
      </c>
      <c r="Q90" s="31">
        <f t="shared" si="17"/>
        <v>0</v>
      </c>
      <c r="R90" t="s">
        <v>66</v>
      </c>
      <c r="T90" s="32">
        <f t="shared" si="18"/>
        <v>0</v>
      </c>
      <c r="U90" s="31">
        <v>25.294754028320313</v>
      </c>
      <c r="V90" s="31">
        <v>948.58013916015625</v>
      </c>
      <c r="W90" s="31">
        <f t="shared" si="19"/>
        <v>94.858013916015622</v>
      </c>
      <c r="X90" s="31">
        <v>28.55333137512207</v>
      </c>
      <c r="Y90" s="31">
        <v>115.68669128417969</v>
      </c>
      <c r="Z90" s="32">
        <f t="shared" si="20"/>
        <v>115.68669128417969</v>
      </c>
      <c r="AA90" s="31">
        <v>30.00355339050293</v>
      </c>
      <c r="AB90" s="31">
        <v>1.9630781412124634</v>
      </c>
      <c r="AC90" s="31">
        <f t="shared" si="21"/>
        <v>0.19630781412124634</v>
      </c>
      <c r="AD90" t="s">
        <v>66</v>
      </c>
      <c r="AF90" s="32">
        <f t="shared" si="22"/>
        <v>0</v>
      </c>
      <c r="AG90" s="31">
        <v>21.404985427856445</v>
      </c>
      <c r="AH90" s="31">
        <v>26824.818359375</v>
      </c>
      <c r="AI90" s="31">
        <f t="shared" si="23"/>
        <v>2682.4818359374999</v>
      </c>
      <c r="AJ90" s="31">
        <v>24.580738067626953</v>
      </c>
      <c r="AK90" s="31">
        <v>3727.604736328125</v>
      </c>
      <c r="AL90" s="32">
        <f t="shared" si="24"/>
        <v>3727.604736328125</v>
      </c>
    </row>
    <row r="91" spans="1:38" ht="15.15" thickBot="1" x14ac:dyDescent="0.35">
      <c r="A91" s="33" t="s">
        <v>79</v>
      </c>
      <c r="B91" s="30">
        <v>44370</v>
      </c>
      <c r="C91" s="33">
        <v>970</v>
      </c>
      <c r="D91" s="23" t="s">
        <v>65</v>
      </c>
      <c r="E91" s="30">
        <v>44432</v>
      </c>
      <c r="F91" s="24">
        <v>100</v>
      </c>
      <c r="G91" s="31">
        <v>14.449809074401855</v>
      </c>
      <c r="H91" s="31">
        <v>4049667</v>
      </c>
      <c r="I91" s="31">
        <f t="shared" si="28"/>
        <v>4036684.3614461264</v>
      </c>
      <c r="J91" s="31">
        <f t="shared" si="27"/>
        <v>416153.0269532089</v>
      </c>
      <c r="K91" s="31">
        <v>17.227981567382813</v>
      </c>
      <c r="L91" s="31">
        <v>662255.1875</v>
      </c>
      <c r="M91" s="31">
        <f t="shared" si="29"/>
        <v>649272.54894612625</v>
      </c>
      <c r="N91" s="32">
        <f t="shared" si="16"/>
        <v>669353.14324342913</v>
      </c>
      <c r="O91" t="s">
        <v>66</v>
      </c>
      <c r="Q91" s="31">
        <f t="shared" si="17"/>
        <v>0</v>
      </c>
      <c r="R91" t="s">
        <v>66</v>
      </c>
      <c r="T91" s="32">
        <f t="shared" si="18"/>
        <v>0</v>
      </c>
      <c r="U91" s="31">
        <v>25.373458862304688</v>
      </c>
      <c r="V91" s="31">
        <v>901.57763671875</v>
      </c>
      <c r="W91" s="31">
        <f t="shared" si="19"/>
        <v>92.946148115335049</v>
      </c>
      <c r="X91" s="31">
        <v>28.489355087280273</v>
      </c>
      <c r="Y91" s="31">
        <v>120.56577301025391</v>
      </c>
      <c r="Z91" s="32">
        <f t="shared" si="20"/>
        <v>124.29461135077722</v>
      </c>
      <c r="AA91" s="31">
        <v>29.954742431640625</v>
      </c>
      <c r="AB91" s="31">
        <v>2.0284700393676758</v>
      </c>
      <c r="AC91" s="31">
        <f t="shared" si="21"/>
        <v>0.20912062261522429</v>
      </c>
      <c r="AD91" t="s">
        <v>66</v>
      </c>
      <c r="AF91" s="32">
        <f t="shared" si="22"/>
        <v>0</v>
      </c>
      <c r="AG91" s="31">
        <v>21.488697052001953</v>
      </c>
      <c r="AH91" s="31">
        <v>25465.005859375</v>
      </c>
      <c r="AI91" s="31">
        <f t="shared" si="23"/>
        <v>2625.2583360180411</v>
      </c>
      <c r="AJ91" s="31">
        <v>24.889122009277344</v>
      </c>
      <c r="AK91" s="31">
        <v>3077.512451171875</v>
      </c>
      <c r="AL91" s="32">
        <f t="shared" si="24"/>
        <v>3172.6932486307992</v>
      </c>
    </row>
    <row r="92" spans="1:38" ht="15.15" thickBot="1" x14ac:dyDescent="0.35">
      <c r="A92" s="33" t="s">
        <v>80</v>
      </c>
      <c r="B92" s="30">
        <v>44370</v>
      </c>
      <c r="C92" s="33">
        <v>918</v>
      </c>
      <c r="D92" s="23" t="s">
        <v>65</v>
      </c>
      <c r="E92" s="30">
        <v>44432</v>
      </c>
      <c r="F92" s="24">
        <v>100</v>
      </c>
      <c r="G92" s="31">
        <v>21.996402740478516</v>
      </c>
      <c r="H92" s="31">
        <v>29598.416015625</v>
      </c>
      <c r="I92" s="31">
        <f t="shared" si="28"/>
        <v>16615.777461751302</v>
      </c>
      <c r="J92" s="31">
        <f t="shared" si="27"/>
        <v>1809.9975448530829</v>
      </c>
      <c r="K92" s="31">
        <v>24.977598190307617</v>
      </c>
      <c r="L92" s="31">
        <v>4240.39697265625</v>
      </c>
      <c r="M92" s="31">
        <f t="shared" si="29"/>
        <v>-8742.2415812174477</v>
      </c>
      <c r="N92" s="32">
        <f t="shared" si="16"/>
        <v>-9523.1389773610535</v>
      </c>
      <c r="O92" t="s">
        <v>66</v>
      </c>
      <c r="Q92" s="31">
        <f t="shared" si="17"/>
        <v>0</v>
      </c>
      <c r="R92" t="s">
        <v>66</v>
      </c>
      <c r="T92" s="32">
        <f t="shared" si="18"/>
        <v>0</v>
      </c>
      <c r="U92" s="31">
        <v>35.554244995117188</v>
      </c>
      <c r="V92" s="31">
        <v>1.2590514421463013</v>
      </c>
      <c r="W92" s="31">
        <f t="shared" si="19"/>
        <v>0.13715157321855134</v>
      </c>
      <c r="X92" t="s">
        <v>66</v>
      </c>
      <c r="Z92" s="32">
        <f t="shared" si="20"/>
        <v>0</v>
      </c>
      <c r="AA92" s="31">
        <v>30.744760513305664</v>
      </c>
      <c r="AB92" s="31">
        <v>1.1935371160507202</v>
      </c>
      <c r="AC92" s="31">
        <f t="shared" si="21"/>
        <v>0.13001493638896736</v>
      </c>
      <c r="AD92" t="s">
        <v>66</v>
      </c>
      <c r="AF92" s="32">
        <f t="shared" si="22"/>
        <v>0</v>
      </c>
      <c r="AG92" s="31">
        <v>35.866790771484375</v>
      </c>
      <c r="AH92" s="31">
        <v>3.3529434204101563</v>
      </c>
      <c r="AI92" s="31">
        <f t="shared" si="23"/>
        <v>0.3652443813082959</v>
      </c>
      <c r="AJ92" s="31">
        <v>38.273433685302734</v>
      </c>
      <c r="AK92" s="31">
        <v>0.75144124031066895</v>
      </c>
      <c r="AL92" s="32">
        <f t="shared" si="24"/>
        <v>0.81856344260421454</v>
      </c>
    </row>
    <row r="93" spans="1:38" ht="15.15" thickBot="1" x14ac:dyDescent="0.35">
      <c r="A93" s="33" t="s">
        <v>81</v>
      </c>
      <c r="B93" s="30">
        <v>44370</v>
      </c>
      <c r="C93" s="33">
        <v>920</v>
      </c>
      <c r="D93" s="23" t="s">
        <v>65</v>
      </c>
      <c r="E93" s="30">
        <v>44432</v>
      </c>
      <c r="F93" s="24">
        <v>100</v>
      </c>
      <c r="G93" s="31">
        <v>22.921415328979492</v>
      </c>
      <c r="H93" s="31">
        <v>16196.9384765625</v>
      </c>
      <c r="I93" s="31">
        <f t="shared" si="28"/>
        <v>3214.2999226888023</v>
      </c>
      <c r="J93" s="31">
        <f t="shared" si="27"/>
        <v>349.38042637921768</v>
      </c>
      <c r="K93" s="31">
        <v>25.724477767944336</v>
      </c>
      <c r="L93" s="31">
        <v>2606.115234375</v>
      </c>
      <c r="M93" s="31">
        <f t="shared" si="29"/>
        <v>-10376.523319498698</v>
      </c>
      <c r="N93" s="32">
        <f t="shared" si="16"/>
        <v>-11278.829695107279</v>
      </c>
      <c r="O93" t="s">
        <v>66</v>
      </c>
      <c r="Q93" s="31">
        <f t="shared" si="17"/>
        <v>0</v>
      </c>
      <c r="R93" t="s">
        <v>66</v>
      </c>
      <c r="T93" s="32">
        <f t="shared" si="18"/>
        <v>0</v>
      </c>
      <c r="U93" t="s">
        <v>66</v>
      </c>
      <c r="W93" s="31">
        <f t="shared" si="19"/>
        <v>0</v>
      </c>
      <c r="X93" t="s">
        <v>66</v>
      </c>
      <c r="Z93" s="32">
        <f t="shared" si="20"/>
        <v>0</v>
      </c>
      <c r="AA93" s="31">
        <v>30.04420280456543</v>
      </c>
      <c r="AB93" s="31">
        <v>1.9102319478988647</v>
      </c>
      <c r="AC93" s="31">
        <f t="shared" si="21"/>
        <v>0.20763390738031137</v>
      </c>
      <c r="AD93" t="s">
        <v>66</v>
      </c>
      <c r="AF93" s="32">
        <f t="shared" si="22"/>
        <v>0</v>
      </c>
      <c r="AG93" t="s">
        <v>66</v>
      </c>
      <c r="AI93" s="31">
        <f t="shared" si="23"/>
        <v>0</v>
      </c>
      <c r="AJ93" t="s">
        <v>66</v>
      </c>
      <c r="AL93" s="32">
        <f t="shared" si="24"/>
        <v>0</v>
      </c>
    </row>
    <row r="94" spans="1:38" ht="15.15" thickBot="1" x14ac:dyDescent="0.35">
      <c r="A94" s="33" t="s">
        <v>64</v>
      </c>
      <c r="B94" s="30">
        <v>44377</v>
      </c>
      <c r="C94" s="33">
        <v>940</v>
      </c>
      <c r="D94" s="23" t="s">
        <v>65</v>
      </c>
      <c r="E94" s="30">
        <v>44434</v>
      </c>
      <c r="F94" s="24">
        <v>100</v>
      </c>
      <c r="G94" s="36">
        <v>11.523473739624023</v>
      </c>
      <c r="H94" s="36">
        <v>27274228</v>
      </c>
      <c r="I94" s="36">
        <f t="shared" si="28"/>
        <v>27261245.361446127</v>
      </c>
      <c r="J94" s="36">
        <f t="shared" si="27"/>
        <v>2900132.4852602263</v>
      </c>
      <c r="K94" s="36">
        <v>23.809911727905273</v>
      </c>
      <c r="L94" s="36">
        <v>9076.8203125</v>
      </c>
      <c r="M94" s="36">
        <f t="shared" si="29"/>
        <v>-3905.8182413736977</v>
      </c>
      <c r="N94" s="37">
        <f t="shared" si="16"/>
        <v>-4155.1257886954236</v>
      </c>
      <c r="O94" s="31">
        <v>39.214462280273438</v>
      </c>
      <c r="P94" s="31">
        <v>3.8650448322296143</v>
      </c>
      <c r="Q94" s="31">
        <f t="shared" si="17"/>
        <v>0.41117498215208664</v>
      </c>
      <c r="R94" s="31">
        <v>38.780956268310547</v>
      </c>
      <c r="S94" s="31">
        <v>5.0329604148864746</v>
      </c>
      <c r="T94" s="32">
        <f t="shared" si="18"/>
        <v>5.3542132073260369</v>
      </c>
      <c r="U94" s="31">
        <v>32.153369903564453</v>
      </c>
      <c r="V94" s="31">
        <v>11.317176818847656</v>
      </c>
      <c r="W94" s="31">
        <f t="shared" si="19"/>
        <v>1.2039549807284742</v>
      </c>
      <c r="X94" s="31">
        <v>35.803688049316406</v>
      </c>
      <c r="Y94" s="31">
        <v>1.0717489719390869</v>
      </c>
      <c r="Z94" s="32">
        <f t="shared" si="20"/>
        <v>1.1401584807862626</v>
      </c>
      <c r="AA94" s="31">
        <v>30.484640121459961</v>
      </c>
      <c r="AB94" s="31">
        <v>1.4212646484375</v>
      </c>
      <c r="AC94" s="31">
        <f t="shared" si="21"/>
        <v>0.1511983668550532</v>
      </c>
      <c r="AD94" t="s">
        <v>66</v>
      </c>
      <c r="AF94" s="32">
        <f t="shared" si="22"/>
        <v>0</v>
      </c>
      <c r="AG94" t="s">
        <v>66</v>
      </c>
      <c r="AI94" s="31">
        <f t="shared" si="23"/>
        <v>0</v>
      </c>
      <c r="AJ94" t="s">
        <v>66</v>
      </c>
      <c r="AL94" s="32">
        <f t="shared" si="24"/>
        <v>0</v>
      </c>
    </row>
    <row r="95" spans="1:38" ht="15.15" thickBot="1" x14ac:dyDescent="0.35">
      <c r="A95" s="33" t="s">
        <v>67</v>
      </c>
      <c r="B95" s="30">
        <v>44377</v>
      </c>
      <c r="C95" s="33">
        <v>1000</v>
      </c>
      <c r="D95" s="23" t="s">
        <v>65</v>
      </c>
      <c r="E95" s="30">
        <v>44434</v>
      </c>
      <c r="F95" s="24">
        <v>100</v>
      </c>
      <c r="G95" s="31">
        <v>19.647445678710938</v>
      </c>
      <c r="H95" s="31">
        <v>120151.90625</v>
      </c>
      <c r="I95" s="31">
        <f t="shared" si="28"/>
        <v>107169.26769612631</v>
      </c>
      <c r="J95" s="31">
        <f t="shared" si="27"/>
        <v>10716.926769612632</v>
      </c>
      <c r="K95" s="31">
        <v>22.496660232543945</v>
      </c>
      <c r="L95" s="31">
        <v>17666.990234375</v>
      </c>
      <c r="M95" s="31">
        <f t="shared" si="29"/>
        <v>4684.3516805013023</v>
      </c>
      <c r="N95" s="32">
        <f t="shared" si="16"/>
        <v>4684.3516805013023</v>
      </c>
      <c r="O95" s="31">
        <v>36.441604614257813</v>
      </c>
      <c r="P95" s="31">
        <v>2.7766034603118896</v>
      </c>
      <c r="Q95" s="31">
        <f t="shared" si="17"/>
        <v>0.27766034603118894</v>
      </c>
      <c r="R95" t="s">
        <v>66</v>
      </c>
      <c r="T95" s="32">
        <f t="shared" si="18"/>
        <v>0</v>
      </c>
      <c r="U95" s="31">
        <v>30.243192672729492</v>
      </c>
      <c r="V95" s="31">
        <v>13.115233421325684</v>
      </c>
      <c r="W95" s="31">
        <f t="shared" si="19"/>
        <v>1.3115233421325683</v>
      </c>
      <c r="X95" s="31">
        <v>33.521812438964844</v>
      </c>
      <c r="Y95" s="31">
        <v>1.4536746740341187</v>
      </c>
      <c r="Z95" s="32">
        <f t="shared" si="20"/>
        <v>1.4536746740341187</v>
      </c>
      <c r="AA95" s="31">
        <v>30.866870880126953</v>
      </c>
      <c r="AB95" s="31">
        <v>1.0135418176651001</v>
      </c>
      <c r="AC95" s="31">
        <f t="shared" si="21"/>
        <v>0.10135418176651001</v>
      </c>
      <c r="AD95" s="31">
        <v>32.271266937255859</v>
      </c>
      <c r="AE95" s="31">
        <v>0.38905206322669983</v>
      </c>
      <c r="AF95" s="32">
        <f t="shared" si="22"/>
        <v>0.38905206322669983</v>
      </c>
      <c r="AG95" s="31">
        <v>35.790481567382813</v>
      </c>
      <c r="AH95" s="31">
        <v>2.8598902225494385</v>
      </c>
      <c r="AI95" s="31">
        <f t="shared" si="23"/>
        <v>0.28598902225494383</v>
      </c>
      <c r="AJ95" t="s">
        <v>66</v>
      </c>
      <c r="AL95" s="32">
        <f t="shared" si="24"/>
        <v>0</v>
      </c>
    </row>
    <row r="96" spans="1:38" ht="15.15" thickBot="1" x14ac:dyDescent="0.35">
      <c r="A96" s="33" t="s">
        <v>70</v>
      </c>
      <c r="B96" s="30">
        <v>44377</v>
      </c>
      <c r="C96" s="33">
        <v>900</v>
      </c>
      <c r="D96" s="23" t="s">
        <v>65</v>
      </c>
      <c r="E96" s="30">
        <v>44434</v>
      </c>
      <c r="F96" s="24">
        <v>100</v>
      </c>
      <c r="G96" s="31">
        <v>20.821691513061523</v>
      </c>
      <c r="H96" s="31">
        <v>63647.90234375</v>
      </c>
      <c r="I96" s="31">
        <f t="shared" si="28"/>
        <v>50665.263789876306</v>
      </c>
      <c r="J96" s="31">
        <f>(I96*$F96)/$C96</f>
        <v>5629.4737544307009</v>
      </c>
      <c r="K96" s="31">
        <v>23.382656097412109</v>
      </c>
      <c r="L96" s="31">
        <v>11991.49609375</v>
      </c>
      <c r="M96" s="31">
        <f t="shared" si="29"/>
        <v>-991.14246012369767</v>
      </c>
      <c r="N96" s="32">
        <f t="shared" si="16"/>
        <v>-1101.2694001374418</v>
      </c>
      <c r="O96" s="31">
        <v>38.848655700683594</v>
      </c>
      <c r="P96" s="31">
        <v>4.829653263092041</v>
      </c>
      <c r="Q96" s="31">
        <f t="shared" si="17"/>
        <v>0.5366281403435601</v>
      </c>
      <c r="R96" t="s">
        <v>66</v>
      </c>
      <c r="T96" s="32">
        <f t="shared" si="18"/>
        <v>0</v>
      </c>
      <c r="U96" s="31">
        <v>37.102287292480469</v>
      </c>
      <c r="V96" s="31">
        <v>0.46337410807609558</v>
      </c>
      <c r="W96" s="31">
        <f t="shared" si="19"/>
        <v>5.1486012008455068E-2</v>
      </c>
      <c r="X96" t="s">
        <v>66</v>
      </c>
      <c r="Z96" s="32">
        <f t="shared" si="20"/>
        <v>0</v>
      </c>
      <c r="AA96" s="31">
        <v>30.733753204345703</v>
      </c>
      <c r="AB96" s="31">
        <v>1.2023893594741821</v>
      </c>
      <c r="AC96" s="31">
        <f t="shared" si="21"/>
        <v>0.13359881771935356</v>
      </c>
      <c r="AD96" t="s">
        <v>66</v>
      </c>
      <c r="AF96" s="32">
        <f t="shared" si="22"/>
        <v>0</v>
      </c>
      <c r="AG96" t="s">
        <v>66</v>
      </c>
      <c r="AI96" s="31">
        <f t="shared" si="23"/>
        <v>0</v>
      </c>
      <c r="AJ96" t="s">
        <v>66</v>
      </c>
      <c r="AL96" s="32">
        <f t="shared" si="24"/>
        <v>0</v>
      </c>
    </row>
    <row r="97" spans="1:38" ht="15.15" thickBot="1" x14ac:dyDescent="0.35">
      <c r="A97" s="33" t="s">
        <v>71</v>
      </c>
      <c r="B97" s="30">
        <v>44377</v>
      </c>
      <c r="C97" s="33">
        <v>900</v>
      </c>
      <c r="D97" s="23" t="s">
        <v>65</v>
      </c>
      <c r="E97" s="30">
        <v>44434</v>
      </c>
      <c r="F97" s="24">
        <v>100</v>
      </c>
      <c r="G97" s="31">
        <v>20.605155944824219</v>
      </c>
      <c r="H97" s="31">
        <v>73295.4453125</v>
      </c>
      <c r="I97" s="31">
        <f t="shared" si="28"/>
        <v>60312.806758626306</v>
      </c>
      <c r="J97" s="31">
        <f t="shared" ref="J97:J159" si="30">(I97*$F97)/$C97</f>
        <v>6701.4229731807009</v>
      </c>
      <c r="K97" s="31">
        <v>23.299659729003906</v>
      </c>
      <c r="L97" s="31">
        <v>12658.0400390625</v>
      </c>
      <c r="M97" s="31">
        <f t="shared" si="29"/>
        <v>-324.59851481119767</v>
      </c>
      <c r="N97" s="32">
        <f t="shared" si="16"/>
        <v>-360.66501645688629</v>
      </c>
      <c r="O97" t="s">
        <v>66</v>
      </c>
      <c r="Q97" s="31">
        <f t="shared" si="17"/>
        <v>0</v>
      </c>
      <c r="R97" t="s">
        <v>66</v>
      </c>
      <c r="T97" s="32">
        <f t="shared" si="18"/>
        <v>0</v>
      </c>
      <c r="U97" s="31">
        <v>36.306987762451172</v>
      </c>
      <c r="V97" s="31">
        <v>0.77438092231750488</v>
      </c>
      <c r="W97" s="31">
        <f t="shared" si="19"/>
        <v>8.6042324701944992E-2</v>
      </c>
      <c r="X97" t="s">
        <v>66</v>
      </c>
      <c r="Z97" s="32">
        <f t="shared" si="20"/>
        <v>0</v>
      </c>
      <c r="AA97" s="31">
        <v>30.571506500244141</v>
      </c>
      <c r="AB97" s="31">
        <v>1.3407529592514038</v>
      </c>
      <c r="AC97" s="31">
        <f t="shared" si="21"/>
        <v>0.14897255102793375</v>
      </c>
      <c r="AD97" t="s">
        <v>66</v>
      </c>
      <c r="AF97" s="32">
        <f t="shared" si="22"/>
        <v>0</v>
      </c>
      <c r="AG97" s="31">
        <v>34.983894348144531</v>
      </c>
      <c r="AH97" s="31">
        <v>5.8037939071655273</v>
      </c>
      <c r="AI97" s="31">
        <f t="shared" si="23"/>
        <v>0.64486598968505859</v>
      </c>
      <c r="AJ97" t="s">
        <v>66</v>
      </c>
      <c r="AL97" s="32">
        <f t="shared" si="24"/>
        <v>0</v>
      </c>
    </row>
    <row r="98" spans="1:38" ht="15.15" thickBot="1" x14ac:dyDescent="0.35">
      <c r="A98" s="33" t="s">
        <v>72</v>
      </c>
      <c r="B98" s="30">
        <v>44377</v>
      </c>
      <c r="C98" s="33">
        <v>910</v>
      </c>
      <c r="D98" s="23" t="s">
        <v>65</v>
      </c>
      <c r="E98" s="30">
        <v>44434</v>
      </c>
      <c r="F98" s="24">
        <v>100</v>
      </c>
      <c r="G98" s="31">
        <v>21.100299835205078</v>
      </c>
      <c r="H98" s="31">
        <v>53078.76171875</v>
      </c>
      <c r="I98" s="31">
        <f t="shared" si="28"/>
        <v>40096.123164876306</v>
      </c>
      <c r="J98" s="31">
        <f t="shared" si="30"/>
        <v>4406.1673807556381</v>
      </c>
      <c r="K98" s="31">
        <v>24.132472991943359</v>
      </c>
      <c r="L98" s="31">
        <v>7355.78515625</v>
      </c>
      <c r="M98" s="31">
        <f t="shared" si="29"/>
        <v>-5626.8533976236977</v>
      </c>
      <c r="N98" s="32">
        <f t="shared" si="16"/>
        <v>-6183.3553820040634</v>
      </c>
      <c r="O98" t="s">
        <v>66</v>
      </c>
      <c r="Q98" s="31">
        <f t="shared" si="17"/>
        <v>0</v>
      </c>
      <c r="R98" t="s">
        <v>66</v>
      </c>
      <c r="T98" s="32">
        <f t="shared" si="18"/>
        <v>0</v>
      </c>
      <c r="U98" s="31">
        <v>27.300243377685547</v>
      </c>
      <c r="V98" s="31">
        <v>259.82574462890625</v>
      </c>
      <c r="W98" s="31">
        <f t="shared" si="19"/>
        <v>28.552279629550139</v>
      </c>
      <c r="X98" s="31">
        <v>30.846567153930664</v>
      </c>
      <c r="Y98" s="31">
        <v>26.314788818359375</v>
      </c>
      <c r="Z98" s="32">
        <f t="shared" si="20"/>
        <v>28.917350349845467</v>
      </c>
      <c r="AA98" s="31">
        <v>30.701475143432617</v>
      </c>
      <c r="AB98" s="31">
        <v>1.2287284135818481</v>
      </c>
      <c r="AC98" s="31">
        <f t="shared" si="21"/>
        <v>0.13502510039360968</v>
      </c>
      <c r="AD98" t="s">
        <v>66</v>
      </c>
      <c r="AF98" s="32">
        <f t="shared" si="22"/>
        <v>0</v>
      </c>
      <c r="AG98" s="31">
        <v>32.915802001953125</v>
      </c>
      <c r="AH98" s="31">
        <v>20.983184814453125</v>
      </c>
      <c r="AI98" s="31">
        <f t="shared" si="23"/>
        <v>2.3058444851047391</v>
      </c>
      <c r="AJ98" t="s">
        <v>66</v>
      </c>
      <c r="AL98" s="32">
        <f t="shared" si="24"/>
        <v>0</v>
      </c>
    </row>
    <row r="99" spans="1:38" ht="15.15" thickBot="1" x14ac:dyDescent="0.35">
      <c r="A99" s="33" t="s">
        <v>73</v>
      </c>
      <c r="B99" s="30">
        <v>44377</v>
      </c>
      <c r="C99" s="33">
        <v>930</v>
      </c>
      <c r="D99" s="23" t="s">
        <v>65</v>
      </c>
      <c r="E99" s="30">
        <v>44434</v>
      </c>
      <c r="F99" s="24">
        <v>100</v>
      </c>
      <c r="G99" s="31">
        <v>21.802520751953125</v>
      </c>
      <c r="H99" s="31">
        <v>33585.28515625</v>
      </c>
      <c r="I99" s="31">
        <f t="shared" si="28"/>
        <v>20602.646602376302</v>
      </c>
      <c r="J99" s="31">
        <f t="shared" si="30"/>
        <v>2215.3383443415378</v>
      </c>
      <c r="K99" s="31">
        <v>24.792131423950195</v>
      </c>
      <c r="L99" s="31">
        <v>4785.2548828125</v>
      </c>
      <c r="M99" s="31">
        <f t="shared" si="29"/>
        <v>-8197.3836710611977</v>
      </c>
      <c r="N99" s="32">
        <f t="shared" si="16"/>
        <v>-8814.3910441518256</v>
      </c>
      <c r="O99" t="s">
        <v>66</v>
      </c>
      <c r="Q99" s="31">
        <f t="shared" si="17"/>
        <v>0</v>
      </c>
      <c r="R99" t="s">
        <v>66</v>
      </c>
      <c r="T99" s="32">
        <f t="shared" si="18"/>
        <v>0</v>
      </c>
      <c r="U99" s="31">
        <v>29.605781555175781</v>
      </c>
      <c r="V99" s="31">
        <v>58.633895874023438</v>
      </c>
      <c r="W99" s="31">
        <f t="shared" si="19"/>
        <v>6.304719986454133</v>
      </c>
      <c r="X99" s="31">
        <v>32.584564208984375</v>
      </c>
      <c r="Y99" s="31">
        <v>8.5668249130249023</v>
      </c>
      <c r="Z99" s="32">
        <f t="shared" si="20"/>
        <v>9.2116396914246259</v>
      </c>
      <c r="AA99" s="31">
        <v>30.489641189575195</v>
      </c>
      <c r="AB99" s="31">
        <v>1.4165010452270508</v>
      </c>
      <c r="AC99" s="31">
        <f t="shared" si="21"/>
        <v>0.15231194034699472</v>
      </c>
      <c r="AD99" s="31">
        <v>31.167684555053711</v>
      </c>
      <c r="AE99" s="31">
        <v>0.89852643013000488</v>
      </c>
      <c r="AF99" s="32">
        <f t="shared" si="22"/>
        <v>0.96615745175269341</v>
      </c>
      <c r="AG99" t="s">
        <v>66</v>
      </c>
      <c r="AI99" s="31">
        <f t="shared" si="23"/>
        <v>0</v>
      </c>
      <c r="AJ99" t="s">
        <v>66</v>
      </c>
      <c r="AL99" s="32">
        <f t="shared" si="24"/>
        <v>0</v>
      </c>
    </row>
    <row r="100" spans="1:38" ht="15.15" thickBot="1" x14ac:dyDescent="0.35">
      <c r="A100" s="33" t="s">
        <v>74</v>
      </c>
      <c r="B100" s="30">
        <v>44377</v>
      </c>
      <c r="C100" s="33">
        <v>900</v>
      </c>
      <c r="D100" s="23" t="s">
        <v>65</v>
      </c>
      <c r="E100" s="30">
        <v>44434</v>
      </c>
      <c r="F100" s="24">
        <v>100</v>
      </c>
      <c r="G100" s="31">
        <v>23.16162109375</v>
      </c>
      <c r="H100" s="31">
        <v>13849.685546875</v>
      </c>
      <c r="I100" s="31">
        <f t="shared" si="28"/>
        <v>867.04699300130233</v>
      </c>
      <c r="J100" s="31">
        <f t="shared" si="30"/>
        <v>96.338554777922482</v>
      </c>
      <c r="K100" s="31">
        <v>25.915138244628906</v>
      </c>
      <c r="L100" s="31">
        <v>2301.573974609375</v>
      </c>
      <c r="M100" s="31">
        <f t="shared" si="29"/>
        <v>-10681.064579264323</v>
      </c>
      <c r="N100" s="32">
        <f t="shared" si="16"/>
        <v>-11867.849532515913</v>
      </c>
      <c r="O100" t="s">
        <v>66</v>
      </c>
      <c r="Q100" s="31">
        <f t="shared" si="17"/>
        <v>0</v>
      </c>
      <c r="R100" t="s">
        <v>66</v>
      </c>
      <c r="T100" s="32">
        <f t="shared" si="18"/>
        <v>0</v>
      </c>
      <c r="U100" s="36">
        <v>38.076160430908203</v>
      </c>
      <c r="V100" s="36">
        <v>0.24707692861557007</v>
      </c>
      <c r="W100" s="36">
        <f t="shared" si="19"/>
        <v>2.7452992068396673E-2</v>
      </c>
      <c r="X100" s="36">
        <v>25.851436614990234</v>
      </c>
      <c r="Y100" s="36">
        <v>662.1640625</v>
      </c>
      <c r="Z100" s="37">
        <f t="shared" si="20"/>
        <v>735.73784722222217</v>
      </c>
      <c r="AA100" s="31">
        <v>29.718647003173828</v>
      </c>
      <c r="AB100" s="31">
        <v>2.3768572807312012</v>
      </c>
      <c r="AC100" s="31">
        <f t="shared" si="21"/>
        <v>0.2640952534145779</v>
      </c>
      <c r="AD100" t="s">
        <v>66</v>
      </c>
      <c r="AF100" s="32">
        <f t="shared" si="22"/>
        <v>0</v>
      </c>
      <c r="AG100" t="s">
        <v>66</v>
      </c>
      <c r="AI100" s="31">
        <f t="shared" si="23"/>
        <v>0</v>
      </c>
      <c r="AJ100" t="s">
        <v>66</v>
      </c>
      <c r="AL100" s="32">
        <f t="shared" si="24"/>
        <v>0</v>
      </c>
    </row>
    <row r="101" spans="1:38" ht="15.15" thickBot="1" x14ac:dyDescent="0.35">
      <c r="A101" s="33" t="s">
        <v>75</v>
      </c>
      <c r="B101" s="30">
        <v>44377</v>
      </c>
      <c r="C101" s="33">
        <v>1000</v>
      </c>
      <c r="D101" s="23" t="s">
        <v>65</v>
      </c>
      <c r="E101" s="30">
        <v>44434</v>
      </c>
      <c r="F101" s="24">
        <v>100</v>
      </c>
      <c r="G101" t="s">
        <v>66</v>
      </c>
      <c r="I101" s="31"/>
      <c r="J101" s="31"/>
      <c r="K101" s="31">
        <v>26.275590896606445</v>
      </c>
      <c r="L101" s="31">
        <v>1819.678466796875</v>
      </c>
      <c r="M101" s="31">
        <f t="shared" si="29"/>
        <v>-11162.960087076823</v>
      </c>
      <c r="N101" s="32">
        <f t="shared" si="16"/>
        <v>-11162.960087076823</v>
      </c>
      <c r="O101" t="s">
        <v>66</v>
      </c>
      <c r="Q101" s="31">
        <f t="shared" si="17"/>
        <v>0</v>
      </c>
      <c r="R101" t="s">
        <v>66</v>
      </c>
      <c r="T101" s="32">
        <f t="shared" si="18"/>
        <v>0</v>
      </c>
      <c r="U101" t="s">
        <v>66</v>
      </c>
      <c r="W101" s="31">
        <f t="shared" si="19"/>
        <v>0</v>
      </c>
      <c r="X101" t="s">
        <v>66</v>
      </c>
      <c r="Z101" s="32">
        <f t="shared" si="20"/>
        <v>0</v>
      </c>
      <c r="AA101" s="31">
        <v>30.554409027099609</v>
      </c>
      <c r="AB101" s="31">
        <v>1.3562307357788086</v>
      </c>
      <c r="AC101" s="31">
        <f t="shared" si="21"/>
        <v>0.13562307357788086</v>
      </c>
      <c r="AD101" t="s">
        <v>66</v>
      </c>
      <c r="AF101" s="32">
        <f t="shared" si="22"/>
        <v>0</v>
      </c>
      <c r="AG101" t="s">
        <v>66</v>
      </c>
      <c r="AI101" s="31">
        <f t="shared" si="23"/>
        <v>0</v>
      </c>
      <c r="AJ101" t="s">
        <v>66</v>
      </c>
      <c r="AL101" s="32">
        <f t="shared" si="24"/>
        <v>0</v>
      </c>
    </row>
    <row r="102" spans="1:38" ht="15.15" thickBot="1" x14ac:dyDescent="0.35">
      <c r="A102" s="33" t="s">
        <v>76</v>
      </c>
      <c r="B102" s="30">
        <v>44377</v>
      </c>
      <c r="C102" s="33">
        <v>960</v>
      </c>
      <c r="D102" s="23" t="s">
        <v>65</v>
      </c>
      <c r="E102" s="30">
        <v>44434</v>
      </c>
      <c r="F102" s="24">
        <v>100</v>
      </c>
      <c r="G102" s="31">
        <v>16.263738632202148</v>
      </c>
      <c r="H102" s="31">
        <v>1241553.75</v>
      </c>
      <c r="I102" s="31">
        <f t="shared" ref="I102:I133" si="31">H102-$H$242</f>
        <v>1228571.1114461264</v>
      </c>
      <c r="J102" s="31">
        <f t="shared" si="30"/>
        <v>127976.15744230483</v>
      </c>
      <c r="K102" s="31">
        <v>18.995187759399414</v>
      </c>
      <c r="L102" s="31">
        <v>209313.46875</v>
      </c>
      <c r="M102" s="31">
        <f t="shared" si="29"/>
        <v>196330.83019612631</v>
      </c>
      <c r="N102" s="32">
        <f t="shared" si="16"/>
        <v>204511.28145429824</v>
      </c>
      <c r="O102" s="31">
        <v>30.515840530395508</v>
      </c>
      <c r="P102" s="31">
        <v>772.81024169921875</v>
      </c>
      <c r="Q102" s="31">
        <f t="shared" si="17"/>
        <v>80.501066843668625</v>
      </c>
      <c r="R102" s="31">
        <v>34.171127319335938</v>
      </c>
      <c r="S102" s="31">
        <v>83.405303955078125</v>
      </c>
      <c r="T102" s="32">
        <f t="shared" si="18"/>
        <v>86.880524953206375</v>
      </c>
      <c r="U102" s="31">
        <v>24.350997924804688</v>
      </c>
      <c r="V102" s="31">
        <v>1744.7291259765625</v>
      </c>
      <c r="W102" s="31">
        <f t="shared" si="19"/>
        <v>181.74261728922525</v>
      </c>
      <c r="X102" s="31">
        <v>27.467241287231445</v>
      </c>
      <c r="Y102" s="31">
        <v>233.26606750488281</v>
      </c>
      <c r="Z102" s="32">
        <f t="shared" si="20"/>
        <v>242.98548698425293</v>
      </c>
      <c r="AA102" s="31">
        <v>29.726537704467773</v>
      </c>
      <c r="AB102" s="31">
        <v>2.3642997741699219</v>
      </c>
      <c r="AC102" s="31">
        <f t="shared" si="21"/>
        <v>0.24628122647603354</v>
      </c>
      <c r="AD102" t="s">
        <v>66</v>
      </c>
      <c r="AF102" s="32">
        <f t="shared" si="22"/>
        <v>0</v>
      </c>
      <c r="AG102" s="31">
        <v>22.534446716308594</v>
      </c>
      <c r="AH102" s="31">
        <v>13295.5224609375</v>
      </c>
      <c r="AI102" s="31">
        <f t="shared" si="23"/>
        <v>1384.9502563476563</v>
      </c>
      <c r="AJ102" s="31">
        <v>26.915779113769531</v>
      </c>
      <c r="AK102" s="31">
        <v>873.4205322265625</v>
      </c>
      <c r="AL102" s="32">
        <f t="shared" si="24"/>
        <v>909.81305440266931</v>
      </c>
    </row>
    <row r="103" spans="1:38" ht="15.15" thickBot="1" x14ac:dyDescent="0.35">
      <c r="A103" s="33" t="s">
        <v>77</v>
      </c>
      <c r="B103" s="30">
        <v>44377</v>
      </c>
      <c r="C103" s="33">
        <v>910</v>
      </c>
      <c r="D103" s="23" t="s">
        <v>65</v>
      </c>
      <c r="E103" s="30">
        <v>44434</v>
      </c>
      <c r="F103" s="24">
        <v>100</v>
      </c>
      <c r="G103" s="31">
        <v>17.808736801147461</v>
      </c>
      <c r="H103" s="31">
        <v>453561.1875</v>
      </c>
      <c r="I103" s="31">
        <f t="shared" si="31"/>
        <v>440578.54894612631</v>
      </c>
      <c r="J103" s="31">
        <f t="shared" si="30"/>
        <v>48415.225158914982</v>
      </c>
      <c r="K103" s="31">
        <v>20.327741622924805</v>
      </c>
      <c r="L103" s="31">
        <v>87821.8046875</v>
      </c>
      <c r="M103" s="31">
        <f t="shared" si="29"/>
        <v>74839.166133626306</v>
      </c>
      <c r="N103" s="32">
        <f t="shared" si="16"/>
        <v>82240.841905083857</v>
      </c>
      <c r="O103" s="31">
        <v>32.001163482666016</v>
      </c>
      <c r="P103" s="31">
        <v>312.73916625976563</v>
      </c>
      <c r="Q103" s="31">
        <f t="shared" si="17"/>
        <v>34.366941347226991</v>
      </c>
      <c r="R103" s="31">
        <v>35.710300445556641</v>
      </c>
      <c r="S103" s="31">
        <v>32.663211822509766</v>
      </c>
      <c r="T103" s="32">
        <f t="shared" si="18"/>
        <v>35.893639365395344</v>
      </c>
      <c r="U103" s="31">
        <v>27.101644515991211</v>
      </c>
      <c r="V103" s="31">
        <v>295.37551879882813</v>
      </c>
      <c r="W103" s="31">
        <f t="shared" si="19"/>
        <v>32.458848219651443</v>
      </c>
      <c r="X103" s="31">
        <v>30.263975143432617</v>
      </c>
      <c r="Y103" s="31">
        <v>38.333103179931641</v>
      </c>
      <c r="Z103" s="32">
        <f t="shared" si="20"/>
        <v>42.124289208716085</v>
      </c>
      <c r="AA103" s="31">
        <v>30.796298980712891</v>
      </c>
      <c r="AB103" s="31">
        <v>1.1529479026794434</v>
      </c>
      <c r="AC103" s="31">
        <f t="shared" si="21"/>
        <v>0.12669757172301577</v>
      </c>
      <c r="AD103" t="s">
        <v>66</v>
      </c>
      <c r="AF103" s="32">
        <f t="shared" si="22"/>
        <v>0</v>
      </c>
      <c r="AG103" s="31">
        <v>24.197437286376953</v>
      </c>
      <c r="AH103" s="31">
        <v>4730.19775390625</v>
      </c>
      <c r="AI103" s="31">
        <f t="shared" si="23"/>
        <v>519.80195097870876</v>
      </c>
      <c r="AJ103" s="31">
        <v>28.51739501953125</v>
      </c>
      <c r="AK103" s="31">
        <v>322.82095336914063</v>
      </c>
      <c r="AL103" s="32">
        <f t="shared" si="24"/>
        <v>354.74830040564905</v>
      </c>
    </row>
    <row r="104" spans="1:38" ht="15.15" thickBot="1" x14ac:dyDescent="0.35">
      <c r="A104" s="33" t="s">
        <v>78</v>
      </c>
      <c r="B104" s="30">
        <v>44377</v>
      </c>
      <c r="C104" s="33">
        <v>1000</v>
      </c>
      <c r="D104" s="23" t="s">
        <v>65</v>
      </c>
      <c r="E104" s="30">
        <v>44434</v>
      </c>
      <c r="F104" s="24">
        <v>100</v>
      </c>
      <c r="G104" s="31">
        <v>14.275776863098145</v>
      </c>
      <c r="H104" s="31">
        <v>4536084.5</v>
      </c>
      <c r="I104" s="31">
        <f t="shared" si="31"/>
        <v>4523101.8614461264</v>
      </c>
      <c r="J104" s="31">
        <f t="shared" si="30"/>
        <v>452310.18614461261</v>
      </c>
      <c r="K104" s="31">
        <v>16.832061767578125</v>
      </c>
      <c r="L104" s="31">
        <v>857225.4375</v>
      </c>
      <c r="M104" s="31">
        <f t="shared" si="29"/>
        <v>844242.79894612625</v>
      </c>
      <c r="N104" s="32">
        <f t="shared" si="16"/>
        <v>844242.79894612625</v>
      </c>
      <c r="O104" t="s">
        <v>66</v>
      </c>
      <c r="Q104" s="31">
        <f t="shared" si="17"/>
        <v>0</v>
      </c>
      <c r="R104" t="s">
        <v>66</v>
      </c>
      <c r="T104" s="32">
        <f t="shared" si="18"/>
        <v>0</v>
      </c>
      <c r="U104" s="31">
        <v>24.047388076782227</v>
      </c>
      <c r="V104" s="31">
        <v>2122.60009765625</v>
      </c>
      <c r="W104" s="31">
        <f t="shared" si="19"/>
        <v>212.260009765625</v>
      </c>
      <c r="X104" s="31">
        <v>27.573244094848633</v>
      </c>
      <c r="Y104" s="31">
        <v>217.83396911621094</v>
      </c>
      <c r="Z104" s="32">
        <f t="shared" si="20"/>
        <v>217.83396911621094</v>
      </c>
      <c r="AA104" s="31">
        <v>28.365436553955078</v>
      </c>
      <c r="AB104" s="31">
        <v>5.895716667175293</v>
      </c>
      <c r="AC104" s="31">
        <f t="shared" si="21"/>
        <v>0.58957166671752925</v>
      </c>
      <c r="AD104" s="31">
        <v>32.085742950439453</v>
      </c>
      <c r="AE104" s="31">
        <v>0.48514050245285034</v>
      </c>
      <c r="AF104" s="32">
        <f t="shared" si="22"/>
        <v>0.48514050245285034</v>
      </c>
      <c r="AG104" s="31">
        <v>19.797880172729492</v>
      </c>
      <c r="AH104" s="31">
        <v>72824.9140625</v>
      </c>
      <c r="AI104" s="31">
        <f t="shared" si="23"/>
        <v>7282.4914062500002</v>
      </c>
      <c r="AJ104" s="31">
        <v>23.0506591796875</v>
      </c>
      <c r="AK104" s="31">
        <v>9646.8232421875</v>
      </c>
      <c r="AL104" s="32">
        <f t="shared" si="24"/>
        <v>9646.8232421875</v>
      </c>
    </row>
    <row r="105" spans="1:38" ht="15.15" thickBot="1" x14ac:dyDescent="0.35">
      <c r="A105" s="33" t="s">
        <v>79</v>
      </c>
      <c r="B105" s="30">
        <v>44377</v>
      </c>
      <c r="C105" s="33">
        <v>970</v>
      </c>
      <c r="D105" s="23" t="s">
        <v>65</v>
      </c>
      <c r="E105" s="30">
        <v>44434</v>
      </c>
      <c r="F105" s="24">
        <v>100</v>
      </c>
      <c r="G105" s="31">
        <v>15.259673118591309</v>
      </c>
      <c r="H105" s="31">
        <v>2388789.5</v>
      </c>
      <c r="I105" s="31">
        <f t="shared" si="31"/>
        <v>2375806.8614461264</v>
      </c>
      <c r="J105" s="31">
        <f t="shared" si="30"/>
        <v>244928.54241712645</v>
      </c>
      <c r="K105" s="31">
        <v>18.046113967895508</v>
      </c>
      <c r="L105" s="31">
        <v>388546.96875</v>
      </c>
      <c r="M105" s="31">
        <f t="shared" si="29"/>
        <v>375564.33019612631</v>
      </c>
      <c r="N105" s="32">
        <f t="shared" si="16"/>
        <v>387179.72185167659</v>
      </c>
      <c r="O105" t="s">
        <v>66</v>
      </c>
      <c r="Q105" s="31">
        <f t="shared" si="17"/>
        <v>0</v>
      </c>
      <c r="R105" t="s">
        <v>66</v>
      </c>
      <c r="T105" s="32">
        <f t="shared" si="18"/>
        <v>0</v>
      </c>
      <c r="U105" s="31">
        <v>24.866889953613281</v>
      </c>
      <c r="V105" s="31">
        <v>1250.427001953125</v>
      </c>
      <c r="W105" s="31">
        <f t="shared" si="19"/>
        <v>128.91000020135309</v>
      </c>
      <c r="X105" s="31">
        <v>28.010686874389648</v>
      </c>
      <c r="Y105" s="31">
        <v>164.23101806640625</v>
      </c>
      <c r="Z105" s="32">
        <f t="shared" si="20"/>
        <v>169.31032790351159</v>
      </c>
      <c r="AA105" s="31">
        <v>28.556039810180664</v>
      </c>
      <c r="AB105" s="31">
        <v>5.1875882148742676</v>
      </c>
      <c r="AC105" s="31">
        <f t="shared" si="21"/>
        <v>0.53480290874992453</v>
      </c>
      <c r="AD105" s="31">
        <v>31.425956726074219</v>
      </c>
      <c r="AE105" s="31">
        <v>0.75549334287643433</v>
      </c>
      <c r="AF105" s="32">
        <f t="shared" si="22"/>
        <v>0.77885911636745808</v>
      </c>
      <c r="AG105" s="31">
        <v>20.861648559570313</v>
      </c>
      <c r="AH105" s="31">
        <v>37599.19140625</v>
      </c>
      <c r="AI105" s="31">
        <f t="shared" si="23"/>
        <v>3876.2052996134021</v>
      </c>
      <c r="AJ105" s="31">
        <v>24.719596862792969</v>
      </c>
      <c r="AK105" s="31">
        <v>3419.42529296875</v>
      </c>
      <c r="AL105" s="32">
        <f t="shared" si="24"/>
        <v>3525.180714400773</v>
      </c>
    </row>
    <row r="106" spans="1:38" ht="15.15" thickBot="1" x14ac:dyDescent="0.35">
      <c r="A106" s="33" t="s">
        <v>80</v>
      </c>
      <c r="B106" s="30">
        <v>44377</v>
      </c>
      <c r="C106" s="33">
        <v>900</v>
      </c>
      <c r="D106" s="23" t="s">
        <v>65</v>
      </c>
      <c r="E106" s="30">
        <v>44434</v>
      </c>
      <c r="F106" s="24">
        <v>100</v>
      </c>
      <c r="G106" s="31">
        <v>23.277133941650391</v>
      </c>
      <c r="H106" s="31">
        <v>12845.2529296875</v>
      </c>
      <c r="I106" s="31">
        <f t="shared" si="31"/>
        <v>-137.38562418619767</v>
      </c>
      <c r="J106" s="31">
        <f t="shared" si="30"/>
        <v>-15.265069354021964</v>
      </c>
      <c r="K106" s="31">
        <v>26.259952545166016</v>
      </c>
      <c r="L106" s="31">
        <v>1838.3206787109375</v>
      </c>
      <c r="M106" s="31">
        <f t="shared" si="29"/>
        <v>-11144.31787516276</v>
      </c>
      <c r="N106" s="32">
        <f t="shared" si="16"/>
        <v>-12382.57541684751</v>
      </c>
      <c r="O106" t="s">
        <v>66</v>
      </c>
      <c r="Q106" s="31">
        <f t="shared" si="17"/>
        <v>0</v>
      </c>
      <c r="R106" t="s">
        <v>66</v>
      </c>
      <c r="T106" s="32">
        <f t="shared" si="18"/>
        <v>0</v>
      </c>
      <c r="U106" t="s">
        <v>66</v>
      </c>
      <c r="W106" s="31">
        <f t="shared" si="19"/>
        <v>0</v>
      </c>
      <c r="X106" t="s">
        <v>66</v>
      </c>
      <c r="Z106" s="32">
        <f t="shared" si="20"/>
        <v>0</v>
      </c>
      <c r="AA106" s="31">
        <v>30.959602355957031</v>
      </c>
      <c r="AB106" s="31">
        <v>1.0332323312759399</v>
      </c>
      <c r="AC106" s="31">
        <f t="shared" si="21"/>
        <v>0.11480359236399333</v>
      </c>
      <c r="AD106" t="s">
        <v>66</v>
      </c>
      <c r="AF106" s="32">
        <f t="shared" si="22"/>
        <v>0</v>
      </c>
      <c r="AG106" t="s">
        <v>66</v>
      </c>
      <c r="AI106" s="31">
        <f t="shared" si="23"/>
        <v>0</v>
      </c>
      <c r="AJ106" t="s">
        <v>66</v>
      </c>
      <c r="AL106" s="32">
        <f t="shared" si="24"/>
        <v>0</v>
      </c>
    </row>
    <row r="107" spans="1:38" ht="15.15" thickBot="1" x14ac:dyDescent="0.35">
      <c r="A107" s="33" t="s">
        <v>81</v>
      </c>
      <c r="B107" s="30">
        <v>44377</v>
      </c>
      <c r="C107" s="33">
        <v>900</v>
      </c>
      <c r="D107" s="23" t="s">
        <v>65</v>
      </c>
      <c r="E107" s="30">
        <v>44434</v>
      </c>
      <c r="F107" s="24">
        <v>100</v>
      </c>
      <c r="G107" s="31">
        <v>22.359464645385742</v>
      </c>
      <c r="H107" s="31">
        <v>21002.626953125</v>
      </c>
      <c r="I107" s="31">
        <f t="shared" si="31"/>
        <v>8019.9883992513023</v>
      </c>
      <c r="J107" s="31">
        <f t="shared" si="30"/>
        <v>891.10982213903355</v>
      </c>
      <c r="K107" s="31">
        <v>25.043767929077148</v>
      </c>
      <c r="L107" s="31">
        <v>3704.611572265625</v>
      </c>
      <c r="M107" s="31">
        <f t="shared" si="29"/>
        <v>-9278.0269816080727</v>
      </c>
      <c r="N107" s="32">
        <f t="shared" si="16"/>
        <v>-10308.918868453413</v>
      </c>
      <c r="O107" s="31">
        <v>34.670635223388672</v>
      </c>
      <c r="P107" s="31">
        <v>8.4664726257324219</v>
      </c>
      <c r="Q107" s="31">
        <f t="shared" si="17"/>
        <v>0.94071918063693571</v>
      </c>
      <c r="R107" s="31">
        <v>38.25531005859375</v>
      </c>
      <c r="S107" s="31">
        <v>0.88642197847366333</v>
      </c>
      <c r="T107" s="32">
        <f t="shared" si="18"/>
        <v>0.98491330941518151</v>
      </c>
      <c r="U107" t="s">
        <v>66</v>
      </c>
      <c r="V107" s="31"/>
      <c r="W107" s="31">
        <f t="shared" si="19"/>
        <v>0</v>
      </c>
      <c r="X107" t="s">
        <v>66</v>
      </c>
      <c r="Y107" s="31"/>
      <c r="Z107" s="32">
        <f t="shared" si="20"/>
        <v>0</v>
      </c>
      <c r="AA107" s="31">
        <v>31.047718048095703</v>
      </c>
      <c r="AB107" s="31">
        <v>3.9845349788665771</v>
      </c>
      <c r="AC107" s="31">
        <f t="shared" si="21"/>
        <v>0.44272610876295304</v>
      </c>
      <c r="AD107" s="31">
        <v>32.607612609863281</v>
      </c>
      <c r="AE107" s="31">
        <v>1.4932024478912354</v>
      </c>
      <c r="AF107" s="32">
        <f t="shared" si="22"/>
        <v>1.6591138309902616</v>
      </c>
      <c r="AG107" t="s">
        <v>66</v>
      </c>
      <c r="AI107" s="31">
        <f t="shared" si="23"/>
        <v>0</v>
      </c>
      <c r="AJ107" t="s">
        <v>66</v>
      </c>
      <c r="AL107" s="32">
        <f t="shared" si="24"/>
        <v>0</v>
      </c>
    </row>
    <row r="108" spans="1:38" ht="15.15" thickBot="1" x14ac:dyDescent="0.35">
      <c r="A108" s="33" t="s">
        <v>64</v>
      </c>
      <c r="B108" s="30">
        <v>44385</v>
      </c>
      <c r="C108" s="33">
        <v>960</v>
      </c>
      <c r="D108" s="23" t="s">
        <v>65</v>
      </c>
      <c r="E108" s="30">
        <v>44452</v>
      </c>
      <c r="F108" s="24">
        <v>100</v>
      </c>
      <c r="G108" s="31">
        <v>17.738994598388672</v>
      </c>
      <c r="H108" s="31">
        <v>416217.65625</v>
      </c>
      <c r="I108" s="31">
        <f t="shared" si="31"/>
        <v>403235.01769612631</v>
      </c>
      <c r="J108" s="31">
        <f t="shared" si="30"/>
        <v>42003.647676679822</v>
      </c>
      <c r="K108" s="31">
        <v>21.418540954589844</v>
      </c>
      <c r="L108" s="31">
        <v>38584.01171875</v>
      </c>
      <c r="M108" s="31">
        <f t="shared" si="29"/>
        <v>25601.373164876302</v>
      </c>
      <c r="N108" s="32">
        <f t="shared" si="16"/>
        <v>26668.097046746148</v>
      </c>
      <c r="O108" s="31">
        <v>32.303829193115234</v>
      </c>
      <c r="P108" s="31">
        <v>37.566017150878906</v>
      </c>
      <c r="Q108" s="31">
        <f t="shared" si="17"/>
        <v>3.9131267865498862</v>
      </c>
      <c r="R108" s="31">
        <v>35.909423828125</v>
      </c>
      <c r="S108" s="31">
        <v>3.8816251754760742</v>
      </c>
      <c r="T108" s="32">
        <f t="shared" si="18"/>
        <v>4.0433595577875776</v>
      </c>
      <c r="U108" s="31">
        <v>32.232421875</v>
      </c>
      <c r="V108" s="31">
        <v>6.9720220565795898</v>
      </c>
      <c r="W108" s="31">
        <f t="shared" si="19"/>
        <v>0.72625229756037391</v>
      </c>
      <c r="X108" s="31">
        <v>35.483757019042969</v>
      </c>
      <c r="Y108" s="31">
        <v>0.8364328145980835</v>
      </c>
      <c r="Z108" s="32">
        <f t="shared" si="20"/>
        <v>0.8712841818730036</v>
      </c>
      <c r="AA108" s="31">
        <v>32.089389801025391</v>
      </c>
      <c r="AB108" s="31">
        <v>2.0688498020172119</v>
      </c>
      <c r="AC108" s="31">
        <f t="shared" si="21"/>
        <v>0.21550518771012625</v>
      </c>
      <c r="AD108" s="31">
        <v>34.249492645263672</v>
      </c>
      <c r="AE108" s="31">
        <v>0.53144252300262451</v>
      </c>
      <c r="AF108" s="32">
        <f t="shared" si="22"/>
        <v>0.5535859614610672</v>
      </c>
      <c r="AG108" s="36">
        <v>35.507946014404297</v>
      </c>
      <c r="AH108" s="36">
        <v>2.2129566669464111</v>
      </c>
      <c r="AI108" s="36">
        <f t="shared" si="23"/>
        <v>0.2305163194735845</v>
      </c>
      <c r="AJ108" s="36">
        <v>15.784412384033203</v>
      </c>
      <c r="AK108" s="36">
        <v>457993.65625</v>
      </c>
      <c r="AL108" s="37">
        <f t="shared" si="24"/>
        <v>477076.72526041669</v>
      </c>
    </row>
    <row r="109" spans="1:38" ht="15.15" thickBot="1" x14ac:dyDescent="0.35">
      <c r="A109" s="33" t="s">
        <v>67</v>
      </c>
      <c r="B109" s="30">
        <v>44385</v>
      </c>
      <c r="C109" s="33">
        <v>895</v>
      </c>
      <c r="D109" s="23" t="s">
        <v>65</v>
      </c>
      <c r="E109" s="30">
        <v>44452</v>
      </c>
      <c r="F109" s="24">
        <v>100</v>
      </c>
      <c r="G109" s="31">
        <v>17.678739547729492</v>
      </c>
      <c r="H109" s="31">
        <v>432748.0625</v>
      </c>
      <c r="I109" s="31">
        <f t="shared" si="31"/>
        <v>419765.42394612631</v>
      </c>
      <c r="J109" s="31">
        <f t="shared" si="30"/>
        <v>46901.164686718024</v>
      </c>
      <c r="K109" s="31">
        <v>19.996292114257813</v>
      </c>
      <c r="L109" s="31">
        <v>96751.4609375</v>
      </c>
      <c r="M109" s="31">
        <f t="shared" si="29"/>
        <v>83768.822383626306</v>
      </c>
      <c r="N109" s="32">
        <f t="shared" si="16"/>
        <v>93596.449590643926</v>
      </c>
      <c r="O109" s="31">
        <v>33.022663116455078</v>
      </c>
      <c r="P109" s="31">
        <v>23.892608642578125</v>
      </c>
      <c r="Q109" s="31">
        <f t="shared" si="17"/>
        <v>2.6695652114612431</v>
      </c>
      <c r="R109" s="31">
        <v>36.820053100585938</v>
      </c>
      <c r="S109" s="31">
        <v>2.187985897064209</v>
      </c>
      <c r="T109" s="32">
        <f t="shared" si="18"/>
        <v>2.4446769799600099</v>
      </c>
      <c r="U109" s="31">
        <v>31.354089736938477</v>
      </c>
      <c r="V109" s="31">
        <v>12.363539695739746</v>
      </c>
      <c r="W109" s="31">
        <f t="shared" si="19"/>
        <v>1.3814010833228767</v>
      </c>
      <c r="X109" s="31">
        <v>34.44244384765625</v>
      </c>
      <c r="Y109" s="31">
        <v>1.6496008634567261</v>
      </c>
      <c r="Z109" s="32">
        <f t="shared" si="20"/>
        <v>1.8431294563762302</v>
      </c>
      <c r="AA109" s="31">
        <v>29.866630554199219</v>
      </c>
      <c r="AB109" s="31">
        <v>8.3776693344116211</v>
      </c>
      <c r="AC109" s="31">
        <f t="shared" si="21"/>
        <v>0.93605243959906381</v>
      </c>
      <c r="AD109" t="s">
        <v>66</v>
      </c>
      <c r="AF109" s="32">
        <f t="shared" si="22"/>
        <v>0</v>
      </c>
      <c r="AG109" t="s">
        <v>66</v>
      </c>
      <c r="AI109" s="31">
        <f t="shared" si="23"/>
        <v>0</v>
      </c>
      <c r="AJ109" t="s">
        <v>66</v>
      </c>
      <c r="AL109" s="32">
        <f t="shared" si="24"/>
        <v>0</v>
      </c>
    </row>
    <row r="110" spans="1:38" ht="15.15" thickBot="1" x14ac:dyDescent="0.35">
      <c r="A110" s="33" t="s">
        <v>68</v>
      </c>
      <c r="B110" s="30">
        <v>44385</v>
      </c>
      <c r="C110" s="33">
        <v>900</v>
      </c>
      <c r="D110" s="23" t="s">
        <v>65</v>
      </c>
      <c r="E110" s="30">
        <v>44452</v>
      </c>
      <c r="F110" s="24">
        <v>100</v>
      </c>
      <c r="G110" s="31">
        <v>18.123594284057617</v>
      </c>
      <c r="H110" s="31">
        <v>324606.0625</v>
      </c>
      <c r="I110" s="31">
        <f t="shared" si="31"/>
        <v>311623.42394612631</v>
      </c>
      <c r="J110" s="31">
        <f t="shared" si="30"/>
        <v>34624.824882902918</v>
      </c>
      <c r="K110" s="31">
        <v>21.367551803588867</v>
      </c>
      <c r="L110" s="31">
        <v>39876.859375</v>
      </c>
      <c r="M110" s="31">
        <f t="shared" si="29"/>
        <v>26894.220821126302</v>
      </c>
      <c r="N110" s="32">
        <f t="shared" si="16"/>
        <v>29882.467579029224</v>
      </c>
      <c r="O110" s="31">
        <v>35.227874755859375</v>
      </c>
      <c r="P110" s="31">
        <v>5.9614429473876953</v>
      </c>
      <c r="Q110" s="31">
        <f t="shared" si="17"/>
        <v>0.66238254970974397</v>
      </c>
      <c r="R110" s="31">
        <v>37.034992218017578</v>
      </c>
      <c r="S110" s="31">
        <v>1.9110826253890991</v>
      </c>
      <c r="T110" s="32">
        <f t="shared" si="18"/>
        <v>2.1234251393212213</v>
      </c>
      <c r="U110" s="31">
        <v>36.8582763671875</v>
      </c>
      <c r="V110" s="31">
        <v>0.34127458930015564</v>
      </c>
      <c r="W110" s="31">
        <f t="shared" si="19"/>
        <v>3.7919398811128407E-2</v>
      </c>
      <c r="X110" t="s">
        <v>66</v>
      </c>
      <c r="Z110" s="32">
        <f t="shared" si="20"/>
        <v>0</v>
      </c>
      <c r="AA110" s="31">
        <v>31.190708160400391</v>
      </c>
      <c r="AB110" s="31">
        <v>3.6416983604431152</v>
      </c>
      <c r="AC110" s="31">
        <f t="shared" si="21"/>
        <v>0.40463315116034615</v>
      </c>
      <c r="AD110" t="s">
        <v>66</v>
      </c>
      <c r="AF110" s="32">
        <f t="shared" si="22"/>
        <v>0</v>
      </c>
      <c r="AG110" t="s">
        <v>66</v>
      </c>
      <c r="AI110" s="31">
        <f t="shared" si="23"/>
        <v>0</v>
      </c>
      <c r="AJ110" t="s">
        <v>66</v>
      </c>
      <c r="AL110" s="32">
        <f t="shared" si="24"/>
        <v>0</v>
      </c>
    </row>
    <row r="111" spans="1:38" ht="15.15" thickBot="1" x14ac:dyDescent="0.35">
      <c r="A111" s="33" t="s">
        <v>69</v>
      </c>
      <c r="B111" s="30">
        <v>44385</v>
      </c>
      <c r="C111" s="33">
        <v>900</v>
      </c>
      <c r="D111" s="23" t="s">
        <v>65</v>
      </c>
      <c r="E111" s="30">
        <v>44452</v>
      </c>
      <c r="F111" s="24">
        <v>100</v>
      </c>
      <c r="G111" s="31">
        <v>18.913188934326172</v>
      </c>
      <c r="H111" s="31">
        <v>194851.421875</v>
      </c>
      <c r="I111" s="31">
        <f t="shared" si="31"/>
        <v>181868.78332112631</v>
      </c>
      <c r="J111" s="31">
        <f t="shared" si="30"/>
        <v>20207.642591236254</v>
      </c>
      <c r="K111" s="31">
        <v>22.196495056152344</v>
      </c>
      <c r="L111" s="31">
        <v>23335.765625</v>
      </c>
      <c r="M111" s="31">
        <f t="shared" si="29"/>
        <v>10353.127071126302</v>
      </c>
      <c r="N111" s="32">
        <f t="shared" si="16"/>
        <v>11503.474523473669</v>
      </c>
      <c r="O111" s="31">
        <v>33.539234161376953</v>
      </c>
      <c r="P111" s="31">
        <v>17.259624481201172</v>
      </c>
      <c r="Q111" s="31">
        <f t="shared" si="17"/>
        <v>1.9177360534667969</v>
      </c>
      <c r="R111" s="31">
        <v>37.894886016845703</v>
      </c>
      <c r="S111" s="31">
        <v>1.1121968030929565</v>
      </c>
      <c r="T111" s="32">
        <f t="shared" si="18"/>
        <v>1.2357742256588407</v>
      </c>
      <c r="U111" s="31">
        <v>37.267982482910156</v>
      </c>
      <c r="V111" s="31">
        <v>0.26125001907348633</v>
      </c>
      <c r="W111" s="31">
        <f t="shared" si="19"/>
        <v>2.9027779897054035E-2</v>
      </c>
      <c r="X111" t="s">
        <v>66</v>
      </c>
      <c r="Z111" s="32">
        <f t="shared" si="20"/>
        <v>0</v>
      </c>
      <c r="AA111" s="31">
        <v>31.183084487915039</v>
      </c>
      <c r="AB111" s="31">
        <v>3.6592090129852295</v>
      </c>
      <c r="AC111" s="31">
        <f t="shared" si="21"/>
        <v>0.40657877922058105</v>
      </c>
      <c r="AD111" t="s">
        <v>66</v>
      </c>
      <c r="AF111" s="32">
        <f t="shared" si="22"/>
        <v>0</v>
      </c>
      <c r="AG111" t="s">
        <v>66</v>
      </c>
      <c r="AI111" s="31">
        <f t="shared" si="23"/>
        <v>0</v>
      </c>
      <c r="AJ111" t="s">
        <v>66</v>
      </c>
      <c r="AL111" s="32">
        <f t="shared" si="24"/>
        <v>0</v>
      </c>
    </row>
    <row r="112" spans="1:38" ht="15.15" thickBot="1" x14ac:dyDescent="0.35">
      <c r="A112" s="33" t="s">
        <v>70</v>
      </c>
      <c r="B112" s="30">
        <v>44385</v>
      </c>
      <c r="C112" s="33">
        <v>1000</v>
      </c>
      <c r="D112" s="23" t="s">
        <v>65</v>
      </c>
      <c r="E112" s="30">
        <v>44452</v>
      </c>
      <c r="F112" s="24">
        <v>100</v>
      </c>
      <c r="G112" s="31">
        <v>21.322395324707031</v>
      </c>
      <c r="H112" s="31">
        <v>41057.94140625</v>
      </c>
      <c r="I112" s="31">
        <f t="shared" si="31"/>
        <v>28075.302852376302</v>
      </c>
      <c r="J112" s="31">
        <f t="shared" si="30"/>
        <v>2807.5302852376303</v>
      </c>
      <c r="K112" s="31">
        <v>24.354806900024414</v>
      </c>
      <c r="L112" s="31">
        <v>5782.90576171875</v>
      </c>
      <c r="M112" s="31">
        <f t="shared" si="29"/>
        <v>-7199.7327921549477</v>
      </c>
      <c r="N112" s="32">
        <f t="shared" si="16"/>
        <v>-7199.7327921549477</v>
      </c>
      <c r="O112" s="31">
        <v>34.022232055664063</v>
      </c>
      <c r="P112" s="31">
        <v>12.734389305114746</v>
      </c>
      <c r="Q112" s="31">
        <f t="shared" si="17"/>
        <v>1.2734389305114746</v>
      </c>
      <c r="R112" s="31">
        <v>36.851978302001953</v>
      </c>
      <c r="S112" s="31">
        <v>2.1444506645202637</v>
      </c>
      <c r="T112" s="32">
        <f t="shared" si="18"/>
        <v>2.1444506645202637</v>
      </c>
      <c r="U112" s="31">
        <v>36.698844909667969</v>
      </c>
      <c r="V112" s="31">
        <v>0.37867119908332825</v>
      </c>
      <c r="W112" s="31">
        <f t="shared" si="19"/>
        <v>3.7867119908332823E-2</v>
      </c>
      <c r="X112" t="s">
        <v>66</v>
      </c>
      <c r="Z112" s="32">
        <f t="shared" si="20"/>
        <v>0</v>
      </c>
      <c r="AA112" s="31">
        <v>29.818811416625977</v>
      </c>
      <c r="AB112" s="31">
        <v>8.6335687637329102</v>
      </c>
      <c r="AC112" s="31">
        <f t="shared" si="21"/>
        <v>0.86335687637329106</v>
      </c>
      <c r="AD112" t="s">
        <v>66</v>
      </c>
      <c r="AF112" s="32">
        <f t="shared" si="22"/>
        <v>0</v>
      </c>
      <c r="AG112" t="s">
        <v>66</v>
      </c>
      <c r="AI112" s="31">
        <f t="shared" si="23"/>
        <v>0</v>
      </c>
      <c r="AJ112" t="s">
        <v>66</v>
      </c>
      <c r="AL112" s="32">
        <f t="shared" si="24"/>
        <v>0</v>
      </c>
    </row>
    <row r="113" spans="1:38" ht="15.15" thickBot="1" x14ac:dyDescent="0.35">
      <c r="A113" s="33" t="s">
        <v>71</v>
      </c>
      <c r="B113" s="30">
        <v>44385</v>
      </c>
      <c r="C113" s="33">
        <v>900</v>
      </c>
      <c r="D113" s="23" t="s">
        <v>65</v>
      </c>
      <c r="E113" s="30">
        <v>44452</v>
      </c>
      <c r="F113" s="24">
        <v>100</v>
      </c>
      <c r="G113" s="31">
        <v>19.573135375976563</v>
      </c>
      <c r="H113" s="31">
        <v>127187.6796875</v>
      </c>
      <c r="I113" s="31">
        <f t="shared" si="31"/>
        <v>114205.04113362631</v>
      </c>
      <c r="J113" s="31">
        <f t="shared" si="30"/>
        <v>12689.449014847367</v>
      </c>
      <c r="K113" s="31">
        <v>22.539342880249023</v>
      </c>
      <c r="L113" s="31">
        <v>18697.2890625</v>
      </c>
      <c r="M113" s="31">
        <f t="shared" si="29"/>
        <v>5714.6505086263023</v>
      </c>
      <c r="N113" s="32">
        <f t="shared" si="16"/>
        <v>6349.6116762514475</v>
      </c>
      <c r="O113" s="31">
        <v>34.717643737792969</v>
      </c>
      <c r="P113" s="31">
        <v>8.2195920944213867</v>
      </c>
      <c r="Q113" s="31">
        <f t="shared" si="17"/>
        <v>0.91328801049126518</v>
      </c>
      <c r="R113" s="31">
        <v>38.2274169921875</v>
      </c>
      <c r="S113" s="31">
        <v>0.90212470293045044</v>
      </c>
      <c r="T113" s="32">
        <f t="shared" si="18"/>
        <v>1.0023607810338337</v>
      </c>
      <c r="U113" s="31">
        <v>35.561237335205078</v>
      </c>
      <c r="V113" s="31">
        <v>0.79521596431732178</v>
      </c>
      <c r="W113" s="31">
        <f t="shared" si="19"/>
        <v>8.8357329368591309E-2</v>
      </c>
      <c r="X113" t="s">
        <v>66</v>
      </c>
      <c r="Y113" s="31"/>
      <c r="Z113" s="32">
        <f t="shared" si="20"/>
        <v>0</v>
      </c>
      <c r="AA113" s="31">
        <v>31.16411018371582</v>
      </c>
      <c r="AB113" s="31">
        <v>3.7031571865081787</v>
      </c>
      <c r="AC113" s="31">
        <f t="shared" si="21"/>
        <v>0.41146190961201984</v>
      </c>
      <c r="AD113" t="s">
        <v>66</v>
      </c>
      <c r="AF113" s="32">
        <f t="shared" si="22"/>
        <v>0</v>
      </c>
      <c r="AG113" t="s">
        <v>66</v>
      </c>
      <c r="AI113" s="31">
        <f t="shared" si="23"/>
        <v>0</v>
      </c>
      <c r="AJ113" t="s">
        <v>66</v>
      </c>
      <c r="AL113" s="32">
        <f t="shared" si="24"/>
        <v>0</v>
      </c>
    </row>
    <row r="114" spans="1:38" ht="15.15" thickBot="1" x14ac:dyDescent="0.35">
      <c r="A114" s="33" t="s">
        <v>72</v>
      </c>
      <c r="B114" s="30">
        <v>44385</v>
      </c>
      <c r="C114" s="33">
        <v>900</v>
      </c>
      <c r="D114" s="23" t="s">
        <v>65</v>
      </c>
      <c r="E114" s="30">
        <v>44452</v>
      </c>
      <c r="F114" s="24">
        <v>100</v>
      </c>
      <c r="G114" s="31">
        <v>20.526371002197266</v>
      </c>
      <c r="H114" s="31">
        <v>68683.9296875</v>
      </c>
      <c r="I114" s="31">
        <f t="shared" si="31"/>
        <v>55701.291133626306</v>
      </c>
      <c r="J114" s="31">
        <f t="shared" si="30"/>
        <v>6189.0323481807009</v>
      </c>
      <c r="K114" s="31">
        <v>23.61421012878418</v>
      </c>
      <c r="L114" s="31">
        <v>9333.5009765625</v>
      </c>
      <c r="M114" s="31">
        <f t="shared" si="29"/>
        <v>-3649.1375773111977</v>
      </c>
      <c r="N114" s="32">
        <f t="shared" si="16"/>
        <v>-4054.5973081235529</v>
      </c>
      <c r="O114" s="31">
        <v>34.649913787841797</v>
      </c>
      <c r="P114" s="31">
        <v>8.5776405334472656</v>
      </c>
      <c r="Q114" s="31">
        <f t="shared" si="17"/>
        <v>0.95307117038302946</v>
      </c>
      <c r="R114" s="31">
        <v>38.096454620361328</v>
      </c>
      <c r="S114" s="31">
        <v>0.97965264320373535</v>
      </c>
      <c r="T114" s="32">
        <f t="shared" si="18"/>
        <v>1.0885029368930392</v>
      </c>
      <c r="U114" s="31">
        <v>28.221012115478516</v>
      </c>
      <c r="V114" s="31">
        <v>95.405746459960938</v>
      </c>
      <c r="W114" s="31">
        <f t="shared" si="19"/>
        <v>10.600638495551216</v>
      </c>
      <c r="X114" s="31">
        <v>31.265750885009766</v>
      </c>
      <c r="Y114" s="31">
        <v>13.09677791595459</v>
      </c>
      <c r="Z114" s="32">
        <f t="shared" si="20"/>
        <v>14.551975462171766</v>
      </c>
      <c r="AA114" s="31">
        <v>30.998805999755859</v>
      </c>
      <c r="AB114" s="31">
        <v>4.1090688705444336</v>
      </c>
      <c r="AC114" s="31">
        <f t="shared" si="21"/>
        <v>0.45656320783827042</v>
      </c>
      <c r="AD114" t="s">
        <v>66</v>
      </c>
      <c r="AF114" s="32">
        <f t="shared" si="22"/>
        <v>0</v>
      </c>
      <c r="AG114" t="s">
        <v>66</v>
      </c>
      <c r="AI114" s="31">
        <f t="shared" si="23"/>
        <v>0</v>
      </c>
      <c r="AJ114" t="s">
        <v>66</v>
      </c>
      <c r="AL114" s="32">
        <f t="shared" si="24"/>
        <v>0</v>
      </c>
    </row>
    <row r="115" spans="1:38" ht="15.15" thickBot="1" x14ac:dyDescent="0.35">
      <c r="A115" s="33" t="s">
        <v>73</v>
      </c>
      <c r="B115" s="30">
        <v>44385</v>
      </c>
      <c r="C115" s="33">
        <v>880</v>
      </c>
      <c r="D115" s="23" t="s">
        <v>65</v>
      </c>
      <c r="E115" s="30">
        <v>44452</v>
      </c>
      <c r="F115" s="24">
        <v>100</v>
      </c>
      <c r="G115" s="31">
        <v>20.880582809448242</v>
      </c>
      <c r="H115" s="31">
        <v>54628.80078125</v>
      </c>
      <c r="I115" s="31">
        <f t="shared" si="31"/>
        <v>41646.162227376306</v>
      </c>
      <c r="J115" s="31">
        <f t="shared" si="30"/>
        <v>4732.5184349291258</v>
      </c>
      <c r="K115" s="31">
        <v>23.47974967956543</v>
      </c>
      <c r="L115" s="31">
        <v>10180.990234375</v>
      </c>
      <c r="M115" s="31">
        <f t="shared" si="29"/>
        <v>-2801.6483194986977</v>
      </c>
      <c r="N115" s="32">
        <f t="shared" si="16"/>
        <v>-3183.6912721576109</v>
      </c>
      <c r="O115" s="31">
        <v>34.855953216552734</v>
      </c>
      <c r="P115" s="31">
        <v>7.5341796875</v>
      </c>
      <c r="Q115" s="31">
        <f t="shared" si="17"/>
        <v>0.85615678267045459</v>
      </c>
      <c r="R115" s="31">
        <v>38.620132446289063</v>
      </c>
      <c r="S115" s="31">
        <v>0.70452570915222168</v>
      </c>
      <c r="T115" s="32">
        <f t="shared" si="18"/>
        <v>0.8005973967638883</v>
      </c>
      <c r="U115" s="31">
        <v>29.606128692626953</v>
      </c>
      <c r="V115" s="31">
        <v>38.658573150634766</v>
      </c>
      <c r="W115" s="31">
        <f t="shared" si="19"/>
        <v>4.3930196762084961</v>
      </c>
      <c r="X115" s="31">
        <v>32.456951141357422</v>
      </c>
      <c r="Y115" s="31">
        <v>6.0222911834716797</v>
      </c>
      <c r="Z115" s="32">
        <f t="shared" si="20"/>
        <v>6.8435127084905449</v>
      </c>
      <c r="AA115" s="31">
        <v>31.657726287841797</v>
      </c>
      <c r="AB115" s="31">
        <v>2.7144756317138672</v>
      </c>
      <c r="AC115" s="31">
        <f t="shared" si="21"/>
        <v>0.30846313996748492</v>
      </c>
      <c r="AD115" t="s">
        <v>66</v>
      </c>
      <c r="AF115" s="32">
        <f t="shared" si="22"/>
        <v>0</v>
      </c>
      <c r="AG115" s="31">
        <v>37.508235931396484</v>
      </c>
      <c r="AH115" s="31">
        <v>0.63952100276947021</v>
      </c>
      <c r="AI115" s="31">
        <f t="shared" si="23"/>
        <v>7.2672841223803436E-2</v>
      </c>
      <c r="AJ115" t="s">
        <v>66</v>
      </c>
      <c r="AL115" s="32">
        <f t="shared" si="24"/>
        <v>0</v>
      </c>
    </row>
    <row r="116" spans="1:38" ht="15.15" thickBot="1" x14ac:dyDescent="0.35">
      <c r="A116" s="33" t="s">
        <v>74</v>
      </c>
      <c r="B116" s="30">
        <v>44385</v>
      </c>
      <c r="C116" s="33">
        <v>950</v>
      </c>
      <c r="D116" s="23" t="s">
        <v>65</v>
      </c>
      <c r="E116" s="30">
        <v>44452</v>
      </c>
      <c r="F116" s="24">
        <v>100</v>
      </c>
      <c r="G116" s="31">
        <v>22.874536514282227</v>
      </c>
      <c r="H116" s="31">
        <v>15055.1103515625</v>
      </c>
      <c r="I116" s="31">
        <f t="shared" si="31"/>
        <v>2072.4717976888023</v>
      </c>
      <c r="J116" s="31">
        <f t="shared" si="30"/>
        <v>218.15492607250553</v>
      </c>
      <c r="K116" s="31">
        <v>25.496393203735352</v>
      </c>
      <c r="L116" s="31">
        <v>2764.921630859375</v>
      </c>
      <c r="M116" s="31">
        <f t="shared" ref="M116:M147" si="32">L116-$H$242</f>
        <v>-10217.716923014323</v>
      </c>
      <c r="N116" s="32">
        <f t="shared" si="16"/>
        <v>-10755.491497909812</v>
      </c>
      <c r="O116" s="31">
        <v>34.725063323974609</v>
      </c>
      <c r="P116" s="31">
        <v>8.1812887191772461</v>
      </c>
      <c r="Q116" s="31">
        <f t="shared" si="17"/>
        <v>0.86118828622918375</v>
      </c>
      <c r="R116" s="31">
        <v>38.671215057373047</v>
      </c>
      <c r="S116" s="31">
        <v>0.68222981691360474</v>
      </c>
      <c r="T116" s="32">
        <f t="shared" si="18"/>
        <v>0.7181366493827418</v>
      </c>
      <c r="U116" t="s">
        <v>66</v>
      </c>
      <c r="W116" s="31">
        <f t="shared" si="19"/>
        <v>0</v>
      </c>
      <c r="X116" t="s">
        <v>66</v>
      </c>
      <c r="Z116" s="32">
        <f t="shared" si="20"/>
        <v>0</v>
      </c>
      <c r="AA116" s="31">
        <v>31.524715423583984</v>
      </c>
      <c r="AB116" s="31">
        <v>2.9514312744140625</v>
      </c>
      <c r="AC116" s="31">
        <f t="shared" si="21"/>
        <v>0.31067697625411184</v>
      </c>
      <c r="AD116" s="31">
        <v>32.690319061279297</v>
      </c>
      <c r="AE116" s="31">
        <v>1.4174841642379761</v>
      </c>
      <c r="AF116" s="32">
        <f t="shared" si="22"/>
        <v>1.4920885939347117</v>
      </c>
      <c r="AG116" t="s">
        <v>66</v>
      </c>
      <c r="AI116" s="31">
        <f t="shared" si="23"/>
        <v>0</v>
      </c>
      <c r="AJ116" t="s">
        <v>66</v>
      </c>
      <c r="AL116" s="32">
        <f t="shared" si="24"/>
        <v>0</v>
      </c>
    </row>
    <row r="117" spans="1:38" ht="15.15" thickBot="1" x14ac:dyDescent="0.35">
      <c r="A117" s="33" t="s">
        <v>75</v>
      </c>
      <c r="B117" s="30">
        <v>44385</v>
      </c>
      <c r="C117" s="33">
        <v>870</v>
      </c>
      <c r="D117" s="23" t="s">
        <v>65</v>
      </c>
      <c r="E117" s="30">
        <v>44452</v>
      </c>
      <c r="F117" s="24">
        <v>100</v>
      </c>
      <c r="G117" s="31">
        <v>23.07609748840332</v>
      </c>
      <c r="H117" s="31">
        <v>13216.0673828125</v>
      </c>
      <c r="I117" s="31">
        <f t="shared" si="31"/>
        <v>233.42882893880233</v>
      </c>
      <c r="J117" s="31">
        <f t="shared" si="30"/>
        <v>26.830899878023256</v>
      </c>
      <c r="K117" s="31">
        <v>26.057636260986328</v>
      </c>
      <c r="L117" s="31">
        <v>1923.6767578125</v>
      </c>
      <c r="M117" s="31">
        <f t="shared" si="32"/>
        <v>-11058.961796061198</v>
      </c>
      <c r="N117" s="32">
        <f t="shared" si="16"/>
        <v>-12711.450340300227</v>
      </c>
      <c r="O117" s="31">
        <v>35.709213256835938</v>
      </c>
      <c r="P117" s="31">
        <v>4.4030318260192871</v>
      </c>
      <c r="Q117" s="31">
        <f t="shared" si="17"/>
        <v>0.50609561218612498</v>
      </c>
      <c r="R117" s="31">
        <v>38.479698181152344</v>
      </c>
      <c r="S117" s="31">
        <v>0.76964783668518066</v>
      </c>
      <c r="T117" s="32">
        <f t="shared" si="18"/>
        <v>0.8846526858450352</v>
      </c>
      <c r="U117" t="s">
        <v>66</v>
      </c>
      <c r="W117" s="31">
        <f t="shared" si="19"/>
        <v>0</v>
      </c>
      <c r="X117" t="s">
        <v>66</v>
      </c>
      <c r="Z117" s="32">
        <f t="shared" si="20"/>
        <v>0</v>
      </c>
      <c r="AA117" s="31">
        <v>31.037567138671875</v>
      </c>
      <c r="AB117" s="31">
        <v>4.0100655555725098</v>
      </c>
      <c r="AC117" s="31">
        <f t="shared" si="21"/>
        <v>0.46092707535316202</v>
      </c>
      <c r="AD117" s="31">
        <v>33.231311798095703</v>
      </c>
      <c r="AE117" s="31">
        <v>1.0085229873657227</v>
      </c>
      <c r="AF117" s="32">
        <f t="shared" si="22"/>
        <v>1.1592218245583019</v>
      </c>
      <c r="AG117" t="s">
        <v>66</v>
      </c>
      <c r="AI117" s="31">
        <f t="shared" si="23"/>
        <v>0</v>
      </c>
      <c r="AJ117" t="s">
        <v>66</v>
      </c>
      <c r="AL117" s="32">
        <f t="shared" si="24"/>
        <v>0</v>
      </c>
    </row>
    <row r="118" spans="1:38" ht="15.15" thickBot="1" x14ac:dyDescent="0.35">
      <c r="A118" s="33" t="s">
        <v>76</v>
      </c>
      <c r="B118" s="30">
        <v>44385</v>
      </c>
      <c r="C118" s="33">
        <v>1000</v>
      </c>
      <c r="D118" s="23" t="s">
        <v>65</v>
      </c>
      <c r="E118" s="30">
        <v>44452</v>
      </c>
      <c r="F118" s="24">
        <v>100</v>
      </c>
      <c r="G118" s="31">
        <v>9.6141071319580078</v>
      </c>
      <c r="H118" s="31">
        <v>79454536</v>
      </c>
      <c r="I118" s="31">
        <f t="shared" si="31"/>
        <v>79441553.361446127</v>
      </c>
      <c r="J118" s="31">
        <f t="shared" si="30"/>
        <v>7944155.3361446122</v>
      </c>
      <c r="K118" s="31">
        <v>11.008037567138672</v>
      </c>
      <c r="L118" s="31">
        <v>32271416</v>
      </c>
      <c r="M118" s="31">
        <f t="shared" si="32"/>
        <v>32258433.361446127</v>
      </c>
      <c r="N118" s="32">
        <f t="shared" si="16"/>
        <v>32258433.361446127</v>
      </c>
      <c r="O118" s="31">
        <v>28.253978729248047</v>
      </c>
      <c r="P118" s="31">
        <v>480.88113403320313</v>
      </c>
      <c r="Q118" s="31">
        <f t="shared" si="17"/>
        <v>48.088113403320314</v>
      </c>
      <c r="R118" s="31">
        <v>30.560697555541992</v>
      </c>
      <c r="S118" s="31">
        <v>112.55716705322266</v>
      </c>
      <c r="T118" s="32">
        <f t="shared" si="18"/>
        <v>112.55716705322266</v>
      </c>
      <c r="U118" s="31">
        <v>25.355434417724609</v>
      </c>
      <c r="V118" s="31">
        <v>618.35516357421875</v>
      </c>
      <c r="W118" s="31">
        <f t="shared" si="19"/>
        <v>61.835516357421874</v>
      </c>
      <c r="X118" s="31">
        <v>27.883893966674805</v>
      </c>
      <c r="Y118" s="31">
        <v>118.86716461181641</v>
      </c>
      <c r="Z118" s="32">
        <f t="shared" si="20"/>
        <v>118.86716461181641</v>
      </c>
      <c r="AA118" s="31">
        <v>31.050369262695313</v>
      </c>
      <c r="AB118" s="31">
        <v>3.977893590927124</v>
      </c>
      <c r="AC118" s="31">
        <f t="shared" si="21"/>
        <v>0.3977893590927124</v>
      </c>
      <c r="AD118" t="s">
        <v>66</v>
      </c>
      <c r="AF118" s="32">
        <f t="shared" si="22"/>
        <v>0</v>
      </c>
      <c r="AG118" s="31">
        <v>23.626861572265625</v>
      </c>
      <c r="AH118" s="31">
        <v>3525.028564453125</v>
      </c>
      <c r="AI118" s="31">
        <f t="shared" si="23"/>
        <v>352.50285644531249</v>
      </c>
      <c r="AJ118" s="31">
        <v>24.744146347045898</v>
      </c>
      <c r="AK118" s="31">
        <v>1762.106201171875</v>
      </c>
      <c r="AL118" s="32">
        <f t="shared" si="24"/>
        <v>1762.106201171875</v>
      </c>
    </row>
    <row r="119" spans="1:38" ht="15.15" thickBot="1" x14ac:dyDescent="0.35">
      <c r="A119" s="33" t="s">
        <v>77</v>
      </c>
      <c r="B119" s="30">
        <v>44385</v>
      </c>
      <c r="C119" s="33">
        <v>905</v>
      </c>
      <c r="D119" s="23" t="s">
        <v>65</v>
      </c>
      <c r="E119" s="30">
        <v>44452</v>
      </c>
      <c r="F119" s="24">
        <v>100</v>
      </c>
      <c r="G119" s="31">
        <v>13.869021415710449</v>
      </c>
      <c r="H119" s="31">
        <v>5077965.5</v>
      </c>
      <c r="I119" s="31">
        <f t="shared" si="31"/>
        <v>5064982.8614461264</v>
      </c>
      <c r="J119" s="31">
        <f t="shared" si="30"/>
        <v>559666.61452443385</v>
      </c>
      <c r="K119" s="31">
        <v>17.047136306762695</v>
      </c>
      <c r="L119" s="31">
        <v>650934.4375</v>
      </c>
      <c r="M119" s="31">
        <f t="shared" si="32"/>
        <v>637951.79894612625</v>
      </c>
      <c r="N119" s="32">
        <f t="shared" si="16"/>
        <v>704919.11485759809</v>
      </c>
      <c r="O119" s="31">
        <v>28.621360778808594</v>
      </c>
      <c r="P119" s="31">
        <v>381.58761596679688</v>
      </c>
      <c r="Q119" s="31">
        <f t="shared" si="17"/>
        <v>42.164377454894684</v>
      </c>
      <c r="R119" s="31">
        <v>31.979305267333984</v>
      </c>
      <c r="S119" s="31">
        <v>46.080913543701172</v>
      </c>
      <c r="T119" s="32">
        <f t="shared" si="18"/>
        <v>50.918136512376982</v>
      </c>
      <c r="U119" s="31">
        <v>27.71379280090332</v>
      </c>
      <c r="V119" s="31">
        <v>132.81355285644531</v>
      </c>
      <c r="W119" s="31">
        <f t="shared" si="19"/>
        <v>14.675530702369647</v>
      </c>
      <c r="X119" s="31">
        <v>30.837604522705078</v>
      </c>
      <c r="Y119" s="31">
        <v>17.315505981445313</v>
      </c>
      <c r="Z119" s="32">
        <f t="shared" si="20"/>
        <v>19.133155780602554</v>
      </c>
      <c r="AA119" s="31">
        <v>30.785818099975586</v>
      </c>
      <c r="AB119" s="31">
        <v>4.6983437538146973</v>
      </c>
      <c r="AC119" s="31">
        <f t="shared" si="21"/>
        <v>0.5191540059463754</v>
      </c>
      <c r="AD119" t="s">
        <v>66</v>
      </c>
      <c r="AF119" s="32">
        <f t="shared" si="22"/>
        <v>0</v>
      </c>
      <c r="AG119" s="31">
        <v>22.456844329833984</v>
      </c>
      <c r="AH119" s="31">
        <v>7286.27685546875</v>
      </c>
      <c r="AI119" s="31">
        <f t="shared" si="23"/>
        <v>805.1134646926796</v>
      </c>
      <c r="AJ119" s="31">
        <v>26.048336029052734</v>
      </c>
      <c r="AK119" s="31">
        <v>784.38067626953125</v>
      </c>
      <c r="AL119" s="32">
        <f t="shared" si="24"/>
        <v>866.71897930334944</v>
      </c>
    </row>
    <row r="120" spans="1:38" ht="15.15" thickBot="1" x14ac:dyDescent="0.35">
      <c r="A120" s="33" t="s">
        <v>78</v>
      </c>
      <c r="B120" s="30">
        <v>44385</v>
      </c>
      <c r="C120" s="33">
        <v>900</v>
      </c>
      <c r="D120" s="23" t="s">
        <v>65</v>
      </c>
      <c r="E120" s="30">
        <v>44452</v>
      </c>
      <c r="F120" s="24">
        <v>100</v>
      </c>
      <c r="G120" s="31">
        <v>13.526464462280273</v>
      </c>
      <c r="H120" s="31">
        <v>6336530</v>
      </c>
      <c r="I120" s="31">
        <f t="shared" si="31"/>
        <v>6323547.3614461264</v>
      </c>
      <c r="J120" s="31">
        <f t="shared" si="30"/>
        <v>702616.37349401403</v>
      </c>
      <c r="K120" s="31">
        <v>16.571016311645508</v>
      </c>
      <c r="L120" s="31">
        <v>885507.9375</v>
      </c>
      <c r="M120" s="31">
        <f t="shared" si="32"/>
        <v>872525.29894612625</v>
      </c>
      <c r="N120" s="32">
        <f t="shared" si="16"/>
        <v>969472.55438458466</v>
      </c>
      <c r="O120" s="31">
        <v>34.7249755859375</v>
      </c>
      <c r="P120" s="31">
        <v>8.1817407608032227</v>
      </c>
      <c r="Q120" s="31">
        <f t="shared" si="17"/>
        <v>0.90908230675591362</v>
      </c>
      <c r="R120" s="31">
        <v>37.845359802246094</v>
      </c>
      <c r="S120" s="31">
        <v>1.1474196910858154</v>
      </c>
      <c r="T120" s="32">
        <f t="shared" si="18"/>
        <v>1.2749107678731282</v>
      </c>
      <c r="U120" s="31">
        <v>26.205265045166016</v>
      </c>
      <c r="V120" s="31">
        <v>355.24407958984375</v>
      </c>
      <c r="W120" s="31">
        <f t="shared" si="19"/>
        <v>39.471564398871529</v>
      </c>
      <c r="X120" s="31">
        <v>28.941120147705078</v>
      </c>
      <c r="Y120" s="31">
        <v>59.649501800537109</v>
      </c>
      <c r="Z120" s="32">
        <f t="shared" si="20"/>
        <v>66.277224222819015</v>
      </c>
      <c r="AA120" s="31">
        <v>30.948591232299805</v>
      </c>
      <c r="AB120" s="31">
        <v>4.2409696578979492</v>
      </c>
      <c r="AC120" s="31">
        <f t="shared" si="21"/>
        <v>0.47121885087754989</v>
      </c>
      <c r="AD120" t="s">
        <v>66</v>
      </c>
      <c r="AF120" s="32">
        <f t="shared" si="22"/>
        <v>0</v>
      </c>
      <c r="AG120" s="31">
        <v>19.322641372680664</v>
      </c>
      <c r="AH120" s="31">
        <v>50960.7734375</v>
      </c>
      <c r="AI120" s="31">
        <f t="shared" si="23"/>
        <v>5662.3081597222226</v>
      </c>
      <c r="AJ120" s="31">
        <v>23.376405715942383</v>
      </c>
      <c r="AK120" s="31">
        <v>4117.80224609375</v>
      </c>
      <c r="AL120" s="32">
        <f t="shared" si="24"/>
        <v>4575.3358289930557</v>
      </c>
    </row>
    <row r="121" spans="1:38" ht="15.15" thickBot="1" x14ac:dyDescent="0.35">
      <c r="A121" s="33" t="s">
        <v>79</v>
      </c>
      <c r="B121" s="30">
        <v>44385</v>
      </c>
      <c r="C121" s="33">
        <v>875</v>
      </c>
      <c r="D121" s="23" t="s">
        <v>65</v>
      </c>
      <c r="E121" s="30">
        <v>44452</v>
      </c>
      <c r="F121" s="24">
        <v>100</v>
      </c>
      <c r="G121" s="31">
        <v>15.122015953063965</v>
      </c>
      <c r="H121" s="31">
        <v>2259187.25</v>
      </c>
      <c r="I121" s="31">
        <f t="shared" si="31"/>
        <v>2246204.6114461264</v>
      </c>
      <c r="J121" s="31">
        <f t="shared" si="30"/>
        <v>256709.09845098588</v>
      </c>
      <c r="K121" s="31">
        <v>17.942876815795898</v>
      </c>
      <c r="L121" s="31">
        <v>364827.1875</v>
      </c>
      <c r="M121" s="31">
        <f t="shared" si="32"/>
        <v>351844.54894612631</v>
      </c>
      <c r="N121" s="32">
        <f t="shared" si="16"/>
        <v>402108.05593843001</v>
      </c>
      <c r="O121" s="31">
        <v>35.773902893066406</v>
      </c>
      <c r="P121" s="31">
        <v>4.2273235321044922</v>
      </c>
      <c r="Q121" s="31">
        <f t="shared" si="17"/>
        <v>0.48312268938337055</v>
      </c>
      <c r="R121" s="31">
        <v>38.574142456054688</v>
      </c>
      <c r="S121" s="31">
        <v>0.72522151470184326</v>
      </c>
      <c r="T121" s="32">
        <f t="shared" si="18"/>
        <v>0.82882458823067806</v>
      </c>
      <c r="U121" s="31">
        <v>26.452268600463867</v>
      </c>
      <c r="V121" s="31">
        <v>302.38766479492188</v>
      </c>
      <c r="W121" s="31">
        <f t="shared" si="19"/>
        <v>34.558590262276788</v>
      </c>
      <c r="X121" s="31">
        <v>29.842483520507813</v>
      </c>
      <c r="Y121" s="31">
        <v>33.135936737060547</v>
      </c>
      <c r="Z121" s="32">
        <f t="shared" si="20"/>
        <v>37.869641985212056</v>
      </c>
      <c r="AA121" s="31">
        <v>31.445781707763672</v>
      </c>
      <c r="AB121" s="31">
        <v>3.1017172336578369</v>
      </c>
      <c r="AC121" s="31">
        <f t="shared" si="21"/>
        <v>0.35448196956089567</v>
      </c>
      <c r="AD121" t="s">
        <v>66</v>
      </c>
      <c r="AF121" s="32">
        <f t="shared" si="22"/>
        <v>0</v>
      </c>
      <c r="AG121" s="31">
        <v>21.044445037841797</v>
      </c>
      <c r="AH121" s="31">
        <v>17505.541015625</v>
      </c>
      <c r="AI121" s="31">
        <f t="shared" si="23"/>
        <v>2000.6332589285714</v>
      </c>
      <c r="AJ121" s="31">
        <v>25.175621032714844</v>
      </c>
      <c r="AK121" s="31">
        <v>1348.15869140625</v>
      </c>
      <c r="AL121" s="32">
        <f t="shared" si="24"/>
        <v>1540.7527901785713</v>
      </c>
    </row>
    <row r="122" spans="1:38" ht="15.15" thickBot="1" x14ac:dyDescent="0.35">
      <c r="A122" s="33" t="s">
        <v>80</v>
      </c>
      <c r="B122" s="30">
        <v>44385</v>
      </c>
      <c r="C122" s="33">
        <v>905</v>
      </c>
      <c r="D122" s="23" t="s">
        <v>65</v>
      </c>
      <c r="E122" s="30">
        <v>44452</v>
      </c>
      <c r="F122" s="24">
        <v>100</v>
      </c>
      <c r="G122" s="31">
        <v>22.637889862060547</v>
      </c>
      <c r="H122" s="31">
        <v>17543.44140625</v>
      </c>
      <c r="I122" s="31">
        <f t="shared" si="31"/>
        <v>4560.8028523763023</v>
      </c>
      <c r="J122" s="31">
        <f t="shared" si="30"/>
        <v>503.95611628467429</v>
      </c>
      <c r="K122" s="31">
        <v>25.810544967651367</v>
      </c>
      <c r="L122" s="31">
        <v>2256.809814453125</v>
      </c>
      <c r="M122" s="31">
        <f t="shared" si="32"/>
        <v>-10725.828739420573</v>
      </c>
      <c r="N122" s="32">
        <f t="shared" si="16"/>
        <v>-11851.744463448145</v>
      </c>
      <c r="O122" s="31">
        <v>36.978610992431641</v>
      </c>
      <c r="P122" s="31">
        <v>1.9801325798034668</v>
      </c>
      <c r="Q122" s="31">
        <f t="shared" si="17"/>
        <v>0.21879918008878085</v>
      </c>
      <c r="R122" s="31">
        <v>38.073455810546875</v>
      </c>
      <c r="S122" s="31">
        <v>0.99393975734710693</v>
      </c>
      <c r="T122" s="32">
        <f t="shared" si="18"/>
        <v>1.0982759749691788</v>
      </c>
      <c r="U122" t="s">
        <v>66</v>
      </c>
      <c r="W122" s="31">
        <f t="shared" si="19"/>
        <v>0</v>
      </c>
      <c r="X122" t="s">
        <v>66</v>
      </c>
      <c r="Z122" s="32">
        <f t="shared" si="20"/>
        <v>0</v>
      </c>
      <c r="AA122" s="31">
        <v>30.982461929321289</v>
      </c>
      <c r="AB122" s="31">
        <v>4.1515436172485352</v>
      </c>
      <c r="AC122" s="31">
        <f t="shared" si="21"/>
        <v>0.45873410135342929</v>
      </c>
      <c r="AD122" t="s">
        <v>66</v>
      </c>
      <c r="AF122" s="32">
        <f t="shared" si="22"/>
        <v>0</v>
      </c>
      <c r="AG122" t="s">
        <v>66</v>
      </c>
      <c r="AI122" s="31">
        <f t="shared" si="23"/>
        <v>0</v>
      </c>
      <c r="AJ122" s="31">
        <v>33.532440185546875</v>
      </c>
      <c r="AK122" s="31">
        <v>7.5406923294067383</v>
      </c>
      <c r="AL122" s="32">
        <f t="shared" si="24"/>
        <v>8.3322567175765059</v>
      </c>
    </row>
    <row r="123" spans="1:38" ht="15.15" thickBot="1" x14ac:dyDescent="0.35">
      <c r="A123" s="33" t="s">
        <v>81</v>
      </c>
      <c r="B123" s="30">
        <v>44385</v>
      </c>
      <c r="C123" s="33">
        <v>855</v>
      </c>
      <c r="D123" s="23" t="s">
        <v>65</v>
      </c>
      <c r="E123" s="30">
        <v>44452</v>
      </c>
      <c r="F123" s="24">
        <v>100</v>
      </c>
      <c r="G123" s="31">
        <v>23.032026290893555</v>
      </c>
      <c r="H123" s="31">
        <v>13597.9609375</v>
      </c>
      <c r="I123" s="31">
        <f t="shared" si="31"/>
        <v>615.32238362630233</v>
      </c>
      <c r="J123" s="31">
        <f t="shared" si="30"/>
        <v>71.967530248690323</v>
      </c>
      <c r="K123" s="31">
        <v>25.848634719848633</v>
      </c>
      <c r="L123" s="31">
        <v>2201.9248046875</v>
      </c>
      <c r="M123" s="31">
        <f t="shared" si="32"/>
        <v>-10780.713749186198</v>
      </c>
      <c r="N123" s="32">
        <f t="shared" si="16"/>
        <v>-12609.021928872746</v>
      </c>
      <c r="O123" s="31">
        <v>36.175052642822266</v>
      </c>
      <c r="P123" s="31">
        <v>3.2838990688323975</v>
      </c>
      <c r="Q123" s="31">
        <f t="shared" si="17"/>
        <v>0.38408176243653769</v>
      </c>
      <c r="R123" s="31">
        <v>38.884086608886719</v>
      </c>
      <c r="S123" s="31">
        <v>0.59666550159454346</v>
      </c>
      <c r="T123" s="32">
        <f t="shared" si="18"/>
        <v>0.69785438782987541</v>
      </c>
      <c r="U123" t="s">
        <v>66</v>
      </c>
      <c r="W123" s="31">
        <f t="shared" si="19"/>
        <v>0</v>
      </c>
      <c r="X123" t="s">
        <v>66</v>
      </c>
      <c r="Z123" s="32">
        <f t="shared" si="20"/>
        <v>0</v>
      </c>
      <c r="AA123" s="31">
        <v>31.245197296142578</v>
      </c>
      <c r="AB123" s="31">
        <v>3.5189588069915771</v>
      </c>
      <c r="AC123" s="31">
        <f t="shared" si="21"/>
        <v>0.41157412947269906</v>
      </c>
      <c r="AD123" t="s">
        <v>66</v>
      </c>
      <c r="AF123" s="32">
        <f t="shared" si="22"/>
        <v>0</v>
      </c>
      <c r="AG123" t="s">
        <v>66</v>
      </c>
      <c r="AI123" s="31">
        <f t="shared" si="23"/>
        <v>0</v>
      </c>
      <c r="AJ123" t="s">
        <v>66</v>
      </c>
      <c r="AL123" s="32">
        <f t="shared" si="24"/>
        <v>0</v>
      </c>
    </row>
    <row r="124" spans="1:38" ht="15.15" thickBot="1" x14ac:dyDescent="0.35">
      <c r="A124" s="33" t="s">
        <v>64</v>
      </c>
      <c r="B124" s="30">
        <v>44391</v>
      </c>
      <c r="C124" s="33">
        <v>900</v>
      </c>
      <c r="D124" s="23" t="s">
        <v>65</v>
      </c>
      <c r="E124" s="30">
        <v>44482</v>
      </c>
      <c r="F124" s="24">
        <v>100</v>
      </c>
      <c r="G124" s="31">
        <v>19.524177551269531</v>
      </c>
      <c r="H124" s="31">
        <v>131276.921875</v>
      </c>
      <c r="I124" s="31">
        <f t="shared" si="31"/>
        <v>118294.28332112631</v>
      </c>
      <c r="J124" s="31">
        <f t="shared" si="30"/>
        <v>13143.809257902923</v>
      </c>
      <c r="K124" s="31">
        <v>22.271015167236328</v>
      </c>
      <c r="L124" s="31">
        <v>22238.369140625</v>
      </c>
      <c r="M124" s="31">
        <f t="shared" si="32"/>
        <v>9255.7305867513023</v>
      </c>
      <c r="N124" s="32">
        <f t="shared" ref="N124:N186" si="33">(M124*($F124*10))/($C124)</f>
        <v>10284.145096390337</v>
      </c>
      <c r="O124" s="31">
        <v>33.117893218994141</v>
      </c>
      <c r="P124" s="31">
        <v>22.502323150634766</v>
      </c>
      <c r="Q124" s="31">
        <f t="shared" ref="Q124:Q186" si="34">(P124*$F124)/$C124</f>
        <v>2.5002581278483071</v>
      </c>
      <c r="R124" s="31">
        <v>37.478874206542969</v>
      </c>
      <c r="S124" s="31">
        <v>1.4451757669448853</v>
      </c>
      <c r="T124" s="32">
        <f t="shared" ref="T124:T186" si="35">(S124*($F124*10))/($C124)</f>
        <v>1.6057508521609836</v>
      </c>
      <c r="U124" s="31">
        <v>31.692266464233398</v>
      </c>
      <c r="V124" s="31">
        <v>9.9164361953735352</v>
      </c>
      <c r="W124" s="31">
        <f t="shared" ref="W124:W186" si="36">(V124*$F124)/$C124</f>
        <v>1.1018262439303927</v>
      </c>
      <c r="X124" s="31">
        <v>34.5980224609375</v>
      </c>
      <c r="Y124" s="31">
        <v>1.4904308319091797</v>
      </c>
      <c r="Z124" s="32">
        <f t="shared" ref="Z124:Z186" si="37">(Y124*($F124*10))/($C124)</f>
        <v>1.6560342576768663</v>
      </c>
      <c r="AA124" s="31">
        <v>30.088014602661133</v>
      </c>
      <c r="AB124" s="31">
        <v>7.2883214950561523</v>
      </c>
      <c r="AC124" s="31">
        <f t="shared" ref="AC124:AC186" si="38">(AB124*$F124)/$C124</f>
        <v>0.80981349945068359</v>
      </c>
      <c r="AD124" s="31">
        <v>32.397274017333984</v>
      </c>
      <c r="AE124" s="31">
        <v>1.7044965028762817</v>
      </c>
      <c r="AF124" s="32">
        <f t="shared" ref="AF124:AF186" si="39">(AE124*($F124*10))/($C124)</f>
        <v>1.8938850031958685</v>
      </c>
      <c r="AG124" s="31">
        <v>35.247604370117188</v>
      </c>
      <c r="AH124" s="31">
        <v>2.600999116897583</v>
      </c>
      <c r="AI124" s="31">
        <f t="shared" ref="AI124:AI186" si="40">(AH124*$F124)/$C124</f>
        <v>0.28899990187750924</v>
      </c>
      <c r="AJ124" t="s">
        <v>66</v>
      </c>
      <c r="AL124" s="32">
        <f t="shared" ref="AL124:AL186" si="41">(AK124*($F124*10))/($C124)</f>
        <v>0</v>
      </c>
    </row>
    <row r="125" spans="1:38" ht="15.15" thickBot="1" x14ac:dyDescent="0.35">
      <c r="A125" s="33" t="s">
        <v>67</v>
      </c>
      <c r="B125" s="30">
        <v>44391</v>
      </c>
      <c r="C125" s="33">
        <v>840</v>
      </c>
      <c r="D125" s="23" t="s">
        <v>65</v>
      </c>
      <c r="E125" s="30">
        <v>44482</v>
      </c>
      <c r="F125" s="24">
        <v>100</v>
      </c>
      <c r="G125" s="31">
        <v>19.596658706665039</v>
      </c>
      <c r="H125" s="31">
        <v>125268.4296875</v>
      </c>
      <c r="I125" s="31">
        <f t="shared" si="31"/>
        <v>112285.79113362631</v>
      </c>
      <c r="J125" s="31">
        <f t="shared" si="30"/>
        <v>13367.356087336466</v>
      </c>
      <c r="K125" s="31">
        <v>22.407419204711914</v>
      </c>
      <c r="L125" s="31">
        <v>20361.6015625</v>
      </c>
      <c r="M125" s="31">
        <f t="shared" si="32"/>
        <v>7378.9630086263023</v>
      </c>
      <c r="N125" s="32">
        <f t="shared" si="33"/>
        <v>8784.4797721741706</v>
      </c>
      <c r="O125" s="31">
        <v>32.533702850341797</v>
      </c>
      <c r="P125" s="31">
        <v>32.504756927490234</v>
      </c>
      <c r="Q125" s="31">
        <f t="shared" si="34"/>
        <v>3.8696139199393138</v>
      </c>
      <c r="R125" t="s">
        <v>66</v>
      </c>
      <c r="T125" s="32">
        <f t="shared" si="35"/>
        <v>0</v>
      </c>
      <c r="U125" s="31">
        <v>32.782997131347656</v>
      </c>
      <c r="V125" s="31">
        <v>4.8686718940734863</v>
      </c>
      <c r="W125" s="31">
        <f t="shared" si="36"/>
        <v>0.57960379691351027</v>
      </c>
      <c r="X125" s="31">
        <v>36.031879425048828</v>
      </c>
      <c r="Y125" s="31">
        <v>0.5850292444229126</v>
      </c>
      <c r="Z125" s="32">
        <f t="shared" si="37"/>
        <v>0.69646338621775306</v>
      </c>
      <c r="AA125" s="31">
        <v>29.221660614013672</v>
      </c>
      <c r="AB125" s="31">
        <v>12.570964813232422</v>
      </c>
      <c r="AC125" s="31">
        <f t="shared" si="38"/>
        <v>1.4965434301467169</v>
      </c>
      <c r="AD125" s="31">
        <v>32.272499084472656</v>
      </c>
      <c r="AE125" s="31">
        <v>1.8437086343765259</v>
      </c>
      <c r="AF125" s="32">
        <f t="shared" si="39"/>
        <v>2.1948912314006259</v>
      </c>
      <c r="AG125" s="31">
        <v>36.296504974365234</v>
      </c>
      <c r="AH125" s="31">
        <v>1.3565647602081299</v>
      </c>
      <c r="AI125" s="31">
        <f t="shared" si="40"/>
        <v>0.16149580478668213</v>
      </c>
      <c r="AJ125" t="s">
        <v>66</v>
      </c>
      <c r="AL125" s="32">
        <f t="shared" si="41"/>
        <v>0</v>
      </c>
    </row>
    <row r="126" spans="1:38" ht="15.15" thickBot="1" x14ac:dyDescent="0.35">
      <c r="A126" s="33" t="s">
        <v>68</v>
      </c>
      <c r="B126" s="30">
        <v>44391</v>
      </c>
      <c r="C126" s="33">
        <v>900</v>
      </c>
      <c r="D126" s="23" t="s">
        <v>65</v>
      </c>
      <c r="E126" s="30">
        <v>44482</v>
      </c>
      <c r="F126" s="24">
        <v>100</v>
      </c>
      <c r="G126" s="31">
        <v>18.445796966552734</v>
      </c>
      <c r="H126" s="31">
        <v>263577.71875</v>
      </c>
      <c r="I126" s="31">
        <f t="shared" si="31"/>
        <v>250595.08019612631</v>
      </c>
      <c r="J126" s="31">
        <f t="shared" si="30"/>
        <v>27843.89779956959</v>
      </c>
      <c r="K126" s="31">
        <v>21.244417190551758</v>
      </c>
      <c r="L126" s="31">
        <v>43180.43359375</v>
      </c>
      <c r="M126" s="31">
        <f t="shared" si="32"/>
        <v>30197.795039876302</v>
      </c>
      <c r="N126" s="32">
        <f t="shared" si="33"/>
        <v>33553.10559986256</v>
      </c>
      <c r="O126" s="31">
        <v>35.772384643554688</v>
      </c>
      <c r="P126" s="31">
        <v>4.2313656806945801</v>
      </c>
      <c r="Q126" s="31">
        <f t="shared" si="34"/>
        <v>0.47015174229939777</v>
      </c>
      <c r="R126" s="31">
        <v>39.119941711425781</v>
      </c>
      <c r="S126" s="31">
        <v>0.51433652639389038</v>
      </c>
      <c r="T126" s="32">
        <f t="shared" si="35"/>
        <v>0.57148502932654488</v>
      </c>
      <c r="U126" s="31">
        <v>32.947036743164063</v>
      </c>
      <c r="V126" s="31">
        <v>4.3746867179870605</v>
      </c>
      <c r="W126" s="31">
        <f t="shared" si="36"/>
        <v>0.48607630199856228</v>
      </c>
      <c r="X126" s="31">
        <v>35.334278106689453</v>
      </c>
      <c r="Y126" s="31">
        <v>0.92208373546600342</v>
      </c>
      <c r="Z126" s="32">
        <f t="shared" si="37"/>
        <v>1.024537483851115</v>
      </c>
      <c r="AA126" s="31">
        <v>31.2122802734375</v>
      </c>
      <c r="AB126" s="31">
        <v>3.5926022529602051</v>
      </c>
      <c r="AC126" s="31">
        <f t="shared" si="38"/>
        <v>0.39917802810668945</v>
      </c>
      <c r="AD126" t="s">
        <v>66</v>
      </c>
      <c r="AF126" s="32">
        <f t="shared" si="39"/>
        <v>0</v>
      </c>
      <c r="AG126" t="s">
        <v>66</v>
      </c>
      <c r="AI126" s="31">
        <f t="shared" si="40"/>
        <v>0</v>
      </c>
      <c r="AJ126" t="s">
        <v>66</v>
      </c>
      <c r="AL126" s="32">
        <f t="shared" si="41"/>
        <v>0</v>
      </c>
    </row>
    <row r="127" spans="1:38" ht="15.15" thickBot="1" x14ac:dyDescent="0.35">
      <c r="A127" s="33" t="s">
        <v>69</v>
      </c>
      <c r="B127" s="30">
        <v>44391</v>
      </c>
      <c r="C127" s="33">
        <v>860</v>
      </c>
      <c r="D127" s="23" t="s">
        <v>65</v>
      </c>
      <c r="E127" s="30">
        <v>44482</v>
      </c>
      <c r="F127" s="24">
        <v>100</v>
      </c>
      <c r="G127" s="31">
        <v>13.401678085327148</v>
      </c>
      <c r="H127" s="31">
        <v>6868805.5</v>
      </c>
      <c r="I127" s="31">
        <f t="shared" si="31"/>
        <v>6855822.8614461264</v>
      </c>
      <c r="J127" s="31">
        <f t="shared" si="30"/>
        <v>797188.70481931709</v>
      </c>
      <c r="K127" s="31">
        <v>16.39689826965332</v>
      </c>
      <c r="L127" s="31">
        <v>990992.6875</v>
      </c>
      <c r="M127" s="31">
        <f t="shared" si="32"/>
        <v>978010.04894612625</v>
      </c>
      <c r="N127" s="32">
        <f t="shared" si="33"/>
        <v>1137220.9871466584</v>
      </c>
      <c r="O127" t="s">
        <v>66</v>
      </c>
      <c r="Q127" s="31">
        <f t="shared" si="34"/>
        <v>0</v>
      </c>
      <c r="R127" t="s">
        <v>66</v>
      </c>
      <c r="T127" s="32">
        <f t="shared" si="35"/>
        <v>0</v>
      </c>
      <c r="U127" s="31">
        <v>35.490108489990234</v>
      </c>
      <c r="V127" s="31">
        <v>0.83297514915466309</v>
      </c>
      <c r="W127" s="31">
        <f t="shared" si="36"/>
        <v>9.6857575483100353E-2</v>
      </c>
      <c r="X127" s="31">
        <v>38.315303802490234</v>
      </c>
      <c r="Y127" s="31">
        <v>0.13194920122623444</v>
      </c>
      <c r="Z127" s="32">
        <f t="shared" si="37"/>
        <v>0.1534293037514354</v>
      </c>
      <c r="AA127" s="31">
        <v>17.889289855957031</v>
      </c>
      <c r="AB127" s="31">
        <v>15706.080078125</v>
      </c>
      <c r="AC127" s="31">
        <f t="shared" si="38"/>
        <v>1826.2883811773256</v>
      </c>
      <c r="AD127" s="31">
        <v>21.679141998291016</v>
      </c>
      <c r="AE127" s="31">
        <v>1446.9302978515625</v>
      </c>
      <c r="AF127" s="32">
        <f t="shared" si="39"/>
        <v>1682.4770905250728</v>
      </c>
      <c r="AG127" s="31">
        <v>31.798086166381836</v>
      </c>
      <c r="AH127" s="31">
        <v>22.123523712158203</v>
      </c>
      <c r="AI127" s="31">
        <f t="shared" si="40"/>
        <v>2.5725027572276979</v>
      </c>
      <c r="AJ127" s="31">
        <v>34.2579345703125</v>
      </c>
      <c r="AK127" s="31">
        <v>4.8070206642150879</v>
      </c>
      <c r="AL127" s="32">
        <f t="shared" si="41"/>
        <v>5.5895589118780089</v>
      </c>
    </row>
    <row r="128" spans="1:38" ht="15.15" thickBot="1" x14ac:dyDescent="0.35">
      <c r="A128" s="33" t="s">
        <v>70</v>
      </c>
      <c r="B128" s="30">
        <v>44391</v>
      </c>
      <c r="C128" s="33">
        <v>1000</v>
      </c>
      <c r="D128" s="23" t="s">
        <v>65</v>
      </c>
      <c r="E128" s="30">
        <v>44482</v>
      </c>
      <c r="F128" s="24">
        <v>100</v>
      </c>
      <c r="G128" s="31">
        <v>18.239353179931641</v>
      </c>
      <c r="H128" s="31">
        <v>301204.25</v>
      </c>
      <c r="I128" s="31">
        <f t="shared" si="31"/>
        <v>288221.61144612631</v>
      </c>
      <c r="J128" s="31">
        <f t="shared" si="30"/>
        <v>28822.16114461263</v>
      </c>
      <c r="K128" s="31">
        <v>21.533227920532227</v>
      </c>
      <c r="L128" s="31">
        <v>35827.19140625</v>
      </c>
      <c r="M128" s="31">
        <f t="shared" si="32"/>
        <v>22844.552852376302</v>
      </c>
      <c r="N128" s="32">
        <f t="shared" si="33"/>
        <v>22844.552852376302</v>
      </c>
      <c r="O128" s="31">
        <v>34.048271179199219</v>
      </c>
      <c r="P128" s="31">
        <v>12.527341842651367</v>
      </c>
      <c r="Q128" s="31">
        <f t="shared" si="34"/>
        <v>1.2527341842651367</v>
      </c>
      <c r="R128" s="31">
        <v>36.995925903320313</v>
      </c>
      <c r="S128" s="31">
        <v>1.9586657285690308</v>
      </c>
      <c r="T128" s="32">
        <f t="shared" si="35"/>
        <v>1.9586657285690308</v>
      </c>
      <c r="U128" s="31">
        <v>36.486690521240234</v>
      </c>
      <c r="V128" s="31">
        <v>0.43486469984054565</v>
      </c>
      <c r="W128" s="31">
        <f t="shared" si="36"/>
        <v>4.3486469984054567E-2</v>
      </c>
      <c r="X128" t="s">
        <v>66</v>
      </c>
      <c r="Z128" s="32">
        <f t="shared" si="37"/>
        <v>0</v>
      </c>
      <c r="AA128" s="31">
        <v>27.457448959350586</v>
      </c>
      <c r="AB128" s="31">
        <v>38.146923065185547</v>
      </c>
      <c r="AC128" s="31">
        <f t="shared" si="38"/>
        <v>3.8146923065185545</v>
      </c>
      <c r="AD128" s="31">
        <v>31.314796447753906</v>
      </c>
      <c r="AE128" s="31">
        <v>3.3681809902191162</v>
      </c>
      <c r="AF128" s="32">
        <f t="shared" si="39"/>
        <v>3.3681809902191162</v>
      </c>
      <c r="AG128" s="31">
        <v>39.735137939453125</v>
      </c>
      <c r="AH128" s="31">
        <v>0.16056844592094421</v>
      </c>
      <c r="AI128" s="31">
        <f t="shared" si="40"/>
        <v>1.6056844592094423E-2</v>
      </c>
      <c r="AJ128" t="s">
        <v>66</v>
      </c>
      <c r="AL128" s="32">
        <f t="shared" si="41"/>
        <v>0</v>
      </c>
    </row>
    <row r="129" spans="1:38" ht="15.15" thickBot="1" x14ac:dyDescent="0.35">
      <c r="A129" s="33" t="s">
        <v>71</v>
      </c>
      <c r="B129" s="30">
        <v>44391</v>
      </c>
      <c r="C129" s="33">
        <v>1000</v>
      </c>
      <c r="D129" s="23" t="s">
        <v>65</v>
      </c>
      <c r="E129" s="30">
        <v>44482</v>
      </c>
      <c r="F129" s="24">
        <v>100</v>
      </c>
      <c r="G129" s="31">
        <v>18.990854263305664</v>
      </c>
      <c r="H129" s="31">
        <v>185311.15625</v>
      </c>
      <c r="I129" s="31">
        <f t="shared" si="31"/>
        <v>172328.51769612631</v>
      </c>
      <c r="J129" s="31">
        <f t="shared" si="30"/>
        <v>17232.851769612629</v>
      </c>
      <c r="K129" s="31">
        <v>21.950582504272461</v>
      </c>
      <c r="L129" s="31">
        <v>27356.08984375</v>
      </c>
      <c r="M129" s="31">
        <f t="shared" si="32"/>
        <v>14373.451289876302</v>
      </c>
      <c r="N129" s="32">
        <f t="shared" si="33"/>
        <v>14373.451289876302</v>
      </c>
      <c r="O129" s="31">
        <v>33.708465576171875</v>
      </c>
      <c r="P129" s="31">
        <v>15.515398025512695</v>
      </c>
      <c r="Q129" s="31">
        <f t="shared" si="34"/>
        <v>1.5515398025512694</v>
      </c>
      <c r="R129" s="31">
        <v>37.115730285644531</v>
      </c>
      <c r="S129" s="31">
        <v>1.8163745403289795</v>
      </c>
      <c r="T129" s="32">
        <f t="shared" si="35"/>
        <v>1.8163745403289795</v>
      </c>
      <c r="U129" s="31">
        <v>34.125640869140625</v>
      </c>
      <c r="V129" s="31">
        <v>2.0282058715820313</v>
      </c>
      <c r="W129" s="31">
        <f t="shared" si="36"/>
        <v>0.20282058715820311</v>
      </c>
      <c r="X129" s="31">
        <v>37.070323944091797</v>
      </c>
      <c r="Y129" s="31">
        <v>0.29719555377960205</v>
      </c>
      <c r="Z129" s="32">
        <f t="shared" si="37"/>
        <v>0.29719555377960205</v>
      </c>
      <c r="AA129" s="31">
        <v>29.883996963500977</v>
      </c>
      <c r="AB129" s="31">
        <v>8.2866249084472656</v>
      </c>
      <c r="AC129" s="31">
        <f t="shared" si="38"/>
        <v>0.82866249084472654</v>
      </c>
      <c r="AD129" s="31">
        <v>32.533260345458984</v>
      </c>
      <c r="AE129" s="31">
        <v>1.5647188425064087</v>
      </c>
      <c r="AF129" s="32">
        <f t="shared" si="39"/>
        <v>1.5647188425064087</v>
      </c>
      <c r="AG129" t="s">
        <v>66</v>
      </c>
      <c r="AI129" s="31">
        <f t="shared" si="40"/>
        <v>0</v>
      </c>
      <c r="AJ129" t="s">
        <v>66</v>
      </c>
      <c r="AL129" s="32">
        <f t="shared" si="41"/>
        <v>0</v>
      </c>
    </row>
    <row r="130" spans="1:38" ht="15.15" thickBot="1" x14ac:dyDescent="0.35">
      <c r="A130" s="33" t="s">
        <v>72</v>
      </c>
      <c r="B130" s="30">
        <v>44391</v>
      </c>
      <c r="C130" s="33">
        <v>950</v>
      </c>
      <c r="D130" s="23" t="s">
        <v>65</v>
      </c>
      <c r="E130" s="30">
        <v>44482</v>
      </c>
      <c r="F130" s="24">
        <v>100</v>
      </c>
      <c r="G130" s="31">
        <v>20.893171310424805</v>
      </c>
      <c r="H130" s="31">
        <v>54186.09375</v>
      </c>
      <c r="I130" s="31">
        <f t="shared" si="31"/>
        <v>41203.455196126306</v>
      </c>
      <c r="J130" s="31">
        <f t="shared" si="30"/>
        <v>4337.2058101185585</v>
      </c>
      <c r="K130" s="31">
        <v>23.111989974975586</v>
      </c>
      <c r="L130" s="31">
        <v>12912.9833984375</v>
      </c>
      <c r="M130" s="31">
        <f t="shared" si="32"/>
        <v>-69.655155436197674</v>
      </c>
      <c r="N130" s="32">
        <f t="shared" si="33"/>
        <v>-73.321216248629128</v>
      </c>
      <c r="O130" t="s">
        <v>66</v>
      </c>
      <c r="Q130" s="31">
        <f t="shared" si="34"/>
        <v>0</v>
      </c>
      <c r="R130" t="s">
        <v>66</v>
      </c>
      <c r="T130" s="32">
        <f t="shared" si="35"/>
        <v>0</v>
      </c>
      <c r="U130" s="31">
        <v>29.248952865600586</v>
      </c>
      <c r="V130" s="31">
        <v>48.799392700195313</v>
      </c>
      <c r="W130" s="31">
        <f t="shared" si="36"/>
        <v>5.1367781789679272</v>
      </c>
      <c r="X130" s="31">
        <v>31.842414855957031</v>
      </c>
      <c r="Y130" s="31">
        <v>8.9913864135742188</v>
      </c>
      <c r="Z130" s="32">
        <f t="shared" si="37"/>
        <v>9.4646172774465462</v>
      </c>
      <c r="AA130" s="31">
        <v>24.891681671142578</v>
      </c>
      <c r="AB130" s="31">
        <v>191.68344116210938</v>
      </c>
      <c r="AC130" s="31">
        <f t="shared" si="38"/>
        <v>20.17720433285362</v>
      </c>
      <c r="AD130" s="31">
        <v>29.907752990722656</v>
      </c>
      <c r="AE130" s="31">
        <v>8.1636810302734375</v>
      </c>
      <c r="AF130" s="32">
        <f t="shared" si="39"/>
        <v>8.5933484529194075</v>
      </c>
      <c r="AG130" t="s">
        <v>66</v>
      </c>
      <c r="AI130" s="31">
        <f t="shared" si="40"/>
        <v>0</v>
      </c>
      <c r="AJ130" t="s">
        <v>66</v>
      </c>
      <c r="AL130" s="32">
        <f t="shared" si="41"/>
        <v>0</v>
      </c>
    </row>
    <row r="131" spans="1:38" ht="15.15" thickBot="1" x14ac:dyDescent="0.35">
      <c r="A131" s="33" t="s">
        <v>73</v>
      </c>
      <c r="B131" s="30">
        <v>44391</v>
      </c>
      <c r="C131" s="33">
        <v>980</v>
      </c>
      <c r="D131" s="23" t="s">
        <v>65</v>
      </c>
      <c r="E131" s="30">
        <v>44482</v>
      </c>
      <c r="F131" s="24">
        <v>100</v>
      </c>
      <c r="G131" s="31">
        <v>9.4441986083984375</v>
      </c>
      <c r="H131" s="31">
        <v>88677816</v>
      </c>
      <c r="I131" s="31">
        <f t="shared" si="31"/>
        <v>88664833.361446127</v>
      </c>
      <c r="J131" s="31">
        <f t="shared" si="30"/>
        <v>9047431.9756577685</v>
      </c>
      <c r="K131" s="31">
        <v>12.267086982727051</v>
      </c>
      <c r="L131" s="31">
        <v>14301474</v>
      </c>
      <c r="M131" s="31">
        <f t="shared" si="32"/>
        <v>14288491.361446125</v>
      </c>
      <c r="N131" s="32">
        <f t="shared" si="33"/>
        <v>14580093.225965433</v>
      </c>
      <c r="O131" t="s">
        <v>66</v>
      </c>
      <c r="Q131" s="31">
        <f t="shared" si="34"/>
        <v>0</v>
      </c>
      <c r="R131" t="s">
        <v>66</v>
      </c>
      <c r="T131" s="32">
        <f t="shared" si="35"/>
        <v>0</v>
      </c>
      <c r="U131" s="31">
        <v>30.982080459594727</v>
      </c>
      <c r="V131" s="31">
        <v>15.758430480957031</v>
      </c>
      <c r="W131" s="31">
        <f t="shared" si="36"/>
        <v>1.6080031103017378</v>
      </c>
      <c r="X131" s="31">
        <v>34.8277587890625</v>
      </c>
      <c r="Y131" s="31">
        <v>1.2830392122268677</v>
      </c>
      <c r="Z131" s="32">
        <f t="shared" si="37"/>
        <v>1.3092236859457833</v>
      </c>
      <c r="AA131" s="31">
        <v>22.630971908569336</v>
      </c>
      <c r="AB131" s="31">
        <v>794.96728515625</v>
      </c>
      <c r="AC131" s="31">
        <f t="shared" si="38"/>
        <v>81.119110730229593</v>
      </c>
      <c r="AD131" s="31">
        <v>25.26801872253418</v>
      </c>
      <c r="AE131" s="31">
        <v>151.2677001953125</v>
      </c>
      <c r="AF131" s="32">
        <f t="shared" si="39"/>
        <v>154.35479611766581</v>
      </c>
      <c r="AG131" s="31">
        <v>38.849109649658203</v>
      </c>
      <c r="AH131" s="31">
        <v>0.27826753258705139</v>
      </c>
      <c r="AI131" s="31">
        <f t="shared" si="40"/>
        <v>2.8394646182352185E-2</v>
      </c>
      <c r="AJ131" t="s">
        <v>66</v>
      </c>
      <c r="AL131" s="32">
        <f t="shared" si="41"/>
        <v>0</v>
      </c>
    </row>
    <row r="132" spans="1:38" ht="15.15" thickBot="1" x14ac:dyDescent="0.35">
      <c r="A132" s="33" t="s">
        <v>74</v>
      </c>
      <c r="B132" s="30">
        <v>44391</v>
      </c>
      <c r="C132" s="33">
        <v>920</v>
      </c>
      <c r="D132" s="23" t="s">
        <v>65</v>
      </c>
      <c r="E132" s="30">
        <v>44482</v>
      </c>
      <c r="F132" s="24">
        <v>100</v>
      </c>
      <c r="G132" s="31">
        <v>24.788543701171875</v>
      </c>
      <c r="H132" s="31">
        <v>4369.06591796875</v>
      </c>
      <c r="I132" s="31">
        <f t="shared" si="31"/>
        <v>-8613.5726359049477</v>
      </c>
      <c r="J132" s="31">
        <f t="shared" si="30"/>
        <v>-936.25789520705951</v>
      </c>
      <c r="K132" s="31">
        <v>24.884731292724609</v>
      </c>
      <c r="L132" s="31">
        <v>4105.69873046875</v>
      </c>
      <c r="M132" s="31">
        <f t="shared" si="32"/>
        <v>-8876.9398234049477</v>
      </c>
      <c r="N132" s="32">
        <f t="shared" si="33"/>
        <v>-9648.8476341358128</v>
      </c>
      <c r="O132" s="31">
        <v>35.366298675537109</v>
      </c>
      <c r="P132" s="31">
        <v>5.4639387130737305</v>
      </c>
      <c r="Q132" s="31">
        <f t="shared" si="34"/>
        <v>0.59390638185584022</v>
      </c>
      <c r="R132" t="s">
        <v>66</v>
      </c>
      <c r="T132" s="32">
        <f t="shared" si="35"/>
        <v>0</v>
      </c>
      <c r="U132" s="31">
        <v>38.452888488769531</v>
      </c>
      <c r="V132" s="31">
        <v>0.12062475085258484</v>
      </c>
      <c r="W132" s="31">
        <f t="shared" si="36"/>
        <v>1.3111385962237482E-2</v>
      </c>
      <c r="X132" t="s">
        <v>66</v>
      </c>
      <c r="Z132" s="32">
        <f t="shared" si="37"/>
        <v>0</v>
      </c>
      <c r="AA132" s="31">
        <v>31.379356384277344</v>
      </c>
      <c r="AB132" s="31">
        <v>3.2341017723083496</v>
      </c>
      <c r="AC132" s="31">
        <f t="shared" si="38"/>
        <v>0.35153280133786408</v>
      </c>
      <c r="AD132" t="s">
        <v>66</v>
      </c>
      <c r="AF132" s="32">
        <f t="shared" si="39"/>
        <v>0</v>
      </c>
      <c r="AG132" t="s">
        <v>66</v>
      </c>
      <c r="AI132" s="31">
        <f t="shared" si="40"/>
        <v>0</v>
      </c>
      <c r="AJ132" t="s">
        <v>66</v>
      </c>
      <c r="AL132" s="32">
        <f t="shared" si="41"/>
        <v>0</v>
      </c>
    </row>
    <row r="133" spans="1:38" ht="15.15" thickBot="1" x14ac:dyDescent="0.35">
      <c r="A133" s="33" t="s">
        <v>75</v>
      </c>
      <c r="B133" s="30">
        <v>44391</v>
      </c>
      <c r="C133" s="33">
        <v>830</v>
      </c>
      <c r="D133" s="23" t="s">
        <v>65</v>
      </c>
      <c r="E133" s="30">
        <v>44482</v>
      </c>
      <c r="F133" s="24">
        <v>100</v>
      </c>
      <c r="G133" s="31">
        <v>22.587129592895508</v>
      </c>
      <c r="H133" s="31">
        <v>18128.591796875</v>
      </c>
      <c r="I133" s="31">
        <f t="shared" si="31"/>
        <v>5145.9532430013023</v>
      </c>
      <c r="J133" s="31">
        <f t="shared" si="30"/>
        <v>619.9943666266629</v>
      </c>
      <c r="K133" s="31">
        <v>25.636676788330078</v>
      </c>
      <c r="L133" s="31">
        <v>2525.24072265625</v>
      </c>
      <c r="M133" s="31">
        <f t="shared" si="32"/>
        <v>-10457.397831217448</v>
      </c>
      <c r="N133" s="32">
        <f t="shared" si="33"/>
        <v>-12599.274495442707</v>
      </c>
      <c r="O133" s="31">
        <v>34.826938629150391</v>
      </c>
      <c r="P133" s="31">
        <v>7.6730613708496094</v>
      </c>
      <c r="Q133" s="31">
        <f t="shared" si="34"/>
        <v>0.92446522540356735</v>
      </c>
      <c r="R133" s="31">
        <v>37.962413787841797</v>
      </c>
      <c r="S133" s="31">
        <v>1.0659070014953613</v>
      </c>
      <c r="T133" s="32">
        <f t="shared" si="35"/>
        <v>1.2842253030064594</v>
      </c>
      <c r="U133" t="s">
        <v>66</v>
      </c>
      <c r="W133" s="31">
        <f t="shared" si="36"/>
        <v>0</v>
      </c>
      <c r="X133" t="s">
        <v>66</v>
      </c>
      <c r="Z133" s="32">
        <f t="shared" si="37"/>
        <v>0</v>
      </c>
      <c r="AA133" s="31">
        <v>30.687435150146484</v>
      </c>
      <c r="AB133" s="31">
        <v>4.9983773231506348</v>
      </c>
      <c r="AC133" s="31">
        <f t="shared" si="38"/>
        <v>0.60221413531935364</v>
      </c>
      <c r="AD133" t="s">
        <v>66</v>
      </c>
      <c r="AF133" s="32">
        <f t="shared" si="39"/>
        <v>0</v>
      </c>
      <c r="AG133" t="s">
        <v>66</v>
      </c>
      <c r="AI133" s="31">
        <f t="shared" si="40"/>
        <v>0</v>
      </c>
      <c r="AJ133" t="s">
        <v>66</v>
      </c>
      <c r="AL133" s="32">
        <f t="shared" si="41"/>
        <v>0</v>
      </c>
    </row>
    <row r="134" spans="1:38" ht="15.15" thickBot="1" x14ac:dyDescent="0.35">
      <c r="A134" s="33" t="s">
        <v>76</v>
      </c>
      <c r="B134" s="30">
        <v>44391</v>
      </c>
      <c r="C134" s="33">
        <v>930</v>
      </c>
      <c r="D134" s="23" t="s">
        <v>65</v>
      </c>
      <c r="E134" s="30">
        <v>44482</v>
      </c>
      <c r="F134" s="24">
        <v>100</v>
      </c>
      <c r="G134" s="31">
        <v>9.2871923446655273</v>
      </c>
      <c r="H134" s="31">
        <v>98149800</v>
      </c>
      <c r="I134" s="31">
        <f t="shared" ref="I134:I163" si="42">H134-$H$242</f>
        <v>98136817.361446127</v>
      </c>
      <c r="J134" s="31">
        <f t="shared" si="30"/>
        <v>10552345.95284367</v>
      </c>
      <c r="K134" s="31">
        <v>11.308317184448242</v>
      </c>
      <c r="L134" s="31">
        <v>26578120</v>
      </c>
      <c r="M134" s="31">
        <f t="shared" si="32"/>
        <v>26565137.361446127</v>
      </c>
      <c r="N134" s="32">
        <f t="shared" si="33"/>
        <v>28564663.829511967</v>
      </c>
      <c r="O134" s="31">
        <v>27.217161178588867</v>
      </c>
      <c r="P134" s="31">
        <v>923.6492919921875</v>
      </c>
      <c r="Q134" s="31">
        <f t="shared" si="34"/>
        <v>99.317128171202953</v>
      </c>
      <c r="R134" s="31">
        <v>29.99644660949707</v>
      </c>
      <c r="S134" s="31">
        <v>160.56143188476563</v>
      </c>
      <c r="T134" s="32">
        <f t="shared" si="35"/>
        <v>172.64670095136088</v>
      </c>
      <c r="U134" s="31">
        <v>23.916748046875</v>
      </c>
      <c r="V134" s="31">
        <v>1580.3021240234375</v>
      </c>
      <c r="W134" s="31">
        <f t="shared" si="36"/>
        <v>169.92495957241263</v>
      </c>
      <c r="X134" s="31">
        <v>26.709697723388672</v>
      </c>
      <c r="Y134" s="31">
        <v>255.65147399902344</v>
      </c>
      <c r="Z134" s="32">
        <f t="shared" si="37"/>
        <v>274.89405806346605</v>
      </c>
      <c r="AA134" s="31">
        <v>30.559625625610352</v>
      </c>
      <c r="AB134" s="31">
        <v>5.4169449806213379</v>
      </c>
      <c r="AC134" s="31">
        <f t="shared" si="38"/>
        <v>0.58246720221734816</v>
      </c>
      <c r="AD134" s="31">
        <v>31.934293746948242</v>
      </c>
      <c r="AE134" s="31">
        <v>2.28092360496521</v>
      </c>
      <c r="AF134" s="32">
        <f t="shared" si="39"/>
        <v>2.4526060268443119</v>
      </c>
      <c r="AG134" s="31">
        <v>22.330385208129883</v>
      </c>
      <c r="AH134" s="31">
        <v>7881.13818359375</v>
      </c>
      <c r="AI134" s="31">
        <f t="shared" si="40"/>
        <v>847.43421328965053</v>
      </c>
      <c r="AJ134" s="31">
        <v>24.958644866943359</v>
      </c>
      <c r="AK134" s="31">
        <v>1542.483154296875</v>
      </c>
      <c r="AL134" s="32">
        <f t="shared" si="41"/>
        <v>1658.5840368783602</v>
      </c>
    </row>
    <row r="135" spans="1:38" ht="15.15" thickBot="1" x14ac:dyDescent="0.35">
      <c r="A135" s="33" t="s">
        <v>77</v>
      </c>
      <c r="B135" s="30">
        <v>44391</v>
      </c>
      <c r="C135" s="33">
        <v>950</v>
      </c>
      <c r="D135" s="23" t="s">
        <v>65</v>
      </c>
      <c r="E135" s="30">
        <v>44482</v>
      </c>
      <c r="F135" s="24">
        <v>100</v>
      </c>
      <c r="G135" s="31">
        <v>17.090671539306641</v>
      </c>
      <c r="H135" s="31">
        <v>632872.375</v>
      </c>
      <c r="I135" s="31">
        <f t="shared" si="42"/>
        <v>619889.73644612625</v>
      </c>
      <c r="J135" s="31">
        <f t="shared" si="30"/>
        <v>65251.551204855394</v>
      </c>
      <c r="K135" s="31">
        <v>19.664070129394531</v>
      </c>
      <c r="L135" s="31">
        <v>119927.3046875</v>
      </c>
      <c r="M135" s="31">
        <f t="shared" si="32"/>
        <v>106944.66613362631</v>
      </c>
      <c r="N135" s="32">
        <f t="shared" si="33"/>
        <v>112573.33277223822</v>
      </c>
      <c r="O135" s="31">
        <v>28.916664123535156</v>
      </c>
      <c r="P135" s="31">
        <v>316.8526611328125</v>
      </c>
      <c r="Q135" s="31">
        <f t="shared" si="34"/>
        <v>33.352911698190788</v>
      </c>
      <c r="R135" s="31">
        <v>31.485267639160156</v>
      </c>
      <c r="S135" s="31">
        <v>62.891597747802734</v>
      </c>
      <c r="T135" s="32">
        <f t="shared" si="35"/>
        <v>66.201681839792357</v>
      </c>
      <c r="U135" s="31">
        <v>27.068166732788086</v>
      </c>
      <c r="V135" s="31">
        <v>202.354736328125</v>
      </c>
      <c r="W135" s="31">
        <f t="shared" si="36"/>
        <v>21.300498560855264</v>
      </c>
      <c r="X135" s="31">
        <v>30.261852264404297</v>
      </c>
      <c r="Y135" s="31">
        <v>25.206626892089844</v>
      </c>
      <c r="Z135" s="32">
        <f t="shared" si="37"/>
        <v>26.533291465357731</v>
      </c>
      <c r="AA135" s="31">
        <v>30.074176788330078</v>
      </c>
      <c r="AB135" s="31">
        <v>7.3520569801330566</v>
      </c>
      <c r="AC135" s="31">
        <f t="shared" si="38"/>
        <v>0.77390073475084808</v>
      </c>
      <c r="AD135" t="s">
        <v>66</v>
      </c>
      <c r="AF135" s="32">
        <f t="shared" si="39"/>
        <v>0</v>
      </c>
      <c r="AG135" s="31">
        <v>23.6839599609375</v>
      </c>
      <c r="AH135" s="31">
        <v>3402.306884765625</v>
      </c>
      <c r="AI135" s="31">
        <f t="shared" si="40"/>
        <v>358.13756681743422</v>
      </c>
      <c r="AJ135" s="31">
        <v>28.136648178100586</v>
      </c>
      <c r="AK135" s="31">
        <v>214.6273193359375</v>
      </c>
      <c r="AL135" s="32">
        <f t="shared" si="41"/>
        <v>225.92349403782896</v>
      </c>
    </row>
    <row r="136" spans="1:38" ht="15.15" thickBot="1" x14ac:dyDescent="0.35">
      <c r="A136" s="33" t="s">
        <v>78</v>
      </c>
      <c r="B136" s="30">
        <v>44391</v>
      </c>
      <c r="C136" s="33">
        <v>1000</v>
      </c>
      <c r="D136" s="23" t="s">
        <v>65</v>
      </c>
      <c r="E136" s="30">
        <v>44482</v>
      </c>
      <c r="F136" s="24">
        <v>100</v>
      </c>
      <c r="G136" s="31">
        <v>10.91190242767334</v>
      </c>
      <c r="H136" s="31">
        <v>34340360</v>
      </c>
      <c r="I136" s="31">
        <f t="shared" si="42"/>
        <v>34327377.361446127</v>
      </c>
      <c r="J136" s="31">
        <f t="shared" si="30"/>
        <v>3432737.736144613</v>
      </c>
      <c r="K136" s="31">
        <v>13.615262031555176</v>
      </c>
      <c r="L136" s="31">
        <v>5983075</v>
      </c>
      <c r="M136" s="31">
        <f t="shared" si="32"/>
        <v>5970092.3614461264</v>
      </c>
      <c r="N136" s="32">
        <f t="shared" si="33"/>
        <v>5970092.3614461264</v>
      </c>
      <c r="O136" t="s">
        <v>66</v>
      </c>
      <c r="Q136" s="31">
        <f t="shared" si="34"/>
        <v>0</v>
      </c>
      <c r="R136" t="s">
        <v>66</v>
      </c>
      <c r="T136" s="32">
        <f t="shared" si="35"/>
        <v>0</v>
      </c>
      <c r="U136" s="31">
        <v>20.479841232299805</v>
      </c>
      <c r="V136" s="31">
        <v>14867.2373046875</v>
      </c>
      <c r="W136" s="31">
        <f t="shared" si="36"/>
        <v>1486.7237304687501</v>
      </c>
      <c r="X136" s="31">
        <v>23.160585403442383</v>
      </c>
      <c r="Y136" s="31">
        <v>2587.7373046875</v>
      </c>
      <c r="Z136" s="32">
        <f t="shared" si="37"/>
        <v>2587.7373046875</v>
      </c>
      <c r="AA136" s="31">
        <v>26.032463073730469</v>
      </c>
      <c r="AB136" s="31">
        <v>93.508934020996094</v>
      </c>
      <c r="AC136" s="31">
        <f t="shared" si="38"/>
        <v>9.3508934020996097</v>
      </c>
      <c r="AD136" s="31">
        <v>28.925014495849609</v>
      </c>
      <c r="AE136" s="31">
        <v>15.15062427520752</v>
      </c>
      <c r="AF136" s="32">
        <f t="shared" si="39"/>
        <v>15.15062427520752</v>
      </c>
      <c r="AG136" s="31">
        <v>17.278547286987305</v>
      </c>
      <c r="AH136" s="31">
        <v>181200.84375</v>
      </c>
      <c r="AI136" s="31">
        <f t="shared" si="40"/>
        <v>18120.084374999999</v>
      </c>
      <c r="AJ136" s="31">
        <v>18.362386703491211</v>
      </c>
      <c r="AK136" s="31">
        <v>92479.15625</v>
      </c>
      <c r="AL136" s="32">
        <f t="shared" si="41"/>
        <v>92479.15625</v>
      </c>
    </row>
    <row r="137" spans="1:38" ht="15.15" thickBot="1" x14ac:dyDescent="0.35">
      <c r="A137" s="33" t="s">
        <v>79</v>
      </c>
      <c r="B137" s="30">
        <v>44391</v>
      </c>
      <c r="C137" s="33">
        <v>1000</v>
      </c>
      <c r="D137" s="23" t="s">
        <v>65</v>
      </c>
      <c r="E137" s="30">
        <v>44482</v>
      </c>
      <c r="F137" s="24">
        <v>100</v>
      </c>
      <c r="G137" s="31">
        <v>15.292381286621094</v>
      </c>
      <c r="H137" s="31">
        <v>2023614.125</v>
      </c>
      <c r="I137" s="31">
        <f t="shared" si="42"/>
        <v>2010631.4864461264</v>
      </c>
      <c r="J137" s="31">
        <f t="shared" si="30"/>
        <v>201063.14864461264</v>
      </c>
      <c r="K137" s="31">
        <v>18.138467788696289</v>
      </c>
      <c r="L137" s="31">
        <v>321500.28125</v>
      </c>
      <c r="M137" s="31">
        <f t="shared" si="32"/>
        <v>308517.64269612631</v>
      </c>
      <c r="N137" s="32">
        <f t="shared" si="33"/>
        <v>308517.64269612631</v>
      </c>
      <c r="O137" t="s">
        <v>66</v>
      </c>
      <c r="Q137" s="31">
        <f t="shared" si="34"/>
        <v>0</v>
      </c>
      <c r="R137" t="s">
        <v>66</v>
      </c>
      <c r="T137" s="32">
        <f t="shared" si="35"/>
        <v>0</v>
      </c>
      <c r="U137" s="31">
        <v>29.573179244995117</v>
      </c>
      <c r="V137" s="31">
        <v>39.498317718505859</v>
      </c>
      <c r="W137" s="31">
        <f t="shared" si="36"/>
        <v>3.9498317718505858</v>
      </c>
      <c r="X137" s="31">
        <v>24.590900421142578</v>
      </c>
      <c r="Y137" s="31">
        <v>1018.0970458984375</v>
      </c>
      <c r="Z137" s="32">
        <f t="shared" si="37"/>
        <v>1018.0970458984375</v>
      </c>
      <c r="AA137" s="31">
        <v>23.546239852905273</v>
      </c>
      <c r="AB137" s="31">
        <v>446.93243408203125</v>
      </c>
      <c r="AC137" s="31">
        <f t="shared" si="38"/>
        <v>44.693243408203124</v>
      </c>
      <c r="AD137" s="31">
        <v>26.496095657348633</v>
      </c>
      <c r="AE137" s="31">
        <v>69.849006652832031</v>
      </c>
      <c r="AF137" s="32">
        <f t="shared" si="39"/>
        <v>69.849006652832031</v>
      </c>
      <c r="AG137" s="31">
        <v>17.116058349609375</v>
      </c>
      <c r="AH137" s="31">
        <v>200426.078125</v>
      </c>
      <c r="AI137" s="31">
        <f t="shared" si="40"/>
        <v>20042.607812499999</v>
      </c>
      <c r="AJ137" s="31">
        <v>20.540410995483398</v>
      </c>
      <c r="AK137" s="31">
        <v>23934.412109375</v>
      </c>
      <c r="AL137" s="32">
        <f t="shared" si="41"/>
        <v>23934.412109375</v>
      </c>
    </row>
    <row r="138" spans="1:38" ht="15.15" thickBot="1" x14ac:dyDescent="0.35">
      <c r="A138" s="33" t="s">
        <v>80</v>
      </c>
      <c r="B138" s="30">
        <v>44391</v>
      </c>
      <c r="C138" s="33">
        <v>880</v>
      </c>
      <c r="D138" s="23" t="s">
        <v>65</v>
      </c>
      <c r="E138" s="30">
        <v>44482</v>
      </c>
      <c r="F138" s="24">
        <v>100</v>
      </c>
      <c r="G138" s="31">
        <v>23.798700332641602</v>
      </c>
      <c r="H138" s="31">
        <v>8284.2841796875</v>
      </c>
      <c r="I138" s="31">
        <f t="shared" si="42"/>
        <v>-4698.3543741861977</v>
      </c>
      <c r="J138" s="31">
        <f t="shared" si="30"/>
        <v>-533.90390615752244</v>
      </c>
      <c r="K138" s="31">
        <v>25.74932861328125</v>
      </c>
      <c r="L138" s="31">
        <v>2347.899169921875</v>
      </c>
      <c r="M138" s="31">
        <f t="shared" si="32"/>
        <v>-10634.739383951823</v>
      </c>
      <c r="N138" s="32">
        <f t="shared" si="33"/>
        <v>-12084.931118127071</v>
      </c>
      <c r="O138" s="31">
        <v>37.049472808837891</v>
      </c>
      <c r="P138" s="31">
        <v>1.8937402963638306</v>
      </c>
      <c r="Q138" s="31">
        <f t="shared" si="34"/>
        <v>0.2151977609504353</v>
      </c>
      <c r="R138" s="31">
        <v>37.183952331542969</v>
      </c>
      <c r="S138" s="31">
        <v>1.7400161027908325</v>
      </c>
      <c r="T138" s="32">
        <f t="shared" si="35"/>
        <v>1.9772910258986733</v>
      </c>
      <c r="U138" t="s">
        <v>66</v>
      </c>
      <c r="W138" s="31">
        <f t="shared" si="36"/>
        <v>0</v>
      </c>
      <c r="X138" t="s">
        <v>66</v>
      </c>
      <c r="Z138" s="32">
        <f t="shared" si="37"/>
        <v>0</v>
      </c>
      <c r="AA138" s="31">
        <v>32.968055725097656</v>
      </c>
      <c r="AB138" s="31">
        <v>1.1902097463607788</v>
      </c>
      <c r="AC138" s="31">
        <f t="shared" si="38"/>
        <v>0.13525110754099759</v>
      </c>
      <c r="AD138" t="s">
        <v>66</v>
      </c>
      <c r="AF138" s="32">
        <f t="shared" si="39"/>
        <v>0</v>
      </c>
      <c r="AG138" t="s">
        <v>66</v>
      </c>
      <c r="AI138" s="31">
        <f t="shared" si="40"/>
        <v>0</v>
      </c>
      <c r="AJ138" t="s">
        <v>66</v>
      </c>
      <c r="AL138" s="32">
        <f t="shared" si="41"/>
        <v>0</v>
      </c>
    </row>
    <row r="139" spans="1:38" ht="15.15" thickBot="1" x14ac:dyDescent="0.35">
      <c r="A139" s="33" t="s">
        <v>81</v>
      </c>
      <c r="B139" s="30">
        <v>44391</v>
      </c>
      <c r="C139" s="33">
        <v>830</v>
      </c>
      <c r="D139" s="23" t="s">
        <v>65</v>
      </c>
      <c r="E139" s="30">
        <v>44482</v>
      </c>
      <c r="F139" s="24">
        <v>100</v>
      </c>
      <c r="G139" s="31">
        <v>21.997880935668945</v>
      </c>
      <c r="H139" s="31">
        <v>26532.3984375</v>
      </c>
      <c r="I139" s="31">
        <f t="shared" si="42"/>
        <v>13549.759883626302</v>
      </c>
      <c r="J139" s="31">
        <f t="shared" si="30"/>
        <v>1632.5011907983496</v>
      </c>
      <c r="K139" s="31">
        <v>25.15374755859375</v>
      </c>
      <c r="L139" s="31">
        <v>3450.400146484375</v>
      </c>
      <c r="M139" s="31">
        <f t="shared" si="32"/>
        <v>-9532.2384073893227</v>
      </c>
      <c r="N139" s="32">
        <f t="shared" si="33"/>
        <v>-11484.624587216051</v>
      </c>
      <c r="O139" s="31">
        <v>35.710433959960938</v>
      </c>
      <c r="P139" s="31">
        <v>4.3996496200561523</v>
      </c>
      <c r="Q139" s="31">
        <f t="shared" si="34"/>
        <v>0.53007826747664488</v>
      </c>
      <c r="R139" s="31">
        <v>39.208889007568359</v>
      </c>
      <c r="S139" s="31">
        <v>0.48632752895355225</v>
      </c>
      <c r="T139" s="32">
        <f t="shared" si="35"/>
        <v>0.58593678187174969</v>
      </c>
      <c r="U139" t="s">
        <v>66</v>
      </c>
      <c r="W139" s="31">
        <f t="shared" si="36"/>
        <v>0</v>
      </c>
      <c r="X139" t="s">
        <v>66</v>
      </c>
      <c r="Z139" s="32">
        <f t="shared" si="37"/>
        <v>0</v>
      </c>
      <c r="AA139" s="31">
        <v>31.322288513183594</v>
      </c>
      <c r="AB139" s="31">
        <v>3.3523404598236084</v>
      </c>
      <c r="AC139" s="31">
        <f t="shared" si="38"/>
        <v>0.40389644094260341</v>
      </c>
      <c r="AD139" t="s">
        <v>66</v>
      </c>
      <c r="AF139" s="32">
        <f t="shared" si="39"/>
        <v>0</v>
      </c>
      <c r="AG139" t="s">
        <v>66</v>
      </c>
      <c r="AI139" s="31">
        <f t="shared" si="40"/>
        <v>0</v>
      </c>
      <c r="AJ139" t="s">
        <v>66</v>
      </c>
      <c r="AL139" s="32">
        <f t="shared" si="41"/>
        <v>0</v>
      </c>
    </row>
    <row r="140" spans="1:38" ht="15.15" thickBot="1" x14ac:dyDescent="0.35">
      <c r="A140" s="33" t="s">
        <v>64</v>
      </c>
      <c r="B140" s="30">
        <v>44398</v>
      </c>
      <c r="C140" s="33">
        <v>940</v>
      </c>
      <c r="D140" s="23" t="s">
        <v>65</v>
      </c>
      <c r="E140" s="30">
        <v>44488</v>
      </c>
      <c r="F140" s="24">
        <v>100</v>
      </c>
      <c r="G140" s="31">
        <v>27.13404655456543</v>
      </c>
      <c r="H140" s="31">
        <v>895.3411865234375</v>
      </c>
      <c r="I140" s="31">
        <f t="shared" si="42"/>
        <v>-12087.29736735026</v>
      </c>
      <c r="J140" s="31">
        <f t="shared" si="30"/>
        <v>-1285.8826986542831</v>
      </c>
      <c r="K140" s="31">
        <v>29.369714736938477</v>
      </c>
      <c r="L140" s="31">
        <v>200.82649230957031</v>
      </c>
      <c r="M140" s="31">
        <f t="shared" si="32"/>
        <v>-12781.812061564127</v>
      </c>
      <c r="N140" s="32">
        <f t="shared" si="33"/>
        <v>-13597.672405919284</v>
      </c>
      <c r="O140" t="s">
        <v>66</v>
      </c>
      <c r="Q140" s="31">
        <f t="shared" si="34"/>
        <v>0</v>
      </c>
      <c r="R140" t="s">
        <v>66</v>
      </c>
      <c r="T140" s="32">
        <f t="shared" si="35"/>
        <v>0</v>
      </c>
      <c r="U140" t="s">
        <v>66</v>
      </c>
      <c r="W140" s="31">
        <f t="shared" si="36"/>
        <v>0</v>
      </c>
      <c r="X140" t="s">
        <v>66</v>
      </c>
      <c r="Z140" s="32">
        <f t="shared" si="37"/>
        <v>0</v>
      </c>
      <c r="AA140" t="s">
        <v>66</v>
      </c>
      <c r="AC140" s="31">
        <f t="shared" si="38"/>
        <v>0</v>
      </c>
      <c r="AD140" t="s">
        <v>66</v>
      </c>
      <c r="AF140" s="32">
        <f t="shared" si="39"/>
        <v>0</v>
      </c>
      <c r="AG140" t="s">
        <v>66</v>
      </c>
      <c r="AI140" s="31">
        <f t="shared" si="40"/>
        <v>0</v>
      </c>
      <c r="AJ140" t="s">
        <v>66</v>
      </c>
      <c r="AL140" s="32">
        <f t="shared" si="41"/>
        <v>0</v>
      </c>
    </row>
    <row r="141" spans="1:38" ht="15.15" thickBot="1" x14ac:dyDescent="0.35">
      <c r="A141" s="33" t="s">
        <v>67</v>
      </c>
      <c r="B141" s="30">
        <v>44398</v>
      </c>
      <c r="C141" s="33">
        <v>1000</v>
      </c>
      <c r="D141" s="23" t="s">
        <v>65</v>
      </c>
      <c r="E141" s="30">
        <v>44488</v>
      </c>
      <c r="F141" s="24">
        <v>100</v>
      </c>
      <c r="G141" s="31">
        <v>18.544818878173828</v>
      </c>
      <c r="H141" s="31">
        <v>279273.375</v>
      </c>
      <c r="I141" s="31">
        <f t="shared" si="42"/>
        <v>266290.73644612631</v>
      </c>
      <c r="J141" s="31">
        <f t="shared" si="30"/>
        <v>26629.073644612628</v>
      </c>
      <c r="K141" s="31">
        <v>21.758745193481445</v>
      </c>
      <c r="L141" s="31">
        <v>32569.166015625</v>
      </c>
      <c r="M141" s="31">
        <f t="shared" si="32"/>
        <v>19586.527461751302</v>
      </c>
      <c r="N141" s="32">
        <f t="shared" si="33"/>
        <v>19586.527461751302</v>
      </c>
      <c r="O141" s="31">
        <v>30.47541618347168</v>
      </c>
      <c r="P141" s="31">
        <v>160.17364501953125</v>
      </c>
      <c r="Q141" s="31">
        <f t="shared" si="34"/>
        <v>16.017364501953125</v>
      </c>
      <c r="R141" s="31">
        <v>33.821155548095703</v>
      </c>
      <c r="S141" s="31">
        <v>21.430379867553711</v>
      </c>
      <c r="T141" s="32">
        <f t="shared" si="35"/>
        <v>21.430379867553711</v>
      </c>
      <c r="U141" s="31">
        <v>32.208564758300781</v>
      </c>
      <c r="V141" s="31">
        <v>8.8059015274047852</v>
      </c>
      <c r="W141" s="31">
        <f t="shared" si="36"/>
        <v>0.88059015274047847</v>
      </c>
      <c r="X141" s="31">
        <v>35.358047485351563</v>
      </c>
      <c r="Y141" s="31">
        <v>1.1610032320022583</v>
      </c>
      <c r="Z141" s="32">
        <f t="shared" si="37"/>
        <v>1.1610032320022583</v>
      </c>
      <c r="AA141" s="31">
        <v>23.581392288208008</v>
      </c>
      <c r="AB141" s="31">
        <v>381.3385009765625</v>
      </c>
      <c r="AC141" s="31">
        <f t="shared" si="38"/>
        <v>38.13385009765625</v>
      </c>
      <c r="AD141" s="31">
        <v>32.32452392578125</v>
      </c>
      <c r="AE141" s="31">
        <v>1.3966372013092041</v>
      </c>
      <c r="AF141" s="32">
        <f t="shared" si="39"/>
        <v>1.3966372013092041</v>
      </c>
      <c r="AG141" s="31">
        <v>36.949672698974609</v>
      </c>
      <c r="AH141" s="31">
        <v>0.78355413675308228</v>
      </c>
      <c r="AI141" s="31">
        <f t="shared" si="40"/>
        <v>7.8355413675308225E-2</v>
      </c>
      <c r="AJ141" t="s">
        <v>66</v>
      </c>
      <c r="AL141" s="32">
        <f t="shared" si="41"/>
        <v>0</v>
      </c>
    </row>
    <row r="142" spans="1:38" ht="15.15" thickBot="1" x14ac:dyDescent="0.35">
      <c r="A142" s="33" t="s">
        <v>68</v>
      </c>
      <c r="B142" s="30">
        <v>44398</v>
      </c>
      <c r="C142" s="33">
        <v>1000</v>
      </c>
      <c r="D142" s="23" t="s">
        <v>65</v>
      </c>
      <c r="E142" s="30">
        <v>44488</v>
      </c>
      <c r="F142" s="24">
        <v>100</v>
      </c>
      <c r="G142" s="31">
        <v>15.994224548339844</v>
      </c>
      <c r="H142" s="31">
        <v>1536886.25</v>
      </c>
      <c r="I142" s="31">
        <f t="shared" si="42"/>
        <v>1523903.6114461264</v>
      </c>
      <c r="J142" s="31">
        <f t="shared" si="30"/>
        <v>152390.36114461263</v>
      </c>
      <c r="K142" s="31">
        <v>19.004423141479492</v>
      </c>
      <c r="L142" s="31">
        <v>205387.9375</v>
      </c>
      <c r="M142" s="31">
        <f t="shared" si="32"/>
        <v>192405.29894612631</v>
      </c>
      <c r="N142" s="32">
        <f t="shared" si="33"/>
        <v>192405.29894612631</v>
      </c>
      <c r="O142" s="31">
        <v>36.222499847412109</v>
      </c>
      <c r="P142" s="31">
        <v>5.0587944984436035</v>
      </c>
      <c r="Q142" s="31">
        <f t="shared" si="34"/>
        <v>0.5058794498443604</v>
      </c>
      <c r="R142" s="31">
        <v>39.023090362548828</v>
      </c>
      <c r="S142" s="31">
        <v>0.9393390417098999</v>
      </c>
      <c r="T142" s="32">
        <f t="shared" si="35"/>
        <v>0.9393390417098999</v>
      </c>
      <c r="U142" s="31">
        <v>36.825107574462891</v>
      </c>
      <c r="V142" s="31">
        <v>0.45180240273475647</v>
      </c>
      <c r="W142" s="31">
        <f t="shared" si="36"/>
        <v>4.5180240273475648E-2</v>
      </c>
      <c r="X142" s="31">
        <v>37.378124237060547</v>
      </c>
      <c r="Y142" s="31">
        <v>0.31654837727546692</v>
      </c>
      <c r="Z142" s="32">
        <f t="shared" si="37"/>
        <v>0.31654837727546692</v>
      </c>
      <c r="AA142" s="31">
        <v>30.05950927734375</v>
      </c>
      <c r="AB142" s="31">
        <v>5.9733486175537109</v>
      </c>
      <c r="AC142" s="31">
        <f t="shared" si="38"/>
        <v>0.59733486175537109</v>
      </c>
      <c r="AD142" t="s">
        <v>66</v>
      </c>
      <c r="AF142" s="32">
        <f t="shared" si="39"/>
        <v>0</v>
      </c>
      <c r="AG142" s="31">
        <v>36.89874267578125</v>
      </c>
      <c r="AH142" s="31">
        <v>0.8092033863067627</v>
      </c>
      <c r="AI142" s="31">
        <f t="shared" si="40"/>
        <v>8.092033863067627E-2</v>
      </c>
      <c r="AJ142" t="s">
        <v>66</v>
      </c>
      <c r="AL142" s="32">
        <f t="shared" si="41"/>
        <v>0</v>
      </c>
    </row>
    <row r="143" spans="1:38" ht="15.15" thickBot="1" x14ac:dyDescent="0.35">
      <c r="A143" s="33" t="s">
        <v>69</v>
      </c>
      <c r="B143" s="30">
        <v>44398</v>
      </c>
      <c r="C143" s="33">
        <v>920</v>
      </c>
      <c r="D143" s="23" t="s">
        <v>65</v>
      </c>
      <c r="E143" s="30">
        <v>44488</v>
      </c>
      <c r="F143" s="24">
        <v>100</v>
      </c>
      <c r="G143" s="31">
        <v>24.318143844604492</v>
      </c>
      <c r="H143" s="31">
        <v>5883.52978515625</v>
      </c>
      <c r="I143" s="31">
        <f t="shared" si="42"/>
        <v>-7099.1087687174477</v>
      </c>
      <c r="J143" s="31">
        <f t="shared" si="30"/>
        <v>-771.64225746928776</v>
      </c>
      <c r="K143" s="31">
        <v>27.587541580200195</v>
      </c>
      <c r="L143" s="31">
        <v>661.16204833984375</v>
      </c>
      <c r="M143" s="31">
        <f t="shared" si="32"/>
        <v>-12321.476505533854</v>
      </c>
      <c r="N143" s="32">
        <f t="shared" si="33"/>
        <v>-13392.909245145493</v>
      </c>
      <c r="O143" t="s">
        <v>66</v>
      </c>
      <c r="Q143" s="31">
        <f t="shared" si="34"/>
        <v>0</v>
      </c>
      <c r="R143" t="s">
        <v>66</v>
      </c>
      <c r="T143" s="32">
        <f t="shared" si="35"/>
        <v>0</v>
      </c>
      <c r="U143" t="s">
        <v>66</v>
      </c>
      <c r="W143" s="31">
        <f t="shared" si="36"/>
        <v>0</v>
      </c>
      <c r="X143" t="s">
        <v>66</v>
      </c>
      <c r="Z143" s="32">
        <f t="shared" si="37"/>
        <v>0</v>
      </c>
      <c r="AA143" s="31">
        <v>35.97247314453125</v>
      </c>
      <c r="AB143" s="31">
        <v>0.13446275889873505</v>
      </c>
      <c r="AC143" s="31">
        <f t="shared" si="38"/>
        <v>1.4615517271601635E-2</v>
      </c>
      <c r="AD143" s="31">
        <v>34.298351287841797</v>
      </c>
      <c r="AE143" s="31">
        <v>0.3936290442943573</v>
      </c>
      <c r="AF143" s="32">
        <f t="shared" si="39"/>
        <v>0.42785765684169269</v>
      </c>
      <c r="AG143" t="s">
        <v>66</v>
      </c>
      <c r="AI143" s="31">
        <f t="shared" si="40"/>
        <v>0</v>
      </c>
      <c r="AJ143" t="s">
        <v>66</v>
      </c>
      <c r="AL143" s="32">
        <f t="shared" si="41"/>
        <v>0</v>
      </c>
    </row>
    <row r="144" spans="1:38" ht="15.15" thickBot="1" x14ac:dyDescent="0.35">
      <c r="A144" s="33" t="s">
        <v>70</v>
      </c>
      <c r="B144" s="30">
        <v>44398</v>
      </c>
      <c r="C144" s="33">
        <v>900</v>
      </c>
      <c r="D144" s="23" t="s">
        <v>65</v>
      </c>
      <c r="E144" s="30">
        <v>44488</v>
      </c>
      <c r="F144" s="24">
        <v>100</v>
      </c>
      <c r="G144" s="31">
        <v>21.4141845703125</v>
      </c>
      <c r="H144" s="31">
        <v>41006.828125</v>
      </c>
      <c r="I144" s="31">
        <f t="shared" si="42"/>
        <v>28024.189571126302</v>
      </c>
      <c r="J144" s="31">
        <f t="shared" si="30"/>
        <v>3113.7988412362561</v>
      </c>
      <c r="K144" s="31">
        <v>23.568086624145508</v>
      </c>
      <c r="L144" s="31">
        <v>9714.734375</v>
      </c>
      <c r="M144" s="31">
        <f t="shared" si="32"/>
        <v>-3267.9041788736977</v>
      </c>
      <c r="N144" s="32">
        <f t="shared" si="33"/>
        <v>-3631.0046431929977</v>
      </c>
      <c r="O144" s="31">
        <v>35.920578002929688</v>
      </c>
      <c r="P144" s="31">
        <v>6.0656561851501465</v>
      </c>
      <c r="Q144" s="31">
        <f t="shared" si="34"/>
        <v>0.67396179835001624</v>
      </c>
      <c r="R144" s="31">
        <v>38.990707397460938</v>
      </c>
      <c r="S144" s="31">
        <v>0.95780575275421143</v>
      </c>
      <c r="T144" s="32">
        <f t="shared" si="35"/>
        <v>1.064228614171346</v>
      </c>
      <c r="U144" s="31">
        <v>35.444805145263672</v>
      </c>
      <c r="V144" s="31">
        <v>1.0979790687561035</v>
      </c>
      <c r="W144" s="31">
        <f t="shared" si="36"/>
        <v>0.12199767430623372</v>
      </c>
      <c r="X144" t="s">
        <v>66</v>
      </c>
      <c r="Z144" s="32">
        <f t="shared" si="37"/>
        <v>0</v>
      </c>
      <c r="AA144" s="31">
        <v>30.135541915893555</v>
      </c>
      <c r="AB144" s="31">
        <v>5.6889457702636719</v>
      </c>
      <c r="AC144" s="31">
        <f t="shared" si="38"/>
        <v>0.63210508558485246</v>
      </c>
      <c r="AD144" t="s">
        <v>66</v>
      </c>
      <c r="AF144" s="32">
        <f t="shared" si="39"/>
        <v>0</v>
      </c>
      <c r="AG144" t="s">
        <v>66</v>
      </c>
      <c r="AI144" s="31">
        <f t="shared" si="40"/>
        <v>0</v>
      </c>
      <c r="AJ144" t="s">
        <v>66</v>
      </c>
      <c r="AL144" s="32">
        <f t="shared" si="41"/>
        <v>0</v>
      </c>
    </row>
    <row r="145" spans="1:38" ht="15.15" thickBot="1" x14ac:dyDescent="0.35">
      <c r="A145" s="33" t="s">
        <v>71</v>
      </c>
      <c r="B145" s="30">
        <v>44398</v>
      </c>
      <c r="C145" s="33">
        <v>1000</v>
      </c>
      <c r="D145" s="23" t="s">
        <v>65</v>
      </c>
      <c r="E145" s="30">
        <v>44488</v>
      </c>
      <c r="F145" s="24">
        <v>100</v>
      </c>
      <c r="G145" s="31">
        <v>20.784616470336914</v>
      </c>
      <c r="H145" s="31">
        <v>62468.765625</v>
      </c>
      <c r="I145" s="31">
        <f t="shared" si="42"/>
        <v>49486.127071126306</v>
      </c>
      <c r="J145" s="31">
        <f t="shared" si="30"/>
        <v>4948.6127071126311</v>
      </c>
      <c r="K145" s="31">
        <v>23.875251770019531</v>
      </c>
      <c r="L145" s="31">
        <v>7911.154296875</v>
      </c>
      <c r="M145" s="31">
        <f t="shared" si="32"/>
        <v>-5071.4842569986977</v>
      </c>
      <c r="N145" s="32">
        <f t="shared" si="33"/>
        <v>-5071.4842569986977</v>
      </c>
      <c r="O145" s="31">
        <v>37.364780426025391</v>
      </c>
      <c r="P145" s="31">
        <v>2.5456662178039551</v>
      </c>
      <c r="Q145" s="31">
        <f t="shared" si="34"/>
        <v>0.25456662178039552</v>
      </c>
      <c r="R145" s="31">
        <v>39.601654052734375</v>
      </c>
      <c r="S145" s="31">
        <v>0.66337841749191284</v>
      </c>
      <c r="T145" s="32">
        <f t="shared" si="35"/>
        <v>0.66337841749191284</v>
      </c>
      <c r="U145" s="31">
        <v>34.388984680175781</v>
      </c>
      <c r="V145" s="31">
        <v>2.1656181812286377</v>
      </c>
      <c r="W145" s="31">
        <f t="shared" si="36"/>
        <v>0.21656181812286376</v>
      </c>
      <c r="X145" s="31">
        <v>37.336696624755859</v>
      </c>
      <c r="Y145" s="31">
        <v>0.32509824633598328</v>
      </c>
      <c r="Z145" s="32">
        <f t="shared" si="37"/>
        <v>0.32509824633598328</v>
      </c>
      <c r="AA145" s="31">
        <v>30.712188720703125</v>
      </c>
      <c r="AB145" s="31">
        <v>3.9296350479125977</v>
      </c>
      <c r="AC145" s="31">
        <f t="shared" si="38"/>
        <v>0.39296350479125974</v>
      </c>
      <c r="AD145" t="s">
        <v>66</v>
      </c>
      <c r="AF145" s="32">
        <f t="shared" si="39"/>
        <v>0</v>
      </c>
      <c r="AG145" t="s">
        <v>66</v>
      </c>
      <c r="AI145" s="31">
        <f t="shared" si="40"/>
        <v>0</v>
      </c>
      <c r="AJ145" t="s">
        <v>66</v>
      </c>
      <c r="AL145" s="32">
        <f t="shared" si="41"/>
        <v>0</v>
      </c>
    </row>
    <row r="146" spans="1:38" ht="15.15" thickBot="1" x14ac:dyDescent="0.35">
      <c r="A146" s="33" t="s">
        <v>72</v>
      </c>
      <c r="B146" s="30">
        <v>44398</v>
      </c>
      <c r="C146" s="33">
        <v>900</v>
      </c>
      <c r="D146" s="23" t="s">
        <v>65</v>
      </c>
      <c r="E146" s="30">
        <v>44488</v>
      </c>
      <c r="F146" s="24">
        <v>100</v>
      </c>
      <c r="G146" s="31">
        <v>13.850231170654297</v>
      </c>
      <c r="H146" s="31">
        <v>6444509</v>
      </c>
      <c r="I146" s="31">
        <f t="shared" si="42"/>
        <v>6431526.3614461264</v>
      </c>
      <c r="J146" s="31">
        <f t="shared" si="30"/>
        <v>714614.04016068077</v>
      </c>
      <c r="K146" s="31">
        <v>16.747295379638672</v>
      </c>
      <c r="L146" s="31">
        <v>928910.125</v>
      </c>
      <c r="M146" s="31">
        <f t="shared" si="32"/>
        <v>915927.48644612625</v>
      </c>
      <c r="N146" s="32">
        <f t="shared" si="33"/>
        <v>1017697.2071623625</v>
      </c>
      <c r="O146" t="s">
        <v>66</v>
      </c>
      <c r="Q146" s="31">
        <f t="shared" si="34"/>
        <v>0</v>
      </c>
      <c r="R146" t="s">
        <v>66</v>
      </c>
      <c r="T146" s="32">
        <f t="shared" si="35"/>
        <v>0</v>
      </c>
      <c r="U146" s="31">
        <v>26.774473190307617</v>
      </c>
      <c r="V146" s="31">
        <v>290.41281127929688</v>
      </c>
      <c r="W146" s="31">
        <f t="shared" si="36"/>
        <v>32.268090142144096</v>
      </c>
      <c r="X146" s="31">
        <v>30.097238540649414</v>
      </c>
      <c r="Y146" s="31">
        <v>34.250080108642578</v>
      </c>
      <c r="Z146" s="32">
        <f t="shared" si="37"/>
        <v>38.055644565158417</v>
      </c>
      <c r="AA146" s="31">
        <v>15.974944114685059</v>
      </c>
      <c r="AB146" s="31">
        <v>50211.9296875</v>
      </c>
      <c r="AC146" s="31">
        <f t="shared" si="38"/>
        <v>5579.1032986111113</v>
      </c>
      <c r="AD146" s="31">
        <v>19.043380737304688</v>
      </c>
      <c r="AE146" s="31">
        <v>7011.37841796875</v>
      </c>
      <c r="AF146" s="32">
        <f t="shared" si="39"/>
        <v>7790.4204644097226</v>
      </c>
      <c r="AG146" t="s">
        <v>66</v>
      </c>
      <c r="AI146" s="31">
        <f t="shared" si="40"/>
        <v>0</v>
      </c>
      <c r="AJ146" s="31">
        <v>38.663307189941406</v>
      </c>
      <c r="AK146" s="31">
        <v>0.26509025692939758</v>
      </c>
      <c r="AL146" s="32">
        <f t="shared" si="41"/>
        <v>0.29454472992155289</v>
      </c>
    </row>
    <row r="147" spans="1:38" ht="15.15" thickBot="1" x14ac:dyDescent="0.35">
      <c r="A147" s="33" t="s">
        <v>73</v>
      </c>
      <c r="B147" s="30">
        <v>44398</v>
      </c>
      <c r="C147" s="33">
        <v>950</v>
      </c>
      <c r="D147" s="23" t="s">
        <v>65</v>
      </c>
      <c r="E147" s="30">
        <v>44488</v>
      </c>
      <c r="F147" s="24">
        <v>100</v>
      </c>
      <c r="G147" s="31">
        <v>18.021642684936523</v>
      </c>
      <c r="H147" s="31">
        <v>396226.40625</v>
      </c>
      <c r="I147" s="31">
        <f t="shared" si="42"/>
        <v>383243.76769612631</v>
      </c>
      <c r="J147" s="31">
        <f t="shared" si="30"/>
        <v>40341.449231171195</v>
      </c>
      <c r="K147" s="31">
        <v>20.499776840209961</v>
      </c>
      <c r="L147" s="31">
        <v>75573.8203125</v>
      </c>
      <c r="M147" s="31">
        <f t="shared" si="32"/>
        <v>62591.181758626306</v>
      </c>
      <c r="N147" s="32">
        <f t="shared" si="33"/>
        <v>65885.45448276453</v>
      </c>
      <c r="O147" s="31">
        <v>36.177207946777344</v>
      </c>
      <c r="P147" s="31">
        <v>5.1984348297119141</v>
      </c>
      <c r="Q147" s="31">
        <f t="shared" si="34"/>
        <v>0.54720366628546468</v>
      </c>
      <c r="R147" s="31">
        <v>38.824214935302734</v>
      </c>
      <c r="S147" s="31">
        <v>1.0586394071578979</v>
      </c>
      <c r="T147" s="32">
        <f t="shared" si="35"/>
        <v>1.1143572706925242</v>
      </c>
      <c r="U147" s="31">
        <v>29.289083480834961</v>
      </c>
      <c r="V147" s="31">
        <v>57.604137420654297</v>
      </c>
      <c r="W147" s="31">
        <f t="shared" si="36"/>
        <v>6.0635934127004525</v>
      </c>
      <c r="X147" s="31">
        <v>32.064388275146484</v>
      </c>
      <c r="Y147" s="31">
        <v>9.6617460250854492</v>
      </c>
      <c r="Z147" s="32">
        <f t="shared" si="37"/>
        <v>10.170258973774157</v>
      </c>
      <c r="AA147" s="31">
        <v>31.173727035522461</v>
      </c>
      <c r="AB147" s="31">
        <v>2.9224495887756348</v>
      </c>
      <c r="AC147" s="31">
        <f t="shared" si="38"/>
        <v>0.30762627250269842</v>
      </c>
      <c r="AD147" t="s">
        <v>66</v>
      </c>
      <c r="AF147" s="32">
        <f t="shared" si="39"/>
        <v>0</v>
      </c>
      <c r="AG147" t="s">
        <v>66</v>
      </c>
      <c r="AI147" s="31">
        <f t="shared" si="40"/>
        <v>0</v>
      </c>
      <c r="AJ147" t="s">
        <v>66</v>
      </c>
      <c r="AL147" s="32">
        <f t="shared" si="41"/>
        <v>0</v>
      </c>
    </row>
    <row r="148" spans="1:38" ht="15.15" thickBot="1" x14ac:dyDescent="0.35">
      <c r="A148" s="33" t="s">
        <v>74</v>
      </c>
      <c r="B148" s="30">
        <v>44398</v>
      </c>
      <c r="C148" s="33">
        <v>960</v>
      </c>
      <c r="D148" s="23" t="s">
        <v>65</v>
      </c>
      <c r="E148" s="30">
        <v>44488</v>
      </c>
      <c r="F148" s="24">
        <v>100</v>
      </c>
      <c r="G148" s="31">
        <v>22.922767639160156</v>
      </c>
      <c r="H148" s="31">
        <v>14955.8544921875</v>
      </c>
      <c r="I148" s="31">
        <f t="shared" si="42"/>
        <v>1973.2159383138023</v>
      </c>
      <c r="J148" s="31">
        <f t="shared" si="30"/>
        <v>205.54332690768777</v>
      </c>
      <c r="K148" s="31">
        <v>26.018707275390625</v>
      </c>
      <c r="L148" s="31">
        <v>1887.3304443359375</v>
      </c>
      <c r="M148" s="31">
        <f t="shared" ref="M148:M163" si="43">L148-$H$242</f>
        <v>-11095.30810953776</v>
      </c>
      <c r="N148" s="32">
        <f t="shared" si="33"/>
        <v>-11557.612614101834</v>
      </c>
      <c r="O148" s="31">
        <v>36.291912078857422</v>
      </c>
      <c r="P148" s="31">
        <v>4.8520331382751465</v>
      </c>
      <c r="Q148" s="31">
        <f t="shared" si="34"/>
        <v>0.50542011857032776</v>
      </c>
      <c r="R148" s="31">
        <v>39.181045532226563</v>
      </c>
      <c r="S148" s="31">
        <v>0.85424178838729858</v>
      </c>
      <c r="T148" s="32">
        <f t="shared" si="35"/>
        <v>0.88983519623676932</v>
      </c>
      <c r="U148" t="s">
        <v>66</v>
      </c>
      <c r="W148" s="31">
        <f t="shared" si="36"/>
        <v>0</v>
      </c>
      <c r="X148" s="31">
        <v>38.659431457519531</v>
      </c>
      <c r="Y148" s="31">
        <v>0.13882032036781311</v>
      </c>
      <c r="Z148" s="32">
        <f t="shared" si="37"/>
        <v>0.14460450038313866</v>
      </c>
      <c r="AA148" s="31">
        <v>30.622674942016602</v>
      </c>
      <c r="AB148" s="31">
        <v>4.1619300842285156</v>
      </c>
      <c r="AC148" s="31">
        <f t="shared" si="38"/>
        <v>0.43353438377380371</v>
      </c>
      <c r="AD148" t="s">
        <v>66</v>
      </c>
      <c r="AF148" s="32">
        <f t="shared" si="39"/>
        <v>0</v>
      </c>
      <c r="AG148" t="s">
        <v>66</v>
      </c>
      <c r="AI148" s="31">
        <f t="shared" si="40"/>
        <v>0</v>
      </c>
      <c r="AJ148" t="s">
        <v>66</v>
      </c>
      <c r="AL148" s="32">
        <f t="shared" si="41"/>
        <v>0</v>
      </c>
    </row>
    <row r="149" spans="1:38" ht="15.15" thickBot="1" x14ac:dyDescent="0.35">
      <c r="A149" s="33" t="s">
        <v>75</v>
      </c>
      <c r="B149" s="30">
        <v>44398</v>
      </c>
      <c r="C149" s="33">
        <v>1000</v>
      </c>
      <c r="D149" s="23" t="s">
        <v>65</v>
      </c>
      <c r="E149" s="30">
        <v>44488</v>
      </c>
      <c r="F149" s="24">
        <v>100</v>
      </c>
      <c r="G149" s="31">
        <v>23.217313766479492</v>
      </c>
      <c r="H149" s="31">
        <v>12282.4306640625</v>
      </c>
      <c r="I149" s="31">
        <f t="shared" si="42"/>
        <v>-700.20788981119767</v>
      </c>
      <c r="J149" s="31">
        <f t="shared" si="30"/>
        <v>-70.020788981119765</v>
      </c>
      <c r="K149" s="31">
        <v>26.650684356689453</v>
      </c>
      <c r="L149" s="31">
        <v>1236.9202880859375</v>
      </c>
      <c r="M149" s="31">
        <f t="shared" si="43"/>
        <v>-11745.71826578776</v>
      </c>
      <c r="N149" s="32">
        <f t="shared" si="33"/>
        <v>-11745.71826578776</v>
      </c>
      <c r="O149" s="31">
        <v>36.543548583984375</v>
      </c>
      <c r="P149" s="31">
        <v>4.1708283424377441</v>
      </c>
      <c r="Q149" s="31">
        <f t="shared" si="34"/>
        <v>0.4170828342437744</v>
      </c>
      <c r="R149" s="31">
        <v>39.227321624755859</v>
      </c>
      <c r="S149" s="31">
        <v>0.83080339431762695</v>
      </c>
      <c r="T149" s="32">
        <f t="shared" si="35"/>
        <v>0.83080339431762695</v>
      </c>
      <c r="U149" t="s">
        <v>66</v>
      </c>
      <c r="W149" s="31">
        <f t="shared" si="36"/>
        <v>0</v>
      </c>
      <c r="X149" t="s">
        <v>66</v>
      </c>
      <c r="Z149" s="32">
        <f t="shared" si="37"/>
        <v>0</v>
      </c>
      <c r="AA149" s="31">
        <v>30.703668594360352</v>
      </c>
      <c r="AB149" s="31">
        <v>3.9511754512786865</v>
      </c>
      <c r="AC149" s="31">
        <f t="shared" si="38"/>
        <v>0.39511754512786867</v>
      </c>
      <c r="AD149" s="31">
        <v>34.891929626464844</v>
      </c>
      <c r="AE149" s="31">
        <v>0.26896125078201294</v>
      </c>
      <c r="AF149" s="32">
        <f t="shared" si="39"/>
        <v>0.26896125078201294</v>
      </c>
      <c r="AG149" t="s">
        <v>66</v>
      </c>
      <c r="AI149" s="31">
        <f t="shared" si="40"/>
        <v>0</v>
      </c>
      <c r="AJ149" t="s">
        <v>66</v>
      </c>
      <c r="AL149" s="32">
        <f t="shared" si="41"/>
        <v>0</v>
      </c>
    </row>
    <row r="150" spans="1:38" ht="15.15" thickBot="1" x14ac:dyDescent="0.35">
      <c r="A150" s="33" t="s">
        <v>76</v>
      </c>
      <c r="B150" s="30">
        <v>44398</v>
      </c>
      <c r="C150" s="33">
        <v>920</v>
      </c>
      <c r="D150" s="23" t="s">
        <v>65</v>
      </c>
      <c r="E150" s="30">
        <v>44488</v>
      </c>
      <c r="F150" s="24">
        <v>100</v>
      </c>
      <c r="G150" s="31">
        <v>17.631204605102539</v>
      </c>
      <c r="H150" s="31">
        <v>514415.8125</v>
      </c>
      <c r="I150" s="31">
        <f t="shared" si="42"/>
        <v>501433.17394612631</v>
      </c>
      <c r="J150" s="31">
        <f t="shared" si="30"/>
        <v>54503.605863709381</v>
      </c>
      <c r="K150" s="31">
        <v>20.565334320068359</v>
      </c>
      <c r="L150" s="31">
        <v>72332.84375</v>
      </c>
      <c r="M150" s="31">
        <f t="shared" si="43"/>
        <v>59350.205196126306</v>
      </c>
      <c r="N150" s="32">
        <f t="shared" si="33"/>
        <v>64511.092604485115</v>
      </c>
      <c r="O150" s="31">
        <v>28.695131301879883</v>
      </c>
      <c r="P150" s="31">
        <v>467.10812377929688</v>
      </c>
      <c r="Q150" s="31">
        <f t="shared" si="34"/>
        <v>50.772622149923571</v>
      </c>
      <c r="R150" s="31">
        <v>31.403945922851563</v>
      </c>
      <c r="S150" s="31">
        <v>91.654777526855469</v>
      </c>
      <c r="T150" s="32">
        <f t="shared" si="35"/>
        <v>99.624758181364641</v>
      </c>
      <c r="U150" s="31">
        <v>24.808078765869141</v>
      </c>
      <c r="V150" s="31">
        <v>1028.989013671875</v>
      </c>
      <c r="W150" s="31">
        <f t="shared" si="36"/>
        <v>111.84663192085598</v>
      </c>
      <c r="X150" s="31">
        <v>28.030811309814453</v>
      </c>
      <c r="Y150" s="31">
        <v>129.42105102539063</v>
      </c>
      <c r="Z150" s="32">
        <f t="shared" si="37"/>
        <v>140.67505546238112</v>
      </c>
      <c r="AA150" s="31">
        <v>30.434289932250977</v>
      </c>
      <c r="AB150" s="31">
        <v>4.6966395378112793</v>
      </c>
      <c r="AC150" s="31">
        <f t="shared" si="38"/>
        <v>0.5105042975881825</v>
      </c>
      <c r="AD150" s="31">
        <v>32.6070556640625</v>
      </c>
      <c r="AE150" s="31">
        <v>1.1650850772857666</v>
      </c>
      <c r="AF150" s="32">
        <f t="shared" si="39"/>
        <v>1.2663968231367029</v>
      </c>
      <c r="AG150" s="31">
        <v>23.234725952148438</v>
      </c>
      <c r="AH150" s="31">
        <v>4582.30078125</v>
      </c>
      <c r="AI150" s="31">
        <f t="shared" si="40"/>
        <v>498.076171875</v>
      </c>
      <c r="AJ150" s="31">
        <v>27.680614471435547</v>
      </c>
      <c r="AK150" s="31">
        <v>275.39373779296875</v>
      </c>
      <c r="AL150" s="32">
        <f t="shared" si="41"/>
        <v>299.34101934018344</v>
      </c>
    </row>
    <row r="151" spans="1:38" ht="15.15" thickBot="1" x14ac:dyDescent="0.35">
      <c r="A151" s="33" t="s">
        <v>77</v>
      </c>
      <c r="B151" s="30">
        <v>44398</v>
      </c>
      <c r="C151" s="33">
        <v>1000</v>
      </c>
      <c r="D151" s="23" t="s">
        <v>65</v>
      </c>
      <c r="E151" s="30">
        <v>44488</v>
      </c>
      <c r="F151" s="24">
        <v>100</v>
      </c>
      <c r="G151" s="31">
        <v>18.797031402587891</v>
      </c>
      <c r="H151" s="31">
        <v>235936.40625</v>
      </c>
      <c r="I151" s="31">
        <f t="shared" si="42"/>
        <v>222953.76769612631</v>
      </c>
      <c r="J151" s="31">
        <f t="shared" si="30"/>
        <v>22295.376769612631</v>
      </c>
      <c r="K151" s="31">
        <v>22.109725952148438</v>
      </c>
      <c r="L151" s="31">
        <v>25756.859375</v>
      </c>
      <c r="M151" s="31">
        <f t="shared" si="43"/>
        <v>12774.220821126302</v>
      </c>
      <c r="N151" s="32">
        <f t="shared" si="33"/>
        <v>12774.220821126302</v>
      </c>
      <c r="O151" s="31">
        <v>30.776063919067383</v>
      </c>
      <c r="P151" s="31">
        <v>133.68817138671875</v>
      </c>
      <c r="Q151" s="31">
        <f t="shared" si="34"/>
        <v>13.368817138671876</v>
      </c>
      <c r="R151" s="31">
        <v>34.012332916259766</v>
      </c>
      <c r="S151" s="31">
        <v>19.103551864624023</v>
      </c>
      <c r="T151" s="32">
        <f t="shared" si="35"/>
        <v>19.103551864624023</v>
      </c>
      <c r="U151" s="31">
        <v>25.978961944580078</v>
      </c>
      <c r="V151" s="31">
        <v>484.4793701171875</v>
      </c>
      <c r="W151" s="31">
        <f t="shared" si="36"/>
        <v>48.44793701171875</v>
      </c>
      <c r="X151" s="31">
        <v>29.541238784790039</v>
      </c>
      <c r="Y151" s="31">
        <v>48.978275299072266</v>
      </c>
      <c r="Z151" s="32">
        <f t="shared" si="37"/>
        <v>48.978275299072266</v>
      </c>
      <c r="AA151" s="31">
        <v>30.617507934570313</v>
      </c>
      <c r="AB151" s="31">
        <v>4.1757502555847168</v>
      </c>
      <c r="AC151" s="31">
        <f t="shared" si="38"/>
        <v>0.4175750255584717</v>
      </c>
      <c r="AD151" t="s">
        <v>66</v>
      </c>
      <c r="AF151" s="32">
        <f t="shared" si="39"/>
        <v>0</v>
      </c>
      <c r="AG151" s="31">
        <v>25.630243301391602</v>
      </c>
      <c r="AH151" s="31">
        <v>1007.207763671875</v>
      </c>
      <c r="AI151" s="31">
        <f t="shared" si="40"/>
        <v>100.7207763671875</v>
      </c>
      <c r="AJ151" s="31">
        <v>29.810756683349609</v>
      </c>
      <c r="AK151" s="31">
        <v>71.594345092773438</v>
      </c>
      <c r="AL151" s="32">
        <f t="shared" si="41"/>
        <v>71.594345092773438</v>
      </c>
    </row>
    <row r="152" spans="1:38" ht="15.15" thickBot="1" x14ac:dyDescent="0.35">
      <c r="A152" s="33" t="s">
        <v>78</v>
      </c>
      <c r="B152" s="30">
        <v>44398</v>
      </c>
      <c r="C152" s="33">
        <v>910</v>
      </c>
      <c r="D152" s="23" t="s">
        <v>65</v>
      </c>
      <c r="E152" s="30">
        <v>44488</v>
      </c>
      <c r="F152" s="24">
        <v>100</v>
      </c>
      <c r="G152" s="31">
        <v>15.613798141479492</v>
      </c>
      <c r="H152" s="31">
        <v>1982008.75</v>
      </c>
      <c r="I152" s="31">
        <f t="shared" si="42"/>
        <v>1969026.1114461264</v>
      </c>
      <c r="J152" s="31">
        <f t="shared" si="30"/>
        <v>216376.49576331058</v>
      </c>
      <c r="K152" s="31">
        <v>18.963981628417969</v>
      </c>
      <c r="L152" s="31">
        <v>211017.21875</v>
      </c>
      <c r="M152" s="31">
        <f t="shared" si="43"/>
        <v>198034.58019612631</v>
      </c>
      <c r="N152" s="32">
        <f t="shared" si="33"/>
        <v>217620.41779794102</v>
      </c>
      <c r="O152" s="31">
        <v>37.019184112548828</v>
      </c>
      <c r="P152" s="31">
        <v>3.1335418224334717</v>
      </c>
      <c r="Q152" s="31">
        <f t="shared" si="34"/>
        <v>0.34434525521246939</v>
      </c>
      <c r="R152" s="31">
        <v>39.854606628417969</v>
      </c>
      <c r="S152" s="31">
        <v>0.56979191303253174</v>
      </c>
      <c r="T152" s="32">
        <f t="shared" si="35"/>
        <v>0.62614495937640846</v>
      </c>
      <c r="U152" s="31">
        <v>26.785161972045898</v>
      </c>
      <c r="V152" s="31">
        <v>288.42269897460938</v>
      </c>
      <c r="W152" s="31">
        <f t="shared" si="36"/>
        <v>31.694802085121911</v>
      </c>
      <c r="X152" s="31">
        <v>29.690948486328125</v>
      </c>
      <c r="Y152" s="31">
        <v>44.481128692626953</v>
      </c>
      <c r="Z152" s="32">
        <f t="shared" si="37"/>
        <v>48.880361200688959</v>
      </c>
      <c r="AA152" s="31">
        <v>30.97490119934082</v>
      </c>
      <c r="AB152" s="31">
        <v>3.3200819492340088</v>
      </c>
      <c r="AC152" s="31">
        <f t="shared" si="38"/>
        <v>0.36484417024549548</v>
      </c>
      <c r="AD152" t="s">
        <v>66</v>
      </c>
      <c r="AF152" s="32">
        <f t="shared" si="39"/>
        <v>0</v>
      </c>
      <c r="AG152" s="31">
        <v>36.969406127929688</v>
      </c>
      <c r="AH152" s="31">
        <v>0.77383601665496826</v>
      </c>
      <c r="AI152" s="31">
        <f t="shared" si="40"/>
        <v>8.5036924907139363E-2</v>
      </c>
      <c r="AJ152" t="s">
        <v>66</v>
      </c>
      <c r="AL152" s="32">
        <f t="shared" si="41"/>
        <v>0</v>
      </c>
    </row>
    <row r="153" spans="1:38" ht="15.15" thickBot="1" x14ac:dyDescent="0.35">
      <c r="A153" s="33" t="s">
        <v>79</v>
      </c>
      <c r="B153" s="30">
        <v>44398</v>
      </c>
      <c r="C153" s="33">
        <v>990</v>
      </c>
      <c r="D153" s="23" t="s">
        <v>65</v>
      </c>
      <c r="E153" s="30">
        <v>44488</v>
      </c>
      <c r="F153" s="24">
        <v>100</v>
      </c>
      <c r="G153" s="31">
        <v>15.437471389770508</v>
      </c>
      <c r="H153" s="31">
        <v>2230002.25</v>
      </c>
      <c r="I153" s="31">
        <f t="shared" si="42"/>
        <v>2217019.6114461264</v>
      </c>
      <c r="J153" s="31">
        <f t="shared" si="30"/>
        <v>223941.37489354811</v>
      </c>
      <c r="K153" s="31">
        <v>18.172719955444336</v>
      </c>
      <c r="L153" s="31">
        <v>358158.5625</v>
      </c>
      <c r="M153" s="31">
        <f t="shared" si="43"/>
        <v>345175.92394612631</v>
      </c>
      <c r="N153" s="32">
        <f t="shared" si="33"/>
        <v>348662.54944053158</v>
      </c>
      <c r="O153" s="31">
        <v>36.937946319580078</v>
      </c>
      <c r="P153" s="31">
        <v>3.2903826236724854</v>
      </c>
      <c r="Q153" s="31">
        <f t="shared" si="34"/>
        <v>0.33236188117903892</v>
      </c>
      <c r="R153" t="s">
        <v>66</v>
      </c>
      <c r="T153" s="32">
        <f t="shared" si="35"/>
        <v>0</v>
      </c>
      <c r="U153" s="31">
        <v>27.00065803527832</v>
      </c>
      <c r="V153" s="31">
        <v>251.08544921875</v>
      </c>
      <c r="W153" s="31">
        <f t="shared" si="36"/>
        <v>25.362166587752526</v>
      </c>
      <c r="X153" s="31">
        <v>30.318517684936523</v>
      </c>
      <c r="Y153" s="31">
        <v>29.705574035644531</v>
      </c>
      <c r="Z153" s="32">
        <f t="shared" si="37"/>
        <v>30.00563033903488</v>
      </c>
      <c r="AA153" s="31">
        <v>28.263824462890625</v>
      </c>
      <c r="AB153" s="31">
        <v>18.904964447021484</v>
      </c>
      <c r="AC153" s="31">
        <f t="shared" si="38"/>
        <v>1.9095923683860085</v>
      </c>
      <c r="AD153" s="31">
        <v>31.734594345092773</v>
      </c>
      <c r="AE153" s="31">
        <v>2.0392212867736816</v>
      </c>
      <c r="AF153" s="32">
        <f t="shared" si="39"/>
        <v>2.0598194815895776</v>
      </c>
      <c r="AG153" t="s">
        <v>66</v>
      </c>
      <c r="AI153" s="31">
        <f t="shared" si="40"/>
        <v>0</v>
      </c>
      <c r="AJ153" t="s">
        <v>66</v>
      </c>
      <c r="AL153" s="32">
        <f t="shared" si="41"/>
        <v>0</v>
      </c>
    </row>
    <row r="154" spans="1:38" ht="15.15" thickBot="1" x14ac:dyDescent="0.35">
      <c r="A154" s="33" t="s">
        <v>80</v>
      </c>
      <c r="B154" s="30">
        <v>44398</v>
      </c>
      <c r="C154" s="33">
        <v>875</v>
      </c>
      <c r="D154" s="23" t="s">
        <v>65</v>
      </c>
      <c r="E154" s="30">
        <v>44488</v>
      </c>
      <c r="F154" s="24">
        <v>100</v>
      </c>
      <c r="G154" s="31">
        <v>21.147346496582031</v>
      </c>
      <c r="H154" s="31">
        <v>49015.96484375</v>
      </c>
      <c r="I154" s="31">
        <f t="shared" si="42"/>
        <v>36033.326289876306</v>
      </c>
      <c r="J154" s="31">
        <f t="shared" si="30"/>
        <v>4118.094433128721</v>
      </c>
      <c r="K154" s="31">
        <v>24.170646667480469</v>
      </c>
      <c r="L154" s="31">
        <v>6493.3154296875</v>
      </c>
      <c r="M154" s="31">
        <f t="shared" si="43"/>
        <v>-6489.3231241861977</v>
      </c>
      <c r="N154" s="32">
        <f t="shared" si="33"/>
        <v>-7416.3692847842258</v>
      </c>
      <c r="O154" t="s">
        <v>66</v>
      </c>
      <c r="Q154" s="31">
        <f t="shared" si="34"/>
        <v>0</v>
      </c>
      <c r="R154" t="s">
        <v>66</v>
      </c>
      <c r="T154" s="32">
        <f t="shared" si="35"/>
        <v>0</v>
      </c>
      <c r="U154" t="s">
        <v>66</v>
      </c>
      <c r="W154" s="31">
        <f t="shared" si="36"/>
        <v>0</v>
      </c>
      <c r="X154" t="s">
        <v>66</v>
      </c>
      <c r="Z154" s="32">
        <f t="shared" si="37"/>
        <v>0</v>
      </c>
      <c r="AA154" s="31">
        <v>24.41816520690918</v>
      </c>
      <c r="AB154" s="31">
        <v>222.91964721679688</v>
      </c>
      <c r="AC154" s="31">
        <f t="shared" si="38"/>
        <v>25.47653111049107</v>
      </c>
      <c r="AD154" s="31">
        <v>27.684137344360352</v>
      </c>
      <c r="AE154" s="31">
        <v>27.422220230102539</v>
      </c>
      <c r="AF154" s="32">
        <f t="shared" si="39"/>
        <v>31.33968026297433</v>
      </c>
      <c r="AG154" t="s">
        <v>66</v>
      </c>
      <c r="AI154" s="31">
        <f t="shared" si="40"/>
        <v>0</v>
      </c>
      <c r="AJ154" s="31">
        <v>39.059902191162109</v>
      </c>
      <c r="AK154" s="31">
        <v>0.20628280937671661</v>
      </c>
      <c r="AL154" s="32">
        <f t="shared" si="41"/>
        <v>0.23575178214481898</v>
      </c>
    </row>
    <row r="155" spans="1:38" s="44" customFormat="1" ht="15.15" thickBot="1" x14ac:dyDescent="0.35">
      <c r="A155" s="38" t="s">
        <v>81</v>
      </c>
      <c r="B155" s="39">
        <v>44398</v>
      </c>
      <c r="C155" s="38">
        <v>1000</v>
      </c>
      <c r="D155" s="40" t="s">
        <v>65</v>
      </c>
      <c r="E155" s="39">
        <v>44488</v>
      </c>
      <c r="F155" s="41">
        <v>100</v>
      </c>
      <c r="G155" s="31">
        <v>25.696525573730469</v>
      </c>
      <c r="H155" s="31">
        <v>2340.98876953125</v>
      </c>
      <c r="I155" s="31">
        <f t="shared" si="42"/>
        <v>-10641.649784342448</v>
      </c>
      <c r="J155" s="31">
        <f t="shared" si="30"/>
        <v>-1064.1649784342449</v>
      </c>
      <c r="K155" s="31">
        <v>28.4205322265625</v>
      </c>
      <c r="L155" s="31">
        <v>378.8206787109375</v>
      </c>
      <c r="M155" s="31">
        <f t="shared" si="43"/>
        <v>-12603.81787516276</v>
      </c>
      <c r="N155" s="32">
        <f t="shared" si="33"/>
        <v>-12603.81787516276</v>
      </c>
      <c r="O155" s="45">
        <v>39.685085296630859</v>
      </c>
      <c r="P155" s="42">
        <v>0.63092499971389771</v>
      </c>
      <c r="Q155" s="42">
        <f t="shared" si="34"/>
        <v>6.3092499971389771E-2</v>
      </c>
      <c r="R155" s="44" t="s">
        <v>66</v>
      </c>
      <c r="T155" s="43">
        <f t="shared" si="35"/>
        <v>0</v>
      </c>
      <c r="U155" t="s">
        <v>66</v>
      </c>
      <c r="W155" s="31">
        <f t="shared" si="36"/>
        <v>0</v>
      </c>
      <c r="X155" t="s">
        <v>66</v>
      </c>
      <c r="Y155"/>
      <c r="Z155" s="32">
        <f t="shared" si="37"/>
        <v>0</v>
      </c>
      <c r="AA155" t="s">
        <v>66</v>
      </c>
      <c r="AB155"/>
      <c r="AC155" s="31">
        <f t="shared" si="38"/>
        <v>0</v>
      </c>
      <c r="AD155" t="s">
        <v>66</v>
      </c>
      <c r="AE155"/>
      <c r="AF155" s="32">
        <f t="shared" si="39"/>
        <v>0</v>
      </c>
      <c r="AG155" s="31">
        <v>39.654727935791016</v>
      </c>
      <c r="AH155" s="31">
        <v>0.14160718023777008</v>
      </c>
      <c r="AI155" s="31">
        <f t="shared" si="40"/>
        <v>1.4160718023777007E-2</v>
      </c>
      <c r="AJ155" t="s">
        <v>66</v>
      </c>
      <c r="AK155"/>
      <c r="AL155" s="32">
        <f t="shared" si="41"/>
        <v>0</v>
      </c>
    </row>
    <row r="156" spans="1:38" ht="15.15" thickBot="1" x14ac:dyDescent="0.35">
      <c r="A156" s="29" t="s">
        <v>64</v>
      </c>
      <c r="B156" s="30">
        <v>44405</v>
      </c>
      <c r="C156" s="29">
        <v>920</v>
      </c>
      <c r="D156" s="23" t="s">
        <v>65</v>
      </c>
      <c r="E156" s="30">
        <v>44489</v>
      </c>
      <c r="F156" s="24">
        <v>100</v>
      </c>
      <c r="G156" s="31">
        <v>17.974996566772461</v>
      </c>
      <c r="H156" s="31">
        <v>408778.4375</v>
      </c>
      <c r="I156" s="31">
        <f t="shared" si="42"/>
        <v>395795.79894612631</v>
      </c>
      <c r="J156" s="31">
        <f t="shared" si="30"/>
        <v>43021.282494144165</v>
      </c>
      <c r="K156" s="31">
        <v>20.982244491577148</v>
      </c>
      <c r="L156" s="31">
        <v>54736.62109375</v>
      </c>
      <c r="M156" s="31">
        <f t="shared" si="43"/>
        <v>41753.982539876306</v>
      </c>
      <c r="N156" s="32">
        <f t="shared" si="33"/>
        <v>45384.763630300331</v>
      </c>
      <c r="O156" s="31">
        <v>28.264232635498047</v>
      </c>
      <c r="P156" s="31">
        <v>605.234375</v>
      </c>
      <c r="Q156" s="31">
        <f t="shared" si="34"/>
        <v>65.786345108695656</v>
      </c>
      <c r="R156" s="31">
        <v>31.538711547851563</v>
      </c>
      <c r="S156" s="31">
        <v>84.521705627441406</v>
      </c>
      <c r="T156" s="32">
        <f t="shared" si="35"/>
        <v>91.871419160262391</v>
      </c>
      <c r="U156" s="31">
        <v>31.637613296508789</v>
      </c>
      <c r="V156" s="31">
        <v>12.714320182800293</v>
      </c>
      <c r="W156" s="31">
        <f t="shared" si="36"/>
        <v>1.3819913242174231</v>
      </c>
      <c r="X156" s="31">
        <v>36.388774871826172</v>
      </c>
      <c r="Y156" s="31">
        <v>0.598213791847229</v>
      </c>
      <c r="Z156" s="32">
        <f t="shared" si="37"/>
        <v>0.65023238244264026</v>
      </c>
      <c r="AA156" s="31">
        <v>27.355587005615234</v>
      </c>
      <c r="AB156" s="31">
        <v>33.857227325439453</v>
      </c>
      <c r="AC156" s="31">
        <f t="shared" si="38"/>
        <v>3.6801334049390708</v>
      </c>
      <c r="AD156" s="31">
        <v>31.213302612304688</v>
      </c>
      <c r="AE156" s="31">
        <v>2.8491775989532471</v>
      </c>
      <c r="AF156" s="32">
        <f t="shared" si="39"/>
        <v>3.0969321727752686</v>
      </c>
      <c r="AG156" s="31">
        <v>36.201206207275391</v>
      </c>
      <c r="AH156" s="31">
        <v>1.2579010725021362</v>
      </c>
      <c r="AI156" s="31">
        <f t="shared" si="40"/>
        <v>0.13672837744588437</v>
      </c>
      <c r="AJ156" s="31">
        <v>35.269817352294922</v>
      </c>
      <c r="AK156" s="31">
        <v>2.2670772075653076</v>
      </c>
      <c r="AL156" s="32">
        <f t="shared" si="41"/>
        <v>2.4642143560492475</v>
      </c>
    </row>
    <row r="157" spans="1:38" ht="15.15" thickBot="1" x14ac:dyDescent="0.35">
      <c r="A157" s="33" t="s">
        <v>67</v>
      </c>
      <c r="B157" s="30">
        <v>44405</v>
      </c>
      <c r="C157" s="33">
        <v>910</v>
      </c>
      <c r="D157" s="23" t="s">
        <v>65</v>
      </c>
      <c r="E157" s="30">
        <v>44489</v>
      </c>
      <c r="F157" s="24">
        <v>100</v>
      </c>
      <c r="G157" s="31">
        <v>19.729202270507813</v>
      </c>
      <c r="H157" s="31">
        <v>126509.1484375</v>
      </c>
      <c r="I157" s="31">
        <f t="shared" si="42"/>
        <v>113526.50988362631</v>
      </c>
      <c r="J157" s="31">
        <f t="shared" si="30"/>
        <v>12475.440646552341</v>
      </c>
      <c r="K157" s="31">
        <v>22.737783432006836</v>
      </c>
      <c r="L157" s="31">
        <v>16924.849609375</v>
      </c>
      <c r="M157" s="31">
        <f t="shared" si="43"/>
        <v>3942.2110555013023</v>
      </c>
      <c r="N157" s="32">
        <f t="shared" si="33"/>
        <v>4332.1000609904422</v>
      </c>
      <c r="O157" s="31">
        <v>29.684398651123047</v>
      </c>
      <c r="P157" s="31">
        <v>257.70513916015625</v>
      </c>
      <c r="Q157" s="31">
        <f t="shared" si="34"/>
        <v>28.319246061555631</v>
      </c>
      <c r="R157" s="31">
        <v>32.563339233398438</v>
      </c>
      <c r="S157" s="31">
        <v>45.650070190429688</v>
      </c>
      <c r="T157" s="32">
        <f t="shared" si="35"/>
        <v>50.164912297175484</v>
      </c>
      <c r="U157" s="31">
        <v>33.478824615478516</v>
      </c>
      <c r="V157" s="31">
        <v>3.8893170356750488</v>
      </c>
      <c r="W157" s="31">
        <f t="shared" si="36"/>
        <v>0.42739747644780757</v>
      </c>
      <c r="X157" s="31">
        <v>36.096004486083984</v>
      </c>
      <c r="Y157" s="31">
        <v>0.72219443321228027</v>
      </c>
      <c r="Z157" s="32">
        <f t="shared" si="37"/>
        <v>0.7936202562772311</v>
      </c>
      <c r="AA157" s="31">
        <v>30.731819152832031</v>
      </c>
      <c r="AB157" s="31">
        <v>3.8804519176483154</v>
      </c>
      <c r="AC157" s="31">
        <f t="shared" si="38"/>
        <v>0.42642328765366105</v>
      </c>
      <c r="AD157" s="31">
        <v>33.030261993408203</v>
      </c>
      <c r="AE157" s="31">
        <v>0.8880419135093689</v>
      </c>
      <c r="AF157" s="32">
        <f t="shared" si="39"/>
        <v>0.97587023462568012</v>
      </c>
      <c r="AG157" s="31">
        <v>37.531112670898438</v>
      </c>
      <c r="AH157" s="31">
        <v>0.54246020317077637</v>
      </c>
      <c r="AI157" s="31">
        <f t="shared" si="40"/>
        <v>5.961101133744795E-2</v>
      </c>
      <c r="AJ157" t="s">
        <v>66</v>
      </c>
      <c r="AL157" s="32">
        <f t="shared" si="41"/>
        <v>0</v>
      </c>
    </row>
    <row r="158" spans="1:38" ht="15.15" thickBot="1" x14ac:dyDescent="0.35">
      <c r="A158" s="33" t="s">
        <v>68</v>
      </c>
      <c r="B158" s="30">
        <v>44405</v>
      </c>
      <c r="C158" s="33">
        <v>980</v>
      </c>
      <c r="D158" s="23" t="s">
        <v>65</v>
      </c>
      <c r="E158" s="30">
        <v>44489</v>
      </c>
      <c r="F158" s="24">
        <v>100</v>
      </c>
      <c r="G158" s="31">
        <v>11.518232345581055</v>
      </c>
      <c r="H158" s="31">
        <v>30642822</v>
      </c>
      <c r="I158" s="31">
        <f t="shared" si="42"/>
        <v>30629839.361446127</v>
      </c>
      <c r="J158" s="31">
        <f t="shared" si="30"/>
        <v>3125493.812392462</v>
      </c>
      <c r="K158" s="31">
        <v>14.016977310180664</v>
      </c>
      <c r="L158" s="31">
        <v>5764637.5</v>
      </c>
      <c r="M158" s="31">
        <f t="shared" si="43"/>
        <v>5751654.8614461264</v>
      </c>
      <c r="N158" s="32">
        <f t="shared" si="33"/>
        <v>5869035.5729042105</v>
      </c>
      <c r="O158" s="31">
        <v>29.599777221679688</v>
      </c>
      <c r="P158" s="31">
        <v>271.15487670898438</v>
      </c>
      <c r="Q158" s="31">
        <f t="shared" si="34"/>
        <v>27.668864970304529</v>
      </c>
      <c r="R158" s="31">
        <v>33.113933563232422</v>
      </c>
      <c r="S158" s="31">
        <v>32.785598754882813</v>
      </c>
      <c r="T158" s="32">
        <f t="shared" si="35"/>
        <v>33.454692607023276</v>
      </c>
      <c r="U158" s="31">
        <v>33.169239044189453</v>
      </c>
      <c r="V158" s="31">
        <v>4.7464518547058105</v>
      </c>
      <c r="W158" s="31">
        <f t="shared" si="36"/>
        <v>0.48433182190875618</v>
      </c>
      <c r="X158" s="31">
        <v>38.341762542724609</v>
      </c>
      <c r="Y158" s="31">
        <v>0.17029708623886108</v>
      </c>
      <c r="Z158" s="32">
        <f t="shared" si="37"/>
        <v>0.17377253697842968</v>
      </c>
      <c r="AA158" s="31">
        <v>30.370616912841797</v>
      </c>
      <c r="AB158" s="31">
        <v>4.8924837112426758</v>
      </c>
      <c r="AC158" s="31">
        <f t="shared" si="38"/>
        <v>0.49923303175945671</v>
      </c>
      <c r="AD158" t="s">
        <v>66</v>
      </c>
      <c r="AF158" s="32">
        <f t="shared" si="39"/>
        <v>0</v>
      </c>
      <c r="AG158" s="31">
        <v>35.217975616455078</v>
      </c>
      <c r="AH158" s="31">
        <v>2.3426394462585449</v>
      </c>
      <c r="AI158" s="31">
        <f t="shared" si="40"/>
        <v>0.23904484145495355</v>
      </c>
      <c r="AJ158" t="s">
        <v>66</v>
      </c>
      <c r="AL158" s="32">
        <f t="shared" si="41"/>
        <v>0</v>
      </c>
    </row>
    <row r="159" spans="1:38" ht="15.15" thickBot="1" x14ac:dyDescent="0.35">
      <c r="A159" s="33" t="s">
        <v>69</v>
      </c>
      <c r="B159" s="30">
        <v>44405</v>
      </c>
      <c r="C159" s="33">
        <v>950</v>
      </c>
      <c r="D159" s="23" t="s">
        <v>65</v>
      </c>
      <c r="E159" s="30">
        <v>44489</v>
      </c>
      <c r="F159" s="24">
        <v>100</v>
      </c>
      <c r="G159" s="31">
        <v>15.417634010314941</v>
      </c>
      <c r="H159" s="31">
        <v>2259776.25</v>
      </c>
      <c r="I159" s="31">
        <f t="shared" si="42"/>
        <v>2246793.6114461264</v>
      </c>
      <c r="J159" s="31">
        <f t="shared" si="30"/>
        <v>236504.59067853962</v>
      </c>
      <c r="K159" s="31">
        <v>17.775650024414063</v>
      </c>
      <c r="L159" s="31">
        <v>467059.1875</v>
      </c>
      <c r="M159" s="31">
        <f t="shared" si="43"/>
        <v>454076.54894612631</v>
      </c>
      <c r="N159" s="32">
        <f t="shared" si="33"/>
        <v>477975.31468013296</v>
      </c>
      <c r="O159" s="31">
        <v>30.311229705810547</v>
      </c>
      <c r="P159" s="31">
        <v>176.790771484375</v>
      </c>
      <c r="Q159" s="31">
        <f t="shared" si="34"/>
        <v>18.609554893092106</v>
      </c>
      <c r="R159" s="31">
        <v>33.761325836181641</v>
      </c>
      <c r="S159" s="31">
        <v>22.215250015258789</v>
      </c>
      <c r="T159" s="32">
        <f t="shared" si="35"/>
        <v>23.384473700272409</v>
      </c>
      <c r="U159" s="31">
        <v>32.919212341308594</v>
      </c>
      <c r="V159" s="31">
        <v>5.5747394561767578</v>
      </c>
      <c r="W159" s="31">
        <f t="shared" si="36"/>
        <v>0.5868146795975534</v>
      </c>
      <c r="X159" s="31">
        <v>35.809711456298828</v>
      </c>
      <c r="Y159" s="31">
        <v>0.86824464797973633</v>
      </c>
      <c r="Z159" s="32">
        <f t="shared" si="37"/>
        <v>0.91394173471551188</v>
      </c>
      <c r="AA159" s="31">
        <v>29.945928573608398</v>
      </c>
      <c r="AB159" s="31">
        <v>6.4249024391174316</v>
      </c>
      <c r="AC159" s="31">
        <f t="shared" si="38"/>
        <v>0.67630551990709808</v>
      </c>
      <c r="AD159" s="31">
        <v>33.216773986816406</v>
      </c>
      <c r="AE159" s="31">
        <v>0.78788512945175171</v>
      </c>
      <c r="AF159" s="32">
        <f t="shared" si="39"/>
        <v>0.82935276784394918</v>
      </c>
      <c r="AG159" t="s">
        <v>66</v>
      </c>
      <c r="AI159" s="31">
        <f t="shared" si="40"/>
        <v>0</v>
      </c>
      <c r="AJ159" t="s">
        <v>66</v>
      </c>
      <c r="AL159" s="32">
        <f t="shared" si="41"/>
        <v>0</v>
      </c>
    </row>
    <row r="160" spans="1:38" ht="15.15" thickBot="1" x14ac:dyDescent="0.35">
      <c r="A160" s="33" t="s">
        <v>70</v>
      </c>
      <c r="B160" s="30">
        <v>44405</v>
      </c>
      <c r="C160" s="33">
        <v>940</v>
      </c>
      <c r="D160" s="23" t="s">
        <v>65</v>
      </c>
      <c r="E160" s="30">
        <v>44489</v>
      </c>
      <c r="F160" s="24">
        <v>100</v>
      </c>
      <c r="G160" s="31">
        <v>21.371309280395508</v>
      </c>
      <c r="H160" s="31">
        <v>42199.35546875</v>
      </c>
      <c r="I160" s="31">
        <f t="shared" si="42"/>
        <v>29216.716914876302</v>
      </c>
      <c r="J160" s="31">
        <f t="shared" ref="J160:J223" si="44">(I160*$F160)/$C160</f>
        <v>3108.1613739230111</v>
      </c>
      <c r="K160" s="31">
        <v>24.564243316650391</v>
      </c>
      <c r="L160" s="31">
        <v>4990.89501953125</v>
      </c>
      <c r="M160" s="31">
        <f t="shared" si="43"/>
        <v>-7991.7435343424477</v>
      </c>
      <c r="N160" s="32">
        <f t="shared" si="33"/>
        <v>-8501.8548237685609</v>
      </c>
      <c r="O160" s="31">
        <v>36.334987640380859</v>
      </c>
      <c r="P160" s="31">
        <v>4.7279934883117676</v>
      </c>
      <c r="Q160" s="31">
        <f t="shared" si="34"/>
        <v>0.50297803067146463</v>
      </c>
      <c r="R160" s="31">
        <v>39.219959259033203</v>
      </c>
      <c r="S160" s="31">
        <v>0.83448886871337891</v>
      </c>
      <c r="T160" s="32">
        <f t="shared" si="35"/>
        <v>0.88775411565253071</v>
      </c>
      <c r="U160" s="31">
        <v>34.146427154541016</v>
      </c>
      <c r="V160" s="31">
        <v>2.5313401222229004</v>
      </c>
      <c r="W160" s="31">
        <f t="shared" si="36"/>
        <v>0.26929150236413835</v>
      </c>
      <c r="X160" t="s">
        <v>66</v>
      </c>
      <c r="Z160" s="32">
        <f t="shared" si="37"/>
        <v>0</v>
      </c>
      <c r="AA160" s="31">
        <v>31.422845840454102</v>
      </c>
      <c r="AB160" s="31">
        <v>2.4907572269439697</v>
      </c>
      <c r="AC160" s="31">
        <f t="shared" si="38"/>
        <v>0.26497417307914573</v>
      </c>
      <c r="AD160" t="s">
        <v>66</v>
      </c>
      <c r="AF160" s="32">
        <f t="shared" si="39"/>
        <v>0</v>
      </c>
      <c r="AG160" t="s">
        <v>66</v>
      </c>
      <c r="AI160" s="31">
        <f t="shared" si="40"/>
        <v>0</v>
      </c>
      <c r="AJ160" t="s">
        <v>66</v>
      </c>
      <c r="AL160" s="32">
        <f t="shared" si="41"/>
        <v>0</v>
      </c>
    </row>
    <row r="161" spans="1:38" ht="15.15" thickBot="1" x14ac:dyDescent="0.35">
      <c r="A161" s="33" t="s">
        <v>71</v>
      </c>
      <c r="B161" s="30">
        <v>44405</v>
      </c>
      <c r="C161" s="33">
        <v>1000</v>
      </c>
      <c r="D161" s="23" t="s">
        <v>65</v>
      </c>
      <c r="E161" s="30">
        <v>44489</v>
      </c>
      <c r="F161" s="24">
        <v>100</v>
      </c>
      <c r="G161" s="31">
        <v>19.733930587768555</v>
      </c>
      <c r="H161" s="31">
        <v>126109.84375</v>
      </c>
      <c r="I161" s="31">
        <f t="shared" si="42"/>
        <v>113127.20519612631</v>
      </c>
      <c r="J161" s="31">
        <f t="shared" si="44"/>
        <v>11312.720519612631</v>
      </c>
      <c r="K161" s="31">
        <v>23.404430389404297</v>
      </c>
      <c r="L161" s="31">
        <v>10838.0595703125</v>
      </c>
      <c r="M161" s="31">
        <f t="shared" si="43"/>
        <v>-2144.5789835611977</v>
      </c>
      <c r="N161" s="32">
        <f t="shared" si="33"/>
        <v>-2144.5789835611977</v>
      </c>
      <c r="O161" s="31">
        <v>36.772205352783203</v>
      </c>
      <c r="P161" s="31">
        <v>3.6351370811462402</v>
      </c>
      <c r="Q161" s="31">
        <f t="shared" si="34"/>
        <v>0.36351370811462402</v>
      </c>
      <c r="R161" s="31">
        <v>39.856990814208984</v>
      </c>
      <c r="S161" s="31">
        <v>0.56897580623626709</v>
      </c>
      <c r="T161" s="32">
        <f t="shared" si="35"/>
        <v>0.56897580623626709</v>
      </c>
      <c r="U161" s="31">
        <v>34.856571197509766</v>
      </c>
      <c r="V161" s="31">
        <v>1.6030310392379761</v>
      </c>
      <c r="W161" s="31">
        <f t="shared" si="36"/>
        <v>0.1603031039237976</v>
      </c>
      <c r="X161" t="s">
        <v>66</v>
      </c>
      <c r="Z161" s="32">
        <f t="shared" si="37"/>
        <v>0</v>
      </c>
      <c r="AA161" s="31">
        <v>31.055057525634766</v>
      </c>
      <c r="AB161" s="31">
        <v>3.153651237487793</v>
      </c>
      <c r="AC161" s="31">
        <f t="shared" si="38"/>
        <v>0.31536512374877929</v>
      </c>
      <c r="AD161" s="31">
        <v>33.534427642822266</v>
      </c>
      <c r="AE161" s="31">
        <v>0.64261430501937866</v>
      </c>
      <c r="AF161" s="32">
        <f t="shared" si="39"/>
        <v>0.64261430501937866</v>
      </c>
      <c r="AG161" t="s">
        <v>66</v>
      </c>
      <c r="AI161" s="31">
        <f t="shared" si="40"/>
        <v>0</v>
      </c>
      <c r="AJ161" t="s">
        <v>66</v>
      </c>
      <c r="AL161" s="32">
        <f t="shared" si="41"/>
        <v>0</v>
      </c>
    </row>
    <row r="162" spans="1:38" ht="15.15" thickBot="1" x14ac:dyDescent="0.35">
      <c r="A162" s="33" t="s">
        <v>72</v>
      </c>
      <c r="B162" s="30">
        <v>44405</v>
      </c>
      <c r="C162" s="33">
        <v>940</v>
      </c>
      <c r="D162" s="23" t="s">
        <v>65</v>
      </c>
      <c r="E162" s="30">
        <v>44489</v>
      </c>
      <c r="F162" s="24">
        <v>100</v>
      </c>
      <c r="G162" s="31">
        <v>17.111537933349609</v>
      </c>
      <c r="H162" s="31">
        <v>728130.375</v>
      </c>
      <c r="I162" s="31">
        <f t="shared" si="42"/>
        <v>715147.73644612625</v>
      </c>
      <c r="J162" s="31">
        <f t="shared" si="44"/>
        <v>76079.546430438961</v>
      </c>
      <c r="K162" s="31">
        <v>20.153596878051758</v>
      </c>
      <c r="L162" s="31">
        <v>95255.734375</v>
      </c>
      <c r="M162" s="31">
        <f t="shared" si="43"/>
        <v>82273.095821126306</v>
      </c>
      <c r="N162" s="32">
        <f t="shared" si="33"/>
        <v>87524.5700224748</v>
      </c>
      <c r="O162" s="31">
        <v>29.574050903320313</v>
      </c>
      <c r="P162" s="31">
        <v>275.38131713867188</v>
      </c>
      <c r="Q162" s="31">
        <f t="shared" si="34"/>
        <v>29.295884801986368</v>
      </c>
      <c r="R162" s="31">
        <v>32.373714447021484</v>
      </c>
      <c r="S162" s="31">
        <v>51.162509918212891</v>
      </c>
      <c r="T162" s="32">
        <f t="shared" si="35"/>
        <v>54.42820204065201</v>
      </c>
      <c r="U162" s="31">
        <v>29.185979843139648</v>
      </c>
      <c r="V162" s="31">
        <v>61.554527282714844</v>
      </c>
      <c r="W162" s="31">
        <f t="shared" si="36"/>
        <v>6.5483539662462595</v>
      </c>
      <c r="X162" s="31">
        <v>32.107551574707031</v>
      </c>
      <c r="Y162" s="31">
        <v>9.3971490859985352</v>
      </c>
      <c r="Z162" s="32">
        <f t="shared" si="37"/>
        <v>9.9969671127643984</v>
      </c>
      <c r="AA162" s="31">
        <v>30.645502090454102</v>
      </c>
      <c r="AB162" s="31">
        <v>4.1014184951782227</v>
      </c>
      <c r="AC162" s="31">
        <f t="shared" si="38"/>
        <v>0.43632111650832156</v>
      </c>
      <c r="AD162" t="s">
        <v>66</v>
      </c>
      <c r="AF162" s="32">
        <f t="shared" si="39"/>
        <v>0</v>
      </c>
      <c r="AG162" s="31">
        <v>37.150825500488281</v>
      </c>
      <c r="AH162" s="31">
        <v>0.68995285034179688</v>
      </c>
      <c r="AI162" s="31">
        <f t="shared" si="40"/>
        <v>7.3399239398063504E-2</v>
      </c>
      <c r="AJ162" t="s">
        <v>66</v>
      </c>
      <c r="AL162" s="32">
        <f t="shared" si="41"/>
        <v>0</v>
      </c>
    </row>
    <row r="163" spans="1:38" ht="15.15" thickBot="1" x14ac:dyDescent="0.35">
      <c r="A163" s="33" t="s">
        <v>73</v>
      </c>
      <c r="B163" s="30">
        <v>44405</v>
      </c>
      <c r="C163" s="33">
        <v>970</v>
      </c>
      <c r="D163" s="23" t="s">
        <v>65</v>
      </c>
      <c r="E163" s="30">
        <v>44489</v>
      </c>
      <c r="F163" s="24">
        <v>100</v>
      </c>
      <c r="G163" s="31">
        <v>16.426897048950195</v>
      </c>
      <c r="H163" s="31">
        <v>1150819.625</v>
      </c>
      <c r="I163" s="31">
        <f t="shared" si="42"/>
        <v>1137836.9864461264</v>
      </c>
      <c r="J163" s="31">
        <f t="shared" si="44"/>
        <v>117302.78210784808</v>
      </c>
      <c r="K163" s="31">
        <v>19.022478103637695</v>
      </c>
      <c r="L163" s="31">
        <v>202923.5</v>
      </c>
      <c r="M163" s="31">
        <f t="shared" si="43"/>
        <v>189940.86144612631</v>
      </c>
      <c r="N163" s="32">
        <f t="shared" si="33"/>
        <v>195815.32107848075</v>
      </c>
      <c r="O163" s="31">
        <v>30.779417037963867</v>
      </c>
      <c r="P163" s="31">
        <v>133.4189453125</v>
      </c>
      <c r="Q163" s="31">
        <f t="shared" si="34"/>
        <v>13.75453044458763</v>
      </c>
      <c r="R163" s="31">
        <v>34.7354736328125</v>
      </c>
      <c r="S163" s="31">
        <v>12.368144035339355</v>
      </c>
      <c r="T163" s="32">
        <f t="shared" si="35"/>
        <v>12.750663953958098</v>
      </c>
      <c r="U163" s="31">
        <v>30.886144638061523</v>
      </c>
      <c r="V163" s="31">
        <v>20.618045806884766</v>
      </c>
      <c r="W163" s="31">
        <f t="shared" si="36"/>
        <v>2.1255717326685324</v>
      </c>
      <c r="X163" s="31">
        <v>34.576854705810547</v>
      </c>
      <c r="Y163" s="31">
        <v>1.9190773963928223</v>
      </c>
      <c r="Z163" s="32">
        <f t="shared" si="37"/>
        <v>1.9784303055596106</v>
      </c>
      <c r="AA163" s="31">
        <v>30.712400436401367</v>
      </c>
      <c r="AB163" s="31">
        <v>3.9291014671325684</v>
      </c>
      <c r="AC163" s="31">
        <f t="shared" si="38"/>
        <v>0.40506200692088334</v>
      </c>
      <c r="AD163" t="s">
        <v>66</v>
      </c>
      <c r="AF163" s="32">
        <f t="shared" si="39"/>
        <v>0</v>
      </c>
      <c r="AG163" s="31">
        <v>34.651805877685547</v>
      </c>
      <c r="AH163" s="31">
        <v>3.3512930870056152</v>
      </c>
      <c r="AI163" s="31">
        <f t="shared" si="40"/>
        <v>0.34549413268099127</v>
      </c>
      <c r="AJ163" s="31">
        <v>35.383739471435547</v>
      </c>
      <c r="AK163" s="31">
        <v>2.1094825267791748</v>
      </c>
      <c r="AL163" s="32">
        <f t="shared" si="41"/>
        <v>2.1747242544115206</v>
      </c>
    </row>
    <row r="164" spans="1:38" ht="15.15" thickBot="1" x14ac:dyDescent="0.35">
      <c r="A164" s="33" t="s">
        <v>74</v>
      </c>
      <c r="B164" s="30">
        <v>44405</v>
      </c>
      <c r="C164" s="33">
        <v>900</v>
      </c>
      <c r="D164" s="23" t="s">
        <v>65</v>
      </c>
      <c r="E164" s="30">
        <v>44489</v>
      </c>
      <c r="F164" s="24">
        <v>100</v>
      </c>
      <c r="G164" t="s">
        <v>66</v>
      </c>
      <c r="I164" s="31"/>
      <c r="J164" s="31"/>
      <c r="K164" s="34" t="s">
        <v>66</v>
      </c>
      <c r="M164" s="31"/>
      <c r="N164" s="32"/>
      <c r="O164" t="s">
        <v>66</v>
      </c>
      <c r="Q164" s="31">
        <f t="shared" si="34"/>
        <v>0</v>
      </c>
      <c r="R164" t="s">
        <v>66</v>
      </c>
      <c r="T164" s="32">
        <f t="shared" si="35"/>
        <v>0</v>
      </c>
      <c r="U164" s="31">
        <v>36.980148315429688</v>
      </c>
      <c r="V164" s="31">
        <v>0.40891343355178833</v>
      </c>
      <c r="W164" s="31">
        <f t="shared" si="36"/>
        <v>4.5434825950198703E-2</v>
      </c>
      <c r="X164" t="s">
        <v>66</v>
      </c>
      <c r="Z164" s="32">
        <f t="shared" si="37"/>
        <v>0</v>
      </c>
      <c r="AA164" t="s">
        <v>66</v>
      </c>
      <c r="AC164" s="31">
        <f t="shared" si="38"/>
        <v>0</v>
      </c>
      <c r="AD164" t="s">
        <v>66</v>
      </c>
      <c r="AF164" s="32">
        <f t="shared" si="39"/>
        <v>0</v>
      </c>
      <c r="AG164" t="s">
        <v>66</v>
      </c>
      <c r="AI164" s="31">
        <f t="shared" si="40"/>
        <v>0</v>
      </c>
      <c r="AJ164" t="s">
        <v>66</v>
      </c>
      <c r="AL164" s="32">
        <f t="shared" si="41"/>
        <v>0</v>
      </c>
    </row>
    <row r="165" spans="1:38" ht="15.15" thickBot="1" x14ac:dyDescent="0.35">
      <c r="A165" s="33" t="s">
        <v>75</v>
      </c>
      <c r="B165" s="30">
        <v>44405</v>
      </c>
      <c r="C165" s="33">
        <v>900</v>
      </c>
      <c r="D165" s="23" t="s">
        <v>65</v>
      </c>
      <c r="E165" s="30">
        <v>44489</v>
      </c>
      <c r="F165" s="24">
        <v>100</v>
      </c>
      <c r="G165" s="31">
        <v>19.936922073364258</v>
      </c>
      <c r="H165" s="31">
        <v>110104.8984375</v>
      </c>
      <c r="I165" s="31">
        <f t="shared" ref="I165:I186" si="45">H165-$H$242</f>
        <v>97122.259883626306</v>
      </c>
      <c r="J165" s="31">
        <f t="shared" si="44"/>
        <v>10791.362209291812</v>
      </c>
      <c r="K165" s="31">
        <v>22.372194290161133</v>
      </c>
      <c r="L165" s="31">
        <v>21611.2734375</v>
      </c>
      <c r="M165" s="31">
        <f t="shared" ref="M165:M186" si="46">L165-$H$242</f>
        <v>8628.6348836263023</v>
      </c>
      <c r="N165" s="32">
        <f t="shared" si="33"/>
        <v>9587.3720929181145</v>
      </c>
      <c r="O165" s="31">
        <v>31.612625122070313</v>
      </c>
      <c r="P165" s="31">
        <v>80.848075866699219</v>
      </c>
      <c r="Q165" s="31">
        <f t="shared" si="34"/>
        <v>8.983119540744358</v>
      </c>
      <c r="R165" s="31">
        <v>34.459434509277344</v>
      </c>
      <c r="S165" s="31">
        <v>14.600825309753418</v>
      </c>
      <c r="T165" s="32">
        <f t="shared" si="35"/>
        <v>16.223139233059353</v>
      </c>
      <c r="U165" s="31">
        <v>31.113363265991211</v>
      </c>
      <c r="V165" s="31">
        <v>17.814121246337891</v>
      </c>
      <c r="W165" s="31">
        <f t="shared" si="36"/>
        <v>1.9793468051486545</v>
      </c>
      <c r="X165" s="31">
        <v>33.675861358642578</v>
      </c>
      <c r="Y165" s="31">
        <v>3.4262800216674805</v>
      </c>
      <c r="Z165" s="32">
        <f t="shared" si="37"/>
        <v>3.806977801852756</v>
      </c>
      <c r="AA165" t="s">
        <v>66</v>
      </c>
      <c r="AC165" s="31">
        <f t="shared" si="38"/>
        <v>0</v>
      </c>
      <c r="AD165" t="s">
        <v>66</v>
      </c>
      <c r="AF165" s="32">
        <f t="shared" si="39"/>
        <v>0</v>
      </c>
      <c r="AG165" t="s">
        <v>66</v>
      </c>
      <c r="AI165" s="31">
        <f t="shared" si="40"/>
        <v>0</v>
      </c>
      <c r="AJ165" t="s">
        <v>66</v>
      </c>
      <c r="AL165" s="32">
        <f t="shared" si="41"/>
        <v>0</v>
      </c>
    </row>
    <row r="166" spans="1:38" ht="15.15" thickBot="1" x14ac:dyDescent="0.35">
      <c r="A166" s="33" t="s">
        <v>76</v>
      </c>
      <c r="B166" s="30">
        <v>44405</v>
      </c>
      <c r="C166" s="33">
        <v>950</v>
      </c>
      <c r="D166" s="23" t="s">
        <v>65</v>
      </c>
      <c r="E166" s="30">
        <v>44489</v>
      </c>
      <c r="F166" s="24">
        <v>100</v>
      </c>
      <c r="G166" s="31">
        <v>11.591992378234863</v>
      </c>
      <c r="H166" s="31">
        <v>29168304</v>
      </c>
      <c r="I166" s="31">
        <f t="shared" si="45"/>
        <v>29155321.361446127</v>
      </c>
      <c r="J166" s="31">
        <f t="shared" si="44"/>
        <v>3068981.1959416978</v>
      </c>
      <c r="K166" s="31">
        <v>13.812515258789063</v>
      </c>
      <c r="L166" s="31">
        <v>6609085</v>
      </c>
      <c r="M166" s="31">
        <f t="shared" si="46"/>
        <v>6596102.3614461264</v>
      </c>
      <c r="N166" s="32">
        <f t="shared" si="33"/>
        <v>6943265.6436275011</v>
      </c>
      <c r="O166" s="31">
        <v>31.659402847290039</v>
      </c>
      <c r="P166" s="31">
        <v>78.606086730957031</v>
      </c>
      <c r="Q166" s="31">
        <f t="shared" si="34"/>
        <v>8.2743249190481087</v>
      </c>
      <c r="R166" s="31">
        <v>31.659402847290039</v>
      </c>
      <c r="S166" s="31">
        <v>78.606086730957031</v>
      </c>
      <c r="T166" s="32">
        <f t="shared" si="35"/>
        <v>82.74324919048108</v>
      </c>
      <c r="U166" s="31">
        <v>24.715827941894531</v>
      </c>
      <c r="V166" s="31">
        <v>1091.905029296875</v>
      </c>
      <c r="W166" s="31">
        <f t="shared" si="36"/>
        <v>114.93737150493421</v>
      </c>
      <c r="X166" s="31">
        <v>27.596872329711914</v>
      </c>
      <c r="Y166" s="31">
        <v>171.09764099121094</v>
      </c>
      <c r="Z166" s="32">
        <f t="shared" si="37"/>
        <v>180.10277999074836</v>
      </c>
      <c r="AA166" s="31">
        <v>29.731021881103516</v>
      </c>
      <c r="AB166" s="31">
        <v>7.3747811317443848</v>
      </c>
      <c r="AC166" s="31">
        <f t="shared" si="38"/>
        <v>0.7762927507099352</v>
      </c>
      <c r="AD166" t="s">
        <v>66</v>
      </c>
      <c r="AF166" s="32">
        <f t="shared" si="39"/>
        <v>0</v>
      </c>
      <c r="AG166" s="31">
        <v>22.272575378417969</v>
      </c>
      <c r="AH166" s="31">
        <v>8420.7861328125</v>
      </c>
      <c r="AI166" s="31">
        <f t="shared" si="40"/>
        <v>886.3985402960526</v>
      </c>
      <c r="AJ166" s="31">
        <v>25.945003509521484</v>
      </c>
      <c r="AK166" s="31">
        <v>825.40191650390625</v>
      </c>
      <c r="AL166" s="32">
        <f t="shared" si="41"/>
        <v>868.84412263569084</v>
      </c>
    </row>
    <row r="167" spans="1:38" ht="15.15" thickBot="1" x14ac:dyDescent="0.35">
      <c r="A167" s="33" t="s">
        <v>77</v>
      </c>
      <c r="B167" s="30">
        <v>44405</v>
      </c>
      <c r="C167" s="33">
        <v>1000</v>
      </c>
      <c r="D167" s="23" t="s">
        <v>65</v>
      </c>
      <c r="E167" s="30">
        <v>44489</v>
      </c>
      <c r="F167" s="24">
        <v>100</v>
      </c>
      <c r="G167" s="31">
        <v>11.315443992614746</v>
      </c>
      <c r="H167" s="31">
        <v>35092324</v>
      </c>
      <c r="I167" s="31">
        <f t="shared" si="45"/>
        <v>35079341.361446127</v>
      </c>
      <c r="J167" s="31">
        <f t="shared" si="44"/>
        <v>3507934.1361446129</v>
      </c>
      <c r="K167" s="31">
        <v>13.897527694702148</v>
      </c>
      <c r="L167" s="31">
        <v>6243906.5</v>
      </c>
      <c r="M167" s="31">
        <f t="shared" si="46"/>
        <v>6230923.8614461264</v>
      </c>
      <c r="N167" s="32">
        <f t="shared" si="33"/>
        <v>6230923.8614461264</v>
      </c>
      <c r="O167" s="31">
        <v>29.643230438232422</v>
      </c>
      <c r="P167" s="31">
        <v>264.1629638671875</v>
      </c>
      <c r="Q167" s="31">
        <f t="shared" si="34"/>
        <v>26.416296386718749</v>
      </c>
      <c r="R167" s="31">
        <v>32.181407928466797</v>
      </c>
      <c r="S167" s="31">
        <v>57.433120727539063</v>
      </c>
      <c r="T167" s="32">
        <f t="shared" si="35"/>
        <v>57.433120727539063</v>
      </c>
      <c r="U167" s="31">
        <v>26.478530883789063</v>
      </c>
      <c r="V167" s="31">
        <v>351.31744384765625</v>
      </c>
      <c r="W167" s="31">
        <f t="shared" si="36"/>
        <v>35.131744384765625</v>
      </c>
      <c r="X167" s="31">
        <v>30.00700569152832</v>
      </c>
      <c r="Y167" s="31">
        <v>36.297100067138672</v>
      </c>
      <c r="Z167" s="32">
        <f t="shared" si="37"/>
        <v>36.297100067138672</v>
      </c>
      <c r="AA167" s="31">
        <v>30.168846130371094</v>
      </c>
      <c r="AB167" s="31">
        <v>5.5686736106872559</v>
      </c>
      <c r="AC167" s="31">
        <f t="shared" si="38"/>
        <v>0.55686736106872559</v>
      </c>
      <c r="AD167" s="31">
        <v>31.146970748901367</v>
      </c>
      <c r="AE167" s="31">
        <v>2.9730522632598877</v>
      </c>
      <c r="AF167" s="32">
        <f t="shared" si="39"/>
        <v>2.9730522632598877</v>
      </c>
      <c r="AG167" s="31">
        <v>27.300806045532227</v>
      </c>
      <c r="AH167" s="31">
        <v>350.16610717773438</v>
      </c>
      <c r="AI167" s="31">
        <f t="shared" si="40"/>
        <v>35.016610717773439</v>
      </c>
      <c r="AJ167" s="31">
        <v>30.041427612304688</v>
      </c>
      <c r="AK167" s="31">
        <v>61.875900268554688</v>
      </c>
      <c r="AL167" s="32">
        <f t="shared" si="41"/>
        <v>61.875900268554688</v>
      </c>
    </row>
    <row r="168" spans="1:38" ht="15.15" thickBot="1" x14ac:dyDescent="0.35">
      <c r="A168" s="33" t="s">
        <v>78</v>
      </c>
      <c r="B168" s="30">
        <v>44405</v>
      </c>
      <c r="C168" s="33">
        <v>910</v>
      </c>
      <c r="D168" s="23" t="s">
        <v>65</v>
      </c>
      <c r="E168" s="30">
        <v>44489</v>
      </c>
      <c r="F168" s="24">
        <v>100</v>
      </c>
      <c r="G168" s="31">
        <v>11.578070640563965</v>
      </c>
      <c r="H168" s="31">
        <v>29441072</v>
      </c>
      <c r="I168" s="31">
        <f t="shared" si="45"/>
        <v>29428089.361446127</v>
      </c>
      <c r="J168" s="31">
        <f t="shared" si="44"/>
        <v>3233855.9737852886</v>
      </c>
      <c r="K168" s="31">
        <v>13.503117561340332</v>
      </c>
      <c r="L168" s="31">
        <v>8127943.5</v>
      </c>
      <c r="M168" s="31">
        <f t="shared" si="46"/>
        <v>8114960.8614461264</v>
      </c>
      <c r="N168" s="32">
        <f t="shared" si="33"/>
        <v>8917539.4081825558</v>
      </c>
      <c r="O168" s="31">
        <v>36.790328979492188</v>
      </c>
      <c r="P168" s="31">
        <v>3.5957441329956055</v>
      </c>
      <c r="Q168" s="31">
        <f t="shared" si="34"/>
        <v>0.39513671791160498</v>
      </c>
      <c r="R168" t="s">
        <v>66</v>
      </c>
      <c r="T168" s="32">
        <f t="shared" si="35"/>
        <v>0</v>
      </c>
      <c r="U168" s="31">
        <v>25.314691543579102</v>
      </c>
      <c r="V168" s="31">
        <v>742.7918701171875</v>
      </c>
      <c r="W168" s="31">
        <f t="shared" si="36"/>
        <v>81.625480232657964</v>
      </c>
      <c r="X168" s="31">
        <v>28.130033493041992</v>
      </c>
      <c r="Y168" s="31">
        <v>121.41798400878906</v>
      </c>
      <c r="Z168" s="32">
        <f t="shared" si="37"/>
        <v>133.42635605361434</v>
      </c>
      <c r="AA168" s="31">
        <v>31.29296875</v>
      </c>
      <c r="AB168" s="31">
        <v>2.7072038650512695</v>
      </c>
      <c r="AC168" s="31">
        <f t="shared" si="38"/>
        <v>0.29749493022541423</v>
      </c>
      <c r="AD168" s="31">
        <v>32.261356353759766</v>
      </c>
      <c r="AE168" s="31">
        <v>1.4544035196304321</v>
      </c>
      <c r="AF168" s="32">
        <f t="shared" si="39"/>
        <v>1.5982456259675077</v>
      </c>
      <c r="AG168" s="31">
        <v>21.463846206665039</v>
      </c>
      <c r="AH168" s="31">
        <v>14043.7197265625</v>
      </c>
      <c r="AI168" s="31">
        <f t="shared" si="40"/>
        <v>1543.2659040178571</v>
      </c>
      <c r="AJ168" s="31">
        <v>23.0555419921875</v>
      </c>
      <c r="AK168" s="31">
        <v>5132.14794921875</v>
      </c>
      <c r="AL168" s="32">
        <f t="shared" si="41"/>
        <v>5639.7230211195056</v>
      </c>
    </row>
    <row r="169" spans="1:38" ht="15.15" thickBot="1" x14ac:dyDescent="0.35">
      <c r="A169" s="33" t="s">
        <v>79</v>
      </c>
      <c r="B169" s="30">
        <v>44405</v>
      </c>
      <c r="C169" s="33">
        <v>1000</v>
      </c>
      <c r="D169" s="23" t="s">
        <v>65</v>
      </c>
      <c r="E169" s="30">
        <v>44489</v>
      </c>
      <c r="F169" s="24">
        <v>100</v>
      </c>
      <c r="G169" s="31">
        <v>11.831710815429688</v>
      </c>
      <c r="H169" s="31">
        <v>24848748</v>
      </c>
      <c r="I169" s="31">
        <f t="shared" si="45"/>
        <v>24835765.361446127</v>
      </c>
      <c r="J169" s="31">
        <f t="shared" si="44"/>
        <v>2483576.5361446128</v>
      </c>
      <c r="K169" s="31">
        <v>14.187400817871094</v>
      </c>
      <c r="L169" s="31">
        <v>5143827.5</v>
      </c>
      <c r="M169" s="31">
        <f t="shared" si="46"/>
        <v>5130844.8614461264</v>
      </c>
      <c r="N169" s="32">
        <f t="shared" si="33"/>
        <v>5130844.8614461264</v>
      </c>
      <c r="O169" s="31">
        <v>31.242767333984375</v>
      </c>
      <c r="P169" s="31">
        <v>100.98068237304688</v>
      </c>
      <c r="Q169" s="31">
        <f t="shared" si="34"/>
        <v>10.098068237304688</v>
      </c>
      <c r="R169" s="31">
        <v>33.661258697509766</v>
      </c>
      <c r="S169" s="31">
        <v>23.592741012573242</v>
      </c>
      <c r="T169" s="32">
        <f t="shared" si="35"/>
        <v>23.592741012573242</v>
      </c>
      <c r="U169" s="31">
        <v>27.093761444091797</v>
      </c>
      <c r="V169" s="31">
        <v>236.488037109375</v>
      </c>
      <c r="W169" s="31">
        <f t="shared" si="36"/>
        <v>23.6488037109375</v>
      </c>
      <c r="X169" s="31">
        <v>29.451471328735352</v>
      </c>
      <c r="Y169" s="31">
        <v>51.8900146484375</v>
      </c>
      <c r="Z169" s="32">
        <f t="shared" si="37"/>
        <v>51.8900146484375</v>
      </c>
      <c r="AA169" s="31">
        <v>30.620615005493164</v>
      </c>
      <c r="AB169" s="31">
        <v>4.1674342155456543</v>
      </c>
      <c r="AC169" s="31">
        <f t="shared" si="38"/>
        <v>0.41674342155456545</v>
      </c>
      <c r="AD169" t="s">
        <v>66</v>
      </c>
      <c r="AF169" s="32">
        <f t="shared" si="39"/>
        <v>0</v>
      </c>
      <c r="AG169" s="31">
        <v>24.087650299072266</v>
      </c>
      <c r="AH169" s="31">
        <v>2671.869384765625</v>
      </c>
      <c r="AI169" s="31">
        <f t="shared" si="40"/>
        <v>267.18693847656249</v>
      </c>
      <c r="AJ169" s="31">
        <v>26.508146286010742</v>
      </c>
      <c r="AK169" s="31">
        <v>578.0826416015625</v>
      </c>
      <c r="AL169" s="32">
        <f t="shared" si="41"/>
        <v>578.0826416015625</v>
      </c>
    </row>
    <row r="170" spans="1:38" ht="15.15" thickBot="1" x14ac:dyDescent="0.35">
      <c r="A170" s="33" t="s">
        <v>80</v>
      </c>
      <c r="B170" s="30">
        <v>44405</v>
      </c>
      <c r="C170" s="33">
        <v>950</v>
      </c>
      <c r="D170" s="23" t="s">
        <v>65</v>
      </c>
      <c r="E170" s="30">
        <v>44489</v>
      </c>
      <c r="F170" s="24">
        <v>100</v>
      </c>
      <c r="G170" s="31">
        <v>17.352470397949219</v>
      </c>
      <c r="H170" s="31">
        <v>619797.6875</v>
      </c>
      <c r="I170" s="31">
        <f t="shared" si="45"/>
        <v>606815.04894612625</v>
      </c>
      <c r="J170" s="31">
        <f t="shared" si="44"/>
        <v>63875.268310118554</v>
      </c>
      <c r="K170" s="31">
        <v>20.250705718994141</v>
      </c>
      <c r="L170" s="31">
        <v>89267.5859375</v>
      </c>
      <c r="M170" s="31">
        <f t="shared" si="46"/>
        <v>76284.947383626306</v>
      </c>
      <c r="N170" s="32">
        <f t="shared" si="33"/>
        <v>80299.944614343491</v>
      </c>
      <c r="O170" t="s">
        <v>66</v>
      </c>
      <c r="Q170" s="31">
        <f t="shared" si="34"/>
        <v>0</v>
      </c>
      <c r="R170" t="s">
        <v>66</v>
      </c>
      <c r="T170" s="32">
        <f t="shared" si="35"/>
        <v>0</v>
      </c>
      <c r="U170" s="31">
        <v>36.078182220458984</v>
      </c>
      <c r="V170" s="31">
        <v>0.73052239418029785</v>
      </c>
      <c r="W170" s="31">
        <f t="shared" si="36"/>
        <v>7.689709412424188E-2</v>
      </c>
      <c r="X170" t="s">
        <v>66</v>
      </c>
      <c r="Z170" s="32">
        <f t="shared" si="37"/>
        <v>0</v>
      </c>
      <c r="AA170" s="31">
        <v>22.188026428222656</v>
      </c>
      <c r="AB170" s="31">
        <v>932.3192138671875</v>
      </c>
      <c r="AC170" s="31">
        <f t="shared" si="38"/>
        <v>98.138864617598685</v>
      </c>
      <c r="AD170" s="31">
        <v>25.010467529296875</v>
      </c>
      <c r="AE170" s="31">
        <v>152.44264221191406</v>
      </c>
      <c r="AF170" s="32">
        <f t="shared" si="39"/>
        <v>160.46593917043586</v>
      </c>
      <c r="AG170" t="s">
        <v>66</v>
      </c>
      <c r="AI170" s="31">
        <f t="shared" si="40"/>
        <v>0</v>
      </c>
      <c r="AJ170" t="s">
        <v>66</v>
      </c>
      <c r="AL170" s="32">
        <f t="shared" si="41"/>
        <v>0</v>
      </c>
    </row>
    <row r="171" spans="1:38" ht="15.15" thickBot="1" x14ac:dyDescent="0.35">
      <c r="A171" s="33" t="s">
        <v>81</v>
      </c>
      <c r="B171" s="30">
        <v>44405</v>
      </c>
      <c r="C171" s="33">
        <v>910</v>
      </c>
      <c r="D171" s="23" t="s">
        <v>65</v>
      </c>
      <c r="E171" s="30">
        <v>44489</v>
      </c>
      <c r="F171" s="24">
        <v>100</v>
      </c>
      <c r="G171" s="31">
        <v>14.333409309387207</v>
      </c>
      <c r="H171" s="31">
        <v>4665413.5</v>
      </c>
      <c r="I171" s="31">
        <f t="shared" si="45"/>
        <v>4652430.8614461264</v>
      </c>
      <c r="J171" s="31">
        <f t="shared" si="44"/>
        <v>511256.13862045342</v>
      </c>
      <c r="K171" s="31">
        <v>17.217721939086914</v>
      </c>
      <c r="L171" s="31">
        <v>678229.4375</v>
      </c>
      <c r="M171" s="31">
        <f t="shared" si="46"/>
        <v>665246.79894612625</v>
      </c>
      <c r="N171" s="32">
        <f t="shared" si="33"/>
        <v>731040.43840233656</v>
      </c>
      <c r="O171" t="s">
        <v>66</v>
      </c>
      <c r="Q171" s="31">
        <f t="shared" si="34"/>
        <v>0</v>
      </c>
      <c r="R171" t="s">
        <v>66</v>
      </c>
      <c r="T171" s="32">
        <f t="shared" si="35"/>
        <v>0</v>
      </c>
      <c r="U171" s="31">
        <v>38.537860870361328</v>
      </c>
      <c r="V171" s="31">
        <v>0.15011319518089294</v>
      </c>
      <c r="W171" s="31">
        <f t="shared" si="36"/>
        <v>1.6495955514383841E-2</v>
      </c>
      <c r="X171" s="31">
        <v>36.680885314941406</v>
      </c>
      <c r="Y171" s="31">
        <v>0.49572756886482239</v>
      </c>
      <c r="Z171" s="32">
        <f t="shared" si="37"/>
        <v>0.54475557018112353</v>
      </c>
      <c r="AA171" s="31">
        <v>18.215797424316406</v>
      </c>
      <c r="AB171" s="31">
        <v>11923.5361328125</v>
      </c>
      <c r="AC171" s="31">
        <f t="shared" si="38"/>
        <v>1310.2786959134614</v>
      </c>
      <c r="AD171" s="31">
        <v>21.231155395507813</v>
      </c>
      <c r="AE171" s="31">
        <v>1722.6285400390625</v>
      </c>
      <c r="AF171" s="32">
        <f t="shared" si="39"/>
        <v>1892.9983956473213</v>
      </c>
      <c r="AG171" s="31">
        <v>37.065433502197266</v>
      </c>
      <c r="AH171" s="31">
        <v>0.72823840379714966</v>
      </c>
      <c r="AI171" s="31">
        <f t="shared" si="40"/>
        <v>8.0026198219466993E-2</v>
      </c>
      <c r="AJ171" t="s">
        <v>66</v>
      </c>
      <c r="AL171" s="32">
        <f t="shared" si="41"/>
        <v>0</v>
      </c>
    </row>
    <row r="172" spans="1:38" ht="15.15" thickBot="1" x14ac:dyDescent="0.35">
      <c r="A172" s="33" t="s">
        <v>64</v>
      </c>
      <c r="B172" s="30">
        <v>44412</v>
      </c>
      <c r="C172" s="33">
        <v>1000</v>
      </c>
      <c r="D172" s="23" t="s">
        <v>65</v>
      </c>
      <c r="E172" s="30">
        <v>44491</v>
      </c>
      <c r="F172" s="24">
        <v>100</v>
      </c>
      <c r="G172" s="31">
        <v>19.422399520874023</v>
      </c>
      <c r="H172" s="31">
        <v>155312.984375</v>
      </c>
      <c r="I172" s="31">
        <f t="shared" si="45"/>
        <v>142330.34582112631</v>
      </c>
      <c r="J172" s="31">
        <f t="shared" si="44"/>
        <v>14233.03458211263</v>
      </c>
      <c r="K172" s="31">
        <v>21.779279708862305</v>
      </c>
      <c r="L172" s="31">
        <v>32125.068359375</v>
      </c>
      <c r="M172" s="31">
        <f t="shared" si="46"/>
        <v>19142.429805501302</v>
      </c>
      <c r="N172" s="32">
        <f t="shared" si="33"/>
        <v>19142.429805501302</v>
      </c>
      <c r="O172" s="31">
        <v>34.063796997070313</v>
      </c>
      <c r="P172" s="31">
        <v>18.521537780761719</v>
      </c>
      <c r="Q172" s="31">
        <f t="shared" si="34"/>
        <v>1.8521537780761719</v>
      </c>
      <c r="R172" s="31">
        <v>37.280063629150391</v>
      </c>
      <c r="S172" s="31">
        <v>2.6786792278289795</v>
      </c>
      <c r="T172" s="32">
        <f t="shared" si="35"/>
        <v>2.6786792278289795</v>
      </c>
      <c r="U172" s="31">
        <v>32.312030792236328</v>
      </c>
      <c r="V172" s="31">
        <v>8.2388439178466797</v>
      </c>
      <c r="W172" s="31">
        <f t="shared" si="36"/>
        <v>0.82388439178466799</v>
      </c>
      <c r="X172" s="31">
        <v>34.808414459228516</v>
      </c>
      <c r="Y172" s="31">
        <v>1.6534707546234131</v>
      </c>
      <c r="Z172" s="32">
        <f t="shared" si="37"/>
        <v>1.6534707546234131</v>
      </c>
      <c r="AA172" s="31">
        <v>29.942121505737305</v>
      </c>
      <c r="AB172" s="31">
        <v>6.440615177154541</v>
      </c>
      <c r="AC172" s="31">
        <f t="shared" si="38"/>
        <v>0.64406151771545406</v>
      </c>
      <c r="AD172" t="s">
        <v>66</v>
      </c>
      <c r="AF172" s="32">
        <f t="shared" si="39"/>
        <v>0</v>
      </c>
      <c r="AG172" s="31">
        <v>38.787399291992188</v>
      </c>
      <c r="AH172" s="31">
        <v>0.24508120119571686</v>
      </c>
      <c r="AI172" s="31">
        <f t="shared" si="40"/>
        <v>2.4508120119571687E-2</v>
      </c>
      <c r="AJ172" t="s">
        <v>66</v>
      </c>
      <c r="AL172" s="32">
        <f t="shared" si="41"/>
        <v>0</v>
      </c>
    </row>
    <row r="173" spans="1:38" ht="15.15" thickBot="1" x14ac:dyDescent="0.35">
      <c r="A173" s="33" t="s">
        <v>67</v>
      </c>
      <c r="B173" s="30">
        <v>44412</v>
      </c>
      <c r="C173" s="33">
        <v>1000</v>
      </c>
      <c r="D173" s="23" t="s">
        <v>65</v>
      </c>
      <c r="E173" s="30">
        <v>44491</v>
      </c>
      <c r="F173" s="24">
        <v>100</v>
      </c>
      <c r="G173" s="31">
        <v>18.431041717529297</v>
      </c>
      <c r="H173" s="31">
        <v>301346.96875</v>
      </c>
      <c r="I173" s="31">
        <f t="shared" si="45"/>
        <v>288364.33019612631</v>
      </c>
      <c r="J173" s="31">
        <f t="shared" si="44"/>
        <v>28836.433019612628</v>
      </c>
      <c r="K173" s="31">
        <v>20.736501693725586</v>
      </c>
      <c r="L173" s="31">
        <v>64511.0234375</v>
      </c>
      <c r="M173" s="31">
        <f t="shared" si="46"/>
        <v>51528.384883626306</v>
      </c>
      <c r="N173" s="32">
        <f t="shared" si="33"/>
        <v>51528.384883626306</v>
      </c>
      <c r="O173" s="31">
        <v>33.731376647949219</v>
      </c>
      <c r="P173" s="31">
        <v>22.618867874145508</v>
      </c>
      <c r="Q173" s="31">
        <f t="shared" si="34"/>
        <v>2.261886787414551</v>
      </c>
      <c r="R173" s="31">
        <v>35.378185272216797</v>
      </c>
      <c r="S173" s="31">
        <v>8.4041671752929688</v>
      </c>
      <c r="T173" s="32">
        <f t="shared" si="35"/>
        <v>8.4041671752929688</v>
      </c>
      <c r="U173" s="31">
        <v>30.997001647949219</v>
      </c>
      <c r="V173" s="31">
        <v>19.198837280273438</v>
      </c>
      <c r="W173" s="31">
        <f t="shared" si="36"/>
        <v>1.9198837280273438</v>
      </c>
      <c r="X173" s="31">
        <v>33.535892486572266</v>
      </c>
      <c r="Y173" s="31">
        <v>3.749117374420166</v>
      </c>
      <c r="Z173" s="32">
        <f t="shared" si="37"/>
        <v>3.749117374420166</v>
      </c>
      <c r="AA173" s="31">
        <v>30.493593215942383</v>
      </c>
      <c r="AB173" s="31">
        <v>4.5212936401367188</v>
      </c>
      <c r="AC173" s="31">
        <f t="shared" si="38"/>
        <v>0.45212936401367188</v>
      </c>
      <c r="AD173" s="31">
        <v>34.663547515869141</v>
      </c>
      <c r="AE173" s="31">
        <v>0.31140613555908203</v>
      </c>
      <c r="AF173" s="32">
        <f t="shared" si="39"/>
        <v>0.31140613555908203</v>
      </c>
      <c r="AG173" s="31">
        <v>39.935615539550781</v>
      </c>
      <c r="AH173" s="31">
        <v>0.11855921149253845</v>
      </c>
      <c r="AI173" s="31">
        <f t="shared" si="40"/>
        <v>1.1855921149253846E-2</v>
      </c>
      <c r="AJ173" t="s">
        <v>66</v>
      </c>
      <c r="AL173" s="32">
        <f t="shared" si="41"/>
        <v>0</v>
      </c>
    </row>
    <row r="174" spans="1:38" ht="15.15" thickBot="1" x14ac:dyDescent="0.35">
      <c r="A174" s="33" t="s">
        <v>68</v>
      </c>
      <c r="B174" s="30">
        <v>44412</v>
      </c>
      <c r="C174" s="33">
        <v>900</v>
      </c>
      <c r="D174" s="23" t="s">
        <v>65</v>
      </c>
      <c r="E174" s="30">
        <v>44491</v>
      </c>
      <c r="F174" s="24">
        <v>100</v>
      </c>
      <c r="G174" s="31">
        <v>13.656390190124512</v>
      </c>
      <c r="H174" s="31">
        <v>7570050.5</v>
      </c>
      <c r="I174" s="31">
        <f t="shared" si="45"/>
        <v>7557067.8614461264</v>
      </c>
      <c r="J174" s="31">
        <f t="shared" si="44"/>
        <v>839674.2068273474</v>
      </c>
      <c r="K174" s="31">
        <v>16.248638153076172</v>
      </c>
      <c r="L174" s="31">
        <v>1231511.125</v>
      </c>
      <c r="M174" s="31">
        <f t="shared" si="46"/>
        <v>1218528.4864461264</v>
      </c>
      <c r="N174" s="32">
        <f t="shared" si="33"/>
        <v>1353920.540495696</v>
      </c>
      <c r="O174" s="31">
        <v>28.225099563598633</v>
      </c>
      <c r="P174" s="31">
        <v>267.10897827148438</v>
      </c>
      <c r="Q174" s="31">
        <f t="shared" si="34"/>
        <v>29.678775363498264</v>
      </c>
      <c r="R174" s="31">
        <v>33.648365020751953</v>
      </c>
      <c r="S174" s="31">
        <v>6.2309069633483887</v>
      </c>
      <c r="T174" s="32">
        <f t="shared" si="35"/>
        <v>6.9232299592759876</v>
      </c>
      <c r="U174" s="31">
        <v>30.484441757202148</v>
      </c>
      <c r="V174" s="31">
        <v>33.246749877929688</v>
      </c>
      <c r="W174" s="31">
        <f t="shared" si="36"/>
        <v>3.6940833197699652</v>
      </c>
      <c r="X174" s="31">
        <v>33.382797241210938</v>
      </c>
      <c r="Y174" s="31">
        <v>5.1165146827697754</v>
      </c>
      <c r="Z174" s="32">
        <f t="shared" si="37"/>
        <v>5.6850163141886396</v>
      </c>
      <c r="AA174" s="31">
        <v>29.699268341064453</v>
      </c>
      <c r="AB174" s="31">
        <v>6.4777283668518066</v>
      </c>
      <c r="AC174" s="31">
        <f t="shared" si="38"/>
        <v>0.71974759631686736</v>
      </c>
      <c r="AD174" s="31">
        <v>33.310150146484375</v>
      </c>
      <c r="AE174" s="31">
        <v>0.637134850025177</v>
      </c>
      <c r="AF174" s="32">
        <f t="shared" si="39"/>
        <v>0.70792761113908553</v>
      </c>
      <c r="AG174" s="31">
        <v>35.421173095703125</v>
      </c>
      <c r="AH174" s="31">
        <v>3.5535235404968262</v>
      </c>
      <c r="AI174" s="31">
        <f t="shared" si="40"/>
        <v>0.3948359489440918</v>
      </c>
      <c r="AJ174" t="s">
        <v>66</v>
      </c>
      <c r="AL174" s="32">
        <f t="shared" si="41"/>
        <v>0</v>
      </c>
    </row>
    <row r="175" spans="1:38" ht="15.15" thickBot="1" x14ac:dyDescent="0.35">
      <c r="A175" s="33" t="s">
        <v>69</v>
      </c>
      <c r="B175" s="30">
        <v>44412</v>
      </c>
      <c r="C175" s="33">
        <v>900</v>
      </c>
      <c r="D175" s="23" t="s">
        <v>65</v>
      </c>
      <c r="E175" s="30">
        <v>44491</v>
      </c>
      <c r="F175" s="24">
        <v>100</v>
      </c>
      <c r="G175" s="31">
        <v>15.731051445007324</v>
      </c>
      <c r="H175" s="31">
        <v>1769733.75</v>
      </c>
      <c r="I175" s="31">
        <f t="shared" si="45"/>
        <v>1756751.1114461264</v>
      </c>
      <c r="J175" s="31">
        <f t="shared" si="44"/>
        <v>195194.56793845849</v>
      </c>
      <c r="K175" s="31">
        <v>19.002771377563477</v>
      </c>
      <c r="L175" s="31">
        <v>178865.375</v>
      </c>
      <c r="M175" s="31">
        <f t="shared" si="46"/>
        <v>165882.73644612631</v>
      </c>
      <c r="N175" s="32">
        <f t="shared" si="33"/>
        <v>184314.15160680702</v>
      </c>
      <c r="O175" s="31">
        <v>29.010011672973633</v>
      </c>
      <c r="P175" s="31">
        <v>155.04878234863281</v>
      </c>
      <c r="Q175" s="31">
        <f t="shared" si="34"/>
        <v>17.227642483181423</v>
      </c>
      <c r="R175" s="31">
        <v>32.685585021972656</v>
      </c>
      <c r="S175" s="31">
        <v>12.142297744750977</v>
      </c>
      <c r="T175" s="32">
        <f t="shared" si="35"/>
        <v>13.491441938612196</v>
      </c>
      <c r="U175" s="31">
        <v>31.085336685180664</v>
      </c>
      <c r="V175" s="31">
        <v>22.554981231689453</v>
      </c>
      <c r="W175" s="31">
        <f t="shared" si="36"/>
        <v>2.5061090257432728</v>
      </c>
      <c r="X175" s="31">
        <v>34.260196685791016</v>
      </c>
      <c r="Y175" s="31">
        <v>2.9035437107086182</v>
      </c>
      <c r="Z175" s="32">
        <f t="shared" si="37"/>
        <v>3.2261596785651312</v>
      </c>
      <c r="AA175" s="31">
        <v>29.233987808227539</v>
      </c>
      <c r="AB175" s="31">
        <v>8.7338247299194336</v>
      </c>
      <c r="AC175" s="31">
        <f t="shared" si="38"/>
        <v>0.97042496999104821</v>
      </c>
      <c r="AD175" t="s">
        <v>66</v>
      </c>
      <c r="AF175" s="32">
        <f t="shared" si="39"/>
        <v>0</v>
      </c>
      <c r="AG175" s="31">
        <v>35.802291870117188</v>
      </c>
      <c r="AH175" s="31">
        <v>2.840097188949585</v>
      </c>
      <c r="AI175" s="31">
        <f t="shared" si="40"/>
        <v>0.31556635432773167</v>
      </c>
      <c r="AJ175" t="s">
        <v>66</v>
      </c>
      <c r="AL175" s="32">
        <f t="shared" si="41"/>
        <v>0</v>
      </c>
    </row>
    <row r="176" spans="1:38" ht="15.15" thickBot="1" x14ac:dyDescent="0.35">
      <c r="A176" s="33" t="s">
        <v>70</v>
      </c>
      <c r="B176" s="30">
        <v>44412</v>
      </c>
      <c r="C176" s="33">
        <v>930</v>
      </c>
      <c r="D176" s="23" t="s">
        <v>65</v>
      </c>
      <c r="E176" s="30">
        <v>44491</v>
      </c>
      <c r="F176" s="24">
        <v>100</v>
      </c>
      <c r="G176" s="31">
        <v>16.910621643066406</v>
      </c>
      <c r="H176" s="31">
        <v>774529.1875</v>
      </c>
      <c r="I176" s="31">
        <f t="shared" si="45"/>
        <v>761546.54894612625</v>
      </c>
      <c r="J176" s="31">
        <f t="shared" si="44"/>
        <v>81886.725693131855</v>
      </c>
      <c r="K176" s="31">
        <v>26.416448593139648</v>
      </c>
      <c r="L176" s="31">
        <v>993.12445068359375</v>
      </c>
      <c r="M176" s="31">
        <f t="shared" si="46"/>
        <v>-11989.514103190104</v>
      </c>
      <c r="N176" s="32">
        <f t="shared" si="33"/>
        <v>-12891.95064859151</v>
      </c>
      <c r="O176" s="31">
        <v>28.002193450927734</v>
      </c>
      <c r="P176" s="31">
        <v>311.7254638671875</v>
      </c>
      <c r="Q176" s="31">
        <f t="shared" si="34"/>
        <v>33.51886708249328</v>
      </c>
      <c r="R176" s="31">
        <v>30.471521377563477</v>
      </c>
      <c r="S176" s="31">
        <v>56.315193176269531</v>
      </c>
      <c r="T176" s="32">
        <f t="shared" si="35"/>
        <v>60.553971157279065</v>
      </c>
      <c r="U176" s="31">
        <v>32.979114532470703</v>
      </c>
      <c r="V176" s="31">
        <v>6.6401433944702148</v>
      </c>
      <c r="W176" s="31">
        <f t="shared" si="36"/>
        <v>0.71399391338389406</v>
      </c>
      <c r="X176" s="31">
        <v>31.55992317199707</v>
      </c>
      <c r="Y176" s="31">
        <v>16.601829528808594</v>
      </c>
      <c r="Z176" s="32">
        <f t="shared" si="37"/>
        <v>17.851429600869455</v>
      </c>
      <c r="AA176" s="31">
        <v>27.68017578125</v>
      </c>
      <c r="AB176" s="31">
        <v>23.692602157592773</v>
      </c>
      <c r="AC176" s="31">
        <f t="shared" si="38"/>
        <v>2.5475916298486854</v>
      </c>
      <c r="AD176" t="s">
        <v>66</v>
      </c>
      <c r="AF176" s="32">
        <f t="shared" si="39"/>
        <v>0</v>
      </c>
      <c r="AG176" s="31">
        <v>32.559154510498047</v>
      </c>
      <c r="AH176" s="31">
        <v>19.121871948242188</v>
      </c>
      <c r="AI176" s="31">
        <f t="shared" si="40"/>
        <v>2.056115263251848</v>
      </c>
      <c r="AJ176" s="31">
        <v>34.249011993408203</v>
      </c>
      <c r="AK176" s="31">
        <v>7.0793428421020508</v>
      </c>
      <c r="AL176" s="32">
        <f t="shared" si="41"/>
        <v>7.6121966044108076</v>
      </c>
    </row>
    <row r="177" spans="1:38" ht="15.15" thickBot="1" x14ac:dyDescent="0.35">
      <c r="A177" s="33" t="s">
        <v>71</v>
      </c>
      <c r="B177" s="30">
        <v>44412</v>
      </c>
      <c r="C177" s="33">
        <v>930</v>
      </c>
      <c r="D177" s="23" t="s">
        <v>65</v>
      </c>
      <c r="E177" s="30">
        <v>44491</v>
      </c>
      <c r="F177" s="24">
        <v>100</v>
      </c>
      <c r="G177" s="31">
        <v>16.987550735473633</v>
      </c>
      <c r="H177" s="31">
        <v>733893.5</v>
      </c>
      <c r="I177" s="31">
        <f t="shared" si="45"/>
        <v>720910.86144612625</v>
      </c>
      <c r="J177" s="31">
        <f t="shared" si="44"/>
        <v>77517.296929691001</v>
      </c>
      <c r="K177" s="31">
        <v>26.379968643188477</v>
      </c>
      <c r="L177" s="31">
        <v>1018.831298828125</v>
      </c>
      <c r="M177" s="31">
        <f t="shared" si="46"/>
        <v>-11963.807255045573</v>
      </c>
      <c r="N177" s="32">
        <f t="shared" si="33"/>
        <v>-12864.308876393088</v>
      </c>
      <c r="O177" s="31">
        <v>27.942075729370117</v>
      </c>
      <c r="P177" s="31">
        <v>324.986083984375</v>
      </c>
      <c r="Q177" s="31">
        <f t="shared" si="34"/>
        <v>34.944740213373656</v>
      </c>
      <c r="R177" s="31">
        <v>30.278133392333984</v>
      </c>
      <c r="S177" s="31">
        <v>64.391105651855469</v>
      </c>
      <c r="T177" s="32">
        <f t="shared" si="35"/>
        <v>69.237748012747815</v>
      </c>
      <c r="U177" s="31">
        <v>32.226707458496094</v>
      </c>
      <c r="V177" s="31">
        <v>10.793745040893555</v>
      </c>
      <c r="W177" s="31">
        <f t="shared" si="36"/>
        <v>1.1606177463326404</v>
      </c>
      <c r="X177" s="31">
        <v>34.296527862548828</v>
      </c>
      <c r="Y177" s="31">
        <v>2.8362216949462891</v>
      </c>
      <c r="Z177" s="32">
        <f t="shared" si="37"/>
        <v>3.0497007472540743</v>
      </c>
      <c r="AA177" s="31">
        <v>28.561117172241211</v>
      </c>
      <c r="AB177" s="31">
        <v>13.455188751220703</v>
      </c>
      <c r="AC177" s="31">
        <f t="shared" si="38"/>
        <v>1.4467944893785702</v>
      </c>
      <c r="AD177" s="31">
        <v>31.674997329711914</v>
      </c>
      <c r="AE177" s="31">
        <v>1.8210766315460205</v>
      </c>
      <c r="AF177" s="32">
        <f t="shared" si="39"/>
        <v>1.9581469156408822</v>
      </c>
      <c r="AG177" s="31">
        <v>35.505710601806641</v>
      </c>
      <c r="AH177" s="31">
        <v>3.3812003135681152</v>
      </c>
      <c r="AI177" s="31">
        <f t="shared" si="40"/>
        <v>0.36356992619011991</v>
      </c>
      <c r="AJ177" t="s">
        <v>66</v>
      </c>
      <c r="AL177" s="32">
        <f t="shared" si="41"/>
        <v>0</v>
      </c>
    </row>
    <row r="178" spans="1:38" ht="15.15" thickBot="1" x14ac:dyDescent="0.35">
      <c r="A178" s="33" t="s">
        <v>72</v>
      </c>
      <c r="B178" s="30">
        <v>44412</v>
      </c>
      <c r="C178" s="33">
        <v>900</v>
      </c>
      <c r="D178" s="23" t="s">
        <v>65</v>
      </c>
      <c r="E178" s="30">
        <v>44491</v>
      </c>
      <c r="F178" s="24">
        <v>100</v>
      </c>
      <c r="G178" s="31">
        <v>16.971319198608398</v>
      </c>
      <c r="H178" s="31">
        <v>742286.0625</v>
      </c>
      <c r="I178" s="31">
        <f t="shared" si="45"/>
        <v>729303.42394612625</v>
      </c>
      <c r="J178" s="31">
        <f t="shared" si="44"/>
        <v>81033.713771791809</v>
      </c>
      <c r="K178" s="31">
        <v>19.778060913085938</v>
      </c>
      <c r="L178" s="31">
        <v>103909.1328125</v>
      </c>
      <c r="M178" s="31">
        <f t="shared" si="46"/>
        <v>90926.494258626306</v>
      </c>
      <c r="N178" s="32">
        <f t="shared" si="33"/>
        <v>101029.43806514035</v>
      </c>
      <c r="O178" s="31">
        <v>31.676891326904297</v>
      </c>
      <c r="P178" s="31">
        <v>24.426895141601563</v>
      </c>
      <c r="Q178" s="31">
        <f t="shared" si="34"/>
        <v>2.7140994601779513</v>
      </c>
      <c r="R178" s="31">
        <v>34.428462982177734</v>
      </c>
      <c r="S178" s="31">
        <v>3.6289417743682861</v>
      </c>
      <c r="T178" s="32">
        <f t="shared" si="35"/>
        <v>4.0321575270758734</v>
      </c>
      <c r="U178" s="31">
        <v>28.235794067382813</v>
      </c>
      <c r="V178" s="31">
        <v>142.0133056640625</v>
      </c>
      <c r="W178" s="31">
        <f t="shared" si="36"/>
        <v>15.779256184895834</v>
      </c>
      <c r="X178" s="31">
        <v>31.637243270874023</v>
      </c>
      <c r="Y178" s="31">
        <v>15.793317794799805</v>
      </c>
      <c r="Z178" s="32">
        <f t="shared" si="37"/>
        <v>17.548130883110893</v>
      </c>
      <c r="AA178" s="31">
        <v>30.149606704711914</v>
      </c>
      <c r="AB178" s="31">
        <v>4.8507494926452637</v>
      </c>
      <c r="AC178" s="31">
        <f t="shared" si="38"/>
        <v>0.53897216584947372</v>
      </c>
      <c r="AD178" t="s">
        <v>66</v>
      </c>
      <c r="AF178" s="32">
        <f t="shared" si="39"/>
        <v>0</v>
      </c>
      <c r="AG178" t="s">
        <v>66</v>
      </c>
      <c r="AI178" s="31">
        <f t="shared" si="40"/>
        <v>0</v>
      </c>
      <c r="AJ178" t="s">
        <v>66</v>
      </c>
      <c r="AL178" s="32">
        <f t="shared" si="41"/>
        <v>0</v>
      </c>
    </row>
    <row r="179" spans="1:38" ht="15.15" thickBot="1" x14ac:dyDescent="0.35">
      <c r="A179" s="33" t="s">
        <v>73</v>
      </c>
      <c r="B179" s="30">
        <v>44412</v>
      </c>
      <c r="C179" s="33">
        <v>950</v>
      </c>
      <c r="D179" s="23" t="s">
        <v>65</v>
      </c>
      <c r="E179" s="30">
        <v>44491</v>
      </c>
      <c r="F179" s="24">
        <v>100</v>
      </c>
      <c r="G179" s="31">
        <v>18.560550689697266</v>
      </c>
      <c r="H179" s="31">
        <v>243818.484375</v>
      </c>
      <c r="I179" s="31">
        <f t="shared" si="45"/>
        <v>230835.84582112631</v>
      </c>
      <c r="J179" s="31">
        <f t="shared" si="44"/>
        <v>24298.510086434348</v>
      </c>
      <c r="K179" s="31">
        <v>22.145429611206055</v>
      </c>
      <c r="L179" s="31">
        <v>19788.373046875</v>
      </c>
      <c r="M179" s="31">
        <f t="shared" si="46"/>
        <v>6805.7344930013023</v>
      </c>
      <c r="N179" s="32">
        <f t="shared" si="33"/>
        <v>7163.9310452645295</v>
      </c>
      <c r="O179" s="31">
        <v>31.958885192871094</v>
      </c>
      <c r="P179" s="31">
        <v>20.09101676940918</v>
      </c>
      <c r="Q179" s="31">
        <f t="shared" si="34"/>
        <v>2.1148438704641244</v>
      </c>
      <c r="R179" s="31">
        <v>33.613842010498047</v>
      </c>
      <c r="S179" s="31">
        <v>6.381767749786377</v>
      </c>
      <c r="T179" s="32">
        <f t="shared" si="35"/>
        <v>6.7176502629330281</v>
      </c>
      <c r="U179" s="31">
        <v>29.982961654663086</v>
      </c>
      <c r="V179" s="31">
        <v>45.959716796875</v>
      </c>
      <c r="W179" s="31">
        <f t="shared" si="36"/>
        <v>4.8378649259868425</v>
      </c>
      <c r="X179" s="31">
        <v>33.955562591552734</v>
      </c>
      <c r="Y179" s="31">
        <v>3.5347261428833008</v>
      </c>
      <c r="Z179" s="32">
        <f t="shared" si="37"/>
        <v>3.7207643609297905</v>
      </c>
      <c r="AA179" s="31">
        <v>30.248077392578125</v>
      </c>
      <c r="AB179" s="31">
        <v>4.553466796875</v>
      </c>
      <c r="AC179" s="31">
        <f t="shared" si="38"/>
        <v>0.47931229440789475</v>
      </c>
      <c r="AD179" t="s">
        <v>66</v>
      </c>
      <c r="AF179" s="32">
        <f t="shared" si="39"/>
        <v>0</v>
      </c>
      <c r="AG179" s="31">
        <v>32.253814697265625</v>
      </c>
      <c r="AH179" s="31">
        <v>22.882568359375</v>
      </c>
      <c r="AI179" s="31">
        <f t="shared" si="40"/>
        <v>2.40869140625</v>
      </c>
      <c r="AJ179" s="31">
        <v>38.112113952636719</v>
      </c>
      <c r="AK179" s="31">
        <v>0.73025733232498169</v>
      </c>
      <c r="AL179" s="32">
        <f t="shared" si="41"/>
        <v>0.76869192876313863</v>
      </c>
    </row>
    <row r="180" spans="1:38" ht="15.15" thickBot="1" x14ac:dyDescent="0.35">
      <c r="A180" s="33" t="s">
        <v>74</v>
      </c>
      <c r="B180" s="30">
        <v>44412</v>
      </c>
      <c r="C180" s="33">
        <v>900</v>
      </c>
      <c r="D180" s="23" t="s">
        <v>65</v>
      </c>
      <c r="E180" s="30">
        <v>44491</v>
      </c>
      <c r="F180" s="24">
        <v>100</v>
      </c>
      <c r="G180" s="31">
        <v>20.064113616943359</v>
      </c>
      <c r="H180" s="31">
        <v>85040.4609375</v>
      </c>
      <c r="I180" s="31">
        <f t="shared" si="45"/>
        <v>72057.822383626306</v>
      </c>
      <c r="J180" s="31">
        <f t="shared" si="44"/>
        <v>8006.4247092918122</v>
      </c>
      <c r="K180" s="31">
        <v>22.586648941040039</v>
      </c>
      <c r="L180" s="31">
        <v>14526.94921875</v>
      </c>
      <c r="M180" s="31">
        <f t="shared" si="46"/>
        <v>1544.3106648763023</v>
      </c>
      <c r="N180" s="32">
        <f t="shared" si="33"/>
        <v>1715.9007387514469</v>
      </c>
      <c r="O180" s="31">
        <v>30.946060180664063</v>
      </c>
      <c r="P180" s="31">
        <v>40.533363342285156</v>
      </c>
      <c r="Q180" s="31">
        <f t="shared" si="34"/>
        <v>4.5037070380316839</v>
      </c>
      <c r="R180" s="31">
        <v>34.244098663330078</v>
      </c>
      <c r="S180" s="31">
        <v>4.1234869956970215</v>
      </c>
      <c r="T180" s="32">
        <f t="shared" si="35"/>
        <v>4.5816522174411354</v>
      </c>
      <c r="U180" s="31">
        <v>34.688251495361328</v>
      </c>
      <c r="V180" s="31">
        <v>2.2023715972900391</v>
      </c>
      <c r="W180" s="31">
        <f t="shared" si="36"/>
        <v>0.24470795525444877</v>
      </c>
      <c r="X180" s="31">
        <v>36.251605987548828</v>
      </c>
      <c r="Y180" s="31">
        <v>0.80257374048233032</v>
      </c>
      <c r="Z180" s="32">
        <f t="shared" si="37"/>
        <v>0.89174860053592253</v>
      </c>
      <c r="AA180" s="31">
        <v>29.796222686767578</v>
      </c>
      <c r="AB180" s="31">
        <v>6.0866599082946777</v>
      </c>
      <c r="AC180" s="31">
        <f t="shared" si="38"/>
        <v>0.67629554536607528</v>
      </c>
      <c r="AD180" s="31">
        <v>31.675756454467773</v>
      </c>
      <c r="AE180" s="31">
        <v>1.8201888799667358</v>
      </c>
      <c r="AF180" s="32">
        <f t="shared" si="39"/>
        <v>2.0224320888519287</v>
      </c>
      <c r="AG180" t="s">
        <v>66</v>
      </c>
      <c r="AI180" s="31">
        <f t="shared" si="40"/>
        <v>0</v>
      </c>
      <c r="AJ180" t="s">
        <v>66</v>
      </c>
      <c r="AL180" s="32">
        <f t="shared" si="41"/>
        <v>0</v>
      </c>
    </row>
    <row r="181" spans="1:38" ht="15.15" thickBot="1" x14ac:dyDescent="0.35">
      <c r="A181" s="33" t="s">
        <v>75</v>
      </c>
      <c r="B181" s="30">
        <v>44412</v>
      </c>
      <c r="C181" s="33">
        <v>900</v>
      </c>
      <c r="D181" s="23" t="s">
        <v>65</v>
      </c>
      <c r="E181" s="30">
        <v>44491</v>
      </c>
      <c r="F181" s="24">
        <v>100</v>
      </c>
      <c r="G181" s="31">
        <v>20.810688018798828</v>
      </c>
      <c r="H181" s="31">
        <v>50406.81640625</v>
      </c>
      <c r="I181" s="31">
        <f t="shared" si="45"/>
        <v>37424.177852376306</v>
      </c>
      <c r="J181" s="31">
        <f t="shared" si="44"/>
        <v>4158.2419835973678</v>
      </c>
      <c r="K181" s="31">
        <v>23.529008865356445</v>
      </c>
      <c r="L181" s="31">
        <v>7507.1083984375</v>
      </c>
      <c r="M181" s="31">
        <f t="shared" si="46"/>
        <v>-5475.5301554361977</v>
      </c>
      <c r="N181" s="32">
        <f t="shared" si="33"/>
        <v>-6083.9223949291081</v>
      </c>
      <c r="O181" s="31">
        <v>30.85711669921875</v>
      </c>
      <c r="P181" s="31">
        <v>43.110221862792969</v>
      </c>
      <c r="Q181" s="31">
        <f t="shared" si="34"/>
        <v>4.7900246514214411</v>
      </c>
      <c r="R181" s="31">
        <v>34.544326782226563</v>
      </c>
      <c r="S181" s="31">
        <v>3.3489656448364258</v>
      </c>
      <c r="T181" s="32">
        <f t="shared" si="35"/>
        <v>3.72107293870714</v>
      </c>
      <c r="U181" s="31">
        <v>36.605567932128906</v>
      </c>
      <c r="V181" s="31">
        <v>0.63859385251998901</v>
      </c>
      <c r="W181" s="31">
        <f t="shared" si="36"/>
        <v>7.0954872502221003E-2</v>
      </c>
      <c r="X181" s="31">
        <v>36.455234527587891</v>
      </c>
      <c r="Y181" s="31">
        <v>0.70369124412536621</v>
      </c>
      <c r="Z181" s="32">
        <f t="shared" si="37"/>
        <v>0.78187916013929581</v>
      </c>
      <c r="AA181" s="31">
        <v>30.218723297119141</v>
      </c>
      <c r="AB181" s="31">
        <v>4.6401286125183105</v>
      </c>
      <c r="AC181" s="31">
        <f t="shared" si="38"/>
        <v>0.5155698458353678</v>
      </c>
      <c r="AD181" t="s">
        <v>66</v>
      </c>
      <c r="AF181" s="32">
        <f t="shared" si="39"/>
        <v>0</v>
      </c>
      <c r="AG181" t="s">
        <v>66</v>
      </c>
      <c r="AI181" s="31">
        <f t="shared" si="40"/>
        <v>0</v>
      </c>
      <c r="AJ181" t="s">
        <v>66</v>
      </c>
      <c r="AL181" s="32">
        <f t="shared" si="41"/>
        <v>0</v>
      </c>
    </row>
    <row r="182" spans="1:38" ht="15.15" thickBot="1" x14ac:dyDescent="0.35">
      <c r="A182" s="33" t="s">
        <v>76</v>
      </c>
      <c r="B182" s="30">
        <v>44412</v>
      </c>
      <c r="C182" s="33">
        <v>940</v>
      </c>
      <c r="D182" s="23" t="s">
        <v>65</v>
      </c>
      <c r="E182" s="30">
        <v>44491</v>
      </c>
      <c r="F182" s="24">
        <v>100</v>
      </c>
      <c r="G182" s="31">
        <v>15.468379974365234</v>
      </c>
      <c r="H182" s="31">
        <v>2127269.75</v>
      </c>
      <c r="I182" s="31">
        <f t="shared" si="45"/>
        <v>2114287.1114461264</v>
      </c>
      <c r="J182" s="31">
        <f t="shared" si="44"/>
        <v>224924.16079214111</v>
      </c>
      <c r="K182" s="31">
        <v>18.206680297851563</v>
      </c>
      <c r="L182" s="31">
        <v>312411.8125</v>
      </c>
      <c r="M182" s="31">
        <f t="shared" si="46"/>
        <v>299429.17394612631</v>
      </c>
      <c r="N182" s="32">
        <f t="shared" si="33"/>
        <v>318541.67441077263</v>
      </c>
      <c r="O182" s="31">
        <v>27.994468688964844</v>
      </c>
      <c r="P182" s="31">
        <v>313.39862060546875</v>
      </c>
      <c r="Q182" s="31">
        <f t="shared" si="34"/>
        <v>33.340278787815826</v>
      </c>
      <c r="R182" s="31">
        <v>30.954055786132813</v>
      </c>
      <c r="S182" s="31">
        <v>40.309402465820313</v>
      </c>
      <c r="T182" s="32">
        <f t="shared" si="35"/>
        <v>42.882343048745014</v>
      </c>
      <c r="U182" s="31">
        <v>25.414493560791016</v>
      </c>
      <c r="V182" s="31">
        <v>878.00244140625</v>
      </c>
      <c r="W182" s="31">
        <f t="shared" si="36"/>
        <v>93.404515043218083</v>
      </c>
      <c r="X182" s="31">
        <v>28.370578765869141</v>
      </c>
      <c r="Y182" s="31">
        <v>130.17626953125</v>
      </c>
      <c r="Z182" s="32">
        <f t="shared" si="37"/>
        <v>138.48539311835106</v>
      </c>
      <c r="AA182" s="31">
        <v>29.339820861816406</v>
      </c>
      <c r="AB182" s="31">
        <v>8.1598882675170898</v>
      </c>
      <c r="AC182" s="31">
        <f t="shared" si="38"/>
        <v>0.86807321994862663</v>
      </c>
      <c r="AD182" t="s">
        <v>66</v>
      </c>
      <c r="AF182" s="32">
        <f t="shared" si="39"/>
        <v>0</v>
      </c>
      <c r="AG182" s="31">
        <v>24.887418746948242</v>
      </c>
      <c r="AH182" s="31">
        <v>1740.4234619140625</v>
      </c>
      <c r="AI182" s="31">
        <f t="shared" si="40"/>
        <v>185.15143211851728</v>
      </c>
      <c r="AJ182" s="31">
        <v>28.700822830200195</v>
      </c>
      <c r="AK182" s="31">
        <v>184.85415649414063</v>
      </c>
      <c r="AL182" s="32">
        <f t="shared" si="41"/>
        <v>196.65335797249003</v>
      </c>
    </row>
    <row r="183" spans="1:38" ht="15.15" thickBot="1" x14ac:dyDescent="0.35">
      <c r="A183" s="33" t="s">
        <v>77</v>
      </c>
      <c r="B183" s="30">
        <v>44412</v>
      </c>
      <c r="C183" s="33">
        <v>1000</v>
      </c>
      <c r="D183" s="23" t="s">
        <v>65</v>
      </c>
      <c r="E183" s="30">
        <v>44491</v>
      </c>
      <c r="F183" s="24">
        <v>100</v>
      </c>
      <c r="G183" s="31">
        <v>8.7335424423217773</v>
      </c>
      <c r="H183" s="31">
        <v>238131216</v>
      </c>
      <c r="I183" s="31">
        <f t="shared" si="45"/>
        <v>238118233.36144611</v>
      </c>
      <c r="J183" s="31">
        <f t="shared" si="44"/>
        <v>23811823.336144611</v>
      </c>
      <c r="K183" s="31">
        <v>11.606509208679199</v>
      </c>
      <c r="L183" s="31">
        <v>31823692</v>
      </c>
      <c r="M183" s="31">
        <f t="shared" si="46"/>
        <v>31810709.361446127</v>
      </c>
      <c r="N183" s="32">
        <f>(M183*($F183*10))/($C183)</f>
        <v>31810709.361446127</v>
      </c>
      <c r="O183" s="31">
        <v>28.408882141113281</v>
      </c>
      <c r="P183" s="31">
        <v>235.16838073730469</v>
      </c>
      <c r="Q183" s="31">
        <f t="shared" si="34"/>
        <v>23.516838073730469</v>
      </c>
      <c r="R183" s="31">
        <v>30.995515823364258</v>
      </c>
      <c r="S183" s="31">
        <v>39.167774200439453</v>
      </c>
      <c r="T183" s="32">
        <f t="shared" si="35"/>
        <v>39.167774200439453</v>
      </c>
      <c r="U183" s="31">
        <v>26.186180114746094</v>
      </c>
      <c r="V183" s="31">
        <v>533.4510498046875</v>
      </c>
      <c r="W183" s="31">
        <f t="shared" si="36"/>
        <v>53.345104980468747</v>
      </c>
      <c r="X183" s="31">
        <v>29.471223831176758</v>
      </c>
      <c r="Y183" s="31">
        <v>63.95611572265625</v>
      </c>
      <c r="Z183" s="32">
        <f t="shared" si="37"/>
        <v>63.95611572265625</v>
      </c>
      <c r="AA183" s="31">
        <v>29.87959098815918</v>
      </c>
      <c r="AB183" s="31">
        <v>5.7693243026733398</v>
      </c>
      <c r="AC183" s="31">
        <f t="shared" si="38"/>
        <v>0.57693243026733398</v>
      </c>
      <c r="AD183" s="31">
        <v>32.090984344482422</v>
      </c>
      <c r="AE183" s="31">
        <v>1.3941067457199097</v>
      </c>
      <c r="AF183" s="32">
        <f t="shared" si="39"/>
        <v>1.3941067457199097</v>
      </c>
      <c r="AG183" s="31">
        <v>24.88646125793457</v>
      </c>
      <c r="AH183" s="31">
        <v>1741.4036865234375</v>
      </c>
      <c r="AI183" s="31">
        <f t="shared" si="40"/>
        <v>174.14036865234374</v>
      </c>
      <c r="AJ183" s="31">
        <v>27.948446273803711</v>
      </c>
      <c r="AK183" s="31">
        <v>287.71530151367188</v>
      </c>
      <c r="AL183" s="32">
        <f t="shared" si="41"/>
        <v>287.71530151367188</v>
      </c>
    </row>
    <row r="184" spans="1:38" ht="15.15" thickBot="1" x14ac:dyDescent="0.35">
      <c r="A184" s="33" t="s">
        <v>78</v>
      </c>
      <c r="B184" s="30">
        <v>44412</v>
      </c>
      <c r="C184" s="33">
        <v>1000</v>
      </c>
      <c r="D184" s="23" t="s">
        <v>65</v>
      </c>
      <c r="E184" s="30">
        <v>44491</v>
      </c>
      <c r="F184" s="24">
        <v>100</v>
      </c>
      <c r="G184" s="31">
        <v>14.904446601867676</v>
      </c>
      <c r="H184" s="31">
        <v>3157857.75</v>
      </c>
      <c r="I184" s="31">
        <f t="shared" si="45"/>
        <v>3144875.1114461264</v>
      </c>
      <c r="J184" s="31">
        <f t="shared" si="44"/>
        <v>314487.51114461262</v>
      </c>
      <c r="K184" s="31">
        <v>17.79698371887207</v>
      </c>
      <c r="L184" s="31">
        <v>416267.71875</v>
      </c>
      <c r="M184" s="31">
        <f t="shared" si="46"/>
        <v>403285.08019612631</v>
      </c>
      <c r="N184" s="32">
        <f t="shared" si="33"/>
        <v>403285.08019612631</v>
      </c>
      <c r="O184" s="31">
        <v>31.077102661132813</v>
      </c>
      <c r="P184" s="31">
        <v>37.014789581298828</v>
      </c>
      <c r="Q184" s="31">
        <f t="shared" si="34"/>
        <v>3.7014789581298828</v>
      </c>
      <c r="R184" s="31">
        <v>34.536109924316406</v>
      </c>
      <c r="S184" s="31">
        <v>3.368088960647583</v>
      </c>
      <c r="T184" s="32">
        <f t="shared" si="35"/>
        <v>3.368088960647583</v>
      </c>
      <c r="U184" s="31">
        <v>27.313604354858398</v>
      </c>
      <c r="V184" s="31">
        <v>257.59368896484375</v>
      </c>
      <c r="W184" s="31">
        <f t="shared" si="36"/>
        <v>25.759368896484375</v>
      </c>
      <c r="X184" s="31">
        <v>30.790792465209961</v>
      </c>
      <c r="Y184" s="31">
        <v>27.279750823974609</v>
      </c>
      <c r="Z184" s="32">
        <f t="shared" si="37"/>
        <v>27.279750823974609</v>
      </c>
      <c r="AA184" s="31">
        <v>28.132722854614258</v>
      </c>
      <c r="AB184" s="31">
        <v>17.716697692871094</v>
      </c>
      <c r="AC184" s="31">
        <f t="shared" si="38"/>
        <v>1.7716697692871093</v>
      </c>
      <c r="AD184" s="31">
        <v>31.496271133422852</v>
      </c>
      <c r="AE184" s="31">
        <v>2.0425877571105957</v>
      </c>
      <c r="AF184" s="32">
        <f t="shared" si="39"/>
        <v>2.0425877571105957</v>
      </c>
      <c r="AG184" s="31">
        <v>24.569562911987305</v>
      </c>
      <c r="AH184" s="31">
        <v>2098.0966796875</v>
      </c>
      <c r="AI184" s="31">
        <f t="shared" si="40"/>
        <v>209.80966796875001</v>
      </c>
      <c r="AJ184" s="31">
        <v>27.813833236694336</v>
      </c>
      <c r="AK184" s="31">
        <v>311.41461181640625</v>
      </c>
      <c r="AL184" s="32">
        <f t="shared" si="41"/>
        <v>311.41461181640625</v>
      </c>
    </row>
    <row r="185" spans="1:38" ht="15.15" thickBot="1" x14ac:dyDescent="0.35">
      <c r="A185" s="33" t="s">
        <v>79</v>
      </c>
      <c r="B185" s="30">
        <v>44412</v>
      </c>
      <c r="C185" s="33">
        <v>900</v>
      </c>
      <c r="D185" s="23" t="s">
        <v>65</v>
      </c>
      <c r="E185" s="30">
        <v>44491</v>
      </c>
      <c r="F185" s="24">
        <v>100</v>
      </c>
      <c r="G185" s="31">
        <v>13.812255859375</v>
      </c>
      <c r="H185" s="31">
        <v>6787010.5</v>
      </c>
      <c r="I185" s="31">
        <f t="shared" si="45"/>
        <v>6774027.8614461264</v>
      </c>
      <c r="J185" s="31">
        <f t="shared" si="44"/>
        <v>752669.76238290302</v>
      </c>
      <c r="K185" s="31">
        <v>16.899646759033203</v>
      </c>
      <c r="L185" s="31">
        <v>780506.9375</v>
      </c>
      <c r="M185" s="31">
        <f t="shared" si="46"/>
        <v>767524.29894612625</v>
      </c>
      <c r="N185" s="32">
        <f t="shared" si="33"/>
        <v>852804.7766068069</v>
      </c>
      <c r="O185" s="31">
        <v>31.55195426940918</v>
      </c>
      <c r="P185" s="31">
        <v>26.635950088500977</v>
      </c>
      <c r="Q185" s="31">
        <f t="shared" si="34"/>
        <v>2.9595500098334417</v>
      </c>
      <c r="R185" s="31">
        <v>33.41455078125</v>
      </c>
      <c r="S185" s="31">
        <v>7.3268604278564453</v>
      </c>
      <c r="T185" s="32">
        <f t="shared" si="35"/>
        <v>8.1409560309516067</v>
      </c>
      <c r="U185" s="31">
        <v>27.185388565063477</v>
      </c>
      <c r="V185" s="31">
        <v>279.82742309570313</v>
      </c>
      <c r="W185" s="31">
        <f t="shared" si="36"/>
        <v>31.091935899522568</v>
      </c>
      <c r="X185" s="31">
        <v>29.698253631591797</v>
      </c>
      <c r="Y185" s="31">
        <v>55.235332489013672</v>
      </c>
      <c r="Z185" s="32">
        <f t="shared" si="37"/>
        <v>61.372591654459633</v>
      </c>
      <c r="AA185" s="31">
        <v>26.801422119140625</v>
      </c>
      <c r="AB185" s="31">
        <v>41.660598754882813</v>
      </c>
      <c r="AC185" s="31">
        <f t="shared" si="38"/>
        <v>4.6289554172092018</v>
      </c>
      <c r="AD185" s="31">
        <v>30.105449676513672</v>
      </c>
      <c r="AE185" s="31">
        <v>4.9902887344360352</v>
      </c>
      <c r="AF185" s="32">
        <f t="shared" si="39"/>
        <v>5.5447652604844837</v>
      </c>
      <c r="AG185" s="31">
        <v>24.452770233154297</v>
      </c>
      <c r="AH185" s="31">
        <v>2247.246826171875</v>
      </c>
      <c r="AI185" s="31">
        <f t="shared" si="40"/>
        <v>249.694091796875</v>
      </c>
      <c r="AJ185" s="31">
        <v>28.018842697143555</v>
      </c>
      <c r="AK185" s="31">
        <v>276.048828125</v>
      </c>
      <c r="AL185" s="32">
        <f t="shared" si="41"/>
        <v>306.72092013888891</v>
      </c>
    </row>
    <row r="186" spans="1:38" ht="15.15" thickBot="1" x14ac:dyDescent="0.35">
      <c r="A186" s="33" t="s">
        <v>80</v>
      </c>
      <c r="B186" s="30">
        <v>44412</v>
      </c>
      <c r="C186" s="33">
        <v>1000</v>
      </c>
      <c r="D186" s="23" t="s">
        <v>65</v>
      </c>
      <c r="E186" s="30">
        <v>44491</v>
      </c>
      <c r="F186" s="24">
        <v>100</v>
      </c>
      <c r="G186" s="31">
        <v>21.251625061035156</v>
      </c>
      <c r="H186" s="31">
        <v>37011.734375</v>
      </c>
      <c r="I186" s="31">
        <f t="shared" si="45"/>
        <v>24029.095821126302</v>
      </c>
      <c r="J186" s="31">
        <f t="shared" si="44"/>
        <v>2402.9095821126302</v>
      </c>
      <c r="K186" s="31">
        <v>23.986415863037109</v>
      </c>
      <c r="L186" s="31">
        <v>5448.9404296875</v>
      </c>
      <c r="M186" s="31">
        <f t="shared" si="46"/>
        <v>-7533.6981241861977</v>
      </c>
      <c r="N186" s="32">
        <f t="shared" si="33"/>
        <v>-7533.6981241861977</v>
      </c>
      <c r="O186" s="31">
        <v>31.858633041381836</v>
      </c>
      <c r="P186" s="31">
        <v>21.53639030456543</v>
      </c>
      <c r="Q186" s="31">
        <f t="shared" si="34"/>
        <v>2.1536390304565431</v>
      </c>
      <c r="R186" s="31">
        <v>36.183986663818359</v>
      </c>
      <c r="S186" s="31">
        <v>1.0751112699508667</v>
      </c>
      <c r="T186" s="32">
        <f t="shared" si="35"/>
        <v>1.0751112699508667</v>
      </c>
      <c r="U186" s="31">
        <v>33.204261779785156</v>
      </c>
      <c r="V186" s="31">
        <v>5.741696834564209</v>
      </c>
      <c r="W186" s="31">
        <f t="shared" si="36"/>
        <v>0.57416968345642094</v>
      </c>
      <c r="X186" s="31">
        <v>39.186714172363281</v>
      </c>
      <c r="Y186" s="31">
        <v>0.12061562389135361</v>
      </c>
      <c r="Z186" s="32">
        <f t="shared" si="37"/>
        <v>0.12061562389135361</v>
      </c>
      <c r="AA186" s="31">
        <v>31.345977783203125</v>
      </c>
      <c r="AB186" s="31">
        <v>2.2495849132537842</v>
      </c>
      <c r="AC186" s="31">
        <f t="shared" si="38"/>
        <v>0.22495849132537843</v>
      </c>
      <c r="AD186" t="s">
        <v>66</v>
      </c>
      <c r="AF186" s="32">
        <f t="shared" si="39"/>
        <v>0</v>
      </c>
      <c r="AG186" t="s">
        <v>66</v>
      </c>
      <c r="AI186" s="31">
        <f t="shared" si="40"/>
        <v>0</v>
      </c>
      <c r="AJ186" t="s">
        <v>66</v>
      </c>
      <c r="AL186" s="32">
        <f t="shared" si="41"/>
        <v>0</v>
      </c>
    </row>
    <row r="187" spans="1:38" ht="15.15" thickBot="1" x14ac:dyDescent="0.35">
      <c r="A187" s="33" t="s">
        <v>81</v>
      </c>
      <c r="B187" s="30">
        <v>44412</v>
      </c>
      <c r="C187" s="33">
        <v>960</v>
      </c>
      <c r="D187" s="23" t="s">
        <v>65</v>
      </c>
      <c r="E187" s="30">
        <v>44491</v>
      </c>
      <c r="F187" s="24">
        <v>100</v>
      </c>
      <c r="G187" s="31">
        <v>16.407098770141602</v>
      </c>
      <c r="H187" s="31">
        <v>1102119.375</v>
      </c>
      <c r="I187" s="31">
        <f t="shared" ref="I187:I235" si="47">H187-$H$242</f>
        <v>1089136.7364461264</v>
      </c>
      <c r="J187" s="31">
        <f t="shared" si="44"/>
        <v>113451.74337980483</v>
      </c>
      <c r="K187" s="31">
        <v>19.825040817260742</v>
      </c>
      <c r="L187" s="31">
        <v>100545.0390625</v>
      </c>
      <c r="M187" s="31">
        <f t="shared" ref="M187:M235" si="48">L187-$H$242</f>
        <v>87562.400508626306</v>
      </c>
      <c r="N187" s="32">
        <f t="shared" ref="N187:N235" si="49">(M187*($F187*10))/($C187)</f>
        <v>91210.833863152409</v>
      </c>
      <c r="O187" s="31">
        <v>29.789213180541992</v>
      </c>
      <c r="P187" s="31">
        <v>90.358062744140625</v>
      </c>
      <c r="Q187" s="31">
        <f t="shared" ref="Q187:Q235" si="50">(P187*$F187)/$C187</f>
        <v>9.4122982025146484</v>
      </c>
      <c r="R187" s="31">
        <v>36.642097473144531</v>
      </c>
      <c r="S187" s="31">
        <v>0.7826804518699646</v>
      </c>
      <c r="T187" s="32">
        <f t="shared" ref="T187:T235" si="51">(S187*($F187*10))/($C187)</f>
        <v>0.81529213736454642</v>
      </c>
      <c r="U187" s="31">
        <v>32.806941986083984</v>
      </c>
      <c r="V187" s="31">
        <v>7.4209437370300293</v>
      </c>
      <c r="W187" s="31">
        <f t="shared" ref="W187:W235" si="52">(V187*$F187)/$C187</f>
        <v>0.77301497260729468</v>
      </c>
      <c r="X187" s="31">
        <v>37.584175109863281</v>
      </c>
      <c r="Y187" s="31">
        <v>0.33946701884269714</v>
      </c>
      <c r="Z187" s="32">
        <f t="shared" ref="Z187:Z235" si="53">(Y187*($F187*10))/($C187)</f>
        <v>0.35361147796114284</v>
      </c>
      <c r="AA187" s="31">
        <v>30.51911735534668</v>
      </c>
      <c r="AB187" s="31">
        <v>3.8259599208831787</v>
      </c>
      <c r="AC187" s="31">
        <f t="shared" ref="AC187:AC235" si="54">(AB187*$F187)/$C187</f>
        <v>0.39853749175866443</v>
      </c>
      <c r="AD187" s="31">
        <v>32.136444091796875</v>
      </c>
      <c r="AE187" s="31">
        <v>1.3539911508560181</v>
      </c>
      <c r="AF187" s="32">
        <f t="shared" ref="AF187:AF235" si="55">(AE187*($F187*10))/($C187)</f>
        <v>1.4104074488083522</v>
      </c>
      <c r="AG187" t="s">
        <v>66</v>
      </c>
      <c r="AI187" s="31">
        <f t="shared" ref="AI187:AI235" si="56">(AH187*$F187)/$C187</f>
        <v>0</v>
      </c>
      <c r="AJ187" s="31">
        <v>39.022430419921875</v>
      </c>
      <c r="AK187" s="31">
        <v>0.42757195234298706</v>
      </c>
      <c r="AL187" s="32">
        <f t="shared" ref="AL187:AL235" si="57">(AK187*($F187*10))/($C187)</f>
        <v>0.44538745035727817</v>
      </c>
    </row>
    <row r="188" spans="1:38" ht="15.15" thickBot="1" x14ac:dyDescent="0.35">
      <c r="A188" s="33" t="s">
        <v>64</v>
      </c>
      <c r="B188" s="30">
        <v>44419</v>
      </c>
      <c r="C188" s="33">
        <v>940</v>
      </c>
      <c r="D188" s="23" t="s">
        <v>65</v>
      </c>
      <c r="E188" s="30">
        <v>44501</v>
      </c>
      <c r="F188" s="24">
        <v>100</v>
      </c>
      <c r="G188" s="31">
        <v>19.156782150268555</v>
      </c>
      <c r="H188" s="31">
        <v>160572.1875</v>
      </c>
      <c r="I188" s="31">
        <f t="shared" si="47"/>
        <v>147589.54894612631</v>
      </c>
      <c r="J188" s="31">
        <f t="shared" si="44"/>
        <v>15701.015845332586</v>
      </c>
      <c r="K188" s="31">
        <v>22.508766174316406</v>
      </c>
      <c r="L188" s="31">
        <v>15341.552734375</v>
      </c>
      <c r="M188" s="31">
        <f t="shared" si="48"/>
        <v>2358.9141805013023</v>
      </c>
      <c r="N188" s="32">
        <f t="shared" si="49"/>
        <v>2509.4831707460662</v>
      </c>
      <c r="O188" s="31">
        <v>32.512104034423828</v>
      </c>
      <c r="P188" s="31">
        <v>13.693364143371582</v>
      </c>
      <c r="Q188" s="31">
        <f t="shared" si="50"/>
        <v>1.4567408663161256</v>
      </c>
      <c r="R188" s="31">
        <v>36.292255401611328</v>
      </c>
      <c r="S188" s="31">
        <v>0.99740099906921387</v>
      </c>
      <c r="T188" s="32">
        <f t="shared" si="51"/>
        <v>1.0610648926268234</v>
      </c>
      <c r="U188" s="31">
        <v>32.398563385009766</v>
      </c>
      <c r="V188" s="31">
        <v>9.6600465774536133</v>
      </c>
      <c r="W188" s="31">
        <f t="shared" si="52"/>
        <v>1.0276645295163418</v>
      </c>
      <c r="X188" s="31">
        <v>34.338115692138672</v>
      </c>
      <c r="Y188" s="31">
        <v>2.7610726356506348</v>
      </c>
      <c r="Z188" s="32">
        <f t="shared" si="53"/>
        <v>2.9373113145219518</v>
      </c>
      <c r="AA188" s="31">
        <v>30.087734222412109</v>
      </c>
      <c r="AB188" s="31">
        <v>5.0473923683166504</v>
      </c>
      <c r="AC188" s="31">
        <f t="shared" si="54"/>
        <v>0.53695663492730328</v>
      </c>
      <c r="AD188" t="s">
        <v>66</v>
      </c>
      <c r="AF188" s="32">
        <f t="shared" si="55"/>
        <v>0</v>
      </c>
      <c r="AG188" s="31">
        <v>39.613780975341797</v>
      </c>
      <c r="AH188" s="31">
        <v>0.3019927442073822</v>
      </c>
      <c r="AI188" s="31">
        <f t="shared" si="56"/>
        <v>3.2126887681636407E-2</v>
      </c>
      <c r="AJ188" t="s">
        <v>66</v>
      </c>
      <c r="AL188" s="32">
        <f t="shared" si="57"/>
        <v>0</v>
      </c>
    </row>
    <row r="189" spans="1:38" ht="15.15" thickBot="1" x14ac:dyDescent="0.35">
      <c r="A189" s="33" t="s">
        <v>67</v>
      </c>
      <c r="B189" s="30">
        <v>44419</v>
      </c>
      <c r="C189" s="33">
        <v>950</v>
      </c>
      <c r="D189" s="23" t="s">
        <v>65</v>
      </c>
      <c r="E189" s="30">
        <v>44501</v>
      </c>
      <c r="F189" s="24">
        <v>100</v>
      </c>
      <c r="G189" s="31">
        <v>17.739261627197266</v>
      </c>
      <c r="H189" s="31">
        <v>433445</v>
      </c>
      <c r="I189" s="31">
        <f t="shared" si="47"/>
        <v>420462.36144612631</v>
      </c>
      <c r="J189" s="31">
        <f t="shared" si="44"/>
        <v>44259.195941697508</v>
      </c>
      <c r="K189" s="31">
        <v>21.156517028808594</v>
      </c>
      <c r="L189" s="31">
        <v>39561.69921875</v>
      </c>
      <c r="M189" s="31">
        <f t="shared" si="48"/>
        <v>26579.060664876302</v>
      </c>
      <c r="N189" s="32">
        <f t="shared" si="49"/>
        <v>27977.958594606633</v>
      </c>
      <c r="O189" s="31">
        <v>31.612228393554688</v>
      </c>
      <c r="P189" s="31">
        <v>25.546337127685547</v>
      </c>
      <c r="Q189" s="31">
        <f t="shared" si="50"/>
        <v>2.6890881187037419</v>
      </c>
      <c r="R189" s="31">
        <v>35.840137481689453</v>
      </c>
      <c r="S189" s="31">
        <v>1.3643794059753418</v>
      </c>
      <c r="T189" s="32">
        <f t="shared" si="51"/>
        <v>1.4361888483950966</v>
      </c>
      <c r="U189" s="31">
        <v>31.790031433105469</v>
      </c>
      <c r="V189" s="31">
        <v>14.309601783752441</v>
      </c>
      <c r="W189" s="31">
        <f t="shared" si="52"/>
        <v>1.5062738719739412</v>
      </c>
      <c r="X189" s="31">
        <v>34.282062530517578</v>
      </c>
      <c r="Y189" s="31">
        <v>2.8628370761871338</v>
      </c>
      <c r="Z189" s="32">
        <f t="shared" si="53"/>
        <v>3.0135127117759302</v>
      </c>
      <c r="AA189" s="31">
        <v>30.44000244140625</v>
      </c>
      <c r="AB189" s="31">
        <v>4.0253915786743164</v>
      </c>
      <c r="AC189" s="31">
        <f t="shared" si="54"/>
        <v>0.42372542933413859</v>
      </c>
      <c r="AD189" t="s">
        <v>66</v>
      </c>
      <c r="AF189" s="32">
        <f t="shared" si="55"/>
        <v>0</v>
      </c>
      <c r="AG189" s="31">
        <v>37.237514495849609</v>
      </c>
      <c r="AH189" s="31">
        <v>1.2212979793548584</v>
      </c>
      <c r="AI189" s="31">
        <f t="shared" si="56"/>
        <v>0.12855768203735352</v>
      </c>
      <c r="AJ189" t="s">
        <v>66</v>
      </c>
      <c r="AL189" s="32">
        <f t="shared" si="57"/>
        <v>0</v>
      </c>
    </row>
    <row r="190" spans="1:38" ht="15.15" thickBot="1" x14ac:dyDescent="0.35">
      <c r="A190" s="33" t="s">
        <v>68</v>
      </c>
      <c r="B190" s="30">
        <v>44419</v>
      </c>
      <c r="C190" s="33">
        <v>900</v>
      </c>
      <c r="D190" s="23" t="s">
        <v>65</v>
      </c>
      <c r="E190" s="30">
        <v>44501</v>
      </c>
      <c r="F190" s="24">
        <v>100</v>
      </c>
      <c r="G190" s="31">
        <v>17.805286407470703</v>
      </c>
      <c r="H190" s="31">
        <v>413853.625</v>
      </c>
      <c r="I190" s="31">
        <f t="shared" si="47"/>
        <v>400870.98644612631</v>
      </c>
      <c r="J190" s="31">
        <f t="shared" si="44"/>
        <v>44541.220716236261</v>
      </c>
      <c r="K190" s="31">
        <v>20.795173645019531</v>
      </c>
      <c r="L190" s="31">
        <v>50957.64453125</v>
      </c>
      <c r="M190" s="31">
        <f t="shared" si="48"/>
        <v>37975.005977376306</v>
      </c>
      <c r="N190" s="32">
        <f t="shared" si="49"/>
        <v>42194.451085973669</v>
      </c>
      <c r="O190" s="31">
        <v>29.904788970947266</v>
      </c>
      <c r="P190" s="31">
        <v>83.403495788574219</v>
      </c>
      <c r="Q190" s="31">
        <f t="shared" si="50"/>
        <v>9.267055087619358</v>
      </c>
      <c r="R190" s="31">
        <v>34.491390228271484</v>
      </c>
      <c r="S190" s="31">
        <v>3.4740974903106689</v>
      </c>
      <c r="T190" s="32">
        <f t="shared" si="51"/>
        <v>3.86010832256741</v>
      </c>
      <c r="U190" s="31">
        <v>33.143051147460938</v>
      </c>
      <c r="V190" s="31">
        <v>5.9731760025024414</v>
      </c>
      <c r="W190" s="31">
        <f t="shared" si="52"/>
        <v>0.66368622250027132</v>
      </c>
      <c r="X190" t="s">
        <v>66</v>
      </c>
      <c r="Z190" s="32">
        <f t="shared" si="53"/>
        <v>0</v>
      </c>
      <c r="AA190" s="31">
        <v>29.661544799804688</v>
      </c>
      <c r="AB190" s="31">
        <v>6.6365909576416016</v>
      </c>
      <c r="AC190" s="31">
        <f t="shared" si="54"/>
        <v>0.73739899529351127</v>
      </c>
      <c r="AD190" t="s">
        <v>66</v>
      </c>
      <c r="AF190" s="32">
        <f t="shared" si="55"/>
        <v>0</v>
      </c>
      <c r="AG190" t="s">
        <v>66</v>
      </c>
      <c r="AI190" s="31">
        <f t="shared" si="56"/>
        <v>0</v>
      </c>
      <c r="AJ190" t="s">
        <v>66</v>
      </c>
      <c r="AL190" s="32">
        <f t="shared" si="57"/>
        <v>0</v>
      </c>
    </row>
    <row r="191" spans="1:38" ht="15.15" thickBot="1" x14ac:dyDescent="0.35">
      <c r="A191" s="33" t="s">
        <v>69</v>
      </c>
      <c r="B191" s="30">
        <v>44419</v>
      </c>
      <c r="C191" s="33">
        <v>900</v>
      </c>
      <c r="D191" s="23" t="s">
        <v>65</v>
      </c>
      <c r="E191" s="30">
        <v>44501</v>
      </c>
      <c r="F191" s="24">
        <v>100</v>
      </c>
      <c r="G191" s="31">
        <v>17.875970840454102</v>
      </c>
      <c r="H191" s="31">
        <v>393860</v>
      </c>
      <c r="I191" s="31">
        <f t="shared" si="47"/>
        <v>380877.36144612631</v>
      </c>
      <c r="J191" s="31">
        <f t="shared" si="44"/>
        <v>42319.706827347371</v>
      </c>
      <c r="K191" s="31">
        <v>20.883537292480469</v>
      </c>
      <c r="L191" s="31">
        <v>47898.921875</v>
      </c>
      <c r="M191" s="31">
        <f t="shared" si="48"/>
        <v>34916.283321126306</v>
      </c>
      <c r="N191" s="32">
        <f t="shared" si="49"/>
        <v>38795.870356807005</v>
      </c>
      <c r="O191" s="31">
        <v>30.768043518066406</v>
      </c>
      <c r="P191" s="31">
        <v>45.855022430419922</v>
      </c>
      <c r="Q191" s="31">
        <f t="shared" si="50"/>
        <v>5.0950024922688799</v>
      </c>
      <c r="R191" s="31">
        <v>32.846073150634766</v>
      </c>
      <c r="S191" s="31">
        <v>10.864301681518555</v>
      </c>
      <c r="T191" s="32">
        <f t="shared" si="51"/>
        <v>12.071446312798393</v>
      </c>
      <c r="U191" s="31">
        <v>33.531646728515625</v>
      </c>
      <c r="V191" s="31">
        <v>4.6476445198059082</v>
      </c>
      <c r="W191" s="31">
        <f t="shared" si="52"/>
        <v>0.51640494664510095</v>
      </c>
      <c r="X191" s="31">
        <v>35.393112182617188</v>
      </c>
      <c r="Y191" s="31">
        <v>1.39710533618927</v>
      </c>
      <c r="Z191" s="32">
        <f t="shared" si="53"/>
        <v>1.5523392624325223</v>
      </c>
      <c r="AA191" s="31">
        <v>26.883220672607422</v>
      </c>
      <c r="AB191" s="31">
        <v>39.528400421142578</v>
      </c>
      <c r="AC191" s="31">
        <f t="shared" si="54"/>
        <v>4.3920444912380638</v>
      </c>
      <c r="AD191" s="31">
        <v>31.106695175170898</v>
      </c>
      <c r="AE191" s="31">
        <v>2.6232881546020508</v>
      </c>
      <c r="AF191" s="32">
        <f t="shared" si="55"/>
        <v>2.9147646162245007</v>
      </c>
      <c r="AG191" s="31">
        <v>38.205024719238281</v>
      </c>
      <c r="AH191" s="31">
        <v>0.69143187999725342</v>
      </c>
      <c r="AI191" s="31">
        <f t="shared" si="56"/>
        <v>7.6825764444139272E-2</v>
      </c>
      <c r="AJ191" t="s">
        <v>66</v>
      </c>
      <c r="AL191" s="32">
        <f t="shared" si="57"/>
        <v>0</v>
      </c>
    </row>
    <row r="192" spans="1:38" ht="15.15" thickBot="1" x14ac:dyDescent="0.35">
      <c r="A192" s="33" t="s">
        <v>70</v>
      </c>
      <c r="B192" s="30">
        <v>44419</v>
      </c>
      <c r="C192" s="33">
        <v>970</v>
      </c>
      <c r="D192" s="23" t="s">
        <v>65</v>
      </c>
      <c r="E192" s="30">
        <v>44501</v>
      </c>
      <c r="F192" s="24">
        <v>100</v>
      </c>
      <c r="G192" s="31">
        <v>18.42497444152832</v>
      </c>
      <c r="H192" s="31">
        <v>268110.65625</v>
      </c>
      <c r="I192" s="31">
        <f t="shared" si="47"/>
        <v>255128.01769612631</v>
      </c>
      <c r="J192" s="31">
        <f t="shared" si="44"/>
        <v>26301.857494446009</v>
      </c>
      <c r="K192" s="31">
        <v>21.8284912109375</v>
      </c>
      <c r="L192" s="31">
        <v>24707.841796875</v>
      </c>
      <c r="M192" s="31">
        <f t="shared" si="48"/>
        <v>11725.203243001302</v>
      </c>
      <c r="N192" s="32">
        <f t="shared" si="49"/>
        <v>12087.838394846704</v>
      </c>
      <c r="O192" s="31">
        <v>30.832712173461914</v>
      </c>
      <c r="P192" s="31">
        <v>43.845481872558594</v>
      </c>
      <c r="Q192" s="31">
        <f t="shared" si="50"/>
        <v>4.5201527703668649</v>
      </c>
      <c r="R192" s="31">
        <v>33.352619171142578</v>
      </c>
      <c r="S192" s="31">
        <v>7.6481480598449707</v>
      </c>
      <c r="T192" s="32">
        <f t="shared" si="51"/>
        <v>7.8846887214896606</v>
      </c>
      <c r="U192" s="31">
        <v>35.981620788574219</v>
      </c>
      <c r="V192" s="31">
        <v>0.95542341470718384</v>
      </c>
      <c r="W192" s="31">
        <f t="shared" si="52"/>
        <v>9.8497259248163285E-2</v>
      </c>
      <c r="X192" t="s">
        <v>66</v>
      </c>
      <c r="Z192" s="32">
        <f t="shared" si="53"/>
        <v>0</v>
      </c>
      <c r="AA192" s="31">
        <v>30.977235794067383</v>
      </c>
      <c r="AB192" s="31">
        <v>2.8507320880889893</v>
      </c>
      <c r="AC192" s="31">
        <f t="shared" si="54"/>
        <v>0.29388990598855558</v>
      </c>
      <c r="AD192" t="s">
        <v>66</v>
      </c>
      <c r="AF192" s="32">
        <f t="shared" si="55"/>
        <v>0</v>
      </c>
      <c r="AG192" s="31">
        <v>35.710826873779297</v>
      </c>
      <c r="AH192" s="31">
        <v>2.9970262050628662</v>
      </c>
      <c r="AI192" s="31">
        <f t="shared" si="56"/>
        <v>0.30897177371782125</v>
      </c>
      <c r="AJ192" t="s">
        <v>66</v>
      </c>
      <c r="AL192" s="32">
        <f t="shared" si="57"/>
        <v>0</v>
      </c>
    </row>
    <row r="193" spans="1:38" ht="15.15" thickBot="1" x14ac:dyDescent="0.35">
      <c r="A193" s="33" t="s">
        <v>71</v>
      </c>
      <c r="B193" s="30">
        <v>44419</v>
      </c>
      <c r="C193" s="33">
        <v>900</v>
      </c>
      <c r="D193" s="23" t="s">
        <v>65</v>
      </c>
      <c r="E193" s="30">
        <v>44501</v>
      </c>
      <c r="F193" s="24">
        <v>100</v>
      </c>
      <c r="G193" s="31">
        <v>19.006036758422852</v>
      </c>
      <c r="H193" s="31">
        <v>178456.6875</v>
      </c>
      <c r="I193" s="31">
        <f t="shared" si="47"/>
        <v>165474.04894612631</v>
      </c>
      <c r="J193" s="31">
        <f t="shared" si="44"/>
        <v>18386.00543845848</v>
      </c>
      <c r="K193" s="31">
        <v>22.813756942749023</v>
      </c>
      <c r="L193" s="31">
        <v>12390.234375</v>
      </c>
      <c r="M193" s="31">
        <f t="shared" si="48"/>
        <v>-592.40417887369767</v>
      </c>
      <c r="N193" s="32">
        <f t="shared" si="49"/>
        <v>-658.22686541521955</v>
      </c>
      <c r="O193" s="31">
        <v>32.299423217773438</v>
      </c>
      <c r="P193" s="31">
        <v>15.8677978515625</v>
      </c>
      <c r="Q193" s="31">
        <f t="shared" si="50"/>
        <v>1.7630886501736112</v>
      </c>
      <c r="R193" s="31">
        <v>36.962139129638672</v>
      </c>
      <c r="S193" s="31">
        <v>0.62700015306472778</v>
      </c>
      <c r="T193" s="32">
        <f t="shared" si="51"/>
        <v>0.69666683673858643</v>
      </c>
      <c r="U193" t="s">
        <v>66</v>
      </c>
      <c r="W193" s="31">
        <f t="shared" si="52"/>
        <v>0</v>
      </c>
      <c r="X193" t="s">
        <v>66</v>
      </c>
      <c r="Z193" s="32">
        <f t="shared" si="53"/>
        <v>0</v>
      </c>
      <c r="AA193" t="s">
        <v>66</v>
      </c>
      <c r="AC193" s="31">
        <f t="shared" si="54"/>
        <v>0</v>
      </c>
      <c r="AD193" s="31">
        <v>33.627147674560547</v>
      </c>
      <c r="AE193" s="31">
        <v>0.51976919174194336</v>
      </c>
      <c r="AF193" s="32">
        <f t="shared" si="55"/>
        <v>0.57752132415771484</v>
      </c>
      <c r="AG193" s="31">
        <v>35.130546569824219</v>
      </c>
      <c r="AH193" s="31">
        <v>4.2157635688781738</v>
      </c>
      <c r="AI193" s="31">
        <f t="shared" si="56"/>
        <v>0.4684181743197971</v>
      </c>
      <c r="AJ193" t="s">
        <v>66</v>
      </c>
      <c r="AL193" s="32">
        <f t="shared" si="57"/>
        <v>0</v>
      </c>
    </row>
    <row r="194" spans="1:38" ht="15.15" thickBot="1" x14ac:dyDescent="0.35">
      <c r="A194" s="33" t="s">
        <v>72</v>
      </c>
      <c r="B194" s="30">
        <v>44419</v>
      </c>
      <c r="C194" s="33">
        <v>900</v>
      </c>
      <c r="D194" s="23" t="s">
        <v>65</v>
      </c>
      <c r="E194" s="30">
        <v>44501</v>
      </c>
      <c r="F194" s="24">
        <v>100</v>
      </c>
      <c r="G194" s="31">
        <v>14.459794044494629</v>
      </c>
      <c r="H194" s="31">
        <v>4311940.5</v>
      </c>
      <c r="I194" s="31">
        <f t="shared" si="47"/>
        <v>4298957.8614461264</v>
      </c>
      <c r="J194" s="31">
        <f t="shared" si="44"/>
        <v>477661.98460512515</v>
      </c>
      <c r="K194" s="31">
        <v>17.597894668579102</v>
      </c>
      <c r="L194" s="31">
        <v>478567.5</v>
      </c>
      <c r="M194" s="31">
        <f t="shared" si="48"/>
        <v>465584.86144612631</v>
      </c>
      <c r="N194" s="32">
        <f t="shared" si="49"/>
        <v>517316.51271791809</v>
      </c>
      <c r="O194" s="31">
        <v>29.306299209594727</v>
      </c>
      <c r="P194" s="31">
        <v>126.27005004882813</v>
      </c>
      <c r="Q194" s="31">
        <f t="shared" si="50"/>
        <v>14.030005560980904</v>
      </c>
      <c r="R194" s="31">
        <v>33.101203918457031</v>
      </c>
      <c r="S194" s="31">
        <v>9.1037425994873047</v>
      </c>
      <c r="T194" s="32">
        <f t="shared" si="51"/>
        <v>10.115269554985893</v>
      </c>
      <c r="U194" s="31">
        <v>29.873462677001953</v>
      </c>
      <c r="V194" s="31">
        <v>49.326892852783203</v>
      </c>
      <c r="W194" s="31">
        <f t="shared" si="52"/>
        <v>5.4807658725314674</v>
      </c>
      <c r="X194" s="31">
        <v>33.298820495605469</v>
      </c>
      <c r="Y194" s="31">
        <v>5.4016132354736328</v>
      </c>
      <c r="Z194" s="32">
        <f t="shared" si="53"/>
        <v>6.0017924838595924</v>
      </c>
      <c r="AA194" s="31">
        <v>22.675451278686523</v>
      </c>
      <c r="AB194" s="31">
        <v>589.6466064453125</v>
      </c>
      <c r="AC194" s="31">
        <f t="shared" si="54"/>
        <v>65.516289605034729</v>
      </c>
      <c r="AD194" s="31">
        <v>26.201759338378906</v>
      </c>
      <c r="AE194" s="31">
        <v>61.233737945556641</v>
      </c>
      <c r="AF194" s="32">
        <f t="shared" si="55"/>
        <v>68.037486606174042</v>
      </c>
      <c r="AG194" s="31">
        <v>38.211170196533203</v>
      </c>
      <c r="AH194" s="31">
        <v>0.68893784284591675</v>
      </c>
      <c r="AI194" s="31">
        <f t="shared" si="56"/>
        <v>7.6548649205101862E-2</v>
      </c>
      <c r="AJ194" t="s">
        <v>66</v>
      </c>
      <c r="AL194" s="32">
        <f t="shared" si="57"/>
        <v>0</v>
      </c>
    </row>
    <row r="195" spans="1:38" ht="15.15" thickBot="1" x14ac:dyDescent="0.35">
      <c r="A195" s="33" t="s">
        <v>73</v>
      </c>
      <c r="B195" s="30">
        <v>44419</v>
      </c>
      <c r="C195" s="33">
        <v>930</v>
      </c>
      <c r="D195" s="23" t="s">
        <v>65</v>
      </c>
      <c r="E195" s="30">
        <v>44501</v>
      </c>
      <c r="F195" s="24">
        <v>100</v>
      </c>
      <c r="G195" s="31">
        <v>16.510168075561523</v>
      </c>
      <c r="H195" s="31">
        <v>1025347.3125</v>
      </c>
      <c r="I195" s="31">
        <f t="shared" si="47"/>
        <v>1012364.6739461262</v>
      </c>
      <c r="J195" s="31">
        <f t="shared" si="44"/>
        <v>108856.41655334691</v>
      </c>
      <c r="K195" s="31">
        <v>19.478096008300781</v>
      </c>
      <c r="L195" s="31">
        <v>128207.796875</v>
      </c>
      <c r="M195" s="31">
        <f t="shared" si="48"/>
        <v>115225.15832112631</v>
      </c>
      <c r="N195" s="32">
        <f t="shared" si="49"/>
        <v>123898.01970013582</v>
      </c>
      <c r="O195" s="31">
        <v>31.713201522827148</v>
      </c>
      <c r="P195" s="31">
        <v>23.819940567016602</v>
      </c>
      <c r="Q195" s="31">
        <f t="shared" si="50"/>
        <v>2.5612839319372691</v>
      </c>
      <c r="R195" s="31">
        <v>33.027683258056641</v>
      </c>
      <c r="S195" s="31">
        <v>9.5795717239379883</v>
      </c>
      <c r="T195" s="32">
        <f t="shared" si="51"/>
        <v>10.300614756922569</v>
      </c>
      <c r="U195" s="31">
        <v>27.715202331542969</v>
      </c>
      <c r="V195" s="31">
        <v>198.75433349609375</v>
      </c>
      <c r="W195" s="31">
        <f t="shared" si="52"/>
        <v>21.371433709257392</v>
      </c>
      <c r="X195" s="31">
        <v>31.813934326171875</v>
      </c>
      <c r="Y195" s="31">
        <v>14.090439796447754</v>
      </c>
      <c r="Z195" s="32">
        <f t="shared" si="53"/>
        <v>15.151010533814789</v>
      </c>
      <c r="AA195" s="31">
        <v>29.124979019165039</v>
      </c>
      <c r="AB195" s="31">
        <v>9.3672161102294922</v>
      </c>
      <c r="AC195" s="31">
        <f t="shared" si="54"/>
        <v>1.0072275387343539</v>
      </c>
      <c r="AD195" s="31">
        <v>31.792131423950195</v>
      </c>
      <c r="AE195" s="31">
        <v>1.6891014575958252</v>
      </c>
      <c r="AF195" s="32">
        <f t="shared" si="55"/>
        <v>1.8162381264471239</v>
      </c>
      <c r="AG195" t="s">
        <v>66</v>
      </c>
      <c r="AI195" s="31">
        <f t="shared" si="56"/>
        <v>0</v>
      </c>
      <c r="AJ195" t="s">
        <v>66</v>
      </c>
      <c r="AL195" s="32">
        <f t="shared" si="57"/>
        <v>0</v>
      </c>
    </row>
    <row r="196" spans="1:38" ht="15.15" thickBot="1" x14ac:dyDescent="0.35">
      <c r="A196" s="33" t="s">
        <v>74</v>
      </c>
      <c r="B196" s="30">
        <v>44419</v>
      </c>
      <c r="C196" s="33">
        <v>1000</v>
      </c>
      <c r="D196" s="23" t="s">
        <v>65</v>
      </c>
      <c r="E196" s="30">
        <v>44501</v>
      </c>
      <c r="F196" s="24">
        <v>100</v>
      </c>
      <c r="G196" s="31">
        <v>18.500480651855469</v>
      </c>
      <c r="H196" s="31">
        <v>254297.578125</v>
      </c>
      <c r="I196" s="31">
        <f t="shared" si="47"/>
        <v>241314.93957112631</v>
      </c>
      <c r="J196" s="31">
        <f t="shared" si="44"/>
        <v>24131.493957112631</v>
      </c>
      <c r="K196" s="31">
        <v>21.589138031005859</v>
      </c>
      <c r="L196" s="31">
        <v>29218.314453125</v>
      </c>
      <c r="M196" s="31">
        <f t="shared" si="48"/>
        <v>16235.675899251302</v>
      </c>
      <c r="N196" s="32">
        <f t="shared" si="49"/>
        <v>16235.675899251302</v>
      </c>
      <c r="O196" s="31">
        <v>29.808658599853516</v>
      </c>
      <c r="P196" s="31">
        <v>89.148651123046875</v>
      </c>
      <c r="Q196" s="31">
        <f t="shared" si="50"/>
        <v>8.9148651123046871</v>
      </c>
      <c r="R196" s="31">
        <v>32.615322113037109</v>
      </c>
      <c r="S196" s="31">
        <v>12.748132705688477</v>
      </c>
      <c r="T196" s="32">
        <f t="shared" si="51"/>
        <v>12.748132705688477</v>
      </c>
      <c r="U196" s="31">
        <v>32.183826446533203</v>
      </c>
      <c r="V196" s="31">
        <v>11.096783638000488</v>
      </c>
      <c r="W196" s="31">
        <f t="shared" si="52"/>
        <v>1.1096783638000489</v>
      </c>
      <c r="X196" s="31">
        <v>35.081314086914063</v>
      </c>
      <c r="Y196" s="31">
        <v>1.7086987495422363</v>
      </c>
      <c r="Z196" s="32">
        <f t="shared" si="53"/>
        <v>1.7086987495422363</v>
      </c>
      <c r="AA196" s="31">
        <v>30.048637390136719</v>
      </c>
      <c r="AB196" s="31">
        <v>5.1757397651672363</v>
      </c>
      <c r="AC196" s="31">
        <f t="shared" si="54"/>
        <v>0.51757397651672366</v>
      </c>
      <c r="AD196" t="s">
        <v>66</v>
      </c>
      <c r="AF196" s="32">
        <f t="shared" si="55"/>
        <v>0</v>
      </c>
      <c r="AG196" t="s">
        <v>66</v>
      </c>
      <c r="AI196" s="31">
        <f t="shared" si="56"/>
        <v>0</v>
      </c>
      <c r="AJ196" t="s">
        <v>66</v>
      </c>
      <c r="AL196" s="32">
        <f t="shared" si="57"/>
        <v>0</v>
      </c>
    </row>
    <row r="197" spans="1:38" ht="15.15" thickBot="1" x14ac:dyDescent="0.35">
      <c r="A197" s="33" t="s">
        <v>75</v>
      </c>
      <c r="B197" s="30">
        <v>44419</v>
      </c>
      <c r="C197" s="33">
        <v>870</v>
      </c>
      <c r="D197" s="23" t="s">
        <v>65</v>
      </c>
      <c r="E197" s="30">
        <v>44501</v>
      </c>
      <c r="F197" s="24">
        <v>100</v>
      </c>
      <c r="G197" s="31">
        <v>18.10639762878418</v>
      </c>
      <c r="H197" s="31">
        <v>335148.5</v>
      </c>
      <c r="I197" s="31">
        <f t="shared" si="47"/>
        <v>322165.86144612631</v>
      </c>
      <c r="J197" s="31">
        <f t="shared" si="44"/>
        <v>37030.558786911068</v>
      </c>
      <c r="K197" s="31">
        <v>21.001501083374023</v>
      </c>
      <c r="L197" s="31">
        <v>44099.8046875</v>
      </c>
      <c r="M197" s="31">
        <f t="shared" si="48"/>
        <v>31117.166133626302</v>
      </c>
      <c r="N197" s="32">
        <f t="shared" si="49"/>
        <v>35766.857624857817</v>
      </c>
      <c r="O197" s="31">
        <v>30.091606140136719</v>
      </c>
      <c r="P197" s="31">
        <v>73.275947570800781</v>
      </c>
      <c r="Q197" s="31">
        <f t="shared" si="50"/>
        <v>8.4225227092874455</v>
      </c>
      <c r="R197" s="31">
        <v>33.914192199707031</v>
      </c>
      <c r="S197" s="31">
        <v>5.1826314926147461</v>
      </c>
      <c r="T197" s="32">
        <f t="shared" si="51"/>
        <v>5.9570476926606277</v>
      </c>
      <c r="U197" s="31">
        <v>32.619132995605469</v>
      </c>
      <c r="V197" s="31">
        <v>8.3777179718017578</v>
      </c>
      <c r="W197" s="31">
        <f t="shared" si="52"/>
        <v>0.96295608871284577</v>
      </c>
      <c r="X197" s="31">
        <v>36.211864471435547</v>
      </c>
      <c r="Y197" s="31">
        <v>0.82343536615371704</v>
      </c>
      <c r="Z197" s="32">
        <f t="shared" si="53"/>
        <v>0.94647743236059434</v>
      </c>
      <c r="AA197" s="31">
        <v>30.089418411254883</v>
      </c>
      <c r="AB197" s="31">
        <v>5.041935920715332</v>
      </c>
      <c r="AC197" s="31">
        <f t="shared" si="54"/>
        <v>0.57953286445003815</v>
      </c>
      <c r="AD197" s="31">
        <v>31.346036911010742</v>
      </c>
      <c r="AE197" s="31">
        <v>2.2494993209838867</v>
      </c>
      <c r="AF197" s="32">
        <f t="shared" si="55"/>
        <v>2.5856314034297547</v>
      </c>
      <c r="AG197" t="s">
        <v>66</v>
      </c>
      <c r="AI197" s="31">
        <f t="shared" si="56"/>
        <v>0</v>
      </c>
      <c r="AJ197" t="s">
        <v>66</v>
      </c>
      <c r="AL197" s="32">
        <f t="shared" si="57"/>
        <v>0</v>
      </c>
    </row>
    <row r="198" spans="1:38" ht="15.15" thickBot="1" x14ac:dyDescent="0.35">
      <c r="A198" s="33" t="s">
        <v>76</v>
      </c>
      <c r="B198" s="30">
        <v>44419</v>
      </c>
      <c r="C198" s="33">
        <v>910</v>
      </c>
      <c r="D198" s="23" t="s">
        <v>65</v>
      </c>
      <c r="E198" s="30">
        <v>44501</v>
      </c>
      <c r="F198" s="24">
        <v>100</v>
      </c>
      <c r="G198" s="31">
        <v>16.415937423706055</v>
      </c>
      <c r="H198" s="31">
        <v>1095316.375</v>
      </c>
      <c r="I198" s="31">
        <f t="shared" si="47"/>
        <v>1082333.7364461264</v>
      </c>
      <c r="J198" s="31">
        <f t="shared" si="44"/>
        <v>118937.77323583806</v>
      </c>
      <c r="K198" s="31">
        <v>19.593421936035156</v>
      </c>
      <c r="L198" s="31">
        <v>118257.2890625</v>
      </c>
      <c r="M198" s="31">
        <f t="shared" si="48"/>
        <v>105274.65050862631</v>
      </c>
      <c r="N198" s="32">
        <f t="shared" si="49"/>
        <v>115686.42913035858</v>
      </c>
      <c r="O198" s="31">
        <v>29.755229949951172</v>
      </c>
      <c r="P198" s="31">
        <v>92.51116943359375</v>
      </c>
      <c r="Q198" s="31">
        <f t="shared" si="50"/>
        <v>10.166062575120192</v>
      </c>
      <c r="R198" s="31">
        <v>32.608108520507813</v>
      </c>
      <c r="S198" s="31">
        <v>12.812017440795898</v>
      </c>
      <c r="T198" s="32">
        <f t="shared" si="51"/>
        <v>14.079140044830657</v>
      </c>
      <c r="U198" s="31">
        <v>29.132621765136719</v>
      </c>
      <c r="V198" s="31">
        <v>79.585693359375</v>
      </c>
      <c r="W198" s="31">
        <f t="shared" si="52"/>
        <v>8.7456805889423084</v>
      </c>
      <c r="X198" s="31">
        <v>31.713150024414063</v>
      </c>
      <c r="Y198" s="31">
        <v>15.037898063659668</v>
      </c>
      <c r="Z198" s="32">
        <f t="shared" si="53"/>
        <v>16.525162707318316</v>
      </c>
      <c r="AA198" s="31">
        <v>31.938526153564453</v>
      </c>
      <c r="AB198" s="31">
        <v>1.5375226736068726</v>
      </c>
      <c r="AC198" s="31">
        <f t="shared" si="54"/>
        <v>0.16895853556119478</v>
      </c>
      <c r="AD198" t="s">
        <v>66</v>
      </c>
      <c r="AF198" s="32">
        <f t="shared" si="55"/>
        <v>0</v>
      </c>
      <c r="AG198" s="31">
        <v>25.541072845458984</v>
      </c>
      <c r="AH198" s="31">
        <v>1185.036865234375</v>
      </c>
      <c r="AI198" s="31">
        <f t="shared" si="56"/>
        <v>130.2238313444368</v>
      </c>
      <c r="AJ198" s="31">
        <v>29.203432083129883</v>
      </c>
      <c r="AK198" s="31">
        <v>137.55561828613281</v>
      </c>
      <c r="AL198" s="32">
        <f t="shared" si="57"/>
        <v>151.16002009465143</v>
      </c>
    </row>
    <row r="199" spans="1:38" ht="15.15" thickBot="1" x14ac:dyDescent="0.35">
      <c r="A199" s="33" t="s">
        <v>77</v>
      </c>
      <c r="B199" s="30">
        <v>44419</v>
      </c>
      <c r="C199" s="33">
        <v>850</v>
      </c>
      <c r="D199" s="23" t="s">
        <v>65</v>
      </c>
      <c r="E199" s="30">
        <v>44501</v>
      </c>
      <c r="F199" s="24">
        <v>100</v>
      </c>
      <c r="G199" s="31">
        <v>18.5037841796875</v>
      </c>
      <c r="H199" s="31">
        <v>253709.75</v>
      </c>
      <c r="I199" s="31">
        <f t="shared" si="47"/>
        <v>240727.11144612631</v>
      </c>
      <c r="J199" s="31">
        <f t="shared" si="44"/>
        <v>28320.83664072074</v>
      </c>
      <c r="K199" s="31">
        <v>21.759323120117188</v>
      </c>
      <c r="L199" s="31">
        <v>25934.53125</v>
      </c>
      <c r="M199" s="31">
        <f t="shared" si="48"/>
        <v>12951.892696126302</v>
      </c>
      <c r="N199" s="32">
        <f t="shared" si="49"/>
        <v>15237.520818972122</v>
      </c>
      <c r="O199" s="31">
        <v>30.808965682983398</v>
      </c>
      <c r="P199" s="31">
        <v>44.572948455810547</v>
      </c>
      <c r="Q199" s="31">
        <f t="shared" si="50"/>
        <v>5.2438762889188881</v>
      </c>
      <c r="R199" s="31">
        <v>33.974605560302734</v>
      </c>
      <c r="S199" s="31">
        <v>4.9701428413391113</v>
      </c>
      <c r="T199" s="32">
        <f t="shared" si="51"/>
        <v>5.8472268721636604</v>
      </c>
      <c r="U199" s="31">
        <v>29.390689849853516</v>
      </c>
      <c r="V199" s="31">
        <v>67.369903564453125</v>
      </c>
      <c r="W199" s="31">
        <f t="shared" si="52"/>
        <v>7.925871007582721</v>
      </c>
      <c r="X199" s="31">
        <v>33.546352386474609</v>
      </c>
      <c r="Y199" s="31">
        <v>4.6037216186523438</v>
      </c>
      <c r="Z199" s="32">
        <f t="shared" si="53"/>
        <v>5.4161430807674629</v>
      </c>
      <c r="AA199" s="31">
        <v>31.583585739135742</v>
      </c>
      <c r="AB199" s="31">
        <v>1.9311938285827637</v>
      </c>
      <c r="AC199" s="31">
        <f t="shared" si="54"/>
        <v>0.22719927395091338</v>
      </c>
      <c r="AD199" t="s">
        <v>66</v>
      </c>
      <c r="AF199" s="32">
        <f t="shared" si="55"/>
        <v>0</v>
      </c>
      <c r="AG199" s="31">
        <v>29.538026809692383</v>
      </c>
      <c r="AH199" s="31">
        <v>112.98822021484375</v>
      </c>
      <c r="AI199" s="31">
        <f t="shared" si="56"/>
        <v>13.292731789981618</v>
      </c>
      <c r="AJ199" s="31">
        <v>34.040008544921875</v>
      </c>
      <c r="AK199" s="31">
        <v>8.0050859451293945</v>
      </c>
      <c r="AL199" s="32">
        <f t="shared" si="57"/>
        <v>9.4177481707404649</v>
      </c>
    </row>
    <row r="200" spans="1:38" ht="15.15" thickBot="1" x14ac:dyDescent="0.35">
      <c r="A200" s="33" t="s">
        <v>78</v>
      </c>
      <c r="B200" s="30">
        <v>44419</v>
      </c>
      <c r="C200" s="33">
        <v>1000</v>
      </c>
      <c r="D200" s="23" t="s">
        <v>65</v>
      </c>
      <c r="E200" s="30">
        <v>44501</v>
      </c>
      <c r="F200" s="24">
        <v>100</v>
      </c>
      <c r="G200" s="31">
        <v>14.138412475585938</v>
      </c>
      <c r="H200" s="31">
        <v>5400690.5</v>
      </c>
      <c r="I200" s="31">
        <f t="shared" si="47"/>
        <v>5387707.8614461264</v>
      </c>
      <c r="J200" s="31">
        <f t="shared" si="44"/>
        <v>538770.78614461271</v>
      </c>
      <c r="K200" s="31">
        <v>16.995595932006836</v>
      </c>
      <c r="L200" s="31">
        <v>729769</v>
      </c>
      <c r="M200" s="31">
        <f t="shared" si="48"/>
        <v>716786.36144612625</v>
      </c>
      <c r="N200" s="32">
        <f t="shared" si="49"/>
        <v>716786.36144612625</v>
      </c>
      <c r="O200" s="31">
        <v>31.144521713256836</v>
      </c>
      <c r="P200" s="31">
        <v>35.325263977050781</v>
      </c>
      <c r="Q200" s="31">
        <f t="shared" si="50"/>
        <v>3.532526397705078</v>
      </c>
      <c r="R200" s="31">
        <v>33.450687408447266</v>
      </c>
      <c r="S200" s="31">
        <v>7.1456632614135742</v>
      </c>
      <c r="T200" s="32">
        <f t="shared" si="51"/>
        <v>7.1456632614135742</v>
      </c>
      <c r="U200" s="31">
        <v>27.006975173950195</v>
      </c>
      <c r="V200" s="31">
        <v>313.99453735351563</v>
      </c>
      <c r="W200" s="31">
        <f t="shared" si="52"/>
        <v>31.399453735351564</v>
      </c>
      <c r="X200" s="31">
        <v>29.805810928344727</v>
      </c>
      <c r="Y200" s="31">
        <v>51.529399871826172</v>
      </c>
      <c r="Z200" s="32">
        <f t="shared" si="53"/>
        <v>51.529399871826172</v>
      </c>
      <c r="AA200" s="31">
        <v>30.299774169921875</v>
      </c>
      <c r="AB200" s="31">
        <v>4.4047603607177734</v>
      </c>
      <c r="AC200" s="31">
        <f t="shared" si="54"/>
        <v>0.44047603607177732</v>
      </c>
      <c r="AD200" s="31">
        <v>31.977310180664063</v>
      </c>
      <c r="AE200" s="31">
        <v>1.4996966123580933</v>
      </c>
      <c r="AF200" s="32">
        <f t="shared" si="55"/>
        <v>1.4996966123580933</v>
      </c>
      <c r="AG200" s="31">
        <v>23.694671630859375</v>
      </c>
      <c r="AH200" s="31">
        <v>3509.50390625</v>
      </c>
      <c r="AI200" s="31">
        <f t="shared" si="56"/>
        <v>350.95039062500001</v>
      </c>
      <c r="AJ200" s="31">
        <v>25.227577209472656</v>
      </c>
      <c r="AK200" s="31">
        <v>1424.9150390625</v>
      </c>
      <c r="AL200" s="32">
        <f t="shared" si="57"/>
        <v>1424.9150390625</v>
      </c>
    </row>
    <row r="201" spans="1:38" ht="15.15" thickBot="1" x14ac:dyDescent="0.35">
      <c r="A201" s="33" t="s">
        <v>79</v>
      </c>
      <c r="B201" s="30">
        <v>44419</v>
      </c>
      <c r="C201" s="33">
        <v>1000</v>
      </c>
      <c r="D201" s="23" t="s">
        <v>65</v>
      </c>
      <c r="E201" s="30">
        <v>44501</v>
      </c>
      <c r="F201" s="24">
        <v>100</v>
      </c>
      <c r="G201" s="31">
        <v>14.631511688232422</v>
      </c>
      <c r="H201" s="31">
        <v>3823224</v>
      </c>
      <c r="I201" s="31">
        <f t="shared" si="47"/>
        <v>3810241.3614461264</v>
      </c>
      <c r="J201" s="31">
        <f t="shared" si="44"/>
        <v>381024.13614461262</v>
      </c>
      <c r="K201" s="31">
        <v>17.410917282104492</v>
      </c>
      <c r="L201" s="31">
        <v>545542.8125</v>
      </c>
      <c r="M201" s="31">
        <f t="shared" si="48"/>
        <v>532560.17394612625</v>
      </c>
      <c r="N201" s="32">
        <f t="shared" si="49"/>
        <v>532560.17394612625</v>
      </c>
      <c r="O201" s="31">
        <v>30.57545280456543</v>
      </c>
      <c r="P201" s="31">
        <v>52.401931762695313</v>
      </c>
      <c r="Q201" s="31">
        <f t="shared" si="50"/>
        <v>5.2401931762695311</v>
      </c>
      <c r="R201" s="31">
        <v>32.289535522460938</v>
      </c>
      <c r="S201" s="31">
        <v>15.976895332336426</v>
      </c>
      <c r="T201" s="32">
        <f t="shared" si="51"/>
        <v>15.976895332336426</v>
      </c>
      <c r="U201" s="31">
        <v>26.590084075927734</v>
      </c>
      <c r="V201" s="31">
        <v>410.9881591796875</v>
      </c>
      <c r="W201" s="31">
        <f t="shared" si="52"/>
        <v>41.09881591796875</v>
      </c>
      <c r="X201" s="31">
        <v>29.447242736816406</v>
      </c>
      <c r="Y201" s="31">
        <v>64.95416259765625</v>
      </c>
      <c r="Z201" s="32">
        <f t="shared" si="53"/>
        <v>64.95416259765625</v>
      </c>
      <c r="AA201" t="s">
        <v>66</v>
      </c>
      <c r="AC201" s="31">
        <f t="shared" si="54"/>
        <v>0</v>
      </c>
      <c r="AD201" s="31">
        <v>33.914016723632813</v>
      </c>
      <c r="AE201" s="31">
        <v>0.43230822682380676</v>
      </c>
      <c r="AF201" s="32">
        <f t="shared" si="55"/>
        <v>0.43230822682380676</v>
      </c>
      <c r="AG201" s="31">
        <v>24.607460021972656</v>
      </c>
      <c r="AH201" s="31">
        <v>2051.860107421875</v>
      </c>
      <c r="AI201" s="31">
        <f t="shared" si="56"/>
        <v>205.18601074218751</v>
      </c>
      <c r="AJ201" s="31">
        <v>27.500041961669922</v>
      </c>
      <c r="AK201" s="31">
        <v>374.51705932617188</v>
      </c>
      <c r="AL201" s="32">
        <f t="shared" si="57"/>
        <v>374.51705932617188</v>
      </c>
    </row>
    <row r="202" spans="1:38" ht="15.15" thickBot="1" x14ac:dyDescent="0.35">
      <c r="A202" s="33" t="s">
        <v>80</v>
      </c>
      <c r="B202" s="30">
        <v>44419</v>
      </c>
      <c r="C202" s="33">
        <v>1000</v>
      </c>
      <c r="D202" s="23" t="s">
        <v>65</v>
      </c>
      <c r="E202" s="30">
        <v>44501</v>
      </c>
      <c r="F202" s="24">
        <v>100</v>
      </c>
      <c r="G202" s="31">
        <v>19.363536834716797</v>
      </c>
      <c r="H202" s="31">
        <v>138920.9375</v>
      </c>
      <c r="I202" s="31">
        <f t="shared" si="47"/>
        <v>125938.29894612631</v>
      </c>
      <c r="J202" s="31">
        <f t="shared" si="44"/>
        <v>12593.829894612631</v>
      </c>
      <c r="K202" s="31">
        <v>22.29600715637207</v>
      </c>
      <c r="L202" s="31">
        <v>17807.326171875</v>
      </c>
      <c r="M202" s="31">
        <f t="shared" si="48"/>
        <v>4824.6876180013023</v>
      </c>
      <c r="N202" s="32">
        <f t="shared" si="49"/>
        <v>4824.6876180013023</v>
      </c>
      <c r="O202" s="31">
        <v>30.472639083862305</v>
      </c>
      <c r="P202" s="31">
        <v>56.271591186523438</v>
      </c>
      <c r="Q202" s="31">
        <f t="shared" si="50"/>
        <v>5.6271591186523438</v>
      </c>
      <c r="R202" s="31">
        <v>32.752193450927734</v>
      </c>
      <c r="S202" s="31">
        <v>11.594579696655273</v>
      </c>
      <c r="T202" s="32">
        <f t="shared" si="51"/>
        <v>11.594579696655273</v>
      </c>
      <c r="U202" s="31">
        <v>32.313209533691406</v>
      </c>
      <c r="V202" s="31">
        <v>10.207389831542969</v>
      </c>
      <c r="W202" s="31">
        <f t="shared" si="52"/>
        <v>1.0207389831542968</v>
      </c>
      <c r="X202" s="31">
        <v>35.420455932617188</v>
      </c>
      <c r="Y202" s="31">
        <v>1.3726544380187988</v>
      </c>
      <c r="Z202" s="32">
        <f t="shared" si="53"/>
        <v>1.3726544380187988</v>
      </c>
      <c r="AA202" s="31">
        <v>29.671869277954102</v>
      </c>
      <c r="AB202" s="31">
        <v>6.5927290916442871</v>
      </c>
      <c r="AC202" s="31">
        <f t="shared" si="54"/>
        <v>0.65927290916442871</v>
      </c>
      <c r="AD202" t="s">
        <v>66</v>
      </c>
      <c r="AF202" s="32">
        <f t="shared" si="55"/>
        <v>0</v>
      </c>
      <c r="AG202" t="s">
        <v>66</v>
      </c>
      <c r="AI202" s="31">
        <f t="shared" si="56"/>
        <v>0</v>
      </c>
      <c r="AJ202" t="s">
        <v>66</v>
      </c>
      <c r="AL202" s="32">
        <f t="shared" si="57"/>
        <v>0</v>
      </c>
    </row>
    <row r="203" spans="1:38" ht="15.15" thickBot="1" x14ac:dyDescent="0.35">
      <c r="A203" s="33" t="s">
        <v>81</v>
      </c>
      <c r="B203" s="30">
        <v>44419</v>
      </c>
      <c r="C203" s="33">
        <v>900</v>
      </c>
      <c r="D203" s="23" t="s">
        <v>65</v>
      </c>
      <c r="E203" s="30">
        <v>44501</v>
      </c>
      <c r="F203" s="24">
        <v>100</v>
      </c>
      <c r="G203" s="31">
        <v>20.498624801635742</v>
      </c>
      <c r="H203" s="31">
        <v>62723.5703125</v>
      </c>
      <c r="I203" s="31">
        <f t="shared" si="47"/>
        <v>49740.931758626306</v>
      </c>
      <c r="J203" s="31">
        <f t="shared" si="44"/>
        <v>5526.7701954029235</v>
      </c>
      <c r="K203" s="31">
        <v>23.050716400146484</v>
      </c>
      <c r="L203" s="31">
        <v>10495.12109375</v>
      </c>
      <c r="M203" s="31">
        <f t="shared" si="48"/>
        <v>-2487.5174601236977</v>
      </c>
      <c r="N203" s="32">
        <f t="shared" si="49"/>
        <v>-2763.9082890263307</v>
      </c>
      <c r="O203" s="31">
        <v>32.968955993652344</v>
      </c>
      <c r="P203" s="31">
        <v>9.9774627685546875</v>
      </c>
      <c r="Q203" s="31">
        <f t="shared" si="50"/>
        <v>1.1086069742838542</v>
      </c>
      <c r="R203" s="31">
        <v>37.15618896484375</v>
      </c>
      <c r="S203" s="31">
        <v>0.54811054468154907</v>
      </c>
      <c r="T203" s="32">
        <f t="shared" si="51"/>
        <v>0.60901171631283235</v>
      </c>
      <c r="U203" s="31">
        <v>34.090854644775391</v>
      </c>
      <c r="V203" s="31">
        <v>3.2390401363372803</v>
      </c>
      <c r="W203" s="31">
        <f t="shared" si="52"/>
        <v>0.35989334848192001</v>
      </c>
      <c r="X203" s="31">
        <v>36.628181457519531</v>
      </c>
      <c r="Y203" s="31">
        <v>0.62933707237243652</v>
      </c>
      <c r="Z203" s="32">
        <f t="shared" si="53"/>
        <v>0.69926341374715173</v>
      </c>
      <c r="AA203" s="31">
        <v>28.007078170776367</v>
      </c>
      <c r="AB203" s="31">
        <v>19.205656051635742</v>
      </c>
      <c r="AC203" s="31">
        <f t="shared" si="54"/>
        <v>2.1339617835150824</v>
      </c>
      <c r="AD203" t="s">
        <v>66</v>
      </c>
      <c r="AF203" s="32">
        <f t="shared" si="55"/>
        <v>0</v>
      </c>
      <c r="AG203" t="s">
        <v>66</v>
      </c>
      <c r="AI203" s="31">
        <f t="shared" si="56"/>
        <v>0</v>
      </c>
      <c r="AJ203" t="s">
        <v>66</v>
      </c>
      <c r="AL203" s="32">
        <f t="shared" si="57"/>
        <v>0</v>
      </c>
    </row>
    <row r="204" spans="1:38" ht="15.15" thickBot="1" x14ac:dyDescent="0.35">
      <c r="A204" s="33" t="s">
        <v>64</v>
      </c>
      <c r="B204" s="30">
        <v>44426</v>
      </c>
      <c r="C204" s="33">
        <v>960</v>
      </c>
      <c r="D204" s="23" t="s">
        <v>65</v>
      </c>
      <c r="E204" s="30">
        <v>44503</v>
      </c>
      <c r="F204" s="24">
        <v>100</v>
      </c>
      <c r="G204" s="31">
        <v>18.233386993408203</v>
      </c>
      <c r="H204" s="31">
        <v>306621.25</v>
      </c>
      <c r="I204" s="31">
        <f t="shared" si="47"/>
        <v>293638.61144612631</v>
      </c>
      <c r="J204" s="31">
        <f t="shared" si="44"/>
        <v>30587.35535897149</v>
      </c>
      <c r="K204" s="31">
        <v>21.230852127075195</v>
      </c>
      <c r="L204" s="31">
        <v>37554.2734375</v>
      </c>
      <c r="M204" s="31">
        <f t="shared" si="48"/>
        <v>24571.634883626302</v>
      </c>
      <c r="N204" s="32">
        <f t="shared" si="49"/>
        <v>25595.453003777398</v>
      </c>
      <c r="O204" s="31">
        <v>26.899101257324219</v>
      </c>
      <c r="P204" s="31">
        <v>669.49755859375</v>
      </c>
      <c r="Q204" s="31">
        <f t="shared" si="50"/>
        <v>69.739329020182296</v>
      </c>
      <c r="R204" s="31">
        <v>30.196186065673828</v>
      </c>
      <c r="S204" s="31">
        <v>68.153472900390625</v>
      </c>
      <c r="T204" s="32">
        <f t="shared" si="51"/>
        <v>70.993200937906906</v>
      </c>
      <c r="U204" s="31">
        <v>31.352529525756836</v>
      </c>
      <c r="V204" s="31">
        <v>18.980802536010742</v>
      </c>
      <c r="W204" s="31">
        <f t="shared" si="52"/>
        <v>1.9771669308344524</v>
      </c>
      <c r="X204" s="31">
        <v>34.963218688964844</v>
      </c>
      <c r="Y204" s="31">
        <v>1.8440918922424316</v>
      </c>
      <c r="Z204" s="32">
        <f t="shared" si="53"/>
        <v>1.9209290544191997</v>
      </c>
      <c r="AA204" s="31">
        <v>30.55864143371582</v>
      </c>
      <c r="AB204" s="31">
        <v>3.730060338973999</v>
      </c>
      <c r="AC204" s="31">
        <f t="shared" si="54"/>
        <v>0.38854795197645825</v>
      </c>
      <c r="AD204" t="s">
        <v>66</v>
      </c>
      <c r="AF204" s="32">
        <f t="shared" si="55"/>
        <v>0</v>
      </c>
      <c r="AG204" s="31">
        <v>36.449245452880859</v>
      </c>
      <c r="AH204" s="31">
        <v>1.9414277076721191</v>
      </c>
      <c r="AI204" s="31">
        <f t="shared" si="56"/>
        <v>0.20223205288251242</v>
      </c>
      <c r="AJ204" t="s">
        <v>66</v>
      </c>
      <c r="AL204" s="32">
        <f t="shared" si="57"/>
        <v>0</v>
      </c>
    </row>
    <row r="205" spans="1:38" ht="15.15" thickBot="1" x14ac:dyDescent="0.35">
      <c r="A205" s="33" t="s">
        <v>67</v>
      </c>
      <c r="B205" s="30">
        <v>44426</v>
      </c>
      <c r="C205" s="33">
        <v>920</v>
      </c>
      <c r="D205" s="23" t="s">
        <v>65</v>
      </c>
      <c r="E205" s="30">
        <v>44503</v>
      </c>
      <c r="F205" s="24">
        <v>100</v>
      </c>
      <c r="G205" s="31">
        <v>18.37309455871582</v>
      </c>
      <c r="H205" s="31">
        <v>278034</v>
      </c>
      <c r="I205" s="31">
        <f t="shared" si="47"/>
        <v>265051.36144612631</v>
      </c>
      <c r="J205" s="31">
        <f t="shared" si="44"/>
        <v>28809.930591970249</v>
      </c>
      <c r="K205" s="31">
        <v>21.315168380737305</v>
      </c>
      <c r="L205" s="31">
        <v>35400.31640625</v>
      </c>
      <c r="M205" s="31">
        <f t="shared" si="48"/>
        <v>22417.677852376302</v>
      </c>
      <c r="N205" s="32">
        <f t="shared" si="49"/>
        <v>24367.041143887283</v>
      </c>
      <c r="O205" s="31">
        <v>27.22429084777832</v>
      </c>
      <c r="P205" s="31">
        <v>534.420166015625</v>
      </c>
      <c r="Q205" s="31">
        <f t="shared" si="50"/>
        <v>58.089148479959242</v>
      </c>
      <c r="R205" s="31">
        <v>29.56633186340332</v>
      </c>
      <c r="S205" s="31">
        <v>105.44919586181641</v>
      </c>
      <c r="T205" s="32">
        <f t="shared" si="51"/>
        <v>114.61869115414827</v>
      </c>
      <c r="U205" s="31">
        <v>32.492774963378906</v>
      </c>
      <c r="V205" s="31">
        <v>9.0899152755737305</v>
      </c>
      <c r="W205" s="31">
        <f t="shared" si="52"/>
        <v>0.98803426908410119</v>
      </c>
      <c r="X205" s="31">
        <v>36.512157440185547</v>
      </c>
      <c r="Y205" s="31">
        <v>0.67829632759094238</v>
      </c>
      <c r="Z205" s="32">
        <f t="shared" si="53"/>
        <v>0.73727861694667651</v>
      </c>
      <c r="AA205" s="31">
        <v>30.224582672119141</v>
      </c>
      <c r="AB205" s="31">
        <v>4.6226992607116699</v>
      </c>
      <c r="AC205" s="31">
        <f t="shared" si="54"/>
        <v>0.50246731094692065</v>
      </c>
      <c r="AD205" s="31" t="s">
        <v>66</v>
      </c>
      <c r="AE205" s="31"/>
      <c r="AF205" s="32">
        <f t="shared" si="55"/>
        <v>0</v>
      </c>
      <c r="AG205" t="s">
        <v>66</v>
      </c>
      <c r="AI205" s="31">
        <f t="shared" si="56"/>
        <v>0</v>
      </c>
      <c r="AJ205" t="s">
        <v>66</v>
      </c>
      <c r="AL205" s="32">
        <f t="shared" si="57"/>
        <v>0</v>
      </c>
    </row>
    <row r="206" spans="1:38" ht="15.15" thickBot="1" x14ac:dyDescent="0.35">
      <c r="A206" s="33" t="s">
        <v>68</v>
      </c>
      <c r="B206" s="30">
        <v>44426</v>
      </c>
      <c r="C206" s="33">
        <v>920</v>
      </c>
      <c r="D206" s="23" t="s">
        <v>65</v>
      </c>
      <c r="E206" s="30">
        <v>44503</v>
      </c>
      <c r="F206" s="24">
        <v>100</v>
      </c>
      <c r="G206" s="31">
        <v>13.9263916015625</v>
      </c>
      <c r="H206" s="31">
        <v>6265476.5</v>
      </c>
      <c r="I206" s="31">
        <f t="shared" si="47"/>
        <v>6252493.8614461264</v>
      </c>
      <c r="J206" s="31">
        <f t="shared" si="44"/>
        <v>679618.89798327466</v>
      </c>
      <c r="K206" s="31">
        <v>16.847429275512695</v>
      </c>
      <c r="L206" s="31">
        <v>809586.625</v>
      </c>
      <c r="M206" s="31">
        <f t="shared" si="48"/>
        <v>796603.98644612625</v>
      </c>
      <c r="N206" s="32">
        <f t="shared" si="49"/>
        <v>865873.89831100672</v>
      </c>
      <c r="O206" s="31">
        <v>27.225650787353516</v>
      </c>
      <c r="P206" s="31">
        <v>533.91680908203125</v>
      </c>
      <c r="Q206" s="31">
        <f t="shared" si="50"/>
        <v>58.034435769786008</v>
      </c>
      <c r="R206" s="31">
        <v>29.942781448364258</v>
      </c>
      <c r="S206" s="31">
        <v>81.236343383789063</v>
      </c>
      <c r="T206" s="32">
        <f t="shared" si="51"/>
        <v>88.300373243248984</v>
      </c>
      <c r="U206" s="31">
        <v>31.553865432739258</v>
      </c>
      <c r="V206" s="31">
        <v>16.666894912719727</v>
      </c>
      <c r="W206" s="31">
        <f t="shared" si="52"/>
        <v>1.8116190122521443</v>
      </c>
      <c r="X206" s="31">
        <v>33.750846862792969</v>
      </c>
      <c r="Y206" s="31">
        <v>4.0342559814453125</v>
      </c>
      <c r="Z206" s="32">
        <f t="shared" si="53"/>
        <v>4.3850608493970791</v>
      </c>
      <c r="AA206" s="31">
        <v>29.63941764831543</v>
      </c>
      <c r="AB206" s="31">
        <v>6.7315802574157715</v>
      </c>
      <c r="AC206" s="31">
        <f t="shared" si="54"/>
        <v>0.73169350624084473</v>
      </c>
      <c r="AD206" s="31">
        <v>33.844642639160156</v>
      </c>
      <c r="AE206" s="31">
        <v>0.45200598239898682</v>
      </c>
      <c r="AF206" s="32">
        <f t="shared" si="55"/>
        <v>0.49131085043368133</v>
      </c>
      <c r="AG206" s="31">
        <v>38.563526153564453</v>
      </c>
      <c r="AH206" s="31">
        <v>0.56001442670822144</v>
      </c>
      <c r="AI206" s="31">
        <f t="shared" si="56"/>
        <v>6.0871133337850158E-2</v>
      </c>
      <c r="AJ206" t="s">
        <v>66</v>
      </c>
      <c r="AL206" s="32">
        <f t="shared" si="57"/>
        <v>0</v>
      </c>
    </row>
    <row r="207" spans="1:38" ht="15.15" thickBot="1" x14ac:dyDescent="0.35">
      <c r="A207" s="33" t="s">
        <v>69</v>
      </c>
      <c r="B207" s="30">
        <v>44426</v>
      </c>
      <c r="C207" s="33">
        <v>870</v>
      </c>
      <c r="D207" s="23" t="s">
        <v>65</v>
      </c>
      <c r="E207" s="30">
        <v>44503</v>
      </c>
      <c r="F207" s="24">
        <v>100</v>
      </c>
      <c r="G207" s="31">
        <v>12.432254791259766</v>
      </c>
      <c r="H207" s="31">
        <v>17845444</v>
      </c>
      <c r="I207" s="31">
        <f t="shared" si="47"/>
        <v>17832461.361446127</v>
      </c>
      <c r="J207" s="31">
        <f t="shared" si="44"/>
        <v>2049708.2024650723</v>
      </c>
      <c r="K207" s="31">
        <v>15.652329444885254</v>
      </c>
      <c r="L207" s="31">
        <v>1870071.25</v>
      </c>
      <c r="M207" s="31">
        <f t="shared" si="48"/>
        <v>1857088.6114461264</v>
      </c>
      <c r="N207" s="32">
        <f t="shared" si="49"/>
        <v>2134584.6108576166</v>
      </c>
      <c r="O207" s="31">
        <v>27.364824295043945</v>
      </c>
      <c r="P207" s="31">
        <v>484.82965087890625</v>
      </c>
      <c r="Q207" s="31">
        <f t="shared" si="50"/>
        <v>55.727546078035203</v>
      </c>
      <c r="R207" s="31">
        <v>30.442028045654297</v>
      </c>
      <c r="S207" s="31">
        <v>57.477996826171875</v>
      </c>
      <c r="T207" s="32">
        <f t="shared" si="51"/>
        <v>66.066663018588358</v>
      </c>
      <c r="U207" s="31">
        <v>32.155155181884766</v>
      </c>
      <c r="V207" s="31">
        <v>11.304133415222168</v>
      </c>
      <c r="W207" s="31">
        <f t="shared" si="52"/>
        <v>1.2993256799105941</v>
      </c>
      <c r="X207" s="31">
        <v>37.816818237304688</v>
      </c>
      <c r="Y207" s="31">
        <v>0.29211801290512085</v>
      </c>
      <c r="Z207" s="32">
        <f t="shared" si="53"/>
        <v>0.33576783092542628</v>
      </c>
      <c r="AA207" s="31">
        <v>29.986251831054688</v>
      </c>
      <c r="AB207" s="31">
        <v>5.3873324394226074</v>
      </c>
      <c r="AC207" s="31">
        <f t="shared" si="54"/>
        <v>0.61923361372673646</v>
      </c>
      <c r="AD207" s="31" t="s">
        <v>66</v>
      </c>
      <c r="AF207" s="32">
        <f t="shared" si="55"/>
        <v>0</v>
      </c>
      <c r="AG207" t="s">
        <v>66</v>
      </c>
      <c r="AI207" s="31">
        <f t="shared" si="56"/>
        <v>0</v>
      </c>
      <c r="AJ207" t="s">
        <v>66</v>
      </c>
      <c r="AL207" s="32">
        <f t="shared" si="57"/>
        <v>0</v>
      </c>
    </row>
    <row r="208" spans="1:38" ht="15.15" thickBot="1" x14ac:dyDescent="0.35">
      <c r="A208" s="33" t="s">
        <v>70</v>
      </c>
      <c r="B208" s="30">
        <v>44426</v>
      </c>
      <c r="C208" s="33">
        <v>900</v>
      </c>
      <c r="D208" s="23" t="s">
        <v>65</v>
      </c>
      <c r="E208" s="30">
        <v>44503</v>
      </c>
      <c r="F208" s="24">
        <v>100</v>
      </c>
      <c r="G208" s="31">
        <v>16.180282592773438</v>
      </c>
      <c r="H208" s="31">
        <v>1238423.875</v>
      </c>
      <c r="I208" s="31">
        <f t="shared" si="47"/>
        <v>1225441.2364461264</v>
      </c>
      <c r="J208" s="31">
        <f t="shared" si="44"/>
        <v>136160.13738290293</v>
      </c>
      <c r="K208" s="31">
        <v>19.593845367431641</v>
      </c>
      <c r="L208" s="31">
        <v>124564.1875</v>
      </c>
      <c r="M208" s="31">
        <f t="shared" si="48"/>
        <v>111581.54894612631</v>
      </c>
      <c r="N208" s="32">
        <f t="shared" si="49"/>
        <v>123979.49882902924</v>
      </c>
      <c r="O208" s="31">
        <v>28.298574447631836</v>
      </c>
      <c r="P208" s="31">
        <v>467.56866455078125</v>
      </c>
      <c r="Q208" s="31">
        <f t="shared" si="50"/>
        <v>51.952073838975693</v>
      </c>
      <c r="R208" s="31">
        <v>32.256580352783203</v>
      </c>
      <c r="S208" s="31">
        <v>38.700218200683594</v>
      </c>
      <c r="T208" s="32">
        <f t="shared" si="51"/>
        <v>43.000242445203995</v>
      </c>
      <c r="U208" s="31">
        <v>31.623432159423828</v>
      </c>
      <c r="V208" s="31">
        <v>5.1952724456787109</v>
      </c>
      <c r="W208" s="31">
        <f t="shared" si="52"/>
        <v>0.57725249396430123</v>
      </c>
      <c r="X208" s="31">
        <v>38.005348205566406</v>
      </c>
      <c r="Y208" s="31">
        <v>7.1791939437389374E-2</v>
      </c>
      <c r="Z208" s="32">
        <f t="shared" si="53"/>
        <v>7.9768821597099304E-2</v>
      </c>
      <c r="AA208" s="31">
        <v>24.240280151367188</v>
      </c>
      <c r="AB208" s="31">
        <v>92.883560180664063</v>
      </c>
      <c r="AC208" s="31">
        <f t="shared" si="54"/>
        <v>10.320395575629341</v>
      </c>
      <c r="AD208" s="31">
        <v>27.930843353271484</v>
      </c>
      <c r="AE208" s="31">
        <v>7.502108097076416</v>
      </c>
      <c r="AF208" s="32">
        <f t="shared" si="55"/>
        <v>8.3356756634182396</v>
      </c>
      <c r="AG208" s="31">
        <v>30.592140197753906</v>
      </c>
      <c r="AH208" s="31">
        <v>60.791839599609375</v>
      </c>
      <c r="AI208" s="31">
        <f t="shared" si="56"/>
        <v>6.754648844401042</v>
      </c>
      <c r="AJ208" s="31">
        <v>34.957252502441406</v>
      </c>
      <c r="AK208" s="31">
        <v>4.667994499206543</v>
      </c>
      <c r="AL208" s="32">
        <f t="shared" si="57"/>
        <v>5.1866605546739368</v>
      </c>
    </row>
    <row r="209" spans="1:38" ht="15.15" thickBot="1" x14ac:dyDescent="0.35">
      <c r="A209" s="33" t="s">
        <v>71</v>
      </c>
      <c r="B209" s="30">
        <v>44426</v>
      </c>
      <c r="C209" s="33">
        <v>1000</v>
      </c>
      <c r="D209" s="23" t="s">
        <v>65</v>
      </c>
      <c r="E209" s="30">
        <v>44503</v>
      </c>
      <c r="F209" s="24">
        <v>100</v>
      </c>
      <c r="G209" s="31">
        <v>15.099535942077637</v>
      </c>
      <c r="H209" s="31">
        <v>2562559.5</v>
      </c>
      <c r="I209" s="31">
        <f t="shared" si="47"/>
        <v>2549576.8614461264</v>
      </c>
      <c r="J209" s="31">
        <f t="shared" si="44"/>
        <v>254957.68614461264</v>
      </c>
      <c r="K209" s="31">
        <v>18.363620758056641</v>
      </c>
      <c r="L209" s="31">
        <v>285020.9375</v>
      </c>
      <c r="M209" s="31">
        <f t="shared" si="48"/>
        <v>272038.29894612631</v>
      </c>
      <c r="N209" s="32">
        <f t="shared" si="49"/>
        <v>272038.29894612631</v>
      </c>
      <c r="O209" s="31">
        <v>28.441062927246094</v>
      </c>
      <c r="P209" s="31">
        <v>427.45321655273438</v>
      </c>
      <c r="Q209" s="31">
        <f t="shared" si="50"/>
        <v>42.745321655273436</v>
      </c>
      <c r="R209" s="31">
        <v>31.936494827270508</v>
      </c>
      <c r="S209" s="31">
        <v>47.339740753173828</v>
      </c>
      <c r="T209" s="32">
        <f t="shared" si="51"/>
        <v>47.339740753173828</v>
      </c>
      <c r="U209" s="31">
        <v>31.222871780395508</v>
      </c>
      <c r="V209" s="31">
        <v>6.7970700263977051</v>
      </c>
      <c r="W209" s="31">
        <f t="shared" si="52"/>
        <v>0.67970700263977046</v>
      </c>
      <c r="X209" s="31">
        <v>33.849040985107422</v>
      </c>
      <c r="Y209" s="31">
        <v>1.1671345233917236</v>
      </c>
      <c r="Z209" s="32">
        <f t="shared" si="53"/>
        <v>1.1671345233917236</v>
      </c>
      <c r="AA209" s="31">
        <v>24.072793960571289</v>
      </c>
      <c r="AB209" s="31">
        <v>104.119140625</v>
      </c>
      <c r="AC209" s="31">
        <f t="shared" si="54"/>
        <v>10.411914062499999</v>
      </c>
      <c r="AD209" s="31">
        <v>27.225774765014648</v>
      </c>
      <c r="AE209" s="31">
        <v>12.132498741149902</v>
      </c>
      <c r="AF209" s="32">
        <f t="shared" si="55"/>
        <v>12.132498741149902</v>
      </c>
      <c r="AG209" s="31">
        <v>30.415525436401367</v>
      </c>
      <c r="AH209" s="31">
        <v>67.444610595703125</v>
      </c>
      <c r="AI209" s="31">
        <f t="shared" si="56"/>
        <v>6.7444610595703125</v>
      </c>
      <c r="AJ209" s="31">
        <v>37.247005462646484</v>
      </c>
      <c r="AK209" s="31">
        <v>1.2145016193389893</v>
      </c>
      <c r="AL209" s="32">
        <f t="shared" si="57"/>
        <v>1.2145016193389893</v>
      </c>
    </row>
    <row r="210" spans="1:38" ht="15.15" thickBot="1" x14ac:dyDescent="0.35">
      <c r="A210" s="33" t="s">
        <v>72</v>
      </c>
      <c r="B210" s="30">
        <v>44426</v>
      </c>
      <c r="C210" s="33">
        <v>950</v>
      </c>
      <c r="D210" s="23" t="s">
        <v>65</v>
      </c>
      <c r="E210" s="30">
        <v>44503</v>
      </c>
      <c r="F210" s="24">
        <v>100</v>
      </c>
      <c r="G210" s="31">
        <v>18.079746246337891</v>
      </c>
      <c r="H210" s="31">
        <v>345006.78125</v>
      </c>
      <c r="I210" s="31">
        <f t="shared" si="47"/>
        <v>332024.14269612631</v>
      </c>
      <c r="J210" s="31">
        <f t="shared" si="44"/>
        <v>34949.909757486981</v>
      </c>
      <c r="K210" s="31">
        <v>21.276296615600586</v>
      </c>
      <c r="L210" s="31">
        <v>40157.3125</v>
      </c>
      <c r="M210" s="31">
        <f t="shared" si="48"/>
        <v>27174.673946126302</v>
      </c>
      <c r="N210" s="32">
        <f t="shared" si="49"/>
        <v>28604.919943290843</v>
      </c>
      <c r="O210" s="31">
        <v>27.479942321777344</v>
      </c>
      <c r="P210" s="31">
        <v>782.8204345703125</v>
      </c>
      <c r="Q210" s="31">
        <f t="shared" si="50"/>
        <v>82.402151007401315</v>
      </c>
      <c r="R210" s="31">
        <v>30.547952651977539</v>
      </c>
      <c r="S210" s="31">
        <v>113.46395111083984</v>
      </c>
      <c r="T210" s="32">
        <f t="shared" si="51"/>
        <v>119.43573801141036</v>
      </c>
      <c r="U210" s="31">
        <v>29.109853744506836</v>
      </c>
      <c r="V210" s="31">
        <v>28.054529190063477</v>
      </c>
      <c r="W210" s="31">
        <f t="shared" si="52"/>
        <v>2.9531083357961556</v>
      </c>
      <c r="X210" s="31">
        <v>32.463653564453125</v>
      </c>
      <c r="Y210" s="31">
        <v>2.9565727710723877</v>
      </c>
      <c r="Z210" s="32">
        <f t="shared" si="53"/>
        <v>3.1121818642867241</v>
      </c>
      <c r="AA210" s="31">
        <v>29.573486328125</v>
      </c>
      <c r="AB210" s="31">
        <v>2.4479680061340332</v>
      </c>
      <c r="AC210" s="31">
        <f t="shared" si="54"/>
        <v>0.25768084275095088</v>
      </c>
      <c r="AD210" s="31" t="s">
        <v>66</v>
      </c>
      <c r="AF210" s="32">
        <f t="shared" si="55"/>
        <v>0</v>
      </c>
      <c r="AG210" t="s">
        <v>66</v>
      </c>
      <c r="AI210" s="31">
        <f t="shared" si="56"/>
        <v>0</v>
      </c>
      <c r="AJ210" t="s">
        <v>66</v>
      </c>
      <c r="AL210" s="32">
        <f t="shared" si="57"/>
        <v>0</v>
      </c>
    </row>
    <row r="211" spans="1:38" ht="15.15" thickBot="1" x14ac:dyDescent="0.35">
      <c r="A211" s="33" t="s">
        <v>73</v>
      </c>
      <c r="B211" s="30">
        <v>44426</v>
      </c>
      <c r="C211" s="33">
        <v>980</v>
      </c>
      <c r="D211" s="23" t="s">
        <v>65</v>
      </c>
      <c r="E211" s="30">
        <v>44503</v>
      </c>
      <c r="F211" s="24">
        <v>100</v>
      </c>
      <c r="G211" s="31">
        <v>17.842674255371094</v>
      </c>
      <c r="H211" s="31">
        <v>404671.28125</v>
      </c>
      <c r="I211" s="31">
        <f t="shared" si="47"/>
        <v>391688.64269612631</v>
      </c>
      <c r="J211" s="31">
        <f t="shared" si="44"/>
        <v>39968.228846543505</v>
      </c>
      <c r="K211" s="31">
        <v>21.006448745727539</v>
      </c>
      <c r="L211" s="31">
        <v>48152.2734375</v>
      </c>
      <c r="M211" s="31">
        <f t="shared" si="48"/>
        <v>35169.634883626306</v>
      </c>
      <c r="N211" s="32">
        <f t="shared" si="49"/>
        <v>35887.382534312557</v>
      </c>
      <c r="O211" s="31">
        <v>27.241384506225586</v>
      </c>
      <c r="P211" s="31">
        <v>909.671630859375</v>
      </c>
      <c r="Q211" s="31">
        <f t="shared" si="50"/>
        <v>92.823635801977048</v>
      </c>
      <c r="R211" s="31">
        <v>30.433979034423828</v>
      </c>
      <c r="S211" s="31">
        <v>121.90420532226563</v>
      </c>
      <c r="T211" s="32">
        <f t="shared" si="51"/>
        <v>124.39204624720982</v>
      </c>
      <c r="U211" s="31">
        <v>29.622892379760742</v>
      </c>
      <c r="V211" s="31">
        <v>19.88456916809082</v>
      </c>
      <c r="W211" s="31">
        <f t="shared" si="52"/>
        <v>2.029037670213349</v>
      </c>
      <c r="X211" s="31">
        <v>32.572132110595703</v>
      </c>
      <c r="Y211" s="31">
        <v>2.7490372657775879</v>
      </c>
      <c r="Z211" s="32">
        <f t="shared" si="53"/>
        <v>2.8051400671199875</v>
      </c>
      <c r="AA211" s="31">
        <v>29.316213607788086</v>
      </c>
      <c r="AB211" s="31">
        <v>2.917311429977417</v>
      </c>
      <c r="AC211" s="31">
        <f t="shared" si="54"/>
        <v>0.29768483979361399</v>
      </c>
      <c r="AD211" s="31" t="s">
        <v>66</v>
      </c>
      <c r="AF211" s="32">
        <f t="shared" si="55"/>
        <v>0</v>
      </c>
      <c r="AG211" s="31">
        <v>34.190792083740234</v>
      </c>
      <c r="AH211" s="31">
        <v>7.325894832611084</v>
      </c>
      <c r="AI211" s="31">
        <f t="shared" si="56"/>
        <v>0.74754028904194736</v>
      </c>
      <c r="AJ211" t="s">
        <v>66</v>
      </c>
      <c r="AL211" s="32">
        <f t="shared" si="57"/>
        <v>0</v>
      </c>
    </row>
    <row r="212" spans="1:38" ht="15.15" thickBot="1" x14ac:dyDescent="0.35">
      <c r="A212" s="33" t="s">
        <v>74</v>
      </c>
      <c r="B212" s="30">
        <v>44426</v>
      </c>
      <c r="C212" s="33">
        <v>900</v>
      </c>
      <c r="D212" s="23" t="s">
        <v>65</v>
      </c>
      <c r="E212" s="30">
        <v>44503</v>
      </c>
      <c r="F212" s="24">
        <v>100</v>
      </c>
      <c r="G212" s="31">
        <v>20.637638092041016</v>
      </c>
      <c r="H212" s="31">
        <v>61714.44921875</v>
      </c>
      <c r="I212" s="31">
        <f t="shared" si="47"/>
        <v>48731.810664876306</v>
      </c>
      <c r="J212" s="31">
        <f t="shared" si="44"/>
        <v>5414.6456294307009</v>
      </c>
      <c r="K212" s="31">
        <v>23.473705291748047</v>
      </c>
      <c r="L212" s="31">
        <v>9155.0458984375</v>
      </c>
      <c r="M212" s="31">
        <f t="shared" si="48"/>
        <v>-3827.5926554361977</v>
      </c>
      <c r="N212" s="32">
        <f t="shared" si="49"/>
        <v>-4252.8807282624421</v>
      </c>
      <c r="O212" s="31">
        <v>30.728702545166016</v>
      </c>
      <c r="P212" s="31">
        <v>101.26055145263672</v>
      </c>
      <c r="Q212" s="31">
        <f t="shared" si="50"/>
        <v>11.251172383626303</v>
      </c>
      <c r="R212" s="31">
        <v>34.091274261474609</v>
      </c>
      <c r="S212" s="31">
        <v>12.192758560180664</v>
      </c>
      <c r="T212" s="32">
        <f t="shared" si="51"/>
        <v>13.54750951131185</v>
      </c>
      <c r="U212" s="31">
        <v>35.3304443359375</v>
      </c>
      <c r="V212" s="31">
        <v>0.43199288845062256</v>
      </c>
      <c r="W212" s="31">
        <f t="shared" si="52"/>
        <v>4.7999209827846952E-2</v>
      </c>
      <c r="X212" t="s">
        <v>66</v>
      </c>
      <c r="Z212" s="32">
        <f t="shared" si="53"/>
        <v>0</v>
      </c>
      <c r="AA212" s="31">
        <v>30.480398178100586</v>
      </c>
      <c r="AB212" s="31">
        <v>1.3190890550613403</v>
      </c>
      <c r="AC212" s="31">
        <f t="shared" si="54"/>
        <v>0.14656545056237114</v>
      </c>
      <c r="AD212" s="31" t="s">
        <v>66</v>
      </c>
      <c r="AF212" s="32">
        <f t="shared" si="55"/>
        <v>0</v>
      </c>
      <c r="AG212" t="s">
        <v>66</v>
      </c>
      <c r="AI212" s="31">
        <f t="shared" si="56"/>
        <v>0</v>
      </c>
      <c r="AJ212" t="s">
        <v>66</v>
      </c>
      <c r="AL212" s="32">
        <f t="shared" si="57"/>
        <v>0</v>
      </c>
    </row>
    <row r="213" spans="1:38" ht="15.15" thickBot="1" x14ac:dyDescent="0.35">
      <c r="A213" s="33" t="s">
        <v>75</v>
      </c>
      <c r="B213" s="30">
        <v>44426</v>
      </c>
      <c r="C213" s="33">
        <v>940</v>
      </c>
      <c r="D213" s="23" t="s">
        <v>65</v>
      </c>
      <c r="E213" s="30">
        <v>44503</v>
      </c>
      <c r="F213" s="24">
        <v>100</v>
      </c>
      <c r="G213" s="31">
        <v>14.803574562072754</v>
      </c>
      <c r="H213" s="31">
        <v>3127208</v>
      </c>
      <c r="I213" s="31">
        <f t="shared" si="47"/>
        <v>3114225.3614461264</v>
      </c>
      <c r="J213" s="31">
        <f t="shared" si="44"/>
        <v>331300.57036660914</v>
      </c>
      <c r="K213" s="31">
        <v>17.538595199584961</v>
      </c>
      <c r="L213" s="31">
        <v>496543.40625</v>
      </c>
      <c r="M213" s="31">
        <f t="shared" si="48"/>
        <v>483560.76769612631</v>
      </c>
      <c r="N213" s="32">
        <f t="shared" si="49"/>
        <v>514426.3486129003</v>
      </c>
      <c r="O213" s="31">
        <v>29.452047348022461</v>
      </c>
      <c r="P213" s="31">
        <v>226.19451904296875</v>
      </c>
      <c r="Q213" s="31">
        <f t="shared" si="50"/>
        <v>24.063246706698802</v>
      </c>
      <c r="R213" s="31">
        <v>32.935379028320313</v>
      </c>
      <c r="S213" s="31">
        <v>25.242221832275391</v>
      </c>
      <c r="T213" s="32">
        <f t="shared" si="51"/>
        <v>26.853427481144031</v>
      </c>
      <c r="U213" s="31">
        <v>35.206439971923828</v>
      </c>
      <c r="V213" s="31">
        <v>0.46947059035301208</v>
      </c>
      <c r="W213" s="31">
        <f t="shared" si="52"/>
        <v>4.994367982478852E-2</v>
      </c>
      <c r="X213" s="31">
        <v>38.920082092285156</v>
      </c>
      <c r="Y213" s="31">
        <v>3.8863763213157654E-2</v>
      </c>
      <c r="Z213" s="32">
        <f t="shared" si="53"/>
        <v>4.1344428950167718E-2</v>
      </c>
      <c r="AA213" s="31">
        <v>29.521780014038086</v>
      </c>
      <c r="AB213" s="31">
        <v>2.535804271697998</v>
      </c>
      <c r="AC213" s="31">
        <f t="shared" si="54"/>
        <v>0.26976641188276573</v>
      </c>
      <c r="AD213" s="31">
        <v>32.117591857910156</v>
      </c>
      <c r="AE213" s="31">
        <v>0.43202617764472961</v>
      </c>
      <c r="AF213" s="32">
        <f t="shared" si="55"/>
        <v>0.4596023166433294</v>
      </c>
      <c r="AG213" t="s">
        <v>66</v>
      </c>
      <c r="AI213" s="31">
        <f t="shared" si="56"/>
        <v>0</v>
      </c>
      <c r="AJ213" t="s">
        <v>66</v>
      </c>
      <c r="AL213" s="32">
        <f t="shared" si="57"/>
        <v>0</v>
      </c>
    </row>
    <row r="214" spans="1:38" ht="15.15" thickBot="1" x14ac:dyDescent="0.35">
      <c r="A214" s="33" t="s">
        <v>76</v>
      </c>
      <c r="B214" s="30">
        <v>44426</v>
      </c>
      <c r="C214" s="33">
        <v>930</v>
      </c>
      <c r="D214" s="23" t="s">
        <v>65</v>
      </c>
      <c r="E214" s="30">
        <v>44503</v>
      </c>
      <c r="F214" s="24">
        <v>100</v>
      </c>
      <c r="G214" s="31">
        <v>10.016845703125</v>
      </c>
      <c r="H214" s="31">
        <v>78322280</v>
      </c>
      <c r="I214" s="31">
        <f t="shared" si="47"/>
        <v>78309297.361446127</v>
      </c>
      <c r="J214" s="31">
        <f t="shared" si="44"/>
        <v>8420354.5549942069</v>
      </c>
      <c r="K214" s="31">
        <v>12.363941192626953</v>
      </c>
      <c r="L214" s="31">
        <v>16145119</v>
      </c>
      <c r="M214" s="31">
        <f t="shared" si="48"/>
        <v>16132136.361446125</v>
      </c>
      <c r="N214" s="32">
        <f t="shared" si="49"/>
        <v>17346383.184350673</v>
      </c>
      <c r="O214" s="31">
        <v>26.902921676635742</v>
      </c>
      <c r="P214" s="31">
        <v>1125.697021484375</v>
      </c>
      <c r="Q214" s="31">
        <f t="shared" si="50"/>
        <v>121.04269048219086</v>
      </c>
      <c r="R214" s="31">
        <v>30.413267135620117</v>
      </c>
      <c r="S214" s="31">
        <v>123.50410461425781</v>
      </c>
      <c r="T214" s="32">
        <f t="shared" si="51"/>
        <v>132.80011248844926</v>
      </c>
      <c r="U214" s="31">
        <v>23.243782043457031</v>
      </c>
      <c r="V214" s="31">
        <v>1436.2542724609375</v>
      </c>
      <c r="W214" s="31">
        <f t="shared" si="52"/>
        <v>154.43594327536962</v>
      </c>
      <c r="X214" s="31">
        <v>26.234777450561523</v>
      </c>
      <c r="Y214" s="31">
        <v>193.07640075683594</v>
      </c>
      <c r="Z214" s="32">
        <f t="shared" si="53"/>
        <v>207.60903307186661</v>
      </c>
      <c r="AA214" s="31">
        <v>29.352039337158203</v>
      </c>
      <c r="AB214" s="31">
        <v>2.8469183444976807</v>
      </c>
      <c r="AC214" s="31">
        <f t="shared" si="54"/>
        <v>0.30612025209652483</v>
      </c>
      <c r="AD214" s="31" t="s">
        <v>66</v>
      </c>
      <c r="AF214" s="32">
        <f t="shared" si="55"/>
        <v>0</v>
      </c>
      <c r="AG214" s="31">
        <v>28.004791259765625</v>
      </c>
      <c r="AH214" s="31">
        <v>278.33920288085938</v>
      </c>
      <c r="AI214" s="31">
        <f t="shared" si="56"/>
        <v>29.928946546328966</v>
      </c>
      <c r="AJ214" s="31">
        <v>27.78333854675293</v>
      </c>
      <c r="AK214" s="31">
        <v>317.04910278320313</v>
      </c>
      <c r="AL214" s="32">
        <f t="shared" si="57"/>
        <v>340.91301374537971</v>
      </c>
    </row>
    <row r="215" spans="1:38" ht="15.15" thickBot="1" x14ac:dyDescent="0.35">
      <c r="A215" s="33" t="s">
        <v>77</v>
      </c>
      <c r="B215" s="30">
        <v>44426</v>
      </c>
      <c r="C215" s="33">
        <v>1000</v>
      </c>
      <c r="D215" s="23" t="s">
        <v>65</v>
      </c>
      <c r="E215" s="30">
        <v>44503</v>
      </c>
      <c r="F215" s="24">
        <v>100</v>
      </c>
      <c r="G215" s="31">
        <v>8.2431669235229492</v>
      </c>
      <c r="H215" s="31">
        <v>258327968</v>
      </c>
      <c r="I215" s="31">
        <f t="shared" si="47"/>
        <v>258314985.36144611</v>
      </c>
      <c r="J215" s="31">
        <f t="shared" si="44"/>
        <v>25831498.53614461</v>
      </c>
      <c r="K215" s="31">
        <v>10.520901679992676</v>
      </c>
      <c r="L215" s="31">
        <v>55794996</v>
      </c>
      <c r="M215" s="31">
        <f t="shared" si="48"/>
        <v>55782013.361446127</v>
      </c>
      <c r="N215" s="32">
        <f t="shared" si="49"/>
        <v>55782013.361446127</v>
      </c>
      <c r="O215" s="31">
        <v>27.462528228759766</v>
      </c>
      <c r="P215" s="31">
        <v>791.44952392578125</v>
      </c>
      <c r="Q215" s="31">
        <f t="shared" si="50"/>
        <v>79.144952392578119</v>
      </c>
      <c r="R215" s="31">
        <v>31.506978988647461</v>
      </c>
      <c r="S215" s="31">
        <v>62.037876129150391</v>
      </c>
      <c r="T215" s="32">
        <f t="shared" si="51"/>
        <v>62.037876129150391</v>
      </c>
      <c r="U215" s="31">
        <v>24.984241485595703</v>
      </c>
      <c r="V215" s="31">
        <v>446.79104614257813</v>
      </c>
      <c r="W215" s="31">
        <f t="shared" si="52"/>
        <v>44.67910461425781</v>
      </c>
      <c r="X215" s="31">
        <v>29.114444732666016</v>
      </c>
      <c r="Y215" s="31">
        <v>27.968250274658203</v>
      </c>
      <c r="Z215" s="32">
        <f t="shared" si="53"/>
        <v>27.968250274658203</v>
      </c>
      <c r="AA215" s="31">
        <v>29.524541854858398</v>
      </c>
      <c r="AB215" s="31">
        <v>2.5310337543487549</v>
      </c>
      <c r="AC215" s="31">
        <f t="shared" si="54"/>
        <v>0.25310337543487549</v>
      </c>
      <c r="AD215" s="31">
        <v>31.255552291870117</v>
      </c>
      <c r="AE215" s="31">
        <v>0.77759820222854614</v>
      </c>
      <c r="AF215" s="32">
        <f t="shared" si="55"/>
        <v>0.77759820222854614</v>
      </c>
      <c r="AG215" s="31">
        <v>32.401248931884766</v>
      </c>
      <c r="AH215" s="31">
        <v>20.982379913330078</v>
      </c>
      <c r="AI215" s="31">
        <f t="shared" si="56"/>
        <v>2.0982379913330078</v>
      </c>
      <c r="AJ215" s="31">
        <v>30.825841903686523</v>
      </c>
      <c r="AK215" s="31">
        <v>52.986484527587891</v>
      </c>
      <c r="AL215" s="32">
        <f t="shared" si="57"/>
        <v>52.986484527587891</v>
      </c>
    </row>
    <row r="216" spans="1:38" ht="15.15" thickBot="1" x14ac:dyDescent="0.35">
      <c r="A216" s="33" t="s">
        <v>78</v>
      </c>
      <c r="B216" s="30">
        <v>44426</v>
      </c>
      <c r="C216" s="33">
        <v>990</v>
      </c>
      <c r="D216" s="23" t="s">
        <v>65</v>
      </c>
      <c r="E216" s="30">
        <v>44503</v>
      </c>
      <c r="F216" s="24">
        <v>100</v>
      </c>
      <c r="G216" s="31">
        <v>13.721440315246582</v>
      </c>
      <c r="H216" s="31">
        <v>6476895</v>
      </c>
      <c r="I216" s="31">
        <f t="shared" si="47"/>
        <v>6463912.3614461264</v>
      </c>
      <c r="J216" s="31">
        <f t="shared" si="44"/>
        <v>652920.4405501138</v>
      </c>
      <c r="K216" s="31">
        <v>16.771669387817383</v>
      </c>
      <c r="L216" s="31">
        <v>831879.4375</v>
      </c>
      <c r="M216" s="31">
        <f t="shared" si="48"/>
        <v>818896.79894612625</v>
      </c>
      <c r="N216" s="32">
        <f t="shared" si="49"/>
        <v>827168.48378396593</v>
      </c>
      <c r="O216" s="31">
        <v>30.417287826538086</v>
      </c>
      <c r="P216" s="31">
        <v>123.19188690185547</v>
      </c>
      <c r="Q216" s="31">
        <f t="shared" si="50"/>
        <v>12.44362493958136</v>
      </c>
      <c r="R216" s="31">
        <v>33.353214263916016</v>
      </c>
      <c r="S216" s="31">
        <v>19.403945922851563</v>
      </c>
      <c r="T216" s="32">
        <f t="shared" si="51"/>
        <v>19.59994537661774</v>
      </c>
      <c r="U216" s="31">
        <v>26.919065475463867</v>
      </c>
      <c r="V216" s="31">
        <v>121.99571228027344</v>
      </c>
      <c r="W216" s="31">
        <f t="shared" si="52"/>
        <v>12.322799220229641</v>
      </c>
      <c r="X216" s="31">
        <v>29.779052734375</v>
      </c>
      <c r="Y216" s="31">
        <v>17.906675338745117</v>
      </c>
      <c r="Z216" s="32">
        <f t="shared" si="53"/>
        <v>18.08755084721729</v>
      </c>
      <c r="AA216" s="31" t="s">
        <v>66</v>
      </c>
      <c r="AC216" s="31">
        <f t="shared" si="54"/>
        <v>0</v>
      </c>
      <c r="AD216" s="31" t="s">
        <v>66</v>
      </c>
      <c r="AF216" s="32">
        <f t="shared" si="55"/>
        <v>0</v>
      </c>
      <c r="AG216" s="31">
        <v>21.388616561889648</v>
      </c>
      <c r="AH216" s="31">
        <v>13618.873046875</v>
      </c>
      <c r="AI216" s="31">
        <f t="shared" si="56"/>
        <v>1375.6437421085859</v>
      </c>
      <c r="AJ216" s="31">
        <v>25.282018661499023</v>
      </c>
      <c r="AK216" s="31">
        <v>1380.0234375</v>
      </c>
      <c r="AL216" s="32">
        <f t="shared" si="57"/>
        <v>1393.9630681818182</v>
      </c>
    </row>
    <row r="217" spans="1:38" ht="15.15" thickBot="1" x14ac:dyDescent="0.35">
      <c r="A217" s="33" t="s">
        <v>79</v>
      </c>
      <c r="B217" s="30">
        <v>44426</v>
      </c>
      <c r="C217" s="33">
        <v>900</v>
      </c>
      <c r="D217" s="23" t="s">
        <v>65</v>
      </c>
      <c r="E217" s="30">
        <v>44503</v>
      </c>
      <c r="F217" s="24">
        <v>100</v>
      </c>
      <c r="G217" s="31">
        <v>15.327835083007813</v>
      </c>
      <c r="H217" s="31">
        <v>2197671.25</v>
      </c>
      <c r="I217" s="31">
        <f t="shared" si="47"/>
        <v>2184688.6114461264</v>
      </c>
      <c r="J217" s="31">
        <f t="shared" si="44"/>
        <v>242743.17904956959</v>
      </c>
      <c r="K217" s="31">
        <v>21.037471771240234</v>
      </c>
      <c r="L217" s="31">
        <v>47157.58984375</v>
      </c>
      <c r="M217" s="31">
        <f t="shared" si="48"/>
        <v>34174.951289876306</v>
      </c>
      <c r="N217" s="32">
        <f t="shared" si="49"/>
        <v>37972.16809986256</v>
      </c>
      <c r="O217" s="31">
        <v>31.829946517944336</v>
      </c>
      <c r="P217" s="31">
        <v>50.624008178710938</v>
      </c>
      <c r="Q217" s="31">
        <f t="shared" si="50"/>
        <v>5.6248897976345482</v>
      </c>
      <c r="R217" t="s">
        <v>66</v>
      </c>
      <c r="T217" s="32">
        <f t="shared" si="51"/>
        <v>0</v>
      </c>
      <c r="U217" s="31">
        <v>30.314645767211914</v>
      </c>
      <c r="V217" s="31">
        <v>12.501334190368652</v>
      </c>
      <c r="W217" s="31">
        <f t="shared" si="52"/>
        <v>1.3890371322631836</v>
      </c>
      <c r="X217" s="31">
        <v>33.731372833251953</v>
      </c>
      <c r="Y217" s="31">
        <v>1.2630091905593872</v>
      </c>
      <c r="Z217" s="32">
        <f t="shared" si="53"/>
        <v>1.4033435450659857</v>
      </c>
      <c r="AA217" s="31">
        <v>30.523441314697266</v>
      </c>
      <c r="AB217" s="31">
        <v>1.2809414863586426</v>
      </c>
      <c r="AC217" s="31">
        <f t="shared" si="54"/>
        <v>0.14232683181762695</v>
      </c>
      <c r="AD217" s="31" t="s">
        <v>66</v>
      </c>
      <c r="AF217" s="32">
        <f t="shared" si="55"/>
        <v>0</v>
      </c>
      <c r="AG217" s="31">
        <v>28.174446105957031</v>
      </c>
      <c r="AH217" s="31">
        <v>251.91252136230469</v>
      </c>
      <c r="AI217" s="31">
        <f t="shared" si="56"/>
        <v>27.990280151367188</v>
      </c>
      <c r="AJ217" s="31">
        <v>32.095176696777344</v>
      </c>
      <c r="AK217" s="31">
        <v>25.11979866027832</v>
      </c>
      <c r="AL217" s="32">
        <f t="shared" si="57"/>
        <v>27.910887400309246</v>
      </c>
    </row>
    <row r="218" spans="1:38" ht="15.15" thickBot="1" x14ac:dyDescent="0.35">
      <c r="A218" s="33" t="s">
        <v>80</v>
      </c>
      <c r="B218" s="30">
        <v>44426</v>
      </c>
      <c r="C218" s="33">
        <v>940</v>
      </c>
      <c r="D218" s="23" t="s">
        <v>65</v>
      </c>
      <c r="E218" s="30">
        <v>44503</v>
      </c>
      <c r="F218" s="24">
        <v>100</v>
      </c>
      <c r="G218" s="31">
        <v>18.996387481689453</v>
      </c>
      <c r="H218" s="31">
        <v>186198.5</v>
      </c>
      <c r="I218" s="31">
        <f t="shared" si="47"/>
        <v>173215.86144612631</v>
      </c>
      <c r="J218" s="31">
        <f t="shared" si="44"/>
        <v>18427.219302779391</v>
      </c>
      <c r="K218" s="31">
        <v>22.544748306274414</v>
      </c>
      <c r="L218" s="31">
        <v>17104.515625</v>
      </c>
      <c r="M218" s="31">
        <f t="shared" si="48"/>
        <v>4121.8770711263023</v>
      </c>
      <c r="N218" s="32">
        <f t="shared" si="49"/>
        <v>4384.9756075811729</v>
      </c>
      <c r="O218" s="31">
        <v>29.340030670166016</v>
      </c>
      <c r="P218" s="31">
        <v>242.72125244140625</v>
      </c>
      <c r="Q218" s="31">
        <f t="shared" si="50"/>
        <v>25.821409834192153</v>
      </c>
      <c r="R218" s="31">
        <v>31.742368698120117</v>
      </c>
      <c r="S218" s="31">
        <v>53.493446350097656</v>
      </c>
      <c r="T218" s="32">
        <f t="shared" si="51"/>
        <v>56.907921649040063</v>
      </c>
      <c r="U218" s="31">
        <v>33.047653198242188</v>
      </c>
      <c r="V218" s="31">
        <v>1.9981381893157959</v>
      </c>
      <c r="W218" s="31">
        <f t="shared" si="52"/>
        <v>0.21256789248040381</v>
      </c>
      <c r="X218" s="31">
        <v>36.410999298095703</v>
      </c>
      <c r="Y218" s="31">
        <v>0.20923270285129547</v>
      </c>
      <c r="Z218" s="32">
        <f t="shared" si="53"/>
        <v>0.22258798175669731</v>
      </c>
      <c r="AA218" s="31">
        <v>28.866025924682617</v>
      </c>
      <c r="AB218" s="31">
        <v>3.9653441905975342</v>
      </c>
      <c r="AC218" s="31">
        <f t="shared" si="54"/>
        <v>0.42184512665931212</v>
      </c>
      <c r="AD218" s="31" t="s">
        <v>66</v>
      </c>
      <c r="AF218" s="32">
        <f t="shared" si="55"/>
        <v>0</v>
      </c>
      <c r="AG218" t="s">
        <v>66</v>
      </c>
      <c r="AI218" s="31">
        <f t="shared" si="56"/>
        <v>0</v>
      </c>
      <c r="AJ218" t="s">
        <v>66</v>
      </c>
      <c r="AL218" s="32">
        <f t="shared" si="57"/>
        <v>0</v>
      </c>
    </row>
    <row r="219" spans="1:38" ht="15.15" thickBot="1" x14ac:dyDescent="0.35">
      <c r="A219" s="33" t="s">
        <v>81</v>
      </c>
      <c r="B219" s="30">
        <v>44426</v>
      </c>
      <c r="C219" s="33">
        <v>940</v>
      </c>
      <c r="D219" s="23" t="s">
        <v>65</v>
      </c>
      <c r="E219" s="30">
        <v>44503</v>
      </c>
      <c r="F219" s="24">
        <v>100</v>
      </c>
      <c r="G219" s="31">
        <v>20.390495300292969</v>
      </c>
      <c r="H219" s="31">
        <v>72879.328125</v>
      </c>
      <c r="I219" s="31">
        <f t="shared" si="47"/>
        <v>59896.689571126306</v>
      </c>
      <c r="J219" s="31">
        <f t="shared" si="44"/>
        <v>6371.98825224748</v>
      </c>
      <c r="K219" s="31">
        <v>23.800764083862305</v>
      </c>
      <c r="L219" s="31">
        <v>7346.67431640625</v>
      </c>
      <c r="M219" s="31">
        <f t="shared" si="48"/>
        <v>-5635.9642374674477</v>
      </c>
      <c r="N219" s="32">
        <f t="shared" si="49"/>
        <v>-5995.7066356036676</v>
      </c>
      <c r="O219" s="31">
        <v>30.074005126953125</v>
      </c>
      <c r="P219" s="31">
        <v>152.91030883789063</v>
      </c>
      <c r="Q219" s="31">
        <f t="shared" si="50"/>
        <v>16.267054131690493</v>
      </c>
      <c r="R219" s="31">
        <v>33.044990539550781</v>
      </c>
      <c r="S219" s="31">
        <v>23.559141159057617</v>
      </c>
      <c r="T219" s="32">
        <f t="shared" si="51"/>
        <v>25.06291612665704</v>
      </c>
      <c r="U219" s="31">
        <v>34.883071899414063</v>
      </c>
      <c r="V219" s="31">
        <v>0.58321660757064819</v>
      </c>
      <c r="W219" s="31">
        <f t="shared" si="52"/>
        <v>6.2044319954324273E-2</v>
      </c>
      <c r="X219" s="31">
        <v>37.851146697998047</v>
      </c>
      <c r="Y219" s="31">
        <v>7.9617075622081757E-2</v>
      </c>
      <c r="Z219" s="32">
        <f t="shared" si="53"/>
        <v>8.4699016619235915E-2</v>
      </c>
      <c r="AA219" s="31">
        <v>29.377395629882813</v>
      </c>
      <c r="AB219" s="31">
        <v>2.7981250286102295</v>
      </c>
      <c r="AC219" s="31">
        <f t="shared" si="54"/>
        <v>0.29767287538406695</v>
      </c>
      <c r="AD219" s="31">
        <v>33.022327423095703</v>
      </c>
      <c r="AE219" s="31">
        <v>0.23314324021339417</v>
      </c>
      <c r="AF219" s="32">
        <f t="shared" si="55"/>
        <v>0.2480247236312704</v>
      </c>
      <c r="AG219" t="s">
        <v>66</v>
      </c>
      <c r="AI219" s="31">
        <f t="shared" si="56"/>
        <v>0</v>
      </c>
      <c r="AJ219" t="s">
        <v>66</v>
      </c>
      <c r="AL219" s="32">
        <f t="shared" si="57"/>
        <v>0</v>
      </c>
    </row>
    <row r="220" spans="1:38" ht="15.15" thickBot="1" x14ac:dyDescent="0.35">
      <c r="A220" s="33" t="s">
        <v>64</v>
      </c>
      <c r="B220" s="30">
        <v>44433</v>
      </c>
      <c r="C220" s="33">
        <v>940</v>
      </c>
      <c r="D220" s="23" t="s">
        <v>65</v>
      </c>
      <c r="E220" s="30">
        <v>44504</v>
      </c>
      <c r="F220" s="24">
        <v>100</v>
      </c>
      <c r="G220" s="31">
        <v>18.616317749023438</v>
      </c>
      <c r="H220" s="31">
        <v>240456.34375</v>
      </c>
      <c r="I220" s="31">
        <f t="shared" si="47"/>
        <v>227473.70519612631</v>
      </c>
      <c r="J220" s="31">
        <f t="shared" si="44"/>
        <v>24199.330340013435</v>
      </c>
      <c r="K220" s="31">
        <v>23.043233871459961</v>
      </c>
      <c r="L220" s="31">
        <v>12230.6201171875</v>
      </c>
      <c r="M220" s="31">
        <f t="shared" si="48"/>
        <v>-752.01843668619767</v>
      </c>
      <c r="N220" s="32">
        <f t="shared" si="49"/>
        <v>-800.0196134959549</v>
      </c>
      <c r="O220" s="31">
        <v>33.493984222412109</v>
      </c>
      <c r="P220" s="31">
        <v>17.758369445800781</v>
      </c>
      <c r="Q220" s="31">
        <f t="shared" si="50"/>
        <v>1.8891882389149768</v>
      </c>
      <c r="R220" s="31">
        <v>36.819477081298828</v>
      </c>
      <c r="S220" s="31">
        <v>2.1887807846069336</v>
      </c>
      <c r="T220" s="32">
        <f t="shared" si="51"/>
        <v>2.328490196390355</v>
      </c>
      <c r="U220" s="31">
        <v>29.930215835571289</v>
      </c>
      <c r="V220" s="31">
        <v>16.179672241210938</v>
      </c>
      <c r="W220" s="31">
        <f t="shared" si="52"/>
        <v>1.7212417277883976</v>
      </c>
      <c r="X220" s="31">
        <v>36.0501708984375</v>
      </c>
      <c r="Y220" s="31">
        <v>0.26654225587844849</v>
      </c>
      <c r="Z220" s="32">
        <f t="shared" si="53"/>
        <v>0.2835555913600516</v>
      </c>
      <c r="AA220" s="31">
        <v>26.889814376831055</v>
      </c>
      <c r="AB220" s="31">
        <v>15.255495071411133</v>
      </c>
      <c r="AC220" s="31">
        <f t="shared" si="54"/>
        <v>1.622925007596929</v>
      </c>
      <c r="AD220" s="31" t="s">
        <v>66</v>
      </c>
      <c r="AF220" s="32">
        <f t="shared" si="55"/>
        <v>0</v>
      </c>
      <c r="AG220" s="31">
        <v>38.215538024902344</v>
      </c>
      <c r="AH220" s="31">
        <v>0.68717092275619507</v>
      </c>
      <c r="AI220" s="31">
        <f t="shared" si="56"/>
        <v>7.3103289654914375E-2</v>
      </c>
      <c r="AJ220" t="s">
        <v>66</v>
      </c>
      <c r="AL220" s="32">
        <f t="shared" si="57"/>
        <v>0</v>
      </c>
    </row>
    <row r="221" spans="1:38" ht="15.15" thickBot="1" x14ac:dyDescent="0.35">
      <c r="A221" s="33" t="s">
        <v>67</v>
      </c>
      <c r="B221" s="30">
        <v>44433</v>
      </c>
      <c r="C221" s="33">
        <v>870</v>
      </c>
      <c r="D221" s="23" t="s">
        <v>65</v>
      </c>
      <c r="E221" s="30">
        <v>44504</v>
      </c>
      <c r="F221" s="24">
        <v>100</v>
      </c>
      <c r="G221" s="31">
        <v>19.708780288696289</v>
      </c>
      <c r="H221" s="31">
        <v>115294.375</v>
      </c>
      <c r="I221" s="31">
        <f t="shared" si="47"/>
        <v>102311.73644612631</v>
      </c>
      <c r="J221" s="31">
        <f t="shared" si="44"/>
        <v>11759.9697064513</v>
      </c>
      <c r="K221" s="31">
        <v>22.474653244018555</v>
      </c>
      <c r="L221" s="31">
        <v>17930.53515625</v>
      </c>
      <c r="M221" s="31">
        <f t="shared" si="48"/>
        <v>4947.8966023763023</v>
      </c>
      <c r="N221" s="32">
        <f t="shared" si="49"/>
        <v>5687.2374739957504</v>
      </c>
      <c r="O221" s="31">
        <v>34.523799896240234</v>
      </c>
      <c r="P221" s="31">
        <v>9.2864141464233398</v>
      </c>
      <c r="Q221" s="31">
        <f t="shared" si="50"/>
        <v>1.0674039248762459</v>
      </c>
      <c r="R221" s="31">
        <v>39.616073608398438</v>
      </c>
      <c r="S221" s="31">
        <v>0.37635999917984009</v>
      </c>
      <c r="T221" s="32">
        <f t="shared" si="51"/>
        <v>0.43259770020671273</v>
      </c>
      <c r="U221" s="31">
        <v>31.2392578125</v>
      </c>
      <c r="V221" s="31">
        <v>6.7227544784545898</v>
      </c>
      <c r="W221" s="31">
        <f t="shared" si="52"/>
        <v>0.77273039982236669</v>
      </c>
      <c r="X221" s="31">
        <v>33.219043731689453</v>
      </c>
      <c r="Y221" s="31">
        <v>1.7810928821563721</v>
      </c>
      <c r="Z221" s="32">
        <f t="shared" si="53"/>
        <v>2.0472331978808875</v>
      </c>
      <c r="AA221" s="31">
        <v>28.183391571044922</v>
      </c>
      <c r="AB221" s="31">
        <v>6.3154630661010742</v>
      </c>
      <c r="AC221" s="31">
        <f t="shared" si="54"/>
        <v>0.72591529495414642</v>
      </c>
      <c r="AD221" s="31">
        <v>30.481760025024414</v>
      </c>
      <c r="AE221" s="31">
        <v>1.3178648948669434</v>
      </c>
      <c r="AF221" s="32">
        <f t="shared" si="55"/>
        <v>1.5147872354792453</v>
      </c>
      <c r="AG221" t="s">
        <v>66</v>
      </c>
      <c r="AI221" s="31">
        <f t="shared" si="56"/>
        <v>0</v>
      </c>
      <c r="AJ221" t="s">
        <v>66</v>
      </c>
      <c r="AL221" s="32">
        <f t="shared" si="57"/>
        <v>0</v>
      </c>
    </row>
    <row r="222" spans="1:38" ht="15.15" thickBot="1" x14ac:dyDescent="0.35">
      <c r="A222" s="33" t="s">
        <v>68</v>
      </c>
      <c r="B222" s="30">
        <v>44433</v>
      </c>
      <c r="C222" s="33">
        <v>865</v>
      </c>
      <c r="D222" s="23" t="s">
        <v>65</v>
      </c>
      <c r="E222" s="30">
        <v>44504</v>
      </c>
      <c r="F222" s="24">
        <v>100</v>
      </c>
      <c r="G222" s="31">
        <v>13.730470657348633</v>
      </c>
      <c r="H222" s="31">
        <v>6437661</v>
      </c>
      <c r="I222" s="31">
        <f t="shared" si="47"/>
        <v>6424678.3614461264</v>
      </c>
      <c r="J222" s="31">
        <f t="shared" si="44"/>
        <v>742737.38282614178</v>
      </c>
      <c r="K222" s="31">
        <v>17.203210830688477</v>
      </c>
      <c r="L222" s="31">
        <v>622242.6875</v>
      </c>
      <c r="M222" s="31">
        <f t="shared" si="48"/>
        <v>609260.04894612625</v>
      </c>
      <c r="N222" s="32">
        <f t="shared" si="49"/>
        <v>704346.87739436561</v>
      </c>
      <c r="O222" s="31">
        <v>30.437223434448242</v>
      </c>
      <c r="P222" s="31">
        <v>121.65547180175781</v>
      </c>
      <c r="Q222" s="31">
        <f t="shared" si="50"/>
        <v>14.064216393266799</v>
      </c>
      <c r="R222" s="31">
        <v>35.050502777099609</v>
      </c>
      <c r="S222" s="31">
        <v>6.6656994819641113</v>
      </c>
      <c r="T222" s="32">
        <f t="shared" si="51"/>
        <v>7.7060109618082215</v>
      </c>
      <c r="U222" s="31">
        <v>33.915027618408203</v>
      </c>
      <c r="V222" s="31">
        <v>1.1165908575057983</v>
      </c>
      <c r="W222" s="31">
        <f t="shared" si="52"/>
        <v>0.12908564826656629</v>
      </c>
      <c r="X222" t="s">
        <v>66</v>
      </c>
      <c r="Z222" s="32">
        <f t="shared" si="53"/>
        <v>0</v>
      </c>
      <c r="AA222" s="31">
        <v>29.244474411010742</v>
      </c>
      <c r="AB222" s="31">
        <v>3.0635457038879395</v>
      </c>
      <c r="AC222" s="31">
        <f t="shared" si="54"/>
        <v>0.35416713339744965</v>
      </c>
      <c r="AD222" s="31" t="s">
        <v>66</v>
      </c>
      <c r="AF222" s="32">
        <f t="shared" si="55"/>
        <v>0</v>
      </c>
      <c r="AG222" s="31">
        <v>37.6904296875</v>
      </c>
      <c r="AH222" s="31">
        <v>0.93575304746627808</v>
      </c>
      <c r="AI222" s="31">
        <f t="shared" si="56"/>
        <v>0.10817954305968533</v>
      </c>
      <c r="AJ222" t="s">
        <v>66</v>
      </c>
      <c r="AL222" s="32">
        <f t="shared" si="57"/>
        <v>0</v>
      </c>
    </row>
    <row r="223" spans="1:38" ht="15.15" thickBot="1" x14ac:dyDescent="0.35">
      <c r="A223" s="33" t="s">
        <v>69</v>
      </c>
      <c r="B223" s="30">
        <v>44433</v>
      </c>
      <c r="C223" s="33">
        <v>930</v>
      </c>
      <c r="D223" s="23" t="s">
        <v>65</v>
      </c>
      <c r="E223" s="30">
        <v>44504</v>
      </c>
      <c r="F223" s="24">
        <v>100</v>
      </c>
      <c r="G223" s="31">
        <v>14.366188049316406</v>
      </c>
      <c r="H223" s="31">
        <v>4197255</v>
      </c>
      <c r="I223" s="31">
        <f t="shared" si="47"/>
        <v>4184272.3614461264</v>
      </c>
      <c r="J223" s="31">
        <f t="shared" si="44"/>
        <v>449921.75929528236</v>
      </c>
      <c r="K223" s="31">
        <v>17.408962249755859</v>
      </c>
      <c r="L223" s="31">
        <v>541797.8125</v>
      </c>
      <c r="M223" s="31">
        <f t="shared" si="48"/>
        <v>528815.17394612625</v>
      </c>
      <c r="N223" s="32">
        <f t="shared" si="49"/>
        <v>568618.46660873783</v>
      </c>
      <c r="O223" s="31">
        <v>30.335182189941406</v>
      </c>
      <c r="P223" s="31">
        <v>129.72691345214844</v>
      </c>
      <c r="Q223" s="31">
        <f t="shared" si="50"/>
        <v>13.949130478725639</v>
      </c>
      <c r="R223" s="31">
        <v>33.469863891601563</v>
      </c>
      <c r="S223" s="31">
        <v>18.030080795288086</v>
      </c>
      <c r="T223" s="32">
        <f t="shared" si="51"/>
        <v>19.387183650847405</v>
      </c>
      <c r="U223" s="31">
        <v>35.310619354248047</v>
      </c>
      <c r="V223" s="31">
        <v>0.43777716159820557</v>
      </c>
      <c r="W223" s="31">
        <f t="shared" si="52"/>
        <v>4.7072813075075867E-2</v>
      </c>
      <c r="X223" s="31">
        <v>35.423145294189453</v>
      </c>
      <c r="Y223" s="31">
        <v>0.40594372153282166</v>
      </c>
      <c r="Z223" s="32">
        <f t="shared" si="53"/>
        <v>0.43649862530410932</v>
      </c>
      <c r="AA223" s="31">
        <v>29.528678894042969</v>
      </c>
      <c r="AB223" s="31">
        <v>2.5239048004150391</v>
      </c>
      <c r="AC223" s="31">
        <f t="shared" si="54"/>
        <v>0.27138761294785368</v>
      </c>
      <c r="AD223" s="31">
        <v>31.635349273681641</v>
      </c>
      <c r="AE223" s="31">
        <v>0.60020476579666138</v>
      </c>
      <c r="AF223" s="32">
        <f t="shared" si="55"/>
        <v>0.6453814685985606</v>
      </c>
      <c r="AG223" s="31">
        <v>38.779781341552734</v>
      </c>
      <c r="AH223" s="31">
        <v>0.49314478039741516</v>
      </c>
      <c r="AI223" s="31">
        <f t="shared" si="56"/>
        <v>5.3026320472840338E-2</v>
      </c>
      <c r="AJ223" t="s">
        <v>66</v>
      </c>
      <c r="AL223" s="32">
        <f t="shared" si="57"/>
        <v>0</v>
      </c>
    </row>
    <row r="224" spans="1:38" ht="15.15" thickBot="1" x14ac:dyDescent="0.35">
      <c r="A224" s="33" t="s">
        <v>70</v>
      </c>
      <c r="B224" s="30">
        <v>44433</v>
      </c>
      <c r="C224" s="33">
        <v>990</v>
      </c>
      <c r="D224" s="23" t="s">
        <v>65</v>
      </c>
      <c r="E224" s="30">
        <v>44504</v>
      </c>
      <c r="F224" s="24">
        <v>100</v>
      </c>
      <c r="G224" s="31">
        <v>16.727945327758789</v>
      </c>
      <c r="H224" s="31">
        <v>856716.1875</v>
      </c>
      <c r="I224" s="31">
        <f t="shared" si="47"/>
        <v>843733.54894612625</v>
      </c>
      <c r="J224" s="31">
        <f t="shared" ref="J224:J235" si="58">(I224*$F224)/$C224</f>
        <v>85225.611004659222</v>
      </c>
      <c r="K224" s="31">
        <v>19.883798599243164</v>
      </c>
      <c r="L224" s="31">
        <v>102486.359375</v>
      </c>
      <c r="M224" s="31">
        <f t="shared" si="48"/>
        <v>89503.720821126306</v>
      </c>
      <c r="N224" s="32">
        <f t="shared" si="49"/>
        <v>90407.798809218497</v>
      </c>
      <c r="O224" s="31">
        <v>28.870048522949219</v>
      </c>
      <c r="P224" s="31">
        <v>326.28903198242188</v>
      </c>
      <c r="Q224" s="31">
        <f t="shared" si="50"/>
        <v>32.958488079032513</v>
      </c>
      <c r="R224" s="31">
        <v>32.91766357421875</v>
      </c>
      <c r="S224" s="31">
        <v>25.525312423706055</v>
      </c>
      <c r="T224" s="32">
        <f t="shared" si="51"/>
        <v>25.783143862329347</v>
      </c>
      <c r="U224" s="31">
        <v>32.894088745117188</v>
      </c>
      <c r="V224" s="31">
        <v>2.2149829864501953</v>
      </c>
      <c r="W224" s="31">
        <f t="shared" si="52"/>
        <v>0.22373565519698943</v>
      </c>
      <c r="X224" s="31">
        <v>37.194194793701172</v>
      </c>
      <c r="Y224" s="31">
        <v>0.12371596693992615</v>
      </c>
      <c r="Z224" s="32">
        <f t="shared" si="53"/>
        <v>0.12496562317164257</v>
      </c>
      <c r="AA224" s="31">
        <v>22.634279251098633</v>
      </c>
      <c r="AB224" s="31">
        <v>277.63031005859375</v>
      </c>
      <c r="AC224" s="31">
        <f t="shared" si="54"/>
        <v>28.043465662484216</v>
      </c>
      <c r="AD224" s="31">
        <v>27.344823837280273</v>
      </c>
      <c r="AE224" s="31">
        <v>11.186661720275879</v>
      </c>
      <c r="AF224" s="32">
        <f t="shared" si="55"/>
        <v>11.299658303308968</v>
      </c>
      <c r="AG224" t="s">
        <v>66</v>
      </c>
      <c r="AI224" s="31">
        <f t="shared" si="56"/>
        <v>0</v>
      </c>
      <c r="AJ224" t="s">
        <v>66</v>
      </c>
      <c r="AL224" s="32">
        <f t="shared" si="57"/>
        <v>0</v>
      </c>
    </row>
    <row r="225" spans="1:38" ht="15.15" thickBot="1" x14ac:dyDescent="0.35">
      <c r="A225" s="33" t="s">
        <v>71</v>
      </c>
      <c r="B225" s="30">
        <v>44433</v>
      </c>
      <c r="C225" s="33">
        <v>990</v>
      </c>
      <c r="D225" s="23" t="s">
        <v>65</v>
      </c>
      <c r="E225" s="30">
        <v>44504</v>
      </c>
      <c r="F225" s="24">
        <v>100</v>
      </c>
      <c r="G225" s="31">
        <v>19.305788040161133</v>
      </c>
      <c r="H225" s="31">
        <v>151205.0625</v>
      </c>
      <c r="I225" s="31">
        <f t="shared" si="47"/>
        <v>138222.42394612631</v>
      </c>
      <c r="J225" s="31">
        <f t="shared" si="58"/>
        <v>13961.861004659224</v>
      </c>
      <c r="K225" s="31">
        <v>23.066135406494141</v>
      </c>
      <c r="L225" s="31">
        <v>12043.6025390625</v>
      </c>
      <c r="M225" s="31">
        <f t="shared" si="48"/>
        <v>-939.03601481119767</v>
      </c>
      <c r="N225" s="32">
        <f t="shared" si="49"/>
        <v>-948.52122708201784</v>
      </c>
      <c r="O225" s="31">
        <v>30.440656661987305</v>
      </c>
      <c r="P225" s="31">
        <v>121.392822265625</v>
      </c>
      <c r="Q225" s="31">
        <f t="shared" si="50"/>
        <v>12.261901238952021</v>
      </c>
      <c r="R225" s="31">
        <v>33.809043884277344</v>
      </c>
      <c r="S225" s="31">
        <v>14.563465118408203</v>
      </c>
      <c r="T225" s="32">
        <f t="shared" si="51"/>
        <v>14.710570826674953</v>
      </c>
      <c r="U225" s="31">
        <v>35.233280181884766</v>
      </c>
      <c r="V225" s="31">
        <v>0.4610922634601593</v>
      </c>
      <c r="W225" s="31">
        <f t="shared" si="52"/>
        <v>4.6574976107086795E-2</v>
      </c>
      <c r="X225" s="31">
        <v>36.134250640869141</v>
      </c>
      <c r="Y225" s="31">
        <v>0.25192269682884216</v>
      </c>
      <c r="Z225" s="32">
        <f t="shared" si="53"/>
        <v>0.254467370534184</v>
      </c>
      <c r="AA225" s="31">
        <v>25.187004089355469</v>
      </c>
      <c r="AB225" s="31">
        <v>48.710105895996094</v>
      </c>
      <c r="AC225" s="31">
        <f t="shared" si="54"/>
        <v>4.9202127167672822</v>
      </c>
      <c r="AD225" s="31">
        <v>29.834835052490234</v>
      </c>
      <c r="AE225" s="31">
        <v>2.0484333038330078</v>
      </c>
      <c r="AF225" s="32">
        <f t="shared" si="55"/>
        <v>2.0691245493262707</v>
      </c>
      <c r="AG225" s="31">
        <v>33.683399200439453</v>
      </c>
      <c r="AH225" s="31">
        <v>9.8726367950439453</v>
      </c>
      <c r="AI225" s="31">
        <f t="shared" si="56"/>
        <v>0.99723603990342879</v>
      </c>
      <c r="AJ225" t="s">
        <v>66</v>
      </c>
      <c r="AL225" s="32">
        <f t="shared" si="57"/>
        <v>0</v>
      </c>
    </row>
    <row r="226" spans="1:38" ht="15.15" thickBot="1" x14ac:dyDescent="0.35">
      <c r="A226" s="33" t="s">
        <v>72</v>
      </c>
      <c r="B226" s="30">
        <v>44433</v>
      </c>
      <c r="C226" s="33">
        <v>1000</v>
      </c>
      <c r="D226" s="23" t="s">
        <v>65</v>
      </c>
      <c r="E226" s="30">
        <v>44504</v>
      </c>
      <c r="F226" s="24">
        <v>100</v>
      </c>
      <c r="G226" s="31">
        <v>13.59037971496582</v>
      </c>
      <c r="H226" s="31">
        <v>7073983.5</v>
      </c>
      <c r="I226" s="31">
        <f t="shared" si="47"/>
        <v>7061000.8614461264</v>
      </c>
      <c r="J226" s="31">
        <f t="shared" si="58"/>
        <v>706100.08614461264</v>
      </c>
      <c r="K226" s="31">
        <v>16.782161712646484</v>
      </c>
      <c r="L226" s="31">
        <v>826027.3125</v>
      </c>
      <c r="M226" s="31">
        <f t="shared" si="48"/>
        <v>813044.67394612625</v>
      </c>
      <c r="N226" s="32">
        <f t="shared" si="49"/>
        <v>813044.67394612625</v>
      </c>
      <c r="O226" s="31">
        <v>29.428726196289063</v>
      </c>
      <c r="P226" s="31">
        <v>229.53988647460938</v>
      </c>
      <c r="Q226" s="31">
        <f t="shared" si="50"/>
        <v>22.953988647460939</v>
      </c>
      <c r="R226" s="31">
        <v>32.808658599853516</v>
      </c>
      <c r="S226" s="31">
        <v>27.338418960571289</v>
      </c>
      <c r="T226" s="32">
        <f t="shared" si="51"/>
        <v>27.338418960571289</v>
      </c>
      <c r="U226" s="31">
        <v>26.213638305664063</v>
      </c>
      <c r="V226" s="31">
        <v>195.834228515625</v>
      </c>
      <c r="W226" s="31">
        <f t="shared" si="52"/>
        <v>19.583422851562499</v>
      </c>
      <c r="X226" s="31">
        <v>31.793787002563477</v>
      </c>
      <c r="Y226" s="31">
        <v>4.6341614723205566</v>
      </c>
      <c r="Z226" s="32">
        <f t="shared" si="53"/>
        <v>4.6341614723205566</v>
      </c>
      <c r="AA226" s="31">
        <v>28.808086395263672</v>
      </c>
      <c r="AB226" s="31">
        <v>4.1251187324523926</v>
      </c>
      <c r="AC226" s="31">
        <f t="shared" si="54"/>
        <v>0.41251187324523925</v>
      </c>
      <c r="AD226" s="31" t="s">
        <v>66</v>
      </c>
      <c r="AF226" s="32">
        <f t="shared" si="55"/>
        <v>0</v>
      </c>
      <c r="AG226" s="31">
        <v>39.739723205566406</v>
      </c>
      <c r="AH226" s="31">
        <v>0.28043675422668457</v>
      </c>
      <c r="AI226" s="31">
        <f t="shared" si="56"/>
        <v>2.8043675422668456E-2</v>
      </c>
      <c r="AJ226" t="s">
        <v>66</v>
      </c>
      <c r="AL226" s="32">
        <f t="shared" si="57"/>
        <v>0</v>
      </c>
    </row>
    <row r="227" spans="1:38" ht="15.15" thickBot="1" x14ac:dyDescent="0.35">
      <c r="A227" s="33" t="s">
        <v>73</v>
      </c>
      <c r="B227" s="30">
        <v>44433</v>
      </c>
      <c r="C227" s="33">
        <v>1000</v>
      </c>
      <c r="D227" s="23" t="s">
        <v>65</v>
      </c>
      <c r="E227" s="30">
        <v>44504</v>
      </c>
      <c r="F227" s="24">
        <v>100</v>
      </c>
      <c r="G227" s="31">
        <v>23.041460037231445</v>
      </c>
      <c r="H227" s="31">
        <v>12245.2255859375</v>
      </c>
      <c r="I227" s="31">
        <f t="shared" si="47"/>
        <v>-737.41296793619767</v>
      </c>
      <c r="J227" s="31">
        <f t="shared" si="58"/>
        <v>-73.741296793619767</v>
      </c>
      <c r="K227" s="31">
        <v>25.715677261352539</v>
      </c>
      <c r="L227" s="31">
        <v>2025.510986328125</v>
      </c>
      <c r="M227" s="31">
        <f t="shared" si="48"/>
        <v>-10957.127567545573</v>
      </c>
      <c r="N227" s="32">
        <f t="shared" si="49"/>
        <v>-10957.127567545573</v>
      </c>
      <c r="O227" t="s">
        <v>66</v>
      </c>
      <c r="Q227" s="31">
        <f t="shared" si="50"/>
        <v>0</v>
      </c>
      <c r="R227" t="s">
        <v>66</v>
      </c>
      <c r="T227" s="32">
        <f t="shared" si="51"/>
        <v>0</v>
      </c>
      <c r="U227" s="31">
        <v>35.43023681640625</v>
      </c>
      <c r="V227" s="31">
        <v>0.40401691198348999</v>
      </c>
      <c r="W227" s="31">
        <f t="shared" si="52"/>
        <v>4.0401691198349E-2</v>
      </c>
      <c r="X227" t="s">
        <v>66</v>
      </c>
      <c r="Z227" s="32">
        <f t="shared" si="53"/>
        <v>0</v>
      </c>
      <c r="AA227" s="31" t="s">
        <v>66</v>
      </c>
      <c r="AC227" s="31">
        <f t="shared" si="54"/>
        <v>0</v>
      </c>
      <c r="AD227" s="31" t="s">
        <v>66</v>
      </c>
      <c r="AF227" s="32">
        <f t="shared" si="55"/>
        <v>0</v>
      </c>
      <c r="AG227" t="s">
        <v>66</v>
      </c>
      <c r="AI227" s="31">
        <f t="shared" si="56"/>
        <v>0</v>
      </c>
      <c r="AJ227" t="s">
        <v>66</v>
      </c>
      <c r="AL227" s="32">
        <f t="shared" si="57"/>
        <v>0</v>
      </c>
    </row>
    <row r="228" spans="1:38" ht="15.15" thickBot="1" x14ac:dyDescent="0.35">
      <c r="A228" s="33" t="s">
        <v>74</v>
      </c>
      <c r="B228" s="30">
        <v>44433</v>
      </c>
      <c r="C228" s="33">
        <v>960</v>
      </c>
      <c r="D228" s="23" t="s">
        <v>65</v>
      </c>
      <c r="E228" s="30">
        <v>44504</v>
      </c>
      <c r="F228" s="24">
        <v>100</v>
      </c>
      <c r="G228" s="31">
        <v>18.774282455444336</v>
      </c>
      <c r="H228" s="31">
        <v>216210.828125</v>
      </c>
      <c r="I228" s="31">
        <f t="shared" si="47"/>
        <v>203228.18957112631</v>
      </c>
      <c r="J228" s="31">
        <f t="shared" si="58"/>
        <v>21169.603080325654</v>
      </c>
      <c r="K228" s="31">
        <v>21.944757461547852</v>
      </c>
      <c r="L228" s="31">
        <v>25611.435546875</v>
      </c>
      <c r="M228" s="31">
        <f t="shared" si="48"/>
        <v>12628.796993001302</v>
      </c>
      <c r="N228" s="32">
        <f t="shared" si="49"/>
        <v>13154.996867709689</v>
      </c>
      <c r="O228" s="31">
        <v>30.502920150756836</v>
      </c>
      <c r="P228" s="31">
        <v>116.72663116455078</v>
      </c>
      <c r="Q228" s="31">
        <f t="shared" si="50"/>
        <v>12.159024079640707</v>
      </c>
      <c r="R228" s="31">
        <v>33.471305847167969</v>
      </c>
      <c r="S228" s="31">
        <v>18.01371955871582</v>
      </c>
      <c r="T228" s="32">
        <f t="shared" si="51"/>
        <v>18.764291206995647</v>
      </c>
      <c r="U228" s="31">
        <v>34.886795043945313</v>
      </c>
      <c r="V228" s="31">
        <v>0.58176159858703613</v>
      </c>
      <c r="W228" s="31">
        <f t="shared" si="52"/>
        <v>6.0600166519482933E-2</v>
      </c>
      <c r="X228" s="31">
        <v>36.801490783691406</v>
      </c>
      <c r="Y228" s="31">
        <v>0.16100893914699554</v>
      </c>
      <c r="Z228" s="32">
        <f t="shared" si="53"/>
        <v>0.16771764494478703</v>
      </c>
      <c r="AA228" s="31">
        <v>25.78465461730957</v>
      </c>
      <c r="AB228" s="31">
        <v>32.408432006835938</v>
      </c>
      <c r="AC228" s="31">
        <f t="shared" si="54"/>
        <v>3.3758783340454102</v>
      </c>
      <c r="AD228" s="31">
        <v>28.638090133666992</v>
      </c>
      <c r="AE228" s="31">
        <v>4.6320309638977051</v>
      </c>
      <c r="AF228" s="32">
        <f t="shared" si="55"/>
        <v>4.8250322540601092</v>
      </c>
      <c r="AG228" s="31">
        <v>38.757865905761719</v>
      </c>
      <c r="AH228" s="31">
        <v>0.49954080581665039</v>
      </c>
      <c r="AI228" s="31">
        <f t="shared" si="56"/>
        <v>5.2035500605901085E-2</v>
      </c>
      <c r="AJ228" t="s">
        <v>66</v>
      </c>
      <c r="AL228" s="32">
        <f t="shared" si="57"/>
        <v>0</v>
      </c>
    </row>
    <row r="229" spans="1:38" ht="15.15" thickBot="1" x14ac:dyDescent="0.35">
      <c r="A229" s="33" t="s">
        <v>75</v>
      </c>
      <c r="B229" s="30">
        <v>44433</v>
      </c>
      <c r="C229" s="33">
        <v>960</v>
      </c>
      <c r="D229" s="23" t="s">
        <v>65</v>
      </c>
      <c r="E229" s="30">
        <v>44504</v>
      </c>
      <c r="F229" s="24">
        <v>100</v>
      </c>
      <c r="G229" s="31">
        <v>18.920604705810547</v>
      </c>
      <c r="H229" s="31">
        <v>195938.890625</v>
      </c>
      <c r="I229" s="31">
        <f t="shared" si="47"/>
        <v>182956.25207112631</v>
      </c>
      <c r="J229" s="31">
        <f t="shared" si="58"/>
        <v>19057.942924075654</v>
      </c>
      <c r="K229" s="31">
        <v>22.438070297241211</v>
      </c>
      <c r="L229" s="31">
        <v>18377.359375</v>
      </c>
      <c r="M229" s="31">
        <f t="shared" si="48"/>
        <v>5394.7208211263023</v>
      </c>
      <c r="N229" s="32">
        <f t="shared" si="49"/>
        <v>5619.5008553398984</v>
      </c>
      <c r="O229" s="31">
        <v>30.261093139648438</v>
      </c>
      <c r="P229" s="31">
        <v>135.92091369628906</v>
      </c>
      <c r="Q229" s="31">
        <f t="shared" si="50"/>
        <v>14.158428510030111</v>
      </c>
      <c r="R229" s="31">
        <v>34.160675048828125</v>
      </c>
      <c r="S229" s="31">
        <v>11.671524047851563</v>
      </c>
      <c r="T229" s="32">
        <f t="shared" si="51"/>
        <v>12.157837549845377</v>
      </c>
      <c r="U229" s="31">
        <v>35.038665771484375</v>
      </c>
      <c r="V229" s="31">
        <v>0.52540433406829834</v>
      </c>
      <c r="W229" s="31">
        <f t="shared" si="52"/>
        <v>5.472961813211441E-2</v>
      </c>
      <c r="X229" t="s">
        <v>66</v>
      </c>
      <c r="Z229" s="32">
        <f t="shared" si="53"/>
        <v>0</v>
      </c>
      <c r="AA229" s="31">
        <v>30.104360580444336</v>
      </c>
      <c r="AB229" s="31">
        <v>1.7045776844024658</v>
      </c>
      <c r="AC229" s="31">
        <f t="shared" si="54"/>
        <v>0.17756017545859018</v>
      </c>
      <c r="AD229" s="31" t="s">
        <v>66</v>
      </c>
      <c r="AF229" s="32">
        <f t="shared" si="55"/>
        <v>0</v>
      </c>
      <c r="AG229" t="s">
        <v>66</v>
      </c>
      <c r="AI229" s="31">
        <f t="shared" si="56"/>
        <v>0</v>
      </c>
      <c r="AJ229" t="s">
        <v>66</v>
      </c>
      <c r="AL229" s="32">
        <f t="shared" si="57"/>
        <v>0</v>
      </c>
    </row>
    <row r="230" spans="1:38" ht="15.15" thickBot="1" x14ac:dyDescent="0.35">
      <c r="A230" s="33" t="s">
        <v>76</v>
      </c>
      <c r="B230" s="30">
        <v>44433</v>
      </c>
      <c r="C230" s="33">
        <v>1000</v>
      </c>
      <c r="D230" s="23" t="s">
        <v>65</v>
      </c>
      <c r="E230" s="30">
        <v>44504</v>
      </c>
      <c r="F230" s="24">
        <v>100</v>
      </c>
      <c r="G230" s="31">
        <v>9.8140792846679688</v>
      </c>
      <c r="H230" s="31">
        <v>89770912</v>
      </c>
      <c r="I230" s="31">
        <f t="shared" si="47"/>
        <v>89757929.361446127</v>
      </c>
      <c r="J230" s="31">
        <f t="shared" si="58"/>
        <v>8975792.9361446127</v>
      </c>
      <c r="K230" s="31">
        <v>12.801517486572266</v>
      </c>
      <c r="L230" s="31">
        <v>12027552</v>
      </c>
      <c r="M230" s="31">
        <f t="shared" si="48"/>
        <v>12014569.361446125</v>
      </c>
      <c r="N230" s="32">
        <f t="shared" si="49"/>
        <v>12014569.361446125</v>
      </c>
      <c r="O230" s="31">
        <v>28.535793304443359</v>
      </c>
      <c r="P230" s="31">
        <v>402.70681762695313</v>
      </c>
      <c r="Q230" s="31">
        <f t="shared" si="50"/>
        <v>40.270681762695311</v>
      </c>
      <c r="R230" s="31">
        <v>32.104476928710938</v>
      </c>
      <c r="S230" s="31">
        <v>42.589153289794922</v>
      </c>
      <c r="T230" s="32">
        <f t="shared" si="51"/>
        <v>42.589153289794922</v>
      </c>
      <c r="U230" s="31">
        <v>27.246747970581055</v>
      </c>
      <c r="V230" s="31">
        <v>97.918777465820313</v>
      </c>
      <c r="W230" s="31">
        <f t="shared" si="52"/>
        <v>9.7918777465820313</v>
      </c>
      <c r="X230" s="31">
        <v>30.265647888183594</v>
      </c>
      <c r="Y230" s="31">
        <v>12.919125556945801</v>
      </c>
      <c r="Z230" s="32">
        <f t="shared" si="53"/>
        <v>12.919125556945801</v>
      </c>
      <c r="AA230" s="31">
        <v>30.048986434936523</v>
      </c>
      <c r="AB230" s="31">
        <v>1.7701610326766968</v>
      </c>
      <c r="AC230" s="31">
        <f t="shared" si="54"/>
        <v>0.17701610326766967</v>
      </c>
      <c r="AD230" s="31">
        <v>34.275920867919922</v>
      </c>
      <c r="AE230" s="31">
        <v>9.9183790385723114E-2</v>
      </c>
      <c r="AF230" s="32">
        <f t="shared" si="55"/>
        <v>9.9183790385723114E-2</v>
      </c>
      <c r="AG230" s="31">
        <v>27.09019660949707</v>
      </c>
      <c r="AH230" s="31">
        <v>476.57757568359375</v>
      </c>
      <c r="AI230" s="31">
        <f t="shared" si="56"/>
        <v>47.657757568359372</v>
      </c>
      <c r="AJ230" s="31">
        <v>31.069440841674805</v>
      </c>
      <c r="AK230" s="31">
        <v>45.915302276611328</v>
      </c>
      <c r="AL230" s="32">
        <f t="shared" si="57"/>
        <v>45.915302276611328</v>
      </c>
    </row>
    <row r="231" spans="1:38" ht="15.15" thickBot="1" x14ac:dyDescent="0.35">
      <c r="A231" s="33" t="s">
        <v>77</v>
      </c>
      <c r="B231" s="30">
        <v>44433</v>
      </c>
      <c r="C231" s="33">
        <v>1000</v>
      </c>
      <c r="D231" s="23" t="s">
        <v>65</v>
      </c>
      <c r="E231" s="30">
        <v>44504</v>
      </c>
      <c r="F231" s="24">
        <v>100</v>
      </c>
      <c r="G231" s="31">
        <v>13.095283508300781</v>
      </c>
      <c r="H231" s="31">
        <v>9870427</v>
      </c>
      <c r="I231" s="31">
        <f t="shared" si="47"/>
        <v>9857444.3614461254</v>
      </c>
      <c r="J231" s="31">
        <f t="shared" si="58"/>
        <v>985744.4361446125</v>
      </c>
      <c r="K231" s="31">
        <v>15.816884994506836</v>
      </c>
      <c r="L231" s="31">
        <v>1581457.875</v>
      </c>
      <c r="M231" s="31">
        <f t="shared" si="48"/>
        <v>1568475.2364461264</v>
      </c>
      <c r="N231" s="32">
        <f t="shared" si="49"/>
        <v>1568475.2364461264</v>
      </c>
      <c r="O231" s="31">
        <v>28.685134887695313</v>
      </c>
      <c r="P231" s="31">
        <v>366.57131958007813</v>
      </c>
      <c r="Q231" s="31">
        <f t="shared" si="50"/>
        <v>36.65713195800781</v>
      </c>
      <c r="R231" s="31">
        <v>32.50018310546875</v>
      </c>
      <c r="S231" s="31">
        <v>33.197975158691406</v>
      </c>
      <c r="T231" s="32">
        <f t="shared" si="51"/>
        <v>33.197975158691406</v>
      </c>
      <c r="U231" s="31">
        <v>25.841680526733398</v>
      </c>
      <c r="V231" s="31">
        <v>251.34364318847656</v>
      </c>
      <c r="W231" s="31">
        <f t="shared" si="52"/>
        <v>25.134364318847656</v>
      </c>
      <c r="X231" s="31">
        <v>28.206583023071289</v>
      </c>
      <c r="Y231" s="31">
        <v>51.427303314208984</v>
      </c>
      <c r="Z231" s="32">
        <f t="shared" si="53"/>
        <v>51.427303314208984</v>
      </c>
      <c r="AA231" s="31">
        <v>26.969482421875</v>
      </c>
      <c r="AB231" s="31">
        <v>14.448974609375</v>
      </c>
      <c r="AC231" s="31">
        <f t="shared" si="54"/>
        <v>1.4448974609375</v>
      </c>
      <c r="AD231" s="31">
        <v>29.745092391967773</v>
      </c>
      <c r="AE231" s="31">
        <v>2.177680492401123</v>
      </c>
      <c r="AF231" s="32">
        <f t="shared" si="55"/>
        <v>2.177680492401123</v>
      </c>
      <c r="AG231" s="31">
        <v>26.762802124023438</v>
      </c>
      <c r="AH231" s="31">
        <v>577.7501220703125</v>
      </c>
      <c r="AI231" s="31">
        <f t="shared" si="56"/>
        <v>57.775012207031253</v>
      </c>
      <c r="AJ231" s="31">
        <v>30.607206344604492</v>
      </c>
      <c r="AK231" s="31">
        <v>60.255664825439453</v>
      </c>
      <c r="AL231" s="32">
        <f t="shared" si="57"/>
        <v>60.255664825439453</v>
      </c>
    </row>
    <row r="232" spans="1:38" ht="15.15" thickBot="1" x14ac:dyDescent="0.35">
      <c r="A232" s="33" t="s">
        <v>78</v>
      </c>
      <c r="B232" s="30">
        <v>44433</v>
      </c>
      <c r="C232" s="33">
        <v>1000</v>
      </c>
      <c r="D232" s="23" t="s">
        <v>65</v>
      </c>
      <c r="E232" s="30">
        <v>44504</v>
      </c>
      <c r="F232" s="24">
        <v>100</v>
      </c>
      <c r="G232" s="31">
        <v>13.985523223876953</v>
      </c>
      <c r="H232" s="31">
        <v>5422496.5</v>
      </c>
      <c r="I232" s="31">
        <f t="shared" si="47"/>
        <v>5409513.8614461264</v>
      </c>
      <c r="J232" s="31">
        <f t="shared" si="58"/>
        <v>540951.38614461268</v>
      </c>
      <c r="K232" s="31">
        <v>16.864200592041016</v>
      </c>
      <c r="L232" s="31">
        <v>781667.125</v>
      </c>
      <c r="M232" s="31">
        <f t="shared" si="48"/>
        <v>768684.48644612625</v>
      </c>
      <c r="N232" s="32">
        <f t="shared" si="49"/>
        <v>768684.48644612625</v>
      </c>
      <c r="O232" s="31">
        <v>31.90593147277832</v>
      </c>
      <c r="P232" s="31">
        <v>48.259407043457031</v>
      </c>
      <c r="Q232" s="31">
        <f t="shared" si="50"/>
        <v>4.8259407043457028</v>
      </c>
      <c r="R232" s="31">
        <v>35.451564788818359</v>
      </c>
      <c r="S232" s="31">
        <v>5.1783814430236816</v>
      </c>
      <c r="T232" s="32">
        <f t="shared" si="51"/>
        <v>5.1783814430236816</v>
      </c>
      <c r="U232" s="31">
        <v>27.283515930175781</v>
      </c>
      <c r="V232" s="31">
        <v>95.532844543457031</v>
      </c>
      <c r="W232" s="31">
        <f t="shared" si="52"/>
        <v>9.5532844543457038</v>
      </c>
      <c r="X232" s="31">
        <v>30.728710174560547</v>
      </c>
      <c r="Y232" s="31">
        <v>9.4690895080566406</v>
      </c>
      <c r="Z232" s="32">
        <f t="shared" si="53"/>
        <v>9.4690895080566406</v>
      </c>
      <c r="AA232" s="31">
        <v>31.000221252441406</v>
      </c>
      <c r="AB232" s="31">
        <v>0.92545938491821289</v>
      </c>
      <c r="AC232" s="31">
        <f t="shared" si="54"/>
        <v>9.2545938491821286E-2</v>
      </c>
      <c r="AD232" s="31" t="s">
        <v>66</v>
      </c>
      <c r="AF232" s="32">
        <f t="shared" si="55"/>
        <v>0</v>
      </c>
      <c r="AG232" s="31">
        <v>26.787240982055664</v>
      </c>
      <c r="AH232" s="31">
        <v>569.507080078125</v>
      </c>
      <c r="AI232" s="31">
        <f t="shared" si="56"/>
        <v>56.950708007812501</v>
      </c>
      <c r="AJ232" s="31">
        <v>30.298299789428711</v>
      </c>
      <c r="AK232" s="31">
        <v>72.257522583007813</v>
      </c>
      <c r="AL232" s="32">
        <f t="shared" si="57"/>
        <v>72.257522583007813</v>
      </c>
    </row>
    <row r="233" spans="1:38" ht="15.15" thickBot="1" x14ac:dyDescent="0.35">
      <c r="A233" s="33" t="s">
        <v>79</v>
      </c>
      <c r="B233" s="30">
        <v>44433</v>
      </c>
      <c r="C233" s="33">
        <v>1000</v>
      </c>
      <c r="D233" s="23" t="s">
        <v>65</v>
      </c>
      <c r="E233" s="30">
        <v>44504</v>
      </c>
      <c r="F233" s="24">
        <v>100</v>
      </c>
      <c r="G233" s="31">
        <v>13.319770812988281</v>
      </c>
      <c r="H233" s="31">
        <v>8486695</v>
      </c>
      <c r="I233" s="31">
        <f t="shared" si="47"/>
        <v>8473712.3614461254</v>
      </c>
      <c r="J233" s="31">
        <f t="shared" si="58"/>
        <v>847371.23614461254</v>
      </c>
      <c r="K233" s="31">
        <v>15.337377548217773</v>
      </c>
      <c r="L233" s="31">
        <v>2183606.25</v>
      </c>
      <c r="M233" s="31">
        <f t="shared" si="48"/>
        <v>2170623.6114461264</v>
      </c>
      <c r="N233" s="32">
        <f t="shared" si="49"/>
        <v>2170623.6114461264</v>
      </c>
      <c r="O233" t="s">
        <v>66</v>
      </c>
      <c r="Q233" s="31">
        <f t="shared" si="50"/>
        <v>0</v>
      </c>
      <c r="R233" t="s">
        <v>66</v>
      </c>
      <c r="T233" s="32">
        <f t="shared" si="51"/>
        <v>0</v>
      </c>
      <c r="U233" s="31">
        <v>27.792242050170898</v>
      </c>
      <c r="V233" s="31">
        <v>67.908241271972656</v>
      </c>
      <c r="W233" s="31">
        <f t="shared" si="52"/>
        <v>6.7908241271972658</v>
      </c>
      <c r="X233" s="31">
        <v>30.449724197387695</v>
      </c>
      <c r="Y233" s="31">
        <v>11.418205261230469</v>
      </c>
      <c r="Z233" s="32">
        <f t="shared" si="53"/>
        <v>11.418205261230469</v>
      </c>
      <c r="AA233" s="31">
        <v>17.184799194335938</v>
      </c>
      <c r="AB233" s="31">
        <v>11403.234375</v>
      </c>
      <c r="AC233" s="31">
        <f t="shared" si="54"/>
        <v>1140.3234375</v>
      </c>
      <c r="AD233" s="31">
        <v>19.884128570556641</v>
      </c>
      <c r="AE233" s="31">
        <v>1810.386962890625</v>
      </c>
      <c r="AF233" s="32">
        <f t="shared" si="55"/>
        <v>1810.386962890625</v>
      </c>
      <c r="AG233" s="31">
        <v>27.626379013061523</v>
      </c>
      <c r="AH233" s="31">
        <v>347.70358276367188</v>
      </c>
      <c r="AI233" s="31">
        <f t="shared" si="56"/>
        <v>34.77035827636719</v>
      </c>
      <c r="AJ233" s="31">
        <v>31.710390090942383</v>
      </c>
      <c r="AK233" s="31">
        <v>31.497695922851563</v>
      </c>
      <c r="AL233" s="32">
        <f t="shared" si="57"/>
        <v>31.497695922851563</v>
      </c>
    </row>
    <row r="234" spans="1:38" ht="15.15" thickBot="1" x14ac:dyDescent="0.35">
      <c r="A234" s="33" t="s">
        <v>80</v>
      </c>
      <c r="B234" s="30">
        <v>44433</v>
      </c>
      <c r="C234" s="33">
        <v>900</v>
      </c>
      <c r="D234" s="23" t="s">
        <v>65</v>
      </c>
      <c r="E234" s="30">
        <v>44504</v>
      </c>
      <c r="F234" s="24">
        <v>100</v>
      </c>
      <c r="G234" s="31">
        <v>17.975433349609375</v>
      </c>
      <c r="H234" s="31">
        <v>370091.3125</v>
      </c>
      <c r="I234" s="31">
        <f t="shared" si="47"/>
        <v>357108.67394612631</v>
      </c>
      <c r="J234" s="31">
        <f t="shared" si="58"/>
        <v>39678.74154956959</v>
      </c>
      <c r="K234" s="31">
        <v>21.247358322143555</v>
      </c>
      <c r="L234" s="31">
        <v>40946.8671875</v>
      </c>
      <c r="M234" s="31">
        <f t="shared" si="48"/>
        <v>27964.228633626302</v>
      </c>
      <c r="N234" s="32">
        <f t="shared" si="49"/>
        <v>31071.365148473669</v>
      </c>
      <c r="O234" s="31">
        <v>29.561809539794922</v>
      </c>
      <c r="P234" s="31">
        <v>211.09246826171875</v>
      </c>
      <c r="Q234" s="31">
        <f t="shared" si="50"/>
        <v>23.454718695746529</v>
      </c>
      <c r="R234" s="31">
        <v>33.743083953857422</v>
      </c>
      <c r="S234" s="31">
        <v>15.180930137634277</v>
      </c>
      <c r="T234" s="32">
        <f t="shared" si="51"/>
        <v>16.867700152926975</v>
      </c>
      <c r="U234" s="31">
        <v>33.661026000976563</v>
      </c>
      <c r="V234" s="31">
        <v>1.3240483999252319</v>
      </c>
      <c r="W234" s="31">
        <f t="shared" si="52"/>
        <v>0.14711648888058132</v>
      </c>
      <c r="X234" s="31">
        <v>34.395401000976563</v>
      </c>
      <c r="Y234" s="31">
        <v>0.80895638465881348</v>
      </c>
      <c r="Z234" s="32">
        <f t="shared" si="53"/>
        <v>0.89884042739868164</v>
      </c>
      <c r="AA234" s="31">
        <v>28.819358825683594</v>
      </c>
      <c r="AB234" s="31">
        <v>4.0935373306274414</v>
      </c>
      <c r="AC234" s="31">
        <f t="shared" si="54"/>
        <v>0.45483748118082684</v>
      </c>
      <c r="AD234" s="31" t="s">
        <v>66</v>
      </c>
      <c r="AF234" s="32">
        <f t="shared" si="55"/>
        <v>0</v>
      </c>
      <c r="AG234" t="s">
        <v>66</v>
      </c>
      <c r="AI234" s="31">
        <f t="shared" si="56"/>
        <v>0</v>
      </c>
      <c r="AJ234" t="s">
        <v>66</v>
      </c>
      <c r="AL234" s="32">
        <f t="shared" si="57"/>
        <v>0</v>
      </c>
    </row>
    <row r="235" spans="1:38" ht="15.15" thickBot="1" x14ac:dyDescent="0.35">
      <c r="A235" s="33" t="s">
        <v>81</v>
      </c>
      <c r="B235" s="30">
        <v>44433</v>
      </c>
      <c r="C235" s="33">
        <v>870</v>
      </c>
      <c r="D235" s="23" t="s">
        <v>65</v>
      </c>
      <c r="E235" s="30">
        <v>44504</v>
      </c>
      <c r="F235" s="24">
        <v>100</v>
      </c>
      <c r="G235" s="31">
        <v>11.007698059082031</v>
      </c>
      <c r="H235" s="31">
        <v>40211348</v>
      </c>
      <c r="I235" s="31">
        <f t="shared" si="47"/>
        <v>40198365.361446127</v>
      </c>
      <c r="J235" s="31">
        <f t="shared" si="58"/>
        <v>4620501.7656834628</v>
      </c>
      <c r="K235" s="31">
        <v>13.905303001403809</v>
      </c>
      <c r="L235" s="31">
        <v>5723219.5</v>
      </c>
      <c r="M235" s="31">
        <f t="shared" si="48"/>
        <v>5710236.8614461264</v>
      </c>
      <c r="N235" s="32">
        <f t="shared" si="49"/>
        <v>6563490.6453403747</v>
      </c>
      <c r="O235" t="s">
        <v>66</v>
      </c>
      <c r="Q235" s="31">
        <f t="shared" si="50"/>
        <v>0</v>
      </c>
      <c r="R235" t="s">
        <v>66</v>
      </c>
      <c r="T235" s="32">
        <f t="shared" si="51"/>
        <v>0</v>
      </c>
      <c r="U235" s="31">
        <v>33.568805694580078</v>
      </c>
      <c r="V235" s="31">
        <v>1.4085574150085449</v>
      </c>
      <c r="W235" s="31">
        <f t="shared" si="52"/>
        <v>0.16190315115040746</v>
      </c>
      <c r="X235" s="31">
        <v>35.886638641357422</v>
      </c>
      <c r="Y235" s="31">
        <v>0.29745092988014221</v>
      </c>
      <c r="Z235" s="32">
        <f t="shared" si="53"/>
        <v>0.3418976205518876</v>
      </c>
      <c r="AA235" s="31">
        <v>19.80206298828125</v>
      </c>
      <c r="AB235" s="31">
        <v>1914.567138671875</v>
      </c>
      <c r="AC235" s="31">
        <f t="shared" si="54"/>
        <v>220.06518835308907</v>
      </c>
      <c r="AD235" s="31">
        <v>23.060234069824219</v>
      </c>
      <c r="AE235" s="31">
        <v>207.65577697753906</v>
      </c>
      <c r="AF235" s="32">
        <f t="shared" si="55"/>
        <v>238.68480112360811</v>
      </c>
      <c r="AG235" t="s">
        <v>66</v>
      </c>
      <c r="AI235" s="31">
        <f t="shared" si="56"/>
        <v>0</v>
      </c>
      <c r="AJ235" t="s">
        <v>66</v>
      </c>
      <c r="AL235" s="32">
        <f t="shared" si="57"/>
        <v>0</v>
      </c>
    </row>
    <row r="236" spans="1:38" ht="15.15" thickBot="1" x14ac:dyDescent="0.35">
      <c r="A236" s="33"/>
      <c r="B236" s="30"/>
      <c r="E236" s="30"/>
    </row>
    <row r="237" spans="1:38" ht="15.15" thickBot="1" x14ac:dyDescent="0.35">
      <c r="A237" s="33"/>
      <c r="B237" s="30"/>
      <c r="E237" s="30"/>
    </row>
    <row r="238" spans="1:38" ht="15.15" thickBot="1" x14ac:dyDescent="0.35">
      <c r="A238" s="33"/>
      <c r="B238" s="30"/>
      <c r="E238" s="30"/>
      <c r="O238" s="31"/>
    </row>
    <row r="239" spans="1:38" ht="15.15" thickBot="1" x14ac:dyDescent="0.35">
      <c r="A239" s="33"/>
      <c r="B239" s="30"/>
      <c r="E239" s="30"/>
    </row>
    <row r="240" spans="1:38" ht="15.15" thickBot="1" x14ac:dyDescent="0.35">
      <c r="A240" s="33"/>
      <c r="B240" s="30"/>
      <c r="E240" s="30"/>
    </row>
    <row r="241" spans="1:39" ht="15.15" thickBot="1" x14ac:dyDescent="0.35">
      <c r="A241" s="33"/>
      <c r="B241" s="30"/>
      <c r="E241" s="30"/>
      <c r="H241" t="s">
        <v>83</v>
      </c>
    </row>
    <row r="242" spans="1:39" ht="15.15" thickBot="1" x14ac:dyDescent="0.35">
      <c r="A242" s="33"/>
      <c r="B242" s="30"/>
      <c r="E242" s="30"/>
      <c r="H242" s="46">
        <v>12982.638553873698</v>
      </c>
    </row>
    <row r="243" spans="1:39" ht="15.15" thickBot="1" x14ac:dyDescent="0.35">
      <c r="A243" s="33"/>
      <c r="B243" s="30"/>
      <c r="E243" s="30"/>
    </row>
    <row r="244" spans="1:39" ht="15.15" thickBot="1" x14ac:dyDescent="0.35">
      <c r="A244" s="33"/>
      <c r="B244" s="30"/>
      <c r="E244" s="30"/>
    </row>
    <row r="245" spans="1:39" ht="15.15" thickBot="1" x14ac:dyDescent="0.35">
      <c r="A245" s="33"/>
      <c r="B245" s="30"/>
      <c r="E245" s="30"/>
    </row>
    <row r="246" spans="1:39" ht="15.15" thickBot="1" x14ac:dyDescent="0.35">
      <c r="A246" s="33"/>
      <c r="B246" s="30"/>
      <c r="E246" s="30"/>
    </row>
    <row r="247" spans="1:39" s="24" customFormat="1" ht="15.15" thickBot="1" x14ac:dyDescent="0.35">
      <c r="A247" s="33"/>
      <c r="B247" s="30"/>
      <c r="C247"/>
      <c r="D247" s="23"/>
      <c r="E247" s="30"/>
      <c r="G247"/>
      <c r="H247"/>
      <c r="I247"/>
      <c r="J247"/>
      <c r="K247"/>
      <c r="L247"/>
      <c r="M247"/>
      <c r="O247"/>
      <c r="P247"/>
      <c r="Q247"/>
      <c r="R247"/>
      <c r="S247"/>
      <c r="U247"/>
      <c r="V247"/>
      <c r="W247"/>
      <c r="X247"/>
      <c r="Y247"/>
      <c r="AA247"/>
      <c r="AB247"/>
      <c r="AC247"/>
      <c r="AD247"/>
      <c r="AE247"/>
      <c r="AG247"/>
      <c r="AH247"/>
      <c r="AI247"/>
      <c r="AJ247"/>
      <c r="AK247"/>
      <c r="AM247"/>
    </row>
    <row r="248" spans="1:39" s="24" customFormat="1" ht="15.15" thickBot="1" x14ac:dyDescent="0.35">
      <c r="A248" s="33"/>
      <c r="B248" s="30"/>
      <c r="C248"/>
      <c r="D248" s="23"/>
      <c r="E248" s="30"/>
      <c r="G248"/>
      <c r="H248"/>
      <c r="I248"/>
      <c r="J248"/>
      <c r="K248"/>
      <c r="L248"/>
      <c r="M248"/>
      <c r="O248"/>
      <c r="P248"/>
      <c r="Q248"/>
      <c r="R248"/>
      <c r="S248"/>
      <c r="U248"/>
      <c r="V248"/>
      <c r="W248"/>
      <c r="X248"/>
      <c r="Y248"/>
      <c r="AA248"/>
      <c r="AB248"/>
      <c r="AC248"/>
      <c r="AD248"/>
      <c r="AE248"/>
      <c r="AG248"/>
      <c r="AH248"/>
      <c r="AI248"/>
      <c r="AJ248"/>
      <c r="AK248"/>
      <c r="AM248"/>
    </row>
    <row r="249" spans="1:39" s="24" customFormat="1" ht="15.15" thickBot="1" x14ac:dyDescent="0.35">
      <c r="A249" s="33"/>
      <c r="B249" s="30"/>
      <c r="C249"/>
      <c r="D249" s="23"/>
      <c r="E249" s="30"/>
      <c r="G249"/>
      <c r="H249"/>
      <c r="I249"/>
      <c r="J249"/>
      <c r="K249"/>
      <c r="L249"/>
      <c r="M249"/>
      <c r="O249"/>
      <c r="P249"/>
      <c r="Q249"/>
      <c r="R249"/>
      <c r="S249"/>
      <c r="U249"/>
      <c r="V249"/>
      <c r="W249"/>
      <c r="X249"/>
      <c r="Y249"/>
      <c r="AA249"/>
      <c r="AB249"/>
      <c r="AC249"/>
      <c r="AD249"/>
      <c r="AE249"/>
      <c r="AG249"/>
      <c r="AH249"/>
      <c r="AI249"/>
      <c r="AJ249"/>
      <c r="AK249"/>
      <c r="AM249"/>
    </row>
    <row r="250" spans="1:39" s="24" customFormat="1" ht="15.15" thickBot="1" x14ac:dyDescent="0.35">
      <c r="A250" s="33"/>
      <c r="B250" s="30"/>
      <c r="C250"/>
      <c r="D250" s="23"/>
      <c r="E250" s="30"/>
      <c r="G250"/>
      <c r="H250"/>
      <c r="I250"/>
      <c r="J250"/>
      <c r="K250"/>
      <c r="L250"/>
      <c r="M250"/>
      <c r="O250"/>
      <c r="P250"/>
      <c r="Q250"/>
      <c r="R250"/>
      <c r="S250"/>
      <c r="U250"/>
      <c r="V250"/>
      <c r="W250"/>
      <c r="X250"/>
      <c r="Y250"/>
      <c r="AA250"/>
      <c r="AB250"/>
      <c r="AC250"/>
      <c r="AD250"/>
      <c r="AE250"/>
      <c r="AG250"/>
      <c r="AH250"/>
      <c r="AI250"/>
      <c r="AJ250"/>
      <c r="AK250"/>
      <c r="AM250"/>
    </row>
    <row r="251" spans="1:39" s="24" customFormat="1" ht="15.15" thickBot="1" x14ac:dyDescent="0.35">
      <c r="A251" s="33"/>
      <c r="B251" s="30"/>
      <c r="C251"/>
      <c r="D251" s="23"/>
      <c r="E251" s="30"/>
      <c r="G251"/>
      <c r="H251"/>
      <c r="I251"/>
      <c r="J251"/>
      <c r="K251"/>
      <c r="L251"/>
      <c r="M251"/>
      <c r="O251"/>
      <c r="P251"/>
      <c r="Q251"/>
      <c r="R251"/>
      <c r="S251"/>
      <c r="U251"/>
      <c r="V251"/>
      <c r="W251"/>
      <c r="X251"/>
      <c r="Y251"/>
      <c r="AA251"/>
      <c r="AB251"/>
      <c r="AC251"/>
      <c r="AD251"/>
      <c r="AE251"/>
      <c r="AG251"/>
      <c r="AH251"/>
      <c r="AI251"/>
      <c r="AJ251"/>
      <c r="AK251"/>
      <c r="AM251"/>
    </row>
  </sheetData>
  <sheetProtection algorithmName="SHA-512" hashValue="PNb5FPOO6zn37cREhU6MlQ9E1srwtRza6p4+LMvNBmaXp4nCx0dvZ/9Ohuezio64UswEKjPdNf1f4NThI/kuSg==" saltValue="F+XUVpph5/kJks/h+IOLkA==" spinCount="100000" sheet="1" objects="1" scenarios="1"/>
  <autoFilter ref="A1:AL1" xr:uid="{5FE29998-E2F9-4B16-8079-105153EC22D4}">
    <filterColumn colId="6" showButton="0"/>
    <filterColumn colId="7" showButton="0"/>
    <filterColumn colId="8" showButton="0"/>
    <filterColumn colId="9" showButton="0"/>
    <filterColumn colId="10" showButton="0"/>
    <filterColumn colId="11" showButton="0"/>
    <filterColumn colId="12" showButton="0"/>
    <filterColumn colId="14" showButton="0"/>
    <filterColumn colId="15" showButton="0"/>
    <filterColumn colId="16" showButton="0"/>
    <filterColumn colId="17" showButton="0"/>
    <filterColumn colId="18" showButton="0"/>
    <filterColumn colId="20" showButton="0"/>
    <filterColumn colId="21" showButton="0"/>
    <filterColumn colId="22" showButton="0"/>
    <filterColumn colId="23" showButton="0"/>
    <filterColumn colId="24" showButton="0"/>
    <filterColumn colId="26" showButton="0"/>
    <filterColumn colId="27" showButton="0"/>
    <filterColumn colId="28" showButton="0"/>
    <filterColumn colId="29" showButton="0"/>
    <filterColumn colId="30" showButton="0"/>
    <filterColumn colId="32" showButton="0"/>
    <filterColumn colId="33" showButton="0"/>
    <filterColumn colId="34" showButton="0"/>
    <filterColumn colId="35" showButton="0"/>
    <filterColumn colId="36" showButton="0"/>
  </autoFilter>
  <mergeCells count="15">
    <mergeCell ref="G2:J2"/>
    <mergeCell ref="K2:N2"/>
    <mergeCell ref="O2:Q2"/>
    <mergeCell ref="R2:T2"/>
    <mergeCell ref="U2:W2"/>
    <mergeCell ref="G1:N1"/>
    <mergeCell ref="O1:T1"/>
    <mergeCell ref="U1:Z1"/>
    <mergeCell ref="AA1:AF1"/>
    <mergeCell ref="AG1:AL1"/>
    <mergeCell ref="X2:Z2"/>
    <mergeCell ref="AA2:AC2"/>
    <mergeCell ref="AD2:AF2"/>
    <mergeCell ref="AG2:AI2"/>
    <mergeCell ref="AJ2:AL2"/>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91091A-C5E4-43C7-948F-CE6692B4F5F9}">
  <dimension ref="A1:AM265"/>
  <sheetViews>
    <sheetView zoomScaleNormal="100" workbookViewId="0">
      <pane ySplit="1" topLeftCell="A242" activePane="bottomLeft" state="frozen"/>
      <selection pane="bottomLeft" activeCell="R2" sqref="R2:T2"/>
    </sheetView>
  </sheetViews>
  <sheetFormatPr defaultRowHeight="14.55" x14ac:dyDescent="0.3"/>
  <cols>
    <col min="1" max="1" width="14.88671875" bestFit="1" customWidth="1"/>
    <col min="2" max="2" width="9.77734375" bestFit="1" customWidth="1"/>
    <col min="3" max="3" width="18.21875" bestFit="1" customWidth="1"/>
    <col min="4" max="4" width="15.5546875" style="1461" bestFit="1" customWidth="1"/>
    <col min="5" max="5" width="14" bestFit="1" customWidth="1"/>
    <col min="6" max="6" width="18.77734375" style="24" bestFit="1" customWidth="1"/>
    <col min="8" max="8" width="25.88671875" bestFit="1" customWidth="1"/>
    <col min="9" max="9" width="18.77734375" bestFit="1" customWidth="1"/>
    <col min="10" max="10" width="13.33203125" bestFit="1" customWidth="1"/>
    <col min="12" max="12" width="13.33203125" bestFit="1" customWidth="1"/>
    <col min="13" max="13" width="18.77734375" bestFit="1" customWidth="1"/>
    <col min="14" max="14" width="13.33203125" style="24" bestFit="1" customWidth="1"/>
    <col min="15" max="15" width="13" bestFit="1" customWidth="1"/>
    <col min="17" max="17" width="9.77734375" bestFit="1" customWidth="1"/>
    <col min="18" max="18" width="13" bestFit="1" customWidth="1"/>
    <col min="20" max="20" width="9.77734375" style="24" bestFit="1" customWidth="1"/>
    <col min="22" max="22" width="9.77734375" bestFit="1" customWidth="1"/>
    <col min="26" max="26" width="8.88671875" style="24"/>
    <col min="28" max="28" width="10.77734375" bestFit="1" customWidth="1"/>
    <col min="29" max="29" width="9.77734375" bestFit="1" customWidth="1"/>
    <col min="30" max="30" width="13" bestFit="1" customWidth="1"/>
    <col min="31" max="31" width="9.77734375" bestFit="1" customWidth="1"/>
    <col min="32" max="32" width="9.77734375" style="24" bestFit="1" customWidth="1"/>
    <col min="34" max="34" width="10.77734375" bestFit="1" customWidth="1"/>
    <col min="35" max="35" width="9.77734375" bestFit="1" customWidth="1"/>
    <col min="37" max="37" width="10.77734375" bestFit="1" customWidth="1"/>
    <col min="38" max="38" width="10.77734375" style="24" bestFit="1" customWidth="1"/>
  </cols>
  <sheetData>
    <row r="1" spans="1:38" x14ac:dyDescent="0.3">
      <c r="G1" s="1736" t="s">
        <v>47</v>
      </c>
      <c r="H1" s="1736"/>
      <c r="I1" s="1736"/>
      <c r="J1" s="1736"/>
      <c r="K1" s="1736"/>
      <c r="L1" s="1736"/>
      <c r="M1" s="1736"/>
      <c r="N1" s="1736"/>
      <c r="O1" s="1736" t="s">
        <v>48</v>
      </c>
      <c r="P1" s="1736"/>
      <c r="Q1" s="1736"/>
      <c r="R1" s="1736"/>
      <c r="S1" s="1736"/>
      <c r="T1" s="1736"/>
      <c r="U1" s="1736" t="s">
        <v>49</v>
      </c>
      <c r="V1" s="1736"/>
      <c r="W1" s="1736"/>
      <c r="X1" s="1736"/>
      <c r="Y1" s="1736"/>
      <c r="Z1" s="1736"/>
      <c r="AA1" s="1736" t="s">
        <v>50</v>
      </c>
      <c r="AB1" s="1736"/>
      <c r="AC1" s="1736"/>
      <c r="AD1" s="1736"/>
      <c r="AE1" s="1736"/>
      <c r="AF1" s="1736"/>
      <c r="AG1" s="1736" t="s">
        <v>51</v>
      </c>
      <c r="AH1" s="1736"/>
      <c r="AI1" s="1736"/>
      <c r="AJ1" s="1736"/>
      <c r="AK1" s="1736"/>
      <c r="AL1" s="1736"/>
    </row>
    <row r="2" spans="1:38" x14ac:dyDescent="0.3">
      <c r="G2" s="1737" t="s">
        <v>52</v>
      </c>
      <c r="H2" s="1737"/>
      <c r="I2" s="1737"/>
      <c r="J2" s="1738"/>
      <c r="K2" s="1737" t="s">
        <v>53</v>
      </c>
      <c r="L2" s="1737"/>
      <c r="M2" s="1737"/>
      <c r="N2" s="1737"/>
      <c r="O2" s="1737" t="s">
        <v>52</v>
      </c>
      <c r="P2" s="1737"/>
      <c r="Q2" s="1738"/>
      <c r="R2" s="1737" t="s">
        <v>53</v>
      </c>
      <c r="S2" s="1737"/>
      <c r="T2" s="1737"/>
      <c r="U2" s="1736" t="s">
        <v>52</v>
      </c>
      <c r="V2" s="1736"/>
      <c r="W2" s="1736"/>
      <c r="X2" s="1736" t="s">
        <v>53</v>
      </c>
      <c r="Y2" s="1736"/>
      <c r="Z2" s="1736"/>
      <c r="AA2" s="1736" t="s">
        <v>52</v>
      </c>
      <c r="AB2" s="1736"/>
      <c r="AC2" s="1736"/>
      <c r="AD2" s="1736" t="s">
        <v>53</v>
      </c>
      <c r="AE2" s="1736"/>
      <c r="AF2" s="1736"/>
      <c r="AG2" s="1736" t="s">
        <v>52</v>
      </c>
      <c r="AH2" s="1736"/>
      <c r="AI2" s="1736"/>
      <c r="AJ2" s="1736" t="s">
        <v>53</v>
      </c>
      <c r="AK2" s="1736"/>
      <c r="AL2" s="1736"/>
    </row>
    <row r="3" spans="1:38" s="25" customFormat="1" x14ac:dyDescent="0.3">
      <c r="A3" s="25" t="s">
        <v>54</v>
      </c>
      <c r="B3" s="25" t="s">
        <v>55</v>
      </c>
      <c r="C3" s="25" t="s">
        <v>56</v>
      </c>
      <c r="D3" s="1460" t="s">
        <v>57</v>
      </c>
      <c r="E3" s="25" t="s">
        <v>58</v>
      </c>
      <c r="F3" s="27" t="s">
        <v>59</v>
      </c>
      <c r="G3" s="25" t="s">
        <v>60</v>
      </c>
      <c r="H3" s="25" t="s">
        <v>61</v>
      </c>
      <c r="I3" s="25" t="s">
        <v>62</v>
      </c>
      <c r="J3" s="27" t="s">
        <v>63</v>
      </c>
      <c r="K3" s="28" t="s">
        <v>60</v>
      </c>
      <c r="L3" s="25" t="s">
        <v>61</v>
      </c>
      <c r="M3" s="25" t="s">
        <v>62</v>
      </c>
      <c r="N3" s="27" t="s">
        <v>63</v>
      </c>
      <c r="O3" s="28" t="s">
        <v>60</v>
      </c>
      <c r="P3" s="25" t="s">
        <v>61</v>
      </c>
      <c r="Q3" s="27" t="s">
        <v>63</v>
      </c>
      <c r="R3" s="28" t="s">
        <v>60</v>
      </c>
      <c r="S3" s="25" t="s">
        <v>61</v>
      </c>
      <c r="T3" s="27" t="s">
        <v>63</v>
      </c>
      <c r="U3" s="25" t="s">
        <v>60</v>
      </c>
      <c r="V3" s="25" t="s">
        <v>61</v>
      </c>
      <c r="W3" s="27" t="s">
        <v>63</v>
      </c>
      <c r="X3" s="28" t="s">
        <v>60</v>
      </c>
      <c r="Y3" s="25" t="s">
        <v>61</v>
      </c>
      <c r="Z3" s="27" t="s">
        <v>63</v>
      </c>
      <c r="AA3" s="25" t="s">
        <v>60</v>
      </c>
      <c r="AB3" s="25" t="s">
        <v>61</v>
      </c>
      <c r="AC3" s="27" t="s">
        <v>63</v>
      </c>
      <c r="AD3" s="28" t="s">
        <v>60</v>
      </c>
      <c r="AE3" s="25" t="s">
        <v>61</v>
      </c>
      <c r="AF3" s="27" t="s">
        <v>63</v>
      </c>
      <c r="AG3" s="25" t="s">
        <v>60</v>
      </c>
      <c r="AH3" s="25" t="s">
        <v>61</v>
      </c>
      <c r="AI3" s="27" t="s">
        <v>63</v>
      </c>
      <c r="AJ3" s="28" t="s">
        <v>60</v>
      </c>
      <c r="AK3" s="25" t="s">
        <v>61</v>
      </c>
      <c r="AL3" s="27" t="s">
        <v>63</v>
      </c>
    </row>
    <row r="4" spans="1:38" ht="15.15" thickBot="1" x14ac:dyDescent="0.35">
      <c r="A4" s="29" t="s">
        <v>64</v>
      </c>
      <c r="B4" s="30">
        <v>44335</v>
      </c>
      <c r="C4" s="29">
        <v>900</v>
      </c>
      <c r="D4" s="1461" t="s">
        <v>65</v>
      </c>
      <c r="E4" s="30">
        <v>44406</v>
      </c>
      <c r="F4" s="24">
        <v>100</v>
      </c>
      <c r="G4" s="31">
        <v>17.655921936035156</v>
      </c>
      <c r="H4" s="31">
        <v>317818.28125</v>
      </c>
      <c r="I4" s="31">
        <f t="shared" ref="I4:I42" si="0">H4-$H$265</f>
        <v>304835.64269612631</v>
      </c>
      <c r="J4" s="31">
        <f>(I4*$F4)/$C4</f>
        <v>33870.626966236254</v>
      </c>
      <c r="K4" s="31">
        <v>20.962043762207031</v>
      </c>
      <c r="L4" s="31">
        <v>36125.6328125</v>
      </c>
      <c r="M4" s="31">
        <f t="shared" ref="M4:M42" si="1">L4-$H$265</f>
        <v>23142.994258626302</v>
      </c>
      <c r="N4" s="32">
        <f>(M4*($F4*10))/($C4)</f>
        <v>25714.438065140333</v>
      </c>
      <c r="O4" s="31">
        <v>28.69841194152832</v>
      </c>
      <c r="P4" s="31">
        <v>481.86752319335938</v>
      </c>
      <c r="Q4" s="31">
        <f>(P4*$F4)/$C4</f>
        <v>53.540835910373261</v>
      </c>
      <c r="R4" s="31">
        <v>31.539279937744141</v>
      </c>
      <c r="S4" s="31">
        <v>63.751411437988281</v>
      </c>
      <c r="T4" s="32">
        <f>(S4*($F4*10))/($C4)</f>
        <v>70.834901597764755</v>
      </c>
      <c r="U4" s="31">
        <v>32.052833557128906</v>
      </c>
      <c r="V4" s="31">
        <v>7.8383822441101074</v>
      </c>
      <c r="W4" s="31">
        <f>(V4*$F4)/$C4</f>
        <v>0.87093136045667863</v>
      </c>
      <c r="X4" s="31">
        <v>34.321857452392578</v>
      </c>
      <c r="Y4" s="31">
        <v>1.7845737934112549</v>
      </c>
      <c r="Z4" s="32">
        <f>(Y4*($F4*10))/($C4)</f>
        <v>1.9828597704569499</v>
      </c>
      <c r="AA4" s="31">
        <v>30.98675537109375</v>
      </c>
      <c r="AB4" s="31">
        <v>1.45326828956604</v>
      </c>
      <c r="AC4" s="31">
        <f>(AB4*$F4)/$C4</f>
        <v>0.16147425439622667</v>
      </c>
      <c r="AD4" s="31" t="s">
        <v>66</v>
      </c>
      <c r="AE4" s="31"/>
      <c r="AF4" s="32">
        <f>(AE4*($F4*10))/($C4)</f>
        <v>0</v>
      </c>
      <c r="AG4" t="s">
        <v>66</v>
      </c>
      <c r="AH4" s="31"/>
      <c r="AI4" s="31">
        <f>(AH4*$F4)/$C4</f>
        <v>0</v>
      </c>
      <c r="AJ4" s="31">
        <v>37.526649475097656</v>
      </c>
      <c r="AK4" s="31">
        <v>0.632254958152771</v>
      </c>
      <c r="AL4" s="32">
        <f>(AK4*($F4*10))/($C4)</f>
        <v>0.7025055090586344</v>
      </c>
    </row>
    <row r="5" spans="1:38" ht="15.15" thickBot="1" x14ac:dyDescent="0.35">
      <c r="A5" s="33" t="s">
        <v>67</v>
      </c>
      <c r="B5" s="30">
        <v>44335</v>
      </c>
      <c r="C5" s="33">
        <v>960</v>
      </c>
      <c r="D5" s="1461" t="s">
        <v>65</v>
      </c>
      <c r="E5" s="30">
        <v>44406</v>
      </c>
      <c r="F5" s="24">
        <v>100</v>
      </c>
      <c r="G5" s="31">
        <v>17.716598510742188</v>
      </c>
      <c r="H5" s="31">
        <v>305384.625</v>
      </c>
      <c r="I5" s="31">
        <f t="shared" si="0"/>
        <v>292401.98644612631</v>
      </c>
      <c r="J5" s="31">
        <f>(I5*$F5)/$C5</f>
        <v>30458.540254804822</v>
      </c>
      <c r="K5" s="31">
        <v>20.899068832397461</v>
      </c>
      <c r="L5" s="31">
        <v>37653.35546875</v>
      </c>
      <c r="M5" s="31">
        <f t="shared" si="1"/>
        <v>24670.716914876302</v>
      </c>
      <c r="N5" s="32">
        <f t="shared" ref="N5:N67" si="2">(M5*($F5*10))/($C5)</f>
        <v>25698.663452996148</v>
      </c>
      <c r="O5" s="31">
        <v>29.210968017578125</v>
      </c>
      <c r="P5" s="31">
        <v>334.53213500976563</v>
      </c>
      <c r="Q5" s="31">
        <f t="shared" ref="Q5:Q67" si="3">(P5*$F5)/$C5</f>
        <v>34.847097396850586</v>
      </c>
      <c r="R5" s="31">
        <v>32.620658874511719</v>
      </c>
      <c r="S5" s="31">
        <v>29.519681930541992</v>
      </c>
      <c r="T5" s="32">
        <f t="shared" ref="T5:T67" si="4">(S5*($F5*10))/($C5)</f>
        <v>30.749668677647907</v>
      </c>
      <c r="U5" s="31">
        <v>31.677692413330078</v>
      </c>
      <c r="V5" s="31">
        <v>10.011142730712891</v>
      </c>
      <c r="W5" s="31">
        <f t="shared" ref="W5:W67" si="5">(V5*$F5)/$C5</f>
        <v>1.0428273677825928</v>
      </c>
      <c r="X5" s="31">
        <v>34.914299011230469</v>
      </c>
      <c r="Y5" s="31">
        <v>1.2126286029815674</v>
      </c>
      <c r="Z5" s="32">
        <f t="shared" ref="Z5:Z67" si="6">(Y5*($F5*10))/($C5)</f>
        <v>1.2631547947724659</v>
      </c>
      <c r="AA5" s="31">
        <v>29.860187530517578</v>
      </c>
      <c r="AB5" s="31">
        <v>3.0521073341369629</v>
      </c>
      <c r="AC5" s="31">
        <f t="shared" ref="AC5:AC67" si="7">(AB5*$F5)/$C5</f>
        <v>0.31792784730593365</v>
      </c>
      <c r="AD5" t="s">
        <v>66</v>
      </c>
      <c r="AF5" s="32">
        <f t="shared" ref="AF5:AF67" si="8">(AE5*($F5*10))/($C5)</f>
        <v>0</v>
      </c>
      <c r="AG5" t="s">
        <v>66</v>
      </c>
      <c r="AI5" s="31">
        <f t="shared" ref="AI5:AI67" si="9">(AH5*$F5)/$C5</f>
        <v>0</v>
      </c>
      <c r="AJ5" s="31">
        <v>37.114276885986328</v>
      </c>
      <c r="AK5" s="31">
        <v>0.81664800643920898</v>
      </c>
      <c r="AL5" s="32">
        <f t="shared" ref="AL5:AL67" si="10">(AK5*($F5*10))/($C5)</f>
        <v>0.8506750067075094</v>
      </c>
    </row>
    <row r="6" spans="1:38" ht="15.15" thickBot="1" x14ac:dyDescent="0.35">
      <c r="A6" s="33" t="s">
        <v>68</v>
      </c>
      <c r="B6" s="30">
        <v>44335</v>
      </c>
      <c r="C6" s="33">
        <v>850</v>
      </c>
      <c r="D6" s="1461" t="s">
        <v>65</v>
      </c>
      <c r="E6" s="30">
        <v>44406</v>
      </c>
      <c r="F6" s="24">
        <v>100</v>
      </c>
      <c r="G6" s="31">
        <v>17.11353874206543</v>
      </c>
      <c r="H6" s="31">
        <v>454052.09375</v>
      </c>
      <c r="I6" s="31">
        <f t="shared" si="0"/>
        <v>441069.45519612631</v>
      </c>
      <c r="J6" s="31">
        <f t="shared" ref="J6:J66" si="11">(I6*$F6)/$C6</f>
        <v>51890.524140720743</v>
      </c>
      <c r="K6" s="31">
        <v>20.087358474731445</v>
      </c>
      <c r="L6" s="31">
        <v>64218.671875</v>
      </c>
      <c r="M6" s="31">
        <f t="shared" si="1"/>
        <v>51236.033321126306</v>
      </c>
      <c r="N6" s="32">
        <f t="shared" si="2"/>
        <v>60277.686260148592</v>
      </c>
      <c r="O6" s="31">
        <v>27.88972282409668</v>
      </c>
      <c r="P6" s="31">
        <v>857.010498046875</v>
      </c>
      <c r="Q6" s="31">
        <f t="shared" si="3"/>
        <v>100.82476447610294</v>
      </c>
      <c r="R6" s="31">
        <v>30.655202865600586</v>
      </c>
      <c r="S6" s="31">
        <v>119.63529968261719</v>
      </c>
      <c r="T6" s="32">
        <f t="shared" si="4"/>
        <v>140.74741139131433</v>
      </c>
      <c r="U6" s="31">
        <v>31.491466522216797</v>
      </c>
      <c r="V6" s="31">
        <v>11.303980827331543</v>
      </c>
      <c r="W6" s="31">
        <f t="shared" si="5"/>
        <v>1.3298800973331226</v>
      </c>
      <c r="X6" s="31">
        <v>34.990257263183594</v>
      </c>
      <c r="Y6" s="31">
        <v>1.1540188789367676</v>
      </c>
      <c r="Z6" s="32">
        <f t="shared" si="6"/>
        <v>1.3576692693373735</v>
      </c>
      <c r="AA6" s="31">
        <v>28.467479705810547</v>
      </c>
      <c r="AB6" s="31">
        <v>7.638059139251709</v>
      </c>
      <c r="AC6" s="31">
        <f t="shared" si="7"/>
        <v>0.89859519285314227</v>
      </c>
      <c r="AD6" t="s">
        <v>66</v>
      </c>
      <c r="AF6" s="32">
        <f t="shared" si="8"/>
        <v>0</v>
      </c>
      <c r="AG6" s="31">
        <v>37.339405059814453</v>
      </c>
      <c r="AH6" s="31">
        <v>0.71016353368759155</v>
      </c>
      <c r="AI6" s="31">
        <f t="shared" si="9"/>
        <v>8.3548651022069598E-2</v>
      </c>
      <c r="AJ6" t="s">
        <v>66</v>
      </c>
      <c r="AL6" s="32">
        <f t="shared" si="10"/>
        <v>0</v>
      </c>
    </row>
    <row r="7" spans="1:38" ht="15.15" thickBot="1" x14ac:dyDescent="0.35">
      <c r="A7" s="33" t="s">
        <v>69</v>
      </c>
      <c r="B7" s="30">
        <v>44335</v>
      </c>
      <c r="C7" s="33">
        <v>960</v>
      </c>
      <c r="D7" s="1461" t="s">
        <v>65</v>
      </c>
      <c r="E7" s="30">
        <v>44406</v>
      </c>
      <c r="F7" s="24">
        <v>100</v>
      </c>
      <c r="G7" s="31">
        <v>15.104617118835449</v>
      </c>
      <c r="H7" s="31">
        <v>1701906.625</v>
      </c>
      <c r="I7" s="31">
        <f t="shared" si="0"/>
        <v>1688923.9864461264</v>
      </c>
      <c r="J7" s="31">
        <f t="shared" si="11"/>
        <v>175929.58192147149</v>
      </c>
      <c r="K7" s="31">
        <v>18.629159927368164</v>
      </c>
      <c r="L7" s="31">
        <v>167564.640625</v>
      </c>
      <c r="M7" s="31">
        <f t="shared" si="1"/>
        <v>154582.00207112631</v>
      </c>
      <c r="N7" s="32">
        <f t="shared" si="2"/>
        <v>161022.91882408989</v>
      </c>
      <c r="O7" s="31">
        <v>26.403478622436523</v>
      </c>
      <c r="P7" s="31">
        <v>2469.190185546875</v>
      </c>
      <c r="Q7" s="31">
        <f t="shared" si="3"/>
        <v>257.20731099446613</v>
      </c>
      <c r="R7" s="31">
        <v>29.76582145690918</v>
      </c>
      <c r="S7" s="31">
        <v>225.35597229003906</v>
      </c>
      <c r="T7" s="32">
        <f t="shared" si="4"/>
        <v>234.74580446879068</v>
      </c>
      <c r="U7" s="31">
        <v>30.746095657348633</v>
      </c>
      <c r="V7" s="31">
        <v>18.380390167236328</v>
      </c>
      <c r="W7" s="31">
        <f t="shared" si="5"/>
        <v>1.9146239757537842</v>
      </c>
      <c r="X7" s="31">
        <v>33.676994323730469</v>
      </c>
      <c r="Y7" s="31">
        <v>2.7176241874694824</v>
      </c>
      <c r="Z7" s="32">
        <f t="shared" si="6"/>
        <v>2.8308585286140442</v>
      </c>
      <c r="AA7" s="31">
        <v>28.782886505126953</v>
      </c>
      <c r="AB7" s="31">
        <v>6.2052760124206543</v>
      </c>
      <c r="AC7" s="31">
        <f t="shared" si="7"/>
        <v>0.64638291796048486</v>
      </c>
      <c r="AD7" s="31">
        <v>32.11614990234375</v>
      </c>
      <c r="AE7" s="31">
        <v>0.69069004058837891</v>
      </c>
      <c r="AF7" s="32">
        <f t="shared" si="8"/>
        <v>0.7194687922795614</v>
      </c>
      <c r="AG7" s="31">
        <v>36.029151916503906</v>
      </c>
      <c r="AH7" s="31">
        <v>1.601392388343811</v>
      </c>
      <c r="AI7" s="31">
        <f t="shared" si="9"/>
        <v>0.16681170711914697</v>
      </c>
      <c r="AJ7" t="s">
        <v>66</v>
      </c>
      <c r="AL7" s="32">
        <f t="shared" si="10"/>
        <v>0</v>
      </c>
    </row>
    <row r="8" spans="1:38" ht="15.15" thickBot="1" x14ac:dyDescent="0.35">
      <c r="A8" s="33" t="s">
        <v>70</v>
      </c>
      <c r="B8" s="30">
        <v>44335</v>
      </c>
      <c r="C8" s="33">
        <v>980</v>
      </c>
      <c r="D8" s="1461" t="s">
        <v>65</v>
      </c>
      <c r="E8" s="30">
        <v>44406</v>
      </c>
      <c r="F8" s="24">
        <v>100</v>
      </c>
      <c r="G8" s="31">
        <v>15.26304817199707</v>
      </c>
      <c r="H8" s="31">
        <v>1533491.375</v>
      </c>
      <c r="I8" s="31">
        <f t="shared" si="0"/>
        <v>1520508.7364461264</v>
      </c>
      <c r="J8" s="31">
        <f t="shared" si="11"/>
        <v>155153.95269858433</v>
      </c>
      <c r="K8" s="31">
        <v>18.568704605102539</v>
      </c>
      <c r="L8" s="31">
        <v>174361.609375</v>
      </c>
      <c r="M8" s="31">
        <f t="shared" si="1"/>
        <v>161378.97082112631</v>
      </c>
      <c r="N8" s="32">
        <f t="shared" si="2"/>
        <v>164672.41920523092</v>
      </c>
      <c r="O8" s="31">
        <v>25.819942474365234</v>
      </c>
      <c r="P8" s="31">
        <v>3741.040771484375</v>
      </c>
      <c r="Q8" s="31">
        <f t="shared" si="3"/>
        <v>381.73885423309952</v>
      </c>
      <c r="R8" s="31">
        <v>28.937826156616211</v>
      </c>
      <c r="S8" s="31">
        <v>406.34722900390625</v>
      </c>
      <c r="T8" s="32">
        <f t="shared" si="4"/>
        <v>414.64002959582268</v>
      </c>
      <c r="U8" s="31">
        <v>28.981958389282227</v>
      </c>
      <c r="V8" s="31">
        <v>58.081729888916016</v>
      </c>
      <c r="W8" s="31">
        <f t="shared" si="5"/>
        <v>5.9267071315220425</v>
      </c>
      <c r="X8" s="31">
        <v>32.553752899169922</v>
      </c>
      <c r="Y8" s="31">
        <v>5.6538338661193848</v>
      </c>
      <c r="Z8" s="32">
        <f t="shared" si="6"/>
        <v>5.769218230734066</v>
      </c>
      <c r="AA8" s="31">
        <v>26.791070938110352</v>
      </c>
      <c r="AB8" s="31">
        <v>23.041921615600586</v>
      </c>
      <c r="AC8" s="31">
        <f t="shared" si="7"/>
        <v>2.3512164913878149</v>
      </c>
      <c r="AD8" s="31">
        <v>29.12013053894043</v>
      </c>
      <c r="AE8" s="31">
        <v>4.9692707061767578</v>
      </c>
      <c r="AF8" s="32">
        <f t="shared" si="8"/>
        <v>5.070684394057916</v>
      </c>
      <c r="AG8" s="31">
        <v>28.006856918334961</v>
      </c>
      <c r="AH8" s="31">
        <v>232.63047790527344</v>
      </c>
      <c r="AI8" s="31">
        <f t="shared" si="9"/>
        <v>23.737803867885045</v>
      </c>
      <c r="AJ8" s="31">
        <v>31.145301818847656</v>
      </c>
      <c r="AK8" s="31">
        <v>33.173629760742188</v>
      </c>
      <c r="AL8" s="32">
        <f t="shared" si="10"/>
        <v>33.850642613002229</v>
      </c>
    </row>
    <row r="9" spans="1:38" ht="15.15" thickBot="1" x14ac:dyDescent="0.35">
      <c r="A9" s="33" t="s">
        <v>71</v>
      </c>
      <c r="B9" s="30">
        <v>44335</v>
      </c>
      <c r="C9" s="33">
        <v>940</v>
      </c>
      <c r="D9" s="1461" t="s">
        <v>65</v>
      </c>
      <c r="E9" s="30">
        <v>44406</v>
      </c>
      <c r="F9" s="24">
        <v>100</v>
      </c>
      <c r="G9" s="31">
        <v>15.260120391845703</v>
      </c>
      <c r="H9" s="31">
        <v>1536447.25</v>
      </c>
      <c r="I9" s="31">
        <f t="shared" si="0"/>
        <v>1523464.6114461264</v>
      </c>
      <c r="J9" s="31">
        <f t="shared" si="11"/>
        <v>162070.70334533259</v>
      </c>
      <c r="K9" s="31">
        <v>18.457422256469727</v>
      </c>
      <c r="L9" s="31">
        <v>187602.09375</v>
      </c>
      <c r="M9" s="31">
        <f t="shared" si="1"/>
        <v>174619.45519612631</v>
      </c>
      <c r="N9" s="32">
        <f t="shared" si="2"/>
        <v>185765.37786821948</v>
      </c>
      <c r="O9" s="31">
        <v>25.535945892333984</v>
      </c>
      <c r="P9" s="31">
        <v>4579.3974609375</v>
      </c>
      <c r="Q9" s="31">
        <f t="shared" si="3"/>
        <v>487.16994265292556</v>
      </c>
      <c r="R9" s="31">
        <v>28.801225662231445</v>
      </c>
      <c r="S9" s="31">
        <v>447.85369873046875</v>
      </c>
      <c r="T9" s="32">
        <f t="shared" si="4"/>
        <v>476.44010503241356</v>
      </c>
      <c r="U9" s="31">
        <v>29.252632141113281</v>
      </c>
      <c r="V9" s="31">
        <v>48.68243408203125</v>
      </c>
      <c r="W9" s="31">
        <f t="shared" si="5"/>
        <v>5.1789823491522604</v>
      </c>
      <c r="X9" s="31">
        <v>32.720916748046875</v>
      </c>
      <c r="Y9" s="31">
        <v>5.0698432922363281</v>
      </c>
      <c r="Z9" s="32">
        <f t="shared" si="6"/>
        <v>5.3934503108897109</v>
      </c>
      <c r="AA9" s="31">
        <v>26.652378082275391</v>
      </c>
      <c r="AB9" s="31">
        <v>25.245948791503906</v>
      </c>
      <c r="AC9" s="31">
        <f t="shared" si="7"/>
        <v>2.6857392331387135</v>
      </c>
      <c r="AD9" s="31">
        <v>29.28449821472168</v>
      </c>
      <c r="AE9" s="31">
        <v>4.4593892097473145</v>
      </c>
      <c r="AF9" s="32">
        <f>(AE9*($F9*10))/($C9)</f>
        <v>4.7440310741992704</v>
      </c>
      <c r="AG9" s="31">
        <v>28.886772155761719</v>
      </c>
      <c r="AH9" s="31">
        <v>134.7447509765625</v>
      </c>
      <c r="AI9" s="31">
        <f t="shared" si="9"/>
        <v>14.334547976230054</v>
      </c>
      <c r="AJ9" s="31">
        <v>32.823112487792969</v>
      </c>
      <c r="AK9" s="31">
        <v>11.710878372192383</v>
      </c>
      <c r="AL9" s="32">
        <f t="shared" si="10"/>
        <v>12.458381247013174</v>
      </c>
    </row>
    <row r="10" spans="1:38" ht="15.15" thickBot="1" x14ac:dyDescent="0.35">
      <c r="A10" s="33" t="s">
        <v>72</v>
      </c>
      <c r="B10" s="30">
        <v>44335</v>
      </c>
      <c r="C10" s="33">
        <v>900</v>
      </c>
      <c r="D10" s="1461" t="s">
        <v>65</v>
      </c>
      <c r="E10" s="30">
        <v>44406</v>
      </c>
      <c r="F10" s="24">
        <v>100</v>
      </c>
      <c r="G10" s="31">
        <v>18.155811309814453</v>
      </c>
      <c r="H10" s="31">
        <v>228765.25</v>
      </c>
      <c r="I10" s="31">
        <f t="shared" si="0"/>
        <v>215782.61144612631</v>
      </c>
      <c r="J10" s="31">
        <f t="shared" si="11"/>
        <v>23975.845716236254</v>
      </c>
      <c r="K10" s="31">
        <v>20.973480224609375</v>
      </c>
      <c r="L10" s="31">
        <v>35854.921875</v>
      </c>
      <c r="M10" s="31">
        <f t="shared" si="1"/>
        <v>22872.283321126302</v>
      </c>
      <c r="N10" s="32">
        <f t="shared" si="2"/>
        <v>25413.648134584779</v>
      </c>
      <c r="O10" s="31">
        <v>28.558364868164063</v>
      </c>
      <c r="P10" s="31">
        <v>532.39288330078125</v>
      </c>
      <c r="Q10" s="31">
        <f t="shared" si="3"/>
        <v>59.154764811197914</v>
      </c>
      <c r="R10" s="31">
        <v>31.714502334594727</v>
      </c>
      <c r="S10" s="31">
        <v>56.274089813232422</v>
      </c>
      <c r="T10" s="32">
        <f t="shared" si="4"/>
        <v>62.526766459147133</v>
      </c>
      <c r="U10" s="31">
        <v>26.087747573852539</v>
      </c>
      <c r="V10" s="31">
        <v>383.54220581054688</v>
      </c>
      <c r="W10" s="31">
        <f t="shared" si="5"/>
        <v>42.615800645616318</v>
      </c>
      <c r="X10" s="31">
        <v>29.136268615722656</v>
      </c>
      <c r="Y10" s="31">
        <v>52.520854949951172</v>
      </c>
      <c r="Z10" s="32">
        <f t="shared" si="6"/>
        <v>58.356505499945747</v>
      </c>
      <c r="AA10" s="31">
        <v>28.928619384765625</v>
      </c>
      <c r="AB10" s="31">
        <v>5.6373410224914551</v>
      </c>
      <c r="AC10" s="31">
        <f>(AB10*$F10)/$C10</f>
        <v>0.62637122472127282</v>
      </c>
      <c r="AD10" s="31">
        <v>31.634092330932617</v>
      </c>
      <c r="AE10" s="31">
        <v>0.94880169630050659</v>
      </c>
      <c r="AF10" s="32">
        <f t="shared" si="8"/>
        <v>1.0542241070005629</v>
      </c>
      <c r="AG10" s="31">
        <v>33.909873962402344</v>
      </c>
      <c r="AH10" s="31">
        <v>5.966031551361084</v>
      </c>
      <c r="AI10" s="31">
        <f t="shared" si="9"/>
        <v>0.66289239459567595</v>
      </c>
      <c r="AJ10" t="s">
        <v>66</v>
      </c>
      <c r="AL10" s="32">
        <f t="shared" si="10"/>
        <v>0</v>
      </c>
    </row>
    <row r="11" spans="1:38" ht="15.15" thickBot="1" x14ac:dyDescent="0.35">
      <c r="A11" s="33" t="s">
        <v>73</v>
      </c>
      <c r="B11" s="30">
        <v>44335</v>
      </c>
      <c r="C11" s="33">
        <v>900</v>
      </c>
      <c r="D11" s="1461" t="s">
        <v>65</v>
      </c>
      <c r="E11" s="30">
        <v>44406</v>
      </c>
      <c r="F11" s="24">
        <v>100</v>
      </c>
      <c r="G11" s="31">
        <v>18.191873550415039</v>
      </c>
      <c r="H11" s="31">
        <v>223403.109375</v>
      </c>
      <c r="I11" s="31">
        <f t="shared" si="0"/>
        <v>210420.47082112631</v>
      </c>
      <c r="J11" s="31">
        <f t="shared" si="11"/>
        <v>23380.052313458476</v>
      </c>
      <c r="K11" s="31">
        <v>20.692583084106445</v>
      </c>
      <c r="L11" s="31">
        <v>43130.49609375</v>
      </c>
      <c r="M11" s="31">
        <f t="shared" si="1"/>
        <v>30147.857539876302</v>
      </c>
      <c r="N11" s="32">
        <f t="shared" si="2"/>
        <v>33497.619488751443</v>
      </c>
      <c r="O11" s="31">
        <v>28.77330207824707</v>
      </c>
      <c r="P11" s="31">
        <v>456.84674072265625</v>
      </c>
      <c r="Q11" s="31">
        <f t="shared" si="3"/>
        <v>50.760748969184029</v>
      </c>
      <c r="R11" s="31">
        <v>31.725141525268555</v>
      </c>
      <c r="S11" s="31">
        <v>55.849422454833984</v>
      </c>
      <c r="T11" s="32">
        <f t="shared" si="4"/>
        <v>62.054913838704429</v>
      </c>
      <c r="U11" s="31">
        <v>28.609855651855469</v>
      </c>
      <c r="V11" s="31">
        <v>74.034843444824219</v>
      </c>
      <c r="W11" s="31">
        <f t="shared" si="5"/>
        <v>8.2260937160915795</v>
      </c>
      <c r="X11" s="31">
        <v>32.062442779541016</v>
      </c>
      <c r="Y11" s="31">
        <v>7.7894120216369629</v>
      </c>
      <c r="Z11" s="32">
        <f t="shared" si="6"/>
        <v>8.6549022462632923</v>
      </c>
      <c r="AA11" s="31">
        <v>29.303291320800781</v>
      </c>
      <c r="AB11" s="31">
        <v>4.4045305252075195</v>
      </c>
      <c r="AC11" s="31">
        <f t="shared" si="7"/>
        <v>0.48939228057861328</v>
      </c>
      <c r="AD11" s="31">
        <v>31.95135498046875</v>
      </c>
      <c r="AE11" s="31">
        <v>0.76987934112548828</v>
      </c>
      <c r="AF11" s="32">
        <f t="shared" si="8"/>
        <v>0.85542149013943147</v>
      </c>
      <c r="AG11" s="31">
        <v>37.901760101318359</v>
      </c>
      <c r="AH11" s="31">
        <v>0.50094777345657349</v>
      </c>
      <c r="AI11" s="31">
        <f t="shared" si="9"/>
        <v>5.5660863717397056E-2</v>
      </c>
      <c r="AJ11" t="s">
        <v>66</v>
      </c>
      <c r="AL11" s="32">
        <f t="shared" si="10"/>
        <v>0</v>
      </c>
    </row>
    <row r="12" spans="1:38" ht="15.15" thickBot="1" x14ac:dyDescent="0.35">
      <c r="A12" s="33" t="s">
        <v>74</v>
      </c>
      <c r="B12" s="30">
        <v>44335</v>
      </c>
      <c r="C12" s="33">
        <v>820</v>
      </c>
      <c r="D12" s="1461" t="s">
        <v>65</v>
      </c>
      <c r="E12" s="30">
        <v>44406</v>
      </c>
      <c r="F12" s="24">
        <v>100</v>
      </c>
      <c r="G12" s="31">
        <v>18.217311859130859</v>
      </c>
      <c r="H12" s="31">
        <v>219696.4375</v>
      </c>
      <c r="I12" s="31">
        <f t="shared" si="0"/>
        <v>206713.79894612631</v>
      </c>
      <c r="J12" s="31">
        <f t="shared" si="11"/>
        <v>25208.999871478816</v>
      </c>
      <c r="K12" s="31">
        <v>21.312290191650391</v>
      </c>
      <c r="L12" s="31">
        <v>28692.66015625</v>
      </c>
      <c r="M12" s="31">
        <f t="shared" si="1"/>
        <v>15710.021602376302</v>
      </c>
      <c r="N12" s="32">
        <f t="shared" si="2"/>
        <v>19158.562929727199</v>
      </c>
      <c r="O12" s="31">
        <v>27.574007034301758</v>
      </c>
      <c r="P12" s="31">
        <v>1073.0255126953125</v>
      </c>
      <c r="Q12" s="31">
        <f t="shared" si="3"/>
        <v>130.85676984089176</v>
      </c>
      <c r="R12" s="31">
        <v>30.853111267089844</v>
      </c>
      <c r="S12" s="31">
        <v>103.91139984130859</v>
      </c>
      <c r="T12" s="32">
        <f t="shared" si="4"/>
        <v>126.72121931866901</v>
      </c>
      <c r="U12" s="31">
        <v>31.511152267456055</v>
      </c>
      <c r="V12" s="31">
        <v>11.15977668762207</v>
      </c>
      <c r="W12" s="31">
        <f t="shared" si="5"/>
        <v>1.3609483765392769</v>
      </c>
      <c r="X12" s="31">
        <v>36.401603698730469</v>
      </c>
      <c r="Y12" s="31">
        <v>0.45967903733253479</v>
      </c>
      <c r="Z12" s="32">
        <f t="shared" si="6"/>
        <v>0.56058419186894481</v>
      </c>
      <c r="AA12" s="31">
        <v>28.978330612182617</v>
      </c>
      <c r="AB12" s="31">
        <v>5.45574951171875</v>
      </c>
      <c r="AC12" s="31">
        <f t="shared" si="7"/>
        <v>0.66533530630716464</v>
      </c>
      <c r="AD12" t="s">
        <v>66</v>
      </c>
      <c r="AF12" s="32">
        <f t="shared" si="8"/>
        <v>0</v>
      </c>
      <c r="AG12" t="s">
        <v>66</v>
      </c>
      <c r="AI12" s="31">
        <f t="shared" si="9"/>
        <v>0</v>
      </c>
      <c r="AJ12" s="31">
        <v>39.055450439453125</v>
      </c>
      <c r="AK12" s="31">
        <v>0.24482166767120361</v>
      </c>
      <c r="AL12" s="32">
        <f t="shared" si="10"/>
        <v>0.29856300935512636</v>
      </c>
    </row>
    <row r="13" spans="1:38" ht="15.15" thickBot="1" x14ac:dyDescent="0.35">
      <c r="A13" s="33" t="s">
        <v>75</v>
      </c>
      <c r="B13" s="30">
        <v>44335</v>
      </c>
      <c r="C13" s="33">
        <v>990</v>
      </c>
      <c r="D13" s="1461" t="s">
        <v>65</v>
      </c>
      <c r="E13" s="30">
        <v>44406</v>
      </c>
      <c r="F13" s="24">
        <v>100</v>
      </c>
      <c r="G13" s="31">
        <v>17.972585678100586</v>
      </c>
      <c r="H13" s="31">
        <v>258063.625</v>
      </c>
      <c r="I13" s="31">
        <f t="shared" si="0"/>
        <v>245080.98644612631</v>
      </c>
      <c r="J13" s="31">
        <f t="shared" si="11"/>
        <v>24755.655196578413</v>
      </c>
      <c r="K13" s="31">
        <v>21.048732757568359</v>
      </c>
      <c r="L13" s="31">
        <v>34123.5</v>
      </c>
      <c r="M13" s="31">
        <f t="shared" si="1"/>
        <v>21140.861446126302</v>
      </c>
      <c r="N13" s="32">
        <f t="shared" si="2"/>
        <v>21354.405501137677</v>
      </c>
      <c r="O13" s="31">
        <v>27.385980606079102</v>
      </c>
      <c r="P13" s="31">
        <v>1226.7344970703125</v>
      </c>
      <c r="Q13" s="31">
        <f t="shared" si="3"/>
        <v>123.91257546164773</v>
      </c>
      <c r="R13" s="31">
        <v>30.394567489624023</v>
      </c>
      <c r="S13" s="31">
        <v>144.02955627441406</v>
      </c>
      <c r="T13" s="32">
        <f t="shared" si="4"/>
        <v>145.48440027718593</v>
      </c>
      <c r="U13" s="31">
        <v>31.801950454711914</v>
      </c>
      <c r="V13" s="31">
        <v>9.2318363189697266</v>
      </c>
      <c r="W13" s="31">
        <f t="shared" si="5"/>
        <v>0.93250871908785116</v>
      </c>
      <c r="X13" s="31">
        <v>33.384647369384766</v>
      </c>
      <c r="Y13" s="31">
        <v>3.2884821891784668</v>
      </c>
      <c r="Z13" s="32">
        <f t="shared" si="6"/>
        <v>3.3216991809883503</v>
      </c>
      <c r="AA13" s="31">
        <v>28.377798080444336</v>
      </c>
      <c r="AB13" s="31">
        <v>8.1028232574462891</v>
      </c>
      <c r="AC13" s="31">
        <f t="shared" si="7"/>
        <v>0.81846699570164538</v>
      </c>
      <c r="AD13" t="s">
        <v>66</v>
      </c>
      <c r="AF13" s="32">
        <f t="shared" si="8"/>
        <v>0</v>
      </c>
      <c r="AG13" s="31">
        <v>35.771099090576172</v>
      </c>
      <c r="AH13" s="31">
        <v>1.8795253038406372</v>
      </c>
      <c r="AI13" s="31">
        <f t="shared" si="9"/>
        <v>0.18985104079198356</v>
      </c>
      <c r="AJ13" t="s">
        <v>66</v>
      </c>
      <c r="AL13" s="32">
        <f t="shared" si="10"/>
        <v>0</v>
      </c>
    </row>
    <row r="14" spans="1:38" ht="15.15" thickBot="1" x14ac:dyDescent="0.35">
      <c r="A14" s="33" t="s">
        <v>76</v>
      </c>
      <c r="B14" s="30">
        <v>44335</v>
      </c>
      <c r="C14" s="33">
        <v>970</v>
      </c>
      <c r="D14" s="1461" t="s">
        <v>65</v>
      </c>
      <c r="E14" s="30">
        <v>44406</v>
      </c>
      <c r="F14" s="24">
        <v>100</v>
      </c>
      <c r="G14" s="31">
        <v>14.414107322692871</v>
      </c>
      <c r="H14" s="31">
        <v>2680239</v>
      </c>
      <c r="I14" s="31">
        <f t="shared" si="0"/>
        <v>2667256.3614461264</v>
      </c>
      <c r="J14" s="31">
        <f t="shared" si="11"/>
        <v>274974.88262331201</v>
      </c>
      <c r="K14" s="31">
        <v>17.566396713256836</v>
      </c>
      <c r="L14" s="31">
        <v>337093.9375</v>
      </c>
      <c r="M14" s="31">
        <f t="shared" si="1"/>
        <v>324111.29894612631</v>
      </c>
      <c r="N14" s="32">
        <f t="shared" si="2"/>
        <v>334135.35973827454</v>
      </c>
      <c r="O14" s="31">
        <v>28.506610870361328</v>
      </c>
      <c r="P14" s="31">
        <v>552.376708984375</v>
      </c>
      <c r="Q14" s="31">
        <f t="shared" si="3"/>
        <v>56.946052472615982</v>
      </c>
      <c r="R14" s="31">
        <v>31.641054153442383</v>
      </c>
      <c r="S14" s="31">
        <v>59.29522705078125</v>
      </c>
      <c r="T14" s="32">
        <f t="shared" si="4"/>
        <v>61.129100052351802</v>
      </c>
      <c r="U14" s="31">
        <v>26.11491584777832</v>
      </c>
      <c r="V14" s="31">
        <v>376.80606079101563</v>
      </c>
      <c r="W14" s="31">
        <f t="shared" si="5"/>
        <v>38.845985648558312</v>
      </c>
      <c r="X14" s="31">
        <v>29.289247512817383</v>
      </c>
      <c r="Y14" s="31">
        <v>47.533645629882813</v>
      </c>
      <c r="Z14" s="32">
        <f t="shared" si="6"/>
        <v>49.003758381322484</v>
      </c>
      <c r="AA14" s="31">
        <v>28.686870574951172</v>
      </c>
      <c r="AB14" s="31">
        <v>6.6103792190551758</v>
      </c>
      <c r="AC14" s="31">
        <f t="shared" si="7"/>
        <v>0.68148239371702846</v>
      </c>
      <c r="AD14" t="s">
        <v>66</v>
      </c>
      <c r="AF14" s="32">
        <f t="shared" si="8"/>
        <v>0</v>
      </c>
      <c r="AG14" s="31">
        <v>24.872049331665039</v>
      </c>
      <c r="AH14" s="31">
        <v>1627.645751953125</v>
      </c>
      <c r="AI14" s="31">
        <f t="shared" si="9"/>
        <v>167.79853112918815</v>
      </c>
      <c r="AJ14" s="31">
        <v>28.7601318359375</v>
      </c>
      <c r="AK14" s="31">
        <v>145.76187133789063</v>
      </c>
      <c r="AL14" s="32">
        <f t="shared" si="10"/>
        <v>150.26997045143364</v>
      </c>
    </row>
    <row r="15" spans="1:38" ht="15.15" thickBot="1" x14ac:dyDescent="0.35">
      <c r="A15" s="33" t="s">
        <v>77</v>
      </c>
      <c r="B15" s="30">
        <v>44335</v>
      </c>
      <c r="C15" s="33">
        <v>960</v>
      </c>
      <c r="D15" s="1461" t="s">
        <v>65</v>
      </c>
      <c r="E15" s="30">
        <v>44406</v>
      </c>
      <c r="F15" s="24">
        <v>100</v>
      </c>
      <c r="G15" s="31">
        <v>17.512794494628906</v>
      </c>
      <c r="H15" s="31">
        <v>349190.09375</v>
      </c>
      <c r="I15" s="31">
        <f t="shared" si="0"/>
        <v>336207.45519612631</v>
      </c>
      <c r="J15" s="31">
        <f t="shared" si="11"/>
        <v>35021.609916263158</v>
      </c>
      <c r="K15" s="31">
        <v>20.725961685180664</v>
      </c>
      <c r="L15" s="31">
        <v>42193.94921875</v>
      </c>
      <c r="M15" s="31">
        <f t="shared" si="1"/>
        <v>29211.310664876302</v>
      </c>
      <c r="N15" s="32">
        <f t="shared" si="2"/>
        <v>30428.448609246148</v>
      </c>
      <c r="O15" s="31">
        <v>28.001529693603516</v>
      </c>
      <c r="P15" s="31">
        <v>791.432373046875</v>
      </c>
      <c r="Q15" s="31">
        <f t="shared" si="3"/>
        <v>82.440872192382813</v>
      </c>
      <c r="R15" s="31">
        <v>31.140905380249023</v>
      </c>
      <c r="S15" s="31">
        <v>84.658981323242188</v>
      </c>
      <c r="T15" s="32">
        <f t="shared" si="4"/>
        <v>88.186438878377274</v>
      </c>
      <c r="U15" s="31">
        <v>28.478551864624023</v>
      </c>
      <c r="V15" s="31">
        <v>80.654281616210938</v>
      </c>
      <c r="W15" s="31">
        <f t="shared" si="5"/>
        <v>8.4014876683553066</v>
      </c>
      <c r="X15" s="31">
        <v>31.408246994018555</v>
      </c>
      <c r="Y15" s="31">
        <v>11.934466361999512</v>
      </c>
      <c r="Z15" s="32">
        <f t="shared" si="6"/>
        <v>12.431735793749491</v>
      </c>
      <c r="AA15" s="31">
        <v>28.879434585571289</v>
      </c>
      <c r="AB15" s="31">
        <v>5.8229570388793945</v>
      </c>
      <c r="AC15" s="31">
        <f t="shared" si="7"/>
        <v>0.60655802488327026</v>
      </c>
      <c r="AD15" s="31">
        <v>30.566520690917969</v>
      </c>
      <c r="AE15" s="31">
        <v>1.9166978597640991</v>
      </c>
      <c r="AF15" s="32">
        <f t="shared" si="8"/>
        <v>1.9965602705876033</v>
      </c>
      <c r="AG15" s="31">
        <v>26.44066047668457</v>
      </c>
      <c r="AH15" s="31">
        <v>614.87640380859375</v>
      </c>
      <c r="AI15" s="31">
        <f t="shared" si="9"/>
        <v>64.049625396728516</v>
      </c>
      <c r="AJ15" s="31">
        <v>31.744434356689453</v>
      </c>
      <c r="AK15" s="31">
        <v>22.872560501098633</v>
      </c>
      <c r="AL15" s="32">
        <f t="shared" si="10"/>
        <v>23.825583855311077</v>
      </c>
    </row>
    <row r="16" spans="1:38" ht="15.15" thickBot="1" x14ac:dyDescent="0.35">
      <c r="A16" s="33" t="s">
        <v>78</v>
      </c>
      <c r="B16" s="30">
        <v>44335</v>
      </c>
      <c r="C16" s="33">
        <v>900</v>
      </c>
      <c r="D16" s="1461" t="s">
        <v>65</v>
      </c>
      <c r="E16" s="30">
        <v>44406</v>
      </c>
      <c r="F16" s="24">
        <v>100</v>
      </c>
      <c r="G16" s="31">
        <v>13.095625877380371</v>
      </c>
      <c r="H16" s="31">
        <v>6379485.5</v>
      </c>
      <c r="I16" s="31">
        <f t="shared" si="0"/>
        <v>6366502.8614461264</v>
      </c>
      <c r="J16" s="31">
        <f t="shared" si="11"/>
        <v>707389.2068273474</v>
      </c>
      <c r="K16" s="31">
        <v>15.347894668579102</v>
      </c>
      <c r="L16" s="31">
        <v>1450259.5</v>
      </c>
      <c r="M16" s="31">
        <f t="shared" si="1"/>
        <v>1437276.8614461264</v>
      </c>
      <c r="N16" s="32">
        <f t="shared" si="2"/>
        <v>1596974.290495696</v>
      </c>
      <c r="O16" s="31">
        <v>27.699651718139648</v>
      </c>
      <c r="P16" s="31">
        <v>981.20306396484375</v>
      </c>
      <c r="Q16" s="31">
        <f t="shared" si="3"/>
        <v>109.02256266276042</v>
      </c>
      <c r="R16" s="31">
        <v>30.816370010375977</v>
      </c>
      <c r="S16" s="31">
        <v>106.66553497314453</v>
      </c>
      <c r="T16" s="32">
        <f t="shared" si="4"/>
        <v>118.5172610812717</v>
      </c>
      <c r="U16" s="31">
        <v>22.613681793212891</v>
      </c>
      <c r="V16" s="31">
        <v>3696.82080078125</v>
      </c>
      <c r="W16" s="31">
        <f t="shared" si="5"/>
        <v>410.75786675347223</v>
      </c>
      <c r="X16" s="31">
        <v>25.518779754638672</v>
      </c>
      <c r="Y16" s="31">
        <v>555.8671875</v>
      </c>
      <c r="Z16" s="32">
        <f t="shared" si="6"/>
        <v>617.63020833333337</v>
      </c>
      <c r="AA16" s="31">
        <v>30.699953079223633</v>
      </c>
      <c r="AB16" s="31">
        <v>1.7554376125335693</v>
      </c>
      <c r="AC16" s="31">
        <f t="shared" si="7"/>
        <v>0.19504862361484104</v>
      </c>
      <c r="AD16" s="31">
        <v>31.885061264038086</v>
      </c>
      <c r="AE16" s="31">
        <v>0.80424052476882935</v>
      </c>
      <c r="AF16" s="32">
        <f t="shared" si="8"/>
        <v>0.89360058307647705</v>
      </c>
      <c r="AG16" s="31">
        <v>18.709680557250977</v>
      </c>
      <c r="AH16" s="31">
        <v>74548.9296875</v>
      </c>
      <c r="AI16" s="31">
        <f t="shared" si="9"/>
        <v>8283.2144097222226</v>
      </c>
      <c r="AJ16" s="31">
        <v>21.012155532836914</v>
      </c>
      <c r="AK16" s="31">
        <v>17859.875</v>
      </c>
      <c r="AL16" s="32">
        <f t="shared" si="10"/>
        <v>19844.305555555555</v>
      </c>
    </row>
    <row r="17" spans="1:38" ht="15.15" thickBot="1" x14ac:dyDescent="0.35">
      <c r="A17" s="33" t="s">
        <v>79</v>
      </c>
      <c r="B17" s="30">
        <v>44335</v>
      </c>
      <c r="C17" s="33">
        <v>930</v>
      </c>
      <c r="D17" s="1461" t="s">
        <v>65</v>
      </c>
      <c r="E17" s="30">
        <v>44406</v>
      </c>
      <c r="F17" s="24">
        <v>100</v>
      </c>
      <c r="G17" s="31">
        <v>14.033653259277344</v>
      </c>
      <c r="H17" s="31">
        <v>3442284.25</v>
      </c>
      <c r="I17" s="31">
        <f t="shared" si="0"/>
        <v>3429301.6114461264</v>
      </c>
      <c r="J17" s="31">
        <f t="shared" si="11"/>
        <v>368742.10875764798</v>
      </c>
      <c r="K17" s="31">
        <v>16.655725479125977</v>
      </c>
      <c r="L17" s="31">
        <v>613586.5625</v>
      </c>
      <c r="M17" s="31">
        <f t="shared" si="1"/>
        <v>600603.92394612625</v>
      </c>
      <c r="N17" s="32">
        <f t="shared" si="2"/>
        <v>645810.67090981314</v>
      </c>
      <c r="O17" s="31">
        <v>28.887002944946289</v>
      </c>
      <c r="P17" s="31">
        <v>421.32049560546875</v>
      </c>
      <c r="Q17" s="31">
        <f t="shared" si="3"/>
        <v>45.303279097362228</v>
      </c>
      <c r="R17" s="31">
        <v>32.094371795654297</v>
      </c>
      <c r="S17" s="31">
        <v>42.938545227050781</v>
      </c>
      <c r="T17" s="32">
        <f t="shared" si="4"/>
        <v>46.170478738764281</v>
      </c>
      <c r="U17" s="31">
        <v>22.478057861328125</v>
      </c>
      <c r="V17" s="31">
        <v>4038.71630859375</v>
      </c>
      <c r="W17" s="31">
        <f t="shared" si="5"/>
        <v>434.27057081653226</v>
      </c>
      <c r="X17" s="31">
        <v>25.783369064331055</v>
      </c>
      <c r="Y17" s="31">
        <v>467.764404296875</v>
      </c>
      <c r="Z17" s="32">
        <f t="shared" si="6"/>
        <v>502.97247773857526</v>
      </c>
      <c r="AA17" s="31">
        <v>31.274370193481445</v>
      </c>
      <c r="AB17" s="31">
        <v>1.2024686336517334</v>
      </c>
      <c r="AC17" s="31">
        <f t="shared" si="7"/>
        <v>0.12929770254319714</v>
      </c>
      <c r="AD17" t="s">
        <v>66</v>
      </c>
      <c r="AF17" s="32">
        <f t="shared" si="8"/>
        <v>0</v>
      </c>
      <c r="AG17" s="31">
        <v>20.656650543212891</v>
      </c>
      <c r="AH17" s="31">
        <v>22268.662109375</v>
      </c>
      <c r="AI17" s="31">
        <f t="shared" si="9"/>
        <v>2394.4797967069894</v>
      </c>
      <c r="AJ17" s="31">
        <v>23.476823806762695</v>
      </c>
      <c r="AK17" s="31">
        <v>3869.020751953125</v>
      </c>
      <c r="AL17" s="32">
        <f t="shared" si="10"/>
        <v>4160.2373676915322</v>
      </c>
    </row>
    <row r="18" spans="1:38" ht="15.15" thickBot="1" x14ac:dyDescent="0.35">
      <c r="A18" s="33" t="s">
        <v>80</v>
      </c>
      <c r="B18" s="30">
        <v>44335</v>
      </c>
      <c r="C18" s="33">
        <v>1000</v>
      </c>
      <c r="D18" s="1461" t="s">
        <v>65</v>
      </c>
      <c r="E18" s="30">
        <v>44406</v>
      </c>
      <c r="F18" s="24">
        <v>100</v>
      </c>
      <c r="G18" s="31">
        <v>18.736507415771484</v>
      </c>
      <c r="H18" s="31">
        <v>156141.9375</v>
      </c>
      <c r="I18" s="31">
        <f t="shared" si="0"/>
        <v>143159.29894612631</v>
      </c>
      <c r="J18" s="31">
        <f t="shared" si="11"/>
        <v>14315.929894612631</v>
      </c>
      <c r="K18" s="31">
        <v>22.218088150024414</v>
      </c>
      <c r="L18" s="31">
        <v>15813.861328125</v>
      </c>
      <c r="M18" s="31">
        <f t="shared" si="1"/>
        <v>2831.2227742513023</v>
      </c>
      <c r="N18" s="32">
        <f t="shared" si="2"/>
        <v>2831.2227742513023</v>
      </c>
      <c r="O18" s="31">
        <v>28.67108154296875</v>
      </c>
      <c r="P18" s="31">
        <v>491.33602905273438</v>
      </c>
      <c r="Q18" s="31">
        <f t="shared" si="3"/>
        <v>49.133602905273435</v>
      </c>
      <c r="R18" s="31">
        <v>32.215251922607422</v>
      </c>
      <c r="S18" s="31">
        <v>39.397567749023438</v>
      </c>
      <c r="T18" s="32">
        <f t="shared" si="4"/>
        <v>39.397567749023438</v>
      </c>
      <c r="U18" s="31">
        <v>32.866687774658203</v>
      </c>
      <c r="V18" s="31">
        <v>4.6100482940673828</v>
      </c>
      <c r="W18" s="31">
        <f t="shared" si="5"/>
        <v>0.46100482940673826</v>
      </c>
      <c r="X18" s="31">
        <v>36.549530029296875</v>
      </c>
      <c r="Y18" s="31">
        <v>0.41740259528160095</v>
      </c>
      <c r="Z18" s="32">
        <f t="shared" si="6"/>
        <v>0.41740259528160095</v>
      </c>
      <c r="AA18" s="31">
        <v>29.467681884765625</v>
      </c>
      <c r="AB18" s="31">
        <v>3.9525356292724609</v>
      </c>
      <c r="AC18" s="31">
        <f t="shared" si="7"/>
        <v>0.39525356292724612</v>
      </c>
      <c r="AD18" t="s">
        <v>66</v>
      </c>
      <c r="AF18" s="32">
        <f t="shared" si="8"/>
        <v>0</v>
      </c>
      <c r="AG18" s="31">
        <v>34.7330322265625</v>
      </c>
      <c r="AH18" s="31">
        <v>3.5795459747314453</v>
      </c>
      <c r="AI18" s="31">
        <f t="shared" si="9"/>
        <v>0.35795459747314451</v>
      </c>
      <c r="AJ18" t="s">
        <v>66</v>
      </c>
      <c r="AL18" s="32">
        <f t="shared" si="10"/>
        <v>0</v>
      </c>
    </row>
    <row r="19" spans="1:38" ht="15.15" thickBot="1" x14ac:dyDescent="0.35">
      <c r="A19" s="33" t="s">
        <v>81</v>
      </c>
      <c r="B19" s="30">
        <v>44335</v>
      </c>
      <c r="C19" s="33">
        <v>930</v>
      </c>
      <c r="D19" s="1461" t="s">
        <v>65</v>
      </c>
      <c r="E19" s="30">
        <v>44406</v>
      </c>
      <c r="F19" s="24">
        <v>100</v>
      </c>
      <c r="G19" s="31">
        <v>18.578975677490234</v>
      </c>
      <c r="H19" s="31">
        <v>173187.703125</v>
      </c>
      <c r="I19" s="31">
        <f t="shared" si="0"/>
        <v>160205.06457112631</v>
      </c>
      <c r="J19" s="31">
        <f t="shared" si="11"/>
        <v>17226.351029153368</v>
      </c>
      <c r="K19" s="31">
        <v>21.115510940551758</v>
      </c>
      <c r="L19" s="31">
        <v>32657.203125</v>
      </c>
      <c r="M19" s="31">
        <f t="shared" si="1"/>
        <v>19674.564571126302</v>
      </c>
      <c r="N19" s="32">
        <f t="shared" si="2"/>
        <v>21155.445775404623</v>
      </c>
      <c r="O19" s="31">
        <v>28.58180046081543</v>
      </c>
      <c r="P19" s="31">
        <v>523.5831298828125</v>
      </c>
      <c r="Q19" s="31">
        <f t="shared" si="3"/>
        <v>56.299261277721776</v>
      </c>
      <c r="R19" s="31">
        <v>31.610774993896484</v>
      </c>
      <c r="S19" s="31">
        <v>60.587425231933594</v>
      </c>
      <c r="T19" s="32">
        <f t="shared" si="4"/>
        <v>65.147769066595259</v>
      </c>
      <c r="U19" s="31">
        <v>33.990886688232422</v>
      </c>
      <c r="V19" s="31">
        <v>2.2145252227783203</v>
      </c>
      <c r="W19" s="31">
        <f t="shared" si="5"/>
        <v>0.23812099169659359</v>
      </c>
      <c r="X19" t="s">
        <v>66</v>
      </c>
      <c r="Y19" t="s">
        <v>82</v>
      </c>
      <c r="Z19" s="32" t="e">
        <f t="shared" si="6"/>
        <v>#VALUE!</v>
      </c>
      <c r="AA19" s="31">
        <v>29.574459075927734</v>
      </c>
      <c r="AB19" s="31">
        <v>3.6841070652008057</v>
      </c>
      <c r="AC19" s="31">
        <f t="shared" si="7"/>
        <v>0.39614054464524789</v>
      </c>
      <c r="AD19" t="s">
        <v>66</v>
      </c>
      <c r="AF19" s="32">
        <f t="shared" si="8"/>
        <v>0</v>
      </c>
      <c r="AG19" s="31">
        <v>35.051784515380859</v>
      </c>
      <c r="AH19" s="31">
        <v>2.9370937347412109</v>
      </c>
      <c r="AI19" s="31">
        <f t="shared" si="9"/>
        <v>0.3158165306173345</v>
      </c>
      <c r="AJ19" t="s">
        <v>66</v>
      </c>
      <c r="AL19" s="32">
        <f t="shared" si="10"/>
        <v>0</v>
      </c>
    </row>
    <row r="20" spans="1:38" ht="15.15" thickBot="1" x14ac:dyDescent="0.35">
      <c r="A20" s="33" t="s">
        <v>64</v>
      </c>
      <c r="B20" s="30">
        <v>44342</v>
      </c>
      <c r="C20" s="33">
        <v>955</v>
      </c>
      <c r="D20" s="1461" t="s">
        <v>65</v>
      </c>
      <c r="E20" s="30">
        <v>44414</v>
      </c>
      <c r="F20" s="24">
        <v>100</v>
      </c>
      <c r="G20" s="31">
        <v>17.81602668762207</v>
      </c>
      <c r="H20" s="31">
        <v>286052.9375</v>
      </c>
      <c r="I20" s="31">
        <f t="shared" si="0"/>
        <v>273070.29894612631</v>
      </c>
      <c r="J20" s="31">
        <f t="shared" si="11"/>
        <v>28593.748580746207</v>
      </c>
      <c r="K20" s="31">
        <v>20.738927841186523</v>
      </c>
      <c r="L20" s="31">
        <v>41835.6484375</v>
      </c>
      <c r="M20" s="31">
        <f t="shared" si="1"/>
        <v>28853.009883626302</v>
      </c>
      <c r="N20" s="32">
        <f t="shared" si="2"/>
        <v>30212.57579437309</v>
      </c>
      <c r="O20" s="31">
        <v>29.521736145019531</v>
      </c>
      <c r="P20" s="31">
        <v>268.12899780273438</v>
      </c>
      <c r="Q20" s="31">
        <f t="shared" si="3"/>
        <v>28.076334848453861</v>
      </c>
      <c r="R20" s="31">
        <v>32.684024810791016</v>
      </c>
      <c r="S20" s="31">
        <v>28.217464447021484</v>
      </c>
      <c r="T20" s="32">
        <f t="shared" si="4"/>
        <v>29.547083190598414</v>
      </c>
      <c r="U20" s="31">
        <v>32.179813385009766</v>
      </c>
      <c r="V20" s="31">
        <v>7.2153916358947754</v>
      </c>
      <c r="W20" s="31">
        <f t="shared" si="5"/>
        <v>0.75553839119317023</v>
      </c>
      <c r="X20" s="31">
        <v>34.733993530273438</v>
      </c>
      <c r="Y20" s="31">
        <v>1.3639504909515381</v>
      </c>
      <c r="Z20" s="32">
        <f t="shared" si="6"/>
        <v>1.4282204093733384</v>
      </c>
      <c r="AA20" s="31">
        <v>29.740377426147461</v>
      </c>
      <c r="AB20" s="31">
        <v>3.3027174472808838</v>
      </c>
      <c r="AC20" s="31">
        <f t="shared" si="7"/>
        <v>0.34583428767339097</v>
      </c>
      <c r="AD20" t="s">
        <v>66</v>
      </c>
      <c r="AF20" s="32">
        <f t="shared" si="8"/>
        <v>0</v>
      </c>
      <c r="AG20" s="31">
        <v>36.769481658935547</v>
      </c>
      <c r="AH20" s="31">
        <v>1.01149582862854</v>
      </c>
      <c r="AI20" s="31">
        <f t="shared" si="9"/>
        <v>0.10591579357366912</v>
      </c>
      <c r="AJ20" t="s">
        <v>66</v>
      </c>
      <c r="AL20" s="32">
        <f t="shared" si="10"/>
        <v>0</v>
      </c>
    </row>
    <row r="21" spans="1:38" ht="15.15" thickBot="1" x14ac:dyDescent="0.35">
      <c r="A21" s="33" t="s">
        <v>67</v>
      </c>
      <c r="B21" s="30">
        <v>44342</v>
      </c>
      <c r="C21" s="33">
        <v>900</v>
      </c>
      <c r="D21" s="1461" t="s">
        <v>65</v>
      </c>
      <c r="E21" s="30">
        <v>44414</v>
      </c>
      <c r="F21" s="24">
        <v>100</v>
      </c>
      <c r="G21" s="31">
        <v>18.989603042602539</v>
      </c>
      <c r="H21" s="31">
        <v>132198.0625</v>
      </c>
      <c r="I21" s="31">
        <f t="shared" si="0"/>
        <v>119215.42394612631</v>
      </c>
      <c r="J21" s="31">
        <f t="shared" si="11"/>
        <v>13246.158216236256</v>
      </c>
      <c r="K21" s="31">
        <v>20.977445602416992</v>
      </c>
      <c r="L21" s="31">
        <v>35761.53125</v>
      </c>
      <c r="M21" s="31">
        <f t="shared" si="1"/>
        <v>22778.892696126302</v>
      </c>
      <c r="N21" s="32">
        <f t="shared" si="2"/>
        <v>25309.880773473669</v>
      </c>
      <c r="O21" s="31">
        <v>29.949516296386719</v>
      </c>
      <c r="P21" s="31">
        <v>197.72789001464844</v>
      </c>
      <c r="Q21" s="31">
        <f t="shared" si="3"/>
        <v>21.969765557183159</v>
      </c>
      <c r="R21" s="31">
        <v>33.489158630371094</v>
      </c>
      <c r="S21" s="31">
        <v>15.905922889709473</v>
      </c>
      <c r="T21" s="32">
        <f t="shared" si="4"/>
        <v>17.673247655232746</v>
      </c>
      <c r="U21" s="31">
        <v>33.446640014648438</v>
      </c>
      <c r="V21" s="31">
        <v>3.1581759452819824</v>
      </c>
      <c r="W21" s="31">
        <f t="shared" si="5"/>
        <v>0.35090843836466473</v>
      </c>
      <c r="X21" s="31">
        <v>36.739494323730469</v>
      </c>
      <c r="Y21" s="31">
        <v>0.36876401305198669</v>
      </c>
      <c r="Z21" s="32">
        <f t="shared" si="6"/>
        <v>0.40973779227998519</v>
      </c>
      <c r="AA21" s="31">
        <v>31.050165176391602</v>
      </c>
      <c r="AB21" s="31">
        <v>1.3938224315643311</v>
      </c>
      <c r="AC21" s="31">
        <f t="shared" si="7"/>
        <v>0.15486915906270346</v>
      </c>
      <c r="AD21" s="31">
        <v>31.932271957397461</v>
      </c>
      <c r="AE21" s="31">
        <v>0.77961713075637817</v>
      </c>
      <c r="AF21" s="32">
        <f t="shared" si="8"/>
        <v>0.86624125639597571</v>
      </c>
      <c r="AG21" s="31">
        <v>35.979465484619141</v>
      </c>
      <c r="AH21" s="31">
        <v>1.6515406370162964</v>
      </c>
      <c r="AI21" s="31">
        <f t="shared" si="9"/>
        <v>0.18350451522403294</v>
      </c>
      <c r="AJ21" t="s">
        <v>66</v>
      </c>
      <c r="AL21" s="32">
        <f t="shared" si="10"/>
        <v>0</v>
      </c>
    </row>
    <row r="22" spans="1:38" ht="15.15" thickBot="1" x14ac:dyDescent="0.35">
      <c r="A22" s="33" t="s">
        <v>68</v>
      </c>
      <c r="B22" s="30">
        <v>44342</v>
      </c>
      <c r="C22" s="33">
        <v>968</v>
      </c>
      <c r="D22" s="1461" t="s">
        <v>65</v>
      </c>
      <c r="E22" s="30">
        <v>44414</v>
      </c>
      <c r="F22" s="24">
        <v>100</v>
      </c>
      <c r="G22" s="31">
        <v>16.272127151489258</v>
      </c>
      <c r="H22" s="31">
        <v>789672.8125</v>
      </c>
      <c r="I22" s="31">
        <f t="shared" si="0"/>
        <v>776690.17394612625</v>
      </c>
      <c r="J22" s="31">
        <f t="shared" si="11"/>
        <v>80236.58821757503</v>
      </c>
      <c r="K22" s="31">
        <v>19.710145950317383</v>
      </c>
      <c r="L22" s="31">
        <v>82301.6640625</v>
      </c>
      <c r="M22" s="31">
        <f t="shared" si="1"/>
        <v>69319.025508626306</v>
      </c>
      <c r="N22" s="32">
        <f t="shared" si="2"/>
        <v>71610.563541969328</v>
      </c>
      <c r="O22" s="31">
        <v>27.564682006835938</v>
      </c>
      <c r="P22" s="31">
        <v>1080.1734619140625</v>
      </c>
      <c r="Q22" s="31">
        <f t="shared" si="3"/>
        <v>111.58816755310563</v>
      </c>
      <c r="R22" s="31">
        <v>31.141513824462891</v>
      </c>
      <c r="S22" s="31">
        <v>84.622314453125</v>
      </c>
      <c r="T22" s="32">
        <f t="shared" si="4"/>
        <v>87.419746335872929</v>
      </c>
      <c r="U22" s="31">
        <v>32.355331420898438</v>
      </c>
      <c r="V22" s="31">
        <v>6.4349493980407715</v>
      </c>
      <c r="W22" s="31">
        <f t="shared" si="5"/>
        <v>0.66476749979760041</v>
      </c>
      <c r="X22" s="31">
        <v>34.744651794433594</v>
      </c>
      <c r="Y22" s="31">
        <v>1.3545020818710327</v>
      </c>
      <c r="Z22" s="32">
        <f t="shared" si="6"/>
        <v>1.3992790101973478</v>
      </c>
      <c r="AA22" s="31">
        <v>28.890764236450195</v>
      </c>
      <c r="AB22" s="31">
        <v>5.7796659469604492</v>
      </c>
      <c r="AC22" s="31">
        <f t="shared" si="7"/>
        <v>0.59707292840500503</v>
      </c>
      <c r="AD22" s="31">
        <v>30.552532196044922</v>
      </c>
      <c r="AE22" s="31">
        <v>1.9344390630722046</v>
      </c>
      <c r="AF22" s="32">
        <f t="shared" si="8"/>
        <v>1.998387461851451</v>
      </c>
      <c r="AG22" t="s">
        <v>66</v>
      </c>
      <c r="AI22" s="31">
        <f t="shared" si="9"/>
        <v>0</v>
      </c>
      <c r="AJ22" t="s">
        <v>66</v>
      </c>
      <c r="AL22" s="32">
        <f t="shared" si="10"/>
        <v>0</v>
      </c>
    </row>
    <row r="23" spans="1:38" ht="15.15" thickBot="1" x14ac:dyDescent="0.35">
      <c r="A23" s="33" t="s">
        <v>69</v>
      </c>
      <c r="B23" s="30">
        <v>44342</v>
      </c>
      <c r="C23" s="33">
        <v>855</v>
      </c>
      <c r="D23" s="1461" t="s">
        <v>65</v>
      </c>
      <c r="E23" s="30">
        <v>44414</v>
      </c>
      <c r="F23" s="24">
        <v>100</v>
      </c>
      <c r="G23" s="31">
        <v>16.860343933105469</v>
      </c>
      <c r="H23" s="31">
        <v>536325.5</v>
      </c>
      <c r="I23" s="31">
        <f t="shared" si="0"/>
        <v>523342.86144612631</v>
      </c>
      <c r="J23" s="31">
        <f t="shared" si="11"/>
        <v>61209.69139720776</v>
      </c>
      <c r="K23" s="31">
        <v>19.942461013793945</v>
      </c>
      <c r="L23" s="31">
        <v>70639.8828125</v>
      </c>
      <c r="M23" s="31">
        <f t="shared" si="1"/>
        <v>57657.244258626306</v>
      </c>
      <c r="N23" s="32">
        <f t="shared" si="2"/>
        <v>67435.373401902107</v>
      </c>
      <c r="O23" s="31">
        <v>27.971183776855469</v>
      </c>
      <c r="P23" s="31">
        <v>808.71820068359375</v>
      </c>
      <c r="Q23" s="31">
        <f t="shared" si="3"/>
        <v>94.586924056560676</v>
      </c>
      <c r="R23" s="31">
        <v>31.14605712890625</v>
      </c>
      <c r="S23" s="31">
        <v>84.349021911621094</v>
      </c>
      <c r="T23" s="32">
        <f t="shared" si="4"/>
        <v>98.653826797217647</v>
      </c>
      <c r="U23" s="31">
        <v>32.347080230712891</v>
      </c>
      <c r="V23" s="31">
        <v>6.4696717262268066</v>
      </c>
      <c r="W23" s="31">
        <f t="shared" si="5"/>
        <v>0.75668675160547449</v>
      </c>
      <c r="X23" s="31">
        <v>35.994430541992188</v>
      </c>
      <c r="Y23" s="31">
        <v>0.59949404001235962</v>
      </c>
      <c r="Z23" s="32">
        <f t="shared" si="6"/>
        <v>0.70116261989749662</v>
      </c>
      <c r="AA23" s="31">
        <v>28.560710906982422</v>
      </c>
      <c r="AB23" s="31">
        <v>7.1831393241882324</v>
      </c>
      <c r="AC23" s="31">
        <f t="shared" si="7"/>
        <v>0.84013325429102137</v>
      </c>
      <c r="AD23" s="31">
        <v>31.485540390014648</v>
      </c>
      <c r="AE23" s="31">
        <v>1.0463299751281738</v>
      </c>
      <c r="AF23" s="32">
        <f t="shared" si="8"/>
        <v>1.2237777486879227</v>
      </c>
      <c r="AG23" s="31">
        <v>35.568637847900391</v>
      </c>
      <c r="AH23" s="31">
        <v>2.131157398223877</v>
      </c>
      <c r="AI23" s="31">
        <f t="shared" si="9"/>
        <v>0.2492581752308628</v>
      </c>
      <c r="AJ23" t="s">
        <v>66</v>
      </c>
      <c r="AL23" s="32">
        <f t="shared" si="10"/>
        <v>0</v>
      </c>
    </row>
    <row r="24" spans="1:38" ht="15.15" thickBot="1" x14ac:dyDescent="0.35">
      <c r="A24" s="33" t="s">
        <v>70</v>
      </c>
      <c r="B24" s="30">
        <v>44342</v>
      </c>
      <c r="C24" s="33">
        <v>960</v>
      </c>
      <c r="D24" s="1461" t="s">
        <v>65</v>
      </c>
      <c r="E24" s="30">
        <v>44414</v>
      </c>
      <c r="F24" s="24">
        <v>100</v>
      </c>
      <c r="G24" s="31">
        <v>15.545906066894531</v>
      </c>
      <c r="H24" s="31">
        <v>1273167.625</v>
      </c>
      <c r="I24" s="31">
        <f t="shared" si="0"/>
        <v>1260184.9864461264</v>
      </c>
      <c r="J24" s="31">
        <f t="shared" si="11"/>
        <v>131269.26942147149</v>
      </c>
      <c r="K24" s="31">
        <v>18.243335723876953</v>
      </c>
      <c r="L24" s="31">
        <v>215968.0625</v>
      </c>
      <c r="M24" s="31">
        <f t="shared" si="1"/>
        <v>202985.42394612631</v>
      </c>
      <c r="N24" s="32">
        <f t="shared" si="2"/>
        <v>211443.14994388158</v>
      </c>
      <c r="O24" s="31">
        <v>29.57066535949707</v>
      </c>
      <c r="P24" s="31">
        <v>258.948974609375</v>
      </c>
      <c r="Q24" s="31">
        <f t="shared" si="3"/>
        <v>26.973851521809895</v>
      </c>
      <c r="R24" s="31">
        <v>32.768085479736328</v>
      </c>
      <c r="S24" s="31">
        <v>26.578178405761719</v>
      </c>
      <c r="T24" s="32">
        <f t="shared" si="4"/>
        <v>27.685602506001789</v>
      </c>
      <c r="U24" s="31">
        <v>31.372381210327148</v>
      </c>
      <c r="V24" s="31">
        <v>12.216922760009766</v>
      </c>
      <c r="W24" s="31">
        <f t="shared" si="5"/>
        <v>1.2725961208343506</v>
      </c>
      <c r="X24" s="31">
        <v>34.413257598876953</v>
      </c>
      <c r="Y24" s="31">
        <v>1.6813021898269653</v>
      </c>
      <c r="Z24" s="32">
        <f t="shared" si="6"/>
        <v>1.7513564477364223</v>
      </c>
      <c r="AA24" s="31">
        <v>19.918720245361328</v>
      </c>
      <c r="AB24" s="31">
        <v>2129.856201171875</v>
      </c>
      <c r="AC24" s="31">
        <f t="shared" si="7"/>
        <v>221.86002095540366</v>
      </c>
      <c r="AD24" s="31">
        <v>22.990161895751953</v>
      </c>
      <c r="AE24" s="31">
        <v>281.68667602539063</v>
      </c>
      <c r="AF24" s="32">
        <f t="shared" si="8"/>
        <v>293.42362085978192</v>
      </c>
      <c r="AG24" s="31">
        <v>26.427623748779297</v>
      </c>
      <c r="AH24" s="31">
        <v>619.87127685546875</v>
      </c>
      <c r="AI24" s="31">
        <f t="shared" si="9"/>
        <v>64.569924672444657</v>
      </c>
      <c r="AJ24" s="31">
        <v>29.804416656494141</v>
      </c>
      <c r="AK24" s="31">
        <v>76.240951538085938</v>
      </c>
      <c r="AL24" s="32">
        <f t="shared" si="10"/>
        <v>79.417657852172852</v>
      </c>
    </row>
    <row r="25" spans="1:38" ht="15.15" thickBot="1" x14ac:dyDescent="0.35">
      <c r="A25" s="33" t="s">
        <v>71</v>
      </c>
      <c r="B25" s="30">
        <v>44342</v>
      </c>
      <c r="C25" s="33">
        <v>900</v>
      </c>
      <c r="D25" s="1461" t="s">
        <v>65</v>
      </c>
      <c r="E25" s="30">
        <v>44414</v>
      </c>
      <c r="F25" s="24">
        <v>100</v>
      </c>
      <c r="G25" s="31">
        <v>14.525671005249023</v>
      </c>
      <c r="H25" s="31">
        <v>2490613.75</v>
      </c>
      <c r="I25" s="31">
        <f t="shared" si="0"/>
        <v>2477631.1114461264</v>
      </c>
      <c r="J25" s="31">
        <f t="shared" si="11"/>
        <v>275292.34571623628</v>
      </c>
      <c r="K25" s="31">
        <v>20.286899566650391</v>
      </c>
      <c r="L25" s="31">
        <v>56320.20703125</v>
      </c>
      <c r="M25" s="31">
        <f t="shared" si="1"/>
        <v>43337.568477376306</v>
      </c>
      <c r="N25" s="32">
        <f t="shared" si="2"/>
        <v>48152.85386375145</v>
      </c>
      <c r="O25" s="31">
        <v>26.077491760253906</v>
      </c>
      <c r="P25" s="31">
        <v>3114.2568359375</v>
      </c>
      <c r="Q25" s="31">
        <f t="shared" si="3"/>
        <v>346.02853732638891</v>
      </c>
      <c r="R25" s="31">
        <v>31.952810287475586</v>
      </c>
      <c r="S25" s="31">
        <v>47.491970062255859</v>
      </c>
      <c r="T25" s="32">
        <f t="shared" si="4"/>
        <v>52.768855624728729</v>
      </c>
      <c r="U25" s="31">
        <v>28.792251586914063</v>
      </c>
      <c r="V25" s="31">
        <v>65.731452941894531</v>
      </c>
      <c r="W25" s="31">
        <f t="shared" si="5"/>
        <v>7.3034947713216143</v>
      </c>
      <c r="X25" s="31">
        <v>34.541511535644531</v>
      </c>
      <c r="Y25" s="31">
        <v>1.5463875532150269</v>
      </c>
      <c r="Z25" s="32">
        <f t="shared" si="6"/>
        <v>1.7182083924611409</v>
      </c>
      <c r="AA25" s="31">
        <v>21.106685638427734</v>
      </c>
      <c r="AB25" s="31">
        <v>973.9429931640625</v>
      </c>
      <c r="AC25" s="31">
        <f t="shared" si="7"/>
        <v>108.21588812934027</v>
      </c>
      <c r="AD25" s="31">
        <v>27.277856826782227</v>
      </c>
      <c r="AE25" s="31">
        <v>16.72144889831543</v>
      </c>
      <c r="AF25" s="32">
        <f t="shared" si="8"/>
        <v>18.579387664794922</v>
      </c>
      <c r="AG25" s="31">
        <v>26.166452407836914</v>
      </c>
      <c r="AH25" s="31">
        <v>728.9410400390625</v>
      </c>
      <c r="AI25" s="31">
        <f t="shared" si="9"/>
        <v>80.993448893229171</v>
      </c>
      <c r="AJ25" s="31">
        <v>32.478065490722656</v>
      </c>
      <c r="AK25" s="31">
        <v>14.507297515869141</v>
      </c>
      <c r="AL25" s="32">
        <f t="shared" si="10"/>
        <v>16.119219462076824</v>
      </c>
    </row>
    <row r="26" spans="1:38" ht="15.15" thickBot="1" x14ac:dyDescent="0.35">
      <c r="A26" s="33" t="s">
        <v>72</v>
      </c>
      <c r="B26" s="30">
        <v>44342</v>
      </c>
      <c r="C26" s="33">
        <v>920</v>
      </c>
      <c r="D26" s="1461" t="s">
        <v>65</v>
      </c>
      <c r="E26" s="30">
        <v>44414</v>
      </c>
      <c r="F26" s="24">
        <v>100</v>
      </c>
      <c r="G26" s="31">
        <v>17.25306510925293</v>
      </c>
      <c r="H26" s="31">
        <v>414239.25</v>
      </c>
      <c r="I26" s="31">
        <f t="shared" si="0"/>
        <v>401256.61144612631</v>
      </c>
      <c r="J26" s="31">
        <f t="shared" si="11"/>
        <v>43614.849070231125</v>
      </c>
      <c r="K26" s="31">
        <v>20.232528686523438</v>
      </c>
      <c r="L26" s="31">
        <v>58370.68359375</v>
      </c>
      <c r="M26" s="31">
        <f t="shared" si="1"/>
        <v>45388.045039876306</v>
      </c>
      <c r="N26" s="32">
        <f t="shared" si="2"/>
        <v>49334.831565082939</v>
      </c>
      <c r="O26" s="31">
        <v>28.893238067626953</v>
      </c>
      <c r="P26" s="31">
        <v>419.4542236328125</v>
      </c>
      <c r="Q26" s="31">
        <f t="shared" si="3"/>
        <v>45.592850394870922</v>
      </c>
      <c r="R26" s="31">
        <v>31.905580520629883</v>
      </c>
      <c r="S26" s="31">
        <v>49.11614990234375</v>
      </c>
      <c r="T26" s="32">
        <f t="shared" si="4"/>
        <v>53.387119459069297</v>
      </c>
      <c r="U26" s="31">
        <v>26.860437393188477</v>
      </c>
      <c r="V26" s="31">
        <v>231.71379089355469</v>
      </c>
      <c r="W26" s="31">
        <f t="shared" si="5"/>
        <v>25.186281618864641</v>
      </c>
      <c r="X26" s="31">
        <v>30.463125228881836</v>
      </c>
      <c r="Y26" s="31">
        <v>22.105735778808594</v>
      </c>
      <c r="Z26" s="32">
        <f t="shared" si="6"/>
        <v>24.027973672618035</v>
      </c>
      <c r="AA26" s="31">
        <v>28.940828323364258</v>
      </c>
      <c r="AB26" s="31">
        <v>5.5921902656555176</v>
      </c>
      <c r="AC26" s="31">
        <f t="shared" si="7"/>
        <v>0.60784676800603454</v>
      </c>
      <c r="AD26" t="s">
        <v>66</v>
      </c>
      <c r="AF26" s="32">
        <f t="shared" si="8"/>
        <v>0</v>
      </c>
      <c r="AG26" s="31">
        <v>32.828067779541016</v>
      </c>
      <c r="AH26" s="31">
        <v>11.674920082092285</v>
      </c>
      <c r="AI26" s="31">
        <f t="shared" si="9"/>
        <v>1.2690130524013354</v>
      </c>
      <c r="AJ26" t="s">
        <v>66</v>
      </c>
      <c r="AL26" s="32">
        <f t="shared" si="10"/>
        <v>0</v>
      </c>
    </row>
    <row r="27" spans="1:38" ht="15.15" thickBot="1" x14ac:dyDescent="0.35">
      <c r="A27" s="33" t="s">
        <v>73</v>
      </c>
      <c r="B27" s="30">
        <v>44342</v>
      </c>
      <c r="C27" s="33">
        <v>900</v>
      </c>
      <c r="D27" s="1461" t="s">
        <v>65</v>
      </c>
      <c r="E27" s="30">
        <v>44414</v>
      </c>
      <c r="F27" s="24">
        <v>100</v>
      </c>
      <c r="G27" s="31">
        <v>17.541952133178711</v>
      </c>
      <c r="H27" s="31">
        <v>342557.375</v>
      </c>
      <c r="I27" s="31">
        <f t="shared" si="0"/>
        <v>329574.73644612631</v>
      </c>
      <c r="J27" s="31">
        <f t="shared" si="11"/>
        <v>36619.415160680699</v>
      </c>
      <c r="K27" s="31">
        <v>20.158218383789063</v>
      </c>
      <c r="L27" s="31">
        <v>61294.40625</v>
      </c>
      <c r="M27" s="31">
        <f t="shared" si="1"/>
        <v>48311.767696126306</v>
      </c>
      <c r="N27" s="32">
        <f t="shared" si="2"/>
        <v>53679.741884584786</v>
      </c>
      <c r="O27" s="31">
        <v>28.546468734741211</v>
      </c>
      <c r="P27" s="31">
        <v>536.92138671875</v>
      </c>
      <c r="Q27" s="31">
        <f t="shared" si="3"/>
        <v>59.657931857638886</v>
      </c>
      <c r="R27" s="31">
        <v>32.184478759765625</v>
      </c>
      <c r="S27" s="31">
        <v>40.270305633544922</v>
      </c>
      <c r="T27" s="32">
        <f t="shared" si="4"/>
        <v>44.744784037272133</v>
      </c>
      <c r="U27" s="31">
        <v>29.686433792114258</v>
      </c>
      <c r="V27" s="31">
        <v>36.685943603515625</v>
      </c>
      <c r="W27" s="31">
        <f t="shared" si="5"/>
        <v>4.0762159559461804</v>
      </c>
      <c r="X27" s="31">
        <v>32.440769195556641</v>
      </c>
      <c r="Y27" s="31">
        <v>6.0861859321594238</v>
      </c>
      <c r="Z27" s="32">
        <f t="shared" si="6"/>
        <v>6.7624288135104713</v>
      </c>
      <c r="AA27" s="31">
        <v>29.834819793701172</v>
      </c>
      <c r="AB27" s="31">
        <v>3.103532075881958</v>
      </c>
      <c r="AC27" s="31">
        <f t="shared" si="7"/>
        <v>0.34483689732021755</v>
      </c>
      <c r="AD27" s="31">
        <v>30.742263793945313</v>
      </c>
      <c r="AE27" s="31">
        <v>1.7071923017501831</v>
      </c>
      <c r="AF27" s="32">
        <f t="shared" si="8"/>
        <v>1.8968803352779813</v>
      </c>
      <c r="AG27" s="31">
        <v>37.655689239501953</v>
      </c>
      <c r="AH27" s="31">
        <v>0.58359754085540771</v>
      </c>
      <c r="AI27" s="31">
        <f t="shared" si="9"/>
        <v>6.4844171206156417E-2</v>
      </c>
      <c r="AJ27" t="s">
        <v>66</v>
      </c>
      <c r="AL27" s="32">
        <f t="shared" si="10"/>
        <v>0</v>
      </c>
    </row>
    <row r="28" spans="1:38" ht="15.15" thickBot="1" x14ac:dyDescent="0.35">
      <c r="A28" s="33" t="s">
        <v>74</v>
      </c>
      <c r="B28" s="30">
        <v>44342</v>
      </c>
      <c r="C28" s="33">
        <v>980</v>
      </c>
      <c r="D28" s="1461" t="s">
        <v>65</v>
      </c>
      <c r="E28" s="30">
        <v>44414</v>
      </c>
      <c r="F28" s="24">
        <v>100</v>
      </c>
      <c r="G28" s="31">
        <v>18.673473358154297</v>
      </c>
      <c r="H28" s="31">
        <v>162751.375</v>
      </c>
      <c r="I28" s="31">
        <f t="shared" si="0"/>
        <v>149768.73644612631</v>
      </c>
      <c r="J28" s="31">
        <f t="shared" si="11"/>
        <v>15282.524127155746</v>
      </c>
      <c r="K28" s="31">
        <v>21.591501235961914</v>
      </c>
      <c r="L28" s="31">
        <v>23879.033203125</v>
      </c>
      <c r="M28" s="31">
        <f t="shared" si="1"/>
        <v>10896.394649251302</v>
      </c>
      <c r="N28" s="32">
        <f t="shared" si="2"/>
        <v>11118.770050256431</v>
      </c>
      <c r="O28" s="31">
        <v>29.833858489990234</v>
      </c>
      <c r="P28" s="31">
        <v>214.69949340820313</v>
      </c>
      <c r="Q28" s="31">
        <f t="shared" si="3"/>
        <v>21.908111572265625</v>
      </c>
      <c r="R28" s="31">
        <v>33.416912078857422</v>
      </c>
      <c r="S28" s="31">
        <v>16.745515823364258</v>
      </c>
      <c r="T28" s="32">
        <f t="shared" si="4"/>
        <v>17.087261044249242</v>
      </c>
      <c r="U28" s="31">
        <v>33.242584228515625</v>
      </c>
      <c r="V28" s="31">
        <v>3.6077325344085693</v>
      </c>
      <c r="W28" s="31">
        <f t="shared" si="5"/>
        <v>0.3681359728988336</v>
      </c>
      <c r="X28" s="31">
        <v>37.086246490478516</v>
      </c>
      <c r="Y28" s="31">
        <v>0.29412528872489929</v>
      </c>
      <c r="Z28" s="32">
        <f t="shared" si="6"/>
        <v>0.30012784563765232</v>
      </c>
      <c r="AA28" s="31">
        <v>24.757678985595703</v>
      </c>
      <c r="AB28" s="31">
        <v>87.936500549316406</v>
      </c>
      <c r="AC28" s="31">
        <f t="shared" si="7"/>
        <v>8.9731123009506533</v>
      </c>
      <c r="AD28" s="31">
        <v>27.055116653442383</v>
      </c>
      <c r="AE28" s="31">
        <v>19.363710403442383</v>
      </c>
      <c r="AF28" s="32">
        <f t="shared" si="8"/>
        <v>19.758888166777943</v>
      </c>
      <c r="AG28" s="31">
        <v>35.221958160400391</v>
      </c>
      <c r="AH28" s="31">
        <v>2.6427290439605713</v>
      </c>
      <c r="AI28" s="31">
        <f t="shared" si="9"/>
        <v>0.26966622897556852</v>
      </c>
      <c r="AJ28" s="31">
        <v>38.353443145751953</v>
      </c>
      <c r="AK28" s="31">
        <v>0.37849035859107971</v>
      </c>
      <c r="AL28" s="32">
        <f t="shared" si="10"/>
        <v>0.38621465162355073</v>
      </c>
    </row>
    <row r="29" spans="1:38" ht="15.15" thickBot="1" x14ac:dyDescent="0.35">
      <c r="A29" s="33" t="s">
        <v>75</v>
      </c>
      <c r="B29" s="30">
        <v>44342</v>
      </c>
      <c r="C29" s="33">
        <v>890</v>
      </c>
      <c r="D29" s="1461" t="s">
        <v>65</v>
      </c>
      <c r="E29" s="30">
        <v>44414</v>
      </c>
      <c r="F29" s="24">
        <v>100</v>
      </c>
      <c r="G29" s="31">
        <v>19.281597137451172</v>
      </c>
      <c r="H29" s="31">
        <v>109098.71875</v>
      </c>
      <c r="I29" s="31">
        <f t="shared" si="0"/>
        <v>96116.080196126306</v>
      </c>
      <c r="J29" s="31">
        <f t="shared" si="11"/>
        <v>10799.559572598462</v>
      </c>
      <c r="K29" s="31">
        <v>22.024570465087891</v>
      </c>
      <c r="L29" s="31">
        <v>17960.3359375</v>
      </c>
      <c r="M29" s="31">
        <f t="shared" si="1"/>
        <v>4977.6973836263023</v>
      </c>
      <c r="N29" s="32">
        <f t="shared" si="2"/>
        <v>5592.9184085688794</v>
      </c>
      <c r="O29" s="31">
        <v>29.858894348144531</v>
      </c>
      <c r="P29" s="31">
        <v>210.90631103515625</v>
      </c>
      <c r="Q29" s="31">
        <f t="shared" si="3"/>
        <v>23.697338318556881</v>
      </c>
      <c r="R29" s="31">
        <v>32.933940887451172</v>
      </c>
      <c r="S29" s="31">
        <v>23.61784553527832</v>
      </c>
      <c r="T29" s="32">
        <f t="shared" si="4"/>
        <v>26.536905095818337</v>
      </c>
      <c r="U29" s="31">
        <v>33.954299926757813</v>
      </c>
      <c r="V29" s="31">
        <v>2.2680034637451172</v>
      </c>
      <c r="W29" s="31">
        <f t="shared" si="5"/>
        <v>0.25483184985900192</v>
      </c>
      <c r="X29" s="31">
        <v>37.844036102294922</v>
      </c>
      <c r="Y29" s="31">
        <v>0.17942853271961212</v>
      </c>
      <c r="Z29" s="32">
        <f t="shared" si="6"/>
        <v>0.20160509294338441</v>
      </c>
      <c r="AA29" s="31">
        <v>29.390039443969727</v>
      </c>
      <c r="AB29" s="31">
        <v>4.1599235534667969</v>
      </c>
      <c r="AC29" s="31">
        <f t="shared" si="7"/>
        <v>0.46740714083896595</v>
      </c>
      <c r="AD29" t="s">
        <v>66</v>
      </c>
      <c r="AF29" s="32">
        <f t="shared" si="8"/>
        <v>0</v>
      </c>
      <c r="AG29" s="31">
        <v>35.636566162109375</v>
      </c>
      <c r="AH29" s="31">
        <v>2.0431840419769287</v>
      </c>
      <c r="AI29" s="31">
        <f t="shared" si="9"/>
        <v>0.22957124067156504</v>
      </c>
      <c r="AJ29" s="31">
        <v>39.878173828125</v>
      </c>
      <c r="AK29" s="31">
        <v>0.14692965149879456</v>
      </c>
      <c r="AL29" s="32">
        <f t="shared" si="10"/>
        <v>0.1650894960660613</v>
      </c>
    </row>
    <row r="30" spans="1:38" ht="15.15" thickBot="1" x14ac:dyDescent="0.35">
      <c r="A30" s="33" t="s">
        <v>76</v>
      </c>
      <c r="B30" s="30">
        <v>44342</v>
      </c>
      <c r="C30" s="33">
        <v>1000</v>
      </c>
      <c r="D30" s="1461" t="s">
        <v>65</v>
      </c>
      <c r="E30" s="30">
        <v>44414</v>
      </c>
      <c r="F30" s="24">
        <v>100</v>
      </c>
      <c r="G30" s="31">
        <v>13.40313720703125</v>
      </c>
      <c r="H30" s="31">
        <v>5211321.5</v>
      </c>
      <c r="I30" s="31">
        <f t="shared" si="0"/>
        <v>5198338.8614461264</v>
      </c>
      <c r="J30" s="31">
        <f t="shared" si="11"/>
        <v>519833.88614461262</v>
      </c>
      <c r="K30" s="31">
        <v>15.466180801391602</v>
      </c>
      <c r="L30" s="31">
        <v>1341709.125</v>
      </c>
      <c r="M30" s="31">
        <f t="shared" si="1"/>
        <v>1328726.4864461264</v>
      </c>
      <c r="N30" s="32">
        <f t="shared" si="2"/>
        <v>1328726.4864461264</v>
      </c>
      <c r="O30" s="31">
        <v>27.716707229614258</v>
      </c>
      <c r="P30" s="31">
        <v>969.3599853515625</v>
      </c>
      <c r="Q30" s="31">
        <f t="shared" si="3"/>
        <v>96.935998535156244</v>
      </c>
      <c r="R30" s="31">
        <v>30.546394348144531</v>
      </c>
      <c r="S30" s="31">
        <v>129.27201843261719</v>
      </c>
      <c r="T30" s="32">
        <f t="shared" si="4"/>
        <v>129.27201843261719</v>
      </c>
      <c r="U30" s="31">
        <v>25.770021438598633</v>
      </c>
      <c r="V30" s="31">
        <v>471.85421752929688</v>
      </c>
      <c r="W30" s="31">
        <f t="shared" si="5"/>
        <v>47.185421752929685</v>
      </c>
      <c r="X30" s="31">
        <v>28.489137649536133</v>
      </c>
      <c r="Y30" s="31">
        <v>80.099357604980469</v>
      </c>
      <c r="Z30" s="32">
        <f t="shared" si="6"/>
        <v>80.099357604980469</v>
      </c>
      <c r="AA30" s="31">
        <v>29.535678863525391</v>
      </c>
      <c r="AB30" s="31">
        <v>3.779421329498291</v>
      </c>
      <c r="AC30" s="31">
        <f t="shared" si="7"/>
        <v>0.37794213294982909</v>
      </c>
      <c r="AD30" t="s">
        <v>66</v>
      </c>
      <c r="AF30" s="32">
        <f t="shared" si="8"/>
        <v>0</v>
      </c>
      <c r="AG30" s="31">
        <v>23.499765396118164</v>
      </c>
      <c r="AH30" s="31">
        <v>3814.326171875</v>
      </c>
      <c r="AI30" s="31">
        <f t="shared" si="9"/>
        <v>381.4326171875</v>
      </c>
      <c r="AJ30" s="31">
        <v>26.966920852661133</v>
      </c>
      <c r="AK30" s="31">
        <v>443.5577392578125</v>
      </c>
      <c r="AL30" s="32">
        <f t="shared" si="10"/>
        <v>443.5577392578125</v>
      </c>
    </row>
    <row r="31" spans="1:38" ht="15.15" thickBot="1" x14ac:dyDescent="0.35">
      <c r="A31" s="33" t="s">
        <v>77</v>
      </c>
      <c r="B31" s="30">
        <v>44342</v>
      </c>
      <c r="C31" s="33">
        <v>900</v>
      </c>
      <c r="D31" s="1461" t="s">
        <v>65</v>
      </c>
      <c r="E31" s="30">
        <v>44414</v>
      </c>
      <c r="F31" s="24">
        <v>100</v>
      </c>
      <c r="G31" s="31">
        <v>19.547101974487305</v>
      </c>
      <c r="H31" s="31">
        <v>91617.96875</v>
      </c>
      <c r="I31" s="31">
        <f t="shared" si="0"/>
        <v>78635.330196126306</v>
      </c>
      <c r="J31" s="31">
        <f t="shared" si="11"/>
        <v>8737.2589106807009</v>
      </c>
      <c r="K31" s="31">
        <v>21.613002777099609</v>
      </c>
      <c r="L31" s="31">
        <v>23543.716796875</v>
      </c>
      <c r="M31" s="31">
        <f t="shared" si="1"/>
        <v>10561.078243001302</v>
      </c>
      <c r="N31" s="32">
        <f t="shared" si="2"/>
        <v>11734.531381112558</v>
      </c>
      <c r="O31" s="31">
        <v>29.043899536132813</v>
      </c>
      <c r="P31" s="31">
        <v>376.7886962890625</v>
      </c>
      <c r="Q31" s="31">
        <f t="shared" si="3"/>
        <v>41.865410698784721</v>
      </c>
      <c r="R31" s="31">
        <v>31.921512603759766</v>
      </c>
      <c r="S31" s="31">
        <v>48.562149047851563</v>
      </c>
      <c r="T31" s="32">
        <f t="shared" si="4"/>
        <v>53.957943386501739</v>
      </c>
      <c r="U31" s="31">
        <v>28.574798583984375</v>
      </c>
      <c r="V31" s="31">
        <v>75.747085571289063</v>
      </c>
      <c r="W31" s="31">
        <f t="shared" si="5"/>
        <v>8.4163428412543411</v>
      </c>
      <c r="X31" s="31">
        <v>31.740114212036133</v>
      </c>
      <c r="Y31" s="31">
        <v>9.611760139465332</v>
      </c>
      <c r="Z31" s="32">
        <f t="shared" si="6"/>
        <v>10.679733488294813</v>
      </c>
      <c r="AA31" s="31">
        <v>29.193613052368164</v>
      </c>
      <c r="AB31" s="31">
        <v>4.7344880104064941</v>
      </c>
      <c r="AC31" s="31">
        <f t="shared" si="7"/>
        <v>0.52605422337849939</v>
      </c>
      <c r="AD31" s="31">
        <v>31.795022964477539</v>
      </c>
      <c r="AE31" s="31">
        <v>0.8533778190612793</v>
      </c>
      <c r="AF31" s="32">
        <f t="shared" si="8"/>
        <v>0.9481975767347548</v>
      </c>
      <c r="AG31" s="31">
        <v>26.163885116577148</v>
      </c>
      <c r="AH31" s="31">
        <v>730.10333251953125</v>
      </c>
      <c r="AI31" s="31">
        <f t="shared" si="9"/>
        <v>81.122592502170136</v>
      </c>
      <c r="AJ31" s="31">
        <v>30.192428588867188</v>
      </c>
      <c r="AK31" s="31">
        <v>59.925457000732422</v>
      </c>
      <c r="AL31" s="32">
        <f t="shared" si="10"/>
        <v>66.583841111924912</v>
      </c>
    </row>
    <row r="32" spans="1:38" ht="15.15" thickBot="1" x14ac:dyDescent="0.35">
      <c r="A32" s="33" t="s">
        <v>78</v>
      </c>
      <c r="B32" s="30">
        <v>44342</v>
      </c>
      <c r="C32" s="33">
        <v>938</v>
      </c>
      <c r="D32" s="1461" t="s">
        <v>65</v>
      </c>
      <c r="E32" s="30">
        <v>44414</v>
      </c>
      <c r="F32" s="24">
        <v>100</v>
      </c>
      <c r="G32" s="31">
        <v>15.33519458770752</v>
      </c>
      <c r="H32" s="31">
        <v>1462424.25</v>
      </c>
      <c r="I32" s="31">
        <f t="shared" si="0"/>
        <v>1449441.6114461264</v>
      </c>
      <c r="J32" s="31">
        <f t="shared" si="11"/>
        <v>154524.69205182584</v>
      </c>
      <c r="K32" s="31">
        <v>18.14677619934082</v>
      </c>
      <c r="L32" s="31">
        <v>230128.75</v>
      </c>
      <c r="M32" s="31">
        <f t="shared" si="1"/>
        <v>217146.11144612631</v>
      </c>
      <c r="N32" s="32">
        <f t="shared" si="2"/>
        <v>231499.05271442037</v>
      </c>
      <c r="O32" s="31">
        <v>28.489921569824219</v>
      </c>
      <c r="P32" s="31">
        <v>558.97955322265625</v>
      </c>
      <c r="Q32" s="31">
        <f t="shared" si="3"/>
        <v>59.592702902202156</v>
      </c>
      <c r="R32" s="31">
        <v>31.900190353393555</v>
      </c>
      <c r="S32" s="31">
        <v>49.305007934570313</v>
      </c>
      <c r="T32" s="32">
        <f t="shared" si="4"/>
        <v>52.563974343891594</v>
      </c>
      <c r="U32" s="31">
        <v>25.413457870483398</v>
      </c>
      <c r="V32" s="31">
        <v>595.39208984375</v>
      </c>
      <c r="W32" s="31">
        <f t="shared" si="5"/>
        <v>63.474636443896586</v>
      </c>
      <c r="X32" s="31">
        <v>28.820205688476563</v>
      </c>
      <c r="Y32" s="31">
        <v>64.543922424316406</v>
      </c>
      <c r="Z32" s="32">
        <f t="shared" si="6"/>
        <v>68.810151838290409</v>
      </c>
      <c r="AA32" s="31">
        <v>29.142656326293945</v>
      </c>
      <c r="AB32" s="31">
        <v>4.8960871696472168</v>
      </c>
      <c r="AC32" s="31">
        <f t="shared" si="7"/>
        <v>0.52197091360844527</v>
      </c>
      <c r="AD32" s="31">
        <v>30.586751937866211</v>
      </c>
      <c r="AE32" s="31">
        <v>1.8913265466690063</v>
      </c>
      <c r="AF32" s="32">
        <f t="shared" si="8"/>
        <v>2.0163396019925441</v>
      </c>
      <c r="AG32" s="31">
        <v>21.241935729980469</v>
      </c>
      <c r="AH32" s="31">
        <v>15486.3134765625</v>
      </c>
      <c r="AI32" s="31">
        <f t="shared" si="9"/>
        <v>1650.9929079490937</v>
      </c>
      <c r="AJ32" s="31">
        <v>24.444784164428711</v>
      </c>
      <c r="AK32" s="31">
        <v>2121.8583984375</v>
      </c>
      <c r="AL32" s="32">
        <f t="shared" si="10"/>
        <v>2262.1091667777187</v>
      </c>
    </row>
    <row r="33" spans="1:38" ht="15.15" thickBot="1" x14ac:dyDescent="0.35">
      <c r="A33" s="33" t="s">
        <v>79</v>
      </c>
      <c r="B33" s="30">
        <v>44342</v>
      </c>
      <c r="C33" s="33">
        <v>1000</v>
      </c>
      <c r="D33" s="1461" t="s">
        <v>65</v>
      </c>
      <c r="E33" s="30">
        <v>44414</v>
      </c>
      <c r="F33" s="24">
        <v>100</v>
      </c>
      <c r="G33" s="31">
        <v>19.971630096435547</v>
      </c>
      <c r="H33" s="31">
        <v>69297.578125</v>
      </c>
      <c r="I33" s="31">
        <f t="shared" si="0"/>
        <v>56314.939571126306</v>
      </c>
      <c r="J33" s="31">
        <f t="shared" si="11"/>
        <v>5631.4939571126306</v>
      </c>
      <c r="K33" s="31">
        <v>23.945396423339844</v>
      </c>
      <c r="L33" s="31">
        <v>5077.47900390625</v>
      </c>
      <c r="M33" s="31">
        <f t="shared" si="1"/>
        <v>-7905.1595499674477</v>
      </c>
      <c r="N33" s="32">
        <f t="shared" si="2"/>
        <v>-7905.1595499674477</v>
      </c>
      <c r="O33" s="31">
        <v>30.173599243164063</v>
      </c>
      <c r="P33" s="31">
        <v>168.56919860839844</v>
      </c>
      <c r="Q33" s="31">
        <f t="shared" si="3"/>
        <v>16.856919860839845</v>
      </c>
      <c r="R33" s="31">
        <v>33.907756805419922</v>
      </c>
      <c r="S33" s="31">
        <v>11.806528091430664</v>
      </c>
      <c r="T33" s="32">
        <f t="shared" si="4"/>
        <v>11.806528091430664</v>
      </c>
      <c r="U33" s="31">
        <v>27.822170257568359</v>
      </c>
      <c r="V33" s="31">
        <v>123.74990844726563</v>
      </c>
      <c r="W33" s="31">
        <f t="shared" si="5"/>
        <v>12.374990844726563</v>
      </c>
      <c r="X33" s="31">
        <v>32.917861938476563</v>
      </c>
      <c r="Y33" s="31">
        <v>4.4587240219116211</v>
      </c>
      <c r="Z33" s="32">
        <f t="shared" si="6"/>
        <v>4.4587240219116211</v>
      </c>
      <c r="AA33" t="s">
        <v>66</v>
      </c>
      <c r="AC33" s="31">
        <f t="shared" si="7"/>
        <v>0</v>
      </c>
      <c r="AD33" t="s">
        <v>66</v>
      </c>
      <c r="AF33" s="32">
        <f t="shared" si="8"/>
        <v>0</v>
      </c>
      <c r="AG33" s="31">
        <v>25.749725341796875</v>
      </c>
      <c r="AH33" s="31">
        <v>944.0797119140625</v>
      </c>
      <c r="AI33" s="31">
        <f t="shared" si="9"/>
        <v>94.407971191406247</v>
      </c>
      <c r="AJ33" s="31">
        <v>32.4718017578125</v>
      </c>
      <c r="AK33" s="31">
        <v>14.563800811767578</v>
      </c>
      <c r="AL33" s="32">
        <f t="shared" si="10"/>
        <v>14.563800811767578</v>
      </c>
    </row>
    <row r="34" spans="1:38" ht="15.15" thickBot="1" x14ac:dyDescent="0.35">
      <c r="A34" s="33" t="s">
        <v>80</v>
      </c>
      <c r="B34" s="30">
        <v>44342</v>
      </c>
      <c r="C34" s="33">
        <v>962</v>
      </c>
      <c r="D34" s="1461" t="s">
        <v>65</v>
      </c>
      <c r="E34" s="30">
        <v>44414</v>
      </c>
      <c r="F34" s="24">
        <v>100</v>
      </c>
      <c r="G34" s="31">
        <v>18.226961135864258</v>
      </c>
      <c r="H34" s="31">
        <v>218306.546875</v>
      </c>
      <c r="I34" s="31">
        <f t="shared" si="0"/>
        <v>205323.90832112631</v>
      </c>
      <c r="J34" s="31">
        <f t="shared" si="11"/>
        <v>21343.441613422692</v>
      </c>
      <c r="K34" s="31">
        <v>22.274192810058594</v>
      </c>
      <c r="L34" s="31">
        <v>15240.953125</v>
      </c>
      <c r="M34" s="31">
        <f t="shared" si="1"/>
        <v>2258.3145711263023</v>
      </c>
      <c r="N34" s="32">
        <f t="shared" si="2"/>
        <v>2347.5203442061352</v>
      </c>
      <c r="O34" s="31">
        <v>28.851860046386719</v>
      </c>
      <c r="P34" s="31">
        <v>431.99554443359375</v>
      </c>
      <c r="Q34" s="31">
        <f t="shared" si="3"/>
        <v>44.905981749853822</v>
      </c>
      <c r="R34" s="31">
        <v>32.204208374023438</v>
      </c>
      <c r="S34" s="31">
        <v>39.708568572998047</v>
      </c>
      <c r="T34" s="32">
        <f t="shared" si="4"/>
        <v>41.277098308729776</v>
      </c>
      <c r="U34" s="31">
        <v>32.000679016113281</v>
      </c>
      <c r="V34" s="31">
        <v>8.1095924377441406</v>
      </c>
      <c r="W34" s="31">
        <f t="shared" si="5"/>
        <v>0.84299297689648034</v>
      </c>
      <c r="X34" s="31">
        <v>35.716815948486328</v>
      </c>
      <c r="Y34" s="31">
        <v>0.71848565340042114</v>
      </c>
      <c r="Z34" s="32">
        <f t="shared" si="6"/>
        <v>0.74686658357632141</v>
      </c>
      <c r="AA34" t="s">
        <v>66</v>
      </c>
      <c r="AC34" s="31">
        <f t="shared" si="7"/>
        <v>0</v>
      </c>
      <c r="AD34" t="s">
        <v>66</v>
      </c>
      <c r="AF34" s="32">
        <f t="shared" si="8"/>
        <v>0</v>
      </c>
      <c r="AG34" t="s">
        <v>66</v>
      </c>
      <c r="AI34" s="31">
        <f t="shared" si="9"/>
        <v>0</v>
      </c>
      <c r="AJ34" t="s">
        <v>66</v>
      </c>
      <c r="AL34" s="32">
        <f t="shared" si="10"/>
        <v>0</v>
      </c>
    </row>
    <row r="35" spans="1:38" ht="15.15" thickBot="1" x14ac:dyDescent="0.35">
      <c r="A35" s="33" t="s">
        <v>81</v>
      </c>
      <c r="B35" s="30">
        <v>44342</v>
      </c>
      <c r="C35" s="33">
        <v>935</v>
      </c>
      <c r="D35" s="1461" t="s">
        <v>65</v>
      </c>
      <c r="E35" s="30">
        <v>44414</v>
      </c>
      <c r="F35" s="24">
        <v>100</v>
      </c>
      <c r="G35" s="31">
        <v>17.766716003417969</v>
      </c>
      <c r="H35" s="31">
        <v>295482.375</v>
      </c>
      <c r="I35" s="31">
        <f t="shared" si="0"/>
        <v>282499.73644612631</v>
      </c>
      <c r="J35" s="31">
        <f t="shared" si="11"/>
        <v>30213.875555735431</v>
      </c>
      <c r="K35" s="31">
        <v>20.706523895263672</v>
      </c>
      <c r="L35" s="31">
        <v>42736.83984375</v>
      </c>
      <c r="M35" s="31">
        <f t="shared" si="1"/>
        <v>29754.201289876302</v>
      </c>
      <c r="N35" s="32">
        <f t="shared" si="2"/>
        <v>31822.675176338289</v>
      </c>
      <c r="O35" s="31">
        <v>27.796417236328125</v>
      </c>
      <c r="P35" s="31">
        <v>915.8779296875</v>
      </c>
      <c r="Q35" s="31">
        <f t="shared" si="3"/>
        <v>97.954858790106954</v>
      </c>
      <c r="R35" s="31">
        <v>31.503101348876953</v>
      </c>
      <c r="S35" s="31">
        <v>65.414909362792969</v>
      </c>
      <c r="T35" s="32">
        <f t="shared" si="4"/>
        <v>69.962469906730448</v>
      </c>
      <c r="U35" s="31">
        <v>39.787403106689453</v>
      </c>
      <c r="V35" s="31">
        <v>5.0517350435256958E-2</v>
      </c>
      <c r="W35" s="31">
        <f t="shared" si="5"/>
        <v>5.4029251802413863E-3</v>
      </c>
      <c r="X35" s="31">
        <v>36.061042785644531</v>
      </c>
      <c r="Y35" s="31">
        <v>0.57400703430175781</v>
      </c>
      <c r="Z35" s="32">
        <f t="shared" si="6"/>
        <v>0.61391126663289608</v>
      </c>
      <c r="AA35" s="31">
        <v>30.497703552246094</v>
      </c>
      <c r="AB35" s="31">
        <v>2.0055742263793945</v>
      </c>
      <c r="AC35" s="31">
        <f t="shared" si="7"/>
        <v>0.21449991725982828</v>
      </c>
      <c r="AD35" t="s">
        <v>66</v>
      </c>
      <c r="AF35" s="32">
        <f t="shared" si="8"/>
        <v>0</v>
      </c>
      <c r="AG35" s="31">
        <v>34.033046722412109</v>
      </c>
      <c r="AH35" s="31">
        <v>5.5269813537597656</v>
      </c>
      <c r="AI35" s="31">
        <f t="shared" si="9"/>
        <v>0.59112100040211402</v>
      </c>
      <c r="AJ35" t="s">
        <v>66</v>
      </c>
      <c r="AL35" s="32">
        <f t="shared" si="10"/>
        <v>0</v>
      </c>
    </row>
    <row r="36" spans="1:38" ht="15.15" thickBot="1" x14ac:dyDescent="0.35">
      <c r="A36" s="33" t="s">
        <v>64</v>
      </c>
      <c r="B36" s="30">
        <v>44350</v>
      </c>
      <c r="C36" s="33">
        <v>910</v>
      </c>
      <c r="D36" s="1461" t="s">
        <v>65</v>
      </c>
      <c r="E36" s="30">
        <v>44417</v>
      </c>
      <c r="F36" s="24">
        <v>100</v>
      </c>
      <c r="G36" s="31">
        <v>18.442655563354492</v>
      </c>
      <c r="H36" s="31">
        <v>189433</v>
      </c>
      <c r="I36" s="31">
        <f t="shared" si="0"/>
        <v>176450.36144612631</v>
      </c>
      <c r="J36" s="31">
        <f t="shared" si="11"/>
        <v>19390.149609464428</v>
      </c>
      <c r="K36" s="31">
        <v>21.352970123291016</v>
      </c>
      <c r="L36" s="31">
        <v>27935.146484375</v>
      </c>
      <c r="M36" s="31">
        <f t="shared" si="1"/>
        <v>14952.507930501302</v>
      </c>
      <c r="N36" s="32">
        <f t="shared" si="2"/>
        <v>16431.327396155277</v>
      </c>
      <c r="O36" s="31">
        <v>31.267242431640625</v>
      </c>
      <c r="P36" s="31">
        <v>77.376266479492188</v>
      </c>
      <c r="Q36" s="31">
        <f t="shared" si="3"/>
        <v>8.5028864263178221</v>
      </c>
      <c r="R36" s="31">
        <v>34.605503082275391</v>
      </c>
      <c r="S36" s="31">
        <v>7.1840419769287109</v>
      </c>
      <c r="T36" s="32">
        <f t="shared" si="4"/>
        <v>7.8945516229985833</v>
      </c>
      <c r="U36" s="31">
        <v>30.839181900024414</v>
      </c>
      <c r="V36" s="31">
        <v>17.297702789306641</v>
      </c>
      <c r="W36" s="31">
        <f t="shared" si="5"/>
        <v>1.900846460363367</v>
      </c>
      <c r="X36" s="31">
        <v>33.967765808105469</v>
      </c>
      <c r="Y36" s="31">
        <v>2.2481720447540283</v>
      </c>
      <c r="Z36" s="32">
        <f t="shared" si="6"/>
        <v>2.4705187304989322</v>
      </c>
      <c r="AA36" s="31">
        <v>30.654111862182617</v>
      </c>
      <c r="AB36" s="31">
        <v>1.809248685836792</v>
      </c>
      <c r="AC36" s="31">
        <f t="shared" si="7"/>
        <v>0.19881853690514198</v>
      </c>
      <c r="AD36" t="s">
        <v>66</v>
      </c>
      <c r="AF36" s="32">
        <f t="shared" si="8"/>
        <v>0</v>
      </c>
      <c r="AG36" s="31">
        <v>33.062393188476563</v>
      </c>
      <c r="AH36" s="31">
        <v>10.094819068908691</v>
      </c>
      <c r="AI36" s="31">
        <f t="shared" si="9"/>
        <v>1.109320776803153</v>
      </c>
      <c r="AJ36" t="s">
        <v>66</v>
      </c>
      <c r="AL36" s="32">
        <f t="shared" si="10"/>
        <v>0</v>
      </c>
    </row>
    <row r="37" spans="1:38" ht="15.15" thickBot="1" x14ac:dyDescent="0.35">
      <c r="A37" s="33" t="s">
        <v>67</v>
      </c>
      <c r="B37" s="30">
        <v>44350</v>
      </c>
      <c r="C37" s="33">
        <v>900</v>
      </c>
      <c r="D37" s="1461" t="s">
        <v>65</v>
      </c>
      <c r="E37" s="30">
        <v>44417</v>
      </c>
      <c r="F37" s="24">
        <v>100</v>
      </c>
      <c r="G37" s="31">
        <v>18.78660774230957</v>
      </c>
      <c r="H37" s="31">
        <v>151080.65625</v>
      </c>
      <c r="I37" s="31">
        <f t="shared" si="0"/>
        <v>138098.01769612631</v>
      </c>
      <c r="J37" s="31">
        <f t="shared" si="11"/>
        <v>15344.224188458478</v>
      </c>
      <c r="K37" s="31">
        <v>22.358880996704102</v>
      </c>
      <c r="L37" s="31">
        <v>14415.2353515625</v>
      </c>
      <c r="M37" s="31">
        <f t="shared" si="1"/>
        <v>1432.5967976888023</v>
      </c>
      <c r="N37" s="32">
        <f t="shared" si="2"/>
        <v>1591.7742196542247</v>
      </c>
      <c r="O37" s="31">
        <v>31.362125396728516</v>
      </c>
      <c r="P37" s="31">
        <v>72.321693420410156</v>
      </c>
      <c r="Q37" s="31">
        <f t="shared" si="3"/>
        <v>8.0357437133789063</v>
      </c>
      <c r="R37" s="31">
        <v>35.483421325683594</v>
      </c>
      <c r="S37" s="31">
        <v>3.8450653553009033</v>
      </c>
      <c r="T37" s="32">
        <f t="shared" si="4"/>
        <v>4.2722948392232256</v>
      </c>
      <c r="U37" s="31">
        <v>31.117818832397461</v>
      </c>
      <c r="V37" s="31">
        <v>14.423332214355469</v>
      </c>
      <c r="W37" s="31">
        <f t="shared" si="5"/>
        <v>1.6025924682617188</v>
      </c>
      <c r="X37" s="31">
        <v>34.928256988525391</v>
      </c>
      <c r="Y37" s="31">
        <v>1.2016396522521973</v>
      </c>
      <c r="Z37" s="32">
        <f t="shared" si="6"/>
        <v>1.3351551691691081</v>
      </c>
      <c r="AA37" s="31">
        <v>30.601451873779297</v>
      </c>
      <c r="AB37" s="31">
        <v>1.8731027841567993</v>
      </c>
      <c r="AC37" s="31">
        <f t="shared" si="7"/>
        <v>0.20812253157297769</v>
      </c>
      <c r="AD37" s="31">
        <v>32.285350799560547</v>
      </c>
      <c r="AE37" s="31">
        <v>0.61785048246383667</v>
      </c>
      <c r="AF37" s="32">
        <f t="shared" si="8"/>
        <v>0.68650053607092965</v>
      </c>
      <c r="AG37" t="s">
        <v>66</v>
      </c>
      <c r="AI37" s="31">
        <f t="shared" si="9"/>
        <v>0</v>
      </c>
      <c r="AJ37" t="s">
        <v>66</v>
      </c>
      <c r="AL37" s="32">
        <f t="shared" si="10"/>
        <v>0</v>
      </c>
    </row>
    <row r="38" spans="1:38" ht="15.15" thickBot="1" x14ac:dyDescent="0.35">
      <c r="A38" s="33" t="s">
        <v>68</v>
      </c>
      <c r="B38" s="30">
        <v>44350</v>
      </c>
      <c r="C38" s="33">
        <v>1000</v>
      </c>
      <c r="D38" s="1461" t="s">
        <v>65</v>
      </c>
      <c r="E38" s="30">
        <v>44417</v>
      </c>
      <c r="F38" s="24">
        <v>100</v>
      </c>
      <c r="G38" s="31">
        <v>16.754219055175781</v>
      </c>
      <c r="H38" s="31">
        <v>603551.25</v>
      </c>
      <c r="I38" s="31">
        <f t="shared" si="0"/>
        <v>590568.61144612625</v>
      </c>
      <c r="J38" s="31">
        <f t="shared" si="11"/>
        <v>59056.861144612623</v>
      </c>
      <c r="K38" s="31">
        <v>19.965038299560547</v>
      </c>
      <c r="L38" s="31">
        <v>81743.9921875</v>
      </c>
      <c r="M38" s="31">
        <f t="shared" si="1"/>
        <v>68761.353633626306</v>
      </c>
      <c r="N38" s="32">
        <f t="shared" si="2"/>
        <v>68761.353633626306</v>
      </c>
      <c r="O38" s="31">
        <v>32.933952331542969</v>
      </c>
      <c r="P38" s="31">
        <v>187.21766662597656</v>
      </c>
      <c r="Q38" s="31">
        <f t="shared" si="3"/>
        <v>18.721766662597656</v>
      </c>
      <c r="R38" s="31">
        <v>31.285758972167969</v>
      </c>
      <c r="S38" s="31">
        <v>499.77725219726563</v>
      </c>
      <c r="T38" s="32">
        <f t="shared" si="4"/>
        <v>499.77725219726563</v>
      </c>
      <c r="U38" s="31">
        <v>36.130817413330078</v>
      </c>
      <c r="V38" s="31">
        <v>0.7062002420425415</v>
      </c>
      <c r="W38" s="31">
        <f t="shared" si="5"/>
        <v>7.0620024204254145E-2</v>
      </c>
      <c r="X38" t="s">
        <v>66</v>
      </c>
      <c r="Z38" s="32">
        <f t="shared" si="6"/>
        <v>0</v>
      </c>
      <c r="AA38" s="31">
        <v>30.273244857788086</v>
      </c>
      <c r="AB38" s="31">
        <v>2.3110160827636719</v>
      </c>
      <c r="AC38" s="31">
        <f t="shared" si="7"/>
        <v>0.23110160827636719</v>
      </c>
      <c r="AD38" t="s">
        <v>66</v>
      </c>
      <c r="AF38" s="32">
        <f t="shared" si="8"/>
        <v>0</v>
      </c>
      <c r="AG38" t="s">
        <v>66</v>
      </c>
      <c r="AH38" s="31"/>
      <c r="AI38" s="31">
        <f t="shared" si="9"/>
        <v>0</v>
      </c>
      <c r="AJ38" t="s">
        <v>66</v>
      </c>
      <c r="AK38" s="31"/>
      <c r="AL38" s="32">
        <f t="shared" si="10"/>
        <v>0</v>
      </c>
    </row>
    <row r="39" spans="1:38" ht="15.15" thickBot="1" x14ac:dyDescent="0.35">
      <c r="A39" s="33" t="s">
        <v>69</v>
      </c>
      <c r="B39" s="30">
        <v>44350</v>
      </c>
      <c r="C39" s="33">
        <v>900</v>
      </c>
      <c r="D39" s="1461" t="s">
        <v>65</v>
      </c>
      <c r="E39" s="30">
        <v>44417</v>
      </c>
      <c r="F39" s="24">
        <v>100</v>
      </c>
      <c r="G39" s="31">
        <v>17.018051147460938</v>
      </c>
      <c r="H39" s="31">
        <v>512117.5</v>
      </c>
      <c r="I39" s="31">
        <f t="shared" si="0"/>
        <v>499134.86144612631</v>
      </c>
      <c r="J39" s="31">
        <f t="shared" si="11"/>
        <v>55459.42904956959</v>
      </c>
      <c r="K39" s="31">
        <v>20.393613815307617</v>
      </c>
      <c r="L39" s="31">
        <v>62598.21875</v>
      </c>
      <c r="M39" s="31">
        <f t="shared" si="1"/>
        <v>49615.580196126306</v>
      </c>
      <c r="N39" s="32">
        <f t="shared" si="2"/>
        <v>55128.422440140341</v>
      </c>
      <c r="O39" s="31">
        <v>31.687356948852539</v>
      </c>
      <c r="P39" s="31">
        <v>393.43487548828125</v>
      </c>
      <c r="Q39" s="31">
        <f t="shared" si="3"/>
        <v>43.714986165364586</v>
      </c>
      <c r="R39" s="31">
        <v>34.800807952880859</v>
      </c>
      <c r="S39" s="31">
        <v>61.566379547119141</v>
      </c>
      <c r="T39" s="32">
        <f t="shared" si="4"/>
        <v>68.407088385687928</v>
      </c>
      <c r="U39" s="31">
        <v>33.109592437744141</v>
      </c>
      <c r="V39" s="31">
        <v>4.9321250915527344</v>
      </c>
      <c r="W39" s="31">
        <f t="shared" si="5"/>
        <v>0.54801389906141496</v>
      </c>
      <c r="X39" s="31">
        <v>36.641960144042969</v>
      </c>
      <c r="Y39" s="31">
        <v>0.50829827785491943</v>
      </c>
      <c r="Z39" s="32">
        <f t="shared" si="6"/>
        <v>0.56477586428324378</v>
      </c>
      <c r="AA39" s="31">
        <v>30.065032958984375</v>
      </c>
      <c r="AB39" s="31">
        <v>2.6564815044403076</v>
      </c>
      <c r="AC39" s="31">
        <f t="shared" si="7"/>
        <v>0.2951646116044786</v>
      </c>
      <c r="AD39" t="s">
        <v>66</v>
      </c>
      <c r="AF39" s="32">
        <f t="shared" si="8"/>
        <v>0</v>
      </c>
      <c r="AG39" s="31">
        <v>37.25006103515625</v>
      </c>
      <c r="AH39" s="31">
        <v>0.64798223972320557</v>
      </c>
      <c r="AI39" s="31">
        <f t="shared" si="9"/>
        <v>7.1998026635911733E-2</v>
      </c>
      <c r="AJ39" t="s">
        <v>66</v>
      </c>
      <c r="AL39" s="32">
        <f t="shared" si="10"/>
        <v>0</v>
      </c>
    </row>
    <row r="40" spans="1:38" ht="15.15" thickBot="1" x14ac:dyDescent="0.35">
      <c r="A40" s="33" t="s">
        <v>70</v>
      </c>
      <c r="B40" s="30">
        <v>44350</v>
      </c>
      <c r="C40" s="33">
        <v>800</v>
      </c>
      <c r="D40" s="1461" t="s">
        <v>65</v>
      </c>
      <c r="E40" s="30">
        <v>44417</v>
      </c>
      <c r="F40" s="24">
        <v>100</v>
      </c>
      <c r="G40" s="31">
        <v>16.609580993652344</v>
      </c>
      <c r="H40" s="31">
        <v>660429.8125</v>
      </c>
      <c r="I40" s="31">
        <f t="shared" si="0"/>
        <v>647447.17394612625</v>
      </c>
      <c r="J40" s="31">
        <f t="shared" si="11"/>
        <v>80930.896743265781</v>
      </c>
      <c r="K40" s="31">
        <v>19.415191650390625</v>
      </c>
      <c r="L40" s="31">
        <v>115118.046875</v>
      </c>
      <c r="M40" s="31">
        <f t="shared" si="1"/>
        <v>102135.40832112631</v>
      </c>
      <c r="N40" s="32">
        <f t="shared" si="2"/>
        <v>127669.2604014079</v>
      </c>
      <c r="O40" s="31">
        <v>28.914619445800781</v>
      </c>
      <c r="P40" s="31">
        <v>2052.346923828125</v>
      </c>
      <c r="Q40" s="31">
        <f t="shared" si="3"/>
        <v>256.54336547851563</v>
      </c>
      <c r="R40" s="31">
        <v>32.306892395019531</v>
      </c>
      <c r="S40" s="31">
        <v>272.00897216796875</v>
      </c>
      <c r="T40" s="32">
        <f t="shared" si="4"/>
        <v>340.01121520996094</v>
      </c>
      <c r="U40" s="31">
        <v>30.564037322998047</v>
      </c>
      <c r="V40" s="31">
        <v>25.365411758422852</v>
      </c>
      <c r="W40" s="31">
        <f t="shared" si="5"/>
        <v>3.1706764698028564</v>
      </c>
      <c r="X40" s="31">
        <v>34.714622497558594</v>
      </c>
      <c r="Y40" s="31">
        <v>1.7563110589981079</v>
      </c>
      <c r="Z40" s="32">
        <f t="shared" si="6"/>
        <v>2.1953888237476349</v>
      </c>
      <c r="AA40" s="31">
        <v>25.586933135986328</v>
      </c>
      <c r="AB40" s="31">
        <v>53.160400390625</v>
      </c>
      <c r="AC40" s="31">
        <f t="shared" si="7"/>
        <v>6.645050048828125</v>
      </c>
      <c r="AD40" s="31">
        <v>28.914815902709961</v>
      </c>
      <c r="AE40" s="31">
        <v>5.7351651191711426</v>
      </c>
      <c r="AF40" s="32">
        <f t="shared" si="8"/>
        <v>7.1689563989639282</v>
      </c>
      <c r="AG40" s="31">
        <v>29.318700790405273</v>
      </c>
      <c r="AH40" s="31">
        <v>97.7303466796875</v>
      </c>
      <c r="AI40" s="31">
        <f t="shared" si="9"/>
        <v>12.216293334960938</v>
      </c>
      <c r="AJ40" s="31">
        <v>32.972770690917969</v>
      </c>
      <c r="AK40" s="31">
        <v>9.6913585662841797</v>
      </c>
      <c r="AL40" s="32">
        <f t="shared" si="10"/>
        <v>12.114198207855225</v>
      </c>
    </row>
    <row r="41" spans="1:38" ht="15.15" thickBot="1" x14ac:dyDescent="0.35">
      <c r="A41" s="33" t="s">
        <v>71</v>
      </c>
      <c r="B41" s="30">
        <v>44350</v>
      </c>
      <c r="C41" s="33">
        <v>880</v>
      </c>
      <c r="D41" s="1461" t="s">
        <v>65</v>
      </c>
      <c r="E41" s="30">
        <v>44417</v>
      </c>
      <c r="F41" s="24">
        <v>100</v>
      </c>
      <c r="G41" s="31">
        <v>16.696020126342773</v>
      </c>
      <c r="H41" s="31">
        <v>625823.8125</v>
      </c>
      <c r="I41" s="31">
        <f t="shared" si="0"/>
        <v>612841.17394612625</v>
      </c>
      <c r="J41" s="31">
        <f t="shared" si="11"/>
        <v>69641.042493877976</v>
      </c>
      <c r="K41" s="31">
        <v>19.523082733154297</v>
      </c>
      <c r="L41" s="31">
        <v>107638.5625</v>
      </c>
      <c r="M41" s="31">
        <f t="shared" si="1"/>
        <v>94655.923946126306</v>
      </c>
      <c r="N41" s="32">
        <f t="shared" si="2"/>
        <v>107563.54993877991</v>
      </c>
      <c r="O41" s="31">
        <v>34.628608703613281</v>
      </c>
      <c r="P41" s="31">
        <v>68.217529296875</v>
      </c>
      <c r="Q41" s="31">
        <f t="shared" si="3"/>
        <v>7.7519919655539775</v>
      </c>
      <c r="R41" s="31">
        <v>37.849308013916016</v>
      </c>
      <c r="S41" s="31">
        <v>10.014260292053223</v>
      </c>
      <c r="T41" s="32">
        <f t="shared" si="4"/>
        <v>11.37984124096957</v>
      </c>
      <c r="U41" s="31">
        <v>30.967811584472656</v>
      </c>
      <c r="V41" s="31">
        <v>19.562782287597656</v>
      </c>
      <c r="W41" s="31">
        <f t="shared" si="5"/>
        <v>2.2230434417724609</v>
      </c>
      <c r="X41" s="31">
        <v>34.636089324951172</v>
      </c>
      <c r="Y41" s="31">
        <v>1.8473236560821533</v>
      </c>
      <c r="Z41" s="32">
        <f t="shared" si="6"/>
        <v>2.0992314273660835</v>
      </c>
      <c r="AA41" s="31">
        <v>20.252361297607422</v>
      </c>
      <c r="AB41" s="31">
        <v>1886.9051513671875</v>
      </c>
      <c r="AC41" s="31">
        <f t="shared" si="7"/>
        <v>214.4210399280895</v>
      </c>
      <c r="AD41" s="31">
        <v>23.488063812255859</v>
      </c>
      <c r="AE41" s="31">
        <v>216.51809692382813</v>
      </c>
      <c r="AF41" s="32">
        <f t="shared" si="8"/>
        <v>246.04329195889559</v>
      </c>
      <c r="AG41" s="31">
        <v>29.991912841796875</v>
      </c>
      <c r="AH41" s="31">
        <v>63.84423828125</v>
      </c>
      <c r="AI41" s="31">
        <f t="shared" si="9"/>
        <v>7.2550270774147725</v>
      </c>
      <c r="AJ41" s="31">
        <v>33.940521240234375</v>
      </c>
      <c r="AK41" s="31">
        <v>5.2550582885742188</v>
      </c>
      <c r="AL41" s="32">
        <f t="shared" si="10"/>
        <v>5.9716571461070664</v>
      </c>
    </row>
    <row r="42" spans="1:38" ht="15.15" thickBot="1" x14ac:dyDescent="0.35">
      <c r="A42" s="33" t="s">
        <v>72</v>
      </c>
      <c r="B42" s="30">
        <v>44350</v>
      </c>
      <c r="C42" s="33">
        <v>880</v>
      </c>
      <c r="D42" s="1461" t="s">
        <v>65</v>
      </c>
      <c r="E42" s="30">
        <v>44417</v>
      </c>
      <c r="F42" s="24">
        <v>100</v>
      </c>
      <c r="G42" s="31">
        <v>18.282363891601563</v>
      </c>
      <c r="H42" s="31">
        <v>233065.859375</v>
      </c>
      <c r="I42" s="31">
        <f t="shared" si="0"/>
        <v>220083.22082112631</v>
      </c>
      <c r="J42" s="31">
        <f t="shared" si="11"/>
        <v>25009.456911491623</v>
      </c>
      <c r="K42" s="31">
        <v>21.838169097900391</v>
      </c>
      <c r="L42" s="31">
        <v>25464.2265625</v>
      </c>
      <c r="M42" s="31">
        <f t="shared" si="1"/>
        <v>12481.588008626302</v>
      </c>
      <c r="N42" s="32">
        <f t="shared" si="2"/>
        <v>14183.622737075344</v>
      </c>
      <c r="O42" s="31">
        <v>32.127708435058594</v>
      </c>
      <c r="P42" s="31">
        <v>302.65139770507813</v>
      </c>
      <c r="Q42" s="31">
        <f t="shared" si="3"/>
        <v>34.392204284667969</v>
      </c>
      <c r="R42" s="31">
        <v>35.383590698242188</v>
      </c>
      <c r="S42" s="31">
        <v>43.507373809814453</v>
      </c>
      <c r="T42" s="32">
        <f t="shared" si="4"/>
        <v>49.440197511152789</v>
      </c>
      <c r="U42" s="31">
        <v>28.627311706542969</v>
      </c>
      <c r="V42" s="31">
        <v>88.175445556640625</v>
      </c>
      <c r="W42" s="31">
        <f t="shared" si="5"/>
        <v>10.019936995072799</v>
      </c>
      <c r="X42" s="31">
        <v>32.307704925537109</v>
      </c>
      <c r="Y42" s="31">
        <v>8.2618074417114258</v>
      </c>
      <c r="Z42" s="32">
        <f t="shared" si="6"/>
        <v>9.3884175473993476</v>
      </c>
      <c r="AA42" s="31">
        <v>30.064403533935547</v>
      </c>
      <c r="AB42" s="31">
        <v>2.6576006412506104</v>
      </c>
      <c r="AC42" s="31">
        <f t="shared" si="7"/>
        <v>0.30200007286938751</v>
      </c>
      <c r="AD42" s="31">
        <v>31.885046005249023</v>
      </c>
      <c r="AE42" s="31">
        <v>0.78601914644241333</v>
      </c>
      <c r="AF42" s="32">
        <f t="shared" si="8"/>
        <v>0.89320357550274243</v>
      </c>
      <c r="AG42" s="31">
        <v>33.431076049804688</v>
      </c>
      <c r="AH42" s="31">
        <v>7.2527761459350586</v>
      </c>
      <c r="AI42" s="31">
        <f t="shared" si="9"/>
        <v>0.82417910749262024</v>
      </c>
      <c r="AJ42" t="s">
        <v>66</v>
      </c>
      <c r="AL42" s="32">
        <f t="shared" si="10"/>
        <v>0</v>
      </c>
    </row>
    <row r="43" spans="1:38" ht="15.15" thickBot="1" x14ac:dyDescent="0.35">
      <c r="A43" s="33" t="s">
        <v>73</v>
      </c>
      <c r="B43" s="30">
        <v>44350</v>
      </c>
      <c r="C43" s="33">
        <v>940</v>
      </c>
      <c r="D43" s="1461" t="s">
        <v>65</v>
      </c>
      <c r="E43" s="30">
        <v>44417</v>
      </c>
      <c r="F43" s="24">
        <v>100</v>
      </c>
      <c r="G43" t="s">
        <v>66</v>
      </c>
      <c r="I43" s="31"/>
      <c r="J43" s="31"/>
      <c r="K43" t="s">
        <v>66</v>
      </c>
      <c r="M43" s="31"/>
      <c r="N43" s="32"/>
      <c r="O43" s="31">
        <v>33.965736389160156</v>
      </c>
      <c r="P43" s="31">
        <v>101.25067901611328</v>
      </c>
      <c r="Q43" s="31">
        <f t="shared" si="3"/>
        <v>10.771348831501413</v>
      </c>
      <c r="R43" s="31">
        <v>38.704242706298828</v>
      </c>
      <c r="S43" s="31">
        <v>6.0176296234130859</v>
      </c>
      <c r="T43" s="32">
        <f t="shared" si="4"/>
        <v>6.4017336419288151</v>
      </c>
      <c r="U43" s="31">
        <v>31.384363174438477</v>
      </c>
      <c r="V43" s="31">
        <v>14.964058876037598</v>
      </c>
      <c r="W43" s="31">
        <f t="shared" si="5"/>
        <v>1.5919211570252763</v>
      </c>
      <c r="X43" s="31">
        <v>34.629043579101563</v>
      </c>
      <c r="Y43" s="31">
        <v>1.8557159900665283</v>
      </c>
      <c r="Z43" s="32">
        <f t="shared" si="6"/>
        <v>1.9741659468792854</v>
      </c>
      <c r="AA43" s="31">
        <v>29.410202026367188</v>
      </c>
      <c r="AB43" s="31">
        <v>4.1171126365661621</v>
      </c>
      <c r="AC43" s="31">
        <f t="shared" si="7"/>
        <v>0.43799070601767681</v>
      </c>
      <c r="AD43" t="s">
        <v>66</v>
      </c>
      <c r="AF43" s="32">
        <f t="shared" si="8"/>
        <v>0</v>
      </c>
      <c r="AG43" s="31">
        <v>34.783351898193359</v>
      </c>
      <c r="AH43" s="31">
        <v>3.0837669372558594</v>
      </c>
      <c r="AI43" s="31">
        <f t="shared" si="9"/>
        <v>0.32806031247402762</v>
      </c>
      <c r="AJ43" t="s">
        <v>66</v>
      </c>
      <c r="AL43" s="32">
        <f t="shared" si="10"/>
        <v>0</v>
      </c>
    </row>
    <row r="44" spans="1:38" ht="15.15" thickBot="1" x14ac:dyDescent="0.35">
      <c r="A44" s="33" t="s">
        <v>74</v>
      </c>
      <c r="B44" s="30">
        <v>44350</v>
      </c>
      <c r="C44" s="33">
        <v>920</v>
      </c>
      <c r="D44" s="1461" t="s">
        <v>65</v>
      </c>
      <c r="E44" s="30">
        <v>44417</v>
      </c>
      <c r="F44" s="24">
        <v>100</v>
      </c>
      <c r="G44" s="31">
        <v>19.80866813659668</v>
      </c>
      <c r="H44" s="31">
        <v>90103.34375</v>
      </c>
      <c r="I44" s="31">
        <f t="shared" ref="I44:I49" si="12">H44-$H$265</f>
        <v>77120.705196126306</v>
      </c>
      <c r="J44" s="31">
        <f t="shared" si="11"/>
        <v>8382.6853474050331</v>
      </c>
      <c r="K44" s="31">
        <v>23.010299682617188</v>
      </c>
      <c r="L44" s="31">
        <v>12273.4619140625</v>
      </c>
      <c r="M44" s="31">
        <f t="shared" ref="M44:M49" si="13">L44-$H$265</f>
        <v>-709.17663981119767</v>
      </c>
      <c r="N44" s="32">
        <f t="shared" si="2"/>
        <v>-770.84417370782353</v>
      </c>
      <c r="O44" s="31">
        <v>31.055070877075195</v>
      </c>
      <c r="P44" s="31">
        <v>573.4049072265625</v>
      </c>
      <c r="Q44" s="31">
        <f t="shared" si="3"/>
        <v>62.326620350713313</v>
      </c>
      <c r="R44" s="31">
        <v>34.911338806152344</v>
      </c>
      <c r="S44" s="31">
        <v>57.642986297607422</v>
      </c>
      <c r="T44" s="32">
        <f t="shared" si="4"/>
        <v>62.655419888703719</v>
      </c>
      <c r="U44" s="31">
        <v>32.475231170654297</v>
      </c>
      <c r="V44" s="31">
        <v>7.4177050590515137</v>
      </c>
      <c r="W44" s="31">
        <f t="shared" si="5"/>
        <v>0.8062722890273385</v>
      </c>
      <c r="X44" s="31">
        <v>34.755863189697266</v>
      </c>
      <c r="Y44" s="31">
        <v>1.7103269100189209</v>
      </c>
      <c r="Z44" s="32">
        <f t="shared" si="6"/>
        <v>1.859050989151001</v>
      </c>
      <c r="AA44" s="31">
        <v>29.680091857910156</v>
      </c>
      <c r="AB44" s="31">
        <v>3.4368932247161865</v>
      </c>
      <c r="AC44" s="31">
        <f t="shared" si="7"/>
        <v>0.37357535051262897</v>
      </c>
      <c r="AD44" t="s">
        <v>66</v>
      </c>
      <c r="AF44" s="32">
        <f t="shared" si="8"/>
        <v>0</v>
      </c>
      <c r="AG44" s="31">
        <v>36.669956207275391</v>
      </c>
      <c r="AH44" s="31">
        <v>0.9351850152015686</v>
      </c>
      <c r="AI44" s="31">
        <f t="shared" si="9"/>
        <v>0.10165054513060529</v>
      </c>
      <c r="AJ44" t="s">
        <v>66</v>
      </c>
      <c r="AL44" s="32">
        <f t="shared" si="10"/>
        <v>0</v>
      </c>
    </row>
    <row r="45" spans="1:38" ht="15.15" thickBot="1" x14ac:dyDescent="0.35">
      <c r="A45" s="33" t="s">
        <v>75</v>
      </c>
      <c r="B45" s="30">
        <v>44350</v>
      </c>
      <c r="C45" s="33">
        <v>900</v>
      </c>
      <c r="D45" s="1461" t="s">
        <v>65</v>
      </c>
      <c r="E45" s="30">
        <v>44417</v>
      </c>
      <c r="F45" s="24">
        <v>100</v>
      </c>
      <c r="G45" s="31">
        <v>18.671392440795898</v>
      </c>
      <c r="H45" s="31">
        <v>182927.484375</v>
      </c>
      <c r="I45" s="31">
        <f t="shared" si="12"/>
        <v>169944.84582112631</v>
      </c>
      <c r="J45" s="31">
        <f t="shared" si="11"/>
        <v>18882.760646791809</v>
      </c>
      <c r="K45" s="31">
        <v>21.949716567993164</v>
      </c>
      <c r="L45" s="31">
        <v>23755.611328125</v>
      </c>
      <c r="M45" s="31">
        <f t="shared" si="13"/>
        <v>10772.972774251302</v>
      </c>
      <c r="N45" s="32">
        <f t="shared" si="2"/>
        <v>11969.969749168115</v>
      </c>
      <c r="O45" s="31">
        <v>30.727001190185547</v>
      </c>
      <c r="P45" s="31">
        <v>697.17431640625</v>
      </c>
      <c r="Q45" s="31">
        <f t="shared" si="3"/>
        <v>77.463812934027771</v>
      </c>
      <c r="R45" s="31">
        <v>33.847194671630859</v>
      </c>
      <c r="S45" s="31">
        <v>108.65950012207031</v>
      </c>
      <c r="T45" s="32">
        <f t="shared" si="4"/>
        <v>120.73277791341145</v>
      </c>
      <c r="U45" s="31">
        <v>32.947200775146484</v>
      </c>
      <c r="V45" s="31">
        <v>5.4752635955810547</v>
      </c>
      <c r="W45" s="31">
        <f t="shared" si="5"/>
        <v>0.60836262173122835</v>
      </c>
      <c r="X45" s="31">
        <v>35.583946228027344</v>
      </c>
      <c r="Y45" s="31">
        <v>1.0039666891098022</v>
      </c>
      <c r="Z45" s="32">
        <f t="shared" si="6"/>
        <v>1.1155185434553359</v>
      </c>
      <c r="AA45" s="31">
        <v>27.498956680297852</v>
      </c>
      <c r="AB45" s="31">
        <v>14.790314674377441</v>
      </c>
      <c r="AC45" s="31">
        <f t="shared" si="7"/>
        <v>1.643368297153049</v>
      </c>
      <c r="AD45" s="31">
        <v>30.589944839477539</v>
      </c>
      <c r="AE45" s="31">
        <v>1.8697080612182617</v>
      </c>
      <c r="AF45" s="32">
        <f t="shared" si="8"/>
        <v>2.0774534013536243</v>
      </c>
      <c r="AG45" s="31">
        <v>37.440029144287109</v>
      </c>
      <c r="AH45" s="31">
        <v>0.57462632656097412</v>
      </c>
      <c r="AI45" s="31">
        <f t="shared" si="9"/>
        <v>6.3847369617886007E-2</v>
      </c>
      <c r="AJ45" t="s">
        <v>66</v>
      </c>
      <c r="AL45" s="32">
        <f t="shared" si="10"/>
        <v>0</v>
      </c>
    </row>
    <row r="46" spans="1:38" ht="15.15" thickBot="1" x14ac:dyDescent="0.35">
      <c r="A46" s="33" t="s">
        <v>76</v>
      </c>
      <c r="B46" s="30">
        <v>44350</v>
      </c>
      <c r="C46" s="33">
        <v>900</v>
      </c>
      <c r="D46" s="1461" t="s">
        <v>65</v>
      </c>
      <c r="E46" s="30">
        <v>44417</v>
      </c>
      <c r="F46" s="24">
        <v>100</v>
      </c>
      <c r="G46" s="31">
        <v>9.8082008361816406</v>
      </c>
      <c r="H46" s="31">
        <v>45607020</v>
      </c>
      <c r="I46" s="31">
        <f t="shared" si="12"/>
        <v>45594037.361446127</v>
      </c>
      <c r="J46" s="31">
        <f t="shared" si="11"/>
        <v>5066004.1512717912</v>
      </c>
      <c r="K46" s="31">
        <v>12.373018264770508</v>
      </c>
      <c r="L46" s="31">
        <v>9235552</v>
      </c>
      <c r="M46" s="31">
        <f t="shared" si="13"/>
        <v>9222569.3614461254</v>
      </c>
      <c r="N46" s="32">
        <f t="shared" si="2"/>
        <v>10247299.290495694</v>
      </c>
      <c r="O46" s="31">
        <v>29.675907135009766</v>
      </c>
      <c r="P46" s="31">
        <v>1304.0260009765625</v>
      </c>
      <c r="Q46" s="31">
        <f t="shared" si="3"/>
        <v>144.89177788628473</v>
      </c>
      <c r="R46" s="31">
        <v>32.483463287353516</v>
      </c>
      <c r="S46" s="31">
        <v>244.84983825683594</v>
      </c>
      <c r="T46" s="32">
        <f t="shared" si="4"/>
        <v>272.05537584092883</v>
      </c>
      <c r="U46" s="31">
        <v>25.608776092529297</v>
      </c>
      <c r="V46" s="31">
        <v>614.75555419921875</v>
      </c>
      <c r="W46" s="31">
        <f t="shared" si="5"/>
        <v>68.306172688802079</v>
      </c>
      <c r="X46" s="31">
        <v>28.504611968994141</v>
      </c>
      <c r="Y46" s="31">
        <v>95.417709350585938</v>
      </c>
      <c r="Z46" s="32">
        <f t="shared" si="6"/>
        <v>106.0196770562066</v>
      </c>
      <c r="AA46" s="31">
        <v>30.072658538818359</v>
      </c>
      <c r="AB46" s="31">
        <v>2.6429619789123535</v>
      </c>
      <c r="AC46" s="31">
        <f t="shared" si="7"/>
        <v>0.2936624421013726</v>
      </c>
      <c r="AD46" s="31">
        <v>31.408628463745117</v>
      </c>
      <c r="AE46" s="31">
        <v>1.0811209678649902</v>
      </c>
      <c r="AF46" s="32">
        <f t="shared" si="8"/>
        <v>1.2012455198499892</v>
      </c>
      <c r="AG46" s="31">
        <v>25.412641525268555</v>
      </c>
      <c r="AH46" s="31">
        <v>1155.81103515625</v>
      </c>
      <c r="AI46" s="31">
        <f t="shared" si="9"/>
        <v>128.42344835069446</v>
      </c>
      <c r="AJ46" s="31">
        <v>28.170585632324219</v>
      </c>
      <c r="AK46" s="31">
        <v>202.01164245605469</v>
      </c>
      <c r="AL46" s="32">
        <f t="shared" si="10"/>
        <v>224.45738050672742</v>
      </c>
    </row>
    <row r="47" spans="1:38" ht="15.15" thickBot="1" x14ac:dyDescent="0.35">
      <c r="A47" s="33" t="s">
        <v>77</v>
      </c>
      <c r="B47" s="30">
        <v>44350</v>
      </c>
      <c r="C47" s="33">
        <v>970</v>
      </c>
      <c r="D47" s="1461" t="s">
        <v>65</v>
      </c>
      <c r="E47" s="30">
        <v>44417</v>
      </c>
      <c r="F47" s="24">
        <v>100</v>
      </c>
      <c r="G47" s="31">
        <v>9.1707515716552734</v>
      </c>
      <c r="H47" s="31">
        <v>67827912</v>
      </c>
      <c r="I47" s="31">
        <f t="shared" si="12"/>
        <v>67814929.361446127</v>
      </c>
      <c r="J47" s="31">
        <f t="shared" si="11"/>
        <v>6991229.83107692</v>
      </c>
      <c r="K47" s="31">
        <v>10.920645713806152</v>
      </c>
      <c r="L47" s="31">
        <v>22814360</v>
      </c>
      <c r="M47" s="31">
        <f t="shared" si="13"/>
        <v>22801377.361446127</v>
      </c>
      <c r="N47" s="32">
        <f t="shared" si="2"/>
        <v>23506574.599429</v>
      </c>
      <c r="O47" s="31">
        <v>28.811748504638672</v>
      </c>
      <c r="P47" s="31">
        <v>2182.05712890625</v>
      </c>
      <c r="Q47" s="31">
        <f t="shared" si="3"/>
        <v>224.95434318621133</v>
      </c>
      <c r="R47" s="31">
        <v>31.156417846679688</v>
      </c>
      <c r="S47" s="31">
        <v>539.80926513671875</v>
      </c>
      <c r="T47" s="32">
        <f t="shared" si="4"/>
        <v>556.5043970481637</v>
      </c>
      <c r="U47" s="31">
        <v>25.439479827880859</v>
      </c>
      <c r="V47" s="31">
        <v>685.4921875</v>
      </c>
      <c r="W47" s="31">
        <f t="shared" si="5"/>
        <v>70.66929768041237</v>
      </c>
      <c r="X47" s="31">
        <v>29.68792724609375</v>
      </c>
      <c r="Y47" s="31">
        <v>44.56768798828125</v>
      </c>
      <c r="Z47" s="32">
        <f t="shared" si="6"/>
        <v>45.946070091011599</v>
      </c>
      <c r="AA47" s="31">
        <v>30.930418014526367</v>
      </c>
      <c r="AB47" s="31">
        <v>1.4888001680374146</v>
      </c>
      <c r="AC47" s="31">
        <f t="shared" si="7"/>
        <v>0.15348455340591902</v>
      </c>
      <c r="AD47" s="31">
        <v>31.025461196899414</v>
      </c>
      <c r="AE47" s="31">
        <v>1.3970695734024048</v>
      </c>
      <c r="AF47" s="32">
        <f t="shared" si="8"/>
        <v>1.4402779107241286</v>
      </c>
      <c r="AG47" s="31">
        <v>27.831655502319336</v>
      </c>
      <c r="AH47" s="31">
        <v>250.30447387695313</v>
      </c>
      <c r="AI47" s="31">
        <f t="shared" si="9"/>
        <v>25.804584935768364</v>
      </c>
      <c r="AJ47" s="31">
        <v>28.579591751098633</v>
      </c>
      <c r="AK47" s="31">
        <v>155.96846008300781</v>
      </c>
      <c r="AL47" s="32">
        <f t="shared" si="10"/>
        <v>160.79222688969878</v>
      </c>
    </row>
    <row r="48" spans="1:38" ht="15.15" thickBot="1" x14ac:dyDescent="0.35">
      <c r="A48" s="33" t="s">
        <v>78</v>
      </c>
      <c r="B48" s="30">
        <v>44350</v>
      </c>
      <c r="C48" s="33">
        <v>950</v>
      </c>
      <c r="D48" s="1461" t="s">
        <v>65</v>
      </c>
      <c r="E48" s="30">
        <v>44417</v>
      </c>
      <c r="F48" s="24">
        <v>100</v>
      </c>
      <c r="G48" s="31">
        <v>11.101107597351074</v>
      </c>
      <c r="H48" s="31">
        <v>20389588</v>
      </c>
      <c r="I48" s="31">
        <f t="shared" si="12"/>
        <v>20376605.361446127</v>
      </c>
      <c r="J48" s="31">
        <f t="shared" si="11"/>
        <v>2144905.8275206452</v>
      </c>
      <c r="K48" s="31">
        <v>12.251007080078125</v>
      </c>
      <c r="L48" s="31">
        <v>9964528</v>
      </c>
      <c r="M48" s="31">
        <f t="shared" si="13"/>
        <v>9951545.3614461254</v>
      </c>
      <c r="N48" s="32">
        <f t="shared" si="2"/>
        <v>10475310.906785395</v>
      </c>
      <c r="O48" s="31">
        <v>29.362771987915039</v>
      </c>
      <c r="P48" s="31">
        <v>1571.456298828125</v>
      </c>
      <c r="Q48" s="31">
        <f t="shared" si="3"/>
        <v>165.41645250822367</v>
      </c>
      <c r="R48" s="31">
        <v>32.437908172607422</v>
      </c>
      <c r="S48" s="31">
        <v>251.58578491210938</v>
      </c>
      <c r="T48" s="32">
        <f t="shared" si="4"/>
        <v>264.82714201274672</v>
      </c>
      <c r="U48" s="31">
        <v>24.217025756835938</v>
      </c>
      <c r="V48" s="31">
        <v>1505.034423828125</v>
      </c>
      <c r="W48" s="31">
        <f t="shared" si="5"/>
        <v>158.42467619243422</v>
      </c>
      <c r="X48" s="31">
        <v>26.564014434814453</v>
      </c>
      <c r="Y48" s="31">
        <v>332.51901245117188</v>
      </c>
      <c r="Z48" s="32">
        <f t="shared" si="6"/>
        <v>350.02001310649672</v>
      </c>
      <c r="AA48" s="31">
        <v>31.308303833007813</v>
      </c>
      <c r="AB48" s="31">
        <v>1.1561851501464844</v>
      </c>
      <c r="AC48" s="31">
        <f t="shared" si="7"/>
        <v>0.12170370001541941</v>
      </c>
      <c r="AD48" t="s">
        <v>66</v>
      </c>
      <c r="AF48" s="32">
        <f t="shared" si="8"/>
        <v>0</v>
      </c>
      <c r="AG48" s="31">
        <v>22.175689697265625</v>
      </c>
      <c r="AH48" s="31">
        <v>8952.904296875</v>
      </c>
      <c r="AI48" s="31">
        <f t="shared" si="9"/>
        <v>942.41097861842104</v>
      </c>
      <c r="AJ48" s="31">
        <v>22.000802993774414</v>
      </c>
      <c r="AK48" s="31">
        <v>9999.9814453125</v>
      </c>
      <c r="AL48" s="32">
        <f t="shared" si="10"/>
        <v>10526.296258223685</v>
      </c>
    </row>
    <row r="49" spans="1:38" ht="15.15" thickBot="1" x14ac:dyDescent="0.35">
      <c r="A49" s="33" t="s">
        <v>79</v>
      </c>
      <c r="B49" s="30">
        <v>44350</v>
      </c>
      <c r="C49" s="33">
        <v>930</v>
      </c>
      <c r="D49" s="1461" t="s">
        <v>65</v>
      </c>
      <c r="E49" s="30">
        <v>44417</v>
      </c>
      <c r="F49" s="24">
        <v>100</v>
      </c>
      <c r="G49" s="31">
        <v>10.92292594909668</v>
      </c>
      <c r="H49" s="31">
        <v>22781992</v>
      </c>
      <c r="I49" s="31">
        <f t="shared" si="12"/>
        <v>22769009.361446127</v>
      </c>
      <c r="J49" s="31">
        <f t="shared" si="11"/>
        <v>2448280.5764995837</v>
      </c>
      <c r="K49" s="31">
        <v>12.649701118469238</v>
      </c>
      <c r="L49" s="31">
        <v>7773977.5</v>
      </c>
      <c r="M49" s="31">
        <f t="shared" si="13"/>
        <v>7760994.8614461264</v>
      </c>
      <c r="N49" s="32">
        <f t="shared" si="2"/>
        <v>8345155.7649958348</v>
      </c>
      <c r="O49" s="31">
        <v>30.40306282043457</v>
      </c>
      <c r="P49" s="31">
        <v>845.57574462890625</v>
      </c>
      <c r="Q49" s="31">
        <f t="shared" si="3"/>
        <v>90.922123078377012</v>
      </c>
      <c r="R49" s="31">
        <v>33.314659118652344</v>
      </c>
      <c r="S49" s="31">
        <v>149.227294921875</v>
      </c>
      <c r="T49" s="32">
        <f t="shared" si="4"/>
        <v>160.45945690524192</v>
      </c>
      <c r="U49" s="31">
        <v>25.433696746826172</v>
      </c>
      <c r="V49" s="31">
        <v>688.0472412109375</v>
      </c>
      <c r="W49" s="31">
        <f t="shared" si="5"/>
        <v>73.983574323756727</v>
      </c>
      <c r="X49" s="31">
        <v>28.128391265869141</v>
      </c>
      <c r="Y49" s="31">
        <v>121.54638671875</v>
      </c>
      <c r="Z49" s="32">
        <f t="shared" si="6"/>
        <v>130.69503948252688</v>
      </c>
      <c r="AA49" s="31">
        <v>27.613698959350586</v>
      </c>
      <c r="AB49" s="31">
        <v>13.697292327880859</v>
      </c>
      <c r="AC49" s="31">
        <f t="shared" si="7"/>
        <v>1.4728271320302</v>
      </c>
      <c r="AD49" s="31">
        <v>29.080694198608398</v>
      </c>
      <c r="AE49" s="31">
        <v>5.1326742172241211</v>
      </c>
      <c r="AF49" s="32">
        <f t="shared" si="8"/>
        <v>5.5190045346495928</v>
      </c>
      <c r="AG49" s="31">
        <v>22.272891998291016</v>
      </c>
      <c r="AH49" s="31">
        <v>8419.1044921875</v>
      </c>
      <c r="AI49" s="31">
        <f t="shared" si="9"/>
        <v>905.28005292338707</v>
      </c>
      <c r="AJ49" s="31">
        <v>23.195926666259766</v>
      </c>
      <c r="AK49" s="31">
        <v>4696.1357421875</v>
      </c>
      <c r="AL49" s="32">
        <f t="shared" si="10"/>
        <v>5049.6083249327958</v>
      </c>
    </row>
    <row r="50" spans="1:38" ht="15.15" thickBot="1" x14ac:dyDescent="0.35">
      <c r="A50" s="33" t="s">
        <v>80</v>
      </c>
      <c r="B50" s="30">
        <v>44350</v>
      </c>
      <c r="C50" s="33">
        <v>900</v>
      </c>
      <c r="D50" s="1461" t="s">
        <v>65</v>
      </c>
      <c r="E50" s="30">
        <v>44417</v>
      </c>
      <c r="F50" s="24">
        <v>100</v>
      </c>
      <c r="G50" t="s">
        <v>66</v>
      </c>
      <c r="I50" s="31"/>
      <c r="J50" s="31"/>
      <c r="K50" s="34" t="s">
        <v>66</v>
      </c>
      <c r="M50" s="31"/>
      <c r="N50" s="32"/>
      <c r="O50" s="31">
        <v>31.291084289550781</v>
      </c>
      <c r="P50" s="31">
        <v>498.19424438476563</v>
      </c>
      <c r="Q50" s="31">
        <f t="shared" si="3"/>
        <v>55.354916042751739</v>
      </c>
      <c r="R50" s="31">
        <v>34.775424957275391</v>
      </c>
      <c r="S50" s="31">
        <v>62.504436492919922</v>
      </c>
      <c r="T50" s="32">
        <f t="shared" si="4"/>
        <v>69.44937388102214</v>
      </c>
      <c r="U50" s="31">
        <v>31.739269256591797</v>
      </c>
      <c r="V50" s="31">
        <v>11.909443855285645</v>
      </c>
      <c r="W50" s="31">
        <f t="shared" si="5"/>
        <v>1.3232715394761827</v>
      </c>
      <c r="X50" s="31">
        <v>35.483963012695313</v>
      </c>
      <c r="Y50" s="31">
        <v>1.0706655979156494</v>
      </c>
      <c r="Z50" s="32">
        <f t="shared" si="6"/>
        <v>1.1896284421284993</v>
      </c>
      <c r="AA50" s="31">
        <v>26.31892204284668</v>
      </c>
      <c r="AB50" s="31">
        <v>32.574756622314453</v>
      </c>
      <c r="AC50" s="31">
        <f t="shared" si="7"/>
        <v>3.6194174024793835</v>
      </c>
      <c r="AD50" s="31">
        <v>29.597909927368164</v>
      </c>
      <c r="AE50" s="31">
        <v>3.6311743259429932</v>
      </c>
      <c r="AF50" s="32">
        <f t="shared" si="8"/>
        <v>4.0346381399366589</v>
      </c>
      <c r="AG50" s="31">
        <v>34.563491821289063</v>
      </c>
      <c r="AH50" s="31">
        <v>3.5438015460968018</v>
      </c>
      <c r="AI50" s="31">
        <f t="shared" si="9"/>
        <v>0.39375572734408909</v>
      </c>
      <c r="AJ50" t="s">
        <v>66</v>
      </c>
      <c r="AL50" s="32">
        <f t="shared" si="10"/>
        <v>0</v>
      </c>
    </row>
    <row r="51" spans="1:38" ht="15.15" thickBot="1" x14ac:dyDescent="0.35">
      <c r="A51" s="33" t="s">
        <v>81</v>
      </c>
      <c r="B51" s="30">
        <v>44350</v>
      </c>
      <c r="C51" s="33">
        <v>920</v>
      </c>
      <c r="D51" s="1461" t="s">
        <v>65</v>
      </c>
      <c r="E51" s="30">
        <v>44417</v>
      </c>
      <c r="F51" s="24">
        <v>100</v>
      </c>
      <c r="G51" t="s">
        <v>66</v>
      </c>
      <c r="I51" s="31"/>
      <c r="J51" s="31"/>
      <c r="K51" s="34" t="s">
        <v>66</v>
      </c>
      <c r="M51" s="31"/>
      <c r="N51" s="32"/>
      <c r="O51" s="31">
        <v>31.466829299926758</v>
      </c>
      <c r="P51" s="31">
        <v>448.67202758789063</v>
      </c>
      <c r="Q51" s="31">
        <f t="shared" si="3"/>
        <v>48.768698650857679</v>
      </c>
      <c r="R51" s="31">
        <v>34.921352386474609</v>
      </c>
      <c r="S51" s="31">
        <v>57.300144195556641</v>
      </c>
      <c r="T51" s="32">
        <f t="shared" si="4"/>
        <v>62.282765429952867</v>
      </c>
      <c r="U51" s="31">
        <v>32.271263122558594</v>
      </c>
      <c r="V51" s="31">
        <v>8.4577846527099609</v>
      </c>
      <c r="W51" s="31">
        <f t="shared" si="5"/>
        <v>0.91932441877282189</v>
      </c>
      <c r="X51" s="31">
        <v>34.713233947753906</v>
      </c>
      <c r="Y51" s="31">
        <v>1.757880687713623</v>
      </c>
      <c r="Z51" s="32">
        <f t="shared" si="6"/>
        <v>1.9107398779495903</v>
      </c>
      <c r="AA51" s="31">
        <v>26.910219192504883</v>
      </c>
      <c r="AB51" s="31">
        <v>21.930948257446289</v>
      </c>
      <c r="AC51" s="31">
        <f t="shared" si="7"/>
        <v>2.3837987236354663</v>
      </c>
      <c r="AD51" s="31">
        <v>30.671493530273438</v>
      </c>
      <c r="AE51" s="31">
        <v>1.7704217433929443</v>
      </c>
      <c r="AF51" s="32">
        <f t="shared" si="8"/>
        <v>1.9243714602097222</v>
      </c>
      <c r="AG51" s="31">
        <v>32.950954437255859</v>
      </c>
      <c r="AH51" s="31">
        <v>9.8260011672973633</v>
      </c>
      <c r="AI51" s="31">
        <f t="shared" si="9"/>
        <v>1.0680436051410178</v>
      </c>
      <c r="AJ51" t="s">
        <v>66</v>
      </c>
      <c r="AL51" s="32">
        <f t="shared" si="10"/>
        <v>0</v>
      </c>
    </row>
    <row r="52" spans="1:38" ht="15.15" thickBot="1" x14ac:dyDescent="0.35">
      <c r="A52" s="33" t="s">
        <v>64</v>
      </c>
      <c r="B52" s="30">
        <v>44356</v>
      </c>
      <c r="C52" s="33">
        <v>960</v>
      </c>
      <c r="D52" s="1461" t="s">
        <v>65</v>
      </c>
      <c r="E52" s="30">
        <v>44419</v>
      </c>
      <c r="F52" s="24">
        <v>100</v>
      </c>
      <c r="G52" s="31">
        <v>18.787420272827148</v>
      </c>
      <c r="H52" s="31">
        <v>170177.890625</v>
      </c>
      <c r="I52" s="31">
        <f t="shared" ref="I52:I61" si="14">H52-$H$265</f>
        <v>157195.25207112631</v>
      </c>
      <c r="J52" s="31">
        <f t="shared" si="11"/>
        <v>16374.505424075656</v>
      </c>
      <c r="K52" s="31">
        <v>20.664154052734375</v>
      </c>
      <c r="L52" s="31">
        <v>52893.640625</v>
      </c>
      <c r="M52" s="31">
        <f t="shared" ref="M52:M61" si="15">L52-$H$265</f>
        <v>39911.002071126306</v>
      </c>
      <c r="N52" s="32">
        <f t="shared" si="2"/>
        <v>41573.960490756566</v>
      </c>
      <c r="O52" s="31">
        <v>35.190685272216797</v>
      </c>
      <c r="P52" s="31">
        <v>48.805908203125</v>
      </c>
      <c r="Q52" s="31">
        <f t="shared" si="3"/>
        <v>5.0839487711588545</v>
      </c>
      <c r="R52" s="31">
        <v>38.951301574707031</v>
      </c>
      <c r="S52" s="31">
        <v>5.1940364837646484</v>
      </c>
      <c r="T52" s="32">
        <f t="shared" si="4"/>
        <v>5.4104546705881758</v>
      </c>
      <c r="U52" s="31">
        <v>32.052120208740234</v>
      </c>
      <c r="V52" s="31">
        <v>9.7383060455322266</v>
      </c>
      <c r="W52" s="31">
        <f t="shared" si="5"/>
        <v>1.0144068797429402</v>
      </c>
      <c r="X52" s="31">
        <v>35.453678131103516</v>
      </c>
      <c r="Y52" s="31">
        <v>1.0917298793792725</v>
      </c>
      <c r="Z52" s="32">
        <f t="shared" si="6"/>
        <v>1.1372186243534088</v>
      </c>
      <c r="AA52" s="31">
        <v>26.155073165893555</v>
      </c>
      <c r="AB52" s="31">
        <v>36.349098205566406</v>
      </c>
      <c r="AC52" s="31">
        <f t="shared" si="7"/>
        <v>3.7863643964131675</v>
      </c>
      <c r="AD52" s="31">
        <v>29.741870880126953</v>
      </c>
      <c r="AE52" s="31">
        <v>3.297720193862915</v>
      </c>
      <c r="AF52" s="32">
        <f t="shared" si="8"/>
        <v>3.4351252019405365</v>
      </c>
      <c r="AG52" t="s">
        <v>66</v>
      </c>
      <c r="AI52" s="31">
        <f t="shared" si="9"/>
        <v>0</v>
      </c>
      <c r="AJ52" s="31">
        <v>36.961193084716797</v>
      </c>
      <c r="AK52" s="31">
        <v>0.77786636352539063</v>
      </c>
      <c r="AL52" s="32">
        <f t="shared" si="10"/>
        <v>0.81027746200561523</v>
      </c>
    </row>
    <row r="53" spans="1:38" ht="15.15" thickBot="1" x14ac:dyDescent="0.35">
      <c r="A53" s="33" t="s">
        <v>67</v>
      </c>
      <c r="B53" s="30">
        <v>44356</v>
      </c>
      <c r="C53" s="33">
        <v>1000</v>
      </c>
      <c r="D53" s="1461" t="s">
        <v>65</v>
      </c>
      <c r="E53" s="30">
        <v>44419</v>
      </c>
      <c r="F53" s="24">
        <v>100</v>
      </c>
      <c r="G53" s="31">
        <v>17.613988876342773</v>
      </c>
      <c r="H53" s="31">
        <v>353360.71875</v>
      </c>
      <c r="I53" s="31">
        <f t="shared" si="14"/>
        <v>340378.08019612631</v>
      </c>
      <c r="J53" s="31">
        <f t="shared" si="11"/>
        <v>34037.808019612632</v>
      </c>
      <c r="K53" s="31">
        <v>21.402200698852539</v>
      </c>
      <c r="L53" s="31">
        <v>33405.92578125</v>
      </c>
      <c r="M53" s="31">
        <f t="shared" si="15"/>
        <v>20423.287227376302</v>
      </c>
      <c r="N53" s="32">
        <f t="shared" si="2"/>
        <v>20423.287227376302</v>
      </c>
      <c r="O53" s="31">
        <v>32.451187133789063</v>
      </c>
      <c r="P53" s="31">
        <v>249.6033935546875</v>
      </c>
      <c r="Q53" s="31">
        <f t="shared" si="3"/>
        <v>24.960339355468751</v>
      </c>
      <c r="R53" s="31">
        <v>36.458808898925781</v>
      </c>
      <c r="S53" s="31">
        <v>22.928543090820313</v>
      </c>
      <c r="T53" s="32">
        <f t="shared" si="4"/>
        <v>22.928543090820313</v>
      </c>
      <c r="U53" s="31">
        <v>30.243104934692383</v>
      </c>
      <c r="V53" s="31">
        <v>31.182281494140625</v>
      </c>
      <c r="W53" s="31">
        <f t="shared" si="5"/>
        <v>3.1182281494140627</v>
      </c>
      <c r="X53" s="31">
        <v>35.756107330322266</v>
      </c>
      <c r="Y53" s="31">
        <v>0.8987085223197937</v>
      </c>
      <c r="Z53" s="32">
        <f t="shared" si="6"/>
        <v>0.8987085223197937</v>
      </c>
      <c r="AA53" s="31">
        <v>28.431427001953125</v>
      </c>
      <c r="AB53" s="31">
        <v>7.9252481460571289</v>
      </c>
      <c r="AC53" s="31">
        <f t="shared" si="7"/>
        <v>0.79252481460571289</v>
      </c>
      <c r="AD53" s="31">
        <v>32.289569854736328</v>
      </c>
      <c r="AE53" s="31">
        <v>0.59963005781173706</v>
      </c>
      <c r="AF53" s="32">
        <f t="shared" si="8"/>
        <v>0.59963005781173706</v>
      </c>
      <c r="AG53" t="s">
        <v>66</v>
      </c>
      <c r="AI53" s="31">
        <f t="shared" si="9"/>
        <v>0</v>
      </c>
      <c r="AJ53" s="31">
        <v>38.350105285644531</v>
      </c>
      <c r="AK53" s="31">
        <v>0.32316145300865173</v>
      </c>
      <c r="AL53" s="32">
        <f t="shared" si="10"/>
        <v>0.32316145300865173</v>
      </c>
    </row>
    <row r="54" spans="1:38" ht="15.15" thickBot="1" x14ac:dyDescent="0.35">
      <c r="A54" s="33" t="s">
        <v>68</v>
      </c>
      <c r="B54" s="30">
        <v>44356</v>
      </c>
      <c r="C54" s="33">
        <v>920</v>
      </c>
      <c r="D54" s="1461" t="s">
        <v>65</v>
      </c>
      <c r="E54" s="30">
        <v>44419</v>
      </c>
      <c r="F54" s="24">
        <v>100</v>
      </c>
      <c r="G54" s="31">
        <v>11.088505744934082</v>
      </c>
      <c r="H54" s="31">
        <v>20550206</v>
      </c>
      <c r="I54" s="31">
        <f t="shared" si="14"/>
        <v>20537223.361446127</v>
      </c>
      <c r="J54" s="31">
        <f t="shared" si="11"/>
        <v>2232306.8871137095</v>
      </c>
      <c r="K54" s="31">
        <v>13.152755737304688</v>
      </c>
      <c r="L54" s="31">
        <v>5683411</v>
      </c>
      <c r="M54" s="31">
        <f t="shared" si="15"/>
        <v>5670428.3614461264</v>
      </c>
      <c r="N54" s="32">
        <f t="shared" si="2"/>
        <v>6163509.0885283975</v>
      </c>
      <c r="O54" s="31">
        <v>32.315021514892578</v>
      </c>
      <c r="P54" s="31">
        <v>270.69485473632813</v>
      </c>
      <c r="Q54" s="31">
        <f t="shared" si="3"/>
        <v>29.42335377568784</v>
      </c>
      <c r="R54" s="31">
        <v>36.016128540039063</v>
      </c>
      <c r="S54" s="31">
        <v>29.847583770751953</v>
      </c>
      <c r="T54" s="32">
        <f t="shared" si="4"/>
        <v>32.44302583777386</v>
      </c>
      <c r="U54" s="31">
        <v>31.546113967895508</v>
      </c>
      <c r="V54" s="31">
        <v>13.485203742980957</v>
      </c>
      <c r="W54" s="31">
        <f t="shared" si="5"/>
        <v>1.4657830155414084</v>
      </c>
      <c r="X54" s="31">
        <v>34.547443389892578</v>
      </c>
      <c r="Y54" s="31">
        <v>1.9557347297668457</v>
      </c>
      <c r="Z54" s="32">
        <f t="shared" si="6"/>
        <v>2.1257986193117886</v>
      </c>
      <c r="AA54" s="31">
        <v>25.79576301574707</v>
      </c>
      <c r="AB54" s="31">
        <v>46.227970123291016</v>
      </c>
      <c r="AC54" s="31">
        <f t="shared" si="7"/>
        <v>5.0247793612272842</v>
      </c>
      <c r="AD54" s="31">
        <v>27.406459808349609</v>
      </c>
      <c r="AE54" s="31">
        <v>15.734606742858887</v>
      </c>
      <c r="AF54" s="32">
        <f t="shared" si="8"/>
        <v>17.102833416150965</v>
      </c>
      <c r="AG54" s="31">
        <v>39.040966033935547</v>
      </c>
      <c r="AH54" s="31">
        <v>0.20876820385456085</v>
      </c>
      <c r="AI54" s="31">
        <f t="shared" si="9"/>
        <v>2.2692196071147919E-2</v>
      </c>
      <c r="AJ54" s="31">
        <v>36.344463348388672</v>
      </c>
      <c r="AK54" s="31">
        <v>1.1489443778991699</v>
      </c>
      <c r="AL54" s="32">
        <f t="shared" si="10"/>
        <v>1.2488525846730107</v>
      </c>
    </row>
    <row r="55" spans="1:38" ht="15.15" thickBot="1" x14ac:dyDescent="0.35">
      <c r="A55" s="33" t="s">
        <v>69</v>
      </c>
      <c r="B55" s="30">
        <v>44356</v>
      </c>
      <c r="C55" s="33">
        <v>970</v>
      </c>
      <c r="D55" s="1461" t="s">
        <v>65</v>
      </c>
      <c r="E55" s="30">
        <v>44419</v>
      </c>
      <c r="F55" s="24">
        <v>100</v>
      </c>
      <c r="G55" s="31">
        <v>12.697244644165039</v>
      </c>
      <c r="H55" s="31">
        <v>7547215.5</v>
      </c>
      <c r="I55" s="31">
        <f t="shared" si="14"/>
        <v>7534232.8614461264</v>
      </c>
      <c r="J55" s="31">
        <f t="shared" si="11"/>
        <v>776725.03726248734</v>
      </c>
      <c r="K55" s="31">
        <v>16.238630294799805</v>
      </c>
      <c r="L55" s="31">
        <v>832027.8125</v>
      </c>
      <c r="M55" s="31">
        <f t="shared" si="15"/>
        <v>819045.17394612625</v>
      </c>
      <c r="N55" s="32">
        <f t="shared" si="2"/>
        <v>844376.46798569709</v>
      </c>
      <c r="O55" s="31">
        <v>30.957048416137695</v>
      </c>
      <c r="P55" s="31">
        <v>607.88623046875</v>
      </c>
      <c r="Q55" s="31">
        <f t="shared" si="3"/>
        <v>62.668683553479383</v>
      </c>
      <c r="R55" s="31">
        <v>35.560897827148438</v>
      </c>
      <c r="S55" s="31">
        <v>39.146144866943359</v>
      </c>
      <c r="T55" s="32">
        <f t="shared" si="4"/>
        <v>40.356850378292123</v>
      </c>
      <c r="U55" s="31">
        <v>31.510036468505859</v>
      </c>
      <c r="V55" s="31">
        <v>13.801849365234375</v>
      </c>
      <c r="W55" s="31">
        <f t="shared" si="5"/>
        <v>1.4228710685808634</v>
      </c>
      <c r="X55" s="31">
        <v>36.051712036132813</v>
      </c>
      <c r="Y55" s="31">
        <v>0.74306923151016235</v>
      </c>
      <c r="Z55" s="32">
        <f t="shared" si="6"/>
        <v>0.76605075413418799</v>
      </c>
      <c r="AA55" s="31">
        <v>24.790138244628906</v>
      </c>
      <c r="AB55" s="31">
        <v>90.599784851074219</v>
      </c>
      <c r="AC55" s="31">
        <f t="shared" si="7"/>
        <v>9.3401840052653835</v>
      </c>
      <c r="AD55" t="s">
        <v>66</v>
      </c>
      <c r="AF55" s="32">
        <f t="shared" si="8"/>
        <v>0</v>
      </c>
      <c r="AG55" s="31">
        <v>35.171916961669922</v>
      </c>
      <c r="AH55" s="31">
        <v>2.4118835926055908</v>
      </c>
      <c r="AI55" s="31">
        <f t="shared" si="9"/>
        <v>0.24864779305212276</v>
      </c>
      <c r="AJ55" s="31">
        <v>36.746646881103516</v>
      </c>
      <c r="AK55" s="31">
        <v>0.89090895652770996</v>
      </c>
      <c r="AL55" s="32">
        <f t="shared" si="10"/>
        <v>0.91846284178114423</v>
      </c>
    </row>
    <row r="56" spans="1:38" ht="15.15" thickBot="1" x14ac:dyDescent="0.35">
      <c r="A56" s="33" t="s">
        <v>70</v>
      </c>
      <c r="B56" s="30">
        <v>44356</v>
      </c>
      <c r="C56" s="33">
        <v>900</v>
      </c>
      <c r="D56" s="1461" t="s">
        <v>65</v>
      </c>
      <c r="E56" s="30">
        <v>44419</v>
      </c>
      <c r="F56" s="24">
        <v>100</v>
      </c>
      <c r="G56" s="31">
        <v>11.823856353759766</v>
      </c>
      <c r="H56" s="31">
        <v>13000657</v>
      </c>
      <c r="I56" s="31">
        <f t="shared" si="14"/>
        <v>12987674.361446125</v>
      </c>
      <c r="J56" s="31">
        <f t="shared" si="11"/>
        <v>1443074.9290495694</v>
      </c>
      <c r="K56" s="31">
        <v>14.085411071777344</v>
      </c>
      <c r="L56" s="31">
        <v>3179828.5</v>
      </c>
      <c r="M56" s="31">
        <f t="shared" si="15"/>
        <v>3166845.8614461264</v>
      </c>
      <c r="N56" s="32">
        <f t="shared" si="2"/>
        <v>3518717.6238290295</v>
      </c>
      <c r="O56" s="31">
        <v>30.686494827270508</v>
      </c>
      <c r="P56" s="31">
        <v>714.20257568359375</v>
      </c>
      <c r="Q56" s="31">
        <f t="shared" si="3"/>
        <v>79.355841742621521</v>
      </c>
      <c r="R56" s="31">
        <v>33.709453582763672</v>
      </c>
      <c r="S56" s="31">
        <v>117.95187377929688</v>
      </c>
      <c r="T56" s="32">
        <f t="shared" si="4"/>
        <v>131.05763753255209</v>
      </c>
      <c r="U56" s="31">
        <v>27.779542922973633</v>
      </c>
      <c r="V56" s="31">
        <v>152.12742614746094</v>
      </c>
      <c r="W56" s="31">
        <f t="shared" si="5"/>
        <v>16.90304734971788</v>
      </c>
      <c r="X56" s="31">
        <v>31.160884857177734</v>
      </c>
      <c r="Y56" s="31">
        <v>17.277761459350586</v>
      </c>
      <c r="Z56" s="32">
        <f t="shared" si="6"/>
        <v>19.197512732611763</v>
      </c>
      <c r="AA56" s="31">
        <v>20.617702484130859</v>
      </c>
      <c r="AB56" s="31">
        <v>1477.7003173828125</v>
      </c>
      <c r="AC56" s="31">
        <f t="shared" si="7"/>
        <v>164.18892415364584</v>
      </c>
      <c r="AD56" s="31">
        <v>27.639200210571289</v>
      </c>
      <c r="AE56" s="31">
        <v>13.465558052062988</v>
      </c>
      <c r="AF56" s="32">
        <f t="shared" si="8"/>
        <v>14.961731168958876</v>
      </c>
      <c r="AG56" s="31">
        <v>29.790180206298828</v>
      </c>
      <c r="AH56" s="31">
        <v>72.532157897949219</v>
      </c>
      <c r="AI56" s="31">
        <f t="shared" si="9"/>
        <v>8.0591286553276902</v>
      </c>
      <c r="AJ56" s="31">
        <v>31.794179916381836</v>
      </c>
      <c r="AK56" s="31">
        <v>20.422183990478516</v>
      </c>
      <c r="AL56" s="32">
        <f t="shared" si="10"/>
        <v>22.691315544976128</v>
      </c>
    </row>
    <row r="57" spans="1:38" ht="15.15" thickBot="1" x14ac:dyDescent="0.35">
      <c r="A57" s="33" t="s">
        <v>71</v>
      </c>
      <c r="B57" s="30">
        <v>44356</v>
      </c>
      <c r="C57" s="33">
        <v>920</v>
      </c>
      <c r="D57" s="1461" t="s">
        <v>65</v>
      </c>
      <c r="E57" s="30">
        <v>44419</v>
      </c>
      <c r="F57" s="24">
        <v>100</v>
      </c>
      <c r="G57" s="31">
        <v>8.9698362350463867</v>
      </c>
      <c r="H57" s="31">
        <v>76866880</v>
      </c>
      <c r="I57" s="31">
        <f t="shared" si="14"/>
        <v>76853897.361446127</v>
      </c>
      <c r="J57" s="31">
        <f t="shared" si="11"/>
        <v>8353684.4958093613</v>
      </c>
      <c r="K57" s="31">
        <v>11.260991096496582</v>
      </c>
      <c r="L57" s="31">
        <v>18457518</v>
      </c>
      <c r="M57" s="31">
        <f t="shared" si="15"/>
        <v>18444535.361446127</v>
      </c>
      <c r="N57" s="32">
        <f t="shared" si="2"/>
        <v>20048408.001571879</v>
      </c>
      <c r="O57" s="35" t="s">
        <v>66</v>
      </c>
      <c r="P57" s="35"/>
      <c r="Q57" s="36">
        <f t="shared" si="3"/>
        <v>0</v>
      </c>
      <c r="R57" s="35" t="s">
        <v>66</v>
      </c>
      <c r="S57" s="35"/>
      <c r="T57" s="37">
        <f t="shared" si="4"/>
        <v>0</v>
      </c>
      <c r="U57" s="31">
        <v>28.683868408203125</v>
      </c>
      <c r="V57" s="31">
        <v>85.02490234375</v>
      </c>
      <c r="W57" s="31">
        <f t="shared" si="5"/>
        <v>9.2418372112771738</v>
      </c>
      <c r="X57" s="31">
        <v>32.859733581542969</v>
      </c>
      <c r="Y57" s="31">
        <v>5.7921881675720215</v>
      </c>
      <c r="Z57" s="32">
        <f t="shared" si="6"/>
        <v>6.2958567038826319</v>
      </c>
      <c r="AA57" s="36">
        <v>19.028112411499023</v>
      </c>
      <c r="AB57" s="36">
        <v>4280.5732421875</v>
      </c>
      <c r="AC57" s="36">
        <f t="shared" si="7"/>
        <v>465.27970023777175</v>
      </c>
      <c r="AD57" s="36">
        <v>17.530517578125</v>
      </c>
      <c r="AE57" s="36">
        <v>11659.630859375</v>
      </c>
      <c r="AF57" s="37">
        <f t="shared" si="8"/>
        <v>12673.511803668478</v>
      </c>
      <c r="AG57" s="31">
        <v>33.807731628417969</v>
      </c>
      <c r="AH57" s="31">
        <v>5.715446949005127</v>
      </c>
      <c r="AI57" s="31">
        <f t="shared" si="9"/>
        <v>0.62124423358751379</v>
      </c>
      <c r="AJ57" s="31">
        <v>33.307834625244141</v>
      </c>
      <c r="AK57" s="31">
        <v>7.8406915664672852</v>
      </c>
      <c r="AL57" s="32">
        <f t="shared" si="10"/>
        <v>8.5224908331166151</v>
      </c>
    </row>
    <row r="58" spans="1:38" ht="15.15" thickBot="1" x14ac:dyDescent="0.35">
      <c r="A58" s="33" t="s">
        <v>72</v>
      </c>
      <c r="B58" s="30">
        <v>44356</v>
      </c>
      <c r="C58" s="33">
        <v>920</v>
      </c>
      <c r="D58" s="1461" t="s">
        <v>65</v>
      </c>
      <c r="E58" s="30">
        <v>44419</v>
      </c>
      <c r="F58" s="24">
        <v>100</v>
      </c>
      <c r="G58" s="31">
        <v>17.434112548828125</v>
      </c>
      <c r="H58" s="31">
        <v>395239</v>
      </c>
      <c r="I58" s="31">
        <f t="shared" si="14"/>
        <v>382256.36144612631</v>
      </c>
      <c r="J58" s="31">
        <f t="shared" si="11"/>
        <v>41549.604505013733</v>
      </c>
      <c r="K58" s="31">
        <v>20.229831695556641</v>
      </c>
      <c r="L58" s="31">
        <v>69318.8515625</v>
      </c>
      <c r="M58" s="31">
        <f t="shared" si="15"/>
        <v>56336.213008626306</v>
      </c>
      <c r="N58" s="32">
        <f t="shared" si="2"/>
        <v>61235.014139811203</v>
      </c>
      <c r="O58" s="31">
        <v>31.871515274047852</v>
      </c>
      <c r="P58" s="31">
        <v>352.55459594726563</v>
      </c>
      <c r="Q58" s="31">
        <f t="shared" si="3"/>
        <v>38.321151733398438</v>
      </c>
      <c r="R58" s="31">
        <v>35.353908538818359</v>
      </c>
      <c r="S58" s="31">
        <v>44.283546447753906</v>
      </c>
      <c r="T58" s="32">
        <f t="shared" si="4"/>
        <v>48.134289617123812</v>
      </c>
      <c r="U58" s="31">
        <v>29.387151718139648</v>
      </c>
      <c r="V58" s="31">
        <v>54.082206726074219</v>
      </c>
      <c r="W58" s="31">
        <f t="shared" si="5"/>
        <v>5.8785007310950235</v>
      </c>
      <c r="X58" s="31">
        <v>32.000347137451172</v>
      </c>
      <c r="Y58" s="31">
        <v>10.068120002746582</v>
      </c>
      <c r="Z58" s="32">
        <f t="shared" si="6"/>
        <v>10.94360869863759</v>
      </c>
      <c r="AA58" s="31">
        <v>29.08784294128418</v>
      </c>
      <c r="AB58" s="31">
        <v>5.1081819534301758</v>
      </c>
      <c r="AC58" s="31">
        <f t="shared" si="7"/>
        <v>0.55523716885110608</v>
      </c>
      <c r="AD58" t="s">
        <v>66</v>
      </c>
      <c r="AF58" s="32">
        <f t="shared" si="8"/>
        <v>0</v>
      </c>
      <c r="AG58" s="31">
        <v>38.634250640869141</v>
      </c>
      <c r="AH58" s="31">
        <v>0.27000686526298523</v>
      </c>
      <c r="AI58" s="31">
        <f t="shared" si="9"/>
        <v>2.9348572311194046E-2</v>
      </c>
      <c r="AJ58" t="s">
        <v>66</v>
      </c>
      <c r="AL58" s="32">
        <f t="shared" si="10"/>
        <v>0</v>
      </c>
    </row>
    <row r="59" spans="1:38" ht="15.15" thickBot="1" x14ac:dyDescent="0.35">
      <c r="A59" s="33" t="s">
        <v>73</v>
      </c>
      <c r="B59" s="30">
        <v>44356</v>
      </c>
      <c r="C59" s="33">
        <v>965</v>
      </c>
      <c r="D59" s="1461" t="s">
        <v>65</v>
      </c>
      <c r="E59" s="30">
        <v>44419</v>
      </c>
      <c r="F59" s="24">
        <v>100</v>
      </c>
      <c r="G59" s="31">
        <v>17.164787292480469</v>
      </c>
      <c r="H59" s="31">
        <v>467401.125</v>
      </c>
      <c r="I59" s="31">
        <f t="shared" si="14"/>
        <v>454418.48644612631</v>
      </c>
      <c r="J59" s="31">
        <f t="shared" si="11"/>
        <v>47089.998595453508</v>
      </c>
      <c r="K59" s="31">
        <v>20.336545944213867</v>
      </c>
      <c r="L59" s="31">
        <v>64862.55859375</v>
      </c>
      <c r="M59" s="31">
        <f t="shared" si="15"/>
        <v>51879.920039876306</v>
      </c>
      <c r="N59" s="32">
        <f t="shared" si="2"/>
        <v>53761.575170856275</v>
      </c>
      <c r="O59" s="31">
        <v>35.266475677490234</v>
      </c>
      <c r="P59" s="31">
        <v>46.651271820068359</v>
      </c>
      <c r="Q59" s="31">
        <f t="shared" si="3"/>
        <v>4.8343286860174466</v>
      </c>
      <c r="R59" t="s">
        <v>66</v>
      </c>
      <c r="T59" s="32">
        <f t="shared" si="4"/>
        <v>0</v>
      </c>
      <c r="U59" s="31">
        <v>33.721363067626953</v>
      </c>
      <c r="V59" s="31">
        <v>3.3274400234222412</v>
      </c>
      <c r="W59" s="31">
        <f t="shared" si="5"/>
        <v>0.34481243766033587</v>
      </c>
      <c r="X59" t="s">
        <v>66</v>
      </c>
      <c r="Y59" t="s">
        <v>82</v>
      </c>
      <c r="Z59" s="32"/>
      <c r="AA59" s="31">
        <v>32.185390472412109</v>
      </c>
      <c r="AB59" s="31">
        <v>0.64291960000991821</v>
      </c>
      <c r="AC59" s="31">
        <f t="shared" si="7"/>
        <v>6.662379274714178E-2</v>
      </c>
      <c r="AD59" s="31">
        <v>33.152202606201172</v>
      </c>
      <c r="AE59" s="31">
        <v>0.33667650818824768</v>
      </c>
      <c r="AF59" s="32">
        <f t="shared" si="8"/>
        <v>0.34888757325207015</v>
      </c>
      <c r="AG59" t="s">
        <v>66</v>
      </c>
      <c r="AI59" s="31">
        <f t="shared" si="9"/>
        <v>0</v>
      </c>
      <c r="AJ59" t="s">
        <v>66</v>
      </c>
      <c r="AL59" s="32">
        <f t="shared" si="10"/>
        <v>0</v>
      </c>
    </row>
    <row r="60" spans="1:38" ht="15.15" thickBot="1" x14ac:dyDescent="0.35">
      <c r="A60" s="33" t="s">
        <v>74</v>
      </c>
      <c r="B60" s="30">
        <v>44356</v>
      </c>
      <c r="C60" s="33">
        <v>1000</v>
      </c>
      <c r="D60" s="1461" t="s">
        <v>65</v>
      </c>
      <c r="E60" s="30">
        <v>44419</v>
      </c>
      <c r="F60" s="24">
        <v>100</v>
      </c>
      <c r="G60" s="31">
        <v>19.574769973754883</v>
      </c>
      <c r="H60" s="31">
        <v>104229.5390625</v>
      </c>
      <c r="I60" s="31">
        <f t="shared" si="14"/>
        <v>91246.900508626306</v>
      </c>
      <c r="J60" s="31">
        <f t="shared" si="11"/>
        <v>9124.6900508626313</v>
      </c>
      <c r="K60" s="31">
        <v>22.431432723999023</v>
      </c>
      <c r="L60" s="31">
        <v>17599.578125</v>
      </c>
      <c r="M60" s="31">
        <f t="shared" si="15"/>
        <v>4616.9395711263023</v>
      </c>
      <c r="N60" s="32">
        <f t="shared" si="2"/>
        <v>4616.9395711263023</v>
      </c>
      <c r="O60" s="31">
        <v>33.236808776855469</v>
      </c>
      <c r="P60" s="31">
        <v>156.31120300292969</v>
      </c>
      <c r="Q60" s="31">
        <f t="shared" si="3"/>
        <v>15.631120300292968</v>
      </c>
      <c r="R60" s="31">
        <v>36.628978729248047</v>
      </c>
      <c r="S60" s="31">
        <v>20.71806526184082</v>
      </c>
      <c r="T60" s="32">
        <f t="shared" si="4"/>
        <v>20.71806526184082</v>
      </c>
      <c r="U60" s="31">
        <v>32.386898040771484</v>
      </c>
      <c r="V60" s="31">
        <v>7.8514366149902344</v>
      </c>
      <c r="W60" s="31">
        <f t="shared" si="5"/>
        <v>0.78514366149902348</v>
      </c>
      <c r="X60" s="31">
        <v>34.804317474365234</v>
      </c>
      <c r="Y60" s="31">
        <v>1.6578353643417358</v>
      </c>
      <c r="Z60" s="32">
        <f t="shared" si="6"/>
        <v>1.6578353643417358</v>
      </c>
      <c r="AA60" s="31">
        <v>28.558544158935547</v>
      </c>
      <c r="AB60" s="31">
        <v>7.2790412902832031</v>
      </c>
      <c r="AC60" s="31">
        <f t="shared" si="7"/>
        <v>0.72790412902832036</v>
      </c>
      <c r="AD60" s="31">
        <v>31.440120697021484</v>
      </c>
      <c r="AE60" s="31">
        <v>1.0585783720016479</v>
      </c>
      <c r="AF60" s="32">
        <f t="shared" si="8"/>
        <v>1.0585783720016479</v>
      </c>
      <c r="AG60" t="s">
        <v>66</v>
      </c>
      <c r="AI60" s="31">
        <f t="shared" si="9"/>
        <v>0</v>
      </c>
      <c r="AJ60" s="31">
        <v>38.5850830078125</v>
      </c>
      <c r="AK60" s="31">
        <v>0.27853477001190186</v>
      </c>
      <c r="AL60" s="32">
        <f t="shared" si="10"/>
        <v>0.27853477001190186</v>
      </c>
    </row>
    <row r="61" spans="1:38" ht="15.15" thickBot="1" x14ac:dyDescent="0.35">
      <c r="A61" s="33" t="s">
        <v>75</v>
      </c>
      <c r="B61" s="30">
        <v>44356</v>
      </c>
      <c r="C61" s="33">
        <v>955</v>
      </c>
      <c r="D61" s="1461" t="s">
        <v>65</v>
      </c>
      <c r="E61" s="30">
        <v>44419</v>
      </c>
      <c r="F61" s="24">
        <v>100</v>
      </c>
      <c r="G61" s="31">
        <v>19.823375701904297</v>
      </c>
      <c r="H61" s="31">
        <v>89281.9609375</v>
      </c>
      <c r="I61" s="31">
        <f t="shared" si="14"/>
        <v>76299.322383626306</v>
      </c>
      <c r="J61" s="31">
        <f t="shared" si="11"/>
        <v>7989.4578412174142</v>
      </c>
      <c r="K61" s="31">
        <v>21.99260139465332</v>
      </c>
      <c r="L61" s="31">
        <v>23129.669921875</v>
      </c>
      <c r="M61" s="31">
        <f t="shared" si="15"/>
        <v>10147.031368001302</v>
      </c>
      <c r="N61" s="32">
        <f t="shared" si="2"/>
        <v>10625.163736127019</v>
      </c>
      <c r="O61" s="31">
        <v>31.950275421142578</v>
      </c>
      <c r="P61" s="31">
        <v>336.39468383789063</v>
      </c>
      <c r="Q61" s="31">
        <f t="shared" si="3"/>
        <v>35.224574223862895</v>
      </c>
      <c r="R61" s="31">
        <v>35.962715148925781</v>
      </c>
      <c r="S61" s="31">
        <v>30.812616348266602</v>
      </c>
      <c r="T61" s="32">
        <f t="shared" si="4"/>
        <v>32.264519736404822</v>
      </c>
      <c r="U61" s="31">
        <v>34.748325347900391</v>
      </c>
      <c r="V61" s="31">
        <v>1.718640923500061</v>
      </c>
      <c r="W61" s="31">
        <f t="shared" si="5"/>
        <v>0.17996240036649855</v>
      </c>
      <c r="X61" s="31">
        <v>34.159389495849609</v>
      </c>
      <c r="Y61" s="31">
        <v>2.5103201866149902</v>
      </c>
      <c r="Z61" s="32">
        <f t="shared" si="6"/>
        <v>2.6286075252512986</v>
      </c>
      <c r="AA61" s="31">
        <v>27.966323852539063</v>
      </c>
      <c r="AB61" s="31">
        <v>10.818478584289551</v>
      </c>
      <c r="AC61" s="31">
        <f t="shared" si="7"/>
        <v>1.1328249826481205</v>
      </c>
      <c r="AD61" t="s">
        <v>66</v>
      </c>
      <c r="AF61" s="32">
        <f t="shared" si="8"/>
        <v>0</v>
      </c>
      <c r="AG61" s="31">
        <v>36.682628631591797</v>
      </c>
      <c r="AH61" s="31">
        <v>0.92771989107131958</v>
      </c>
      <c r="AI61" s="31">
        <f t="shared" si="9"/>
        <v>9.7143444091237652E-2</v>
      </c>
      <c r="AJ61" s="31">
        <v>38.455600738525391</v>
      </c>
      <c r="AK61" s="31">
        <v>0.30230382084846497</v>
      </c>
      <c r="AL61" s="32">
        <f t="shared" si="10"/>
        <v>0.31654850350624603</v>
      </c>
    </row>
    <row r="62" spans="1:38" ht="15.15" thickBot="1" x14ac:dyDescent="0.35">
      <c r="A62" s="33" t="s">
        <v>76</v>
      </c>
      <c r="B62" t="s">
        <v>336</v>
      </c>
      <c r="C62" s="33" t="s">
        <v>336</v>
      </c>
      <c r="D62" s="1461" t="s">
        <v>349</v>
      </c>
      <c r="I62" s="31"/>
      <c r="J62" s="31"/>
      <c r="M62" s="31"/>
      <c r="N62" s="32"/>
      <c r="Q62" s="31"/>
      <c r="T62" s="32"/>
      <c r="W62" s="31"/>
      <c r="Z62" s="32"/>
      <c r="AC62" s="31"/>
      <c r="AF62" s="32"/>
      <c r="AI62" s="31"/>
      <c r="AL62" s="32"/>
    </row>
    <row r="63" spans="1:38" ht="15.15" thickBot="1" x14ac:dyDescent="0.35">
      <c r="A63" s="33" t="s">
        <v>77</v>
      </c>
      <c r="B63" t="s">
        <v>336</v>
      </c>
      <c r="C63" s="33" t="s">
        <v>336</v>
      </c>
      <c r="D63" s="1461" t="s">
        <v>349</v>
      </c>
      <c r="I63" s="31"/>
      <c r="J63" s="31"/>
      <c r="M63" s="31"/>
      <c r="N63" s="32"/>
      <c r="Q63" s="31"/>
      <c r="T63" s="32"/>
      <c r="W63" s="31"/>
      <c r="Z63" s="32"/>
      <c r="AC63" s="31"/>
      <c r="AF63" s="32"/>
      <c r="AI63" s="31"/>
      <c r="AL63" s="32"/>
    </row>
    <row r="64" spans="1:38" ht="15.15" thickBot="1" x14ac:dyDescent="0.35">
      <c r="A64" s="33" t="s">
        <v>78</v>
      </c>
      <c r="B64" s="30">
        <v>44356</v>
      </c>
      <c r="C64" s="33">
        <v>1000</v>
      </c>
      <c r="D64" s="1461" t="s">
        <v>65</v>
      </c>
      <c r="E64" s="30">
        <v>44419</v>
      </c>
      <c r="F64" s="24">
        <v>100</v>
      </c>
      <c r="G64" s="31">
        <v>12.337592124938965</v>
      </c>
      <c r="H64" s="31">
        <v>9441537</v>
      </c>
      <c r="I64" s="31">
        <f>H64-$H$265</f>
        <v>9428554.3614461254</v>
      </c>
      <c r="J64" s="31">
        <f t="shared" si="11"/>
        <v>942855.4361446125</v>
      </c>
      <c r="K64" s="31">
        <v>14.832536697387695</v>
      </c>
      <c r="L64" s="31">
        <v>1996956.75</v>
      </c>
      <c r="M64" s="31">
        <f>L64-$H$265</f>
        <v>1983974.1114461264</v>
      </c>
      <c r="N64" s="32">
        <f t="shared" si="2"/>
        <v>1983974.1114461264</v>
      </c>
      <c r="O64" s="31">
        <v>33.437702178955078</v>
      </c>
      <c r="P64" s="31">
        <v>138.68000793457031</v>
      </c>
      <c r="Q64" s="31">
        <f t="shared" si="3"/>
        <v>13.868000793457032</v>
      </c>
      <c r="R64" s="31">
        <v>36.882537841796875</v>
      </c>
      <c r="S64" s="31">
        <v>17.813405990600586</v>
      </c>
      <c r="T64" s="32">
        <f t="shared" si="4"/>
        <v>17.813405990600586</v>
      </c>
      <c r="U64" s="31">
        <v>27.409944534301758</v>
      </c>
      <c r="V64" s="31">
        <v>192.96136474609375</v>
      </c>
      <c r="W64" s="31">
        <f t="shared" si="5"/>
        <v>19.296136474609376</v>
      </c>
      <c r="X64" s="31">
        <v>32.521514892578125</v>
      </c>
      <c r="Y64" s="31">
        <v>7.2000956535339355</v>
      </c>
      <c r="Z64" s="32">
        <f t="shared" si="6"/>
        <v>7.2000956535339355</v>
      </c>
      <c r="AA64" s="31">
        <v>22.89610481262207</v>
      </c>
      <c r="AB64" s="31">
        <v>321.743896484375</v>
      </c>
      <c r="AC64" s="31">
        <f t="shared" si="7"/>
        <v>32.174389648437497</v>
      </c>
      <c r="AD64" s="31">
        <v>26.957767486572266</v>
      </c>
      <c r="AE64" s="31">
        <v>21.244203567504883</v>
      </c>
      <c r="AF64" s="32">
        <f t="shared" si="8"/>
        <v>21.244203567504883</v>
      </c>
      <c r="AG64" s="31">
        <v>19.683479309082031</v>
      </c>
      <c r="AH64" s="31">
        <v>43299.87890625</v>
      </c>
      <c r="AI64" s="31">
        <f t="shared" si="9"/>
        <v>4329.9878906249996</v>
      </c>
      <c r="AJ64" s="31">
        <v>22.952985763549805</v>
      </c>
      <c r="AK64" s="31">
        <v>5476.05712890625</v>
      </c>
      <c r="AL64" s="32">
        <f t="shared" si="10"/>
        <v>5476.05712890625</v>
      </c>
    </row>
    <row r="65" spans="1:39" ht="15.15" thickBot="1" x14ac:dyDescent="0.35">
      <c r="A65" s="33" t="s">
        <v>79</v>
      </c>
      <c r="B65" s="30">
        <v>44356</v>
      </c>
      <c r="C65" s="33">
        <v>950</v>
      </c>
      <c r="D65" s="1461" t="s">
        <v>65</v>
      </c>
      <c r="E65" s="30">
        <v>44419</v>
      </c>
      <c r="F65" s="24">
        <v>100</v>
      </c>
      <c r="G65" s="31">
        <v>14.569214820861816</v>
      </c>
      <c r="H65" s="31">
        <v>2352747</v>
      </c>
      <c r="I65" s="31">
        <f>H65-$H$265</f>
        <v>2339764.3614461264</v>
      </c>
      <c r="J65" s="31">
        <f t="shared" si="11"/>
        <v>246290.98541538173</v>
      </c>
      <c r="K65" s="31">
        <v>17.354381561279297</v>
      </c>
      <c r="L65" s="31">
        <v>415355.875</v>
      </c>
      <c r="M65" s="31">
        <f>L65-$H$265</f>
        <v>402373.23644612631</v>
      </c>
      <c r="N65" s="32">
        <f t="shared" si="2"/>
        <v>423550.77520644874</v>
      </c>
      <c r="O65" s="31">
        <v>30.955904006958008</v>
      </c>
      <c r="P65" s="31">
        <v>608.30078125</v>
      </c>
      <c r="Q65" s="31">
        <f t="shared" si="3"/>
        <v>64.03166118421052</v>
      </c>
      <c r="R65" s="31">
        <v>33.98919677734375</v>
      </c>
      <c r="S65" s="31">
        <v>99.845420837402344</v>
      </c>
      <c r="T65" s="32">
        <f t="shared" si="4"/>
        <v>105.10044298673931</v>
      </c>
      <c r="U65" s="31">
        <v>27.315841674804688</v>
      </c>
      <c r="V65" s="31">
        <v>205.00381469726563</v>
      </c>
      <c r="W65" s="31">
        <f t="shared" si="5"/>
        <v>21.579348915501644</v>
      </c>
      <c r="X65" s="31">
        <v>30.989604949951172</v>
      </c>
      <c r="Y65" s="31">
        <v>19.290420532226563</v>
      </c>
      <c r="Z65" s="32">
        <f t="shared" si="6"/>
        <v>20.30570582339638</v>
      </c>
      <c r="AA65" s="31">
        <v>29.766000747680664</v>
      </c>
      <c r="AB65" s="31">
        <v>3.2449047565460205</v>
      </c>
      <c r="AC65" s="31">
        <f t="shared" si="7"/>
        <v>0.34156892174168635</v>
      </c>
      <c r="AD65" t="s">
        <v>66</v>
      </c>
      <c r="AF65" s="32">
        <f t="shared" si="8"/>
        <v>0</v>
      </c>
      <c r="AG65" s="31">
        <v>23.404335021972656</v>
      </c>
      <c r="AH65" s="31">
        <v>4116.21630859375</v>
      </c>
      <c r="AI65" s="31">
        <f t="shared" si="9"/>
        <v>433.28592722039474</v>
      </c>
      <c r="AJ65" s="31">
        <v>23.877410888671875</v>
      </c>
      <c r="AK65" s="31">
        <v>3051.83349609375</v>
      </c>
      <c r="AL65" s="32">
        <f t="shared" si="10"/>
        <v>3212.4563116776317</v>
      </c>
    </row>
    <row r="66" spans="1:39" ht="15.15" thickBot="1" x14ac:dyDescent="0.35">
      <c r="A66" s="33" t="s">
        <v>80</v>
      </c>
      <c r="B66" s="30">
        <v>44356</v>
      </c>
      <c r="C66" s="33">
        <v>900</v>
      </c>
      <c r="D66" s="1461" t="s">
        <v>65</v>
      </c>
      <c r="E66" s="30">
        <v>44419</v>
      </c>
      <c r="F66" s="24">
        <v>100</v>
      </c>
      <c r="G66" s="31">
        <v>18.915332794189453</v>
      </c>
      <c r="H66" s="31">
        <v>157149.671875</v>
      </c>
      <c r="I66" s="31">
        <f>H66-$H$265</f>
        <v>144167.03332112631</v>
      </c>
      <c r="J66" s="31">
        <f t="shared" si="11"/>
        <v>16018.559257902923</v>
      </c>
      <c r="K66" s="31">
        <v>22.420406341552734</v>
      </c>
      <c r="L66" s="31">
        <v>17720.826171875</v>
      </c>
      <c r="M66" s="31">
        <f>L66-$H$265</f>
        <v>4738.1876180013023</v>
      </c>
      <c r="N66" s="32">
        <f t="shared" si="2"/>
        <v>5264.6529088903362</v>
      </c>
      <c r="O66" s="31">
        <v>32.904331207275391</v>
      </c>
      <c r="P66" s="31">
        <v>190.55070495605469</v>
      </c>
      <c r="Q66" s="31">
        <f t="shared" si="3"/>
        <v>21.172300550672745</v>
      </c>
      <c r="R66" s="31">
        <v>36.188751220703125</v>
      </c>
      <c r="S66" s="31">
        <v>26.93067741394043</v>
      </c>
      <c r="T66" s="32">
        <f t="shared" si="4"/>
        <v>29.922974904378254</v>
      </c>
      <c r="U66" s="31">
        <v>32.074577331542969</v>
      </c>
      <c r="V66" s="31">
        <v>9.5986261367797852</v>
      </c>
      <c r="W66" s="31">
        <f t="shared" si="5"/>
        <v>1.0665140151977539</v>
      </c>
      <c r="X66" s="31">
        <v>35.004840850830078</v>
      </c>
      <c r="Y66" s="31">
        <v>1.4571919441223145</v>
      </c>
      <c r="Z66" s="32">
        <f t="shared" si="6"/>
        <v>1.619102160135905</v>
      </c>
      <c r="AA66" s="31">
        <v>26.531801223754883</v>
      </c>
      <c r="AB66" s="31">
        <v>28.25016975402832</v>
      </c>
      <c r="AC66" s="31">
        <f t="shared" si="7"/>
        <v>3.1389077504475913</v>
      </c>
      <c r="AD66" s="31">
        <v>30.411594390869141</v>
      </c>
      <c r="AE66" s="31">
        <v>2.1066882610321045</v>
      </c>
      <c r="AF66" s="32">
        <f t="shared" si="8"/>
        <v>2.3407647344801159</v>
      </c>
      <c r="AG66" s="31">
        <v>32.700084686279297</v>
      </c>
      <c r="AH66" s="31">
        <v>11.515477180480957</v>
      </c>
      <c r="AI66" s="31">
        <f t="shared" si="9"/>
        <v>1.279497464497884</v>
      </c>
      <c r="AJ66" s="31">
        <v>37.256065368652344</v>
      </c>
      <c r="AK66" s="31">
        <v>0.64552628993988037</v>
      </c>
      <c r="AL66" s="32">
        <f t="shared" si="10"/>
        <v>0.71725143326653373</v>
      </c>
    </row>
    <row r="67" spans="1:39" s="44" customFormat="1" ht="13.5" customHeight="1" thickBot="1" x14ac:dyDescent="0.35">
      <c r="A67" s="38" t="s">
        <v>81</v>
      </c>
      <c r="B67" s="39">
        <v>44356</v>
      </c>
      <c r="C67" s="38">
        <v>900</v>
      </c>
      <c r="D67" s="40" t="s">
        <v>65</v>
      </c>
      <c r="E67" s="39">
        <v>44419</v>
      </c>
      <c r="F67" s="41">
        <v>100</v>
      </c>
      <c r="G67" s="31">
        <v>19.072219848632813</v>
      </c>
      <c r="H67" s="31">
        <v>142524.203125</v>
      </c>
      <c r="I67" s="31">
        <f>H67-$H$265</f>
        <v>129541.56457112631</v>
      </c>
      <c r="J67" s="31">
        <f>(I67*$F67)/$C67</f>
        <v>14393.50717456959</v>
      </c>
      <c r="K67" s="31">
        <v>21.996492385864258</v>
      </c>
      <c r="L67" s="31">
        <v>23073.701171875</v>
      </c>
      <c r="M67" s="31">
        <f>L67-$H$265</f>
        <v>10091.062618001302</v>
      </c>
      <c r="N67" s="32">
        <f t="shared" si="2"/>
        <v>11212.291797779226</v>
      </c>
      <c r="O67" s="31">
        <v>34.544281005859375</v>
      </c>
      <c r="P67" s="31">
        <v>71.732124328613281</v>
      </c>
      <c r="Q67" s="42">
        <f t="shared" si="3"/>
        <v>7.9702360365125866</v>
      </c>
      <c r="R67" s="31">
        <v>37.619564056396484</v>
      </c>
      <c r="S67" s="31">
        <v>11.483109474182129</v>
      </c>
      <c r="T67" s="43">
        <f t="shared" si="4"/>
        <v>12.759010526869032</v>
      </c>
      <c r="U67" s="31">
        <v>32.600074768066406</v>
      </c>
      <c r="V67" s="31">
        <v>6.8452491760253906</v>
      </c>
      <c r="W67" s="31">
        <f t="shared" si="5"/>
        <v>0.760583241780599</v>
      </c>
      <c r="X67" s="31">
        <v>35.031806945800781</v>
      </c>
      <c r="Y67" s="31">
        <v>1.4321306943893433</v>
      </c>
      <c r="Z67" s="32">
        <f t="shared" si="6"/>
        <v>1.5912563270992703</v>
      </c>
      <c r="AA67" s="31">
        <v>24.874170303344727</v>
      </c>
      <c r="AB67" s="31">
        <v>85.646278381347656</v>
      </c>
      <c r="AC67" s="31">
        <f t="shared" si="7"/>
        <v>9.5162531534830723</v>
      </c>
      <c r="AD67" s="31">
        <v>28.392999649047852</v>
      </c>
      <c r="AE67" s="31">
        <v>8.1316633224487305</v>
      </c>
      <c r="AF67" s="32">
        <f t="shared" si="8"/>
        <v>9.0351814693874779</v>
      </c>
      <c r="AG67" s="31">
        <v>33.45404052734375</v>
      </c>
      <c r="AH67" s="31">
        <v>7.148200511932373</v>
      </c>
      <c r="AI67" s="31">
        <f t="shared" si="9"/>
        <v>0.79424450132581925</v>
      </c>
      <c r="AJ67" t="s">
        <v>66</v>
      </c>
      <c r="AK67"/>
      <c r="AL67" s="32">
        <f t="shared" si="10"/>
        <v>0</v>
      </c>
      <c r="AM67"/>
    </row>
    <row r="68" spans="1:39" s="1468" customFormat="1" ht="29.95" customHeight="1" thickBot="1" x14ac:dyDescent="0.35">
      <c r="A68" s="1464" t="s">
        <v>350</v>
      </c>
      <c r="B68" s="1465"/>
      <c r="C68" s="1464"/>
      <c r="D68" s="1466"/>
      <c r="E68" s="1465"/>
      <c r="F68" s="1467"/>
      <c r="I68" s="1469"/>
      <c r="J68" s="1469"/>
      <c r="M68" s="1469"/>
      <c r="N68" s="1470"/>
      <c r="Q68" s="1471"/>
      <c r="T68" s="1472"/>
      <c r="W68" s="1469"/>
      <c r="X68" s="1473"/>
      <c r="Y68" s="1473"/>
      <c r="Z68" s="1470"/>
      <c r="AA68" s="1473"/>
      <c r="AB68" s="1473"/>
      <c r="AC68" s="1469"/>
      <c r="AD68" s="1473"/>
      <c r="AE68" s="1473"/>
      <c r="AF68" s="1470"/>
      <c r="AG68" s="1473"/>
      <c r="AH68" s="1473"/>
      <c r="AI68" s="1469"/>
      <c r="AJ68" s="1473"/>
      <c r="AK68" s="1473"/>
      <c r="AL68" s="1470"/>
      <c r="AM68" s="1473"/>
    </row>
    <row r="69" spans="1:39" ht="15.15" thickBot="1" x14ac:dyDescent="0.35">
      <c r="A69" s="29" t="s">
        <v>64</v>
      </c>
      <c r="B69" s="30">
        <v>44363</v>
      </c>
      <c r="C69" s="29">
        <v>920</v>
      </c>
      <c r="D69" s="1461" t="s">
        <v>65</v>
      </c>
      <c r="E69" s="30">
        <v>44420</v>
      </c>
      <c r="F69" s="24">
        <v>100</v>
      </c>
      <c r="G69" s="31">
        <v>15.97596549987793</v>
      </c>
      <c r="H69" s="31">
        <v>979866.0625</v>
      </c>
      <c r="I69" s="31">
        <f t="shared" ref="I69:I76" si="16">H69-$H$265</f>
        <v>966883.42394612625</v>
      </c>
      <c r="J69" s="31">
        <f>(I69*$F69)/$C69</f>
        <v>105096.02434197025</v>
      </c>
      <c r="K69" s="31">
        <v>17.763509750366211</v>
      </c>
      <c r="L69" s="31">
        <v>321947.71875</v>
      </c>
      <c r="M69" s="31">
        <f t="shared" ref="M69:M76" si="17">L69-$H$265</f>
        <v>308965.08019612631</v>
      </c>
      <c r="N69" s="32">
        <f t="shared" ref="N69:N132" si="18">(M69*($F69*10))/($C69)</f>
        <v>335831.60890883289</v>
      </c>
      <c r="O69" t="s">
        <v>66</v>
      </c>
      <c r="Q69" s="31">
        <f t="shared" ref="Q69:Q132" si="19">(P69*$F69)/$C69</f>
        <v>0</v>
      </c>
      <c r="R69" t="s">
        <v>66</v>
      </c>
      <c r="T69" s="32">
        <f t="shared" ref="T69:T132" si="20">(S69*($F69*10))/($C69)</f>
        <v>0</v>
      </c>
      <c r="U69" s="31">
        <v>33.378482818603516</v>
      </c>
      <c r="V69" s="31">
        <v>4.1486639976501465</v>
      </c>
      <c r="W69" s="31">
        <f t="shared" ref="W69:W132" si="21">(V69*$F69)/$C69</f>
        <v>0.45094173887501593</v>
      </c>
      <c r="X69" s="31">
        <v>36.144233703613281</v>
      </c>
      <c r="Y69" s="31">
        <v>0.70013123750686646</v>
      </c>
      <c r="Z69" s="32">
        <f t="shared" ref="Z69:Z132" si="22">(Y69*($F69*10))/($C69)</f>
        <v>0.76101221468137659</v>
      </c>
      <c r="AA69" s="31">
        <v>19.145620346069336</v>
      </c>
      <c r="AB69" s="31">
        <v>3956.904296875</v>
      </c>
      <c r="AC69" s="31">
        <f t="shared" ref="AC69:AC132" si="23">(AB69*$F69)/$C69</f>
        <v>430.09829313858694</v>
      </c>
      <c r="AD69" s="31">
        <v>23.172460556030273</v>
      </c>
      <c r="AE69" s="31">
        <v>267.4266357421875</v>
      </c>
      <c r="AF69" s="32">
        <f t="shared" ref="AF69:AF132" si="24">(AE69*($F69*10))/($C69)</f>
        <v>290.68112580672556</v>
      </c>
      <c r="AG69" s="31">
        <v>38.450950622558594</v>
      </c>
      <c r="AH69" s="31">
        <v>0.30319419503211975</v>
      </c>
      <c r="AI69" s="31">
        <f t="shared" ref="AI69:AI132" si="25">(AH69*$F69)/$C69</f>
        <v>3.295589076436084E-2</v>
      </c>
      <c r="AJ69" s="31">
        <v>39.59222412109375</v>
      </c>
      <c r="AK69" s="31">
        <v>0.14731708168983459</v>
      </c>
      <c r="AL69" s="32">
        <f t="shared" ref="AL69:AL132" si="26">(AK69*($F69*10))/($C69)</f>
        <v>0.16012726270634195</v>
      </c>
    </row>
    <row r="70" spans="1:39" ht="15.15" thickBot="1" x14ac:dyDescent="0.35">
      <c r="A70" s="33" t="s">
        <v>67</v>
      </c>
      <c r="B70" s="30">
        <v>44363</v>
      </c>
      <c r="C70" s="33">
        <v>900</v>
      </c>
      <c r="D70" s="1461" t="s">
        <v>65</v>
      </c>
      <c r="E70" s="30">
        <v>44420</v>
      </c>
      <c r="F70" s="24">
        <v>100</v>
      </c>
      <c r="G70" s="31">
        <v>12.874423027038574</v>
      </c>
      <c r="H70" s="31">
        <v>6758881</v>
      </c>
      <c r="I70" s="31">
        <f t="shared" si="16"/>
        <v>6745898.3614461264</v>
      </c>
      <c r="J70" s="31">
        <f>(I70*$F70)/$C70</f>
        <v>749544.26238290302</v>
      </c>
      <c r="K70" s="31">
        <v>15.639421463012695</v>
      </c>
      <c r="L70" s="31">
        <v>1208297.125</v>
      </c>
      <c r="M70" s="31">
        <f t="shared" si="17"/>
        <v>1195314.4864461264</v>
      </c>
      <c r="N70" s="32">
        <f t="shared" si="18"/>
        <v>1328127.2071623628</v>
      </c>
      <c r="O70" t="s">
        <v>66</v>
      </c>
      <c r="Q70" s="31">
        <f t="shared" si="19"/>
        <v>0</v>
      </c>
      <c r="R70" t="s">
        <v>66</v>
      </c>
      <c r="T70" s="32">
        <f t="shared" si="20"/>
        <v>0</v>
      </c>
      <c r="U70" s="31">
        <v>32.362159729003906</v>
      </c>
      <c r="V70" s="31">
        <v>7.9773898124694824</v>
      </c>
      <c r="W70" s="31">
        <f t="shared" si="21"/>
        <v>0.88637664582994247</v>
      </c>
      <c r="X70" s="31">
        <v>35.509494781494141</v>
      </c>
      <c r="Y70" s="31">
        <v>1.0532232522964478</v>
      </c>
      <c r="Z70" s="32">
        <f t="shared" si="22"/>
        <v>1.1702480581071641</v>
      </c>
      <c r="AA70" s="31">
        <v>12.941454887390137</v>
      </c>
      <c r="AB70" s="31">
        <v>251310.546875</v>
      </c>
      <c r="AC70" s="31">
        <f t="shared" si="23"/>
        <v>27923.394097222223</v>
      </c>
      <c r="AD70" s="31">
        <v>15.813839912414551</v>
      </c>
      <c r="AE70" s="31">
        <v>36773.12109375</v>
      </c>
      <c r="AF70" s="32">
        <f t="shared" si="24"/>
        <v>40859.0234375</v>
      </c>
      <c r="AG70" s="31">
        <v>34.743270874023438</v>
      </c>
      <c r="AH70" s="31">
        <v>3.1629359722137451</v>
      </c>
      <c r="AI70" s="31">
        <f t="shared" si="25"/>
        <v>0.35143733024597168</v>
      </c>
      <c r="AJ70" s="31">
        <v>36.500080108642578</v>
      </c>
      <c r="AK70" s="31">
        <v>1.0412536859512329</v>
      </c>
      <c r="AL70" s="32">
        <f t="shared" si="26"/>
        <v>1.1569485399458144</v>
      </c>
    </row>
    <row r="71" spans="1:39" ht="15.15" thickBot="1" x14ac:dyDescent="0.35">
      <c r="A71" s="33" t="s">
        <v>68</v>
      </c>
      <c r="B71" s="30">
        <v>44363</v>
      </c>
      <c r="C71" s="33">
        <v>900</v>
      </c>
      <c r="D71" s="1461" t="s">
        <v>65</v>
      </c>
      <c r="E71" s="30">
        <v>44420</v>
      </c>
      <c r="F71" s="24">
        <v>100</v>
      </c>
      <c r="G71" s="31">
        <v>12.8616943359375</v>
      </c>
      <c r="H71" s="31">
        <v>6812662</v>
      </c>
      <c r="I71" s="31">
        <f t="shared" si="16"/>
        <v>6799679.3614461264</v>
      </c>
      <c r="J71" s="31">
        <f>(I71*$F71)/$C71</f>
        <v>755519.92904956965</v>
      </c>
      <c r="K71" s="31">
        <v>15.643561363220215</v>
      </c>
      <c r="L71" s="31">
        <v>1205186.5</v>
      </c>
      <c r="M71" s="31">
        <f t="shared" si="17"/>
        <v>1192203.8614461264</v>
      </c>
      <c r="N71" s="32">
        <f t="shared" si="18"/>
        <v>1324670.9571623628</v>
      </c>
      <c r="O71" t="s">
        <v>66</v>
      </c>
      <c r="Q71" s="31">
        <f t="shared" si="19"/>
        <v>0</v>
      </c>
      <c r="R71" t="s">
        <v>66</v>
      </c>
      <c r="T71" s="32">
        <f t="shared" si="20"/>
        <v>0</v>
      </c>
      <c r="U71" s="31">
        <v>37.218513488769531</v>
      </c>
      <c r="V71" s="31">
        <v>0.35077953338623047</v>
      </c>
      <c r="W71" s="31">
        <f t="shared" si="21"/>
        <v>3.8975503709581166E-2</v>
      </c>
      <c r="X71" t="s">
        <v>66</v>
      </c>
      <c r="Z71" s="32">
        <f t="shared" si="22"/>
        <v>0</v>
      </c>
      <c r="AA71" s="31">
        <v>30.377130508422852</v>
      </c>
      <c r="AB71" s="31">
        <v>2.1558327674865723</v>
      </c>
      <c r="AC71" s="31">
        <f t="shared" si="23"/>
        <v>0.23953697416517469</v>
      </c>
      <c r="AD71" t="s">
        <v>66</v>
      </c>
      <c r="AF71" s="32">
        <f t="shared" si="24"/>
        <v>0</v>
      </c>
      <c r="AG71" s="31">
        <v>37.585411071777344</v>
      </c>
      <c r="AH71" s="31">
        <v>0.52414834499359131</v>
      </c>
      <c r="AI71" s="31">
        <f t="shared" si="25"/>
        <v>5.8238704999287925E-2</v>
      </c>
      <c r="AJ71" t="s">
        <v>66</v>
      </c>
      <c r="AL71" s="32">
        <f t="shared" si="26"/>
        <v>0</v>
      </c>
    </row>
    <row r="72" spans="1:39" ht="15.15" thickBot="1" x14ac:dyDescent="0.35">
      <c r="A72" s="33" t="s">
        <v>69</v>
      </c>
      <c r="B72" s="30">
        <v>44363</v>
      </c>
      <c r="C72" s="33">
        <v>1000</v>
      </c>
      <c r="D72" s="1461" t="s">
        <v>65</v>
      </c>
      <c r="E72" s="30">
        <v>44420</v>
      </c>
      <c r="F72" s="24">
        <v>100</v>
      </c>
      <c r="G72" s="31">
        <v>13.118880271911621</v>
      </c>
      <c r="H72" s="31">
        <v>5804563</v>
      </c>
      <c r="I72" s="31">
        <f t="shared" si="16"/>
        <v>5791580.3614461264</v>
      </c>
      <c r="J72" s="31">
        <f t="shared" ref="J72:J76" si="27">(I72*$F72)/$C72</f>
        <v>579158.03614461271</v>
      </c>
      <c r="K72" s="31">
        <v>15.697354316711426</v>
      </c>
      <c r="L72" s="31">
        <v>1165487.875</v>
      </c>
      <c r="M72" s="31">
        <f t="shared" si="17"/>
        <v>1152505.2364461264</v>
      </c>
      <c r="N72" s="32">
        <f t="shared" si="18"/>
        <v>1152505.2364461264</v>
      </c>
      <c r="O72" t="s">
        <v>66</v>
      </c>
      <c r="Q72" s="31">
        <f t="shared" si="19"/>
        <v>0</v>
      </c>
      <c r="R72" t="s">
        <v>66</v>
      </c>
      <c r="T72" s="32">
        <f t="shared" si="20"/>
        <v>0</v>
      </c>
      <c r="U72" s="31">
        <v>35.999050140380859</v>
      </c>
      <c r="V72" s="31">
        <v>0.76867467164993286</v>
      </c>
      <c r="W72" s="31">
        <f t="shared" si="21"/>
        <v>7.6867467164993292E-2</v>
      </c>
      <c r="X72" s="31">
        <v>38.431163787841797</v>
      </c>
      <c r="Y72" s="31">
        <v>0.16077902913093567</v>
      </c>
      <c r="Z72" s="32">
        <f t="shared" si="22"/>
        <v>0.16077902913093567</v>
      </c>
      <c r="AA72" s="31">
        <v>30.700675964355469</v>
      </c>
      <c r="AB72" s="31">
        <v>1.7361876964569092</v>
      </c>
      <c r="AC72" s="31">
        <f t="shared" si="23"/>
        <v>0.17361876964569092</v>
      </c>
      <c r="AD72" t="s">
        <v>66</v>
      </c>
      <c r="AF72" s="32">
        <f t="shared" si="24"/>
        <v>0</v>
      </c>
      <c r="AG72" s="31">
        <v>36.31304931640625</v>
      </c>
      <c r="AH72" s="31">
        <v>1.1719993352890015</v>
      </c>
      <c r="AI72" s="31">
        <f t="shared" si="25"/>
        <v>0.11719993352890015</v>
      </c>
      <c r="AJ72" t="s">
        <v>66</v>
      </c>
      <c r="AL72" s="32">
        <f t="shared" si="26"/>
        <v>0</v>
      </c>
    </row>
    <row r="73" spans="1:39" ht="15.15" thickBot="1" x14ac:dyDescent="0.35">
      <c r="A73" s="33" t="s">
        <v>70</v>
      </c>
      <c r="B73" s="30">
        <v>44363</v>
      </c>
      <c r="C73" s="33">
        <v>910</v>
      </c>
      <c r="D73" s="1461" t="s">
        <v>65</v>
      </c>
      <c r="E73" s="30">
        <v>44420</v>
      </c>
      <c r="F73" s="24">
        <v>100</v>
      </c>
      <c r="G73" s="31">
        <v>17.661212921142578</v>
      </c>
      <c r="H73" s="31">
        <v>343121.625</v>
      </c>
      <c r="I73" s="31">
        <f t="shared" si="16"/>
        <v>330138.98644612631</v>
      </c>
      <c r="J73" s="31">
        <f t="shared" si="27"/>
        <v>36279.00949957432</v>
      </c>
      <c r="K73" s="31">
        <v>20.793397903442383</v>
      </c>
      <c r="L73" s="31">
        <v>48803.81640625</v>
      </c>
      <c r="M73" s="31">
        <f t="shared" si="17"/>
        <v>35821.177852376306</v>
      </c>
      <c r="N73" s="32">
        <f t="shared" si="18"/>
        <v>39363.931705908028</v>
      </c>
      <c r="O73" s="31">
        <v>29.968271255493164</v>
      </c>
      <c r="P73" s="31">
        <v>1095.5802001953125</v>
      </c>
      <c r="Q73" s="31">
        <f t="shared" si="19"/>
        <v>120.39342859289148</v>
      </c>
      <c r="R73" s="31">
        <v>33.364345550537109</v>
      </c>
      <c r="S73" s="31">
        <v>144.8748779296875</v>
      </c>
      <c r="T73" s="32">
        <f t="shared" si="20"/>
        <v>159.20316256009616</v>
      </c>
      <c r="U73" s="31">
        <v>30.9620361328125</v>
      </c>
      <c r="V73" s="31">
        <v>19.635601043701172</v>
      </c>
      <c r="W73" s="31">
        <f t="shared" si="21"/>
        <v>2.1577583564506781</v>
      </c>
      <c r="X73" s="31">
        <v>33.705459594726563</v>
      </c>
      <c r="Y73" s="31">
        <v>3.3616580963134766</v>
      </c>
      <c r="Z73" s="32">
        <f t="shared" si="22"/>
        <v>3.6941297761686553</v>
      </c>
      <c r="AA73" s="31">
        <v>27.843114852905273</v>
      </c>
      <c r="AB73" s="31">
        <v>11.748143196105957</v>
      </c>
      <c r="AC73" s="31">
        <f t="shared" si="23"/>
        <v>1.2910047468248305</v>
      </c>
      <c r="AD73" s="31">
        <v>30.887601852416992</v>
      </c>
      <c r="AE73" s="31">
        <v>1.5320688486099243</v>
      </c>
      <c r="AF73" s="32">
        <f t="shared" si="24"/>
        <v>1.6835921413295871</v>
      </c>
      <c r="AG73" s="31">
        <v>32.552951812744141</v>
      </c>
      <c r="AH73" s="31">
        <v>12.638461112976074</v>
      </c>
      <c r="AI73" s="31">
        <f t="shared" si="25"/>
        <v>1.3888418805468215</v>
      </c>
      <c r="AJ73" s="31">
        <v>37.357128143310547</v>
      </c>
      <c r="AK73" s="31">
        <v>0.60555768013000488</v>
      </c>
      <c r="AL73" s="32">
        <f t="shared" si="26"/>
        <v>0.66544800014286254</v>
      </c>
    </row>
    <row r="74" spans="1:39" ht="15.15" thickBot="1" x14ac:dyDescent="0.35">
      <c r="A74" s="33" t="s">
        <v>71</v>
      </c>
      <c r="B74" s="30">
        <v>44363</v>
      </c>
      <c r="C74" s="33">
        <v>960</v>
      </c>
      <c r="D74" s="1461" t="s">
        <v>65</v>
      </c>
      <c r="E74" s="30">
        <v>44420</v>
      </c>
      <c r="F74" s="24">
        <v>100</v>
      </c>
      <c r="G74" s="31">
        <v>15.962621688842773</v>
      </c>
      <c r="H74" s="31">
        <v>988041.3125</v>
      </c>
      <c r="I74" s="31">
        <f t="shared" si="16"/>
        <v>975058.67394612625</v>
      </c>
      <c r="J74" s="31">
        <f t="shared" si="27"/>
        <v>101568.61186938816</v>
      </c>
      <c r="K74" s="31">
        <v>18.998651504516602</v>
      </c>
      <c r="L74" s="31">
        <v>149204.78125</v>
      </c>
      <c r="M74" s="31">
        <f t="shared" si="17"/>
        <v>136222.14269612631</v>
      </c>
      <c r="N74" s="32">
        <f t="shared" si="18"/>
        <v>141898.06530846489</v>
      </c>
      <c r="O74" t="s">
        <v>66</v>
      </c>
      <c r="Q74" s="31">
        <f t="shared" si="19"/>
        <v>0</v>
      </c>
      <c r="R74" t="s">
        <v>66</v>
      </c>
      <c r="T74" s="32">
        <f t="shared" si="20"/>
        <v>0</v>
      </c>
      <c r="U74" s="31">
        <v>31.820650100708008</v>
      </c>
      <c r="V74" s="31">
        <v>11.301974296569824</v>
      </c>
      <c r="W74" s="31">
        <f t="shared" si="21"/>
        <v>1.1772889892260234</v>
      </c>
      <c r="X74" s="31">
        <v>34.74896240234375</v>
      </c>
      <c r="Y74" s="31">
        <v>1.717936635017395</v>
      </c>
      <c r="Z74" s="32">
        <f t="shared" si="22"/>
        <v>1.7895173281431198</v>
      </c>
      <c r="AA74" s="31">
        <v>16.282512664794922</v>
      </c>
      <c r="AB74" s="31">
        <v>26874.46875</v>
      </c>
      <c r="AC74" s="31">
        <f t="shared" si="23"/>
        <v>2799.423828125</v>
      </c>
      <c r="AD74" s="31">
        <v>19.66651725769043</v>
      </c>
      <c r="AE74" s="31">
        <v>2792.474609375</v>
      </c>
      <c r="AF74" s="32">
        <f t="shared" si="24"/>
        <v>2908.8277180989585</v>
      </c>
      <c r="AG74" s="31">
        <v>30.593513488769531</v>
      </c>
      <c r="AH74" s="31">
        <v>43.639839172363281</v>
      </c>
      <c r="AI74" s="31">
        <f t="shared" si="25"/>
        <v>4.5458165804545088</v>
      </c>
      <c r="AJ74" s="31">
        <v>33.989856719970703</v>
      </c>
      <c r="AK74" s="31">
        <v>5.093623161315918</v>
      </c>
      <c r="AL74" s="32">
        <f t="shared" si="26"/>
        <v>5.3058574597040815</v>
      </c>
    </row>
    <row r="75" spans="1:39" ht="15.15" thickBot="1" x14ac:dyDescent="0.35">
      <c r="A75" s="33" t="s">
        <v>72</v>
      </c>
      <c r="B75" s="30">
        <v>44363</v>
      </c>
      <c r="C75" s="33">
        <v>940</v>
      </c>
      <c r="D75" s="1461" t="s">
        <v>65</v>
      </c>
      <c r="E75" s="30">
        <v>44420</v>
      </c>
      <c r="F75" s="24">
        <v>100</v>
      </c>
      <c r="G75" s="31">
        <v>20.510574340820313</v>
      </c>
      <c r="H75" s="31">
        <v>77955.9765625</v>
      </c>
      <c r="I75" s="31">
        <f t="shared" si="16"/>
        <v>64973.338008626306</v>
      </c>
      <c r="J75" s="31">
        <f t="shared" si="27"/>
        <v>6912.0572349602453</v>
      </c>
      <c r="K75" s="31">
        <v>23.596611022949219</v>
      </c>
      <c r="L75" s="31">
        <v>10430.640625</v>
      </c>
      <c r="M75" s="31">
        <f t="shared" si="17"/>
        <v>-2551.9979288736977</v>
      </c>
      <c r="N75" s="32">
        <f t="shared" si="18"/>
        <v>-2714.8914136954231</v>
      </c>
      <c r="O75" t="s">
        <v>66</v>
      </c>
      <c r="Q75" s="31">
        <f t="shared" si="19"/>
        <v>0</v>
      </c>
      <c r="R75" t="s">
        <v>66</v>
      </c>
      <c r="T75" s="32">
        <f t="shared" si="20"/>
        <v>0</v>
      </c>
      <c r="U75" s="31">
        <v>27.233957290649414</v>
      </c>
      <c r="V75" s="31">
        <v>271.18804931640625</v>
      </c>
      <c r="W75" s="31">
        <f t="shared" si="21"/>
        <v>28.84979248046875</v>
      </c>
      <c r="X75" s="31">
        <v>30.236961364746094</v>
      </c>
      <c r="Y75" s="31">
        <v>39.007610321044922</v>
      </c>
      <c r="Z75" s="32">
        <f t="shared" si="22"/>
        <v>41.497457788345663</v>
      </c>
      <c r="AA75" s="31">
        <v>29.614559173583984</v>
      </c>
      <c r="AB75" s="31">
        <v>2.5488853454589844</v>
      </c>
      <c r="AC75" s="31">
        <f t="shared" si="23"/>
        <v>0.27115801547436003</v>
      </c>
      <c r="AD75" t="s">
        <v>66</v>
      </c>
      <c r="AF75" s="32">
        <f t="shared" si="24"/>
        <v>0</v>
      </c>
      <c r="AG75" s="31">
        <v>37.308887481689453</v>
      </c>
      <c r="AH75" s="31">
        <v>1.3684134483337402</v>
      </c>
      <c r="AI75" s="31">
        <f t="shared" si="25"/>
        <v>0.14557589875890853</v>
      </c>
      <c r="AJ75" t="s">
        <v>66</v>
      </c>
      <c r="AL75" s="32">
        <f t="shared" si="26"/>
        <v>0</v>
      </c>
    </row>
    <row r="76" spans="1:39" ht="15.15" thickBot="1" x14ac:dyDescent="0.35">
      <c r="A76" s="33" t="s">
        <v>73</v>
      </c>
      <c r="B76" s="30">
        <v>44363</v>
      </c>
      <c r="C76" s="33">
        <v>940</v>
      </c>
      <c r="D76" s="1461" t="s">
        <v>65</v>
      </c>
      <c r="E76" s="30">
        <v>44420</v>
      </c>
      <c r="F76" s="24">
        <v>100</v>
      </c>
      <c r="G76" s="31">
        <v>21.485513687133789</v>
      </c>
      <c r="H76" s="31">
        <v>41293.484375</v>
      </c>
      <c r="I76" s="31">
        <f t="shared" si="16"/>
        <v>28310.845821126302</v>
      </c>
      <c r="J76" s="31">
        <f t="shared" si="27"/>
        <v>3011.7921086304577</v>
      </c>
      <c r="K76" s="31">
        <v>24.340539932250977</v>
      </c>
      <c r="L76" s="31">
        <v>6422.93115234375</v>
      </c>
      <c r="M76" s="31">
        <f t="shared" si="17"/>
        <v>-6559.7074015299477</v>
      </c>
      <c r="N76" s="32">
        <f t="shared" si="18"/>
        <v>-6978.4121292871778</v>
      </c>
      <c r="O76" t="s">
        <v>66</v>
      </c>
      <c r="Q76" s="31">
        <f t="shared" si="19"/>
        <v>0</v>
      </c>
      <c r="R76" t="s">
        <v>66</v>
      </c>
      <c r="T76" s="32">
        <f t="shared" si="20"/>
        <v>0</v>
      </c>
      <c r="U76" s="31">
        <v>28.88075065612793</v>
      </c>
      <c r="V76" s="31">
        <v>93.641090393066406</v>
      </c>
      <c r="W76" s="31">
        <f t="shared" si="21"/>
        <v>9.9618181269219583</v>
      </c>
      <c r="X76" s="31">
        <v>31.661327362060547</v>
      </c>
      <c r="Y76" s="31">
        <v>15.549618721008301</v>
      </c>
      <c r="Z76" s="32">
        <f t="shared" si="22"/>
        <v>16.542147575540746</v>
      </c>
      <c r="AA76" s="31">
        <v>29.861528396606445</v>
      </c>
      <c r="AB76" s="31">
        <v>2.1594617366790771</v>
      </c>
      <c r="AC76" s="31">
        <f t="shared" si="23"/>
        <v>0.22972997198713588</v>
      </c>
      <c r="AD76" t="s">
        <v>66</v>
      </c>
      <c r="AF76" s="32">
        <f t="shared" si="24"/>
        <v>0</v>
      </c>
      <c r="AG76" t="s">
        <v>66</v>
      </c>
      <c r="AI76" s="31">
        <f t="shared" si="25"/>
        <v>0</v>
      </c>
      <c r="AJ76" t="s">
        <v>66</v>
      </c>
      <c r="AL76" s="32">
        <f t="shared" si="26"/>
        <v>0</v>
      </c>
    </row>
    <row r="77" spans="1:39" ht="15.15" thickBot="1" x14ac:dyDescent="0.35">
      <c r="A77" s="33" t="s">
        <v>74</v>
      </c>
      <c r="B77" t="s">
        <v>336</v>
      </c>
      <c r="C77" t="s">
        <v>336</v>
      </c>
      <c r="D77" s="1461" t="s">
        <v>349</v>
      </c>
      <c r="I77" s="31"/>
      <c r="J77" s="31"/>
      <c r="M77" s="31"/>
      <c r="N77" s="32"/>
      <c r="Q77" s="31"/>
      <c r="T77" s="32"/>
      <c r="W77" s="31"/>
      <c r="Z77" s="32"/>
      <c r="AC77" s="31"/>
      <c r="AF77" s="32"/>
      <c r="AI77" s="31"/>
      <c r="AL77" s="32"/>
    </row>
    <row r="78" spans="1:39" ht="15.15" thickBot="1" x14ac:dyDescent="0.35">
      <c r="A78" s="33" t="s">
        <v>75</v>
      </c>
      <c r="B78" t="s">
        <v>336</v>
      </c>
      <c r="C78" t="s">
        <v>336</v>
      </c>
      <c r="D78" s="1461" t="s">
        <v>349</v>
      </c>
      <c r="I78" s="31"/>
      <c r="J78" s="31"/>
      <c r="M78" s="31"/>
      <c r="N78" s="32"/>
      <c r="Q78" s="31"/>
      <c r="T78" s="32"/>
      <c r="W78" s="31"/>
      <c r="Z78" s="32"/>
      <c r="AC78" s="31"/>
      <c r="AF78" s="32"/>
      <c r="AI78" s="31"/>
      <c r="AL78" s="32"/>
    </row>
    <row r="79" spans="1:39" ht="15.15" thickBot="1" x14ac:dyDescent="0.35">
      <c r="A79" s="33" t="s">
        <v>76</v>
      </c>
      <c r="B79" s="30">
        <v>44363</v>
      </c>
      <c r="C79" s="33">
        <v>1000</v>
      </c>
      <c r="D79" s="1461" t="s">
        <v>65</v>
      </c>
      <c r="E79" s="30">
        <v>44420</v>
      </c>
      <c r="F79" s="24">
        <v>100</v>
      </c>
      <c r="G79" s="31">
        <v>9.7662982940673828</v>
      </c>
      <c r="H79" s="31">
        <v>85731680</v>
      </c>
      <c r="I79" s="31">
        <f>H79-$H$265</f>
        <v>85718697.361446127</v>
      </c>
      <c r="J79" s="31">
        <f>(I79*$F79)/$C79</f>
        <v>8571869.7361446116</v>
      </c>
      <c r="K79" s="31">
        <v>11.401461601257324</v>
      </c>
      <c r="L79" s="31">
        <v>29531764</v>
      </c>
      <c r="M79" s="31">
        <f>L79-$H$265</f>
        <v>29518781.361446127</v>
      </c>
      <c r="N79" s="32">
        <f t="shared" si="18"/>
        <v>29518781.361446127</v>
      </c>
      <c r="O79" s="31">
        <v>30.833740234375</v>
      </c>
      <c r="P79" s="31">
        <v>636.7713623046875</v>
      </c>
      <c r="Q79" s="31">
        <f t="shared" si="19"/>
        <v>63.677136230468747</v>
      </c>
      <c r="R79" s="31">
        <v>33.292110443115234</v>
      </c>
      <c r="S79" s="31">
        <v>142.46463012695313</v>
      </c>
      <c r="T79" s="32">
        <f t="shared" si="20"/>
        <v>142.46463012695313</v>
      </c>
      <c r="U79" s="31">
        <v>26.669389724731445</v>
      </c>
      <c r="V79" s="31">
        <v>390.47216796875</v>
      </c>
      <c r="W79" s="31">
        <f t="shared" si="21"/>
        <v>39.047216796874999</v>
      </c>
      <c r="X79" s="31">
        <v>29.1148681640625</v>
      </c>
      <c r="Y79" s="31">
        <v>80.503311157226563</v>
      </c>
      <c r="Z79" s="32">
        <f t="shared" si="22"/>
        <v>80.503311157226563</v>
      </c>
      <c r="AA79" s="31">
        <v>30.065309524536133</v>
      </c>
      <c r="AB79" s="31">
        <v>1.8833557367324829</v>
      </c>
      <c r="AC79" s="31">
        <f t="shared" si="23"/>
        <v>0.1883355736732483</v>
      </c>
      <c r="AD79" s="31">
        <v>30.852794647216797</v>
      </c>
      <c r="AE79" s="31">
        <v>1.1100387573242188</v>
      </c>
      <c r="AF79" s="32">
        <f t="shared" si="24"/>
        <v>1.1100387573242188</v>
      </c>
      <c r="AG79" s="31">
        <v>25.797187805175781</v>
      </c>
      <c r="AH79" s="31">
        <v>1750.3345947265625</v>
      </c>
      <c r="AI79" s="31">
        <f t="shared" si="25"/>
        <v>175.03345947265626</v>
      </c>
      <c r="AJ79" s="31">
        <v>27.599546432495117</v>
      </c>
      <c r="AK79" s="31">
        <v>571.0587158203125</v>
      </c>
      <c r="AL79" s="32">
        <f t="shared" si="26"/>
        <v>571.0587158203125</v>
      </c>
    </row>
    <row r="80" spans="1:39" ht="15.15" thickBot="1" x14ac:dyDescent="0.35">
      <c r="A80" s="33" t="s">
        <v>77</v>
      </c>
      <c r="B80" s="30">
        <v>44363</v>
      </c>
      <c r="C80" s="33">
        <v>1000</v>
      </c>
      <c r="D80" s="1461" t="s">
        <v>65</v>
      </c>
      <c r="E80" s="30">
        <v>44420</v>
      </c>
      <c r="F80" s="24">
        <v>100</v>
      </c>
      <c r="G80" s="31">
        <v>12.972076416015625</v>
      </c>
      <c r="H80" s="31">
        <v>10609836</v>
      </c>
      <c r="I80" s="31">
        <f>H80-$H$265</f>
        <v>10596853.361446125</v>
      </c>
      <c r="J80" s="31">
        <f t="shared" ref="J80:J82" si="28">(I80*$F80)/$C80</f>
        <v>1059685.3361446126</v>
      </c>
      <c r="K80" s="31">
        <v>15.61700439453125</v>
      </c>
      <c r="L80" s="31">
        <v>1892479.25</v>
      </c>
      <c r="M80" s="31">
        <f>L80-$H$265</f>
        <v>1879496.6114461264</v>
      </c>
      <c r="N80" s="32">
        <f t="shared" si="18"/>
        <v>1879496.6114461264</v>
      </c>
      <c r="O80" s="31">
        <v>30.5506591796875</v>
      </c>
      <c r="P80" s="31">
        <v>756.59381103515625</v>
      </c>
      <c r="Q80" s="31">
        <f t="shared" si="19"/>
        <v>75.659381103515628</v>
      </c>
      <c r="R80" s="31">
        <v>33.959362030029297</v>
      </c>
      <c r="S80" s="31">
        <v>94.887458801269531</v>
      </c>
      <c r="T80" s="32">
        <f t="shared" si="20"/>
        <v>94.887458801269531</v>
      </c>
      <c r="U80" s="31">
        <v>26.994512557983398</v>
      </c>
      <c r="V80" s="31">
        <v>316.53164672851563</v>
      </c>
      <c r="W80" s="31">
        <f t="shared" si="21"/>
        <v>31.653164672851563</v>
      </c>
      <c r="X80" s="31">
        <v>29.64567756652832</v>
      </c>
      <c r="Y80" s="31">
        <v>57.142715454101563</v>
      </c>
      <c r="Z80" s="32">
        <f t="shared" si="22"/>
        <v>57.142715454101563</v>
      </c>
      <c r="AA80" s="31">
        <v>29.548467636108398</v>
      </c>
      <c r="AB80" s="31">
        <v>2.6645231246948242</v>
      </c>
      <c r="AC80" s="31">
        <f t="shared" si="23"/>
        <v>0.26645231246948242</v>
      </c>
      <c r="AD80" s="31">
        <v>31.550436019897461</v>
      </c>
      <c r="AE80" s="31">
        <v>0.69492548704147339</v>
      </c>
      <c r="AF80" s="32">
        <f t="shared" si="24"/>
        <v>0.69492548704147339</v>
      </c>
      <c r="AG80" s="31">
        <v>27.206394195556641</v>
      </c>
      <c r="AH80" s="31">
        <v>729.10321044921875</v>
      </c>
      <c r="AI80" s="31">
        <f t="shared" si="25"/>
        <v>72.910321044921872</v>
      </c>
      <c r="AJ80" s="31">
        <v>30.792428970336914</v>
      </c>
      <c r="AK80" s="31">
        <v>78.514633178710938</v>
      </c>
      <c r="AL80" s="32">
        <f t="shared" si="26"/>
        <v>78.514633178710938</v>
      </c>
    </row>
    <row r="81" spans="1:38" ht="15.15" thickBot="1" x14ac:dyDescent="0.35">
      <c r="A81" s="33" t="s">
        <v>78</v>
      </c>
      <c r="B81" s="30">
        <v>44363</v>
      </c>
      <c r="C81" s="33">
        <v>1000</v>
      </c>
      <c r="D81" s="1461" t="s">
        <v>65</v>
      </c>
      <c r="E81" s="30">
        <v>44420</v>
      </c>
      <c r="F81" s="24">
        <v>100</v>
      </c>
      <c r="G81" s="31">
        <v>20.169744491577148</v>
      </c>
      <c r="H81" s="31">
        <v>97347.6015625</v>
      </c>
      <c r="I81" s="31">
        <f>H81-$H$265</f>
        <v>84364.963008626306</v>
      </c>
      <c r="J81" s="31">
        <f t="shared" si="28"/>
        <v>8436.496300862631</v>
      </c>
      <c r="K81" s="31">
        <v>23.022993087768555</v>
      </c>
      <c r="L81" s="31">
        <v>15159.3359375</v>
      </c>
      <c r="M81" s="31">
        <f>L81-$H$265</f>
        <v>2176.6973836263023</v>
      </c>
      <c r="N81" s="32">
        <f t="shared" si="18"/>
        <v>2176.6973836263023</v>
      </c>
      <c r="O81" t="s">
        <v>66</v>
      </c>
      <c r="Q81" s="31">
        <f t="shared" si="19"/>
        <v>0</v>
      </c>
      <c r="R81" t="s">
        <v>66</v>
      </c>
      <c r="T81" s="32">
        <f t="shared" si="20"/>
        <v>0</v>
      </c>
      <c r="U81" s="31">
        <v>29.767391204833984</v>
      </c>
      <c r="V81" s="31">
        <v>52.823741912841797</v>
      </c>
      <c r="W81" s="31">
        <f t="shared" si="21"/>
        <v>5.2823741912841795</v>
      </c>
      <c r="X81" s="31">
        <v>32.857402801513672</v>
      </c>
      <c r="Y81" s="31">
        <v>7.1830487251281738</v>
      </c>
      <c r="Z81" s="32">
        <f t="shared" si="22"/>
        <v>7.1830487251281738</v>
      </c>
      <c r="AA81" s="31">
        <v>28.356924057006836</v>
      </c>
      <c r="AB81" s="31">
        <v>5.9295048713684082</v>
      </c>
      <c r="AC81" s="31">
        <f t="shared" si="23"/>
        <v>0.59295048713684084</v>
      </c>
      <c r="AD81" s="31">
        <v>31.551416397094727</v>
      </c>
      <c r="AE81" s="31">
        <v>0.69446825981140137</v>
      </c>
      <c r="AF81" s="32">
        <f t="shared" si="24"/>
        <v>0.69446825981140137</v>
      </c>
      <c r="AG81" s="31">
        <v>27.543802261352539</v>
      </c>
      <c r="AH81" s="31">
        <v>591.18798828125</v>
      </c>
      <c r="AI81" s="31">
        <f t="shared" si="25"/>
        <v>59.118798828125001</v>
      </c>
      <c r="AJ81" s="31">
        <v>31.17083740234375</v>
      </c>
      <c r="AK81" s="31">
        <v>62.061405181884766</v>
      </c>
      <c r="AL81" s="32">
        <f t="shared" si="26"/>
        <v>62.061405181884766</v>
      </c>
    </row>
    <row r="82" spans="1:38" ht="15.15" thickBot="1" x14ac:dyDescent="0.35">
      <c r="A82" s="33" t="s">
        <v>79</v>
      </c>
      <c r="B82" s="30">
        <v>44363</v>
      </c>
      <c r="C82" s="33">
        <v>930</v>
      </c>
      <c r="D82" s="1461" t="s">
        <v>65</v>
      </c>
      <c r="E82" s="30">
        <v>44420</v>
      </c>
      <c r="F82" s="24">
        <v>100</v>
      </c>
      <c r="G82" s="31">
        <v>17.158927917480469</v>
      </c>
      <c r="H82" s="31">
        <v>692742.4375</v>
      </c>
      <c r="I82" s="31">
        <f>H82-$H$265</f>
        <v>679759.79894612625</v>
      </c>
      <c r="J82" s="31">
        <f t="shared" si="28"/>
        <v>73092.451499583462</v>
      </c>
      <c r="K82" s="31">
        <v>21.051338195800781</v>
      </c>
      <c r="L82" s="31">
        <v>54799.921875</v>
      </c>
      <c r="M82" s="31">
        <f>L82-$H$265</f>
        <v>41817.283321126306</v>
      </c>
      <c r="N82" s="32">
        <f t="shared" si="18"/>
        <v>44964.820775404631</v>
      </c>
      <c r="O82" t="s">
        <v>66</v>
      </c>
      <c r="Q82" s="31">
        <f t="shared" si="19"/>
        <v>0</v>
      </c>
      <c r="R82" t="s">
        <v>66</v>
      </c>
      <c r="T82" s="32">
        <f t="shared" si="20"/>
        <v>0</v>
      </c>
      <c r="U82" s="31">
        <v>27.341726303100586</v>
      </c>
      <c r="V82" s="31">
        <v>252.95849609375</v>
      </c>
      <c r="W82" s="31">
        <f t="shared" si="21"/>
        <v>27.199838289650536</v>
      </c>
      <c r="X82" s="31">
        <v>31.040281295776367</v>
      </c>
      <c r="Y82" s="31">
        <v>23.220809936523438</v>
      </c>
      <c r="Z82" s="32">
        <f t="shared" si="22"/>
        <v>24.968612834971438</v>
      </c>
      <c r="AA82" s="31">
        <v>28.749298095703125</v>
      </c>
      <c r="AB82" s="31">
        <v>4.5563840866088867</v>
      </c>
      <c r="AC82" s="31">
        <f t="shared" si="23"/>
        <v>0.48993377275364375</v>
      </c>
      <c r="AD82" t="s">
        <v>66</v>
      </c>
      <c r="AF82" s="32">
        <f t="shared" si="24"/>
        <v>0</v>
      </c>
      <c r="AG82" s="31">
        <v>36.507724761962891</v>
      </c>
      <c r="AH82" s="31">
        <v>2.2513546943664551</v>
      </c>
      <c r="AI82" s="31">
        <f t="shared" si="25"/>
        <v>0.24208114993187688</v>
      </c>
      <c r="AJ82" s="31">
        <v>25.622003555297852</v>
      </c>
      <c r="AK82" s="31">
        <v>1951.6490478515625</v>
      </c>
      <c r="AL82" s="32">
        <f t="shared" si="26"/>
        <v>2098.54736328125</v>
      </c>
    </row>
    <row r="83" spans="1:38" ht="15.15" thickBot="1" x14ac:dyDescent="0.35">
      <c r="A83" s="33" t="s">
        <v>80</v>
      </c>
      <c r="B83" t="s">
        <v>336</v>
      </c>
      <c r="C83" t="s">
        <v>336</v>
      </c>
      <c r="D83" s="1461" t="s">
        <v>349</v>
      </c>
      <c r="I83" s="31"/>
      <c r="J83" s="31"/>
      <c r="M83" s="31"/>
      <c r="N83" s="32"/>
      <c r="Q83" s="31"/>
      <c r="T83" s="32"/>
      <c r="W83" s="31"/>
      <c r="Z83" s="32"/>
      <c r="AC83" s="31"/>
      <c r="AF83" s="32"/>
      <c r="AI83" s="31"/>
      <c r="AL83" s="32"/>
    </row>
    <row r="84" spans="1:38" ht="15.15" thickBot="1" x14ac:dyDescent="0.35">
      <c r="A84" s="33" t="s">
        <v>81</v>
      </c>
      <c r="B84" t="s">
        <v>336</v>
      </c>
      <c r="C84" t="s">
        <v>336</v>
      </c>
      <c r="D84" s="1461" t="s">
        <v>349</v>
      </c>
      <c r="I84" s="31"/>
      <c r="J84" s="31"/>
      <c r="M84" s="31"/>
      <c r="N84" s="32"/>
      <c r="Q84" s="31"/>
      <c r="T84" s="32"/>
      <c r="W84" s="31"/>
      <c r="Z84" s="32"/>
      <c r="AC84" s="31"/>
      <c r="AF84" s="32"/>
      <c r="AI84" s="31"/>
      <c r="AL84" s="32"/>
    </row>
    <row r="85" spans="1:38" ht="15.15" thickBot="1" x14ac:dyDescent="0.35">
      <c r="A85" s="33" t="s">
        <v>64</v>
      </c>
      <c r="B85" s="30">
        <v>44370</v>
      </c>
      <c r="C85" s="33">
        <v>1000</v>
      </c>
      <c r="D85" s="1461" t="s">
        <v>65</v>
      </c>
      <c r="E85" s="30">
        <v>44432</v>
      </c>
      <c r="F85" s="24">
        <v>100</v>
      </c>
      <c r="G85" s="31">
        <v>18.982578277587891</v>
      </c>
      <c r="H85" s="31">
        <v>211040.796875</v>
      </c>
      <c r="I85" s="31">
        <f t="shared" ref="I85:I102" si="29">H85-$H$265</f>
        <v>198058.15832112631</v>
      </c>
      <c r="J85" s="31">
        <f>(I85*$F85)/$C85</f>
        <v>19805.815832112628</v>
      </c>
      <c r="K85" s="31">
        <v>21.742347717285156</v>
      </c>
      <c r="L85" s="31">
        <v>34928.640625</v>
      </c>
      <c r="M85" s="31">
        <f t="shared" ref="M85:M102" si="30">L85-$H$265</f>
        <v>21946.002071126302</v>
      </c>
      <c r="N85" s="32">
        <f t="shared" si="18"/>
        <v>21946.002071126302</v>
      </c>
      <c r="O85" s="31">
        <v>35.402984619140625</v>
      </c>
      <c r="P85" s="31">
        <v>39.386608123779297</v>
      </c>
      <c r="Q85" s="31">
        <f t="shared" si="19"/>
        <v>3.9386608123779299</v>
      </c>
      <c r="R85" t="s">
        <v>66</v>
      </c>
      <c r="T85" s="32">
        <f t="shared" si="20"/>
        <v>0</v>
      </c>
      <c r="U85" s="31">
        <v>32.039722442626953</v>
      </c>
      <c r="V85" s="31">
        <v>12.17889404296875</v>
      </c>
      <c r="W85" s="31">
        <f t="shared" si="21"/>
        <v>1.2178894042968751</v>
      </c>
      <c r="X85" s="31">
        <v>35.499664306640625</v>
      </c>
      <c r="Y85" s="31">
        <v>1.3042154312133789</v>
      </c>
      <c r="Z85" s="32">
        <f t="shared" si="22"/>
        <v>1.3042154312133789</v>
      </c>
      <c r="AA85" s="31">
        <v>30.042816162109375</v>
      </c>
      <c r="AB85" s="31">
        <v>1.9120109081268311</v>
      </c>
      <c r="AC85" s="31">
        <f t="shared" si="23"/>
        <v>0.19120109081268311</v>
      </c>
      <c r="AD85" t="s">
        <v>66</v>
      </c>
      <c r="AF85" s="32">
        <f t="shared" si="24"/>
        <v>0</v>
      </c>
      <c r="AG85" s="31">
        <v>35.343215942382813</v>
      </c>
      <c r="AH85" s="31">
        <v>4.6423120498657227</v>
      </c>
      <c r="AI85" s="31">
        <f t="shared" si="25"/>
        <v>0.46423120498657228</v>
      </c>
      <c r="AJ85" t="s">
        <v>66</v>
      </c>
      <c r="AL85" s="32">
        <f t="shared" si="26"/>
        <v>0</v>
      </c>
    </row>
    <row r="86" spans="1:38" ht="15.15" thickBot="1" x14ac:dyDescent="0.35">
      <c r="A86" s="33" t="s">
        <v>67</v>
      </c>
      <c r="B86" s="30">
        <v>44370</v>
      </c>
      <c r="C86" s="33">
        <v>960</v>
      </c>
      <c r="D86" s="1461" t="s">
        <v>65</v>
      </c>
      <c r="E86" s="30">
        <v>44432</v>
      </c>
      <c r="F86" s="24">
        <v>100</v>
      </c>
      <c r="G86" s="31">
        <v>18.620100021362305</v>
      </c>
      <c r="H86" s="31">
        <v>267282.25</v>
      </c>
      <c r="I86" s="31">
        <f t="shared" si="29"/>
        <v>254299.61144612631</v>
      </c>
      <c r="J86" s="31">
        <f t="shared" ref="J86:J102" si="31">(I86*$F86)/$C86</f>
        <v>26489.54285897149</v>
      </c>
      <c r="K86" s="31">
        <v>21.806789398193359</v>
      </c>
      <c r="L86" s="31">
        <v>33491.97265625</v>
      </c>
      <c r="M86" s="31">
        <f t="shared" si="30"/>
        <v>20509.334102376302</v>
      </c>
      <c r="N86" s="32">
        <f t="shared" si="18"/>
        <v>21363.889689975313</v>
      </c>
      <c r="O86" s="31">
        <v>34.682228088378906</v>
      </c>
      <c r="P86" s="31">
        <v>61.094161987304688</v>
      </c>
      <c r="Q86" s="31">
        <f t="shared" si="19"/>
        <v>6.3639752070109052</v>
      </c>
      <c r="R86" s="31">
        <v>38.266178131103516</v>
      </c>
      <c r="S86" s="31">
        <v>6.8863673210144043</v>
      </c>
      <c r="T86" s="32">
        <f t="shared" si="20"/>
        <v>7.1732992927233381</v>
      </c>
      <c r="U86" s="31">
        <v>32.131385803222656</v>
      </c>
      <c r="V86" s="31">
        <v>11.478972434997559</v>
      </c>
      <c r="W86" s="31">
        <f t="shared" si="21"/>
        <v>1.1957262953122456</v>
      </c>
      <c r="X86" s="31">
        <v>35.759239196777344</v>
      </c>
      <c r="Y86" s="31">
        <v>1.1029547452926636</v>
      </c>
      <c r="Z86" s="32">
        <f t="shared" si="22"/>
        <v>1.1489111930131912</v>
      </c>
      <c r="AA86" s="31">
        <v>29.60774040222168</v>
      </c>
      <c r="AB86" s="31">
        <v>2.560579776763916</v>
      </c>
      <c r="AC86" s="31">
        <f t="shared" si="23"/>
        <v>0.26672706007957458</v>
      </c>
      <c r="AD86" t="s">
        <v>66</v>
      </c>
      <c r="AF86" s="32">
        <f t="shared" si="24"/>
        <v>0</v>
      </c>
      <c r="AG86" s="31">
        <v>34.35772705078125</v>
      </c>
      <c r="AH86" s="31">
        <v>8.5646352767944336</v>
      </c>
      <c r="AI86" s="31">
        <f t="shared" si="25"/>
        <v>0.89214950799942017</v>
      </c>
      <c r="AJ86" t="s">
        <v>66</v>
      </c>
      <c r="AL86" s="32">
        <f t="shared" si="26"/>
        <v>0</v>
      </c>
    </row>
    <row r="87" spans="1:38" ht="15.15" thickBot="1" x14ac:dyDescent="0.35">
      <c r="A87" s="33" t="s">
        <v>68</v>
      </c>
      <c r="B87" s="30">
        <v>44370</v>
      </c>
      <c r="C87" s="33">
        <v>838</v>
      </c>
      <c r="D87" s="1461" t="s">
        <v>65</v>
      </c>
      <c r="E87" s="30">
        <v>44432</v>
      </c>
      <c r="F87" s="24">
        <v>100</v>
      </c>
      <c r="G87" s="31">
        <v>15.148251533508301</v>
      </c>
      <c r="H87" s="31">
        <v>2568721.75</v>
      </c>
      <c r="I87" s="31">
        <f t="shared" si="29"/>
        <v>2555739.1114461264</v>
      </c>
      <c r="J87" s="31">
        <f t="shared" si="31"/>
        <v>304980.80088855926</v>
      </c>
      <c r="K87" s="31">
        <v>18.501974105834961</v>
      </c>
      <c r="L87" s="31">
        <v>288673.5625</v>
      </c>
      <c r="M87" s="31">
        <f t="shared" si="30"/>
        <v>275690.92394612631</v>
      </c>
      <c r="N87" s="32">
        <f t="shared" si="18"/>
        <v>328986.78275194066</v>
      </c>
      <c r="O87" t="s">
        <v>66</v>
      </c>
      <c r="Q87" s="31">
        <f t="shared" si="19"/>
        <v>0</v>
      </c>
      <c r="R87" t="s">
        <v>66</v>
      </c>
      <c r="T87" s="32">
        <f t="shared" si="20"/>
        <v>0</v>
      </c>
      <c r="U87" s="31">
        <v>23.020088195800781</v>
      </c>
      <c r="V87" s="31">
        <v>4120.5009765625</v>
      </c>
      <c r="W87" s="31">
        <f t="shared" si="21"/>
        <v>491.70656044898567</v>
      </c>
      <c r="X87" s="31">
        <v>26.323911666870117</v>
      </c>
      <c r="Y87" s="31">
        <v>488.0577392578125</v>
      </c>
      <c r="Z87" s="32">
        <f t="shared" si="22"/>
        <v>582.40780341027744</v>
      </c>
      <c r="AA87" s="31">
        <v>29.559635162353516</v>
      </c>
      <c r="AB87" s="31">
        <v>2.6446218490600586</v>
      </c>
      <c r="AC87" s="31">
        <f t="shared" si="23"/>
        <v>0.31558733282339602</v>
      </c>
      <c r="AD87" s="31">
        <v>30.747957229614258</v>
      </c>
      <c r="AE87" s="31">
        <v>1.1909784078598022</v>
      </c>
      <c r="AF87" s="32">
        <f t="shared" si="24"/>
        <v>1.421215283842246</v>
      </c>
      <c r="AG87" s="31">
        <v>33.396800994873047</v>
      </c>
      <c r="AH87" s="31">
        <v>15.561595916748047</v>
      </c>
      <c r="AI87" s="31">
        <f t="shared" si="25"/>
        <v>1.8569923528338959</v>
      </c>
      <c r="AJ87" s="31">
        <v>39.210845947265625</v>
      </c>
      <c r="AK87" s="31">
        <v>0.41965842247009277</v>
      </c>
      <c r="AL87" s="32">
        <f t="shared" si="26"/>
        <v>0.50078570700488401</v>
      </c>
    </row>
    <row r="88" spans="1:38" ht="15.15" thickBot="1" x14ac:dyDescent="0.35">
      <c r="A88" s="33" t="s">
        <v>69</v>
      </c>
      <c r="B88" s="30">
        <v>44370</v>
      </c>
      <c r="C88" s="33">
        <v>900</v>
      </c>
      <c r="D88" s="1461" t="s">
        <v>65</v>
      </c>
      <c r="E88" s="30">
        <v>44432</v>
      </c>
      <c r="F88" s="24">
        <v>100</v>
      </c>
      <c r="G88" s="31">
        <v>15.992849349975586</v>
      </c>
      <c r="H88" s="31">
        <v>1481302.875</v>
      </c>
      <c r="I88" s="31">
        <f t="shared" si="29"/>
        <v>1468320.2364461264</v>
      </c>
      <c r="J88" s="31">
        <f t="shared" si="31"/>
        <v>163146.69293845849</v>
      </c>
      <c r="K88" s="31">
        <v>18.568090438842773</v>
      </c>
      <c r="L88" s="31">
        <v>276498</v>
      </c>
      <c r="M88" s="31">
        <f t="shared" si="30"/>
        <v>263515.36144612631</v>
      </c>
      <c r="N88" s="32">
        <f t="shared" si="18"/>
        <v>292794.84605125146</v>
      </c>
      <c r="O88" t="s">
        <v>66</v>
      </c>
      <c r="Q88" s="31">
        <f t="shared" si="19"/>
        <v>0</v>
      </c>
      <c r="R88" t="s">
        <v>66</v>
      </c>
      <c r="T88" s="32">
        <f t="shared" si="20"/>
        <v>0</v>
      </c>
      <c r="U88" s="31">
        <v>35.661647796630859</v>
      </c>
      <c r="V88" s="31">
        <v>1.1746944189071655</v>
      </c>
      <c r="W88" s="31">
        <f t="shared" si="21"/>
        <v>0.13052160210079616</v>
      </c>
      <c r="X88" s="31">
        <v>38.538246154785156</v>
      </c>
      <c r="Y88" s="31">
        <v>0.18333746492862701</v>
      </c>
      <c r="Z88" s="32">
        <f t="shared" si="22"/>
        <v>0.20370829436514112</v>
      </c>
      <c r="AA88" s="31">
        <v>29.584606170654297</v>
      </c>
      <c r="AB88" s="31">
        <v>2.6006577014923096</v>
      </c>
      <c r="AC88" s="31">
        <f t="shared" si="23"/>
        <v>0.28896196683247882</v>
      </c>
      <c r="AD88" t="s">
        <v>66</v>
      </c>
      <c r="AF88" s="32">
        <f t="shared" si="24"/>
        <v>0</v>
      </c>
      <c r="AG88" t="s">
        <v>66</v>
      </c>
      <c r="AI88" s="31">
        <f t="shared" si="25"/>
        <v>0</v>
      </c>
      <c r="AJ88" t="s">
        <v>66</v>
      </c>
      <c r="AL88" s="32">
        <f t="shared" si="26"/>
        <v>0</v>
      </c>
    </row>
    <row r="89" spans="1:38" ht="15.15" thickBot="1" x14ac:dyDescent="0.35">
      <c r="A89" s="33" t="s">
        <v>70</v>
      </c>
      <c r="B89" s="30">
        <v>44370</v>
      </c>
      <c r="C89" s="33">
        <v>900</v>
      </c>
      <c r="D89" s="1461" t="s">
        <v>65</v>
      </c>
      <c r="E89" s="30">
        <v>44432</v>
      </c>
      <c r="F89" s="24">
        <v>100</v>
      </c>
      <c r="G89" s="31">
        <v>22.220300674438477</v>
      </c>
      <c r="H89" s="31">
        <v>25579.470703125</v>
      </c>
      <c r="I89" s="31">
        <f t="shared" si="29"/>
        <v>12596.832149251302</v>
      </c>
      <c r="J89" s="31">
        <f t="shared" si="31"/>
        <v>1399.648016583478</v>
      </c>
      <c r="K89" s="31">
        <v>24.980480194091797</v>
      </c>
      <c r="L89" s="31">
        <v>4232.439453125</v>
      </c>
      <c r="M89" s="31">
        <f t="shared" si="30"/>
        <v>-8750.1991007486977</v>
      </c>
      <c r="N89" s="32">
        <f t="shared" si="18"/>
        <v>-9722.4434452763307</v>
      </c>
      <c r="O89" t="s">
        <v>66</v>
      </c>
      <c r="Q89" s="31">
        <f t="shared" si="19"/>
        <v>0</v>
      </c>
      <c r="R89" t="s">
        <v>66</v>
      </c>
      <c r="T89" s="32">
        <f t="shared" si="20"/>
        <v>0</v>
      </c>
      <c r="U89" s="31">
        <v>35.457969665527344</v>
      </c>
      <c r="V89" s="31">
        <v>1.339805006980896</v>
      </c>
      <c r="W89" s="31">
        <f t="shared" si="21"/>
        <v>0.14886722299787733</v>
      </c>
      <c r="X89" s="31">
        <v>38.591323852539063</v>
      </c>
      <c r="Y89" s="31">
        <v>0.17716047167778015</v>
      </c>
      <c r="Z89" s="32">
        <f t="shared" si="22"/>
        <v>0.19684496853086683</v>
      </c>
      <c r="AA89" s="31">
        <v>29.877767562866211</v>
      </c>
      <c r="AB89" s="31">
        <v>2.1360476016998291</v>
      </c>
      <c r="AC89" s="31">
        <f t="shared" si="23"/>
        <v>0.23733862241109213</v>
      </c>
      <c r="AD89" s="31">
        <v>31.542179107666016</v>
      </c>
      <c r="AE89" s="31">
        <v>0.69878822565078735</v>
      </c>
      <c r="AF89" s="32">
        <f t="shared" si="24"/>
        <v>0.77643136183420813</v>
      </c>
      <c r="AG89" t="s">
        <v>66</v>
      </c>
      <c r="AI89" s="31">
        <f t="shared" si="25"/>
        <v>0</v>
      </c>
      <c r="AJ89" t="s">
        <v>66</v>
      </c>
      <c r="AL89" s="32">
        <f t="shared" si="26"/>
        <v>0</v>
      </c>
    </row>
    <row r="90" spans="1:38" ht="15.15" thickBot="1" x14ac:dyDescent="0.35">
      <c r="A90" s="33" t="s">
        <v>71</v>
      </c>
      <c r="B90" s="30">
        <v>44370</v>
      </c>
      <c r="C90" s="33">
        <v>930</v>
      </c>
      <c r="D90" s="1461" t="s">
        <v>65</v>
      </c>
      <c r="E90" s="30">
        <v>44432</v>
      </c>
      <c r="F90" s="24">
        <v>100</v>
      </c>
      <c r="G90" s="31">
        <v>19.734649658203125</v>
      </c>
      <c r="H90" s="31">
        <v>129265.8828125</v>
      </c>
      <c r="I90" s="31">
        <f t="shared" si="29"/>
        <v>116283.24425862631</v>
      </c>
      <c r="J90" s="31">
        <f t="shared" si="31"/>
        <v>12503.574651465195</v>
      </c>
      <c r="K90" s="31">
        <v>24.639677047729492</v>
      </c>
      <c r="L90" s="31">
        <v>5285.1708984375</v>
      </c>
      <c r="M90" s="31">
        <f t="shared" si="30"/>
        <v>-7697.4676554361977</v>
      </c>
      <c r="N90" s="32">
        <f t="shared" si="18"/>
        <v>-8276.8469413292441</v>
      </c>
      <c r="O90" t="s">
        <v>66</v>
      </c>
      <c r="Q90" s="31">
        <f t="shared" si="19"/>
        <v>0</v>
      </c>
      <c r="R90" t="s">
        <v>66</v>
      </c>
      <c r="T90" s="32">
        <f t="shared" si="20"/>
        <v>0</v>
      </c>
      <c r="U90" s="31">
        <v>34.832809448242188</v>
      </c>
      <c r="V90" s="31">
        <v>2.0061016082763672</v>
      </c>
      <c r="W90" s="31">
        <f t="shared" si="21"/>
        <v>0.21570985035229756</v>
      </c>
      <c r="X90" s="31">
        <v>37.228263854980469</v>
      </c>
      <c r="Y90" s="31">
        <v>0.42717382311820984</v>
      </c>
      <c r="Z90" s="32">
        <f t="shared" si="22"/>
        <v>0.45932669152495681</v>
      </c>
      <c r="AA90" s="31">
        <v>30.152444839477539</v>
      </c>
      <c r="AB90" s="31">
        <v>1.7763466835021973</v>
      </c>
      <c r="AC90" s="31">
        <f t="shared" si="23"/>
        <v>0.19100501973141906</v>
      </c>
      <c r="AD90" t="s">
        <v>66</v>
      </c>
      <c r="AF90" s="32">
        <f t="shared" si="24"/>
        <v>0</v>
      </c>
      <c r="AG90" t="s">
        <v>66</v>
      </c>
      <c r="AI90" s="31">
        <f t="shared" si="25"/>
        <v>0</v>
      </c>
      <c r="AJ90" t="s">
        <v>66</v>
      </c>
      <c r="AL90" s="32">
        <f t="shared" si="26"/>
        <v>0</v>
      </c>
    </row>
    <row r="91" spans="1:38" ht="15.15" thickBot="1" x14ac:dyDescent="0.35">
      <c r="A91" s="33" t="s">
        <v>72</v>
      </c>
      <c r="B91" s="30">
        <v>44370</v>
      </c>
      <c r="C91" s="33">
        <v>860</v>
      </c>
      <c r="D91" s="1461" t="s">
        <v>65</v>
      </c>
      <c r="E91" s="30">
        <v>44432</v>
      </c>
      <c r="F91" s="24">
        <v>100</v>
      </c>
      <c r="G91" s="31">
        <v>20.499090194702148</v>
      </c>
      <c r="H91" s="31">
        <v>78541.671875</v>
      </c>
      <c r="I91" s="31">
        <f t="shared" si="29"/>
        <v>65559.033321126306</v>
      </c>
      <c r="J91" s="31">
        <f t="shared" si="31"/>
        <v>7623.1434094332917</v>
      </c>
      <c r="K91" s="31">
        <v>23.756057739257813</v>
      </c>
      <c r="L91" s="31">
        <v>9401.0791015625</v>
      </c>
      <c r="M91" s="31">
        <f t="shared" si="30"/>
        <v>-3581.5594523111977</v>
      </c>
      <c r="N91" s="32">
        <f t="shared" si="18"/>
        <v>-4164.6040143153459</v>
      </c>
      <c r="O91" t="s">
        <v>66</v>
      </c>
      <c r="Q91" s="31">
        <f t="shared" si="19"/>
        <v>0</v>
      </c>
      <c r="R91" t="s">
        <v>66</v>
      </c>
      <c r="T91" s="32">
        <f t="shared" si="20"/>
        <v>0</v>
      </c>
      <c r="U91" s="31">
        <v>27.111778259277344</v>
      </c>
      <c r="V91" s="31">
        <v>293.44906616210938</v>
      </c>
      <c r="W91" s="31">
        <f t="shared" si="21"/>
        <v>34.121984437454579</v>
      </c>
      <c r="X91" s="31">
        <v>29.908065795898438</v>
      </c>
      <c r="Y91" s="31">
        <v>48.237003326416016</v>
      </c>
      <c r="Z91" s="32">
        <f t="shared" si="22"/>
        <v>56.089538751646529</v>
      </c>
      <c r="AA91" s="31">
        <v>31.036720275878906</v>
      </c>
      <c r="AB91" s="31">
        <v>0.98110157251358032</v>
      </c>
      <c r="AC91" s="31">
        <f t="shared" si="23"/>
        <v>0.11408157819925352</v>
      </c>
      <c r="AD91" t="s">
        <v>66</v>
      </c>
      <c r="AF91" s="32">
        <f t="shared" si="24"/>
        <v>0</v>
      </c>
      <c r="AG91" s="31">
        <v>33.077507019042969</v>
      </c>
      <c r="AH91" s="31">
        <v>18.97705078125</v>
      </c>
      <c r="AI91" s="31">
        <f t="shared" si="25"/>
        <v>2.2066338117732558</v>
      </c>
      <c r="AJ91" s="31">
        <v>35.534523010253906</v>
      </c>
      <c r="AK91" s="31">
        <v>4.121945858001709</v>
      </c>
      <c r="AL91" s="32">
        <f t="shared" si="26"/>
        <v>4.7929603000019876</v>
      </c>
    </row>
    <row r="92" spans="1:38" ht="15.15" thickBot="1" x14ac:dyDescent="0.35">
      <c r="A92" s="33" t="s">
        <v>73</v>
      </c>
      <c r="B92" s="30">
        <v>44370</v>
      </c>
      <c r="C92" s="33">
        <v>905</v>
      </c>
      <c r="D92" s="1461" t="s">
        <v>65</v>
      </c>
      <c r="E92" s="30">
        <v>44432</v>
      </c>
      <c r="F92" s="24">
        <v>100</v>
      </c>
      <c r="G92" s="31">
        <v>21.649154663085938</v>
      </c>
      <c r="H92" s="31">
        <v>37115.9921875</v>
      </c>
      <c r="I92" s="31">
        <f t="shared" si="29"/>
        <v>24133.353633626302</v>
      </c>
      <c r="J92" s="31">
        <f t="shared" si="31"/>
        <v>2666.6689097929616</v>
      </c>
      <c r="K92" s="31">
        <v>24.423263549804688</v>
      </c>
      <c r="L92" s="31">
        <v>6085.7958984375</v>
      </c>
      <c r="M92" s="31">
        <f t="shared" si="30"/>
        <v>-6896.8426554361977</v>
      </c>
      <c r="N92" s="32">
        <f t="shared" si="18"/>
        <v>-7620.8206137416546</v>
      </c>
      <c r="O92" t="s">
        <v>66</v>
      </c>
      <c r="Q92" s="31">
        <f t="shared" si="19"/>
        <v>0</v>
      </c>
      <c r="R92" t="s">
        <v>66</v>
      </c>
      <c r="T92" s="32">
        <f t="shared" si="20"/>
        <v>0</v>
      </c>
      <c r="U92" s="31">
        <v>31.224580764770508</v>
      </c>
      <c r="V92" s="31">
        <v>20.615550994873047</v>
      </c>
      <c r="W92" s="31">
        <f t="shared" si="21"/>
        <v>2.2779614358975744</v>
      </c>
      <c r="X92" s="31">
        <v>32.287357330322266</v>
      </c>
      <c r="Y92" s="31">
        <v>10.379215240478516</v>
      </c>
      <c r="Z92" s="32">
        <f t="shared" si="22"/>
        <v>11.468746122075707</v>
      </c>
      <c r="AA92" s="31">
        <v>30.200454711914063</v>
      </c>
      <c r="AB92" s="31">
        <v>1.7200071811676025</v>
      </c>
      <c r="AC92" s="31">
        <f t="shared" si="23"/>
        <v>0.19005604211796714</v>
      </c>
      <c r="AD92" t="s">
        <v>66</v>
      </c>
      <c r="AF92" s="32">
        <f t="shared" si="24"/>
        <v>0</v>
      </c>
      <c r="AG92" s="31">
        <v>31.683683395385742</v>
      </c>
      <c r="AH92" s="31">
        <v>45.124156951904297</v>
      </c>
      <c r="AI92" s="31">
        <f t="shared" si="25"/>
        <v>4.9860946908181543</v>
      </c>
      <c r="AJ92" t="s">
        <v>66</v>
      </c>
      <c r="AL92" s="32">
        <f t="shared" si="26"/>
        <v>0</v>
      </c>
    </row>
    <row r="93" spans="1:38" ht="15.15" thickBot="1" x14ac:dyDescent="0.35">
      <c r="A93" s="33" t="s">
        <v>74</v>
      </c>
      <c r="B93" s="30">
        <v>44370</v>
      </c>
      <c r="C93" s="33">
        <v>905</v>
      </c>
      <c r="D93" s="1461" t="s">
        <v>65</v>
      </c>
      <c r="E93" s="30">
        <v>44432</v>
      </c>
      <c r="F93" s="24">
        <v>100</v>
      </c>
      <c r="G93" s="31">
        <v>23.049032211303711</v>
      </c>
      <c r="H93" s="31">
        <v>14904.228515625</v>
      </c>
      <c r="I93" s="31">
        <f t="shared" si="29"/>
        <v>1921.5899617513023</v>
      </c>
      <c r="J93" s="31">
        <f t="shared" si="31"/>
        <v>212.33038251395607</v>
      </c>
      <c r="K93" s="31">
        <v>25.978614807128906</v>
      </c>
      <c r="L93" s="31">
        <v>2208.29541015625</v>
      </c>
      <c r="M93" s="31">
        <f t="shared" si="30"/>
        <v>-10774.343143717448</v>
      </c>
      <c r="N93" s="32">
        <f t="shared" si="18"/>
        <v>-11905.351540019279</v>
      </c>
      <c r="O93" t="s">
        <v>66</v>
      </c>
      <c r="Q93" s="31">
        <f t="shared" si="19"/>
        <v>0</v>
      </c>
      <c r="R93" t="s">
        <v>66</v>
      </c>
      <c r="T93" s="32">
        <f t="shared" si="20"/>
        <v>0</v>
      </c>
      <c r="U93" t="s">
        <v>66</v>
      </c>
      <c r="W93" s="31">
        <f t="shared" si="21"/>
        <v>0</v>
      </c>
      <c r="X93" t="s">
        <v>66</v>
      </c>
      <c r="Z93" s="32">
        <f t="shared" si="22"/>
        <v>0</v>
      </c>
      <c r="AA93" s="31">
        <v>30.56675910949707</v>
      </c>
      <c r="AB93" s="31">
        <v>1.345032811164856</v>
      </c>
      <c r="AC93" s="31">
        <f t="shared" si="23"/>
        <v>0.14862241007346474</v>
      </c>
      <c r="AD93" t="s">
        <v>66</v>
      </c>
      <c r="AF93" s="32">
        <f t="shared" si="24"/>
        <v>0</v>
      </c>
      <c r="AG93" t="s">
        <v>66</v>
      </c>
      <c r="AI93" s="31">
        <f t="shared" si="25"/>
        <v>0</v>
      </c>
      <c r="AJ93" t="s">
        <v>66</v>
      </c>
      <c r="AL93" s="32">
        <f t="shared" si="26"/>
        <v>0</v>
      </c>
    </row>
    <row r="94" spans="1:38" ht="15.15" thickBot="1" x14ac:dyDescent="0.35">
      <c r="A94" s="33" t="s">
        <v>75</v>
      </c>
      <c r="B94" s="30">
        <v>44370</v>
      </c>
      <c r="C94" s="33">
        <v>970</v>
      </c>
      <c r="D94" s="1461" t="s">
        <v>65</v>
      </c>
      <c r="E94" s="30">
        <v>44432</v>
      </c>
      <c r="F94" s="24">
        <v>100</v>
      </c>
      <c r="G94" s="31">
        <v>23.298141479492188</v>
      </c>
      <c r="H94" s="31">
        <v>12670.572265625</v>
      </c>
      <c r="I94" s="31">
        <f t="shared" si="29"/>
        <v>-312.06628824869767</v>
      </c>
      <c r="J94" s="31">
        <f t="shared" si="31"/>
        <v>-32.171782293680174</v>
      </c>
      <c r="K94" s="31">
        <v>26.240047454833984</v>
      </c>
      <c r="L94" s="31">
        <v>1862.32568359375</v>
      </c>
      <c r="M94" s="31">
        <f t="shared" si="30"/>
        <v>-11120.312870279948</v>
      </c>
      <c r="N94" s="32">
        <f t="shared" si="18"/>
        <v>-11464.240072453555</v>
      </c>
      <c r="O94" t="s">
        <v>66</v>
      </c>
      <c r="Q94" s="31">
        <f t="shared" si="19"/>
        <v>0</v>
      </c>
      <c r="R94" t="s">
        <v>66</v>
      </c>
      <c r="T94" s="32">
        <f t="shared" si="20"/>
        <v>0</v>
      </c>
      <c r="U94" t="s">
        <v>66</v>
      </c>
      <c r="W94" s="31">
        <f t="shared" si="21"/>
        <v>0</v>
      </c>
      <c r="X94" t="s">
        <v>66</v>
      </c>
      <c r="Z94" s="32">
        <f t="shared" si="22"/>
        <v>0</v>
      </c>
      <c r="AA94" s="31">
        <v>29.879581451416016</v>
      </c>
      <c r="AB94" s="31">
        <v>2.1334478855133057</v>
      </c>
      <c r="AC94" s="31">
        <f t="shared" si="23"/>
        <v>0.21994308098075316</v>
      </c>
      <c r="AD94" t="s">
        <v>66</v>
      </c>
      <c r="AF94" s="32">
        <f t="shared" si="24"/>
        <v>0</v>
      </c>
      <c r="AG94" t="s">
        <v>66</v>
      </c>
      <c r="AI94" s="31">
        <f t="shared" si="25"/>
        <v>0</v>
      </c>
      <c r="AJ94" t="s">
        <v>66</v>
      </c>
      <c r="AL94" s="32">
        <f t="shared" si="26"/>
        <v>0</v>
      </c>
    </row>
    <row r="95" spans="1:38" ht="15.15" thickBot="1" x14ac:dyDescent="0.35">
      <c r="A95" s="33" t="s">
        <v>76</v>
      </c>
      <c r="B95" s="30">
        <v>44370</v>
      </c>
      <c r="C95" s="33">
        <v>1000</v>
      </c>
      <c r="D95" s="1461" t="s">
        <v>65</v>
      </c>
      <c r="E95" s="30">
        <v>44432</v>
      </c>
      <c r="F95" s="24">
        <v>100</v>
      </c>
      <c r="G95" s="31">
        <v>12.476798057556152</v>
      </c>
      <c r="H95" s="31">
        <v>14652204</v>
      </c>
      <c r="I95" s="31">
        <f t="shared" si="29"/>
        <v>14639221.361446125</v>
      </c>
      <c r="J95" s="31">
        <f t="shared" si="31"/>
        <v>1463922.1361446125</v>
      </c>
      <c r="K95" s="31">
        <v>15.264969825744629</v>
      </c>
      <c r="L95" s="31">
        <v>2380557</v>
      </c>
      <c r="M95" s="31">
        <f t="shared" si="30"/>
        <v>2367574.3614461264</v>
      </c>
      <c r="N95" s="32">
        <f t="shared" si="18"/>
        <v>2367574.3614461264</v>
      </c>
      <c r="O95" s="31">
        <v>30.483665466308594</v>
      </c>
      <c r="P95" s="31">
        <v>788.104248046875</v>
      </c>
      <c r="Q95" s="31">
        <f t="shared" si="19"/>
        <v>78.8104248046875</v>
      </c>
      <c r="R95" s="31">
        <v>33.8331298828125</v>
      </c>
      <c r="S95" s="31">
        <v>102.47057342529297</v>
      </c>
      <c r="T95" s="32">
        <f t="shared" si="20"/>
        <v>102.47057342529297</v>
      </c>
      <c r="U95" s="31">
        <v>24.879140853881836</v>
      </c>
      <c r="V95" s="31">
        <v>1240.5745849609375</v>
      </c>
      <c r="W95" s="31">
        <f t="shared" si="21"/>
        <v>124.05745849609374</v>
      </c>
      <c r="X95" s="31">
        <v>28.153751373291016</v>
      </c>
      <c r="Y95" s="31">
        <v>149.73941040039063</v>
      </c>
      <c r="Z95" s="32">
        <f t="shared" si="22"/>
        <v>149.73941040039063</v>
      </c>
      <c r="AA95" s="31">
        <v>27.986703872680664</v>
      </c>
      <c r="AB95" s="31">
        <v>7.6025185585021973</v>
      </c>
      <c r="AC95" s="31">
        <f t="shared" si="23"/>
        <v>0.7602518558502197</v>
      </c>
      <c r="AD95" s="31">
        <v>31.325004577636719</v>
      </c>
      <c r="AE95" s="31">
        <v>0.80846947431564331</v>
      </c>
      <c r="AF95" s="32">
        <f t="shared" si="24"/>
        <v>0.80846947431564331</v>
      </c>
      <c r="AG95" s="31">
        <v>23.696506500244141</v>
      </c>
      <c r="AH95" s="31">
        <v>6457.671875</v>
      </c>
      <c r="AI95" s="31">
        <f t="shared" si="25"/>
        <v>645.76718749999998</v>
      </c>
      <c r="AJ95" s="31">
        <v>27.228456497192383</v>
      </c>
      <c r="AK95" s="31">
        <v>719.17498779296875</v>
      </c>
      <c r="AL95" s="32">
        <f t="shared" si="26"/>
        <v>719.17498779296875</v>
      </c>
    </row>
    <row r="96" spans="1:38" ht="15.15" thickBot="1" x14ac:dyDescent="0.35">
      <c r="A96" s="33" t="s">
        <v>77</v>
      </c>
      <c r="B96" s="30">
        <v>44370</v>
      </c>
      <c r="C96" s="33">
        <v>1000</v>
      </c>
      <c r="D96" s="1461" t="s">
        <v>65</v>
      </c>
      <c r="E96" s="30">
        <v>44432</v>
      </c>
      <c r="F96" s="24">
        <v>100</v>
      </c>
      <c r="G96" s="31">
        <v>15.598285675048828</v>
      </c>
      <c r="H96" s="31">
        <v>1915709.625</v>
      </c>
      <c r="I96" s="31">
        <f t="shared" si="29"/>
        <v>1902726.9864461264</v>
      </c>
      <c r="J96" s="31">
        <f t="shared" si="31"/>
        <v>190272.69864461265</v>
      </c>
      <c r="K96" s="31">
        <v>19.794778823852539</v>
      </c>
      <c r="L96" s="31">
        <v>124297.859375</v>
      </c>
      <c r="M96" s="31">
        <f t="shared" si="30"/>
        <v>111315.22082112631</v>
      </c>
      <c r="N96" s="32">
        <f t="shared" si="18"/>
        <v>111315.22082112631</v>
      </c>
      <c r="O96" s="31">
        <v>32.092567443847656</v>
      </c>
      <c r="P96" s="31">
        <v>295.8043212890625</v>
      </c>
      <c r="Q96" s="31">
        <f t="shared" si="19"/>
        <v>29.580432128906249</v>
      </c>
      <c r="R96" s="31">
        <v>35.055202484130859</v>
      </c>
      <c r="S96" s="31">
        <v>48.679073333740234</v>
      </c>
      <c r="T96" s="32">
        <f t="shared" si="20"/>
        <v>48.679073333740234</v>
      </c>
      <c r="U96" s="31">
        <v>26.77971076965332</v>
      </c>
      <c r="V96" s="31">
        <v>363.62454223632813</v>
      </c>
      <c r="W96" s="31">
        <f t="shared" si="21"/>
        <v>36.36245422363281</v>
      </c>
      <c r="X96" s="31">
        <v>29.882286071777344</v>
      </c>
      <c r="Y96" s="31">
        <v>49.046680450439453</v>
      </c>
      <c r="Z96" s="32">
        <f t="shared" si="22"/>
        <v>49.046680450439453</v>
      </c>
      <c r="AA96" s="31">
        <v>30.245218276977539</v>
      </c>
      <c r="AB96" s="31">
        <v>1.6690882444381714</v>
      </c>
      <c r="AC96" s="31">
        <f t="shared" si="23"/>
        <v>0.16690882444381713</v>
      </c>
      <c r="AD96" s="31">
        <v>32.211994171142578</v>
      </c>
      <c r="AE96" s="31">
        <v>0.44571632146835327</v>
      </c>
      <c r="AF96" s="32">
        <f t="shared" si="24"/>
        <v>0.44571632146835327</v>
      </c>
      <c r="AG96" s="31">
        <v>23.860042572021484</v>
      </c>
      <c r="AH96" s="31">
        <v>5833.63232421875</v>
      </c>
      <c r="AI96" s="31">
        <f t="shared" si="25"/>
        <v>583.36323242187495</v>
      </c>
      <c r="AJ96" s="31">
        <v>27.652048110961914</v>
      </c>
      <c r="AK96" s="31">
        <v>552.72747802734375</v>
      </c>
      <c r="AL96" s="32">
        <f t="shared" si="26"/>
        <v>552.72747802734375</v>
      </c>
    </row>
    <row r="97" spans="1:38" ht="15.15" thickBot="1" x14ac:dyDescent="0.35">
      <c r="A97" s="33" t="s">
        <v>78</v>
      </c>
      <c r="B97" s="30">
        <v>44370</v>
      </c>
      <c r="C97" s="33">
        <v>1000</v>
      </c>
      <c r="D97" s="1461" t="s">
        <v>65</v>
      </c>
      <c r="E97" s="30">
        <v>44432</v>
      </c>
      <c r="F97" s="24">
        <v>100</v>
      </c>
      <c r="G97" s="31">
        <v>13.652145385742188</v>
      </c>
      <c r="H97" s="31">
        <v>6810943.5</v>
      </c>
      <c r="I97" s="31">
        <f t="shared" si="29"/>
        <v>6797960.8614461264</v>
      </c>
      <c r="J97" s="31">
        <f t="shared" si="31"/>
        <v>679796.08614461264</v>
      </c>
      <c r="K97" s="31">
        <v>16.423955917358398</v>
      </c>
      <c r="L97" s="31">
        <v>1118443.75</v>
      </c>
      <c r="M97" s="31">
        <f t="shared" si="30"/>
        <v>1105461.1114461264</v>
      </c>
      <c r="N97" s="32">
        <f t="shared" si="18"/>
        <v>1105461.1114461264</v>
      </c>
      <c r="O97" t="s">
        <v>66</v>
      </c>
      <c r="Q97" s="31">
        <f t="shared" si="19"/>
        <v>0</v>
      </c>
      <c r="R97" t="s">
        <v>66</v>
      </c>
      <c r="T97" s="32">
        <f t="shared" si="20"/>
        <v>0</v>
      </c>
      <c r="U97" s="31">
        <v>25.294754028320313</v>
      </c>
      <c r="V97" s="31">
        <v>948.58013916015625</v>
      </c>
      <c r="W97" s="31">
        <f t="shared" si="21"/>
        <v>94.858013916015622</v>
      </c>
      <c r="X97" s="31">
        <v>28.55333137512207</v>
      </c>
      <c r="Y97" s="31">
        <v>115.68669128417969</v>
      </c>
      <c r="Z97" s="32">
        <f t="shared" si="22"/>
        <v>115.68669128417969</v>
      </c>
      <c r="AA97" s="31">
        <v>30.00355339050293</v>
      </c>
      <c r="AB97" s="31">
        <v>1.9630781412124634</v>
      </c>
      <c r="AC97" s="31">
        <f t="shared" si="23"/>
        <v>0.19630781412124634</v>
      </c>
      <c r="AD97" t="s">
        <v>66</v>
      </c>
      <c r="AF97" s="32">
        <f t="shared" si="24"/>
        <v>0</v>
      </c>
      <c r="AG97" s="31">
        <v>21.404985427856445</v>
      </c>
      <c r="AH97" s="31">
        <v>26824.818359375</v>
      </c>
      <c r="AI97" s="31">
        <f t="shared" si="25"/>
        <v>2682.4818359374999</v>
      </c>
      <c r="AJ97" s="31">
        <v>24.580738067626953</v>
      </c>
      <c r="AK97" s="31">
        <v>3727.604736328125</v>
      </c>
      <c r="AL97" s="32">
        <f t="shared" si="26"/>
        <v>3727.604736328125</v>
      </c>
    </row>
    <row r="98" spans="1:38" ht="15.15" thickBot="1" x14ac:dyDescent="0.35">
      <c r="A98" s="33" t="s">
        <v>79</v>
      </c>
      <c r="B98" s="30">
        <v>44370</v>
      </c>
      <c r="C98" s="33">
        <v>970</v>
      </c>
      <c r="D98" s="1461" t="s">
        <v>65</v>
      </c>
      <c r="E98" s="30">
        <v>44432</v>
      </c>
      <c r="F98" s="24">
        <v>100</v>
      </c>
      <c r="G98" s="31">
        <v>14.449809074401855</v>
      </c>
      <c r="H98" s="31">
        <v>4049667</v>
      </c>
      <c r="I98" s="31">
        <f t="shared" si="29"/>
        <v>4036684.3614461264</v>
      </c>
      <c r="J98" s="31">
        <f t="shared" si="31"/>
        <v>416153.0269532089</v>
      </c>
      <c r="K98" s="31">
        <v>17.227981567382813</v>
      </c>
      <c r="L98" s="31">
        <v>662255.1875</v>
      </c>
      <c r="M98" s="31">
        <f t="shared" si="30"/>
        <v>649272.54894612625</v>
      </c>
      <c r="N98" s="32">
        <f t="shared" si="18"/>
        <v>669353.14324342913</v>
      </c>
      <c r="O98" t="s">
        <v>66</v>
      </c>
      <c r="Q98" s="31">
        <f t="shared" si="19"/>
        <v>0</v>
      </c>
      <c r="R98" t="s">
        <v>66</v>
      </c>
      <c r="T98" s="32">
        <f t="shared" si="20"/>
        <v>0</v>
      </c>
      <c r="U98" s="31">
        <v>25.373458862304688</v>
      </c>
      <c r="V98" s="31">
        <v>901.57763671875</v>
      </c>
      <c r="W98" s="31">
        <f t="shared" si="21"/>
        <v>92.946148115335049</v>
      </c>
      <c r="X98" s="31">
        <v>28.489355087280273</v>
      </c>
      <c r="Y98" s="31">
        <v>120.56577301025391</v>
      </c>
      <c r="Z98" s="32">
        <f t="shared" si="22"/>
        <v>124.29461135077722</v>
      </c>
      <c r="AA98" s="31">
        <v>29.954742431640625</v>
      </c>
      <c r="AB98" s="31">
        <v>2.0284700393676758</v>
      </c>
      <c r="AC98" s="31">
        <f t="shared" si="23"/>
        <v>0.20912062261522429</v>
      </c>
      <c r="AD98" t="s">
        <v>66</v>
      </c>
      <c r="AF98" s="32">
        <f t="shared" si="24"/>
        <v>0</v>
      </c>
      <c r="AG98" s="31">
        <v>21.488697052001953</v>
      </c>
      <c r="AH98" s="31">
        <v>25465.005859375</v>
      </c>
      <c r="AI98" s="31">
        <f t="shared" si="25"/>
        <v>2625.2583360180411</v>
      </c>
      <c r="AJ98" s="31">
        <v>24.889122009277344</v>
      </c>
      <c r="AK98" s="31">
        <v>3077.512451171875</v>
      </c>
      <c r="AL98" s="32">
        <f t="shared" si="26"/>
        <v>3172.6932486307992</v>
      </c>
    </row>
    <row r="99" spans="1:38" ht="15.15" thickBot="1" x14ac:dyDescent="0.35">
      <c r="A99" s="33" t="s">
        <v>80</v>
      </c>
      <c r="B99" s="30">
        <v>44370</v>
      </c>
      <c r="C99" s="33">
        <v>918</v>
      </c>
      <c r="D99" s="1461" t="s">
        <v>65</v>
      </c>
      <c r="E99" s="30">
        <v>44432</v>
      </c>
      <c r="F99" s="24">
        <v>100</v>
      </c>
      <c r="G99" s="31">
        <v>21.996402740478516</v>
      </c>
      <c r="H99" s="31">
        <v>29598.416015625</v>
      </c>
      <c r="I99" s="31">
        <f t="shared" si="29"/>
        <v>16615.777461751302</v>
      </c>
      <c r="J99" s="31">
        <f t="shared" si="31"/>
        <v>1809.9975448530829</v>
      </c>
      <c r="K99" s="31">
        <v>24.977598190307617</v>
      </c>
      <c r="L99" s="31">
        <v>4240.39697265625</v>
      </c>
      <c r="M99" s="31">
        <f t="shared" si="30"/>
        <v>-8742.2415812174477</v>
      </c>
      <c r="N99" s="32">
        <f t="shared" si="18"/>
        <v>-9523.1389773610535</v>
      </c>
      <c r="O99" t="s">
        <v>66</v>
      </c>
      <c r="Q99" s="31">
        <f t="shared" si="19"/>
        <v>0</v>
      </c>
      <c r="R99" t="s">
        <v>66</v>
      </c>
      <c r="T99" s="32">
        <f t="shared" si="20"/>
        <v>0</v>
      </c>
      <c r="U99" s="31">
        <v>35.554244995117188</v>
      </c>
      <c r="V99" s="31">
        <v>1.2590514421463013</v>
      </c>
      <c r="W99" s="31">
        <f t="shared" si="21"/>
        <v>0.13715157321855134</v>
      </c>
      <c r="X99" t="s">
        <v>66</v>
      </c>
      <c r="Z99" s="32">
        <f t="shared" si="22"/>
        <v>0</v>
      </c>
      <c r="AA99" s="31">
        <v>30.744760513305664</v>
      </c>
      <c r="AB99" s="31">
        <v>1.1935371160507202</v>
      </c>
      <c r="AC99" s="31">
        <f t="shared" si="23"/>
        <v>0.13001493638896736</v>
      </c>
      <c r="AD99" t="s">
        <v>66</v>
      </c>
      <c r="AF99" s="32">
        <f t="shared" si="24"/>
        <v>0</v>
      </c>
      <c r="AG99" s="31">
        <v>35.866790771484375</v>
      </c>
      <c r="AH99" s="31">
        <v>3.3529434204101563</v>
      </c>
      <c r="AI99" s="31">
        <f t="shared" si="25"/>
        <v>0.3652443813082959</v>
      </c>
      <c r="AJ99" s="31">
        <v>38.273433685302734</v>
      </c>
      <c r="AK99" s="31">
        <v>0.75144124031066895</v>
      </c>
      <c r="AL99" s="32">
        <f t="shared" si="26"/>
        <v>0.81856344260421454</v>
      </c>
    </row>
    <row r="100" spans="1:38" ht="15.15" thickBot="1" x14ac:dyDescent="0.35">
      <c r="A100" s="33" t="s">
        <v>81</v>
      </c>
      <c r="B100" s="30">
        <v>44370</v>
      </c>
      <c r="C100" s="33">
        <v>920</v>
      </c>
      <c r="D100" s="1461" t="s">
        <v>65</v>
      </c>
      <c r="E100" s="30">
        <v>44432</v>
      </c>
      <c r="F100" s="24">
        <v>100</v>
      </c>
      <c r="G100" s="31">
        <v>22.921415328979492</v>
      </c>
      <c r="H100" s="31">
        <v>16196.9384765625</v>
      </c>
      <c r="I100" s="31">
        <f t="shared" si="29"/>
        <v>3214.2999226888023</v>
      </c>
      <c r="J100" s="31">
        <f t="shared" si="31"/>
        <v>349.38042637921768</v>
      </c>
      <c r="K100" s="31">
        <v>25.724477767944336</v>
      </c>
      <c r="L100" s="31">
        <v>2606.115234375</v>
      </c>
      <c r="M100" s="31">
        <f t="shared" si="30"/>
        <v>-10376.523319498698</v>
      </c>
      <c r="N100" s="32">
        <f t="shared" si="18"/>
        <v>-11278.829695107279</v>
      </c>
      <c r="O100" t="s">
        <v>66</v>
      </c>
      <c r="Q100" s="31">
        <f t="shared" si="19"/>
        <v>0</v>
      </c>
      <c r="R100" t="s">
        <v>66</v>
      </c>
      <c r="T100" s="32">
        <f t="shared" si="20"/>
        <v>0</v>
      </c>
      <c r="U100" t="s">
        <v>66</v>
      </c>
      <c r="W100" s="31">
        <f t="shared" si="21"/>
        <v>0</v>
      </c>
      <c r="X100" t="s">
        <v>66</v>
      </c>
      <c r="Z100" s="32">
        <f t="shared" si="22"/>
        <v>0</v>
      </c>
      <c r="AA100" s="31">
        <v>30.04420280456543</v>
      </c>
      <c r="AB100" s="31">
        <v>1.9102319478988647</v>
      </c>
      <c r="AC100" s="31">
        <f t="shared" si="23"/>
        <v>0.20763390738031137</v>
      </c>
      <c r="AD100" t="s">
        <v>66</v>
      </c>
      <c r="AF100" s="32">
        <f t="shared" si="24"/>
        <v>0</v>
      </c>
      <c r="AG100" t="s">
        <v>66</v>
      </c>
      <c r="AI100" s="31">
        <f t="shared" si="25"/>
        <v>0</v>
      </c>
      <c r="AJ100" t="s">
        <v>66</v>
      </c>
      <c r="AL100" s="32">
        <f t="shared" si="26"/>
        <v>0</v>
      </c>
    </row>
    <row r="101" spans="1:38" ht="15.15" thickBot="1" x14ac:dyDescent="0.35">
      <c r="A101" s="33" t="s">
        <v>64</v>
      </c>
      <c r="B101" s="30">
        <v>44377</v>
      </c>
      <c r="C101" s="33">
        <v>940</v>
      </c>
      <c r="D101" s="1461" t="s">
        <v>65</v>
      </c>
      <c r="E101" s="30">
        <v>44434</v>
      </c>
      <c r="F101" s="24">
        <v>100</v>
      </c>
      <c r="G101" s="36">
        <v>11.523473739624023</v>
      </c>
      <c r="H101" s="36">
        <v>27274228</v>
      </c>
      <c r="I101" s="36">
        <f t="shared" si="29"/>
        <v>27261245.361446127</v>
      </c>
      <c r="J101" s="36">
        <f t="shared" si="31"/>
        <v>2900132.4852602263</v>
      </c>
      <c r="K101" s="36">
        <v>23.809911727905273</v>
      </c>
      <c r="L101" s="36">
        <v>9076.8203125</v>
      </c>
      <c r="M101" s="36">
        <f t="shared" si="30"/>
        <v>-3905.8182413736977</v>
      </c>
      <c r="N101" s="37">
        <f t="shared" si="18"/>
        <v>-4155.1257886954236</v>
      </c>
      <c r="O101" s="31">
        <v>39.214462280273438</v>
      </c>
      <c r="P101" s="31">
        <v>3.8650448322296143</v>
      </c>
      <c r="Q101" s="31">
        <f t="shared" si="19"/>
        <v>0.41117498215208664</v>
      </c>
      <c r="R101" s="31">
        <v>38.780956268310547</v>
      </c>
      <c r="S101" s="31">
        <v>5.0329604148864746</v>
      </c>
      <c r="T101" s="32">
        <f t="shared" si="20"/>
        <v>5.3542132073260369</v>
      </c>
      <c r="U101" s="31">
        <v>32.153369903564453</v>
      </c>
      <c r="V101" s="31">
        <v>11.317176818847656</v>
      </c>
      <c r="W101" s="31">
        <f t="shared" si="21"/>
        <v>1.2039549807284742</v>
      </c>
      <c r="X101" s="31">
        <v>35.803688049316406</v>
      </c>
      <c r="Y101" s="31">
        <v>1.0717489719390869</v>
      </c>
      <c r="Z101" s="32">
        <f t="shared" si="22"/>
        <v>1.1401584807862626</v>
      </c>
      <c r="AA101" s="31">
        <v>30.484640121459961</v>
      </c>
      <c r="AB101" s="31">
        <v>1.4212646484375</v>
      </c>
      <c r="AC101" s="31">
        <f t="shared" si="23"/>
        <v>0.1511983668550532</v>
      </c>
      <c r="AD101" t="s">
        <v>66</v>
      </c>
      <c r="AF101" s="32">
        <f t="shared" si="24"/>
        <v>0</v>
      </c>
      <c r="AG101" t="s">
        <v>66</v>
      </c>
      <c r="AI101" s="31">
        <f t="shared" si="25"/>
        <v>0</v>
      </c>
      <c r="AJ101" t="s">
        <v>66</v>
      </c>
      <c r="AL101" s="32">
        <f t="shared" si="26"/>
        <v>0</v>
      </c>
    </row>
    <row r="102" spans="1:38" ht="15.15" thickBot="1" x14ac:dyDescent="0.35">
      <c r="A102" s="33" t="s">
        <v>67</v>
      </c>
      <c r="B102" s="30">
        <v>44377</v>
      </c>
      <c r="C102" s="33">
        <v>1000</v>
      </c>
      <c r="D102" s="1461" t="s">
        <v>65</v>
      </c>
      <c r="E102" s="30">
        <v>44434</v>
      </c>
      <c r="F102" s="24">
        <v>100</v>
      </c>
      <c r="G102" s="31">
        <v>19.647445678710938</v>
      </c>
      <c r="H102" s="31">
        <v>120151.90625</v>
      </c>
      <c r="I102" s="31">
        <f t="shared" si="29"/>
        <v>107169.26769612631</v>
      </c>
      <c r="J102" s="31">
        <f t="shared" si="31"/>
        <v>10716.926769612632</v>
      </c>
      <c r="K102" s="31">
        <v>22.496660232543945</v>
      </c>
      <c r="L102" s="31">
        <v>17666.990234375</v>
      </c>
      <c r="M102" s="31">
        <f t="shared" si="30"/>
        <v>4684.3516805013023</v>
      </c>
      <c r="N102" s="32">
        <f t="shared" si="18"/>
        <v>4684.3516805013023</v>
      </c>
      <c r="O102" s="31">
        <v>36.441604614257813</v>
      </c>
      <c r="P102" s="31">
        <v>2.7766034603118896</v>
      </c>
      <c r="Q102" s="31">
        <f t="shared" si="19"/>
        <v>0.27766034603118894</v>
      </c>
      <c r="R102" t="s">
        <v>66</v>
      </c>
      <c r="T102" s="32">
        <f t="shared" si="20"/>
        <v>0</v>
      </c>
      <c r="U102" s="31">
        <v>30.243192672729492</v>
      </c>
      <c r="V102" s="31">
        <v>13.115233421325684</v>
      </c>
      <c r="W102" s="31">
        <f t="shared" si="21"/>
        <v>1.3115233421325683</v>
      </c>
      <c r="X102" s="31">
        <v>33.521812438964844</v>
      </c>
      <c r="Y102" s="31">
        <v>1.4536746740341187</v>
      </c>
      <c r="Z102" s="32">
        <f t="shared" si="22"/>
        <v>1.4536746740341187</v>
      </c>
      <c r="AA102" s="31">
        <v>30.866870880126953</v>
      </c>
      <c r="AB102" s="31">
        <v>1.0135418176651001</v>
      </c>
      <c r="AC102" s="31">
        <f t="shared" si="23"/>
        <v>0.10135418176651001</v>
      </c>
      <c r="AD102" s="31">
        <v>32.271266937255859</v>
      </c>
      <c r="AE102" s="31">
        <v>0.38905206322669983</v>
      </c>
      <c r="AF102" s="32">
        <f t="shared" si="24"/>
        <v>0.38905206322669983</v>
      </c>
      <c r="AG102" s="31">
        <v>35.790481567382813</v>
      </c>
      <c r="AH102" s="31">
        <v>2.8598902225494385</v>
      </c>
      <c r="AI102" s="31">
        <f t="shared" si="25"/>
        <v>0.28598902225494383</v>
      </c>
      <c r="AJ102" t="s">
        <v>66</v>
      </c>
      <c r="AL102" s="32">
        <f t="shared" si="26"/>
        <v>0</v>
      </c>
    </row>
    <row r="103" spans="1:38" ht="15.15" thickBot="1" x14ac:dyDescent="0.35">
      <c r="A103" s="33" t="s">
        <v>68</v>
      </c>
      <c r="B103" s="30" t="s">
        <v>336</v>
      </c>
      <c r="C103" s="33" t="s">
        <v>336</v>
      </c>
      <c r="D103" s="1461" t="s">
        <v>349</v>
      </c>
      <c r="E103" s="30"/>
      <c r="I103" s="31"/>
      <c r="J103" s="31"/>
      <c r="M103" s="31"/>
      <c r="N103" s="32"/>
      <c r="Q103" s="31"/>
      <c r="T103" s="32"/>
      <c r="W103" s="31"/>
      <c r="Z103" s="32"/>
      <c r="AC103" s="31"/>
      <c r="AF103" s="32"/>
      <c r="AI103" s="31"/>
      <c r="AL103" s="32"/>
    </row>
    <row r="104" spans="1:38" ht="15.15" thickBot="1" x14ac:dyDescent="0.35">
      <c r="A104" s="33" t="s">
        <v>69</v>
      </c>
      <c r="B104" s="30" t="s">
        <v>336</v>
      </c>
      <c r="C104" s="33" t="s">
        <v>336</v>
      </c>
      <c r="D104" s="1461" t="s">
        <v>349</v>
      </c>
      <c r="E104" s="30"/>
      <c r="I104" s="31"/>
      <c r="J104" s="31"/>
      <c r="M104" s="31"/>
      <c r="N104" s="32"/>
      <c r="Q104" s="31"/>
      <c r="T104" s="32"/>
      <c r="W104" s="31"/>
      <c r="Z104" s="32"/>
      <c r="AC104" s="31"/>
      <c r="AF104" s="32"/>
      <c r="AI104" s="31"/>
      <c r="AL104" s="32"/>
    </row>
    <row r="105" spans="1:38" ht="15.15" thickBot="1" x14ac:dyDescent="0.35">
      <c r="A105" s="33" t="s">
        <v>70</v>
      </c>
      <c r="B105" s="30">
        <v>44377</v>
      </c>
      <c r="C105" s="33">
        <v>900</v>
      </c>
      <c r="D105" s="1461" t="s">
        <v>65</v>
      </c>
      <c r="E105" s="30">
        <v>44434</v>
      </c>
      <c r="F105" s="24">
        <v>100</v>
      </c>
      <c r="G105" s="31">
        <v>20.821691513061523</v>
      </c>
      <c r="H105" s="31">
        <v>63647.90234375</v>
      </c>
      <c r="I105" s="31">
        <f>H105-$H$265</f>
        <v>50665.263789876306</v>
      </c>
      <c r="J105" s="31">
        <f>(I105*$F105)/$C105</f>
        <v>5629.4737544307009</v>
      </c>
      <c r="K105" s="31">
        <v>23.382656097412109</v>
      </c>
      <c r="L105" s="31">
        <v>11991.49609375</v>
      </c>
      <c r="M105" s="31">
        <f t="shared" ref="M105:M164" si="32">L105-$H$265</f>
        <v>-991.14246012369767</v>
      </c>
      <c r="N105" s="32">
        <f t="shared" si="18"/>
        <v>-1101.2694001374418</v>
      </c>
      <c r="O105" s="31">
        <v>38.848655700683594</v>
      </c>
      <c r="P105" s="31">
        <v>4.829653263092041</v>
      </c>
      <c r="Q105" s="31">
        <f t="shared" si="19"/>
        <v>0.5366281403435601</v>
      </c>
      <c r="R105" t="s">
        <v>66</v>
      </c>
      <c r="T105" s="32">
        <f t="shared" si="20"/>
        <v>0</v>
      </c>
      <c r="U105" s="31">
        <v>37.102287292480469</v>
      </c>
      <c r="V105" s="31">
        <v>0.46337410807609558</v>
      </c>
      <c r="W105" s="31">
        <f t="shared" si="21"/>
        <v>5.1486012008455068E-2</v>
      </c>
      <c r="X105" t="s">
        <v>66</v>
      </c>
      <c r="Z105" s="32">
        <f t="shared" si="22"/>
        <v>0</v>
      </c>
      <c r="AA105" s="31">
        <v>30.733753204345703</v>
      </c>
      <c r="AB105" s="31">
        <v>1.2023893594741821</v>
      </c>
      <c r="AC105" s="31">
        <f t="shared" si="23"/>
        <v>0.13359881771935356</v>
      </c>
      <c r="AD105" t="s">
        <v>66</v>
      </c>
      <c r="AF105" s="32">
        <f t="shared" si="24"/>
        <v>0</v>
      </c>
      <c r="AG105" t="s">
        <v>66</v>
      </c>
      <c r="AI105" s="31">
        <f t="shared" si="25"/>
        <v>0</v>
      </c>
      <c r="AJ105" t="s">
        <v>66</v>
      </c>
      <c r="AL105" s="32">
        <f t="shared" si="26"/>
        <v>0</v>
      </c>
    </row>
    <row r="106" spans="1:38" ht="15.15" thickBot="1" x14ac:dyDescent="0.35">
      <c r="A106" s="33" t="s">
        <v>71</v>
      </c>
      <c r="B106" s="30">
        <v>44377</v>
      </c>
      <c r="C106" s="33">
        <v>900</v>
      </c>
      <c r="D106" s="1461" t="s">
        <v>65</v>
      </c>
      <c r="E106" s="30">
        <v>44434</v>
      </c>
      <c r="F106" s="24">
        <v>100</v>
      </c>
      <c r="G106" s="31">
        <v>20.605155944824219</v>
      </c>
      <c r="H106" s="31">
        <v>73295.4453125</v>
      </c>
      <c r="I106" s="31">
        <f>H106-$H$265</f>
        <v>60312.806758626306</v>
      </c>
      <c r="J106" s="31">
        <f t="shared" ref="J106:J169" si="33">(I106*$F106)/$C106</f>
        <v>6701.4229731807009</v>
      </c>
      <c r="K106" s="31">
        <v>23.299659729003906</v>
      </c>
      <c r="L106" s="31">
        <v>12658.0400390625</v>
      </c>
      <c r="M106" s="31">
        <f t="shared" si="32"/>
        <v>-324.59851481119767</v>
      </c>
      <c r="N106" s="32">
        <f t="shared" si="18"/>
        <v>-360.66501645688629</v>
      </c>
      <c r="O106" t="s">
        <v>66</v>
      </c>
      <c r="Q106" s="31">
        <f t="shared" si="19"/>
        <v>0</v>
      </c>
      <c r="R106" t="s">
        <v>66</v>
      </c>
      <c r="T106" s="32">
        <f t="shared" si="20"/>
        <v>0</v>
      </c>
      <c r="U106" s="31">
        <v>36.306987762451172</v>
      </c>
      <c r="V106" s="31">
        <v>0.77438092231750488</v>
      </c>
      <c r="W106" s="31">
        <f t="shared" si="21"/>
        <v>8.6042324701944992E-2</v>
      </c>
      <c r="X106" t="s">
        <v>66</v>
      </c>
      <c r="Z106" s="32">
        <f t="shared" si="22"/>
        <v>0</v>
      </c>
      <c r="AA106" s="31">
        <v>30.571506500244141</v>
      </c>
      <c r="AB106" s="31">
        <v>1.3407529592514038</v>
      </c>
      <c r="AC106" s="31">
        <f t="shared" si="23"/>
        <v>0.14897255102793375</v>
      </c>
      <c r="AD106" t="s">
        <v>66</v>
      </c>
      <c r="AF106" s="32">
        <f t="shared" si="24"/>
        <v>0</v>
      </c>
      <c r="AG106" s="31">
        <v>34.983894348144531</v>
      </c>
      <c r="AH106" s="31">
        <v>5.8037939071655273</v>
      </c>
      <c r="AI106" s="31">
        <f t="shared" si="25"/>
        <v>0.64486598968505859</v>
      </c>
      <c r="AJ106" t="s">
        <v>66</v>
      </c>
      <c r="AL106" s="32">
        <f t="shared" si="26"/>
        <v>0</v>
      </c>
    </row>
    <row r="107" spans="1:38" ht="15.15" thickBot="1" x14ac:dyDescent="0.35">
      <c r="A107" s="33" t="s">
        <v>72</v>
      </c>
      <c r="B107" s="30">
        <v>44377</v>
      </c>
      <c r="C107" s="33">
        <v>910</v>
      </c>
      <c r="D107" s="1461" t="s">
        <v>65</v>
      </c>
      <c r="E107" s="30">
        <v>44434</v>
      </c>
      <c r="F107" s="24">
        <v>100</v>
      </c>
      <c r="G107" s="31">
        <v>21.100299835205078</v>
      </c>
      <c r="H107" s="31">
        <v>53078.76171875</v>
      </c>
      <c r="I107" s="31">
        <f>H107-$H$265</f>
        <v>40096.123164876306</v>
      </c>
      <c r="J107" s="31">
        <f t="shared" si="33"/>
        <v>4406.1673807556381</v>
      </c>
      <c r="K107" s="31">
        <v>24.132472991943359</v>
      </c>
      <c r="L107" s="31">
        <v>7355.78515625</v>
      </c>
      <c r="M107" s="31">
        <f t="shared" si="32"/>
        <v>-5626.8533976236977</v>
      </c>
      <c r="N107" s="32">
        <f t="shared" si="18"/>
        <v>-6183.3553820040634</v>
      </c>
      <c r="O107" t="s">
        <v>66</v>
      </c>
      <c r="Q107" s="31">
        <f t="shared" si="19"/>
        <v>0</v>
      </c>
      <c r="R107" t="s">
        <v>66</v>
      </c>
      <c r="T107" s="32">
        <f t="shared" si="20"/>
        <v>0</v>
      </c>
      <c r="U107" s="31">
        <v>27.300243377685547</v>
      </c>
      <c r="V107" s="31">
        <v>259.82574462890625</v>
      </c>
      <c r="W107" s="31">
        <f t="shared" si="21"/>
        <v>28.552279629550139</v>
      </c>
      <c r="X107" s="31">
        <v>30.846567153930664</v>
      </c>
      <c r="Y107" s="31">
        <v>26.314788818359375</v>
      </c>
      <c r="Z107" s="32">
        <f t="shared" si="22"/>
        <v>28.917350349845467</v>
      </c>
      <c r="AA107" s="31">
        <v>30.701475143432617</v>
      </c>
      <c r="AB107" s="31">
        <v>1.2287284135818481</v>
      </c>
      <c r="AC107" s="31">
        <f t="shared" si="23"/>
        <v>0.13502510039360968</v>
      </c>
      <c r="AD107" t="s">
        <v>66</v>
      </c>
      <c r="AF107" s="32">
        <f t="shared" si="24"/>
        <v>0</v>
      </c>
      <c r="AG107" s="31">
        <v>32.915802001953125</v>
      </c>
      <c r="AH107" s="31">
        <v>20.983184814453125</v>
      </c>
      <c r="AI107" s="31">
        <f t="shared" si="25"/>
        <v>2.3058444851047391</v>
      </c>
      <c r="AJ107" t="s">
        <v>66</v>
      </c>
      <c r="AL107" s="32">
        <f t="shared" si="26"/>
        <v>0</v>
      </c>
    </row>
    <row r="108" spans="1:38" ht="15.15" thickBot="1" x14ac:dyDescent="0.35">
      <c r="A108" s="33" t="s">
        <v>73</v>
      </c>
      <c r="B108" s="30">
        <v>44377</v>
      </c>
      <c r="C108" s="33">
        <v>930</v>
      </c>
      <c r="D108" s="1461" t="s">
        <v>65</v>
      </c>
      <c r="E108" s="30">
        <v>44434</v>
      </c>
      <c r="F108" s="24">
        <v>100</v>
      </c>
      <c r="G108" s="31">
        <v>21.802520751953125</v>
      </c>
      <c r="H108" s="31">
        <v>33585.28515625</v>
      </c>
      <c r="I108" s="31">
        <f>H108-$H$265</f>
        <v>20602.646602376302</v>
      </c>
      <c r="J108" s="31">
        <f t="shared" si="33"/>
        <v>2215.3383443415378</v>
      </c>
      <c r="K108" s="31">
        <v>24.792131423950195</v>
      </c>
      <c r="L108" s="31">
        <v>4785.2548828125</v>
      </c>
      <c r="M108" s="31">
        <f t="shared" si="32"/>
        <v>-8197.3836710611977</v>
      </c>
      <c r="N108" s="32">
        <f t="shared" si="18"/>
        <v>-8814.3910441518256</v>
      </c>
      <c r="O108" t="s">
        <v>66</v>
      </c>
      <c r="Q108" s="31">
        <f t="shared" si="19"/>
        <v>0</v>
      </c>
      <c r="R108" t="s">
        <v>66</v>
      </c>
      <c r="T108" s="32">
        <f t="shared" si="20"/>
        <v>0</v>
      </c>
      <c r="U108" s="31">
        <v>29.605781555175781</v>
      </c>
      <c r="V108" s="31">
        <v>58.633895874023438</v>
      </c>
      <c r="W108" s="31">
        <f t="shared" si="21"/>
        <v>6.304719986454133</v>
      </c>
      <c r="X108" s="31">
        <v>32.584564208984375</v>
      </c>
      <c r="Y108" s="31">
        <v>8.5668249130249023</v>
      </c>
      <c r="Z108" s="32">
        <f t="shared" si="22"/>
        <v>9.2116396914246259</v>
      </c>
      <c r="AA108" s="31">
        <v>30.489641189575195</v>
      </c>
      <c r="AB108" s="31">
        <v>1.4165010452270508</v>
      </c>
      <c r="AC108" s="31">
        <f t="shared" si="23"/>
        <v>0.15231194034699472</v>
      </c>
      <c r="AD108" s="31">
        <v>31.167684555053711</v>
      </c>
      <c r="AE108" s="31">
        <v>0.89852643013000488</v>
      </c>
      <c r="AF108" s="32">
        <f t="shared" si="24"/>
        <v>0.96615745175269341</v>
      </c>
      <c r="AG108" t="s">
        <v>66</v>
      </c>
      <c r="AI108" s="31">
        <f t="shared" si="25"/>
        <v>0</v>
      </c>
      <c r="AJ108" t="s">
        <v>66</v>
      </c>
      <c r="AL108" s="32">
        <f t="shared" si="26"/>
        <v>0</v>
      </c>
    </row>
    <row r="109" spans="1:38" ht="15.15" thickBot="1" x14ac:dyDescent="0.35">
      <c r="A109" s="33" t="s">
        <v>74</v>
      </c>
      <c r="B109" s="30">
        <v>44377</v>
      </c>
      <c r="C109" s="33">
        <v>900</v>
      </c>
      <c r="D109" s="1461" t="s">
        <v>65</v>
      </c>
      <c r="E109" s="30">
        <v>44434</v>
      </c>
      <c r="F109" s="24">
        <v>100</v>
      </c>
      <c r="G109" s="31">
        <v>23.16162109375</v>
      </c>
      <c r="H109" s="31">
        <v>13849.685546875</v>
      </c>
      <c r="I109" s="31">
        <f>H109-$H$265</f>
        <v>867.04699300130233</v>
      </c>
      <c r="J109" s="31">
        <f t="shared" si="33"/>
        <v>96.338554777922482</v>
      </c>
      <c r="K109" s="31">
        <v>25.915138244628906</v>
      </c>
      <c r="L109" s="31">
        <v>2301.573974609375</v>
      </c>
      <c r="M109" s="31">
        <f t="shared" si="32"/>
        <v>-10681.064579264323</v>
      </c>
      <c r="N109" s="32">
        <f t="shared" si="18"/>
        <v>-11867.849532515913</v>
      </c>
      <c r="O109" t="s">
        <v>66</v>
      </c>
      <c r="Q109" s="31">
        <f t="shared" si="19"/>
        <v>0</v>
      </c>
      <c r="R109" t="s">
        <v>66</v>
      </c>
      <c r="T109" s="32">
        <f t="shared" si="20"/>
        <v>0</v>
      </c>
      <c r="U109" s="36">
        <v>38.076160430908203</v>
      </c>
      <c r="V109" s="36">
        <v>0.24707692861557007</v>
      </c>
      <c r="W109" s="36">
        <f t="shared" si="21"/>
        <v>2.7452992068396673E-2</v>
      </c>
      <c r="X109" s="36">
        <v>25.851436614990234</v>
      </c>
      <c r="Y109" s="36">
        <v>662.1640625</v>
      </c>
      <c r="Z109" s="37">
        <f t="shared" si="22"/>
        <v>735.73784722222217</v>
      </c>
      <c r="AA109" s="31">
        <v>29.718647003173828</v>
      </c>
      <c r="AB109" s="31">
        <v>2.3768572807312012</v>
      </c>
      <c r="AC109" s="31">
        <f t="shared" si="23"/>
        <v>0.2640952534145779</v>
      </c>
      <c r="AD109" t="s">
        <v>66</v>
      </c>
      <c r="AF109" s="32">
        <f t="shared" si="24"/>
        <v>0</v>
      </c>
      <c r="AG109" t="s">
        <v>66</v>
      </c>
      <c r="AI109" s="31">
        <f t="shared" si="25"/>
        <v>0</v>
      </c>
      <c r="AJ109" t="s">
        <v>66</v>
      </c>
      <c r="AL109" s="32">
        <f t="shared" si="26"/>
        <v>0</v>
      </c>
    </row>
    <row r="110" spans="1:38" ht="15.15" thickBot="1" x14ac:dyDescent="0.35">
      <c r="A110" s="33" t="s">
        <v>75</v>
      </c>
      <c r="B110" s="30">
        <v>44377</v>
      </c>
      <c r="C110" s="33">
        <v>1000</v>
      </c>
      <c r="D110" s="1461" t="s">
        <v>65</v>
      </c>
      <c r="E110" s="30">
        <v>44434</v>
      </c>
      <c r="F110" s="24">
        <v>100</v>
      </c>
      <c r="G110" t="s">
        <v>66</v>
      </c>
      <c r="I110" s="31"/>
      <c r="J110" s="31"/>
      <c r="K110" s="31">
        <v>26.275590896606445</v>
      </c>
      <c r="L110" s="31">
        <v>1819.678466796875</v>
      </c>
      <c r="M110" s="31">
        <f t="shared" si="32"/>
        <v>-11162.960087076823</v>
      </c>
      <c r="N110" s="32">
        <f t="shared" si="18"/>
        <v>-11162.960087076823</v>
      </c>
      <c r="O110" t="s">
        <v>66</v>
      </c>
      <c r="Q110" s="31">
        <f t="shared" si="19"/>
        <v>0</v>
      </c>
      <c r="R110" t="s">
        <v>66</v>
      </c>
      <c r="T110" s="32">
        <f t="shared" si="20"/>
        <v>0</v>
      </c>
      <c r="U110" t="s">
        <v>66</v>
      </c>
      <c r="W110" s="31">
        <f t="shared" si="21"/>
        <v>0</v>
      </c>
      <c r="X110" t="s">
        <v>66</v>
      </c>
      <c r="Z110" s="32">
        <f t="shared" si="22"/>
        <v>0</v>
      </c>
      <c r="AA110" s="31">
        <v>30.554409027099609</v>
      </c>
      <c r="AB110" s="31">
        <v>1.3562307357788086</v>
      </c>
      <c r="AC110" s="31">
        <f t="shared" si="23"/>
        <v>0.13562307357788086</v>
      </c>
      <c r="AD110" t="s">
        <v>66</v>
      </c>
      <c r="AF110" s="32">
        <f t="shared" si="24"/>
        <v>0</v>
      </c>
      <c r="AG110" t="s">
        <v>66</v>
      </c>
      <c r="AI110" s="31">
        <f t="shared" si="25"/>
        <v>0</v>
      </c>
      <c r="AJ110" t="s">
        <v>66</v>
      </c>
      <c r="AL110" s="32">
        <f t="shared" si="26"/>
        <v>0</v>
      </c>
    </row>
    <row r="111" spans="1:38" ht="15.15" thickBot="1" x14ac:dyDescent="0.35">
      <c r="A111" s="33" t="s">
        <v>76</v>
      </c>
      <c r="B111" s="30">
        <v>44377</v>
      </c>
      <c r="C111" s="33">
        <v>960</v>
      </c>
      <c r="D111" s="1461" t="s">
        <v>65</v>
      </c>
      <c r="E111" s="30">
        <v>44434</v>
      </c>
      <c r="F111" s="24">
        <v>100</v>
      </c>
      <c r="G111" s="31">
        <v>16.263738632202148</v>
      </c>
      <c r="H111" s="31">
        <v>1241553.75</v>
      </c>
      <c r="I111" s="31">
        <f t="shared" ref="I111:I164" si="34">H111-$H$265</f>
        <v>1228571.1114461264</v>
      </c>
      <c r="J111" s="31">
        <f t="shared" si="33"/>
        <v>127976.15744230483</v>
      </c>
      <c r="K111" s="31">
        <v>18.995187759399414</v>
      </c>
      <c r="L111" s="31">
        <v>209313.46875</v>
      </c>
      <c r="M111" s="31">
        <f t="shared" si="32"/>
        <v>196330.83019612631</v>
      </c>
      <c r="N111" s="32">
        <f t="shared" si="18"/>
        <v>204511.28145429824</v>
      </c>
      <c r="O111" s="31">
        <v>30.515840530395508</v>
      </c>
      <c r="P111" s="31">
        <v>772.81024169921875</v>
      </c>
      <c r="Q111" s="31">
        <f t="shared" si="19"/>
        <v>80.501066843668625</v>
      </c>
      <c r="R111" s="31">
        <v>34.171127319335938</v>
      </c>
      <c r="S111" s="31">
        <v>83.405303955078125</v>
      </c>
      <c r="T111" s="32">
        <f t="shared" si="20"/>
        <v>86.880524953206375</v>
      </c>
      <c r="U111" s="31">
        <v>24.350997924804688</v>
      </c>
      <c r="V111" s="31">
        <v>1744.7291259765625</v>
      </c>
      <c r="W111" s="31">
        <f t="shared" si="21"/>
        <v>181.74261728922525</v>
      </c>
      <c r="X111" s="31">
        <v>27.467241287231445</v>
      </c>
      <c r="Y111" s="31">
        <v>233.26606750488281</v>
      </c>
      <c r="Z111" s="32">
        <f t="shared" si="22"/>
        <v>242.98548698425293</v>
      </c>
      <c r="AA111" s="31">
        <v>29.726537704467773</v>
      </c>
      <c r="AB111" s="31">
        <v>2.3642997741699219</v>
      </c>
      <c r="AC111" s="31">
        <f t="shared" si="23"/>
        <v>0.24628122647603354</v>
      </c>
      <c r="AD111" t="s">
        <v>66</v>
      </c>
      <c r="AF111" s="32">
        <f t="shared" si="24"/>
        <v>0</v>
      </c>
      <c r="AG111" s="31">
        <v>22.534446716308594</v>
      </c>
      <c r="AH111" s="31">
        <v>13295.5224609375</v>
      </c>
      <c r="AI111" s="31">
        <f t="shared" si="25"/>
        <v>1384.9502563476563</v>
      </c>
      <c r="AJ111" s="31">
        <v>26.915779113769531</v>
      </c>
      <c r="AK111" s="31">
        <v>873.4205322265625</v>
      </c>
      <c r="AL111" s="32">
        <f t="shared" si="26"/>
        <v>909.81305440266931</v>
      </c>
    </row>
    <row r="112" spans="1:38" ht="15.15" thickBot="1" x14ac:dyDescent="0.35">
      <c r="A112" s="33" t="s">
        <v>77</v>
      </c>
      <c r="B112" s="30">
        <v>44377</v>
      </c>
      <c r="C112" s="33">
        <v>910</v>
      </c>
      <c r="D112" s="1461" t="s">
        <v>65</v>
      </c>
      <c r="E112" s="30">
        <v>44434</v>
      </c>
      <c r="F112" s="24">
        <v>100</v>
      </c>
      <c r="G112" s="31">
        <v>17.808736801147461</v>
      </c>
      <c r="H112" s="31">
        <v>453561.1875</v>
      </c>
      <c r="I112" s="31">
        <f t="shared" si="34"/>
        <v>440578.54894612631</v>
      </c>
      <c r="J112" s="31">
        <f t="shared" si="33"/>
        <v>48415.225158914982</v>
      </c>
      <c r="K112" s="31">
        <v>20.327741622924805</v>
      </c>
      <c r="L112" s="31">
        <v>87821.8046875</v>
      </c>
      <c r="M112" s="31">
        <f t="shared" si="32"/>
        <v>74839.166133626306</v>
      </c>
      <c r="N112" s="32">
        <f t="shared" si="18"/>
        <v>82240.841905083857</v>
      </c>
      <c r="O112" s="31">
        <v>32.001163482666016</v>
      </c>
      <c r="P112" s="31">
        <v>312.73916625976563</v>
      </c>
      <c r="Q112" s="31">
        <f t="shared" si="19"/>
        <v>34.366941347226991</v>
      </c>
      <c r="R112" s="31">
        <v>35.710300445556641</v>
      </c>
      <c r="S112" s="31">
        <v>32.663211822509766</v>
      </c>
      <c r="T112" s="32">
        <f t="shared" si="20"/>
        <v>35.893639365395344</v>
      </c>
      <c r="U112" s="31">
        <v>27.101644515991211</v>
      </c>
      <c r="V112" s="31">
        <v>295.37551879882813</v>
      </c>
      <c r="W112" s="31">
        <f t="shared" si="21"/>
        <v>32.458848219651443</v>
      </c>
      <c r="X112" s="31">
        <v>30.263975143432617</v>
      </c>
      <c r="Y112" s="31">
        <v>38.333103179931641</v>
      </c>
      <c r="Z112" s="32">
        <f t="shared" si="22"/>
        <v>42.124289208716085</v>
      </c>
      <c r="AA112" s="31">
        <v>30.796298980712891</v>
      </c>
      <c r="AB112" s="31">
        <v>1.1529479026794434</v>
      </c>
      <c r="AC112" s="31">
        <f t="shared" si="23"/>
        <v>0.12669757172301577</v>
      </c>
      <c r="AD112" t="s">
        <v>66</v>
      </c>
      <c r="AF112" s="32">
        <f t="shared" si="24"/>
        <v>0</v>
      </c>
      <c r="AG112" s="31">
        <v>24.197437286376953</v>
      </c>
      <c r="AH112" s="31">
        <v>4730.19775390625</v>
      </c>
      <c r="AI112" s="31">
        <f t="shared" si="25"/>
        <v>519.80195097870876</v>
      </c>
      <c r="AJ112" s="31">
        <v>28.51739501953125</v>
      </c>
      <c r="AK112" s="31">
        <v>322.82095336914063</v>
      </c>
      <c r="AL112" s="32">
        <f t="shared" si="26"/>
        <v>354.74830040564905</v>
      </c>
    </row>
    <row r="113" spans="1:38" ht="15.15" thickBot="1" x14ac:dyDescent="0.35">
      <c r="A113" s="33" t="s">
        <v>78</v>
      </c>
      <c r="B113" s="30">
        <v>44377</v>
      </c>
      <c r="C113" s="33">
        <v>1000</v>
      </c>
      <c r="D113" s="1461" t="s">
        <v>65</v>
      </c>
      <c r="E113" s="30">
        <v>44434</v>
      </c>
      <c r="F113" s="24">
        <v>100</v>
      </c>
      <c r="G113" s="31">
        <v>14.275776863098145</v>
      </c>
      <c r="H113" s="31">
        <v>4536084.5</v>
      </c>
      <c r="I113" s="31">
        <f t="shared" si="34"/>
        <v>4523101.8614461264</v>
      </c>
      <c r="J113" s="31">
        <f t="shared" si="33"/>
        <v>452310.18614461261</v>
      </c>
      <c r="K113" s="31">
        <v>16.832061767578125</v>
      </c>
      <c r="L113" s="31">
        <v>857225.4375</v>
      </c>
      <c r="M113" s="31">
        <f t="shared" si="32"/>
        <v>844242.79894612625</v>
      </c>
      <c r="N113" s="32">
        <f t="shared" si="18"/>
        <v>844242.79894612625</v>
      </c>
      <c r="O113" t="s">
        <v>66</v>
      </c>
      <c r="Q113" s="31">
        <f t="shared" si="19"/>
        <v>0</v>
      </c>
      <c r="R113" t="s">
        <v>66</v>
      </c>
      <c r="T113" s="32">
        <f t="shared" si="20"/>
        <v>0</v>
      </c>
      <c r="U113" s="31">
        <v>24.047388076782227</v>
      </c>
      <c r="V113" s="31">
        <v>2122.60009765625</v>
      </c>
      <c r="W113" s="31">
        <f t="shared" si="21"/>
        <v>212.260009765625</v>
      </c>
      <c r="X113" s="31">
        <v>27.573244094848633</v>
      </c>
      <c r="Y113" s="31">
        <v>217.83396911621094</v>
      </c>
      <c r="Z113" s="32">
        <f t="shared" si="22"/>
        <v>217.83396911621094</v>
      </c>
      <c r="AA113" s="31">
        <v>28.365436553955078</v>
      </c>
      <c r="AB113" s="31">
        <v>5.895716667175293</v>
      </c>
      <c r="AC113" s="31">
        <f t="shared" si="23"/>
        <v>0.58957166671752925</v>
      </c>
      <c r="AD113" s="31">
        <v>32.085742950439453</v>
      </c>
      <c r="AE113" s="31">
        <v>0.48514050245285034</v>
      </c>
      <c r="AF113" s="32">
        <f t="shared" si="24"/>
        <v>0.48514050245285034</v>
      </c>
      <c r="AG113" s="31">
        <v>19.797880172729492</v>
      </c>
      <c r="AH113" s="31">
        <v>72824.9140625</v>
      </c>
      <c r="AI113" s="31">
        <f t="shared" si="25"/>
        <v>7282.4914062500002</v>
      </c>
      <c r="AJ113" s="31">
        <v>23.0506591796875</v>
      </c>
      <c r="AK113" s="31">
        <v>9646.8232421875</v>
      </c>
      <c r="AL113" s="32">
        <f t="shared" si="26"/>
        <v>9646.8232421875</v>
      </c>
    </row>
    <row r="114" spans="1:38" ht="15.15" thickBot="1" x14ac:dyDescent="0.35">
      <c r="A114" s="33" t="s">
        <v>79</v>
      </c>
      <c r="B114" s="30">
        <v>44377</v>
      </c>
      <c r="C114" s="33">
        <v>970</v>
      </c>
      <c r="D114" s="1461" t="s">
        <v>65</v>
      </c>
      <c r="E114" s="30">
        <v>44434</v>
      </c>
      <c r="F114" s="24">
        <v>100</v>
      </c>
      <c r="G114" s="31">
        <v>15.259673118591309</v>
      </c>
      <c r="H114" s="31">
        <v>2388789.5</v>
      </c>
      <c r="I114" s="31">
        <f t="shared" si="34"/>
        <v>2375806.8614461264</v>
      </c>
      <c r="J114" s="31">
        <f t="shared" si="33"/>
        <v>244928.54241712645</v>
      </c>
      <c r="K114" s="31">
        <v>18.046113967895508</v>
      </c>
      <c r="L114" s="31">
        <v>388546.96875</v>
      </c>
      <c r="M114" s="31">
        <f t="shared" si="32"/>
        <v>375564.33019612631</v>
      </c>
      <c r="N114" s="32">
        <f t="shared" si="18"/>
        <v>387179.72185167659</v>
      </c>
      <c r="O114" t="s">
        <v>66</v>
      </c>
      <c r="Q114" s="31">
        <f t="shared" si="19"/>
        <v>0</v>
      </c>
      <c r="R114" t="s">
        <v>66</v>
      </c>
      <c r="T114" s="32">
        <f t="shared" si="20"/>
        <v>0</v>
      </c>
      <c r="U114" s="31">
        <v>24.866889953613281</v>
      </c>
      <c r="V114" s="31">
        <v>1250.427001953125</v>
      </c>
      <c r="W114" s="31">
        <f t="shared" si="21"/>
        <v>128.91000020135309</v>
      </c>
      <c r="X114" s="31">
        <v>28.010686874389648</v>
      </c>
      <c r="Y114" s="31">
        <v>164.23101806640625</v>
      </c>
      <c r="Z114" s="32">
        <f t="shared" si="22"/>
        <v>169.31032790351159</v>
      </c>
      <c r="AA114" s="31">
        <v>28.556039810180664</v>
      </c>
      <c r="AB114" s="31">
        <v>5.1875882148742676</v>
      </c>
      <c r="AC114" s="31">
        <f t="shared" si="23"/>
        <v>0.53480290874992453</v>
      </c>
      <c r="AD114" s="31">
        <v>31.425956726074219</v>
      </c>
      <c r="AE114" s="31">
        <v>0.75549334287643433</v>
      </c>
      <c r="AF114" s="32">
        <f t="shared" si="24"/>
        <v>0.77885911636745808</v>
      </c>
      <c r="AG114" s="31">
        <v>20.861648559570313</v>
      </c>
      <c r="AH114" s="31">
        <v>37599.19140625</v>
      </c>
      <c r="AI114" s="31">
        <f t="shared" si="25"/>
        <v>3876.2052996134021</v>
      </c>
      <c r="AJ114" s="31">
        <v>24.719596862792969</v>
      </c>
      <c r="AK114" s="31">
        <v>3419.42529296875</v>
      </c>
      <c r="AL114" s="32">
        <f t="shared" si="26"/>
        <v>3525.180714400773</v>
      </c>
    </row>
    <row r="115" spans="1:38" ht="15.15" thickBot="1" x14ac:dyDescent="0.35">
      <c r="A115" s="33" t="s">
        <v>80</v>
      </c>
      <c r="B115" s="30">
        <v>44377</v>
      </c>
      <c r="C115" s="33">
        <v>900</v>
      </c>
      <c r="D115" s="1461" t="s">
        <v>65</v>
      </c>
      <c r="E115" s="30">
        <v>44434</v>
      </c>
      <c r="F115" s="24">
        <v>100</v>
      </c>
      <c r="G115" s="31">
        <v>23.277133941650391</v>
      </c>
      <c r="H115" s="31">
        <v>12845.2529296875</v>
      </c>
      <c r="I115" s="31">
        <f t="shared" si="34"/>
        <v>-137.38562418619767</v>
      </c>
      <c r="J115" s="31">
        <f t="shared" si="33"/>
        <v>-15.265069354021964</v>
      </c>
      <c r="K115" s="31">
        <v>26.259952545166016</v>
      </c>
      <c r="L115" s="31">
        <v>1838.3206787109375</v>
      </c>
      <c r="M115" s="31">
        <f t="shared" si="32"/>
        <v>-11144.31787516276</v>
      </c>
      <c r="N115" s="32">
        <f t="shared" si="18"/>
        <v>-12382.57541684751</v>
      </c>
      <c r="O115" t="s">
        <v>66</v>
      </c>
      <c r="Q115" s="31">
        <f t="shared" si="19"/>
        <v>0</v>
      </c>
      <c r="R115" t="s">
        <v>66</v>
      </c>
      <c r="T115" s="32">
        <f t="shared" si="20"/>
        <v>0</v>
      </c>
      <c r="U115" t="s">
        <v>66</v>
      </c>
      <c r="W115" s="31">
        <f t="shared" si="21"/>
        <v>0</v>
      </c>
      <c r="X115" t="s">
        <v>66</v>
      </c>
      <c r="Z115" s="32">
        <f t="shared" si="22"/>
        <v>0</v>
      </c>
      <c r="AA115" s="31">
        <v>30.959602355957031</v>
      </c>
      <c r="AB115" s="31">
        <v>1.0332323312759399</v>
      </c>
      <c r="AC115" s="31">
        <f t="shared" si="23"/>
        <v>0.11480359236399333</v>
      </c>
      <c r="AD115" t="s">
        <v>66</v>
      </c>
      <c r="AF115" s="32">
        <f t="shared" si="24"/>
        <v>0</v>
      </c>
      <c r="AG115" t="s">
        <v>66</v>
      </c>
      <c r="AI115" s="31">
        <f t="shared" si="25"/>
        <v>0</v>
      </c>
      <c r="AJ115" t="s">
        <v>66</v>
      </c>
      <c r="AL115" s="32">
        <f t="shared" si="26"/>
        <v>0</v>
      </c>
    </row>
    <row r="116" spans="1:38" ht="15.15" thickBot="1" x14ac:dyDescent="0.35">
      <c r="A116" s="33" t="s">
        <v>81</v>
      </c>
      <c r="B116" s="30">
        <v>44377</v>
      </c>
      <c r="C116" s="33">
        <v>900</v>
      </c>
      <c r="D116" s="1461" t="s">
        <v>65</v>
      </c>
      <c r="E116" s="30">
        <v>44434</v>
      </c>
      <c r="F116" s="24">
        <v>100</v>
      </c>
      <c r="G116" s="31">
        <v>22.359464645385742</v>
      </c>
      <c r="H116" s="31">
        <v>21002.626953125</v>
      </c>
      <c r="I116" s="31">
        <f t="shared" si="34"/>
        <v>8019.9883992513023</v>
      </c>
      <c r="J116" s="31">
        <f t="shared" si="33"/>
        <v>891.10982213903355</v>
      </c>
      <c r="K116" s="31">
        <v>25.043767929077148</v>
      </c>
      <c r="L116" s="31">
        <v>3704.611572265625</v>
      </c>
      <c r="M116" s="31">
        <f t="shared" si="32"/>
        <v>-9278.0269816080727</v>
      </c>
      <c r="N116" s="32">
        <f t="shared" si="18"/>
        <v>-10308.918868453413</v>
      </c>
      <c r="O116" s="31">
        <v>34.670635223388672</v>
      </c>
      <c r="P116" s="31">
        <v>8.4664726257324219</v>
      </c>
      <c r="Q116" s="31">
        <f t="shared" si="19"/>
        <v>0.94071918063693571</v>
      </c>
      <c r="R116" s="31">
        <v>38.25531005859375</v>
      </c>
      <c r="S116" s="31">
        <v>0.88642197847366333</v>
      </c>
      <c r="T116" s="32">
        <f t="shared" si="20"/>
        <v>0.98491330941518151</v>
      </c>
      <c r="U116" t="s">
        <v>66</v>
      </c>
      <c r="V116" s="31"/>
      <c r="W116" s="31">
        <f t="shared" si="21"/>
        <v>0</v>
      </c>
      <c r="X116" t="s">
        <v>66</v>
      </c>
      <c r="Y116" s="31"/>
      <c r="Z116" s="32">
        <f t="shared" si="22"/>
        <v>0</v>
      </c>
      <c r="AA116" s="31">
        <v>31.047718048095703</v>
      </c>
      <c r="AB116" s="31">
        <v>3.9845349788665771</v>
      </c>
      <c r="AC116" s="31">
        <f t="shared" si="23"/>
        <v>0.44272610876295304</v>
      </c>
      <c r="AD116" s="31">
        <v>32.607612609863281</v>
      </c>
      <c r="AE116" s="31">
        <v>1.4932024478912354</v>
      </c>
      <c r="AF116" s="32">
        <f t="shared" si="24"/>
        <v>1.6591138309902616</v>
      </c>
      <c r="AG116" t="s">
        <v>66</v>
      </c>
      <c r="AI116" s="31">
        <f t="shared" si="25"/>
        <v>0</v>
      </c>
      <c r="AJ116" t="s">
        <v>66</v>
      </c>
      <c r="AL116" s="32">
        <f t="shared" si="26"/>
        <v>0</v>
      </c>
    </row>
    <row r="117" spans="1:38" ht="15.15" thickBot="1" x14ac:dyDescent="0.35">
      <c r="A117" s="33" t="s">
        <v>64</v>
      </c>
      <c r="B117" s="30">
        <v>44385</v>
      </c>
      <c r="C117" s="33">
        <v>960</v>
      </c>
      <c r="D117" s="1461" t="s">
        <v>65</v>
      </c>
      <c r="E117" s="30">
        <v>44452</v>
      </c>
      <c r="F117" s="24">
        <v>100</v>
      </c>
      <c r="G117" s="31">
        <v>17.738994598388672</v>
      </c>
      <c r="H117" s="31">
        <v>416217.65625</v>
      </c>
      <c r="I117" s="31">
        <f t="shared" si="34"/>
        <v>403235.01769612631</v>
      </c>
      <c r="J117" s="31">
        <f t="shared" si="33"/>
        <v>42003.647676679822</v>
      </c>
      <c r="K117" s="31">
        <v>21.418540954589844</v>
      </c>
      <c r="L117" s="31">
        <v>38584.01171875</v>
      </c>
      <c r="M117" s="31">
        <f t="shared" si="32"/>
        <v>25601.373164876302</v>
      </c>
      <c r="N117" s="32">
        <f t="shared" si="18"/>
        <v>26668.097046746148</v>
      </c>
      <c r="O117" s="31">
        <v>32.303829193115234</v>
      </c>
      <c r="P117" s="31">
        <v>37.566017150878906</v>
      </c>
      <c r="Q117" s="31">
        <f t="shared" si="19"/>
        <v>3.9131267865498862</v>
      </c>
      <c r="R117" s="31">
        <v>35.909423828125</v>
      </c>
      <c r="S117" s="31">
        <v>3.8816251754760742</v>
      </c>
      <c r="T117" s="32">
        <f t="shared" si="20"/>
        <v>4.0433595577875776</v>
      </c>
      <c r="U117" s="31">
        <v>32.232421875</v>
      </c>
      <c r="V117" s="31">
        <v>6.9720220565795898</v>
      </c>
      <c r="W117" s="31">
        <f t="shared" si="21"/>
        <v>0.72625229756037391</v>
      </c>
      <c r="X117" s="31">
        <v>35.483757019042969</v>
      </c>
      <c r="Y117" s="31">
        <v>0.8364328145980835</v>
      </c>
      <c r="Z117" s="32">
        <f t="shared" si="22"/>
        <v>0.8712841818730036</v>
      </c>
      <c r="AA117" s="31">
        <v>32.089389801025391</v>
      </c>
      <c r="AB117" s="31">
        <v>2.0688498020172119</v>
      </c>
      <c r="AC117" s="31">
        <f t="shared" si="23"/>
        <v>0.21550518771012625</v>
      </c>
      <c r="AD117" s="31">
        <v>34.249492645263672</v>
      </c>
      <c r="AE117" s="31">
        <v>0.53144252300262451</v>
      </c>
      <c r="AF117" s="32">
        <f t="shared" si="24"/>
        <v>0.5535859614610672</v>
      </c>
      <c r="AG117" s="36">
        <v>35.507946014404297</v>
      </c>
      <c r="AH117" s="36">
        <v>2.2129566669464111</v>
      </c>
      <c r="AI117" s="36">
        <f t="shared" si="25"/>
        <v>0.2305163194735845</v>
      </c>
      <c r="AJ117" s="36">
        <v>15.784412384033203</v>
      </c>
      <c r="AK117" s="36">
        <v>457993.65625</v>
      </c>
      <c r="AL117" s="37">
        <f t="shared" si="26"/>
        <v>477076.72526041669</v>
      </c>
    </row>
    <row r="118" spans="1:38" ht="15.15" thickBot="1" x14ac:dyDescent="0.35">
      <c r="A118" s="33" t="s">
        <v>67</v>
      </c>
      <c r="B118" s="30">
        <v>44385</v>
      </c>
      <c r="C118" s="33">
        <v>895</v>
      </c>
      <c r="D118" s="1461" t="s">
        <v>65</v>
      </c>
      <c r="E118" s="30">
        <v>44452</v>
      </c>
      <c r="F118" s="24">
        <v>100</v>
      </c>
      <c r="G118" s="31">
        <v>17.678739547729492</v>
      </c>
      <c r="H118" s="31">
        <v>432748.0625</v>
      </c>
      <c r="I118" s="31">
        <f t="shared" si="34"/>
        <v>419765.42394612631</v>
      </c>
      <c r="J118" s="31">
        <f t="shared" si="33"/>
        <v>46901.164686718024</v>
      </c>
      <c r="K118" s="31">
        <v>19.996292114257813</v>
      </c>
      <c r="L118" s="31">
        <v>96751.4609375</v>
      </c>
      <c r="M118" s="31">
        <f t="shared" si="32"/>
        <v>83768.822383626306</v>
      </c>
      <c r="N118" s="32">
        <f t="shared" si="18"/>
        <v>93596.449590643926</v>
      </c>
      <c r="O118" s="31">
        <v>33.022663116455078</v>
      </c>
      <c r="P118" s="31">
        <v>23.892608642578125</v>
      </c>
      <c r="Q118" s="31">
        <f t="shared" si="19"/>
        <v>2.6695652114612431</v>
      </c>
      <c r="R118" s="31">
        <v>36.820053100585938</v>
      </c>
      <c r="S118" s="31">
        <v>2.187985897064209</v>
      </c>
      <c r="T118" s="32">
        <f t="shared" si="20"/>
        <v>2.4446769799600099</v>
      </c>
      <c r="U118" s="31">
        <v>31.354089736938477</v>
      </c>
      <c r="V118" s="31">
        <v>12.363539695739746</v>
      </c>
      <c r="W118" s="31">
        <f t="shared" si="21"/>
        <v>1.3814010833228767</v>
      </c>
      <c r="X118" s="31">
        <v>34.44244384765625</v>
      </c>
      <c r="Y118" s="31">
        <v>1.6496008634567261</v>
      </c>
      <c r="Z118" s="32">
        <f t="shared" si="22"/>
        <v>1.8431294563762302</v>
      </c>
      <c r="AA118" s="31">
        <v>29.866630554199219</v>
      </c>
      <c r="AB118" s="31">
        <v>8.3776693344116211</v>
      </c>
      <c r="AC118" s="31">
        <f t="shared" si="23"/>
        <v>0.93605243959906381</v>
      </c>
      <c r="AD118" t="s">
        <v>66</v>
      </c>
      <c r="AF118" s="32">
        <f t="shared" si="24"/>
        <v>0</v>
      </c>
      <c r="AG118" t="s">
        <v>66</v>
      </c>
      <c r="AI118" s="31">
        <f t="shared" si="25"/>
        <v>0</v>
      </c>
      <c r="AJ118" t="s">
        <v>66</v>
      </c>
      <c r="AL118" s="32">
        <f t="shared" si="26"/>
        <v>0</v>
      </c>
    </row>
    <row r="119" spans="1:38" ht="15.15" thickBot="1" x14ac:dyDescent="0.35">
      <c r="A119" s="33" t="s">
        <v>68</v>
      </c>
      <c r="B119" s="30">
        <v>44385</v>
      </c>
      <c r="C119" s="33">
        <v>900</v>
      </c>
      <c r="D119" s="1461" t="s">
        <v>65</v>
      </c>
      <c r="E119" s="30">
        <v>44452</v>
      </c>
      <c r="F119" s="24">
        <v>100</v>
      </c>
      <c r="G119" s="31">
        <v>18.123594284057617</v>
      </c>
      <c r="H119" s="31">
        <v>324606.0625</v>
      </c>
      <c r="I119" s="31">
        <f t="shared" si="34"/>
        <v>311623.42394612631</v>
      </c>
      <c r="J119" s="31">
        <f t="shared" si="33"/>
        <v>34624.824882902918</v>
      </c>
      <c r="K119" s="31">
        <v>21.367551803588867</v>
      </c>
      <c r="L119" s="31">
        <v>39876.859375</v>
      </c>
      <c r="M119" s="31">
        <f t="shared" si="32"/>
        <v>26894.220821126302</v>
      </c>
      <c r="N119" s="32">
        <f t="shared" si="18"/>
        <v>29882.467579029224</v>
      </c>
      <c r="O119" s="31">
        <v>35.227874755859375</v>
      </c>
      <c r="P119" s="31">
        <v>5.9614429473876953</v>
      </c>
      <c r="Q119" s="31">
        <f t="shared" si="19"/>
        <v>0.66238254970974397</v>
      </c>
      <c r="R119" s="31">
        <v>37.034992218017578</v>
      </c>
      <c r="S119" s="31">
        <v>1.9110826253890991</v>
      </c>
      <c r="T119" s="32">
        <f t="shared" si="20"/>
        <v>2.1234251393212213</v>
      </c>
      <c r="U119" s="31">
        <v>36.8582763671875</v>
      </c>
      <c r="V119" s="31">
        <v>0.34127458930015564</v>
      </c>
      <c r="W119" s="31">
        <f t="shared" si="21"/>
        <v>3.7919398811128407E-2</v>
      </c>
      <c r="X119" t="s">
        <v>66</v>
      </c>
      <c r="Z119" s="32">
        <f t="shared" si="22"/>
        <v>0</v>
      </c>
      <c r="AA119" s="31">
        <v>31.190708160400391</v>
      </c>
      <c r="AB119" s="31">
        <v>3.6416983604431152</v>
      </c>
      <c r="AC119" s="31">
        <f t="shared" si="23"/>
        <v>0.40463315116034615</v>
      </c>
      <c r="AD119" t="s">
        <v>66</v>
      </c>
      <c r="AF119" s="32">
        <f t="shared" si="24"/>
        <v>0</v>
      </c>
      <c r="AG119" t="s">
        <v>66</v>
      </c>
      <c r="AI119" s="31">
        <f t="shared" si="25"/>
        <v>0</v>
      </c>
      <c r="AJ119" t="s">
        <v>66</v>
      </c>
      <c r="AL119" s="32">
        <f t="shared" si="26"/>
        <v>0</v>
      </c>
    </row>
    <row r="120" spans="1:38" ht="15.15" thickBot="1" x14ac:dyDescent="0.35">
      <c r="A120" s="33" t="s">
        <v>69</v>
      </c>
      <c r="B120" s="30">
        <v>44385</v>
      </c>
      <c r="C120" s="33">
        <v>900</v>
      </c>
      <c r="D120" s="1461" t="s">
        <v>65</v>
      </c>
      <c r="E120" s="30">
        <v>44452</v>
      </c>
      <c r="F120" s="24">
        <v>100</v>
      </c>
      <c r="G120" s="31">
        <v>18.913188934326172</v>
      </c>
      <c r="H120" s="31">
        <v>194851.421875</v>
      </c>
      <c r="I120" s="31">
        <f t="shared" si="34"/>
        <v>181868.78332112631</v>
      </c>
      <c r="J120" s="31">
        <f t="shared" si="33"/>
        <v>20207.642591236254</v>
      </c>
      <c r="K120" s="31">
        <v>22.196495056152344</v>
      </c>
      <c r="L120" s="31">
        <v>23335.765625</v>
      </c>
      <c r="M120" s="31">
        <f t="shared" si="32"/>
        <v>10353.127071126302</v>
      </c>
      <c r="N120" s="32">
        <f t="shared" si="18"/>
        <v>11503.474523473669</v>
      </c>
      <c r="O120" s="31">
        <v>33.539234161376953</v>
      </c>
      <c r="P120" s="31">
        <v>17.259624481201172</v>
      </c>
      <c r="Q120" s="31">
        <f t="shared" si="19"/>
        <v>1.9177360534667969</v>
      </c>
      <c r="R120" s="31">
        <v>37.894886016845703</v>
      </c>
      <c r="S120" s="31">
        <v>1.1121968030929565</v>
      </c>
      <c r="T120" s="32">
        <f t="shared" si="20"/>
        <v>1.2357742256588407</v>
      </c>
      <c r="U120" s="31">
        <v>37.267982482910156</v>
      </c>
      <c r="V120" s="31">
        <v>0.26125001907348633</v>
      </c>
      <c r="W120" s="31">
        <f t="shared" si="21"/>
        <v>2.9027779897054035E-2</v>
      </c>
      <c r="X120" t="s">
        <v>66</v>
      </c>
      <c r="Z120" s="32">
        <f t="shared" si="22"/>
        <v>0</v>
      </c>
      <c r="AA120" s="31">
        <v>31.183084487915039</v>
      </c>
      <c r="AB120" s="31">
        <v>3.6592090129852295</v>
      </c>
      <c r="AC120" s="31">
        <f t="shared" si="23"/>
        <v>0.40657877922058105</v>
      </c>
      <c r="AD120" t="s">
        <v>66</v>
      </c>
      <c r="AF120" s="32">
        <f t="shared" si="24"/>
        <v>0</v>
      </c>
      <c r="AG120" t="s">
        <v>66</v>
      </c>
      <c r="AI120" s="31">
        <f t="shared" si="25"/>
        <v>0</v>
      </c>
      <c r="AJ120" t="s">
        <v>66</v>
      </c>
      <c r="AL120" s="32">
        <f t="shared" si="26"/>
        <v>0</v>
      </c>
    </row>
    <row r="121" spans="1:38" ht="15.15" thickBot="1" x14ac:dyDescent="0.35">
      <c r="A121" s="33" t="s">
        <v>70</v>
      </c>
      <c r="B121" s="30">
        <v>44385</v>
      </c>
      <c r="C121" s="33">
        <v>1000</v>
      </c>
      <c r="D121" s="1461" t="s">
        <v>65</v>
      </c>
      <c r="E121" s="30">
        <v>44452</v>
      </c>
      <c r="F121" s="24">
        <v>100</v>
      </c>
      <c r="G121" s="31">
        <v>21.322395324707031</v>
      </c>
      <c r="H121" s="31">
        <v>41057.94140625</v>
      </c>
      <c r="I121" s="31">
        <f t="shared" si="34"/>
        <v>28075.302852376302</v>
      </c>
      <c r="J121" s="31">
        <f t="shared" si="33"/>
        <v>2807.5302852376303</v>
      </c>
      <c r="K121" s="31">
        <v>24.354806900024414</v>
      </c>
      <c r="L121" s="31">
        <v>5782.90576171875</v>
      </c>
      <c r="M121" s="31">
        <f t="shared" si="32"/>
        <v>-7199.7327921549477</v>
      </c>
      <c r="N121" s="32">
        <f t="shared" si="18"/>
        <v>-7199.7327921549477</v>
      </c>
      <c r="O121" s="31">
        <v>34.022232055664063</v>
      </c>
      <c r="P121" s="31">
        <v>12.734389305114746</v>
      </c>
      <c r="Q121" s="31">
        <f t="shared" si="19"/>
        <v>1.2734389305114746</v>
      </c>
      <c r="R121" s="31">
        <v>36.851978302001953</v>
      </c>
      <c r="S121" s="31">
        <v>2.1444506645202637</v>
      </c>
      <c r="T121" s="32">
        <f t="shared" si="20"/>
        <v>2.1444506645202637</v>
      </c>
      <c r="U121" s="31">
        <v>36.698844909667969</v>
      </c>
      <c r="V121" s="31">
        <v>0.37867119908332825</v>
      </c>
      <c r="W121" s="31">
        <f t="shared" si="21"/>
        <v>3.7867119908332823E-2</v>
      </c>
      <c r="X121" t="s">
        <v>66</v>
      </c>
      <c r="Z121" s="32">
        <f t="shared" si="22"/>
        <v>0</v>
      </c>
      <c r="AA121" s="31">
        <v>29.818811416625977</v>
      </c>
      <c r="AB121" s="31">
        <v>8.6335687637329102</v>
      </c>
      <c r="AC121" s="31">
        <f t="shared" si="23"/>
        <v>0.86335687637329106</v>
      </c>
      <c r="AD121" t="s">
        <v>66</v>
      </c>
      <c r="AF121" s="32">
        <f t="shared" si="24"/>
        <v>0</v>
      </c>
      <c r="AG121" t="s">
        <v>66</v>
      </c>
      <c r="AI121" s="31">
        <f t="shared" si="25"/>
        <v>0</v>
      </c>
      <c r="AJ121" t="s">
        <v>66</v>
      </c>
      <c r="AL121" s="32">
        <f t="shared" si="26"/>
        <v>0</v>
      </c>
    </row>
    <row r="122" spans="1:38" ht="15.15" thickBot="1" x14ac:dyDescent="0.35">
      <c r="A122" s="33" t="s">
        <v>71</v>
      </c>
      <c r="B122" s="30">
        <v>44385</v>
      </c>
      <c r="C122" s="33">
        <v>900</v>
      </c>
      <c r="D122" s="1461" t="s">
        <v>65</v>
      </c>
      <c r="E122" s="30">
        <v>44452</v>
      </c>
      <c r="F122" s="24">
        <v>100</v>
      </c>
      <c r="G122" s="31">
        <v>19.573135375976563</v>
      </c>
      <c r="H122" s="31">
        <v>127187.6796875</v>
      </c>
      <c r="I122" s="31">
        <f t="shared" si="34"/>
        <v>114205.04113362631</v>
      </c>
      <c r="J122" s="31">
        <f t="shared" si="33"/>
        <v>12689.449014847367</v>
      </c>
      <c r="K122" s="31">
        <v>22.539342880249023</v>
      </c>
      <c r="L122" s="31">
        <v>18697.2890625</v>
      </c>
      <c r="M122" s="31">
        <f t="shared" si="32"/>
        <v>5714.6505086263023</v>
      </c>
      <c r="N122" s="32">
        <f t="shared" si="18"/>
        <v>6349.6116762514475</v>
      </c>
      <c r="O122" s="31">
        <v>34.717643737792969</v>
      </c>
      <c r="P122" s="31">
        <v>8.2195920944213867</v>
      </c>
      <c r="Q122" s="31">
        <f t="shared" si="19"/>
        <v>0.91328801049126518</v>
      </c>
      <c r="R122" s="31">
        <v>38.2274169921875</v>
      </c>
      <c r="S122" s="31">
        <v>0.90212470293045044</v>
      </c>
      <c r="T122" s="32">
        <f t="shared" si="20"/>
        <v>1.0023607810338337</v>
      </c>
      <c r="U122" s="31">
        <v>35.561237335205078</v>
      </c>
      <c r="V122" s="31">
        <v>0.79521596431732178</v>
      </c>
      <c r="W122" s="31">
        <f t="shared" si="21"/>
        <v>8.8357329368591309E-2</v>
      </c>
      <c r="X122" t="s">
        <v>66</v>
      </c>
      <c r="Y122" s="31"/>
      <c r="Z122" s="32">
        <f t="shared" si="22"/>
        <v>0</v>
      </c>
      <c r="AA122" s="31">
        <v>31.16411018371582</v>
      </c>
      <c r="AB122" s="31">
        <v>3.7031571865081787</v>
      </c>
      <c r="AC122" s="31">
        <f t="shared" si="23"/>
        <v>0.41146190961201984</v>
      </c>
      <c r="AD122" t="s">
        <v>66</v>
      </c>
      <c r="AF122" s="32">
        <f t="shared" si="24"/>
        <v>0</v>
      </c>
      <c r="AG122" t="s">
        <v>66</v>
      </c>
      <c r="AI122" s="31">
        <f t="shared" si="25"/>
        <v>0</v>
      </c>
      <c r="AJ122" t="s">
        <v>66</v>
      </c>
      <c r="AL122" s="32">
        <f t="shared" si="26"/>
        <v>0</v>
      </c>
    </row>
    <row r="123" spans="1:38" ht="15.15" thickBot="1" x14ac:dyDescent="0.35">
      <c r="A123" s="33" t="s">
        <v>72</v>
      </c>
      <c r="B123" s="30">
        <v>44385</v>
      </c>
      <c r="C123" s="33">
        <v>900</v>
      </c>
      <c r="D123" s="1461" t="s">
        <v>65</v>
      </c>
      <c r="E123" s="30">
        <v>44452</v>
      </c>
      <c r="F123" s="24">
        <v>100</v>
      </c>
      <c r="G123" s="31">
        <v>20.526371002197266</v>
      </c>
      <c r="H123" s="31">
        <v>68683.9296875</v>
      </c>
      <c r="I123" s="31">
        <f t="shared" si="34"/>
        <v>55701.291133626306</v>
      </c>
      <c r="J123" s="31">
        <f t="shared" si="33"/>
        <v>6189.0323481807009</v>
      </c>
      <c r="K123" s="31">
        <v>23.61421012878418</v>
      </c>
      <c r="L123" s="31">
        <v>9333.5009765625</v>
      </c>
      <c r="M123" s="31">
        <f t="shared" si="32"/>
        <v>-3649.1375773111977</v>
      </c>
      <c r="N123" s="32">
        <f t="shared" si="18"/>
        <v>-4054.5973081235529</v>
      </c>
      <c r="O123" s="31">
        <v>34.649913787841797</v>
      </c>
      <c r="P123" s="31">
        <v>8.5776405334472656</v>
      </c>
      <c r="Q123" s="31">
        <f t="shared" si="19"/>
        <v>0.95307117038302946</v>
      </c>
      <c r="R123" s="31">
        <v>38.096454620361328</v>
      </c>
      <c r="S123" s="31">
        <v>0.97965264320373535</v>
      </c>
      <c r="T123" s="32">
        <f t="shared" si="20"/>
        <v>1.0885029368930392</v>
      </c>
      <c r="U123" s="31">
        <v>28.221012115478516</v>
      </c>
      <c r="V123" s="31">
        <v>95.405746459960938</v>
      </c>
      <c r="W123" s="31">
        <f t="shared" si="21"/>
        <v>10.600638495551216</v>
      </c>
      <c r="X123" s="31">
        <v>31.265750885009766</v>
      </c>
      <c r="Y123" s="31">
        <v>13.09677791595459</v>
      </c>
      <c r="Z123" s="32">
        <f t="shared" si="22"/>
        <v>14.551975462171766</v>
      </c>
      <c r="AA123" s="31">
        <v>30.998805999755859</v>
      </c>
      <c r="AB123" s="31">
        <v>4.1090688705444336</v>
      </c>
      <c r="AC123" s="31">
        <f t="shared" si="23"/>
        <v>0.45656320783827042</v>
      </c>
      <c r="AD123" t="s">
        <v>66</v>
      </c>
      <c r="AF123" s="32">
        <f t="shared" si="24"/>
        <v>0</v>
      </c>
      <c r="AG123" t="s">
        <v>66</v>
      </c>
      <c r="AI123" s="31">
        <f t="shared" si="25"/>
        <v>0</v>
      </c>
      <c r="AJ123" t="s">
        <v>66</v>
      </c>
      <c r="AL123" s="32">
        <f t="shared" si="26"/>
        <v>0</v>
      </c>
    </row>
    <row r="124" spans="1:38" ht="15.15" thickBot="1" x14ac:dyDescent="0.35">
      <c r="A124" s="33" t="s">
        <v>73</v>
      </c>
      <c r="B124" s="30">
        <v>44385</v>
      </c>
      <c r="C124" s="33">
        <v>880</v>
      </c>
      <c r="D124" s="1461" t="s">
        <v>65</v>
      </c>
      <c r="E124" s="30">
        <v>44452</v>
      </c>
      <c r="F124" s="24">
        <v>100</v>
      </c>
      <c r="G124" s="31">
        <v>20.880582809448242</v>
      </c>
      <c r="H124" s="31">
        <v>54628.80078125</v>
      </c>
      <c r="I124" s="31">
        <f t="shared" si="34"/>
        <v>41646.162227376306</v>
      </c>
      <c r="J124" s="31">
        <f t="shared" si="33"/>
        <v>4732.5184349291258</v>
      </c>
      <c r="K124" s="31">
        <v>23.47974967956543</v>
      </c>
      <c r="L124" s="31">
        <v>10180.990234375</v>
      </c>
      <c r="M124" s="31">
        <f t="shared" si="32"/>
        <v>-2801.6483194986977</v>
      </c>
      <c r="N124" s="32">
        <f t="shared" si="18"/>
        <v>-3183.6912721576109</v>
      </c>
      <c r="O124" s="31">
        <v>34.855953216552734</v>
      </c>
      <c r="P124" s="31">
        <v>7.5341796875</v>
      </c>
      <c r="Q124" s="31">
        <f t="shared" si="19"/>
        <v>0.85615678267045459</v>
      </c>
      <c r="R124" s="31">
        <v>38.620132446289063</v>
      </c>
      <c r="S124" s="31">
        <v>0.70452570915222168</v>
      </c>
      <c r="T124" s="32">
        <f t="shared" si="20"/>
        <v>0.8005973967638883</v>
      </c>
      <c r="U124" s="31">
        <v>29.606128692626953</v>
      </c>
      <c r="V124" s="31">
        <v>38.658573150634766</v>
      </c>
      <c r="W124" s="31">
        <f t="shared" si="21"/>
        <v>4.3930196762084961</v>
      </c>
      <c r="X124" s="31">
        <v>32.456951141357422</v>
      </c>
      <c r="Y124" s="31">
        <v>6.0222911834716797</v>
      </c>
      <c r="Z124" s="32">
        <f t="shared" si="22"/>
        <v>6.8435127084905449</v>
      </c>
      <c r="AA124" s="31">
        <v>31.657726287841797</v>
      </c>
      <c r="AB124" s="31">
        <v>2.7144756317138672</v>
      </c>
      <c r="AC124" s="31">
        <f t="shared" si="23"/>
        <v>0.30846313996748492</v>
      </c>
      <c r="AD124" t="s">
        <v>66</v>
      </c>
      <c r="AF124" s="32">
        <f t="shared" si="24"/>
        <v>0</v>
      </c>
      <c r="AG124" s="31">
        <v>37.508235931396484</v>
      </c>
      <c r="AH124" s="31">
        <v>0.63952100276947021</v>
      </c>
      <c r="AI124" s="31">
        <f t="shared" si="25"/>
        <v>7.2672841223803436E-2</v>
      </c>
      <c r="AJ124" t="s">
        <v>66</v>
      </c>
      <c r="AL124" s="32">
        <f t="shared" si="26"/>
        <v>0</v>
      </c>
    </row>
    <row r="125" spans="1:38" ht="15.15" thickBot="1" x14ac:dyDescent="0.35">
      <c r="A125" s="33" t="s">
        <v>74</v>
      </c>
      <c r="B125" s="30">
        <v>44385</v>
      </c>
      <c r="C125" s="33">
        <v>950</v>
      </c>
      <c r="D125" s="1461" t="s">
        <v>65</v>
      </c>
      <c r="E125" s="30">
        <v>44452</v>
      </c>
      <c r="F125" s="24">
        <v>100</v>
      </c>
      <c r="G125" s="31">
        <v>22.874536514282227</v>
      </c>
      <c r="H125" s="31">
        <v>15055.1103515625</v>
      </c>
      <c r="I125" s="31">
        <f t="shared" si="34"/>
        <v>2072.4717976888023</v>
      </c>
      <c r="J125" s="31">
        <f t="shared" si="33"/>
        <v>218.15492607250553</v>
      </c>
      <c r="K125" s="31">
        <v>25.496393203735352</v>
      </c>
      <c r="L125" s="31">
        <v>2764.921630859375</v>
      </c>
      <c r="M125" s="31">
        <f t="shared" si="32"/>
        <v>-10217.716923014323</v>
      </c>
      <c r="N125" s="32">
        <f t="shared" si="18"/>
        <v>-10755.491497909812</v>
      </c>
      <c r="O125" s="31">
        <v>34.725063323974609</v>
      </c>
      <c r="P125" s="31">
        <v>8.1812887191772461</v>
      </c>
      <c r="Q125" s="31">
        <f t="shared" si="19"/>
        <v>0.86118828622918375</v>
      </c>
      <c r="R125" s="31">
        <v>38.671215057373047</v>
      </c>
      <c r="S125" s="31">
        <v>0.68222981691360474</v>
      </c>
      <c r="T125" s="32">
        <f t="shared" si="20"/>
        <v>0.7181366493827418</v>
      </c>
      <c r="U125" t="s">
        <v>66</v>
      </c>
      <c r="W125" s="31">
        <f t="shared" si="21"/>
        <v>0</v>
      </c>
      <c r="X125" t="s">
        <v>66</v>
      </c>
      <c r="Z125" s="32">
        <f t="shared" si="22"/>
        <v>0</v>
      </c>
      <c r="AA125" s="31">
        <v>31.524715423583984</v>
      </c>
      <c r="AB125" s="31">
        <v>2.9514312744140625</v>
      </c>
      <c r="AC125" s="31">
        <f t="shared" si="23"/>
        <v>0.31067697625411184</v>
      </c>
      <c r="AD125" s="31">
        <v>32.690319061279297</v>
      </c>
      <c r="AE125" s="31">
        <v>1.4174841642379761</v>
      </c>
      <c r="AF125" s="32">
        <f t="shared" si="24"/>
        <v>1.4920885939347117</v>
      </c>
      <c r="AG125" t="s">
        <v>66</v>
      </c>
      <c r="AI125" s="31">
        <f t="shared" si="25"/>
        <v>0</v>
      </c>
      <c r="AJ125" t="s">
        <v>66</v>
      </c>
      <c r="AL125" s="32">
        <f t="shared" si="26"/>
        <v>0</v>
      </c>
    </row>
    <row r="126" spans="1:38" ht="15.15" thickBot="1" x14ac:dyDescent="0.35">
      <c r="A126" s="33" t="s">
        <v>75</v>
      </c>
      <c r="B126" s="30">
        <v>44385</v>
      </c>
      <c r="C126" s="33">
        <v>870</v>
      </c>
      <c r="D126" s="1461" t="s">
        <v>65</v>
      </c>
      <c r="E126" s="30">
        <v>44452</v>
      </c>
      <c r="F126" s="24">
        <v>100</v>
      </c>
      <c r="G126" s="31">
        <v>23.07609748840332</v>
      </c>
      <c r="H126" s="31">
        <v>13216.0673828125</v>
      </c>
      <c r="I126" s="31">
        <f t="shared" si="34"/>
        <v>233.42882893880233</v>
      </c>
      <c r="J126" s="31">
        <f t="shared" si="33"/>
        <v>26.830899878023256</v>
      </c>
      <c r="K126" s="31">
        <v>26.057636260986328</v>
      </c>
      <c r="L126" s="31">
        <v>1923.6767578125</v>
      </c>
      <c r="M126" s="31">
        <f t="shared" si="32"/>
        <v>-11058.961796061198</v>
      </c>
      <c r="N126" s="32">
        <f t="shared" si="18"/>
        <v>-12711.450340300227</v>
      </c>
      <c r="O126" s="31">
        <v>35.709213256835938</v>
      </c>
      <c r="P126" s="31">
        <v>4.4030318260192871</v>
      </c>
      <c r="Q126" s="31">
        <f t="shared" si="19"/>
        <v>0.50609561218612498</v>
      </c>
      <c r="R126" s="31">
        <v>38.479698181152344</v>
      </c>
      <c r="S126" s="31">
        <v>0.76964783668518066</v>
      </c>
      <c r="T126" s="32">
        <f t="shared" si="20"/>
        <v>0.8846526858450352</v>
      </c>
      <c r="U126" t="s">
        <v>66</v>
      </c>
      <c r="W126" s="31">
        <f t="shared" si="21"/>
        <v>0</v>
      </c>
      <c r="X126" t="s">
        <v>66</v>
      </c>
      <c r="Z126" s="32">
        <f t="shared" si="22"/>
        <v>0</v>
      </c>
      <c r="AA126" s="31">
        <v>31.037567138671875</v>
      </c>
      <c r="AB126" s="31">
        <v>4.0100655555725098</v>
      </c>
      <c r="AC126" s="31">
        <f t="shared" si="23"/>
        <v>0.46092707535316202</v>
      </c>
      <c r="AD126" s="31">
        <v>33.231311798095703</v>
      </c>
      <c r="AE126" s="31">
        <v>1.0085229873657227</v>
      </c>
      <c r="AF126" s="32">
        <f t="shared" si="24"/>
        <v>1.1592218245583019</v>
      </c>
      <c r="AG126" t="s">
        <v>66</v>
      </c>
      <c r="AI126" s="31">
        <f t="shared" si="25"/>
        <v>0</v>
      </c>
      <c r="AJ126" t="s">
        <v>66</v>
      </c>
      <c r="AL126" s="32">
        <f t="shared" si="26"/>
        <v>0</v>
      </c>
    </row>
    <row r="127" spans="1:38" ht="15.15" thickBot="1" x14ac:dyDescent="0.35">
      <c r="A127" s="33" t="s">
        <v>76</v>
      </c>
      <c r="B127" s="30">
        <v>44385</v>
      </c>
      <c r="C127" s="33">
        <v>1000</v>
      </c>
      <c r="D127" s="1461" t="s">
        <v>65</v>
      </c>
      <c r="E127" s="30">
        <v>44452</v>
      </c>
      <c r="F127" s="24">
        <v>100</v>
      </c>
      <c r="G127" s="31">
        <v>9.6141071319580078</v>
      </c>
      <c r="H127" s="31">
        <v>79454536</v>
      </c>
      <c r="I127" s="31">
        <f t="shared" si="34"/>
        <v>79441553.361446127</v>
      </c>
      <c r="J127" s="31">
        <f t="shared" si="33"/>
        <v>7944155.3361446122</v>
      </c>
      <c r="K127" s="31">
        <v>11.008037567138672</v>
      </c>
      <c r="L127" s="31">
        <v>32271416</v>
      </c>
      <c r="M127" s="31">
        <f t="shared" si="32"/>
        <v>32258433.361446127</v>
      </c>
      <c r="N127" s="32">
        <f t="shared" si="18"/>
        <v>32258433.361446127</v>
      </c>
      <c r="O127" s="31">
        <v>28.253978729248047</v>
      </c>
      <c r="P127" s="31">
        <v>480.88113403320313</v>
      </c>
      <c r="Q127" s="31">
        <f t="shared" si="19"/>
        <v>48.088113403320314</v>
      </c>
      <c r="R127" s="31">
        <v>30.560697555541992</v>
      </c>
      <c r="S127" s="31">
        <v>112.55716705322266</v>
      </c>
      <c r="T127" s="32">
        <f t="shared" si="20"/>
        <v>112.55716705322266</v>
      </c>
      <c r="U127" s="31">
        <v>25.355434417724609</v>
      </c>
      <c r="V127" s="31">
        <v>618.35516357421875</v>
      </c>
      <c r="W127" s="31">
        <f t="shared" si="21"/>
        <v>61.835516357421874</v>
      </c>
      <c r="X127" s="31">
        <v>27.883893966674805</v>
      </c>
      <c r="Y127" s="31">
        <v>118.86716461181641</v>
      </c>
      <c r="Z127" s="32">
        <f t="shared" si="22"/>
        <v>118.86716461181641</v>
      </c>
      <c r="AA127" s="31">
        <v>31.050369262695313</v>
      </c>
      <c r="AB127" s="31">
        <v>3.977893590927124</v>
      </c>
      <c r="AC127" s="31">
        <f t="shared" si="23"/>
        <v>0.3977893590927124</v>
      </c>
      <c r="AD127" t="s">
        <v>66</v>
      </c>
      <c r="AF127" s="32">
        <f t="shared" si="24"/>
        <v>0</v>
      </c>
      <c r="AG127" s="31">
        <v>23.626861572265625</v>
      </c>
      <c r="AH127" s="31">
        <v>3525.028564453125</v>
      </c>
      <c r="AI127" s="31">
        <f t="shared" si="25"/>
        <v>352.50285644531249</v>
      </c>
      <c r="AJ127" s="31">
        <v>24.744146347045898</v>
      </c>
      <c r="AK127" s="31">
        <v>1762.106201171875</v>
      </c>
      <c r="AL127" s="32">
        <f t="shared" si="26"/>
        <v>1762.106201171875</v>
      </c>
    </row>
    <row r="128" spans="1:38" ht="15.15" thickBot="1" x14ac:dyDescent="0.35">
      <c r="A128" s="33" t="s">
        <v>77</v>
      </c>
      <c r="B128" s="30">
        <v>44385</v>
      </c>
      <c r="C128" s="33">
        <v>905</v>
      </c>
      <c r="D128" s="1461" t="s">
        <v>65</v>
      </c>
      <c r="E128" s="30">
        <v>44452</v>
      </c>
      <c r="F128" s="24">
        <v>100</v>
      </c>
      <c r="G128" s="31">
        <v>13.869021415710449</v>
      </c>
      <c r="H128" s="31">
        <v>5077965.5</v>
      </c>
      <c r="I128" s="31">
        <f t="shared" si="34"/>
        <v>5064982.8614461264</v>
      </c>
      <c r="J128" s="31">
        <f t="shared" si="33"/>
        <v>559666.61452443385</v>
      </c>
      <c r="K128" s="31">
        <v>17.047136306762695</v>
      </c>
      <c r="L128" s="31">
        <v>650934.4375</v>
      </c>
      <c r="M128" s="31">
        <f t="shared" si="32"/>
        <v>637951.79894612625</v>
      </c>
      <c r="N128" s="32">
        <f t="shared" si="18"/>
        <v>704919.11485759809</v>
      </c>
      <c r="O128" s="31">
        <v>28.621360778808594</v>
      </c>
      <c r="P128" s="31">
        <v>381.58761596679688</v>
      </c>
      <c r="Q128" s="31">
        <f t="shared" si="19"/>
        <v>42.164377454894684</v>
      </c>
      <c r="R128" s="31">
        <v>31.979305267333984</v>
      </c>
      <c r="S128" s="31">
        <v>46.080913543701172</v>
      </c>
      <c r="T128" s="32">
        <f t="shared" si="20"/>
        <v>50.918136512376982</v>
      </c>
      <c r="U128" s="31">
        <v>27.71379280090332</v>
      </c>
      <c r="V128" s="31">
        <v>132.81355285644531</v>
      </c>
      <c r="W128" s="31">
        <f t="shared" si="21"/>
        <v>14.675530702369647</v>
      </c>
      <c r="X128" s="31">
        <v>30.837604522705078</v>
      </c>
      <c r="Y128" s="31">
        <v>17.315505981445313</v>
      </c>
      <c r="Z128" s="32">
        <f t="shared" si="22"/>
        <v>19.133155780602554</v>
      </c>
      <c r="AA128" s="31">
        <v>30.785818099975586</v>
      </c>
      <c r="AB128" s="31">
        <v>4.6983437538146973</v>
      </c>
      <c r="AC128" s="31">
        <f t="shared" si="23"/>
        <v>0.5191540059463754</v>
      </c>
      <c r="AD128" t="s">
        <v>66</v>
      </c>
      <c r="AF128" s="32">
        <f t="shared" si="24"/>
        <v>0</v>
      </c>
      <c r="AG128" s="31">
        <v>22.456844329833984</v>
      </c>
      <c r="AH128" s="31">
        <v>7286.27685546875</v>
      </c>
      <c r="AI128" s="31">
        <f t="shared" si="25"/>
        <v>805.1134646926796</v>
      </c>
      <c r="AJ128" s="31">
        <v>26.048336029052734</v>
      </c>
      <c r="AK128" s="31">
        <v>784.38067626953125</v>
      </c>
      <c r="AL128" s="32">
        <f t="shared" si="26"/>
        <v>866.71897930334944</v>
      </c>
    </row>
    <row r="129" spans="1:38" ht="15.15" thickBot="1" x14ac:dyDescent="0.35">
      <c r="A129" s="33" t="s">
        <v>78</v>
      </c>
      <c r="B129" s="30">
        <v>44385</v>
      </c>
      <c r="C129" s="33">
        <v>900</v>
      </c>
      <c r="D129" s="1461" t="s">
        <v>65</v>
      </c>
      <c r="E129" s="30">
        <v>44452</v>
      </c>
      <c r="F129" s="24">
        <v>100</v>
      </c>
      <c r="G129" s="31">
        <v>13.526464462280273</v>
      </c>
      <c r="H129" s="31">
        <v>6336530</v>
      </c>
      <c r="I129" s="31">
        <f t="shared" si="34"/>
        <v>6323547.3614461264</v>
      </c>
      <c r="J129" s="31">
        <f t="shared" si="33"/>
        <v>702616.37349401403</v>
      </c>
      <c r="K129" s="31">
        <v>16.571016311645508</v>
      </c>
      <c r="L129" s="31">
        <v>885507.9375</v>
      </c>
      <c r="M129" s="31">
        <f t="shared" si="32"/>
        <v>872525.29894612625</v>
      </c>
      <c r="N129" s="32">
        <f t="shared" si="18"/>
        <v>969472.55438458466</v>
      </c>
      <c r="O129" s="31">
        <v>34.7249755859375</v>
      </c>
      <c r="P129" s="31">
        <v>8.1817407608032227</v>
      </c>
      <c r="Q129" s="31">
        <f t="shared" si="19"/>
        <v>0.90908230675591362</v>
      </c>
      <c r="R129" s="31">
        <v>37.845359802246094</v>
      </c>
      <c r="S129" s="31">
        <v>1.1474196910858154</v>
      </c>
      <c r="T129" s="32">
        <f t="shared" si="20"/>
        <v>1.2749107678731282</v>
      </c>
      <c r="U129" s="31">
        <v>26.205265045166016</v>
      </c>
      <c r="V129" s="31">
        <v>355.24407958984375</v>
      </c>
      <c r="W129" s="31">
        <f t="shared" si="21"/>
        <v>39.471564398871529</v>
      </c>
      <c r="X129" s="31">
        <v>28.941120147705078</v>
      </c>
      <c r="Y129" s="31">
        <v>59.649501800537109</v>
      </c>
      <c r="Z129" s="32">
        <f t="shared" si="22"/>
        <v>66.277224222819015</v>
      </c>
      <c r="AA129" s="31">
        <v>30.948591232299805</v>
      </c>
      <c r="AB129" s="31">
        <v>4.2409696578979492</v>
      </c>
      <c r="AC129" s="31">
        <f t="shared" si="23"/>
        <v>0.47121885087754989</v>
      </c>
      <c r="AD129" t="s">
        <v>66</v>
      </c>
      <c r="AF129" s="32">
        <f t="shared" si="24"/>
        <v>0</v>
      </c>
      <c r="AG129" s="31">
        <v>19.322641372680664</v>
      </c>
      <c r="AH129" s="31">
        <v>50960.7734375</v>
      </c>
      <c r="AI129" s="31">
        <f t="shared" si="25"/>
        <v>5662.3081597222226</v>
      </c>
      <c r="AJ129" s="31">
        <v>23.376405715942383</v>
      </c>
      <c r="AK129" s="31">
        <v>4117.80224609375</v>
      </c>
      <c r="AL129" s="32">
        <f t="shared" si="26"/>
        <v>4575.3358289930557</v>
      </c>
    </row>
    <row r="130" spans="1:38" ht="15.15" thickBot="1" x14ac:dyDescent="0.35">
      <c r="A130" s="33" t="s">
        <v>79</v>
      </c>
      <c r="B130" s="30">
        <v>44385</v>
      </c>
      <c r="C130" s="33">
        <v>875</v>
      </c>
      <c r="D130" s="1461" t="s">
        <v>65</v>
      </c>
      <c r="E130" s="30">
        <v>44452</v>
      </c>
      <c r="F130" s="24">
        <v>100</v>
      </c>
      <c r="G130" s="31">
        <v>15.122015953063965</v>
      </c>
      <c r="H130" s="31">
        <v>2259187.25</v>
      </c>
      <c r="I130" s="31">
        <f t="shared" si="34"/>
        <v>2246204.6114461264</v>
      </c>
      <c r="J130" s="31">
        <f t="shared" si="33"/>
        <v>256709.09845098588</v>
      </c>
      <c r="K130" s="31">
        <v>17.942876815795898</v>
      </c>
      <c r="L130" s="31">
        <v>364827.1875</v>
      </c>
      <c r="M130" s="31">
        <f t="shared" si="32"/>
        <v>351844.54894612631</v>
      </c>
      <c r="N130" s="32">
        <f t="shared" si="18"/>
        <v>402108.05593843001</v>
      </c>
      <c r="O130" s="31">
        <v>35.773902893066406</v>
      </c>
      <c r="P130" s="31">
        <v>4.2273235321044922</v>
      </c>
      <c r="Q130" s="31">
        <f t="shared" si="19"/>
        <v>0.48312268938337055</v>
      </c>
      <c r="R130" s="31">
        <v>38.574142456054688</v>
      </c>
      <c r="S130" s="31">
        <v>0.72522151470184326</v>
      </c>
      <c r="T130" s="32">
        <f t="shared" si="20"/>
        <v>0.82882458823067806</v>
      </c>
      <c r="U130" s="31">
        <v>26.452268600463867</v>
      </c>
      <c r="V130" s="31">
        <v>302.38766479492188</v>
      </c>
      <c r="W130" s="31">
        <f t="shared" si="21"/>
        <v>34.558590262276788</v>
      </c>
      <c r="X130" s="31">
        <v>29.842483520507813</v>
      </c>
      <c r="Y130" s="31">
        <v>33.135936737060547</v>
      </c>
      <c r="Z130" s="32">
        <f t="shared" si="22"/>
        <v>37.869641985212056</v>
      </c>
      <c r="AA130" s="31">
        <v>31.445781707763672</v>
      </c>
      <c r="AB130" s="31">
        <v>3.1017172336578369</v>
      </c>
      <c r="AC130" s="31">
        <f t="shared" si="23"/>
        <v>0.35448196956089567</v>
      </c>
      <c r="AD130" t="s">
        <v>66</v>
      </c>
      <c r="AF130" s="32">
        <f t="shared" si="24"/>
        <v>0</v>
      </c>
      <c r="AG130" s="31">
        <v>21.044445037841797</v>
      </c>
      <c r="AH130" s="31">
        <v>17505.541015625</v>
      </c>
      <c r="AI130" s="31">
        <f t="shared" si="25"/>
        <v>2000.6332589285714</v>
      </c>
      <c r="AJ130" s="31">
        <v>25.175621032714844</v>
      </c>
      <c r="AK130" s="31">
        <v>1348.15869140625</v>
      </c>
      <c r="AL130" s="32">
        <f t="shared" si="26"/>
        <v>1540.7527901785713</v>
      </c>
    </row>
    <row r="131" spans="1:38" ht="15.15" thickBot="1" x14ac:dyDescent="0.35">
      <c r="A131" s="33" t="s">
        <v>80</v>
      </c>
      <c r="B131" s="30">
        <v>44385</v>
      </c>
      <c r="C131" s="33">
        <v>905</v>
      </c>
      <c r="D131" s="1461" t="s">
        <v>65</v>
      </c>
      <c r="E131" s="30">
        <v>44452</v>
      </c>
      <c r="F131" s="24">
        <v>100</v>
      </c>
      <c r="G131" s="31">
        <v>22.637889862060547</v>
      </c>
      <c r="H131" s="31">
        <v>17543.44140625</v>
      </c>
      <c r="I131" s="31">
        <f t="shared" si="34"/>
        <v>4560.8028523763023</v>
      </c>
      <c r="J131" s="31">
        <f t="shared" si="33"/>
        <v>503.95611628467429</v>
      </c>
      <c r="K131" s="31">
        <v>25.810544967651367</v>
      </c>
      <c r="L131" s="31">
        <v>2256.809814453125</v>
      </c>
      <c r="M131" s="31">
        <f t="shared" si="32"/>
        <v>-10725.828739420573</v>
      </c>
      <c r="N131" s="32">
        <f t="shared" si="18"/>
        <v>-11851.744463448145</v>
      </c>
      <c r="O131" s="31">
        <v>36.978610992431641</v>
      </c>
      <c r="P131" s="31">
        <v>1.9801325798034668</v>
      </c>
      <c r="Q131" s="31">
        <f t="shared" si="19"/>
        <v>0.21879918008878085</v>
      </c>
      <c r="R131" s="31">
        <v>38.073455810546875</v>
      </c>
      <c r="S131" s="31">
        <v>0.99393975734710693</v>
      </c>
      <c r="T131" s="32">
        <f t="shared" si="20"/>
        <v>1.0982759749691788</v>
      </c>
      <c r="U131" t="s">
        <v>66</v>
      </c>
      <c r="W131" s="31">
        <f t="shared" si="21"/>
        <v>0</v>
      </c>
      <c r="X131" t="s">
        <v>66</v>
      </c>
      <c r="Z131" s="32">
        <f t="shared" si="22"/>
        <v>0</v>
      </c>
      <c r="AA131" s="31">
        <v>30.982461929321289</v>
      </c>
      <c r="AB131" s="31">
        <v>4.1515436172485352</v>
      </c>
      <c r="AC131" s="31">
        <f t="shared" si="23"/>
        <v>0.45873410135342929</v>
      </c>
      <c r="AD131" t="s">
        <v>66</v>
      </c>
      <c r="AF131" s="32">
        <f t="shared" si="24"/>
        <v>0</v>
      </c>
      <c r="AG131" t="s">
        <v>66</v>
      </c>
      <c r="AI131" s="31">
        <f t="shared" si="25"/>
        <v>0</v>
      </c>
      <c r="AJ131" s="31">
        <v>33.532440185546875</v>
      </c>
      <c r="AK131" s="31">
        <v>7.5406923294067383</v>
      </c>
      <c r="AL131" s="32">
        <f t="shared" si="26"/>
        <v>8.3322567175765059</v>
      </c>
    </row>
    <row r="132" spans="1:38" ht="15.15" thickBot="1" x14ac:dyDescent="0.35">
      <c r="A132" s="33" t="s">
        <v>81</v>
      </c>
      <c r="B132" s="30">
        <v>44385</v>
      </c>
      <c r="C132" s="33">
        <v>855</v>
      </c>
      <c r="D132" s="1461" t="s">
        <v>65</v>
      </c>
      <c r="E132" s="30">
        <v>44452</v>
      </c>
      <c r="F132" s="24">
        <v>100</v>
      </c>
      <c r="G132" s="31">
        <v>23.032026290893555</v>
      </c>
      <c r="H132" s="31">
        <v>13597.9609375</v>
      </c>
      <c r="I132" s="31">
        <f t="shared" si="34"/>
        <v>615.32238362630233</v>
      </c>
      <c r="J132" s="31">
        <f t="shared" si="33"/>
        <v>71.967530248690323</v>
      </c>
      <c r="K132" s="31">
        <v>25.848634719848633</v>
      </c>
      <c r="L132" s="31">
        <v>2201.9248046875</v>
      </c>
      <c r="M132" s="31">
        <f t="shared" si="32"/>
        <v>-10780.713749186198</v>
      </c>
      <c r="N132" s="32">
        <f t="shared" si="18"/>
        <v>-12609.021928872746</v>
      </c>
      <c r="O132" s="31">
        <v>36.175052642822266</v>
      </c>
      <c r="P132" s="31">
        <v>3.2838990688323975</v>
      </c>
      <c r="Q132" s="31">
        <f t="shared" si="19"/>
        <v>0.38408176243653769</v>
      </c>
      <c r="R132" s="31">
        <v>38.884086608886719</v>
      </c>
      <c r="S132" s="31">
        <v>0.59666550159454346</v>
      </c>
      <c r="T132" s="32">
        <f t="shared" si="20"/>
        <v>0.69785438782987541</v>
      </c>
      <c r="U132" t="s">
        <v>66</v>
      </c>
      <c r="W132" s="31">
        <f t="shared" si="21"/>
        <v>0</v>
      </c>
      <c r="X132" t="s">
        <v>66</v>
      </c>
      <c r="Z132" s="32">
        <f t="shared" si="22"/>
        <v>0</v>
      </c>
      <c r="AA132" s="31">
        <v>31.245197296142578</v>
      </c>
      <c r="AB132" s="31">
        <v>3.5189588069915771</v>
      </c>
      <c r="AC132" s="31">
        <f t="shared" si="23"/>
        <v>0.41157412947269906</v>
      </c>
      <c r="AD132" t="s">
        <v>66</v>
      </c>
      <c r="AF132" s="32">
        <f t="shared" si="24"/>
        <v>0</v>
      </c>
      <c r="AG132" t="s">
        <v>66</v>
      </c>
      <c r="AI132" s="31">
        <f t="shared" si="25"/>
        <v>0</v>
      </c>
      <c r="AJ132" t="s">
        <v>66</v>
      </c>
      <c r="AL132" s="32">
        <f t="shared" si="26"/>
        <v>0</v>
      </c>
    </row>
    <row r="133" spans="1:38" ht="15.15" thickBot="1" x14ac:dyDescent="0.35">
      <c r="A133" s="33" t="s">
        <v>64</v>
      </c>
      <c r="B133" s="30">
        <v>44391</v>
      </c>
      <c r="C133" s="33">
        <v>900</v>
      </c>
      <c r="D133" s="1461" t="s">
        <v>65</v>
      </c>
      <c r="E133" s="30">
        <v>44482</v>
      </c>
      <c r="F133" s="24">
        <v>100</v>
      </c>
      <c r="G133" s="31">
        <v>19.524177551269531</v>
      </c>
      <c r="H133" s="31">
        <v>131276.921875</v>
      </c>
      <c r="I133" s="31">
        <f t="shared" si="34"/>
        <v>118294.28332112631</v>
      </c>
      <c r="J133" s="31">
        <f t="shared" si="33"/>
        <v>13143.809257902923</v>
      </c>
      <c r="K133" s="31">
        <v>22.271015167236328</v>
      </c>
      <c r="L133" s="31">
        <v>22238.369140625</v>
      </c>
      <c r="M133" s="31">
        <f t="shared" si="32"/>
        <v>9255.7305867513023</v>
      </c>
      <c r="N133" s="32">
        <f t="shared" ref="N133:N196" si="35">(M133*($F133*10))/($C133)</f>
        <v>10284.145096390337</v>
      </c>
      <c r="O133" s="31">
        <v>33.117893218994141</v>
      </c>
      <c r="P133" s="31">
        <v>22.502323150634766</v>
      </c>
      <c r="Q133" s="31">
        <f t="shared" ref="Q133:Q196" si="36">(P133*$F133)/$C133</f>
        <v>2.5002581278483071</v>
      </c>
      <c r="R133" s="31">
        <v>37.478874206542969</v>
      </c>
      <c r="S133" s="31">
        <v>1.4451757669448853</v>
      </c>
      <c r="T133" s="32">
        <f t="shared" ref="T133:T196" si="37">(S133*($F133*10))/($C133)</f>
        <v>1.6057508521609836</v>
      </c>
      <c r="U133" s="31">
        <v>31.692266464233398</v>
      </c>
      <c r="V133" s="31">
        <v>9.9164361953735352</v>
      </c>
      <c r="W133" s="31">
        <f t="shared" ref="W133:W196" si="38">(V133*$F133)/$C133</f>
        <v>1.1018262439303927</v>
      </c>
      <c r="X133" s="31">
        <v>34.5980224609375</v>
      </c>
      <c r="Y133" s="31">
        <v>1.4904308319091797</v>
      </c>
      <c r="Z133" s="32">
        <f t="shared" ref="Z133:Z196" si="39">(Y133*($F133*10))/($C133)</f>
        <v>1.6560342576768663</v>
      </c>
      <c r="AA133" s="31">
        <v>30.088014602661133</v>
      </c>
      <c r="AB133" s="31">
        <v>7.2883214950561523</v>
      </c>
      <c r="AC133" s="31">
        <f t="shared" ref="AC133:AC196" si="40">(AB133*$F133)/$C133</f>
        <v>0.80981349945068359</v>
      </c>
      <c r="AD133" s="31">
        <v>32.397274017333984</v>
      </c>
      <c r="AE133" s="31">
        <v>1.7044965028762817</v>
      </c>
      <c r="AF133" s="32">
        <f t="shared" ref="AF133:AF196" si="41">(AE133*($F133*10))/($C133)</f>
        <v>1.8938850031958685</v>
      </c>
      <c r="AG133" s="31">
        <v>35.247604370117188</v>
      </c>
      <c r="AH133" s="31">
        <v>2.600999116897583</v>
      </c>
      <c r="AI133" s="31">
        <f t="shared" ref="AI133:AI196" si="42">(AH133*$F133)/$C133</f>
        <v>0.28899990187750924</v>
      </c>
      <c r="AJ133" t="s">
        <v>66</v>
      </c>
      <c r="AL133" s="32">
        <f t="shared" ref="AL133:AL196" si="43">(AK133*($F133*10))/($C133)</f>
        <v>0</v>
      </c>
    </row>
    <row r="134" spans="1:38" ht="15.15" thickBot="1" x14ac:dyDescent="0.35">
      <c r="A134" s="33" t="s">
        <v>67</v>
      </c>
      <c r="B134" s="30">
        <v>44391</v>
      </c>
      <c r="C134" s="33">
        <v>840</v>
      </c>
      <c r="D134" s="1461" t="s">
        <v>65</v>
      </c>
      <c r="E134" s="30">
        <v>44482</v>
      </c>
      <c r="F134" s="24">
        <v>100</v>
      </c>
      <c r="G134" s="31">
        <v>19.596658706665039</v>
      </c>
      <c r="H134" s="31">
        <v>125268.4296875</v>
      </c>
      <c r="I134" s="31">
        <f t="shared" si="34"/>
        <v>112285.79113362631</v>
      </c>
      <c r="J134" s="31">
        <f t="shared" si="33"/>
        <v>13367.356087336466</v>
      </c>
      <c r="K134" s="31">
        <v>22.407419204711914</v>
      </c>
      <c r="L134" s="31">
        <v>20361.6015625</v>
      </c>
      <c r="M134" s="31">
        <f t="shared" si="32"/>
        <v>7378.9630086263023</v>
      </c>
      <c r="N134" s="32">
        <f t="shared" si="35"/>
        <v>8784.4797721741706</v>
      </c>
      <c r="O134" s="31">
        <v>32.533702850341797</v>
      </c>
      <c r="P134" s="31">
        <v>32.504756927490234</v>
      </c>
      <c r="Q134" s="31">
        <f t="shared" si="36"/>
        <v>3.8696139199393138</v>
      </c>
      <c r="R134" t="s">
        <v>66</v>
      </c>
      <c r="T134" s="32">
        <f t="shared" si="37"/>
        <v>0</v>
      </c>
      <c r="U134" s="31">
        <v>32.782997131347656</v>
      </c>
      <c r="V134" s="31">
        <v>4.8686718940734863</v>
      </c>
      <c r="W134" s="31">
        <f t="shared" si="38"/>
        <v>0.57960379691351027</v>
      </c>
      <c r="X134" s="31">
        <v>36.031879425048828</v>
      </c>
      <c r="Y134" s="31">
        <v>0.5850292444229126</v>
      </c>
      <c r="Z134" s="32">
        <f t="shared" si="39"/>
        <v>0.69646338621775306</v>
      </c>
      <c r="AA134" s="31">
        <v>29.221660614013672</v>
      </c>
      <c r="AB134" s="31">
        <v>12.570964813232422</v>
      </c>
      <c r="AC134" s="31">
        <f t="shared" si="40"/>
        <v>1.4965434301467169</v>
      </c>
      <c r="AD134" s="31">
        <v>32.272499084472656</v>
      </c>
      <c r="AE134" s="31">
        <v>1.8437086343765259</v>
      </c>
      <c r="AF134" s="32">
        <f t="shared" si="41"/>
        <v>2.1948912314006259</v>
      </c>
      <c r="AG134" s="31">
        <v>36.296504974365234</v>
      </c>
      <c r="AH134" s="31">
        <v>1.3565647602081299</v>
      </c>
      <c r="AI134" s="31">
        <f t="shared" si="42"/>
        <v>0.16149580478668213</v>
      </c>
      <c r="AJ134" t="s">
        <v>66</v>
      </c>
      <c r="AL134" s="32">
        <f t="shared" si="43"/>
        <v>0</v>
      </c>
    </row>
    <row r="135" spans="1:38" ht="15.15" thickBot="1" x14ac:dyDescent="0.35">
      <c r="A135" s="33" t="s">
        <v>68</v>
      </c>
      <c r="B135" s="30">
        <v>44391</v>
      </c>
      <c r="C135" s="33">
        <v>900</v>
      </c>
      <c r="D135" s="1461" t="s">
        <v>65</v>
      </c>
      <c r="E135" s="30">
        <v>44482</v>
      </c>
      <c r="F135" s="24">
        <v>100</v>
      </c>
      <c r="G135" s="31">
        <v>18.445796966552734</v>
      </c>
      <c r="H135" s="31">
        <v>263577.71875</v>
      </c>
      <c r="I135" s="31">
        <f t="shared" si="34"/>
        <v>250595.08019612631</v>
      </c>
      <c r="J135" s="31">
        <f t="shared" si="33"/>
        <v>27843.89779956959</v>
      </c>
      <c r="K135" s="31">
        <v>21.244417190551758</v>
      </c>
      <c r="L135" s="31">
        <v>43180.43359375</v>
      </c>
      <c r="M135" s="31">
        <f t="shared" si="32"/>
        <v>30197.795039876302</v>
      </c>
      <c r="N135" s="32">
        <f t="shared" si="35"/>
        <v>33553.10559986256</v>
      </c>
      <c r="O135" s="31">
        <v>35.772384643554688</v>
      </c>
      <c r="P135" s="31">
        <v>4.2313656806945801</v>
      </c>
      <c r="Q135" s="31">
        <f t="shared" si="36"/>
        <v>0.47015174229939777</v>
      </c>
      <c r="R135" s="31">
        <v>39.119941711425781</v>
      </c>
      <c r="S135" s="31">
        <v>0.51433652639389038</v>
      </c>
      <c r="T135" s="32">
        <f t="shared" si="37"/>
        <v>0.57148502932654488</v>
      </c>
      <c r="U135" s="31">
        <v>32.947036743164063</v>
      </c>
      <c r="V135" s="31">
        <v>4.3746867179870605</v>
      </c>
      <c r="W135" s="31">
        <f t="shared" si="38"/>
        <v>0.48607630199856228</v>
      </c>
      <c r="X135" s="31">
        <v>35.334278106689453</v>
      </c>
      <c r="Y135" s="31">
        <v>0.92208373546600342</v>
      </c>
      <c r="Z135" s="32">
        <f t="shared" si="39"/>
        <v>1.024537483851115</v>
      </c>
      <c r="AA135" s="31">
        <v>31.2122802734375</v>
      </c>
      <c r="AB135" s="31">
        <v>3.5926022529602051</v>
      </c>
      <c r="AC135" s="31">
        <f t="shared" si="40"/>
        <v>0.39917802810668945</v>
      </c>
      <c r="AD135" t="s">
        <v>66</v>
      </c>
      <c r="AF135" s="32">
        <f t="shared" si="41"/>
        <v>0</v>
      </c>
      <c r="AG135" t="s">
        <v>66</v>
      </c>
      <c r="AI135" s="31">
        <f t="shared" si="42"/>
        <v>0</v>
      </c>
      <c r="AJ135" t="s">
        <v>66</v>
      </c>
      <c r="AL135" s="32">
        <f t="shared" si="43"/>
        <v>0</v>
      </c>
    </row>
    <row r="136" spans="1:38" ht="15.15" thickBot="1" x14ac:dyDescent="0.35">
      <c r="A136" s="33" t="s">
        <v>69</v>
      </c>
      <c r="B136" s="30">
        <v>44391</v>
      </c>
      <c r="C136" s="33">
        <v>860</v>
      </c>
      <c r="D136" s="1461" t="s">
        <v>65</v>
      </c>
      <c r="E136" s="30">
        <v>44482</v>
      </c>
      <c r="F136" s="24">
        <v>100</v>
      </c>
      <c r="G136" s="31">
        <v>13.401678085327148</v>
      </c>
      <c r="H136" s="31">
        <v>6868805.5</v>
      </c>
      <c r="I136" s="31">
        <f t="shared" si="34"/>
        <v>6855822.8614461264</v>
      </c>
      <c r="J136" s="31">
        <f t="shared" si="33"/>
        <v>797188.70481931709</v>
      </c>
      <c r="K136" s="31">
        <v>16.39689826965332</v>
      </c>
      <c r="L136" s="31">
        <v>990992.6875</v>
      </c>
      <c r="M136" s="31">
        <f t="shared" si="32"/>
        <v>978010.04894612625</v>
      </c>
      <c r="N136" s="32">
        <f t="shared" si="35"/>
        <v>1137220.9871466584</v>
      </c>
      <c r="O136" t="s">
        <v>66</v>
      </c>
      <c r="Q136" s="31">
        <f t="shared" si="36"/>
        <v>0</v>
      </c>
      <c r="R136" t="s">
        <v>66</v>
      </c>
      <c r="T136" s="32">
        <f t="shared" si="37"/>
        <v>0</v>
      </c>
      <c r="U136" s="31">
        <v>35.490108489990234</v>
      </c>
      <c r="V136" s="31">
        <v>0.83297514915466309</v>
      </c>
      <c r="W136" s="31">
        <f t="shared" si="38"/>
        <v>9.6857575483100353E-2</v>
      </c>
      <c r="X136" s="31">
        <v>38.315303802490234</v>
      </c>
      <c r="Y136" s="31">
        <v>0.13194920122623444</v>
      </c>
      <c r="Z136" s="32">
        <f t="shared" si="39"/>
        <v>0.1534293037514354</v>
      </c>
      <c r="AA136" s="31">
        <v>17.889289855957031</v>
      </c>
      <c r="AB136" s="31">
        <v>15706.080078125</v>
      </c>
      <c r="AC136" s="31">
        <f t="shared" si="40"/>
        <v>1826.2883811773256</v>
      </c>
      <c r="AD136" s="31">
        <v>21.679141998291016</v>
      </c>
      <c r="AE136" s="31">
        <v>1446.9302978515625</v>
      </c>
      <c r="AF136" s="32">
        <f t="shared" si="41"/>
        <v>1682.4770905250728</v>
      </c>
      <c r="AG136" s="31">
        <v>31.798086166381836</v>
      </c>
      <c r="AH136" s="31">
        <v>22.123523712158203</v>
      </c>
      <c r="AI136" s="31">
        <f t="shared" si="42"/>
        <v>2.5725027572276979</v>
      </c>
      <c r="AJ136" s="31">
        <v>34.2579345703125</v>
      </c>
      <c r="AK136" s="31">
        <v>4.8070206642150879</v>
      </c>
      <c r="AL136" s="32">
        <f t="shared" si="43"/>
        <v>5.5895589118780089</v>
      </c>
    </row>
    <row r="137" spans="1:38" ht="15.15" thickBot="1" x14ac:dyDescent="0.35">
      <c r="A137" s="33" t="s">
        <v>70</v>
      </c>
      <c r="B137" s="30">
        <v>44391</v>
      </c>
      <c r="C137" s="33">
        <v>1000</v>
      </c>
      <c r="D137" s="1461" t="s">
        <v>65</v>
      </c>
      <c r="E137" s="30">
        <v>44482</v>
      </c>
      <c r="F137" s="24">
        <v>100</v>
      </c>
      <c r="G137" s="31">
        <v>18.239353179931641</v>
      </c>
      <c r="H137" s="31">
        <v>301204.25</v>
      </c>
      <c r="I137" s="31">
        <f t="shared" si="34"/>
        <v>288221.61144612631</v>
      </c>
      <c r="J137" s="31">
        <f t="shared" si="33"/>
        <v>28822.16114461263</v>
      </c>
      <c r="K137" s="31">
        <v>21.533227920532227</v>
      </c>
      <c r="L137" s="31">
        <v>35827.19140625</v>
      </c>
      <c r="M137" s="31">
        <f t="shared" si="32"/>
        <v>22844.552852376302</v>
      </c>
      <c r="N137" s="32">
        <f t="shared" si="35"/>
        <v>22844.552852376302</v>
      </c>
      <c r="O137" s="31">
        <v>34.048271179199219</v>
      </c>
      <c r="P137" s="31">
        <v>12.527341842651367</v>
      </c>
      <c r="Q137" s="31">
        <f t="shared" si="36"/>
        <v>1.2527341842651367</v>
      </c>
      <c r="R137" s="31">
        <v>36.995925903320313</v>
      </c>
      <c r="S137" s="31">
        <v>1.9586657285690308</v>
      </c>
      <c r="T137" s="32">
        <f t="shared" si="37"/>
        <v>1.9586657285690308</v>
      </c>
      <c r="U137" s="31">
        <v>36.486690521240234</v>
      </c>
      <c r="V137" s="31">
        <v>0.43486469984054565</v>
      </c>
      <c r="W137" s="31">
        <f t="shared" si="38"/>
        <v>4.3486469984054567E-2</v>
      </c>
      <c r="X137" t="s">
        <v>66</v>
      </c>
      <c r="Z137" s="32">
        <f t="shared" si="39"/>
        <v>0</v>
      </c>
      <c r="AA137" s="31">
        <v>27.457448959350586</v>
      </c>
      <c r="AB137" s="31">
        <v>38.146923065185547</v>
      </c>
      <c r="AC137" s="31">
        <f t="shared" si="40"/>
        <v>3.8146923065185545</v>
      </c>
      <c r="AD137" s="31">
        <v>31.314796447753906</v>
      </c>
      <c r="AE137" s="31">
        <v>3.3681809902191162</v>
      </c>
      <c r="AF137" s="32">
        <f t="shared" si="41"/>
        <v>3.3681809902191162</v>
      </c>
      <c r="AG137" s="31">
        <v>39.735137939453125</v>
      </c>
      <c r="AH137" s="31">
        <v>0.16056844592094421</v>
      </c>
      <c r="AI137" s="31">
        <f t="shared" si="42"/>
        <v>1.6056844592094423E-2</v>
      </c>
      <c r="AJ137" t="s">
        <v>66</v>
      </c>
      <c r="AL137" s="32">
        <f t="shared" si="43"/>
        <v>0</v>
      </c>
    </row>
    <row r="138" spans="1:38" ht="15.15" thickBot="1" x14ac:dyDescent="0.35">
      <c r="A138" s="33" t="s">
        <v>71</v>
      </c>
      <c r="B138" s="30">
        <v>44391</v>
      </c>
      <c r="C138" s="33">
        <v>1000</v>
      </c>
      <c r="D138" s="1461" t="s">
        <v>65</v>
      </c>
      <c r="E138" s="30">
        <v>44482</v>
      </c>
      <c r="F138" s="24">
        <v>100</v>
      </c>
      <c r="G138" s="31">
        <v>18.990854263305664</v>
      </c>
      <c r="H138" s="31">
        <v>185311.15625</v>
      </c>
      <c r="I138" s="31">
        <f t="shared" si="34"/>
        <v>172328.51769612631</v>
      </c>
      <c r="J138" s="31">
        <f t="shared" si="33"/>
        <v>17232.851769612629</v>
      </c>
      <c r="K138" s="31">
        <v>21.950582504272461</v>
      </c>
      <c r="L138" s="31">
        <v>27356.08984375</v>
      </c>
      <c r="M138" s="31">
        <f t="shared" si="32"/>
        <v>14373.451289876302</v>
      </c>
      <c r="N138" s="32">
        <f t="shared" si="35"/>
        <v>14373.451289876302</v>
      </c>
      <c r="O138" s="31">
        <v>33.708465576171875</v>
      </c>
      <c r="P138" s="31">
        <v>15.515398025512695</v>
      </c>
      <c r="Q138" s="31">
        <f t="shared" si="36"/>
        <v>1.5515398025512694</v>
      </c>
      <c r="R138" s="31">
        <v>37.115730285644531</v>
      </c>
      <c r="S138" s="31">
        <v>1.8163745403289795</v>
      </c>
      <c r="T138" s="32">
        <f t="shared" si="37"/>
        <v>1.8163745403289795</v>
      </c>
      <c r="U138" s="31">
        <v>34.125640869140625</v>
      </c>
      <c r="V138" s="31">
        <v>2.0282058715820313</v>
      </c>
      <c r="W138" s="31">
        <f t="shared" si="38"/>
        <v>0.20282058715820311</v>
      </c>
      <c r="X138" s="31">
        <v>37.070323944091797</v>
      </c>
      <c r="Y138" s="31">
        <v>0.29719555377960205</v>
      </c>
      <c r="Z138" s="32">
        <f t="shared" si="39"/>
        <v>0.29719555377960205</v>
      </c>
      <c r="AA138" s="31">
        <v>29.883996963500977</v>
      </c>
      <c r="AB138" s="31">
        <v>8.2866249084472656</v>
      </c>
      <c r="AC138" s="31">
        <f t="shared" si="40"/>
        <v>0.82866249084472654</v>
      </c>
      <c r="AD138" s="31">
        <v>32.533260345458984</v>
      </c>
      <c r="AE138" s="31">
        <v>1.5647188425064087</v>
      </c>
      <c r="AF138" s="32">
        <f t="shared" si="41"/>
        <v>1.5647188425064087</v>
      </c>
      <c r="AG138" t="s">
        <v>66</v>
      </c>
      <c r="AI138" s="31">
        <f t="shared" si="42"/>
        <v>0</v>
      </c>
      <c r="AJ138" t="s">
        <v>66</v>
      </c>
      <c r="AL138" s="32">
        <f t="shared" si="43"/>
        <v>0</v>
      </c>
    </row>
    <row r="139" spans="1:38" ht="15.15" thickBot="1" x14ac:dyDescent="0.35">
      <c r="A139" s="33" t="s">
        <v>72</v>
      </c>
      <c r="B139" s="30">
        <v>44391</v>
      </c>
      <c r="C139" s="33">
        <v>950</v>
      </c>
      <c r="D139" s="1461" t="s">
        <v>65</v>
      </c>
      <c r="E139" s="30">
        <v>44482</v>
      </c>
      <c r="F139" s="24">
        <v>100</v>
      </c>
      <c r="G139" s="31">
        <v>20.893171310424805</v>
      </c>
      <c r="H139" s="31">
        <v>54186.09375</v>
      </c>
      <c r="I139" s="31">
        <f t="shared" si="34"/>
        <v>41203.455196126306</v>
      </c>
      <c r="J139" s="31">
        <f t="shared" si="33"/>
        <v>4337.2058101185585</v>
      </c>
      <c r="K139" s="31">
        <v>23.111989974975586</v>
      </c>
      <c r="L139" s="31">
        <v>12912.9833984375</v>
      </c>
      <c r="M139" s="31">
        <f t="shared" si="32"/>
        <v>-69.655155436197674</v>
      </c>
      <c r="N139" s="32">
        <f t="shared" si="35"/>
        <v>-73.321216248629128</v>
      </c>
      <c r="O139" t="s">
        <v>66</v>
      </c>
      <c r="Q139" s="31">
        <f t="shared" si="36"/>
        <v>0</v>
      </c>
      <c r="R139" t="s">
        <v>66</v>
      </c>
      <c r="T139" s="32">
        <f t="shared" si="37"/>
        <v>0</v>
      </c>
      <c r="U139" s="31">
        <v>29.248952865600586</v>
      </c>
      <c r="V139" s="31">
        <v>48.799392700195313</v>
      </c>
      <c r="W139" s="31">
        <f t="shared" si="38"/>
        <v>5.1367781789679272</v>
      </c>
      <c r="X139" s="31">
        <v>31.842414855957031</v>
      </c>
      <c r="Y139" s="31">
        <v>8.9913864135742188</v>
      </c>
      <c r="Z139" s="32">
        <f t="shared" si="39"/>
        <v>9.4646172774465462</v>
      </c>
      <c r="AA139" s="31">
        <v>24.891681671142578</v>
      </c>
      <c r="AB139" s="31">
        <v>191.68344116210938</v>
      </c>
      <c r="AC139" s="31">
        <f t="shared" si="40"/>
        <v>20.17720433285362</v>
      </c>
      <c r="AD139" s="31">
        <v>29.907752990722656</v>
      </c>
      <c r="AE139" s="31">
        <v>8.1636810302734375</v>
      </c>
      <c r="AF139" s="32">
        <f t="shared" si="41"/>
        <v>8.5933484529194075</v>
      </c>
      <c r="AG139" t="s">
        <v>66</v>
      </c>
      <c r="AI139" s="31">
        <f t="shared" si="42"/>
        <v>0</v>
      </c>
      <c r="AJ139" t="s">
        <v>66</v>
      </c>
      <c r="AL139" s="32">
        <f t="shared" si="43"/>
        <v>0</v>
      </c>
    </row>
    <row r="140" spans="1:38" ht="15.15" thickBot="1" x14ac:dyDescent="0.35">
      <c r="A140" s="33" t="s">
        <v>73</v>
      </c>
      <c r="B140" s="30">
        <v>44391</v>
      </c>
      <c r="C140" s="33">
        <v>980</v>
      </c>
      <c r="D140" s="1461" t="s">
        <v>65</v>
      </c>
      <c r="E140" s="30">
        <v>44482</v>
      </c>
      <c r="F140" s="24">
        <v>100</v>
      </c>
      <c r="G140" s="31">
        <v>9.4441986083984375</v>
      </c>
      <c r="H140" s="31">
        <v>88677816</v>
      </c>
      <c r="I140" s="31">
        <f t="shared" si="34"/>
        <v>88664833.361446127</v>
      </c>
      <c r="J140" s="31">
        <f t="shared" si="33"/>
        <v>9047431.9756577685</v>
      </c>
      <c r="K140" s="31">
        <v>12.267086982727051</v>
      </c>
      <c r="L140" s="31">
        <v>14301474</v>
      </c>
      <c r="M140" s="31">
        <f t="shared" si="32"/>
        <v>14288491.361446125</v>
      </c>
      <c r="N140" s="32">
        <f t="shared" si="35"/>
        <v>14580093.225965433</v>
      </c>
      <c r="O140" t="s">
        <v>66</v>
      </c>
      <c r="Q140" s="31">
        <f t="shared" si="36"/>
        <v>0</v>
      </c>
      <c r="R140" t="s">
        <v>66</v>
      </c>
      <c r="T140" s="32">
        <f t="shared" si="37"/>
        <v>0</v>
      </c>
      <c r="U140" s="31">
        <v>30.982080459594727</v>
      </c>
      <c r="V140" s="31">
        <v>15.758430480957031</v>
      </c>
      <c r="W140" s="31">
        <f t="shared" si="38"/>
        <v>1.6080031103017378</v>
      </c>
      <c r="X140" s="31">
        <v>34.8277587890625</v>
      </c>
      <c r="Y140" s="31">
        <v>1.2830392122268677</v>
      </c>
      <c r="Z140" s="32">
        <f t="shared" si="39"/>
        <v>1.3092236859457833</v>
      </c>
      <c r="AA140" s="31">
        <v>22.630971908569336</v>
      </c>
      <c r="AB140" s="31">
        <v>794.96728515625</v>
      </c>
      <c r="AC140" s="31">
        <f t="shared" si="40"/>
        <v>81.119110730229593</v>
      </c>
      <c r="AD140" s="31">
        <v>25.26801872253418</v>
      </c>
      <c r="AE140" s="31">
        <v>151.2677001953125</v>
      </c>
      <c r="AF140" s="32">
        <f t="shared" si="41"/>
        <v>154.35479611766581</v>
      </c>
      <c r="AG140" s="31">
        <v>38.849109649658203</v>
      </c>
      <c r="AH140" s="31">
        <v>0.27826753258705139</v>
      </c>
      <c r="AI140" s="31">
        <f t="shared" si="42"/>
        <v>2.8394646182352185E-2</v>
      </c>
      <c r="AJ140" t="s">
        <v>66</v>
      </c>
      <c r="AL140" s="32">
        <f t="shared" si="43"/>
        <v>0</v>
      </c>
    </row>
    <row r="141" spans="1:38" ht="15.15" thickBot="1" x14ac:dyDescent="0.35">
      <c r="A141" s="33" t="s">
        <v>74</v>
      </c>
      <c r="B141" s="30">
        <v>44391</v>
      </c>
      <c r="C141" s="33">
        <v>920</v>
      </c>
      <c r="D141" s="1461" t="s">
        <v>65</v>
      </c>
      <c r="E141" s="30">
        <v>44482</v>
      </c>
      <c r="F141" s="24">
        <v>100</v>
      </c>
      <c r="G141" s="31">
        <v>24.788543701171875</v>
      </c>
      <c r="H141" s="31">
        <v>4369.06591796875</v>
      </c>
      <c r="I141" s="31">
        <f t="shared" si="34"/>
        <v>-8613.5726359049477</v>
      </c>
      <c r="J141" s="31">
        <f t="shared" si="33"/>
        <v>-936.25789520705951</v>
      </c>
      <c r="K141" s="31">
        <v>24.884731292724609</v>
      </c>
      <c r="L141" s="31">
        <v>4105.69873046875</v>
      </c>
      <c r="M141" s="31">
        <f t="shared" si="32"/>
        <v>-8876.9398234049477</v>
      </c>
      <c r="N141" s="32">
        <f t="shared" si="35"/>
        <v>-9648.8476341358128</v>
      </c>
      <c r="O141" s="31">
        <v>35.366298675537109</v>
      </c>
      <c r="P141" s="31">
        <v>5.4639387130737305</v>
      </c>
      <c r="Q141" s="31">
        <f t="shared" si="36"/>
        <v>0.59390638185584022</v>
      </c>
      <c r="R141" t="s">
        <v>66</v>
      </c>
      <c r="T141" s="32">
        <f t="shared" si="37"/>
        <v>0</v>
      </c>
      <c r="U141" s="31">
        <v>38.452888488769531</v>
      </c>
      <c r="V141" s="31">
        <v>0.12062475085258484</v>
      </c>
      <c r="W141" s="31">
        <f t="shared" si="38"/>
        <v>1.3111385962237482E-2</v>
      </c>
      <c r="X141" t="s">
        <v>66</v>
      </c>
      <c r="Z141" s="32">
        <f t="shared" si="39"/>
        <v>0</v>
      </c>
      <c r="AA141" s="31">
        <v>31.379356384277344</v>
      </c>
      <c r="AB141" s="31">
        <v>3.2341017723083496</v>
      </c>
      <c r="AC141" s="31">
        <f t="shared" si="40"/>
        <v>0.35153280133786408</v>
      </c>
      <c r="AD141" t="s">
        <v>66</v>
      </c>
      <c r="AF141" s="32">
        <f t="shared" si="41"/>
        <v>0</v>
      </c>
      <c r="AG141" t="s">
        <v>66</v>
      </c>
      <c r="AI141" s="31">
        <f t="shared" si="42"/>
        <v>0</v>
      </c>
      <c r="AJ141" t="s">
        <v>66</v>
      </c>
      <c r="AL141" s="32">
        <f t="shared" si="43"/>
        <v>0</v>
      </c>
    </row>
    <row r="142" spans="1:38" ht="15.15" thickBot="1" x14ac:dyDescent="0.35">
      <c r="A142" s="33" t="s">
        <v>75</v>
      </c>
      <c r="B142" s="30">
        <v>44391</v>
      </c>
      <c r="C142" s="33">
        <v>830</v>
      </c>
      <c r="D142" s="1461" t="s">
        <v>65</v>
      </c>
      <c r="E142" s="30">
        <v>44482</v>
      </c>
      <c r="F142" s="24">
        <v>100</v>
      </c>
      <c r="G142" s="31">
        <v>22.587129592895508</v>
      </c>
      <c r="H142" s="31">
        <v>18128.591796875</v>
      </c>
      <c r="I142" s="31">
        <f t="shared" si="34"/>
        <v>5145.9532430013023</v>
      </c>
      <c r="J142" s="31">
        <f t="shared" si="33"/>
        <v>619.9943666266629</v>
      </c>
      <c r="K142" s="31">
        <v>25.636676788330078</v>
      </c>
      <c r="L142" s="31">
        <v>2525.24072265625</v>
      </c>
      <c r="M142" s="31">
        <f t="shared" si="32"/>
        <v>-10457.397831217448</v>
      </c>
      <c r="N142" s="32">
        <f t="shared" si="35"/>
        <v>-12599.274495442707</v>
      </c>
      <c r="O142" s="31">
        <v>34.826938629150391</v>
      </c>
      <c r="P142" s="31">
        <v>7.6730613708496094</v>
      </c>
      <c r="Q142" s="31">
        <f t="shared" si="36"/>
        <v>0.92446522540356735</v>
      </c>
      <c r="R142" s="31">
        <v>37.962413787841797</v>
      </c>
      <c r="S142" s="31">
        <v>1.0659070014953613</v>
      </c>
      <c r="T142" s="32">
        <f t="shared" si="37"/>
        <v>1.2842253030064594</v>
      </c>
      <c r="U142" t="s">
        <v>66</v>
      </c>
      <c r="W142" s="31">
        <f t="shared" si="38"/>
        <v>0</v>
      </c>
      <c r="X142" t="s">
        <v>66</v>
      </c>
      <c r="Z142" s="32">
        <f t="shared" si="39"/>
        <v>0</v>
      </c>
      <c r="AA142" s="31">
        <v>30.687435150146484</v>
      </c>
      <c r="AB142" s="31">
        <v>4.9983773231506348</v>
      </c>
      <c r="AC142" s="31">
        <f t="shared" si="40"/>
        <v>0.60221413531935364</v>
      </c>
      <c r="AD142" t="s">
        <v>66</v>
      </c>
      <c r="AF142" s="32">
        <f t="shared" si="41"/>
        <v>0</v>
      </c>
      <c r="AG142" t="s">
        <v>66</v>
      </c>
      <c r="AI142" s="31">
        <f t="shared" si="42"/>
        <v>0</v>
      </c>
      <c r="AJ142" t="s">
        <v>66</v>
      </c>
      <c r="AL142" s="32">
        <f t="shared" si="43"/>
        <v>0</v>
      </c>
    </row>
    <row r="143" spans="1:38" ht="15.15" thickBot="1" x14ac:dyDescent="0.35">
      <c r="A143" s="33" t="s">
        <v>76</v>
      </c>
      <c r="B143" s="30">
        <v>44391</v>
      </c>
      <c r="C143" s="33">
        <v>930</v>
      </c>
      <c r="D143" s="1461" t="s">
        <v>65</v>
      </c>
      <c r="E143" s="30">
        <v>44482</v>
      </c>
      <c r="F143" s="24">
        <v>100</v>
      </c>
      <c r="G143" s="31">
        <v>9.2871923446655273</v>
      </c>
      <c r="H143" s="31">
        <v>98149800</v>
      </c>
      <c r="I143" s="31">
        <f t="shared" si="34"/>
        <v>98136817.361446127</v>
      </c>
      <c r="J143" s="31">
        <f t="shared" si="33"/>
        <v>10552345.95284367</v>
      </c>
      <c r="K143" s="31">
        <v>11.308317184448242</v>
      </c>
      <c r="L143" s="31">
        <v>26578120</v>
      </c>
      <c r="M143" s="31">
        <f t="shared" si="32"/>
        <v>26565137.361446127</v>
      </c>
      <c r="N143" s="32">
        <f t="shared" si="35"/>
        <v>28564663.829511967</v>
      </c>
      <c r="O143" s="31">
        <v>27.217161178588867</v>
      </c>
      <c r="P143" s="31">
        <v>923.6492919921875</v>
      </c>
      <c r="Q143" s="31">
        <f t="shared" si="36"/>
        <v>99.317128171202953</v>
      </c>
      <c r="R143" s="31">
        <v>29.99644660949707</v>
      </c>
      <c r="S143" s="31">
        <v>160.56143188476563</v>
      </c>
      <c r="T143" s="32">
        <f t="shared" si="37"/>
        <v>172.64670095136088</v>
      </c>
      <c r="U143" s="31">
        <v>23.916748046875</v>
      </c>
      <c r="V143" s="31">
        <v>1580.3021240234375</v>
      </c>
      <c r="W143" s="31">
        <f t="shared" si="38"/>
        <v>169.92495957241263</v>
      </c>
      <c r="X143" s="31">
        <v>26.709697723388672</v>
      </c>
      <c r="Y143" s="31">
        <v>255.65147399902344</v>
      </c>
      <c r="Z143" s="32">
        <f t="shared" si="39"/>
        <v>274.89405806346605</v>
      </c>
      <c r="AA143" s="31">
        <v>30.559625625610352</v>
      </c>
      <c r="AB143" s="31">
        <v>5.4169449806213379</v>
      </c>
      <c r="AC143" s="31">
        <f t="shared" si="40"/>
        <v>0.58246720221734816</v>
      </c>
      <c r="AD143" s="31">
        <v>31.934293746948242</v>
      </c>
      <c r="AE143" s="31">
        <v>2.28092360496521</v>
      </c>
      <c r="AF143" s="32">
        <f t="shared" si="41"/>
        <v>2.4526060268443119</v>
      </c>
      <c r="AG143" s="31">
        <v>22.330385208129883</v>
      </c>
      <c r="AH143" s="31">
        <v>7881.13818359375</v>
      </c>
      <c r="AI143" s="31">
        <f t="shared" si="42"/>
        <v>847.43421328965053</v>
      </c>
      <c r="AJ143" s="31">
        <v>24.958644866943359</v>
      </c>
      <c r="AK143" s="31">
        <v>1542.483154296875</v>
      </c>
      <c r="AL143" s="32">
        <f t="shared" si="43"/>
        <v>1658.5840368783602</v>
      </c>
    </row>
    <row r="144" spans="1:38" ht="15.15" thickBot="1" x14ac:dyDescent="0.35">
      <c r="A144" s="33" t="s">
        <v>77</v>
      </c>
      <c r="B144" s="30">
        <v>44391</v>
      </c>
      <c r="C144" s="33">
        <v>950</v>
      </c>
      <c r="D144" s="1461" t="s">
        <v>65</v>
      </c>
      <c r="E144" s="30">
        <v>44482</v>
      </c>
      <c r="F144" s="24">
        <v>100</v>
      </c>
      <c r="G144" s="31">
        <v>17.090671539306641</v>
      </c>
      <c r="H144" s="31">
        <v>632872.375</v>
      </c>
      <c r="I144" s="31">
        <f t="shared" si="34"/>
        <v>619889.73644612625</v>
      </c>
      <c r="J144" s="31">
        <f t="shared" si="33"/>
        <v>65251.551204855394</v>
      </c>
      <c r="K144" s="31">
        <v>19.664070129394531</v>
      </c>
      <c r="L144" s="31">
        <v>119927.3046875</v>
      </c>
      <c r="M144" s="31">
        <f t="shared" si="32"/>
        <v>106944.66613362631</v>
      </c>
      <c r="N144" s="32">
        <f t="shared" si="35"/>
        <v>112573.33277223822</v>
      </c>
      <c r="O144" s="31">
        <v>28.916664123535156</v>
      </c>
      <c r="P144" s="31">
        <v>316.8526611328125</v>
      </c>
      <c r="Q144" s="31">
        <f t="shared" si="36"/>
        <v>33.352911698190788</v>
      </c>
      <c r="R144" s="31">
        <v>31.485267639160156</v>
      </c>
      <c r="S144" s="31">
        <v>62.891597747802734</v>
      </c>
      <c r="T144" s="32">
        <f t="shared" si="37"/>
        <v>66.201681839792357</v>
      </c>
      <c r="U144" s="31">
        <v>27.068166732788086</v>
      </c>
      <c r="V144" s="31">
        <v>202.354736328125</v>
      </c>
      <c r="W144" s="31">
        <f t="shared" si="38"/>
        <v>21.300498560855264</v>
      </c>
      <c r="X144" s="31">
        <v>30.261852264404297</v>
      </c>
      <c r="Y144" s="31">
        <v>25.206626892089844</v>
      </c>
      <c r="Z144" s="32">
        <f t="shared" si="39"/>
        <v>26.533291465357731</v>
      </c>
      <c r="AA144" s="31">
        <v>30.074176788330078</v>
      </c>
      <c r="AB144" s="31">
        <v>7.3520569801330566</v>
      </c>
      <c r="AC144" s="31">
        <f t="shared" si="40"/>
        <v>0.77390073475084808</v>
      </c>
      <c r="AD144" t="s">
        <v>66</v>
      </c>
      <c r="AF144" s="32">
        <f t="shared" si="41"/>
        <v>0</v>
      </c>
      <c r="AG144" s="31">
        <v>23.6839599609375</v>
      </c>
      <c r="AH144" s="31">
        <v>3402.306884765625</v>
      </c>
      <c r="AI144" s="31">
        <f t="shared" si="42"/>
        <v>358.13756681743422</v>
      </c>
      <c r="AJ144" s="31">
        <v>28.136648178100586</v>
      </c>
      <c r="AK144" s="31">
        <v>214.6273193359375</v>
      </c>
      <c r="AL144" s="32">
        <f t="shared" si="43"/>
        <v>225.92349403782896</v>
      </c>
    </row>
    <row r="145" spans="1:38" ht="15.15" thickBot="1" x14ac:dyDescent="0.35">
      <c r="A145" s="33" t="s">
        <v>78</v>
      </c>
      <c r="B145" s="30">
        <v>44391</v>
      </c>
      <c r="C145" s="33">
        <v>1000</v>
      </c>
      <c r="D145" s="1461" t="s">
        <v>65</v>
      </c>
      <c r="E145" s="30">
        <v>44482</v>
      </c>
      <c r="F145" s="24">
        <v>100</v>
      </c>
      <c r="G145" s="31">
        <v>10.91190242767334</v>
      </c>
      <c r="H145" s="31">
        <v>34340360</v>
      </c>
      <c r="I145" s="31">
        <f t="shared" si="34"/>
        <v>34327377.361446127</v>
      </c>
      <c r="J145" s="31">
        <f t="shared" si="33"/>
        <v>3432737.736144613</v>
      </c>
      <c r="K145" s="31">
        <v>13.615262031555176</v>
      </c>
      <c r="L145" s="31">
        <v>5983075</v>
      </c>
      <c r="M145" s="31">
        <f t="shared" si="32"/>
        <v>5970092.3614461264</v>
      </c>
      <c r="N145" s="32">
        <f t="shared" si="35"/>
        <v>5970092.3614461264</v>
      </c>
      <c r="O145" t="s">
        <v>66</v>
      </c>
      <c r="Q145" s="31">
        <f t="shared" si="36"/>
        <v>0</v>
      </c>
      <c r="R145" t="s">
        <v>66</v>
      </c>
      <c r="T145" s="32">
        <f t="shared" si="37"/>
        <v>0</v>
      </c>
      <c r="U145" s="31">
        <v>20.479841232299805</v>
      </c>
      <c r="V145" s="31">
        <v>14867.2373046875</v>
      </c>
      <c r="W145" s="31">
        <f t="shared" si="38"/>
        <v>1486.7237304687501</v>
      </c>
      <c r="X145" s="31">
        <v>23.160585403442383</v>
      </c>
      <c r="Y145" s="31">
        <v>2587.7373046875</v>
      </c>
      <c r="Z145" s="32">
        <f t="shared" si="39"/>
        <v>2587.7373046875</v>
      </c>
      <c r="AA145" s="31">
        <v>26.032463073730469</v>
      </c>
      <c r="AB145" s="31">
        <v>93.508934020996094</v>
      </c>
      <c r="AC145" s="31">
        <f t="shared" si="40"/>
        <v>9.3508934020996097</v>
      </c>
      <c r="AD145" s="31">
        <v>28.925014495849609</v>
      </c>
      <c r="AE145" s="31">
        <v>15.15062427520752</v>
      </c>
      <c r="AF145" s="32">
        <f t="shared" si="41"/>
        <v>15.15062427520752</v>
      </c>
      <c r="AG145" s="31">
        <v>17.278547286987305</v>
      </c>
      <c r="AH145" s="31">
        <v>181200.84375</v>
      </c>
      <c r="AI145" s="31">
        <f t="shared" si="42"/>
        <v>18120.084374999999</v>
      </c>
      <c r="AJ145" s="31">
        <v>18.362386703491211</v>
      </c>
      <c r="AK145" s="31">
        <v>92479.15625</v>
      </c>
      <c r="AL145" s="32">
        <f t="shared" si="43"/>
        <v>92479.15625</v>
      </c>
    </row>
    <row r="146" spans="1:38" ht="15.15" thickBot="1" x14ac:dyDescent="0.35">
      <c r="A146" s="33" t="s">
        <v>79</v>
      </c>
      <c r="B146" s="30">
        <v>44391</v>
      </c>
      <c r="C146" s="33">
        <v>1000</v>
      </c>
      <c r="D146" s="1461" t="s">
        <v>65</v>
      </c>
      <c r="E146" s="30">
        <v>44482</v>
      </c>
      <c r="F146" s="24">
        <v>100</v>
      </c>
      <c r="G146" s="31">
        <v>15.292381286621094</v>
      </c>
      <c r="H146" s="31">
        <v>2023614.125</v>
      </c>
      <c r="I146" s="31">
        <f t="shared" si="34"/>
        <v>2010631.4864461264</v>
      </c>
      <c r="J146" s="31">
        <f t="shared" si="33"/>
        <v>201063.14864461264</v>
      </c>
      <c r="K146" s="31">
        <v>18.138467788696289</v>
      </c>
      <c r="L146" s="31">
        <v>321500.28125</v>
      </c>
      <c r="M146" s="31">
        <f t="shared" si="32"/>
        <v>308517.64269612631</v>
      </c>
      <c r="N146" s="32">
        <f t="shared" si="35"/>
        <v>308517.64269612631</v>
      </c>
      <c r="O146" t="s">
        <v>66</v>
      </c>
      <c r="Q146" s="31">
        <f t="shared" si="36"/>
        <v>0</v>
      </c>
      <c r="R146" t="s">
        <v>66</v>
      </c>
      <c r="T146" s="32">
        <f t="shared" si="37"/>
        <v>0</v>
      </c>
      <c r="U146" s="31">
        <v>29.573179244995117</v>
      </c>
      <c r="V146" s="31">
        <v>39.498317718505859</v>
      </c>
      <c r="W146" s="31">
        <f t="shared" si="38"/>
        <v>3.9498317718505858</v>
      </c>
      <c r="X146" s="31">
        <v>24.590900421142578</v>
      </c>
      <c r="Y146" s="31">
        <v>1018.0970458984375</v>
      </c>
      <c r="Z146" s="32">
        <f t="shared" si="39"/>
        <v>1018.0970458984375</v>
      </c>
      <c r="AA146" s="31">
        <v>23.546239852905273</v>
      </c>
      <c r="AB146" s="31">
        <v>446.93243408203125</v>
      </c>
      <c r="AC146" s="31">
        <f t="shared" si="40"/>
        <v>44.693243408203124</v>
      </c>
      <c r="AD146" s="31">
        <v>26.496095657348633</v>
      </c>
      <c r="AE146" s="31">
        <v>69.849006652832031</v>
      </c>
      <c r="AF146" s="32">
        <f t="shared" si="41"/>
        <v>69.849006652832031</v>
      </c>
      <c r="AG146" s="31">
        <v>17.116058349609375</v>
      </c>
      <c r="AH146" s="31">
        <v>200426.078125</v>
      </c>
      <c r="AI146" s="31">
        <f t="shared" si="42"/>
        <v>20042.607812499999</v>
      </c>
      <c r="AJ146" s="31">
        <v>20.540410995483398</v>
      </c>
      <c r="AK146" s="31">
        <v>23934.412109375</v>
      </c>
      <c r="AL146" s="32">
        <f t="shared" si="43"/>
        <v>23934.412109375</v>
      </c>
    </row>
    <row r="147" spans="1:38" ht="15.15" thickBot="1" x14ac:dyDescent="0.35">
      <c r="A147" s="33" t="s">
        <v>80</v>
      </c>
      <c r="B147" s="30">
        <v>44391</v>
      </c>
      <c r="C147" s="33">
        <v>880</v>
      </c>
      <c r="D147" s="1461" t="s">
        <v>65</v>
      </c>
      <c r="E147" s="30">
        <v>44482</v>
      </c>
      <c r="F147" s="24">
        <v>100</v>
      </c>
      <c r="G147" s="31">
        <v>23.798700332641602</v>
      </c>
      <c r="H147" s="31">
        <v>8284.2841796875</v>
      </c>
      <c r="I147" s="31">
        <f t="shared" si="34"/>
        <v>-4698.3543741861977</v>
      </c>
      <c r="J147" s="31">
        <f t="shared" si="33"/>
        <v>-533.90390615752244</v>
      </c>
      <c r="K147" s="31">
        <v>25.74932861328125</v>
      </c>
      <c r="L147" s="31">
        <v>2347.899169921875</v>
      </c>
      <c r="M147" s="31">
        <f t="shared" si="32"/>
        <v>-10634.739383951823</v>
      </c>
      <c r="N147" s="32">
        <f t="shared" si="35"/>
        <v>-12084.931118127071</v>
      </c>
      <c r="O147" s="31">
        <v>37.049472808837891</v>
      </c>
      <c r="P147" s="31">
        <v>1.8937402963638306</v>
      </c>
      <c r="Q147" s="31">
        <f t="shared" si="36"/>
        <v>0.2151977609504353</v>
      </c>
      <c r="R147" s="31">
        <v>37.183952331542969</v>
      </c>
      <c r="S147" s="31">
        <v>1.7400161027908325</v>
      </c>
      <c r="T147" s="32">
        <f t="shared" si="37"/>
        <v>1.9772910258986733</v>
      </c>
      <c r="U147" t="s">
        <v>66</v>
      </c>
      <c r="W147" s="31">
        <f t="shared" si="38"/>
        <v>0</v>
      </c>
      <c r="X147" t="s">
        <v>66</v>
      </c>
      <c r="Z147" s="32">
        <f t="shared" si="39"/>
        <v>0</v>
      </c>
      <c r="AA147" s="31">
        <v>32.968055725097656</v>
      </c>
      <c r="AB147" s="31">
        <v>1.1902097463607788</v>
      </c>
      <c r="AC147" s="31">
        <f t="shared" si="40"/>
        <v>0.13525110754099759</v>
      </c>
      <c r="AD147" t="s">
        <v>66</v>
      </c>
      <c r="AF147" s="32">
        <f t="shared" si="41"/>
        <v>0</v>
      </c>
      <c r="AG147" t="s">
        <v>66</v>
      </c>
      <c r="AI147" s="31">
        <f t="shared" si="42"/>
        <v>0</v>
      </c>
      <c r="AJ147" t="s">
        <v>66</v>
      </c>
      <c r="AL147" s="32">
        <f t="shared" si="43"/>
        <v>0</v>
      </c>
    </row>
    <row r="148" spans="1:38" ht="15.15" thickBot="1" x14ac:dyDescent="0.35">
      <c r="A148" s="33" t="s">
        <v>81</v>
      </c>
      <c r="B148" s="30">
        <v>44391</v>
      </c>
      <c r="C148" s="33">
        <v>830</v>
      </c>
      <c r="D148" s="1461" t="s">
        <v>65</v>
      </c>
      <c r="E148" s="30">
        <v>44482</v>
      </c>
      <c r="F148" s="24">
        <v>100</v>
      </c>
      <c r="G148" s="31">
        <v>21.997880935668945</v>
      </c>
      <c r="H148" s="31">
        <v>26532.3984375</v>
      </c>
      <c r="I148" s="31">
        <f t="shared" si="34"/>
        <v>13549.759883626302</v>
      </c>
      <c r="J148" s="31">
        <f t="shared" si="33"/>
        <v>1632.5011907983496</v>
      </c>
      <c r="K148" s="31">
        <v>25.15374755859375</v>
      </c>
      <c r="L148" s="31">
        <v>3450.400146484375</v>
      </c>
      <c r="M148" s="31">
        <f t="shared" si="32"/>
        <v>-9532.2384073893227</v>
      </c>
      <c r="N148" s="32">
        <f t="shared" si="35"/>
        <v>-11484.624587216051</v>
      </c>
      <c r="O148" s="31">
        <v>35.710433959960938</v>
      </c>
      <c r="P148" s="31">
        <v>4.3996496200561523</v>
      </c>
      <c r="Q148" s="31">
        <f t="shared" si="36"/>
        <v>0.53007826747664488</v>
      </c>
      <c r="R148" s="31">
        <v>39.208889007568359</v>
      </c>
      <c r="S148" s="31">
        <v>0.48632752895355225</v>
      </c>
      <c r="T148" s="32">
        <f t="shared" si="37"/>
        <v>0.58593678187174969</v>
      </c>
      <c r="U148" t="s">
        <v>66</v>
      </c>
      <c r="W148" s="31">
        <f t="shared" si="38"/>
        <v>0</v>
      </c>
      <c r="X148" t="s">
        <v>66</v>
      </c>
      <c r="Z148" s="32">
        <f t="shared" si="39"/>
        <v>0</v>
      </c>
      <c r="AA148" s="31">
        <v>31.322288513183594</v>
      </c>
      <c r="AB148" s="31">
        <v>3.3523404598236084</v>
      </c>
      <c r="AC148" s="31">
        <f t="shared" si="40"/>
        <v>0.40389644094260341</v>
      </c>
      <c r="AD148" t="s">
        <v>66</v>
      </c>
      <c r="AF148" s="32">
        <f t="shared" si="41"/>
        <v>0</v>
      </c>
      <c r="AG148" t="s">
        <v>66</v>
      </c>
      <c r="AI148" s="31">
        <f t="shared" si="42"/>
        <v>0</v>
      </c>
      <c r="AJ148" t="s">
        <v>66</v>
      </c>
      <c r="AL148" s="32">
        <f t="shared" si="43"/>
        <v>0</v>
      </c>
    </row>
    <row r="149" spans="1:38" ht="15.15" thickBot="1" x14ac:dyDescent="0.35">
      <c r="A149" s="33" t="s">
        <v>64</v>
      </c>
      <c r="B149" s="30">
        <v>44398</v>
      </c>
      <c r="C149" s="33">
        <v>940</v>
      </c>
      <c r="D149" s="1461" t="s">
        <v>65</v>
      </c>
      <c r="E149" s="30">
        <v>44488</v>
      </c>
      <c r="F149" s="24">
        <v>100</v>
      </c>
      <c r="G149" s="31">
        <v>27.13404655456543</v>
      </c>
      <c r="H149" s="31">
        <v>895.3411865234375</v>
      </c>
      <c r="I149" s="31">
        <f t="shared" si="34"/>
        <v>-12087.29736735026</v>
      </c>
      <c r="J149" s="31">
        <f t="shared" si="33"/>
        <v>-1285.8826986542831</v>
      </c>
      <c r="K149" s="31">
        <v>29.369714736938477</v>
      </c>
      <c r="L149" s="31">
        <v>200.82649230957031</v>
      </c>
      <c r="M149" s="31">
        <f t="shared" si="32"/>
        <v>-12781.812061564127</v>
      </c>
      <c r="N149" s="32">
        <f t="shared" si="35"/>
        <v>-13597.672405919284</v>
      </c>
      <c r="O149" t="s">
        <v>66</v>
      </c>
      <c r="Q149" s="31">
        <f t="shared" si="36"/>
        <v>0</v>
      </c>
      <c r="R149" t="s">
        <v>66</v>
      </c>
      <c r="T149" s="32">
        <f t="shared" si="37"/>
        <v>0</v>
      </c>
      <c r="U149" t="s">
        <v>66</v>
      </c>
      <c r="W149" s="31">
        <f t="shared" si="38"/>
        <v>0</v>
      </c>
      <c r="X149" t="s">
        <v>66</v>
      </c>
      <c r="Z149" s="32">
        <f t="shared" si="39"/>
        <v>0</v>
      </c>
      <c r="AA149" t="s">
        <v>66</v>
      </c>
      <c r="AC149" s="31">
        <f t="shared" si="40"/>
        <v>0</v>
      </c>
      <c r="AD149" t="s">
        <v>66</v>
      </c>
      <c r="AF149" s="32">
        <f t="shared" si="41"/>
        <v>0</v>
      </c>
      <c r="AG149" t="s">
        <v>66</v>
      </c>
      <c r="AI149" s="31">
        <f t="shared" si="42"/>
        <v>0</v>
      </c>
      <c r="AJ149" t="s">
        <v>66</v>
      </c>
      <c r="AL149" s="32">
        <f t="shared" si="43"/>
        <v>0</v>
      </c>
    </row>
    <row r="150" spans="1:38" ht="15.15" thickBot="1" x14ac:dyDescent="0.35">
      <c r="A150" s="33" t="s">
        <v>67</v>
      </c>
      <c r="B150" s="30">
        <v>44398</v>
      </c>
      <c r="C150" s="33">
        <v>1000</v>
      </c>
      <c r="D150" s="1461" t="s">
        <v>65</v>
      </c>
      <c r="E150" s="30">
        <v>44488</v>
      </c>
      <c r="F150" s="24">
        <v>100</v>
      </c>
      <c r="G150" s="31">
        <v>18.544818878173828</v>
      </c>
      <c r="H150" s="31">
        <v>279273.375</v>
      </c>
      <c r="I150" s="31">
        <f t="shared" si="34"/>
        <v>266290.73644612631</v>
      </c>
      <c r="J150" s="31">
        <f t="shared" si="33"/>
        <v>26629.073644612628</v>
      </c>
      <c r="K150" s="31">
        <v>21.758745193481445</v>
      </c>
      <c r="L150" s="31">
        <v>32569.166015625</v>
      </c>
      <c r="M150" s="31">
        <f t="shared" si="32"/>
        <v>19586.527461751302</v>
      </c>
      <c r="N150" s="32">
        <f t="shared" si="35"/>
        <v>19586.527461751302</v>
      </c>
      <c r="O150" s="31">
        <v>30.47541618347168</v>
      </c>
      <c r="P150" s="31">
        <v>160.17364501953125</v>
      </c>
      <c r="Q150" s="31">
        <f t="shared" si="36"/>
        <v>16.017364501953125</v>
      </c>
      <c r="R150" s="31">
        <v>33.821155548095703</v>
      </c>
      <c r="S150" s="31">
        <v>21.430379867553711</v>
      </c>
      <c r="T150" s="32">
        <f t="shared" si="37"/>
        <v>21.430379867553711</v>
      </c>
      <c r="U150" s="31">
        <v>32.208564758300781</v>
      </c>
      <c r="V150" s="31">
        <v>8.8059015274047852</v>
      </c>
      <c r="W150" s="31">
        <f t="shared" si="38"/>
        <v>0.88059015274047847</v>
      </c>
      <c r="X150" s="31">
        <v>35.358047485351563</v>
      </c>
      <c r="Y150" s="31">
        <v>1.1610032320022583</v>
      </c>
      <c r="Z150" s="32">
        <f t="shared" si="39"/>
        <v>1.1610032320022583</v>
      </c>
      <c r="AA150" s="31">
        <v>23.581392288208008</v>
      </c>
      <c r="AB150" s="31">
        <v>381.3385009765625</v>
      </c>
      <c r="AC150" s="31">
        <f t="shared" si="40"/>
        <v>38.13385009765625</v>
      </c>
      <c r="AD150" s="31">
        <v>32.32452392578125</v>
      </c>
      <c r="AE150" s="31">
        <v>1.3966372013092041</v>
      </c>
      <c r="AF150" s="32">
        <f t="shared" si="41"/>
        <v>1.3966372013092041</v>
      </c>
      <c r="AG150" s="31">
        <v>36.949672698974609</v>
      </c>
      <c r="AH150" s="31">
        <v>0.78355413675308228</v>
      </c>
      <c r="AI150" s="31">
        <f t="shared" si="42"/>
        <v>7.8355413675308225E-2</v>
      </c>
      <c r="AJ150" t="s">
        <v>66</v>
      </c>
      <c r="AL150" s="32">
        <f t="shared" si="43"/>
        <v>0</v>
      </c>
    </row>
    <row r="151" spans="1:38" ht="15.15" thickBot="1" x14ac:dyDescent="0.35">
      <c r="A151" s="33" t="s">
        <v>68</v>
      </c>
      <c r="B151" s="30">
        <v>44398</v>
      </c>
      <c r="C151" s="33">
        <v>1000</v>
      </c>
      <c r="D151" s="1461" t="s">
        <v>65</v>
      </c>
      <c r="E151" s="30">
        <v>44488</v>
      </c>
      <c r="F151" s="24">
        <v>100</v>
      </c>
      <c r="G151" s="31">
        <v>15.994224548339844</v>
      </c>
      <c r="H151" s="31">
        <v>1536886.25</v>
      </c>
      <c r="I151" s="31">
        <f t="shared" si="34"/>
        <v>1523903.6114461264</v>
      </c>
      <c r="J151" s="31">
        <f t="shared" si="33"/>
        <v>152390.36114461263</v>
      </c>
      <c r="K151" s="31">
        <v>19.004423141479492</v>
      </c>
      <c r="L151" s="31">
        <v>205387.9375</v>
      </c>
      <c r="M151" s="31">
        <f t="shared" si="32"/>
        <v>192405.29894612631</v>
      </c>
      <c r="N151" s="32">
        <f t="shared" si="35"/>
        <v>192405.29894612631</v>
      </c>
      <c r="O151" s="31">
        <v>36.222499847412109</v>
      </c>
      <c r="P151" s="31">
        <v>5.0587944984436035</v>
      </c>
      <c r="Q151" s="31">
        <f t="shared" si="36"/>
        <v>0.5058794498443604</v>
      </c>
      <c r="R151" s="31">
        <v>39.023090362548828</v>
      </c>
      <c r="S151" s="31">
        <v>0.9393390417098999</v>
      </c>
      <c r="T151" s="32">
        <f t="shared" si="37"/>
        <v>0.9393390417098999</v>
      </c>
      <c r="U151" s="31">
        <v>36.825107574462891</v>
      </c>
      <c r="V151" s="31">
        <v>0.45180240273475647</v>
      </c>
      <c r="W151" s="31">
        <f t="shared" si="38"/>
        <v>4.5180240273475648E-2</v>
      </c>
      <c r="X151" s="31">
        <v>37.378124237060547</v>
      </c>
      <c r="Y151" s="31">
        <v>0.31654837727546692</v>
      </c>
      <c r="Z151" s="32">
        <f t="shared" si="39"/>
        <v>0.31654837727546692</v>
      </c>
      <c r="AA151" s="31">
        <v>30.05950927734375</v>
      </c>
      <c r="AB151" s="31">
        <v>5.9733486175537109</v>
      </c>
      <c r="AC151" s="31">
        <f t="shared" si="40"/>
        <v>0.59733486175537109</v>
      </c>
      <c r="AD151" t="s">
        <v>66</v>
      </c>
      <c r="AF151" s="32">
        <f t="shared" si="41"/>
        <v>0</v>
      </c>
      <c r="AG151" s="31">
        <v>36.89874267578125</v>
      </c>
      <c r="AH151" s="31">
        <v>0.8092033863067627</v>
      </c>
      <c r="AI151" s="31">
        <f t="shared" si="42"/>
        <v>8.092033863067627E-2</v>
      </c>
      <c r="AJ151" t="s">
        <v>66</v>
      </c>
      <c r="AL151" s="32">
        <f t="shared" si="43"/>
        <v>0</v>
      </c>
    </row>
    <row r="152" spans="1:38" ht="15.15" thickBot="1" x14ac:dyDescent="0.35">
      <c r="A152" s="33" t="s">
        <v>69</v>
      </c>
      <c r="B152" s="30">
        <v>44398</v>
      </c>
      <c r="C152" s="33">
        <v>920</v>
      </c>
      <c r="D152" s="1461" t="s">
        <v>65</v>
      </c>
      <c r="E152" s="30">
        <v>44488</v>
      </c>
      <c r="F152" s="24">
        <v>100</v>
      </c>
      <c r="G152" s="31">
        <v>24.318143844604492</v>
      </c>
      <c r="H152" s="31">
        <v>5883.52978515625</v>
      </c>
      <c r="I152" s="31">
        <f t="shared" si="34"/>
        <v>-7099.1087687174477</v>
      </c>
      <c r="J152" s="31">
        <f t="shared" si="33"/>
        <v>-771.64225746928776</v>
      </c>
      <c r="K152" s="31">
        <v>27.587541580200195</v>
      </c>
      <c r="L152" s="31">
        <v>661.16204833984375</v>
      </c>
      <c r="M152" s="31">
        <f t="shared" si="32"/>
        <v>-12321.476505533854</v>
      </c>
      <c r="N152" s="32">
        <f t="shared" si="35"/>
        <v>-13392.909245145493</v>
      </c>
      <c r="O152" t="s">
        <v>66</v>
      </c>
      <c r="Q152" s="31">
        <f t="shared" si="36"/>
        <v>0</v>
      </c>
      <c r="R152" t="s">
        <v>66</v>
      </c>
      <c r="T152" s="32">
        <f t="shared" si="37"/>
        <v>0</v>
      </c>
      <c r="U152" t="s">
        <v>66</v>
      </c>
      <c r="W152" s="31">
        <f t="shared" si="38"/>
        <v>0</v>
      </c>
      <c r="X152" t="s">
        <v>66</v>
      </c>
      <c r="Z152" s="32">
        <f t="shared" si="39"/>
        <v>0</v>
      </c>
      <c r="AA152" s="31">
        <v>35.97247314453125</v>
      </c>
      <c r="AB152" s="31">
        <v>0.13446275889873505</v>
      </c>
      <c r="AC152" s="31">
        <f t="shared" si="40"/>
        <v>1.4615517271601635E-2</v>
      </c>
      <c r="AD152" s="31">
        <v>34.298351287841797</v>
      </c>
      <c r="AE152" s="31">
        <v>0.3936290442943573</v>
      </c>
      <c r="AF152" s="32">
        <f t="shared" si="41"/>
        <v>0.42785765684169269</v>
      </c>
      <c r="AG152" t="s">
        <v>66</v>
      </c>
      <c r="AI152" s="31">
        <f t="shared" si="42"/>
        <v>0</v>
      </c>
      <c r="AJ152" t="s">
        <v>66</v>
      </c>
      <c r="AL152" s="32">
        <f t="shared" si="43"/>
        <v>0</v>
      </c>
    </row>
    <row r="153" spans="1:38" ht="15.15" thickBot="1" x14ac:dyDescent="0.35">
      <c r="A153" s="33" t="s">
        <v>70</v>
      </c>
      <c r="B153" s="30">
        <v>44398</v>
      </c>
      <c r="C153" s="33">
        <v>900</v>
      </c>
      <c r="D153" s="1461" t="s">
        <v>65</v>
      </c>
      <c r="E153" s="30">
        <v>44488</v>
      </c>
      <c r="F153" s="24">
        <v>100</v>
      </c>
      <c r="G153" s="31">
        <v>21.4141845703125</v>
      </c>
      <c r="H153" s="31">
        <v>41006.828125</v>
      </c>
      <c r="I153" s="31">
        <f t="shared" si="34"/>
        <v>28024.189571126302</v>
      </c>
      <c r="J153" s="31">
        <f t="shared" si="33"/>
        <v>3113.7988412362561</v>
      </c>
      <c r="K153" s="31">
        <v>23.568086624145508</v>
      </c>
      <c r="L153" s="31">
        <v>9714.734375</v>
      </c>
      <c r="M153" s="31">
        <f t="shared" si="32"/>
        <v>-3267.9041788736977</v>
      </c>
      <c r="N153" s="32">
        <f t="shared" si="35"/>
        <v>-3631.0046431929977</v>
      </c>
      <c r="O153" s="31">
        <v>35.920578002929688</v>
      </c>
      <c r="P153" s="31">
        <v>6.0656561851501465</v>
      </c>
      <c r="Q153" s="31">
        <f t="shared" si="36"/>
        <v>0.67396179835001624</v>
      </c>
      <c r="R153" s="31">
        <v>38.990707397460938</v>
      </c>
      <c r="S153" s="31">
        <v>0.95780575275421143</v>
      </c>
      <c r="T153" s="32">
        <f t="shared" si="37"/>
        <v>1.064228614171346</v>
      </c>
      <c r="U153" s="31">
        <v>35.444805145263672</v>
      </c>
      <c r="V153" s="31">
        <v>1.0979790687561035</v>
      </c>
      <c r="W153" s="31">
        <f t="shared" si="38"/>
        <v>0.12199767430623372</v>
      </c>
      <c r="X153" t="s">
        <v>66</v>
      </c>
      <c r="Z153" s="32">
        <f t="shared" si="39"/>
        <v>0</v>
      </c>
      <c r="AA153" s="31">
        <v>30.135541915893555</v>
      </c>
      <c r="AB153" s="31">
        <v>5.6889457702636719</v>
      </c>
      <c r="AC153" s="31">
        <f t="shared" si="40"/>
        <v>0.63210508558485246</v>
      </c>
      <c r="AD153" t="s">
        <v>66</v>
      </c>
      <c r="AF153" s="32">
        <f t="shared" si="41"/>
        <v>0</v>
      </c>
      <c r="AG153" t="s">
        <v>66</v>
      </c>
      <c r="AI153" s="31">
        <f t="shared" si="42"/>
        <v>0</v>
      </c>
      <c r="AJ153" t="s">
        <v>66</v>
      </c>
      <c r="AL153" s="32">
        <f t="shared" si="43"/>
        <v>0</v>
      </c>
    </row>
    <row r="154" spans="1:38" ht="15.15" thickBot="1" x14ac:dyDescent="0.35">
      <c r="A154" s="33" t="s">
        <v>71</v>
      </c>
      <c r="B154" s="30">
        <v>44398</v>
      </c>
      <c r="C154" s="33">
        <v>1000</v>
      </c>
      <c r="D154" s="1461" t="s">
        <v>65</v>
      </c>
      <c r="E154" s="30">
        <v>44488</v>
      </c>
      <c r="F154" s="24">
        <v>100</v>
      </c>
      <c r="G154" s="31">
        <v>20.784616470336914</v>
      </c>
      <c r="H154" s="31">
        <v>62468.765625</v>
      </c>
      <c r="I154" s="31">
        <f t="shared" si="34"/>
        <v>49486.127071126306</v>
      </c>
      <c r="J154" s="31">
        <f t="shared" si="33"/>
        <v>4948.6127071126311</v>
      </c>
      <c r="K154" s="31">
        <v>23.875251770019531</v>
      </c>
      <c r="L154" s="31">
        <v>7911.154296875</v>
      </c>
      <c r="M154" s="31">
        <f t="shared" si="32"/>
        <v>-5071.4842569986977</v>
      </c>
      <c r="N154" s="32">
        <f t="shared" si="35"/>
        <v>-5071.4842569986977</v>
      </c>
      <c r="O154" s="31">
        <v>37.364780426025391</v>
      </c>
      <c r="P154" s="31">
        <v>2.5456662178039551</v>
      </c>
      <c r="Q154" s="31">
        <f t="shared" si="36"/>
        <v>0.25456662178039552</v>
      </c>
      <c r="R154" s="31">
        <v>39.601654052734375</v>
      </c>
      <c r="S154" s="31">
        <v>0.66337841749191284</v>
      </c>
      <c r="T154" s="32">
        <f t="shared" si="37"/>
        <v>0.66337841749191284</v>
      </c>
      <c r="U154" s="31">
        <v>34.388984680175781</v>
      </c>
      <c r="V154" s="31">
        <v>2.1656181812286377</v>
      </c>
      <c r="W154" s="31">
        <f t="shared" si="38"/>
        <v>0.21656181812286376</v>
      </c>
      <c r="X154" s="31">
        <v>37.336696624755859</v>
      </c>
      <c r="Y154" s="31">
        <v>0.32509824633598328</v>
      </c>
      <c r="Z154" s="32">
        <f t="shared" si="39"/>
        <v>0.32509824633598328</v>
      </c>
      <c r="AA154" s="31">
        <v>30.712188720703125</v>
      </c>
      <c r="AB154" s="31">
        <v>3.9296350479125977</v>
      </c>
      <c r="AC154" s="31">
        <f t="shared" si="40"/>
        <v>0.39296350479125974</v>
      </c>
      <c r="AD154" t="s">
        <v>66</v>
      </c>
      <c r="AF154" s="32">
        <f t="shared" si="41"/>
        <v>0</v>
      </c>
      <c r="AG154" t="s">
        <v>66</v>
      </c>
      <c r="AI154" s="31">
        <f t="shared" si="42"/>
        <v>0</v>
      </c>
      <c r="AJ154" t="s">
        <v>66</v>
      </c>
      <c r="AL154" s="32">
        <f t="shared" si="43"/>
        <v>0</v>
      </c>
    </row>
    <row r="155" spans="1:38" ht="15.15" thickBot="1" x14ac:dyDescent="0.35">
      <c r="A155" s="33" t="s">
        <v>72</v>
      </c>
      <c r="B155" s="30">
        <v>44398</v>
      </c>
      <c r="C155" s="33">
        <v>900</v>
      </c>
      <c r="D155" s="1461" t="s">
        <v>65</v>
      </c>
      <c r="E155" s="30">
        <v>44488</v>
      </c>
      <c r="F155" s="24">
        <v>100</v>
      </c>
      <c r="G155" s="31">
        <v>13.850231170654297</v>
      </c>
      <c r="H155" s="31">
        <v>6444509</v>
      </c>
      <c r="I155" s="31">
        <f t="shared" si="34"/>
        <v>6431526.3614461264</v>
      </c>
      <c r="J155" s="31">
        <f t="shared" si="33"/>
        <v>714614.04016068077</v>
      </c>
      <c r="K155" s="31">
        <v>16.747295379638672</v>
      </c>
      <c r="L155" s="31">
        <v>928910.125</v>
      </c>
      <c r="M155" s="31">
        <f t="shared" si="32"/>
        <v>915927.48644612625</v>
      </c>
      <c r="N155" s="32">
        <f t="shared" si="35"/>
        <v>1017697.2071623625</v>
      </c>
      <c r="O155" t="s">
        <v>66</v>
      </c>
      <c r="Q155" s="31">
        <f t="shared" si="36"/>
        <v>0</v>
      </c>
      <c r="R155" t="s">
        <v>66</v>
      </c>
      <c r="T155" s="32">
        <f t="shared" si="37"/>
        <v>0</v>
      </c>
      <c r="U155" s="31">
        <v>26.774473190307617</v>
      </c>
      <c r="V155" s="31">
        <v>290.41281127929688</v>
      </c>
      <c r="W155" s="31">
        <f t="shared" si="38"/>
        <v>32.268090142144096</v>
      </c>
      <c r="X155" s="31">
        <v>30.097238540649414</v>
      </c>
      <c r="Y155" s="31">
        <v>34.250080108642578</v>
      </c>
      <c r="Z155" s="32">
        <f t="shared" si="39"/>
        <v>38.055644565158417</v>
      </c>
      <c r="AA155" s="31">
        <v>15.974944114685059</v>
      </c>
      <c r="AB155" s="31">
        <v>50211.9296875</v>
      </c>
      <c r="AC155" s="31">
        <f t="shared" si="40"/>
        <v>5579.1032986111113</v>
      </c>
      <c r="AD155" s="31">
        <v>19.043380737304688</v>
      </c>
      <c r="AE155" s="31">
        <v>7011.37841796875</v>
      </c>
      <c r="AF155" s="32">
        <f t="shared" si="41"/>
        <v>7790.4204644097226</v>
      </c>
      <c r="AG155" t="s">
        <v>66</v>
      </c>
      <c r="AI155" s="31">
        <f t="shared" si="42"/>
        <v>0</v>
      </c>
      <c r="AJ155" s="31">
        <v>38.663307189941406</v>
      </c>
      <c r="AK155" s="31">
        <v>0.26509025692939758</v>
      </c>
      <c r="AL155" s="32">
        <f t="shared" si="43"/>
        <v>0.29454472992155289</v>
      </c>
    </row>
    <row r="156" spans="1:38" ht="15.15" thickBot="1" x14ac:dyDescent="0.35">
      <c r="A156" s="33" t="s">
        <v>73</v>
      </c>
      <c r="B156" s="30">
        <v>44398</v>
      </c>
      <c r="C156" s="33">
        <v>950</v>
      </c>
      <c r="D156" s="1461" t="s">
        <v>65</v>
      </c>
      <c r="E156" s="30">
        <v>44488</v>
      </c>
      <c r="F156" s="24">
        <v>100</v>
      </c>
      <c r="G156" s="31">
        <v>18.021642684936523</v>
      </c>
      <c r="H156" s="31">
        <v>396226.40625</v>
      </c>
      <c r="I156" s="31">
        <f t="shared" si="34"/>
        <v>383243.76769612631</v>
      </c>
      <c r="J156" s="31">
        <f t="shared" si="33"/>
        <v>40341.449231171195</v>
      </c>
      <c r="K156" s="31">
        <v>20.499776840209961</v>
      </c>
      <c r="L156" s="31">
        <v>75573.8203125</v>
      </c>
      <c r="M156" s="31">
        <f t="shared" si="32"/>
        <v>62591.181758626306</v>
      </c>
      <c r="N156" s="32">
        <f t="shared" si="35"/>
        <v>65885.45448276453</v>
      </c>
      <c r="O156" s="31">
        <v>36.177207946777344</v>
      </c>
      <c r="P156" s="31">
        <v>5.1984348297119141</v>
      </c>
      <c r="Q156" s="31">
        <f t="shared" si="36"/>
        <v>0.54720366628546468</v>
      </c>
      <c r="R156" s="31">
        <v>38.824214935302734</v>
      </c>
      <c r="S156" s="31">
        <v>1.0586394071578979</v>
      </c>
      <c r="T156" s="32">
        <f t="shared" si="37"/>
        <v>1.1143572706925242</v>
      </c>
      <c r="U156" s="31">
        <v>29.289083480834961</v>
      </c>
      <c r="V156" s="31">
        <v>57.604137420654297</v>
      </c>
      <c r="W156" s="31">
        <f t="shared" si="38"/>
        <v>6.0635934127004525</v>
      </c>
      <c r="X156" s="31">
        <v>32.064388275146484</v>
      </c>
      <c r="Y156" s="31">
        <v>9.6617460250854492</v>
      </c>
      <c r="Z156" s="32">
        <f t="shared" si="39"/>
        <v>10.170258973774157</v>
      </c>
      <c r="AA156" s="31">
        <v>31.173727035522461</v>
      </c>
      <c r="AB156" s="31">
        <v>2.9224495887756348</v>
      </c>
      <c r="AC156" s="31">
        <f t="shared" si="40"/>
        <v>0.30762627250269842</v>
      </c>
      <c r="AD156" t="s">
        <v>66</v>
      </c>
      <c r="AF156" s="32">
        <f t="shared" si="41"/>
        <v>0</v>
      </c>
      <c r="AG156" t="s">
        <v>66</v>
      </c>
      <c r="AI156" s="31">
        <f t="shared" si="42"/>
        <v>0</v>
      </c>
      <c r="AJ156" t="s">
        <v>66</v>
      </c>
      <c r="AL156" s="32">
        <f t="shared" si="43"/>
        <v>0</v>
      </c>
    </row>
    <row r="157" spans="1:38" ht="15.15" thickBot="1" x14ac:dyDescent="0.35">
      <c r="A157" s="33" t="s">
        <v>74</v>
      </c>
      <c r="B157" s="30">
        <v>44398</v>
      </c>
      <c r="C157" s="33">
        <v>960</v>
      </c>
      <c r="D157" s="1461" t="s">
        <v>65</v>
      </c>
      <c r="E157" s="30">
        <v>44488</v>
      </c>
      <c r="F157" s="24">
        <v>100</v>
      </c>
      <c r="G157" s="31">
        <v>22.922767639160156</v>
      </c>
      <c r="H157" s="31">
        <v>14955.8544921875</v>
      </c>
      <c r="I157" s="31">
        <f t="shared" si="34"/>
        <v>1973.2159383138023</v>
      </c>
      <c r="J157" s="31">
        <f t="shared" si="33"/>
        <v>205.54332690768777</v>
      </c>
      <c r="K157" s="31">
        <v>26.018707275390625</v>
      </c>
      <c r="L157" s="31">
        <v>1887.3304443359375</v>
      </c>
      <c r="M157" s="31">
        <f t="shared" si="32"/>
        <v>-11095.30810953776</v>
      </c>
      <c r="N157" s="32">
        <f t="shared" si="35"/>
        <v>-11557.612614101834</v>
      </c>
      <c r="O157" s="31">
        <v>36.291912078857422</v>
      </c>
      <c r="P157" s="31">
        <v>4.8520331382751465</v>
      </c>
      <c r="Q157" s="31">
        <f t="shared" si="36"/>
        <v>0.50542011857032776</v>
      </c>
      <c r="R157" s="31">
        <v>39.181045532226563</v>
      </c>
      <c r="S157" s="31">
        <v>0.85424178838729858</v>
      </c>
      <c r="T157" s="32">
        <f t="shared" si="37"/>
        <v>0.88983519623676932</v>
      </c>
      <c r="U157" t="s">
        <v>66</v>
      </c>
      <c r="W157" s="31">
        <f t="shared" si="38"/>
        <v>0</v>
      </c>
      <c r="X157" s="31">
        <v>38.659431457519531</v>
      </c>
      <c r="Y157" s="31">
        <v>0.13882032036781311</v>
      </c>
      <c r="Z157" s="32">
        <f t="shared" si="39"/>
        <v>0.14460450038313866</v>
      </c>
      <c r="AA157" s="31">
        <v>30.622674942016602</v>
      </c>
      <c r="AB157" s="31">
        <v>4.1619300842285156</v>
      </c>
      <c r="AC157" s="31">
        <f t="shared" si="40"/>
        <v>0.43353438377380371</v>
      </c>
      <c r="AD157" t="s">
        <v>66</v>
      </c>
      <c r="AF157" s="32">
        <f t="shared" si="41"/>
        <v>0</v>
      </c>
      <c r="AG157" t="s">
        <v>66</v>
      </c>
      <c r="AI157" s="31">
        <f t="shared" si="42"/>
        <v>0</v>
      </c>
      <c r="AJ157" t="s">
        <v>66</v>
      </c>
      <c r="AL157" s="32">
        <f t="shared" si="43"/>
        <v>0</v>
      </c>
    </row>
    <row r="158" spans="1:38" ht="15.15" thickBot="1" x14ac:dyDescent="0.35">
      <c r="A158" s="33" t="s">
        <v>75</v>
      </c>
      <c r="B158" s="30">
        <v>44398</v>
      </c>
      <c r="C158" s="33">
        <v>1000</v>
      </c>
      <c r="D158" s="1461" t="s">
        <v>65</v>
      </c>
      <c r="E158" s="30">
        <v>44488</v>
      </c>
      <c r="F158" s="24">
        <v>100</v>
      </c>
      <c r="G158" s="31">
        <v>23.217313766479492</v>
      </c>
      <c r="H158" s="31">
        <v>12282.4306640625</v>
      </c>
      <c r="I158" s="31">
        <f t="shared" si="34"/>
        <v>-700.20788981119767</v>
      </c>
      <c r="J158" s="31">
        <f t="shared" si="33"/>
        <v>-70.020788981119765</v>
      </c>
      <c r="K158" s="31">
        <v>26.650684356689453</v>
      </c>
      <c r="L158" s="31">
        <v>1236.9202880859375</v>
      </c>
      <c r="M158" s="31">
        <f t="shared" si="32"/>
        <v>-11745.71826578776</v>
      </c>
      <c r="N158" s="32">
        <f t="shared" si="35"/>
        <v>-11745.71826578776</v>
      </c>
      <c r="O158" s="31">
        <v>36.543548583984375</v>
      </c>
      <c r="P158" s="31">
        <v>4.1708283424377441</v>
      </c>
      <c r="Q158" s="31">
        <f t="shared" si="36"/>
        <v>0.4170828342437744</v>
      </c>
      <c r="R158" s="31">
        <v>39.227321624755859</v>
      </c>
      <c r="S158" s="31">
        <v>0.83080339431762695</v>
      </c>
      <c r="T158" s="32">
        <f t="shared" si="37"/>
        <v>0.83080339431762695</v>
      </c>
      <c r="U158" t="s">
        <v>66</v>
      </c>
      <c r="W158" s="31">
        <f t="shared" si="38"/>
        <v>0</v>
      </c>
      <c r="X158" t="s">
        <v>66</v>
      </c>
      <c r="Z158" s="32">
        <f t="shared" si="39"/>
        <v>0</v>
      </c>
      <c r="AA158" s="31">
        <v>30.703668594360352</v>
      </c>
      <c r="AB158" s="31">
        <v>3.9511754512786865</v>
      </c>
      <c r="AC158" s="31">
        <f t="shared" si="40"/>
        <v>0.39511754512786867</v>
      </c>
      <c r="AD158" s="31">
        <v>34.891929626464844</v>
      </c>
      <c r="AE158" s="31">
        <v>0.26896125078201294</v>
      </c>
      <c r="AF158" s="32">
        <f t="shared" si="41"/>
        <v>0.26896125078201294</v>
      </c>
      <c r="AG158" t="s">
        <v>66</v>
      </c>
      <c r="AI158" s="31">
        <f t="shared" si="42"/>
        <v>0</v>
      </c>
      <c r="AJ158" t="s">
        <v>66</v>
      </c>
      <c r="AL158" s="32">
        <f t="shared" si="43"/>
        <v>0</v>
      </c>
    </row>
    <row r="159" spans="1:38" ht="15.15" thickBot="1" x14ac:dyDescent="0.35">
      <c r="A159" s="33" t="s">
        <v>76</v>
      </c>
      <c r="B159" s="30">
        <v>44398</v>
      </c>
      <c r="C159" s="33">
        <v>920</v>
      </c>
      <c r="D159" s="1461" t="s">
        <v>65</v>
      </c>
      <c r="E159" s="30">
        <v>44488</v>
      </c>
      <c r="F159" s="24">
        <v>100</v>
      </c>
      <c r="G159" s="31">
        <v>17.631204605102539</v>
      </c>
      <c r="H159" s="31">
        <v>514415.8125</v>
      </c>
      <c r="I159" s="31">
        <f t="shared" si="34"/>
        <v>501433.17394612631</v>
      </c>
      <c r="J159" s="31">
        <f t="shared" si="33"/>
        <v>54503.605863709381</v>
      </c>
      <c r="K159" s="31">
        <v>20.565334320068359</v>
      </c>
      <c r="L159" s="31">
        <v>72332.84375</v>
      </c>
      <c r="M159" s="31">
        <f t="shared" si="32"/>
        <v>59350.205196126306</v>
      </c>
      <c r="N159" s="32">
        <f t="shared" si="35"/>
        <v>64511.092604485115</v>
      </c>
      <c r="O159" s="31">
        <v>28.695131301879883</v>
      </c>
      <c r="P159" s="31">
        <v>467.10812377929688</v>
      </c>
      <c r="Q159" s="31">
        <f t="shared" si="36"/>
        <v>50.772622149923571</v>
      </c>
      <c r="R159" s="31">
        <v>31.403945922851563</v>
      </c>
      <c r="S159" s="31">
        <v>91.654777526855469</v>
      </c>
      <c r="T159" s="32">
        <f t="shared" si="37"/>
        <v>99.624758181364641</v>
      </c>
      <c r="U159" s="31">
        <v>24.808078765869141</v>
      </c>
      <c r="V159" s="31">
        <v>1028.989013671875</v>
      </c>
      <c r="W159" s="31">
        <f t="shared" si="38"/>
        <v>111.84663192085598</v>
      </c>
      <c r="X159" s="31">
        <v>28.030811309814453</v>
      </c>
      <c r="Y159" s="31">
        <v>129.42105102539063</v>
      </c>
      <c r="Z159" s="32">
        <f t="shared" si="39"/>
        <v>140.67505546238112</v>
      </c>
      <c r="AA159" s="31">
        <v>30.434289932250977</v>
      </c>
      <c r="AB159" s="31">
        <v>4.6966395378112793</v>
      </c>
      <c r="AC159" s="31">
        <f t="shared" si="40"/>
        <v>0.5105042975881825</v>
      </c>
      <c r="AD159" s="31">
        <v>32.6070556640625</v>
      </c>
      <c r="AE159" s="31">
        <v>1.1650850772857666</v>
      </c>
      <c r="AF159" s="32">
        <f t="shared" si="41"/>
        <v>1.2663968231367029</v>
      </c>
      <c r="AG159" s="31">
        <v>23.234725952148438</v>
      </c>
      <c r="AH159" s="31">
        <v>4582.30078125</v>
      </c>
      <c r="AI159" s="31">
        <f t="shared" si="42"/>
        <v>498.076171875</v>
      </c>
      <c r="AJ159" s="31">
        <v>27.680614471435547</v>
      </c>
      <c r="AK159" s="31">
        <v>275.39373779296875</v>
      </c>
      <c r="AL159" s="32">
        <f t="shared" si="43"/>
        <v>299.34101934018344</v>
      </c>
    </row>
    <row r="160" spans="1:38" ht="15.15" thickBot="1" x14ac:dyDescent="0.35">
      <c r="A160" s="33" t="s">
        <v>77</v>
      </c>
      <c r="B160" s="30">
        <v>44398</v>
      </c>
      <c r="C160" s="33">
        <v>1000</v>
      </c>
      <c r="D160" s="1461" t="s">
        <v>65</v>
      </c>
      <c r="E160" s="30">
        <v>44488</v>
      </c>
      <c r="F160" s="24">
        <v>100</v>
      </c>
      <c r="G160" s="31">
        <v>18.797031402587891</v>
      </c>
      <c r="H160" s="31">
        <v>235936.40625</v>
      </c>
      <c r="I160" s="31">
        <f t="shared" si="34"/>
        <v>222953.76769612631</v>
      </c>
      <c r="J160" s="31">
        <f t="shared" si="33"/>
        <v>22295.376769612631</v>
      </c>
      <c r="K160" s="31">
        <v>22.109725952148438</v>
      </c>
      <c r="L160" s="31">
        <v>25756.859375</v>
      </c>
      <c r="M160" s="31">
        <f t="shared" si="32"/>
        <v>12774.220821126302</v>
      </c>
      <c r="N160" s="32">
        <f t="shared" si="35"/>
        <v>12774.220821126302</v>
      </c>
      <c r="O160" s="31">
        <v>30.776063919067383</v>
      </c>
      <c r="P160" s="31">
        <v>133.68817138671875</v>
      </c>
      <c r="Q160" s="31">
        <f t="shared" si="36"/>
        <v>13.368817138671876</v>
      </c>
      <c r="R160" s="31">
        <v>34.012332916259766</v>
      </c>
      <c r="S160" s="31">
        <v>19.103551864624023</v>
      </c>
      <c r="T160" s="32">
        <f t="shared" si="37"/>
        <v>19.103551864624023</v>
      </c>
      <c r="U160" s="31">
        <v>25.978961944580078</v>
      </c>
      <c r="V160" s="31">
        <v>484.4793701171875</v>
      </c>
      <c r="W160" s="31">
        <f t="shared" si="38"/>
        <v>48.44793701171875</v>
      </c>
      <c r="X160" s="31">
        <v>29.541238784790039</v>
      </c>
      <c r="Y160" s="31">
        <v>48.978275299072266</v>
      </c>
      <c r="Z160" s="32">
        <f t="shared" si="39"/>
        <v>48.978275299072266</v>
      </c>
      <c r="AA160" s="31">
        <v>30.617507934570313</v>
      </c>
      <c r="AB160" s="31">
        <v>4.1757502555847168</v>
      </c>
      <c r="AC160" s="31">
        <f t="shared" si="40"/>
        <v>0.4175750255584717</v>
      </c>
      <c r="AD160" t="s">
        <v>66</v>
      </c>
      <c r="AF160" s="32">
        <f t="shared" si="41"/>
        <v>0</v>
      </c>
      <c r="AG160" s="31">
        <v>25.630243301391602</v>
      </c>
      <c r="AH160" s="31">
        <v>1007.207763671875</v>
      </c>
      <c r="AI160" s="31">
        <f t="shared" si="42"/>
        <v>100.7207763671875</v>
      </c>
      <c r="AJ160" s="31">
        <v>29.810756683349609</v>
      </c>
      <c r="AK160" s="31">
        <v>71.594345092773438</v>
      </c>
      <c r="AL160" s="32">
        <f t="shared" si="43"/>
        <v>71.594345092773438</v>
      </c>
    </row>
    <row r="161" spans="1:38" ht="15.15" thickBot="1" x14ac:dyDescent="0.35">
      <c r="A161" s="33" t="s">
        <v>78</v>
      </c>
      <c r="B161" s="30">
        <v>44398</v>
      </c>
      <c r="C161" s="33">
        <v>910</v>
      </c>
      <c r="D161" s="1461" t="s">
        <v>65</v>
      </c>
      <c r="E161" s="30">
        <v>44488</v>
      </c>
      <c r="F161" s="24">
        <v>100</v>
      </c>
      <c r="G161" s="31">
        <v>15.613798141479492</v>
      </c>
      <c r="H161" s="31">
        <v>1982008.75</v>
      </c>
      <c r="I161" s="31">
        <f t="shared" si="34"/>
        <v>1969026.1114461264</v>
      </c>
      <c r="J161" s="31">
        <f t="shared" si="33"/>
        <v>216376.49576331058</v>
      </c>
      <c r="K161" s="31">
        <v>18.963981628417969</v>
      </c>
      <c r="L161" s="31">
        <v>211017.21875</v>
      </c>
      <c r="M161" s="31">
        <f t="shared" si="32"/>
        <v>198034.58019612631</v>
      </c>
      <c r="N161" s="32">
        <f t="shared" si="35"/>
        <v>217620.41779794102</v>
      </c>
      <c r="O161" s="31">
        <v>37.019184112548828</v>
      </c>
      <c r="P161" s="31">
        <v>3.1335418224334717</v>
      </c>
      <c r="Q161" s="31">
        <f t="shared" si="36"/>
        <v>0.34434525521246939</v>
      </c>
      <c r="R161" s="31">
        <v>39.854606628417969</v>
      </c>
      <c r="S161" s="31">
        <v>0.56979191303253174</v>
      </c>
      <c r="T161" s="32">
        <f t="shared" si="37"/>
        <v>0.62614495937640846</v>
      </c>
      <c r="U161" s="31">
        <v>26.785161972045898</v>
      </c>
      <c r="V161" s="31">
        <v>288.42269897460938</v>
      </c>
      <c r="W161" s="31">
        <f t="shared" si="38"/>
        <v>31.694802085121911</v>
      </c>
      <c r="X161" s="31">
        <v>29.690948486328125</v>
      </c>
      <c r="Y161" s="31">
        <v>44.481128692626953</v>
      </c>
      <c r="Z161" s="32">
        <f t="shared" si="39"/>
        <v>48.880361200688959</v>
      </c>
      <c r="AA161" s="31">
        <v>30.97490119934082</v>
      </c>
      <c r="AB161" s="31">
        <v>3.3200819492340088</v>
      </c>
      <c r="AC161" s="31">
        <f t="shared" si="40"/>
        <v>0.36484417024549548</v>
      </c>
      <c r="AD161" t="s">
        <v>66</v>
      </c>
      <c r="AF161" s="32">
        <f t="shared" si="41"/>
        <v>0</v>
      </c>
      <c r="AG161" s="31">
        <v>36.969406127929688</v>
      </c>
      <c r="AH161" s="31">
        <v>0.77383601665496826</v>
      </c>
      <c r="AI161" s="31">
        <f t="shared" si="42"/>
        <v>8.5036924907139363E-2</v>
      </c>
      <c r="AJ161" t="s">
        <v>66</v>
      </c>
      <c r="AL161" s="32">
        <f t="shared" si="43"/>
        <v>0</v>
      </c>
    </row>
    <row r="162" spans="1:38" ht="15.15" thickBot="1" x14ac:dyDescent="0.35">
      <c r="A162" s="33" t="s">
        <v>79</v>
      </c>
      <c r="B162" s="30">
        <v>44398</v>
      </c>
      <c r="C162" s="33">
        <v>990</v>
      </c>
      <c r="D162" s="1461" t="s">
        <v>65</v>
      </c>
      <c r="E162" s="30">
        <v>44488</v>
      </c>
      <c r="F162" s="24">
        <v>100</v>
      </c>
      <c r="G162" s="31">
        <v>15.437471389770508</v>
      </c>
      <c r="H162" s="31">
        <v>2230002.25</v>
      </c>
      <c r="I162" s="31">
        <f t="shared" si="34"/>
        <v>2217019.6114461264</v>
      </c>
      <c r="J162" s="31">
        <f t="shared" si="33"/>
        <v>223941.37489354811</v>
      </c>
      <c r="K162" s="31">
        <v>18.172719955444336</v>
      </c>
      <c r="L162" s="31">
        <v>358158.5625</v>
      </c>
      <c r="M162" s="31">
        <f t="shared" si="32"/>
        <v>345175.92394612631</v>
      </c>
      <c r="N162" s="32">
        <f t="shared" si="35"/>
        <v>348662.54944053158</v>
      </c>
      <c r="O162" s="31">
        <v>36.937946319580078</v>
      </c>
      <c r="P162" s="31">
        <v>3.2903826236724854</v>
      </c>
      <c r="Q162" s="31">
        <f t="shared" si="36"/>
        <v>0.33236188117903892</v>
      </c>
      <c r="R162" t="s">
        <v>66</v>
      </c>
      <c r="T162" s="32">
        <f t="shared" si="37"/>
        <v>0</v>
      </c>
      <c r="U162" s="31">
        <v>27.00065803527832</v>
      </c>
      <c r="V162" s="31">
        <v>251.08544921875</v>
      </c>
      <c r="W162" s="31">
        <f t="shared" si="38"/>
        <v>25.362166587752526</v>
      </c>
      <c r="X162" s="31">
        <v>30.318517684936523</v>
      </c>
      <c r="Y162" s="31">
        <v>29.705574035644531</v>
      </c>
      <c r="Z162" s="32">
        <f t="shared" si="39"/>
        <v>30.00563033903488</v>
      </c>
      <c r="AA162" s="31">
        <v>28.263824462890625</v>
      </c>
      <c r="AB162" s="31">
        <v>18.904964447021484</v>
      </c>
      <c r="AC162" s="31">
        <f t="shared" si="40"/>
        <v>1.9095923683860085</v>
      </c>
      <c r="AD162" s="31">
        <v>31.734594345092773</v>
      </c>
      <c r="AE162" s="31">
        <v>2.0392212867736816</v>
      </c>
      <c r="AF162" s="32">
        <f t="shared" si="41"/>
        <v>2.0598194815895776</v>
      </c>
      <c r="AG162" t="s">
        <v>66</v>
      </c>
      <c r="AI162" s="31">
        <f t="shared" si="42"/>
        <v>0</v>
      </c>
      <c r="AJ162" t="s">
        <v>66</v>
      </c>
      <c r="AL162" s="32">
        <f t="shared" si="43"/>
        <v>0</v>
      </c>
    </row>
    <row r="163" spans="1:38" ht="15.15" thickBot="1" x14ac:dyDescent="0.35">
      <c r="A163" s="33" t="s">
        <v>80</v>
      </c>
      <c r="B163" s="30">
        <v>44398</v>
      </c>
      <c r="C163" s="33">
        <v>875</v>
      </c>
      <c r="D163" s="1461" t="s">
        <v>65</v>
      </c>
      <c r="E163" s="30">
        <v>44488</v>
      </c>
      <c r="F163" s="24">
        <v>100</v>
      </c>
      <c r="G163" s="31">
        <v>21.147346496582031</v>
      </c>
      <c r="H163" s="31">
        <v>49015.96484375</v>
      </c>
      <c r="I163" s="31">
        <f t="shared" si="34"/>
        <v>36033.326289876306</v>
      </c>
      <c r="J163" s="31">
        <f t="shared" si="33"/>
        <v>4118.094433128721</v>
      </c>
      <c r="K163" s="31">
        <v>24.170646667480469</v>
      </c>
      <c r="L163" s="31">
        <v>6493.3154296875</v>
      </c>
      <c r="M163" s="31">
        <f t="shared" si="32"/>
        <v>-6489.3231241861977</v>
      </c>
      <c r="N163" s="32">
        <f t="shared" si="35"/>
        <v>-7416.3692847842258</v>
      </c>
      <c r="O163" t="s">
        <v>66</v>
      </c>
      <c r="Q163" s="31">
        <f t="shared" si="36"/>
        <v>0</v>
      </c>
      <c r="R163" t="s">
        <v>66</v>
      </c>
      <c r="T163" s="32">
        <f t="shared" si="37"/>
        <v>0</v>
      </c>
      <c r="U163" t="s">
        <v>66</v>
      </c>
      <c r="W163" s="31">
        <f t="shared" si="38"/>
        <v>0</v>
      </c>
      <c r="X163" t="s">
        <v>66</v>
      </c>
      <c r="Z163" s="32">
        <f t="shared" si="39"/>
        <v>0</v>
      </c>
      <c r="AA163" s="31">
        <v>24.41816520690918</v>
      </c>
      <c r="AB163" s="31">
        <v>222.91964721679688</v>
      </c>
      <c r="AC163" s="31">
        <f t="shared" si="40"/>
        <v>25.47653111049107</v>
      </c>
      <c r="AD163" s="31">
        <v>27.684137344360352</v>
      </c>
      <c r="AE163" s="31">
        <v>27.422220230102539</v>
      </c>
      <c r="AF163" s="32">
        <f t="shared" si="41"/>
        <v>31.33968026297433</v>
      </c>
      <c r="AG163" t="s">
        <v>66</v>
      </c>
      <c r="AI163" s="31">
        <f t="shared" si="42"/>
        <v>0</v>
      </c>
      <c r="AJ163" s="31">
        <v>39.059902191162109</v>
      </c>
      <c r="AK163" s="31">
        <v>0.20628280937671661</v>
      </c>
      <c r="AL163" s="32">
        <f t="shared" si="43"/>
        <v>0.23575178214481898</v>
      </c>
    </row>
    <row r="164" spans="1:38" s="44" customFormat="1" ht="15.15" thickBot="1" x14ac:dyDescent="0.35">
      <c r="A164" s="38" t="s">
        <v>81</v>
      </c>
      <c r="B164" s="39">
        <v>44398</v>
      </c>
      <c r="C164" s="38">
        <v>1000</v>
      </c>
      <c r="D164" s="40" t="s">
        <v>65</v>
      </c>
      <c r="E164" s="39">
        <v>44488</v>
      </c>
      <c r="F164" s="41">
        <v>100</v>
      </c>
      <c r="G164" s="31">
        <v>25.696525573730469</v>
      </c>
      <c r="H164" s="31">
        <v>2340.98876953125</v>
      </c>
      <c r="I164" s="31">
        <f t="shared" si="34"/>
        <v>-10641.649784342448</v>
      </c>
      <c r="J164" s="31">
        <f t="shared" si="33"/>
        <v>-1064.1649784342449</v>
      </c>
      <c r="K164" s="31">
        <v>28.4205322265625</v>
      </c>
      <c r="L164" s="31">
        <v>378.8206787109375</v>
      </c>
      <c r="M164" s="31">
        <f t="shared" si="32"/>
        <v>-12603.81787516276</v>
      </c>
      <c r="N164" s="32">
        <f t="shared" si="35"/>
        <v>-12603.81787516276</v>
      </c>
      <c r="O164" s="45">
        <v>39.685085296630859</v>
      </c>
      <c r="P164" s="42">
        <v>0.63092499971389771</v>
      </c>
      <c r="Q164" s="42">
        <f t="shared" si="36"/>
        <v>6.3092499971389771E-2</v>
      </c>
      <c r="R164" s="44" t="s">
        <v>66</v>
      </c>
      <c r="T164" s="43">
        <f t="shared" si="37"/>
        <v>0</v>
      </c>
      <c r="U164" t="s">
        <v>66</v>
      </c>
      <c r="W164" s="31">
        <f t="shared" si="38"/>
        <v>0</v>
      </c>
      <c r="X164" t="s">
        <v>66</v>
      </c>
      <c r="Y164"/>
      <c r="Z164" s="32">
        <f t="shared" si="39"/>
        <v>0</v>
      </c>
      <c r="AA164" t="s">
        <v>66</v>
      </c>
      <c r="AB164"/>
      <c r="AC164" s="31">
        <f t="shared" si="40"/>
        <v>0</v>
      </c>
      <c r="AD164" t="s">
        <v>66</v>
      </c>
      <c r="AE164"/>
      <c r="AF164" s="32">
        <f t="shared" si="41"/>
        <v>0</v>
      </c>
      <c r="AG164" s="31">
        <v>39.654727935791016</v>
      </c>
      <c r="AH164" s="31">
        <v>0.14160718023777008</v>
      </c>
      <c r="AI164" s="31">
        <f t="shared" si="42"/>
        <v>1.4160718023777007E-2</v>
      </c>
      <c r="AJ164" t="s">
        <v>66</v>
      </c>
      <c r="AK164"/>
      <c r="AL164" s="32">
        <f t="shared" si="43"/>
        <v>0</v>
      </c>
    </row>
    <row r="165" spans="1:38" s="1478" customFormat="1" ht="29.65" thickBot="1" x14ac:dyDescent="0.35">
      <c r="A165" s="1474" t="s">
        <v>351</v>
      </c>
      <c r="B165" s="1475"/>
      <c r="C165" s="1474"/>
      <c r="D165" s="1476"/>
      <c r="E165" s="1475"/>
      <c r="F165" s="1477"/>
      <c r="I165" s="1469"/>
      <c r="J165" s="1469"/>
      <c r="M165" s="1469"/>
      <c r="N165" s="1470"/>
      <c r="Q165" s="1471"/>
      <c r="T165" s="1479"/>
      <c r="W165" s="1469"/>
      <c r="X165" s="1473"/>
      <c r="Y165" s="1473"/>
      <c r="Z165" s="1470"/>
      <c r="AA165" s="1473"/>
      <c r="AB165" s="1473"/>
      <c r="AC165" s="1469"/>
      <c r="AD165" s="1473"/>
      <c r="AE165" s="1473"/>
      <c r="AF165" s="1470"/>
      <c r="AG165" s="1473"/>
      <c r="AH165" s="1473"/>
      <c r="AI165" s="1469"/>
      <c r="AJ165" s="1473"/>
      <c r="AK165" s="1473"/>
      <c r="AL165" s="1470"/>
    </row>
    <row r="166" spans="1:38" ht="15.15" thickBot="1" x14ac:dyDescent="0.35">
      <c r="A166" s="29" t="s">
        <v>64</v>
      </c>
      <c r="B166" s="30">
        <v>44405</v>
      </c>
      <c r="C166" s="29">
        <v>920</v>
      </c>
      <c r="D166" s="1461" t="s">
        <v>65</v>
      </c>
      <c r="E166" s="30">
        <v>44489</v>
      </c>
      <c r="F166" s="24">
        <v>100</v>
      </c>
      <c r="G166" s="31">
        <v>17.974996566772461</v>
      </c>
      <c r="H166" s="31">
        <v>408778.4375</v>
      </c>
      <c r="I166" s="31">
        <f t="shared" ref="I166:I173" si="44">H166-$H$265</f>
        <v>395795.79894612631</v>
      </c>
      <c r="J166" s="31">
        <f t="shared" si="33"/>
        <v>43021.282494144165</v>
      </c>
      <c r="K166" s="31">
        <v>20.982244491577148</v>
      </c>
      <c r="L166" s="31">
        <v>54736.62109375</v>
      </c>
      <c r="M166" s="31">
        <f t="shared" ref="M166:M173" si="45">L166-$H$265</f>
        <v>41753.982539876306</v>
      </c>
      <c r="N166" s="32">
        <f t="shared" si="35"/>
        <v>45384.763630300331</v>
      </c>
      <c r="O166" s="31">
        <v>28.264232635498047</v>
      </c>
      <c r="P166" s="31">
        <v>605.234375</v>
      </c>
      <c r="Q166" s="31">
        <f t="shared" si="36"/>
        <v>65.786345108695656</v>
      </c>
      <c r="R166" s="31">
        <v>31.538711547851563</v>
      </c>
      <c r="S166" s="31">
        <v>84.521705627441406</v>
      </c>
      <c r="T166" s="32">
        <f t="shared" si="37"/>
        <v>91.871419160262391</v>
      </c>
      <c r="U166" s="31">
        <v>31.637613296508789</v>
      </c>
      <c r="V166" s="31">
        <v>12.714320182800293</v>
      </c>
      <c r="W166" s="31">
        <f t="shared" si="38"/>
        <v>1.3819913242174231</v>
      </c>
      <c r="X166" s="31">
        <v>36.388774871826172</v>
      </c>
      <c r="Y166" s="31">
        <v>0.598213791847229</v>
      </c>
      <c r="Z166" s="32">
        <f t="shared" si="39"/>
        <v>0.65023238244264026</v>
      </c>
      <c r="AA166" s="31">
        <v>27.355587005615234</v>
      </c>
      <c r="AB166" s="31">
        <v>33.857227325439453</v>
      </c>
      <c r="AC166" s="31">
        <f t="shared" si="40"/>
        <v>3.6801334049390708</v>
      </c>
      <c r="AD166" s="31">
        <v>31.213302612304688</v>
      </c>
      <c r="AE166" s="31">
        <v>2.8491775989532471</v>
      </c>
      <c r="AF166" s="32">
        <f t="shared" si="41"/>
        <v>3.0969321727752686</v>
      </c>
      <c r="AG166" s="31">
        <v>36.201206207275391</v>
      </c>
      <c r="AH166" s="31">
        <v>1.2579010725021362</v>
      </c>
      <c r="AI166" s="31">
        <f t="shared" si="42"/>
        <v>0.13672837744588437</v>
      </c>
      <c r="AJ166" s="31">
        <v>35.269817352294922</v>
      </c>
      <c r="AK166" s="31">
        <v>2.2670772075653076</v>
      </c>
      <c r="AL166" s="32">
        <f t="shared" si="43"/>
        <v>2.4642143560492475</v>
      </c>
    </row>
    <row r="167" spans="1:38" ht="15.15" thickBot="1" x14ac:dyDescent="0.35">
      <c r="A167" s="33" t="s">
        <v>67</v>
      </c>
      <c r="B167" s="30">
        <v>44405</v>
      </c>
      <c r="C167" s="33">
        <v>910</v>
      </c>
      <c r="D167" s="1461" t="s">
        <v>65</v>
      </c>
      <c r="E167" s="30">
        <v>44489</v>
      </c>
      <c r="F167" s="24">
        <v>100</v>
      </c>
      <c r="G167" s="31">
        <v>19.729202270507813</v>
      </c>
      <c r="H167" s="31">
        <v>126509.1484375</v>
      </c>
      <c r="I167" s="31">
        <f t="shared" si="44"/>
        <v>113526.50988362631</v>
      </c>
      <c r="J167" s="31">
        <f t="shared" si="33"/>
        <v>12475.440646552341</v>
      </c>
      <c r="K167" s="31">
        <v>22.737783432006836</v>
      </c>
      <c r="L167" s="31">
        <v>16924.849609375</v>
      </c>
      <c r="M167" s="31">
        <f t="shared" si="45"/>
        <v>3942.2110555013023</v>
      </c>
      <c r="N167" s="32">
        <f t="shared" si="35"/>
        <v>4332.1000609904422</v>
      </c>
      <c r="O167" s="31">
        <v>29.684398651123047</v>
      </c>
      <c r="P167" s="31">
        <v>257.70513916015625</v>
      </c>
      <c r="Q167" s="31">
        <f t="shared" si="36"/>
        <v>28.319246061555631</v>
      </c>
      <c r="R167" s="31">
        <v>32.563339233398438</v>
      </c>
      <c r="S167" s="31">
        <v>45.650070190429688</v>
      </c>
      <c r="T167" s="32">
        <f t="shared" si="37"/>
        <v>50.164912297175484</v>
      </c>
      <c r="U167" s="31">
        <v>33.478824615478516</v>
      </c>
      <c r="V167" s="31">
        <v>3.8893170356750488</v>
      </c>
      <c r="W167" s="31">
        <f t="shared" si="38"/>
        <v>0.42739747644780757</v>
      </c>
      <c r="X167" s="31">
        <v>36.096004486083984</v>
      </c>
      <c r="Y167" s="31">
        <v>0.72219443321228027</v>
      </c>
      <c r="Z167" s="32">
        <f t="shared" si="39"/>
        <v>0.7936202562772311</v>
      </c>
      <c r="AA167" s="31">
        <v>30.731819152832031</v>
      </c>
      <c r="AB167" s="31">
        <v>3.8804519176483154</v>
      </c>
      <c r="AC167" s="31">
        <f t="shared" si="40"/>
        <v>0.42642328765366105</v>
      </c>
      <c r="AD167" s="31">
        <v>33.030261993408203</v>
      </c>
      <c r="AE167" s="31">
        <v>0.8880419135093689</v>
      </c>
      <c r="AF167" s="32">
        <f t="shared" si="41"/>
        <v>0.97587023462568012</v>
      </c>
      <c r="AG167" s="31">
        <v>37.531112670898438</v>
      </c>
      <c r="AH167" s="31">
        <v>0.54246020317077637</v>
      </c>
      <c r="AI167" s="31">
        <f t="shared" si="42"/>
        <v>5.961101133744795E-2</v>
      </c>
      <c r="AJ167" t="s">
        <v>66</v>
      </c>
      <c r="AL167" s="32">
        <f t="shared" si="43"/>
        <v>0</v>
      </c>
    </row>
    <row r="168" spans="1:38" ht="15.15" thickBot="1" x14ac:dyDescent="0.35">
      <c r="A168" s="33" t="s">
        <v>68</v>
      </c>
      <c r="B168" s="30">
        <v>44405</v>
      </c>
      <c r="C168" s="33">
        <v>980</v>
      </c>
      <c r="D168" s="1461" t="s">
        <v>65</v>
      </c>
      <c r="E168" s="30">
        <v>44489</v>
      </c>
      <c r="F168" s="24">
        <v>100</v>
      </c>
      <c r="G168" s="31">
        <v>11.518232345581055</v>
      </c>
      <c r="H168" s="31">
        <v>30642822</v>
      </c>
      <c r="I168" s="31">
        <f t="shared" si="44"/>
        <v>30629839.361446127</v>
      </c>
      <c r="J168" s="31">
        <f t="shared" si="33"/>
        <v>3125493.812392462</v>
      </c>
      <c r="K168" s="31">
        <v>14.016977310180664</v>
      </c>
      <c r="L168" s="31">
        <v>5764637.5</v>
      </c>
      <c r="M168" s="31">
        <f t="shared" si="45"/>
        <v>5751654.8614461264</v>
      </c>
      <c r="N168" s="32">
        <f t="shared" si="35"/>
        <v>5869035.5729042105</v>
      </c>
      <c r="O168" s="31">
        <v>29.599777221679688</v>
      </c>
      <c r="P168" s="31">
        <v>271.15487670898438</v>
      </c>
      <c r="Q168" s="31">
        <f t="shared" si="36"/>
        <v>27.668864970304529</v>
      </c>
      <c r="R168" s="31">
        <v>33.113933563232422</v>
      </c>
      <c r="S168" s="31">
        <v>32.785598754882813</v>
      </c>
      <c r="T168" s="32">
        <f t="shared" si="37"/>
        <v>33.454692607023276</v>
      </c>
      <c r="U168" s="31">
        <v>33.169239044189453</v>
      </c>
      <c r="V168" s="31">
        <v>4.7464518547058105</v>
      </c>
      <c r="W168" s="31">
        <f t="shared" si="38"/>
        <v>0.48433182190875618</v>
      </c>
      <c r="X168" s="31">
        <v>38.341762542724609</v>
      </c>
      <c r="Y168" s="31">
        <v>0.17029708623886108</v>
      </c>
      <c r="Z168" s="32">
        <f t="shared" si="39"/>
        <v>0.17377253697842968</v>
      </c>
      <c r="AA168" s="31">
        <v>30.370616912841797</v>
      </c>
      <c r="AB168" s="31">
        <v>4.8924837112426758</v>
      </c>
      <c r="AC168" s="31">
        <f t="shared" si="40"/>
        <v>0.49923303175945671</v>
      </c>
      <c r="AD168" t="s">
        <v>66</v>
      </c>
      <c r="AF168" s="32">
        <f t="shared" si="41"/>
        <v>0</v>
      </c>
      <c r="AG168" s="31">
        <v>35.217975616455078</v>
      </c>
      <c r="AH168" s="31">
        <v>2.3426394462585449</v>
      </c>
      <c r="AI168" s="31">
        <f t="shared" si="42"/>
        <v>0.23904484145495355</v>
      </c>
      <c r="AJ168" t="s">
        <v>66</v>
      </c>
      <c r="AL168" s="32">
        <f t="shared" si="43"/>
        <v>0</v>
      </c>
    </row>
    <row r="169" spans="1:38" ht="15.15" thickBot="1" x14ac:dyDescent="0.35">
      <c r="A169" s="33" t="s">
        <v>69</v>
      </c>
      <c r="B169" s="30">
        <v>44405</v>
      </c>
      <c r="C169" s="33">
        <v>950</v>
      </c>
      <c r="D169" s="1461" t="s">
        <v>65</v>
      </c>
      <c r="E169" s="30">
        <v>44489</v>
      </c>
      <c r="F169" s="24">
        <v>100</v>
      </c>
      <c r="G169" s="31">
        <v>15.417634010314941</v>
      </c>
      <c r="H169" s="31">
        <v>2259776.25</v>
      </c>
      <c r="I169" s="31">
        <f t="shared" si="44"/>
        <v>2246793.6114461264</v>
      </c>
      <c r="J169" s="31">
        <f t="shared" si="33"/>
        <v>236504.59067853962</v>
      </c>
      <c r="K169" s="31">
        <v>17.775650024414063</v>
      </c>
      <c r="L169" s="31">
        <v>467059.1875</v>
      </c>
      <c r="M169" s="31">
        <f t="shared" si="45"/>
        <v>454076.54894612631</v>
      </c>
      <c r="N169" s="32">
        <f t="shared" si="35"/>
        <v>477975.31468013296</v>
      </c>
      <c r="O169" s="31">
        <v>30.311229705810547</v>
      </c>
      <c r="P169" s="31">
        <v>176.790771484375</v>
      </c>
      <c r="Q169" s="31">
        <f t="shared" si="36"/>
        <v>18.609554893092106</v>
      </c>
      <c r="R169" s="31">
        <v>33.761325836181641</v>
      </c>
      <c r="S169" s="31">
        <v>22.215250015258789</v>
      </c>
      <c r="T169" s="32">
        <f t="shared" si="37"/>
        <v>23.384473700272409</v>
      </c>
      <c r="U169" s="31">
        <v>32.919212341308594</v>
      </c>
      <c r="V169" s="31">
        <v>5.5747394561767578</v>
      </c>
      <c r="W169" s="31">
        <f t="shared" si="38"/>
        <v>0.5868146795975534</v>
      </c>
      <c r="X169" s="31">
        <v>35.809711456298828</v>
      </c>
      <c r="Y169" s="31">
        <v>0.86824464797973633</v>
      </c>
      <c r="Z169" s="32">
        <f t="shared" si="39"/>
        <v>0.91394173471551188</v>
      </c>
      <c r="AA169" s="31">
        <v>29.945928573608398</v>
      </c>
      <c r="AB169" s="31">
        <v>6.4249024391174316</v>
      </c>
      <c r="AC169" s="31">
        <f t="shared" si="40"/>
        <v>0.67630551990709808</v>
      </c>
      <c r="AD169" s="31">
        <v>33.216773986816406</v>
      </c>
      <c r="AE169" s="31">
        <v>0.78788512945175171</v>
      </c>
      <c r="AF169" s="32">
        <f t="shared" si="41"/>
        <v>0.82935276784394918</v>
      </c>
      <c r="AG169" t="s">
        <v>66</v>
      </c>
      <c r="AI169" s="31">
        <f t="shared" si="42"/>
        <v>0</v>
      </c>
      <c r="AJ169" t="s">
        <v>66</v>
      </c>
      <c r="AL169" s="32">
        <f t="shared" si="43"/>
        <v>0</v>
      </c>
    </row>
    <row r="170" spans="1:38" ht="15.15" thickBot="1" x14ac:dyDescent="0.35">
      <c r="A170" s="33" t="s">
        <v>70</v>
      </c>
      <c r="B170" s="30">
        <v>44405</v>
      </c>
      <c r="C170" s="33">
        <v>940</v>
      </c>
      <c r="D170" s="1461" t="s">
        <v>65</v>
      </c>
      <c r="E170" s="30">
        <v>44489</v>
      </c>
      <c r="F170" s="24">
        <v>100</v>
      </c>
      <c r="G170" s="31">
        <v>21.371309280395508</v>
      </c>
      <c r="H170" s="31">
        <v>42199.35546875</v>
      </c>
      <c r="I170" s="31">
        <f t="shared" si="44"/>
        <v>29216.716914876302</v>
      </c>
      <c r="J170" s="31">
        <f t="shared" ref="J170:J233" si="46">(I170*$F170)/$C170</f>
        <v>3108.1613739230111</v>
      </c>
      <c r="K170" s="31">
        <v>24.564243316650391</v>
      </c>
      <c r="L170" s="31">
        <v>4990.89501953125</v>
      </c>
      <c r="M170" s="31">
        <f t="shared" si="45"/>
        <v>-7991.7435343424477</v>
      </c>
      <c r="N170" s="32">
        <f t="shared" si="35"/>
        <v>-8501.8548237685609</v>
      </c>
      <c r="O170" s="31">
        <v>36.334987640380859</v>
      </c>
      <c r="P170" s="31">
        <v>4.7279934883117676</v>
      </c>
      <c r="Q170" s="31">
        <f t="shared" si="36"/>
        <v>0.50297803067146463</v>
      </c>
      <c r="R170" s="31">
        <v>39.219959259033203</v>
      </c>
      <c r="S170" s="31">
        <v>0.83448886871337891</v>
      </c>
      <c r="T170" s="32">
        <f t="shared" si="37"/>
        <v>0.88775411565253071</v>
      </c>
      <c r="U170" s="31">
        <v>34.146427154541016</v>
      </c>
      <c r="V170" s="31">
        <v>2.5313401222229004</v>
      </c>
      <c r="W170" s="31">
        <f t="shared" si="38"/>
        <v>0.26929150236413835</v>
      </c>
      <c r="X170" t="s">
        <v>66</v>
      </c>
      <c r="Z170" s="32">
        <f t="shared" si="39"/>
        <v>0</v>
      </c>
      <c r="AA170" s="31">
        <v>31.422845840454102</v>
      </c>
      <c r="AB170" s="31">
        <v>2.4907572269439697</v>
      </c>
      <c r="AC170" s="31">
        <f t="shared" si="40"/>
        <v>0.26497417307914573</v>
      </c>
      <c r="AD170" t="s">
        <v>66</v>
      </c>
      <c r="AF170" s="32">
        <f t="shared" si="41"/>
        <v>0</v>
      </c>
      <c r="AG170" t="s">
        <v>66</v>
      </c>
      <c r="AI170" s="31">
        <f t="shared" si="42"/>
        <v>0</v>
      </c>
      <c r="AJ170" t="s">
        <v>66</v>
      </c>
      <c r="AL170" s="32">
        <f t="shared" si="43"/>
        <v>0</v>
      </c>
    </row>
    <row r="171" spans="1:38" ht="15.15" thickBot="1" x14ac:dyDescent="0.35">
      <c r="A171" s="33" t="s">
        <v>71</v>
      </c>
      <c r="B171" s="30">
        <v>44405</v>
      </c>
      <c r="C171" s="33">
        <v>1000</v>
      </c>
      <c r="D171" s="1461" t="s">
        <v>65</v>
      </c>
      <c r="E171" s="30">
        <v>44489</v>
      </c>
      <c r="F171" s="24">
        <v>100</v>
      </c>
      <c r="G171" s="31">
        <v>19.733930587768555</v>
      </c>
      <c r="H171" s="31">
        <v>126109.84375</v>
      </c>
      <c r="I171" s="31">
        <f t="shared" si="44"/>
        <v>113127.20519612631</v>
      </c>
      <c r="J171" s="31">
        <f t="shared" si="46"/>
        <v>11312.720519612631</v>
      </c>
      <c r="K171" s="31">
        <v>23.404430389404297</v>
      </c>
      <c r="L171" s="31">
        <v>10838.0595703125</v>
      </c>
      <c r="M171" s="31">
        <f t="shared" si="45"/>
        <v>-2144.5789835611977</v>
      </c>
      <c r="N171" s="32">
        <f t="shared" si="35"/>
        <v>-2144.5789835611977</v>
      </c>
      <c r="O171" s="31">
        <v>36.772205352783203</v>
      </c>
      <c r="P171" s="31">
        <v>3.6351370811462402</v>
      </c>
      <c r="Q171" s="31">
        <f t="shared" si="36"/>
        <v>0.36351370811462402</v>
      </c>
      <c r="R171" s="31">
        <v>39.856990814208984</v>
      </c>
      <c r="S171" s="31">
        <v>0.56897580623626709</v>
      </c>
      <c r="T171" s="32">
        <f t="shared" si="37"/>
        <v>0.56897580623626709</v>
      </c>
      <c r="U171" s="31">
        <v>34.856571197509766</v>
      </c>
      <c r="V171" s="31">
        <v>1.6030310392379761</v>
      </c>
      <c r="W171" s="31">
        <f t="shared" si="38"/>
        <v>0.1603031039237976</v>
      </c>
      <c r="X171" t="s">
        <v>66</v>
      </c>
      <c r="Z171" s="32">
        <f t="shared" si="39"/>
        <v>0</v>
      </c>
      <c r="AA171" s="31">
        <v>31.055057525634766</v>
      </c>
      <c r="AB171" s="31">
        <v>3.153651237487793</v>
      </c>
      <c r="AC171" s="31">
        <f t="shared" si="40"/>
        <v>0.31536512374877929</v>
      </c>
      <c r="AD171" s="31">
        <v>33.534427642822266</v>
      </c>
      <c r="AE171" s="31">
        <v>0.64261430501937866</v>
      </c>
      <c r="AF171" s="32">
        <f t="shared" si="41"/>
        <v>0.64261430501937866</v>
      </c>
      <c r="AG171" t="s">
        <v>66</v>
      </c>
      <c r="AI171" s="31">
        <f t="shared" si="42"/>
        <v>0</v>
      </c>
      <c r="AJ171" t="s">
        <v>66</v>
      </c>
      <c r="AL171" s="32">
        <f t="shared" si="43"/>
        <v>0</v>
      </c>
    </row>
    <row r="172" spans="1:38" ht="15.15" thickBot="1" x14ac:dyDescent="0.35">
      <c r="A172" s="33" t="s">
        <v>72</v>
      </c>
      <c r="B172" s="30">
        <v>44405</v>
      </c>
      <c r="C172" s="33">
        <v>940</v>
      </c>
      <c r="D172" s="1461" t="s">
        <v>65</v>
      </c>
      <c r="E172" s="30">
        <v>44489</v>
      </c>
      <c r="F172" s="24">
        <v>100</v>
      </c>
      <c r="G172" s="31">
        <v>17.111537933349609</v>
      </c>
      <c r="H172" s="31">
        <v>728130.375</v>
      </c>
      <c r="I172" s="31">
        <f t="shared" si="44"/>
        <v>715147.73644612625</v>
      </c>
      <c r="J172" s="31">
        <f t="shared" si="46"/>
        <v>76079.546430438961</v>
      </c>
      <c r="K172" s="31">
        <v>20.153596878051758</v>
      </c>
      <c r="L172" s="31">
        <v>95255.734375</v>
      </c>
      <c r="M172" s="31">
        <f t="shared" si="45"/>
        <v>82273.095821126306</v>
      </c>
      <c r="N172" s="32">
        <f t="shared" si="35"/>
        <v>87524.5700224748</v>
      </c>
      <c r="O172" s="31">
        <v>29.574050903320313</v>
      </c>
      <c r="P172" s="31">
        <v>275.38131713867188</v>
      </c>
      <c r="Q172" s="31">
        <f t="shared" si="36"/>
        <v>29.295884801986368</v>
      </c>
      <c r="R172" s="31">
        <v>32.373714447021484</v>
      </c>
      <c r="S172" s="31">
        <v>51.162509918212891</v>
      </c>
      <c r="T172" s="32">
        <f t="shared" si="37"/>
        <v>54.42820204065201</v>
      </c>
      <c r="U172" s="31">
        <v>29.185979843139648</v>
      </c>
      <c r="V172" s="31">
        <v>61.554527282714844</v>
      </c>
      <c r="W172" s="31">
        <f t="shared" si="38"/>
        <v>6.5483539662462595</v>
      </c>
      <c r="X172" s="31">
        <v>32.107551574707031</v>
      </c>
      <c r="Y172" s="31">
        <v>9.3971490859985352</v>
      </c>
      <c r="Z172" s="32">
        <f t="shared" si="39"/>
        <v>9.9969671127643984</v>
      </c>
      <c r="AA172" s="31">
        <v>30.645502090454102</v>
      </c>
      <c r="AB172" s="31">
        <v>4.1014184951782227</v>
      </c>
      <c r="AC172" s="31">
        <f t="shared" si="40"/>
        <v>0.43632111650832156</v>
      </c>
      <c r="AD172" t="s">
        <v>66</v>
      </c>
      <c r="AF172" s="32">
        <f t="shared" si="41"/>
        <v>0</v>
      </c>
      <c r="AG172" s="31">
        <v>37.150825500488281</v>
      </c>
      <c r="AH172" s="31">
        <v>0.68995285034179688</v>
      </c>
      <c r="AI172" s="31">
        <f t="shared" si="42"/>
        <v>7.3399239398063504E-2</v>
      </c>
      <c r="AJ172" t="s">
        <v>66</v>
      </c>
      <c r="AL172" s="32">
        <f t="shared" si="43"/>
        <v>0</v>
      </c>
    </row>
    <row r="173" spans="1:38" ht="15.15" thickBot="1" x14ac:dyDescent="0.35">
      <c r="A173" s="33" t="s">
        <v>73</v>
      </c>
      <c r="B173" s="30">
        <v>44405</v>
      </c>
      <c r="C173" s="33">
        <v>970</v>
      </c>
      <c r="D173" s="1461" t="s">
        <v>65</v>
      </c>
      <c r="E173" s="30">
        <v>44489</v>
      </c>
      <c r="F173" s="24">
        <v>100</v>
      </c>
      <c r="G173" s="31">
        <v>16.426897048950195</v>
      </c>
      <c r="H173" s="31">
        <v>1150819.625</v>
      </c>
      <c r="I173" s="31">
        <f t="shared" si="44"/>
        <v>1137836.9864461264</v>
      </c>
      <c r="J173" s="31">
        <f t="shared" si="46"/>
        <v>117302.78210784808</v>
      </c>
      <c r="K173" s="31">
        <v>19.022478103637695</v>
      </c>
      <c r="L173" s="31">
        <v>202923.5</v>
      </c>
      <c r="M173" s="31">
        <f t="shared" si="45"/>
        <v>189940.86144612631</v>
      </c>
      <c r="N173" s="32">
        <f t="shared" si="35"/>
        <v>195815.32107848075</v>
      </c>
      <c r="O173" s="31">
        <v>30.779417037963867</v>
      </c>
      <c r="P173" s="31">
        <v>133.4189453125</v>
      </c>
      <c r="Q173" s="31">
        <f t="shared" si="36"/>
        <v>13.75453044458763</v>
      </c>
      <c r="R173" s="31">
        <v>34.7354736328125</v>
      </c>
      <c r="S173" s="31">
        <v>12.368144035339355</v>
      </c>
      <c r="T173" s="32">
        <f t="shared" si="37"/>
        <v>12.750663953958098</v>
      </c>
      <c r="U173" s="31">
        <v>30.886144638061523</v>
      </c>
      <c r="V173" s="31">
        <v>20.618045806884766</v>
      </c>
      <c r="W173" s="31">
        <f t="shared" si="38"/>
        <v>2.1255717326685324</v>
      </c>
      <c r="X173" s="31">
        <v>34.576854705810547</v>
      </c>
      <c r="Y173" s="31">
        <v>1.9190773963928223</v>
      </c>
      <c r="Z173" s="32">
        <f t="shared" si="39"/>
        <v>1.9784303055596106</v>
      </c>
      <c r="AA173" s="31">
        <v>30.712400436401367</v>
      </c>
      <c r="AB173" s="31">
        <v>3.9291014671325684</v>
      </c>
      <c r="AC173" s="31">
        <f t="shared" si="40"/>
        <v>0.40506200692088334</v>
      </c>
      <c r="AD173" t="s">
        <v>66</v>
      </c>
      <c r="AF173" s="32">
        <f t="shared" si="41"/>
        <v>0</v>
      </c>
      <c r="AG173" s="31">
        <v>34.651805877685547</v>
      </c>
      <c r="AH173" s="31">
        <v>3.3512930870056152</v>
      </c>
      <c r="AI173" s="31">
        <f t="shared" si="42"/>
        <v>0.34549413268099127</v>
      </c>
      <c r="AJ173" s="31">
        <v>35.383739471435547</v>
      </c>
      <c r="AK173" s="31">
        <v>2.1094825267791748</v>
      </c>
      <c r="AL173" s="32">
        <f t="shared" si="43"/>
        <v>2.1747242544115206</v>
      </c>
    </row>
    <row r="174" spans="1:38" ht="15.15" thickBot="1" x14ac:dyDescent="0.35">
      <c r="A174" s="33" t="s">
        <v>74</v>
      </c>
      <c r="B174" s="30">
        <v>44405</v>
      </c>
      <c r="C174" s="33">
        <v>900</v>
      </c>
      <c r="D174" s="1461" t="s">
        <v>65</v>
      </c>
      <c r="E174" s="30">
        <v>44489</v>
      </c>
      <c r="F174" s="24">
        <v>100</v>
      </c>
      <c r="G174" t="s">
        <v>66</v>
      </c>
      <c r="I174" s="31"/>
      <c r="J174" s="31"/>
      <c r="K174" s="34" t="s">
        <v>66</v>
      </c>
      <c r="M174" s="31"/>
      <c r="N174" s="32"/>
      <c r="O174" t="s">
        <v>66</v>
      </c>
      <c r="Q174" s="31">
        <f t="shared" si="36"/>
        <v>0</v>
      </c>
      <c r="R174" t="s">
        <v>66</v>
      </c>
      <c r="T174" s="32">
        <f t="shared" si="37"/>
        <v>0</v>
      </c>
      <c r="U174" s="31">
        <v>36.980148315429688</v>
      </c>
      <c r="V174" s="31">
        <v>0.40891343355178833</v>
      </c>
      <c r="W174" s="31">
        <f t="shared" si="38"/>
        <v>4.5434825950198703E-2</v>
      </c>
      <c r="X174" t="s">
        <v>66</v>
      </c>
      <c r="Z174" s="32">
        <f t="shared" si="39"/>
        <v>0</v>
      </c>
      <c r="AA174" t="s">
        <v>66</v>
      </c>
      <c r="AC174" s="31">
        <f t="shared" si="40"/>
        <v>0</v>
      </c>
      <c r="AD174" t="s">
        <v>66</v>
      </c>
      <c r="AF174" s="32">
        <f t="shared" si="41"/>
        <v>0</v>
      </c>
      <c r="AG174" t="s">
        <v>66</v>
      </c>
      <c r="AI174" s="31">
        <f t="shared" si="42"/>
        <v>0</v>
      </c>
      <c r="AJ174" t="s">
        <v>66</v>
      </c>
      <c r="AL174" s="32">
        <f t="shared" si="43"/>
        <v>0</v>
      </c>
    </row>
    <row r="175" spans="1:38" ht="15.15" thickBot="1" x14ac:dyDescent="0.35">
      <c r="A175" s="33" t="s">
        <v>75</v>
      </c>
      <c r="B175" s="30">
        <v>44405</v>
      </c>
      <c r="C175" s="33">
        <v>900</v>
      </c>
      <c r="D175" s="1461" t="s">
        <v>65</v>
      </c>
      <c r="E175" s="30">
        <v>44489</v>
      </c>
      <c r="F175" s="24">
        <v>100</v>
      </c>
      <c r="G175" s="31">
        <v>19.936922073364258</v>
      </c>
      <c r="H175" s="31">
        <v>110104.8984375</v>
      </c>
      <c r="I175" s="31">
        <f t="shared" ref="I175:I238" si="47">H175-$H$265</f>
        <v>97122.259883626306</v>
      </c>
      <c r="J175" s="31">
        <f t="shared" si="46"/>
        <v>10791.362209291812</v>
      </c>
      <c r="K175" s="31">
        <v>22.372194290161133</v>
      </c>
      <c r="L175" s="31">
        <v>21611.2734375</v>
      </c>
      <c r="M175" s="31">
        <f t="shared" ref="M175:M238" si="48">L175-$H$265</f>
        <v>8628.6348836263023</v>
      </c>
      <c r="N175" s="32">
        <f t="shared" si="35"/>
        <v>9587.3720929181145</v>
      </c>
      <c r="O175" s="31">
        <v>31.612625122070313</v>
      </c>
      <c r="P175" s="31">
        <v>80.848075866699219</v>
      </c>
      <c r="Q175" s="31">
        <f t="shared" si="36"/>
        <v>8.983119540744358</v>
      </c>
      <c r="R175" s="31">
        <v>34.459434509277344</v>
      </c>
      <c r="S175" s="31">
        <v>14.600825309753418</v>
      </c>
      <c r="T175" s="32">
        <f t="shared" si="37"/>
        <v>16.223139233059353</v>
      </c>
      <c r="U175" s="31">
        <v>31.113363265991211</v>
      </c>
      <c r="V175" s="31">
        <v>17.814121246337891</v>
      </c>
      <c r="W175" s="31">
        <f t="shared" si="38"/>
        <v>1.9793468051486545</v>
      </c>
      <c r="X175" s="31">
        <v>33.675861358642578</v>
      </c>
      <c r="Y175" s="31">
        <v>3.4262800216674805</v>
      </c>
      <c r="Z175" s="32">
        <f t="shared" si="39"/>
        <v>3.806977801852756</v>
      </c>
      <c r="AA175" t="s">
        <v>66</v>
      </c>
      <c r="AC175" s="31">
        <f t="shared" si="40"/>
        <v>0</v>
      </c>
      <c r="AD175" t="s">
        <v>66</v>
      </c>
      <c r="AF175" s="32">
        <f t="shared" si="41"/>
        <v>0</v>
      </c>
      <c r="AG175" t="s">
        <v>66</v>
      </c>
      <c r="AI175" s="31">
        <f t="shared" si="42"/>
        <v>0</v>
      </c>
      <c r="AJ175" t="s">
        <v>66</v>
      </c>
      <c r="AL175" s="32">
        <f t="shared" si="43"/>
        <v>0</v>
      </c>
    </row>
    <row r="176" spans="1:38" ht="15.15" thickBot="1" x14ac:dyDescent="0.35">
      <c r="A176" s="33" t="s">
        <v>76</v>
      </c>
      <c r="B176" s="30">
        <v>44405</v>
      </c>
      <c r="C176" s="33">
        <v>950</v>
      </c>
      <c r="D176" s="1461" t="s">
        <v>65</v>
      </c>
      <c r="E176" s="30">
        <v>44489</v>
      </c>
      <c r="F176" s="24">
        <v>100</v>
      </c>
      <c r="G176" s="31">
        <v>11.591992378234863</v>
      </c>
      <c r="H176" s="31">
        <v>29168304</v>
      </c>
      <c r="I176" s="31">
        <f t="shared" si="47"/>
        <v>29155321.361446127</v>
      </c>
      <c r="J176" s="31">
        <f t="shared" si="46"/>
        <v>3068981.1959416978</v>
      </c>
      <c r="K176" s="31">
        <v>13.812515258789063</v>
      </c>
      <c r="L176" s="31">
        <v>6609085</v>
      </c>
      <c r="M176" s="31">
        <f t="shared" si="48"/>
        <v>6596102.3614461264</v>
      </c>
      <c r="N176" s="32">
        <f t="shared" si="35"/>
        <v>6943265.6436275011</v>
      </c>
      <c r="O176" s="31">
        <v>31.659402847290039</v>
      </c>
      <c r="P176" s="31">
        <v>78.606086730957031</v>
      </c>
      <c r="Q176" s="31">
        <f t="shared" si="36"/>
        <v>8.2743249190481087</v>
      </c>
      <c r="R176" s="31">
        <v>31.659402847290039</v>
      </c>
      <c r="S176" s="31">
        <v>78.606086730957031</v>
      </c>
      <c r="T176" s="32">
        <f t="shared" si="37"/>
        <v>82.74324919048108</v>
      </c>
      <c r="U176" s="31">
        <v>24.715827941894531</v>
      </c>
      <c r="V176" s="31">
        <v>1091.905029296875</v>
      </c>
      <c r="W176" s="31">
        <f t="shared" si="38"/>
        <v>114.93737150493421</v>
      </c>
      <c r="X176" s="31">
        <v>27.596872329711914</v>
      </c>
      <c r="Y176" s="31">
        <v>171.09764099121094</v>
      </c>
      <c r="Z176" s="32">
        <f t="shared" si="39"/>
        <v>180.10277999074836</v>
      </c>
      <c r="AA176" s="31">
        <v>29.731021881103516</v>
      </c>
      <c r="AB176" s="31">
        <v>7.3747811317443848</v>
      </c>
      <c r="AC176" s="31">
        <f t="shared" si="40"/>
        <v>0.7762927507099352</v>
      </c>
      <c r="AD176" t="s">
        <v>66</v>
      </c>
      <c r="AF176" s="32">
        <f t="shared" si="41"/>
        <v>0</v>
      </c>
      <c r="AG176" s="31">
        <v>22.272575378417969</v>
      </c>
      <c r="AH176" s="31">
        <v>8420.7861328125</v>
      </c>
      <c r="AI176" s="31">
        <f t="shared" si="42"/>
        <v>886.3985402960526</v>
      </c>
      <c r="AJ176" s="31">
        <v>25.945003509521484</v>
      </c>
      <c r="AK176" s="31">
        <v>825.40191650390625</v>
      </c>
      <c r="AL176" s="32">
        <f t="shared" si="43"/>
        <v>868.84412263569084</v>
      </c>
    </row>
    <row r="177" spans="1:38" ht="15.15" thickBot="1" x14ac:dyDescent="0.35">
      <c r="A177" s="33" t="s">
        <v>77</v>
      </c>
      <c r="B177" s="30">
        <v>44405</v>
      </c>
      <c r="C177" s="33">
        <v>1000</v>
      </c>
      <c r="D177" s="1461" t="s">
        <v>65</v>
      </c>
      <c r="E177" s="30">
        <v>44489</v>
      </c>
      <c r="F177" s="24">
        <v>100</v>
      </c>
      <c r="G177" s="31">
        <v>11.315443992614746</v>
      </c>
      <c r="H177" s="31">
        <v>35092324</v>
      </c>
      <c r="I177" s="31">
        <f t="shared" si="47"/>
        <v>35079341.361446127</v>
      </c>
      <c r="J177" s="31">
        <f t="shared" si="46"/>
        <v>3507934.1361446129</v>
      </c>
      <c r="K177" s="31">
        <v>13.897527694702148</v>
      </c>
      <c r="L177" s="31">
        <v>6243906.5</v>
      </c>
      <c r="M177" s="31">
        <f t="shared" si="48"/>
        <v>6230923.8614461264</v>
      </c>
      <c r="N177" s="32">
        <f t="shared" si="35"/>
        <v>6230923.8614461264</v>
      </c>
      <c r="O177" s="31">
        <v>29.643230438232422</v>
      </c>
      <c r="P177" s="31">
        <v>264.1629638671875</v>
      </c>
      <c r="Q177" s="31">
        <f t="shared" si="36"/>
        <v>26.416296386718749</v>
      </c>
      <c r="R177" s="31">
        <v>32.181407928466797</v>
      </c>
      <c r="S177" s="31">
        <v>57.433120727539063</v>
      </c>
      <c r="T177" s="32">
        <f t="shared" si="37"/>
        <v>57.433120727539063</v>
      </c>
      <c r="U177" s="31">
        <v>26.478530883789063</v>
      </c>
      <c r="V177" s="31">
        <v>351.31744384765625</v>
      </c>
      <c r="W177" s="31">
        <f t="shared" si="38"/>
        <v>35.131744384765625</v>
      </c>
      <c r="X177" s="31">
        <v>30.00700569152832</v>
      </c>
      <c r="Y177" s="31">
        <v>36.297100067138672</v>
      </c>
      <c r="Z177" s="32">
        <f t="shared" si="39"/>
        <v>36.297100067138672</v>
      </c>
      <c r="AA177" s="31">
        <v>30.168846130371094</v>
      </c>
      <c r="AB177" s="31">
        <v>5.5686736106872559</v>
      </c>
      <c r="AC177" s="31">
        <f t="shared" si="40"/>
        <v>0.55686736106872559</v>
      </c>
      <c r="AD177" s="31">
        <v>31.146970748901367</v>
      </c>
      <c r="AE177" s="31">
        <v>2.9730522632598877</v>
      </c>
      <c r="AF177" s="32">
        <f t="shared" si="41"/>
        <v>2.9730522632598877</v>
      </c>
      <c r="AG177" s="31">
        <v>27.300806045532227</v>
      </c>
      <c r="AH177" s="31">
        <v>350.16610717773438</v>
      </c>
      <c r="AI177" s="31">
        <f t="shared" si="42"/>
        <v>35.016610717773439</v>
      </c>
      <c r="AJ177" s="31">
        <v>30.041427612304688</v>
      </c>
      <c r="AK177" s="31">
        <v>61.875900268554688</v>
      </c>
      <c r="AL177" s="32">
        <f t="shared" si="43"/>
        <v>61.875900268554688</v>
      </c>
    </row>
    <row r="178" spans="1:38" ht="15.15" thickBot="1" x14ac:dyDescent="0.35">
      <c r="A178" s="33" t="s">
        <v>78</v>
      </c>
      <c r="B178" s="30">
        <v>44405</v>
      </c>
      <c r="C178" s="33">
        <v>910</v>
      </c>
      <c r="D178" s="1461" t="s">
        <v>65</v>
      </c>
      <c r="E178" s="30">
        <v>44489</v>
      </c>
      <c r="F178" s="24">
        <v>100</v>
      </c>
      <c r="G178" s="31">
        <v>11.578070640563965</v>
      </c>
      <c r="H178" s="31">
        <v>29441072</v>
      </c>
      <c r="I178" s="31">
        <f t="shared" si="47"/>
        <v>29428089.361446127</v>
      </c>
      <c r="J178" s="31">
        <f t="shared" si="46"/>
        <v>3233855.9737852886</v>
      </c>
      <c r="K178" s="31">
        <v>13.503117561340332</v>
      </c>
      <c r="L178" s="31">
        <v>8127943.5</v>
      </c>
      <c r="M178" s="31">
        <f t="shared" si="48"/>
        <v>8114960.8614461264</v>
      </c>
      <c r="N178" s="32">
        <f t="shared" si="35"/>
        <v>8917539.4081825558</v>
      </c>
      <c r="O178" s="31">
        <v>36.790328979492188</v>
      </c>
      <c r="P178" s="31">
        <v>3.5957441329956055</v>
      </c>
      <c r="Q178" s="31">
        <f t="shared" si="36"/>
        <v>0.39513671791160498</v>
      </c>
      <c r="R178" t="s">
        <v>66</v>
      </c>
      <c r="T178" s="32">
        <f t="shared" si="37"/>
        <v>0</v>
      </c>
      <c r="U178" s="31">
        <v>25.314691543579102</v>
      </c>
      <c r="V178" s="31">
        <v>742.7918701171875</v>
      </c>
      <c r="W178" s="31">
        <f t="shared" si="38"/>
        <v>81.625480232657964</v>
      </c>
      <c r="X178" s="31">
        <v>28.130033493041992</v>
      </c>
      <c r="Y178" s="31">
        <v>121.41798400878906</v>
      </c>
      <c r="Z178" s="32">
        <f t="shared" si="39"/>
        <v>133.42635605361434</v>
      </c>
      <c r="AA178" s="31">
        <v>31.29296875</v>
      </c>
      <c r="AB178" s="31">
        <v>2.7072038650512695</v>
      </c>
      <c r="AC178" s="31">
        <f t="shared" si="40"/>
        <v>0.29749493022541423</v>
      </c>
      <c r="AD178" s="31">
        <v>32.261356353759766</v>
      </c>
      <c r="AE178" s="31">
        <v>1.4544035196304321</v>
      </c>
      <c r="AF178" s="32">
        <f t="shared" si="41"/>
        <v>1.5982456259675077</v>
      </c>
      <c r="AG178" s="31">
        <v>21.463846206665039</v>
      </c>
      <c r="AH178" s="31">
        <v>14043.7197265625</v>
      </c>
      <c r="AI178" s="31">
        <f t="shared" si="42"/>
        <v>1543.2659040178571</v>
      </c>
      <c r="AJ178" s="31">
        <v>23.0555419921875</v>
      </c>
      <c r="AK178" s="31">
        <v>5132.14794921875</v>
      </c>
      <c r="AL178" s="32">
        <f t="shared" si="43"/>
        <v>5639.7230211195056</v>
      </c>
    </row>
    <row r="179" spans="1:38" ht="15.15" thickBot="1" x14ac:dyDescent="0.35">
      <c r="A179" s="33" t="s">
        <v>79</v>
      </c>
      <c r="B179" s="30">
        <v>44405</v>
      </c>
      <c r="C179" s="33">
        <v>1000</v>
      </c>
      <c r="D179" s="1461" t="s">
        <v>65</v>
      </c>
      <c r="E179" s="30">
        <v>44489</v>
      </c>
      <c r="F179" s="24">
        <v>100</v>
      </c>
      <c r="G179" s="31">
        <v>11.831710815429688</v>
      </c>
      <c r="H179" s="31">
        <v>24848748</v>
      </c>
      <c r="I179" s="31">
        <f t="shared" si="47"/>
        <v>24835765.361446127</v>
      </c>
      <c r="J179" s="31">
        <f t="shared" si="46"/>
        <v>2483576.5361446128</v>
      </c>
      <c r="K179" s="31">
        <v>14.187400817871094</v>
      </c>
      <c r="L179" s="31">
        <v>5143827.5</v>
      </c>
      <c r="M179" s="31">
        <f t="shared" si="48"/>
        <v>5130844.8614461264</v>
      </c>
      <c r="N179" s="32">
        <f t="shared" si="35"/>
        <v>5130844.8614461264</v>
      </c>
      <c r="O179" s="31">
        <v>31.242767333984375</v>
      </c>
      <c r="P179" s="31">
        <v>100.98068237304688</v>
      </c>
      <c r="Q179" s="31">
        <f t="shared" si="36"/>
        <v>10.098068237304688</v>
      </c>
      <c r="R179" s="31">
        <v>33.661258697509766</v>
      </c>
      <c r="S179" s="31">
        <v>23.592741012573242</v>
      </c>
      <c r="T179" s="32">
        <f t="shared" si="37"/>
        <v>23.592741012573242</v>
      </c>
      <c r="U179" s="31">
        <v>27.093761444091797</v>
      </c>
      <c r="V179" s="31">
        <v>236.488037109375</v>
      </c>
      <c r="W179" s="31">
        <f t="shared" si="38"/>
        <v>23.6488037109375</v>
      </c>
      <c r="X179" s="31">
        <v>29.451471328735352</v>
      </c>
      <c r="Y179" s="31">
        <v>51.8900146484375</v>
      </c>
      <c r="Z179" s="32">
        <f t="shared" si="39"/>
        <v>51.8900146484375</v>
      </c>
      <c r="AA179" s="31">
        <v>30.620615005493164</v>
      </c>
      <c r="AB179" s="31">
        <v>4.1674342155456543</v>
      </c>
      <c r="AC179" s="31">
        <f t="shared" si="40"/>
        <v>0.41674342155456545</v>
      </c>
      <c r="AD179" t="s">
        <v>66</v>
      </c>
      <c r="AF179" s="32">
        <f t="shared" si="41"/>
        <v>0</v>
      </c>
      <c r="AG179" s="31">
        <v>24.087650299072266</v>
      </c>
      <c r="AH179" s="31">
        <v>2671.869384765625</v>
      </c>
      <c r="AI179" s="31">
        <f t="shared" si="42"/>
        <v>267.18693847656249</v>
      </c>
      <c r="AJ179" s="31">
        <v>26.508146286010742</v>
      </c>
      <c r="AK179" s="31">
        <v>578.0826416015625</v>
      </c>
      <c r="AL179" s="32">
        <f t="shared" si="43"/>
        <v>578.0826416015625</v>
      </c>
    </row>
    <row r="180" spans="1:38" ht="15.15" thickBot="1" x14ac:dyDescent="0.35">
      <c r="A180" s="33" t="s">
        <v>80</v>
      </c>
      <c r="B180" s="30">
        <v>44405</v>
      </c>
      <c r="C180" s="33">
        <v>950</v>
      </c>
      <c r="D180" s="1461" t="s">
        <v>65</v>
      </c>
      <c r="E180" s="30">
        <v>44489</v>
      </c>
      <c r="F180" s="24">
        <v>100</v>
      </c>
      <c r="G180" s="31">
        <v>17.352470397949219</v>
      </c>
      <c r="H180" s="31">
        <v>619797.6875</v>
      </c>
      <c r="I180" s="31">
        <f t="shared" si="47"/>
        <v>606815.04894612625</v>
      </c>
      <c r="J180" s="31">
        <f t="shared" si="46"/>
        <v>63875.268310118554</v>
      </c>
      <c r="K180" s="31">
        <v>20.250705718994141</v>
      </c>
      <c r="L180" s="31">
        <v>89267.5859375</v>
      </c>
      <c r="M180" s="31">
        <f t="shared" si="48"/>
        <v>76284.947383626306</v>
      </c>
      <c r="N180" s="32">
        <f t="shared" si="35"/>
        <v>80299.944614343491</v>
      </c>
      <c r="O180" t="s">
        <v>66</v>
      </c>
      <c r="Q180" s="31">
        <f t="shared" si="36"/>
        <v>0</v>
      </c>
      <c r="R180" t="s">
        <v>66</v>
      </c>
      <c r="T180" s="32">
        <f t="shared" si="37"/>
        <v>0</v>
      </c>
      <c r="U180" s="31">
        <v>36.078182220458984</v>
      </c>
      <c r="V180" s="31">
        <v>0.73052239418029785</v>
      </c>
      <c r="W180" s="31">
        <f t="shared" si="38"/>
        <v>7.689709412424188E-2</v>
      </c>
      <c r="X180" t="s">
        <v>66</v>
      </c>
      <c r="Z180" s="32">
        <f t="shared" si="39"/>
        <v>0</v>
      </c>
      <c r="AA180" s="31">
        <v>22.188026428222656</v>
      </c>
      <c r="AB180" s="31">
        <v>932.3192138671875</v>
      </c>
      <c r="AC180" s="31">
        <f t="shared" si="40"/>
        <v>98.138864617598685</v>
      </c>
      <c r="AD180" s="31">
        <v>25.010467529296875</v>
      </c>
      <c r="AE180" s="31">
        <v>152.44264221191406</v>
      </c>
      <c r="AF180" s="32">
        <f t="shared" si="41"/>
        <v>160.46593917043586</v>
      </c>
      <c r="AG180" t="s">
        <v>66</v>
      </c>
      <c r="AI180" s="31">
        <f t="shared" si="42"/>
        <v>0</v>
      </c>
      <c r="AJ180" t="s">
        <v>66</v>
      </c>
      <c r="AL180" s="32">
        <f t="shared" si="43"/>
        <v>0</v>
      </c>
    </row>
    <row r="181" spans="1:38" ht="15.15" thickBot="1" x14ac:dyDescent="0.35">
      <c r="A181" s="33" t="s">
        <v>81</v>
      </c>
      <c r="B181" s="30">
        <v>44405</v>
      </c>
      <c r="C181" s="33">
        <v>910</v>
      </c>
      <c r="D181" s="1461" t="s">
        <v>65</v>
      </c>
      <c r="E181" s="30">
        <v>44489</v>
      </c>
      <c r="F181" s="24">
        <v>100</v>
      </c>
      <c r="G181" s="31">
        <v>14.333409309387207</v>
      </c>
      <c r="H181" s="31">
        <v>4665413.5</v>
      </c>
      <c r="I181" s="31">
        <f t="shared" si="47"/>
        <v>4652430.8614461264</v>
      </c>
      <c r="J181" s="31">
        <f t="shared" si="46"/>
        <v>511256.13862045342</v>
      </c>
      <c r="K181" s="31">
        <v>17.217721939086914</v>
      </c>
      <c r="L181" s="31">
        <v>678229.4375</v>
      </c>
      <c r="M181" s="31">
        <f t="shared" si="48"/>
        <v>665246.79894612625</v>
      </c>
      <c r="N181" s="32">
        <f t="shared" si="35"/>
        <v>731040.43840233656</v>
      </c>
      <c r="O181" t="s">
        <v>66</v>
      </c>
      <c r="Q181" s="31">
        <f t="shared" si="36"/>
        <v>0</v>
      </c>
      <c r="R181" t="s">
        <v>66</v>
      </c>
      <c r="T181" s="32">
        <f t="shared" si="37"/>
        <v>0</v>
      </c>
      <c r="U181" s="31">
        <v>38.537860870361328</v>
      </c>
      <c r="V181" s="31">
        <v>0.15011319518089294</v>
      </c>
      <c r="W181" s="31">
        <f t="shared" si="38"/>
        <v>1.6495955514383841E-2</v>
      </c>
      <c r="X181" s="31">
        <v>36.680885314941406</v>
      </c>
      <c r="Y181" s="31">
        <v>0.49572756886482239</v>
      </c>
      <c r="Z181" s="32">
        <f t="shared" si="39"/>
        <v>0.54475557018112353</v>
      </c>
      <c r="AA181" s="31">
        <v>18.215797424316406</v>
      </c>
      <c r="AB181" s="31">
        <v>11923.5361328125</v>
      </c>
      <c r="AC181" s="31">
        <f t="shared" si="40"/>
        <v>1310.2786959134614</v>
      </c>
      <c r="AD181" s="31">
        <v>21.231155395507813</v>
      </c>
      <c r="AE181" s="31">
        <v>1722.6285400390625</v>
      </c>
      <c r="AF181" s="32">
        <f t="shared" si="41"/>
        <v>1892.9983956473213</v>
      </c>
      <c r="AG181" s="31">
        <v>37.065433502197266</v>
      </c>
      <c r="AH181" s="31">
        <v>0.72823840379714966</v>
      </c>
      <c r="AI181" s="31">
        <f t="shared" si="42"/>
        <v>8.0026198219466993E-2</v>
      </c>
      <c r="AJ181" t="s">
        <v>66</v>
      </c>
      <c r="AL181" s="32">
        <f t="shared" si="43"/>
        <v>0</v>
      </c>
    </row>
    <row r="182" spans="1:38" ht="15.15" thickBot="1" x14ac:dyDescent="0.35">
      <c r="A182" s="33" t="s">
        <v>64</v>
      </c>
      <c r="B182" s="30">
        <v>44412</v>
      </c>
      <c r="C182" s="33">
        <v>1000</v>
      </c>
      <c r="D182" s="1461" t="s">
        <v>65</v>
      </c>
      <c r="E182" s="30">
        <v>44491</v>
      </c>
      <c r="F182" s="24">
        <v>100</v>
      </c>
      <c r="G182" s="31">
        <v>19.422399520874023</v>
      </c>
      <c r="H182" s="31">
        <v>155312.984375</v>
      </c>
      <c r="I182" s="31">
        <f t="shared" si="47"/>
        <v>142330.34582112631</v>
      </c>
      <c r="J182" s="31">
        <f t="shared" si="46"/>
        <v>14233.03458211263</v>
      </c>
      <c r="K182" s="31">
        <v>21.779279708862305</v>
      </c>
      <c r="L182" s="31">
        <v>32125.068359375</v>
      </c>
      <c r="M182" s="31">
        <f t="shared" si="48"/>
        <v>19142.429805501302</v>
      </c>
      <c r="N182" s="32">
        <f t="shared" si="35"/>
        <v>19142.429805501302</v>
      </c>
      <c r="O182" s="31">
        <v>34.063796997070313</v>
      </c>
      <c r="P182" s="31">
        <v>18.521537780761719</v>
      </c>
      <c r="Q182" s="31">
        <f t="shared" si="36"/>
        <v>1.8521537780761719</v>
      </c>
      <c r="R182" s="31">
        <v>37.280063629150391</v>
      </c>
      <c r="S182" s="31">
        <v>2.6786792278289795</v>
      </c>
      <c r="T182" s="32">
        <f t="shared" si="37"/>
        <v>2.6786792278289795</v>
      </c>
      <c r="U182" s="31">
        <v>32.312030792236328</v>
      </c>
      <c r="V182" s="31">
        <v>8.2388439178466797</v>
      </c>
      <c r="W182" s="31">
        <f t="shared" si="38"/>
        <v>0.82388439178466799</v>
      </c>
      <c r="X182" s="31">
        <v>34.808414459228516</v>
      </c>
      <c r="Y182" s="31">
        <v>1.6534707546234131</v>
      </c>
      <c r="Z182" s="32">
        <f t="shared" si="39"/>
        <v>1.6534707546234131</v>
      </c>
      <c r="AA182" s="31">
        <v>29.942121505737305</v>
      </c>
      <c r="AB182" s="31">
        <v>6.440615177154541</v>
      </c>
      <c r="AC182" s="31">
        <f t="shared" si="40"/>
        <v>0.64406151771545406</v>
      </c>
      <c r="AD182" t="s">
        <v>66</v>
      </c>
      <c r="AF182" s="32">
        <f t="shared" si="41"/>
        <v>0</v>
      </c>
      <c r="AG182" s="31">
        <v>38.787399291992188</v>
      </c>
      <c r="AH182" s="31">
        <v>0.24508120119571686</v>
      </c>
      <c r="AI182" s="31">
        <f t="shared" si="42"/>
        <v>2.4508120119571687E-2</v>
      </c>
      <c r="AJ182" t="s">
        <v>66</v>
      </c>
      <c r="AL182" s="32">
        <f t="shared" si="43"/>
        <v>0</v>
      </c>
    </row>
    <row r="183" spans="1:38" ht="15.15" thickBot="1" x14ac:dyDescent="0.35">
      <c r="A183" s="33" t="s">
        <v>67</v>
      </c>
      <c r="B183" s="30">
        <v>44412</v>
      </c>
      <c r="C183" s="33">
        <v>1000</v>
      </c>
      <c r="D183" s="1461" t="s">
        <v>65</v>
      </c>
      <c r="E183" s="30">
        <v>44491</v>
      </c>
      <c r="F183" s="24">
        <v>100</v>
      </c>
      <c r="G183" s="31">
        <v>18.431041717529297</v>
      </c>
      <c r="H183" s="31">
        <v>301346.96875</v>
      </c>
      <c r="I183" s="31">
        <f t="shared" si="47"/>
        <v>288364.33019612631</v>
      </c>
      <c r="J183" s="31">
        <f t="shared" si="46"/>
        <v>28836.433019612628</v>
      </c>
      <c r="K183" s="31">
        <v>20.736501693725586</v>
      </c>
      <c r="L183" s="31">
        <v>64511.0234375</v>
      </c>
      <c r="M183" s="31">
        <f t="shared" si="48"/>
        <v>51528.384883626306</v>
      </c>
      <c r="N183" s="32">
        <f t="shared" si="35"/>
        <v>51528.384883626306</v>
      </c>
      <c r="O183" s="31">
        <v>33.731376647949219</v>
      </c>
      <c r="P183" s="31">
        <v>22.618867874145508</v>
      </c>
      <c r="Q183" s="31">
        <f t="shared" si="36"/>
        <v>2.261886787414551</v>
      </c>
      <c r="R183" s="31">
        <v>35.378185272216797</v>
      </c>
      <c r="S183" s="31">
        <v>8.4041671752929688</v>
      </c>
      <c r="T183" s="32">
        <f t="shared" si="37"/>
        <v>8.4041671752929688</v>
      </c>
      <c r="U183" s="31">
        <v>30.997001647949219</v>
      </c>
      <c r="V183" s="31">
        <v>19.198837280273438</v>
      </c>
      <c r="W183" s="31">
        <f t="shared" si="38"/>
        <v>1.9198837280273438</v>
      </c>
      <c r="X183" s="31">
        <v>33.535892486572266</v>
      </c>
      <c r="Y183" s="31">
        <v>3.749117374420166</v>
      </c>
      <c r="Z183" s="32">
        <f t="shared" si="39"/>
        <v>3.749117374420166</v>
      </c>
      <c r="AA183" s="31">
        <v>30.493593215942383</v>
      </c>
      <c r="AB183" s="31">
        <v>4.5212936401367188</v>
      </c>
      <c r="AC183" s="31">
        <f t="shared" si="40"/>
        <v>0.45212936401367188</v>
      </c>
      <c r="AD183" s="31">
        <v>34.663547515869141</v>
      </c>
      <c r="AE183" s="31">
        <v>0.31140613555908203</v>
      </c>
      <c r="AF183" s="32">
        <f t="shared" si="41"/>
        <v>0.31140613555908203</v>
      </c>
      <c r="AG183" s="31">
        <v>39.935615539550781</v>
      </c>
      <c r="AH183" s="31">
        <v>0.11855921149253845</v>
      </c>
      <c r="AI183" s="31">
        <f t="shared" si="42"/>
        <v>1.1855921149253846E-2</v>
      </c>
      <c r="AJ183" t="s">
        <v>66</v>
      </c>
      <c r="AL183" s="32">
        <f t="shared" si="43"/>
        <v>0</v>
      </c>
    </row>
    <row r="184" spans="1:38" ht="15.15" thickBot="1" x14ac:dyDescent="0.35">
      <c r="A184" s="33" t="s">
        <v>68</v>
      </c>
      <c r="B184" s="30">
        <v>44412</v>
      </c>
      <c r="C184" s="33">
        <v>900</v>
      </c>
      <c r="D184" s="1461" t="s">
        <v>65</v>
      </c>
      <c r="E184" s="30">
        <v>44491</v>
      </c>
      <c r="F184" s="24">
        <v>100</v>
      </c>
      <c r="G184" s="31">
        <v>13.656390190124512</v>
      </c>
      <c r="H184" s="31">
        <v>7570050.5</v>
      </c>
      <c r="I184" s="31">
        <f t="shared" si="47"/>
        <v>7557067.8614461264</v>
      </c>
      <c r="J184" s="31">
        <f t="shared" si="46"/>
        <v>839674.2068273474</v>
      </c>
      <c r="K184" s="31">
        <v>16.248638153076172</v>
      </c>
      <c r="L184" s="31">
        <v>1231511.125</v>
      </c>
      <c r="M184" s="31">
        <f t="shared" si="48"/>
        <v>1218528.4864461264</v>
      </c>
      <c r="N184" s="32">
        <f t="shared" si="35"/>
        <v>1353920.540495696</v>
      </c>
      <c r="O184" s="31">
        <v>28.225099563598633</v>
      </c>
      <c r="P184" s="31">
        <v>267.10897827148438</v>
      </c>
      <c r="Q184" s="31">
        <f t="shared" si="36"/>
        <v>29.678775363498264</v>
      </c>
      <c r="R184" s="31">
        <v>33.648365020751953</v>
      </c>
      <c r="S184" s="31">
        <v>6.2309069633483887</v>
      </c>
      <c r="T184" s="32">
        <f t="shared" si="37"/>
        <v>6.9232299592759876</v>
      </c>
      <c r="U184" s="31">
        <v>30.484441757202148</v>
      </c>
      <c r="V184" s="31">
        <v>33.246749877929688</v>
      </c>
      <c r="W184" s="31">
        <f t="shared" si="38"/>
        <v>3.6940833197699652</v>
      </c>
      <c r="X184" s="31">
        <v>33.382797241210938</v>
      </c>
      <c r="Y184" s="31">
        <v>5.1165146827697754</v>
      </c>
      <c r="Z184" s="32">
        <f t="shared" si="39"/>
        <v>5.6850163141886396</v>
      </c>
      <c r="AA184" s="31">
        <v>29.699268341064453</v>
      </c>
      <c r="AB184" s="31">
        <v>6.4777283668518066</v>
      </c>
      <c r="AC184" s="31">
        <f t="shared" si="40"/>
        <v>0.71974759631686736</v>
      </c>
      <c r="AD184" s="31">
        <v>33.310150146484375</v>
      </c>
      <c r="AE184" s="31">
        <v>0.637134850025177</v>
      </c>
      <c r="AF184" s="32">
        <f t="shared" si="41"/>
        <v>0.70792761113908553</v>
      </c>
      <c r="AG184" s="31">
        <v>35.421173095703125</v>
      </c>
      <c r="AH184" s="31">
        <v>3.5535235404968262</v>
      </c>
      <c r="AI184" s="31">
        <f t="shared" si="42"/>
        <v>0.3948359489440918</v>
      </c>
      <c r="AJ184" t="s">
        <v>66</v>
      </c>
      <c r="AL184" s="32">
        <f t="shared" si="43"/>
        <v>0</v>
      </c>
    </row>
    <row r="185" spans="1:38" ht="15.15" thickBot="1" x14ac:dyDescent="0.35">
      <c r="A185" s="33" t="s">
        <v>69</v>
      </c>
      <c r="B185" s="30">
        <v>44412</v>
      </c>
      <c r="C185" s="33">
        <v>900</v>
      </c>
      <c r="D185" s="1461" t="s">
        <v>65</v>
      </c>
      <c r="E185" s="30">
        <v>44491</v>
      </c>
      <c r="F185" s="24">
        <v>100</v>
      </c>
      <c r="G185" s="31">
        <v>15.731051445007324</v>
      </c>
      <c r="H185" s="31">
        <v>1769733.75</v>
      </c>
      <c r="I185" s="31">
        <f t="shared" si="47"/>
        <v>1756751.1114461264</v>
      </c>
      <c r="J185" s="31">
        <f t="shared" si="46"/>
        <v>195194.56793845849</v>
      </c>
      <c r="K185" s="31">
        <v>19.002771377563477</v>
      </c>
      <c r="L185" s="31">
        <v>178865.375</v>
      </c>
      <c r="M185" s="31">
        <f t="shared" si="48"/>
        <v>165882.73644612631</v>
      </c>
      <c r="N185" s="32">
        <f t="shared" si="35"/>
        <v>184314.15160680702</v>
      </c>
      <c r="O185" s="31">
        <v>29.010011672973633</v>
      </c>
      <c r="P185" s="31">
        <v>155.04878234863281</v>
      </c>
      <c r="Q185" s="31">
        <f t="shared" si="36"/>
        <v>17.227642483181423</v>
      </c>
      <c r="R185" s="31">
        <v>32.685585021972656</v>
      </c>
      <c r="S185" s="31">
        <v>12.142297744750977</v>
      </c>
      <c r="T185" s="32">
        <f t="shared" si="37"/>
        <v>13.491441938612196</v>
      </c>
      <c r="U185" s="31">
        <v>31.085336685180664</v>
      </c>
      <c r="V185" s="31">
        <v>22.554981231689453</v>
      </c>
      <c r="W185" s="31">
        <f t="shared" si="38"/>
        <v>2.5061090257432728</v>
      </c>
      <c r="X185" s="31">
        <v>34.260196685791016</v>
      </c>
      <c r="Y185" s="31">
        <v>2.9035437107086182</v>
      </c>
      <c r="Z185" s="32">
        <f t="shared" si="39"/>
        <v>3.2261596785651312</v>
      </c>
      <c r="AA185" s="31">
        <v>29.233987808227539</v>
      </c>
      <c r="AB185" s="31">
        <v>8.7338247299194336</v>
      </c>
      <c r="AC185" s="31">
        <f t="shared" si="40"/>
        <v>0.97042496999104821</v>
      </c>
      <c r="AD185" t="s">
        <v>66</v>
      </c>
      <c r="AF185" s="32">
        <f t="shared" si="41"/>
        <v>0</v>
      </c>
      <c r="AG185" s="31">
        <v>35.802291870117188</v>
      </c>
      <c r="AH185" s="31">
        <v>2.840097188949585</v>
      </c>
      <c r="AI185" s="31">
        <f t="shared" si="42"/>
        <v>0.31556635432773167</v>
      </c>
      <c r="AJ185" t="s">
        <v>66</v>
      </c>
      <c r="AL185" s="32">
        <f t="shared" si="43"/>
        <v>0</v>
      </c>
    </row>
    <row r="186" spans="1:38" ht="15.15" thickBot="1" x14ac:dyDescent="0.35">
      <c r="A186" s="33" t="s">
        <v>70</v>
      </c>
      <c r="B186" s="30">
        <v>44412</v>
      </c>
      <c r="C186" s="33">
        <v>930</v>
      </c>
      <c r="D186" s="1461" t="s">
        <v>65</v>
      </c>
      <c r="E186" s="30">
        <v>44491</v>
      </c>
      <c r="F186" s="24">
        <v>100</v>
      </c>
      <c r="G186" s="31">
        <v>16.910621643066406</v>
      </c>
      <c r="H186" s="31">
        <v>774529.1875</v>
      </c>
      <c r="I186" s="31">
        <f t="shared" si="47"/>
        <v>761546.54894612625</v>
      </c>
      <c r="J186" s="31">
        <f t="shared" si="46"/>
        <v>81886.725693131855</v>
      </c>
      <c r="K186" s="31">
        <v>26.416448593139648</v>
      </c>
      <c r="L186" s="31">
        <v>993.12445068359375</v>
      </c>
      <c r="M186" s="31">
        <f t="shared" si="48"/>
        <v>-11989.514103190104</v>
      </c>
      <c r="N186" s="32">
        <f t="shared" si="35"/>
        <v>-12891.95064859151</v>
      </c>
      <c r="O186" s="31">
        <v>28.002193450927734</v>
      </c>
      <c r="P186" s="31">
        <v>311.7254638671875</v>
      </c>
      <c r="Q186" s="31">
        <f t="shared" si="36"/>
        <v>33.51886708249328</v>
      </c>
      <c r="R186" s="31">
        <v>30.471521377563477</v>
      </c>
      <c r="S186" s="31">
        <v>56.315193176269531</v>
      </c>
      <c r="T186" s="32">
        <f t="shared" si="37"/>
        <v>60.553971157279065</v>
      </c>
      <c r="U186" s="31">
        <v>32.979114532470703</v>
      </c>
      <c r="V186" s="31">
        <v>6.6401433944702148</v>
      </c>
      <c r="W186" s="31">
        <f t="shared" si="38"/>
        <v>0.71399391338389406</v>
      </c>
      <c r="X186" s="31">
        <v>31.55992317199707</v>
      </c>
      <c r="Y186" s="31">
        <v>16.601829528808594</v>
      </c>
      <c r="Z186" s="32">
        <f t="shared" si="39"/>
        <v>17.851429600869455</v>
      </c>
      <c r="AA186" s="31">
        <v>27.68017578125</v>
      </c>
      <c r="AB186" s="31">
        <v>23.692602157592773</v>
      </c>
      <c r="AC186" s="31">
        <f t="shared" si="40"/>
        <v>2.5475916298486854</v>
      </c>
      <c r="AD186" t="s">
        <v>66</v>
      </c>
      <c r="AF186" s="32">
        <f t="shared" si="41"/>
        <v>0</v>
      </c>
      <c r="AG186" s="31">
        <v>32.559154510498047</v>
      </c>
      <c r="AH186" s="31">
        <v>19.121871948242188</v>
      </c>
      <c r="AI186" s="31">
        <f t="shared" si="42"/>
        <v>2.056115263251848</v>
      </c>
      <c r="AJ186" s="31">
        <v>34.249011993408203</v>
      </c>
      <c r="AK186" s="31">
        <v>7.0793428421020508</v>
      </c>
      <c r="AL186" s="32">
        <f t="shared" si="43"/>
        <v>7.6121966044108076</v>
      </c>
    </row>
    <row r="187" spans="1:38" ht="15.15" thickBot="1" x14ac:dyDescent="0.35">
      <c r="A187" s="33" t="s">
        <v>71</v>
      </c>
      <c r="B187" s="30">
        <v>44412</v>
      </c>
      <c r="C187" s="33">
        <v>930</v>
      </c>
      <c r="D187" s="1461" t="s">
        <v>65</v>
      </c>
      <c r="E187" s="30">
        <v>44491</v>
      </c>
      <c r="F187" s="24">
        <v>100</v>
      </c>
      <c r="G187" s="31">
        <v>16.987550735473633</v>
      </c>
      <c r="H187" s="31">
        <v>733893.5</v>
      </c>
      <c r="I187" s="31">
        <f t="shared" si="47"/>
        <v>720910.86144612625</v>
      </c>
      <c r="J187" s="31">
        <f t="shared" si="46"/>
        <v>77517.296929691001</v>
      </c>
      <c r="K187" s="31">
        <v>26.379968643188477</v>
      </c>
      <c r="L187" s="31">
        <v>1018.831298828125</v>
      </c>
      <c r="M187" s="31">
        <f t="shared" si="48"/>
        <v>-11963.807255045573</v>
      </c>
      <c r="N187" s="32">
        <f t="shared" si="35"/>
        <v>-12864.308876393088</v>
      </c>
      <c r="O187" s="31">
        <v>27.942075729370117</v>
      </c>
      <c r="P187" s="31">
        <v>324.986083984375</v>
      </c>
      <c r="Q187" s="31">
        <f t="shared" si="36"/>
        <v>34.944740213373656</v>
      </c>
      <c r="R187" s="31">
        <v>30.278133392333984</v>
      </c>
      <c r="S187" s="31">
        <v>64.391105651855469</v>
      </c>
      <c r="T187" s="32">
        <f t="shared" si="37"/>
        <v>69.237748012747815</v>
      </c>
      <c r="U187" s="31">
        <v>32.226707458496094</v>
      </c>
      <c r="V187" s="31">
        <v>10.793745040893555</v>
      </c>
      <c r="W187" s="31">
        <f t="shared" si="38"/>
        <v>1.1606177463326404</v>
      </c>
      <c r="X187" s="31">
        <v>34.296527862548828</v>
      </c>
      <c r="Y187" s="31">
        <v>2.8362216949462891</v>
      </c>
      <c r="Z187" s="32">
        <f t="shared" si="39"/>
        <v>3.0497007472540743</v>
      </c>
      <c r="AA187" s="31">
        <v>28.561117172241211</v>
      </c>
      <c r="AB187" s="31">
        <v>13.455188751220703</v>
      </c>
      <c r="AC187" s="31">
        <f t="shared" si="40"/>
        <v>1.4467944893785702</v>
      </c>
      <c r="AD187" s="31">
        <v>31.674997329711914</v>
      </c>
      <c r="AE187" s="31">
        <v>1.8210766315460205</v>
      </c>
      <c r="AF187" s="32">
        <f t="shared" si="41"/>
        <v>1.9581469156408822</v>
      </c>
      <c r="AG187" s="31">
        <v>35.505710601806641</v>
      </c>
      <c r="AH187" s="31">
        <v>3.3812003135681152</v>
      </c>
      <c r="AI187" s="31">
        <f t="shared" si="42"/>
        <v>0.36356992619011991</v>
      </c>
      <c r="AJ187" t="s">
        <v>66</v>
      </c>
      <c r="AL187" s="32">
        <f t="shared" si="43"/>
        <v>0</v>
      </c>
    </row>
    <row r="188" spans="1:38" ht="15.15" thickBot="1" x14ac:dyDescent="0.35">
      <c r="A188" s="33" t="s">
        <v>72</v>
      </c>
      <c r="B188" s="30">
        <v>44412</v>
      </c>
      <c r="C188" s="33">
        <v>900</v>
      </c>
      <c r="D188" s="1461" t="s">
        <v>65</v>
      </c>
      <c r="E188" s="30">
        <v>44491</v>
      </c>
      <c r="F188" s="24">
        <v>100</v>
      </c>
      <c r="G188" s="31">
        <v>16.971319198608398</v>
      </c>
      <c r="H188" s="31">
        <v>742286.0625</v>
      </c>
      <c r="I188" s="31">
        <f t="shared" si="47"/>
        <v>729303.42394612625</v>
      </c>
      <c r="J188" s="31">
        <f t="shared" si="46"/>
        <v>81033.713771791809</v>
      </c>
      <c r="K188" s="31">
        <v>19.778060913085938</v>
      </c>
      <c r="L188" s="31">
        <v>103909.1328125</v>
      </c>
      <c r="M188" s="31">
        <f t="shared" si="48"/>
        <v>90926.494258626306</v>
      </c>
      <c r="N188" s="32">
        <f t="shared" si="35"/>
        <v>101029.43806514035</v>
      </c>
      <c r="O188" s="31">
        <v>31.676891326904297</v>
      </c>
      <c r="P188" s="31">
        <v>24.426895141601563</v>
      </c>
      <c r="Q188" s="31">
        <f t="shared" si="36"/>
        <v>2.7140994601779513</v>
      </c>
      <c r="R188" s="31">
        <v>34.428462982177734</v>
      </c>
      <c r="S188" s="31">
        <v>3.6289417743682861</v>
      </c>
      <c r="T188" s="32">
        <f t="shared" si="37"/>
        <v>4.0321575270758734</v>
      </c>
      <c r="U188" s="31">
        <v>28.235794067382813</v>
      </c>
      <c r="V188" s="31">
        <v>142.0133056640625</v>
      </c>
      <c r="W188" s="31">
        <f t="shared" si="38"/>
        <v>15.779256184895834</v>
      </c>
      <c r="X188" s="31">
        <v>31.637243270874023</v>
      </c>
      <c r="Y188" s="31">
        <v>15.793317794799805</v>
      </c>
      <c r="Z188" s="32">
        <f t="shared" si="39"/>
        <v>17.548130883110893</v>
      </c>
      <c r="AA188" s="31">
        <v>30.149606704711914</v>
      </c>
      <c r="AB188" s="31">
        <v>4.8507494926452637</v>
      </c>
      <c r="AC188" s="31">
        <f t="shared" si="40"/>
        <v>0.53897216584947372</v>
      </c>
      <c r="AD188" t="s">
        <v>66</v>
      </c>
      <c r="AF188" s="32">
        <f t="shared" si="41"/>
        <v>0</v>
      </c>
      <c r="AG188" t="s">
        <v>66</v>
      </c>
      <c r="AI188" s="31">
        <f t="shared" si="42"/>
        <v>0</v>
      </c>
      <c r="AJ188" t="s">
        <v>66</v>
      </c>
      <c r="AL188" s="32">
        <f t="shared" si="43"/>
        <v>0</v>
      </c>
    </row>
    <row r="189" spans="1:38" ht="15.15" thickBot="1" x14ac:dyDescent="0.35">
      <c r="A189" s="33" t="s">
        <v>73</v>
      </c>
      <c r="B189" s="30">
        <v>44412</v>
      </c>
      <c r="C189" s="33">
        <v>950</v>
      </c>
      <c r="D189" s="1461" t="s">
        <v>65</v>
      </c>
      <c r="E189" s="30">
        <v>44491</v>
      </c>
      <c r="F189" s="24">
        <v>100</v>
      </c>
      <c r="G189" s="31">
        <v>18.560550689697266</v>
      </c>
      <c r="H189" s="31">
        <v>243818.484375</v>
      </c>
      <c r="I189" s="31">
        <f t="shared" si="47"/>
        <v>230835.84582112631</v>
      </c>
      <c r="J189" s="31">
        <f t="shared" si="46"/>
        <v>24298.510086434348</v>
      </c>
      <c r="K189" s="31">
        <v>22.145429611206055</v>
      </c>
      <c r="L189" s="31">
        <v>19788.373046875</v>
      </c>
      <c r="M189" s="31">
        <f t="shared" si="48"/>
        <v>6805.7344930013023</v>
      </c>
      <c r="N189" s="32">
        <f t="shared" si="35"/>
        <v>7163.9310452645295</v>
      </c>
      <c r="O189" s="31">
        <v>31.958885192871094</v>
      </c>
      <c r="P189" s="31">
        <v>20.09101676940918</v>
      </c>
      <c r="Q189" s="31">
        <f t="shared" si="36"/>
        <v>2.1148438704641244</v>
      </c>
      <c r="R189" s="31">
        <v>33.613842010498047</v>
      </c>
      <c r="S189" s="31">
        <v>6.381767749786377</v>
      </c>
      <c r="T189" s="32">
        <f t="shared" si="37"/>
        <v>6.7176502629330281</v>
      </c>
      <c r="U189" s="31">
        <v>29.982961654663086</v>
      </c>
      <c r="V189" s="31">
        <v>45.959716796875</v>
      </c>
      <c r="W189" s="31">
        <f t="shared" si="38"/>
        <v>4.8378649259868425</v>
      </c>
      <c r="X189" s="31">
        <v>33.955562591552734</v>
      </c>
      <c r="Y189" s="31">
        <v>3.5347261428833008</v>
      </c>
      <c r="Z189" s="32">
        <f t="shared" si="39"/>
        <v>3.7207643609297905</v>
      </c>
      <c r="AA189" s="31">
        <v>30.248077392578125</v>
      </c>
      <c r="AB189" s="31">
        <v>4.553466796875</v>
      </c>
      <c r="AC189" s="31">
        <f t="shared" si="40"/>
        <v>0.47931229440789475</v>
      </c>
      <c r="AD189" t="s">
        <v>66</v>
      </c>
      <c r="AF189" s="32">
        <f t="shared" si="41"/>
        <v>0</v>
      </c>
      <c r="AG189" s="31">
        <v>32.253814697265625</v>
      </c>
      <c r="AH189" s="31">
        <v>22.882568359375</v>
      </c>
      <c r="AI189" s="31">
        <f t="shared" si="42"/>
        <v>2.40869140625</v>
      </c>
      <c r="AJ189" s="31">
        <v>38.112113952636719</v>
      </c>
      <c r="AK189" s="31">
        <v>0.73025733232498169</v>
      </c>
      <c r="AL189" s="32">
        <f t="shared" si="43"/>
        <v>0.76869192876313863</v>
      </c>
    </row>
    <row r="190" spans="1:38" ht="15.15" thickBot="1" x14ac:dyDescent="0.35">
      <c r="A190" s="33" t="s">
        <v>74</v>
      </c>
      <c r="B190" s="30">
        <v>44412</v>
      </c>
      <c r="C190" s="33">
        <v>900</v>
      </c>
      <c r="D190" s="1461" t="s">
        <v>65</v>
      </c>
      <c r="E190" s="30">
        <v>44491</v>
      </c>
      <c r="F190" s="24">
        <v>100</v>
      </c>
      <c r="G190" s="31">
        <v>20.064113616943359</v>
      </c>
      <c r="H190" s="31">
        <v>85040.4609375</v>
      </c>
      <c r="I190" s="31">
        <f t="shared" si="47"/>
        <v>72057.822383626306</v>
      </c>
      <c r="J190" s="31">
        <f t="shared" si="46"/>
        <v>8006.4247092918122</v>
      </c>
      <c r="K190" s="31">
        <v>22.586648941040039</v>
      </c>
      <c r="L190" s="31">
        <v>14526.94921875</v>
      </c>
      <c r="M190" s="31">
        <f t="shared" si="48"/>
        <v>1544.3106648763023</v>
      </c>
      <c r="N190" s="32">
        <f t="shared" si="35"/>
        <v>1715.9007387514469</v>
      </c>
      <c r="O190" s="31">
        <v>30.946060180664063</v>
      </c>
      <c r="P190" s="31">
        <v>40.533363342285156</v>
      </c>
      <c r="Q190" s="31">
        <f t="shared" si="36"/>
        <v>4.5037070380316839</v>
      </c>
      <c r="R190" s="31">
        <v>34.244098663330078</v>
      </c>
      <c r="S190" s="31">
        <v>4.1234869956970215</v>
      </c>
      <c r="T190" s="32">
        <f t="shared" si="37"/>
        <v>4.5816522174411354</v>
      </c>
      <c r="U190" s="31">
        <v>34.688251495361328</v>
      </c>
      <c r="V190" s="31">
        <v>2.2023715972900391</v>
      </c>
      <c r="W190" s="31">
        <f t="shared" si="38"/>
        <v>0.24470795525444877</v>
      </c>
      <c r="X190" s="31">
        <v>36.251605987548828</v>
      </c>
      <c r="Y190" s="31">
        <v>0.80257374048233032</v>
      </c>
      <c r="Z190" s="32">
        <f t="shared" si="39"/>
        <v>0.89174860053592253</v>
      </c>
      <c r="AA190" s="31">
        <v>29.796222686767578</v>
      </c>
      <c r="AB190" s="31">
        <v>6.0866599082946777</v>
      </c>
      <c r="AC190" s="31">
        <f t="shared" si="40"/>
        <v>0.67629554536607528</v>
      </c>
      <c r="AD190" s="31">
        <v>31.675756454467773</v>
      </c>
      <c r="AE190" s="31">
        <v>1.8201888799667358</v>
      </c>
      <c r="AF190" s="32">
        <f t="shared" si="41"/>
        <v>2.0224320888519287</v>
      </c>
      <c r="AG190" t="s">
        <v>66</v>
      </c>
      <c r="AI190" s="31">
        <f t="shared" si="42"/>
        <v>0</v>
      </c>
      <c r="AJ190" t="s">
        <v>66</v>
      </c>
      <c r="AL190" s="32">
        <f t="shared" si="43"/>
        <v>0</v>
      </c>
    </row>
    <row r="191" spans="1:38" ht="15.15" thickBot="1" x14ac:dyDescent="0.35">
      <c r="A191" s="33" t="s">
        <v>75</v>
      </c>
      <c r="B191" s="30">
        <v>44412</v>
      </c>
      <c r="C191" s="33">
        <v>900</v>
      </c>
      <c r="D191" s="1461" t="s">
        <v>65</v>
      </c>
      <c r="E191" s="30">
        <v>44491</v>
      </c>
      <c r="F191" s="24">
        <v>100</v>
      </c>
      <c r="G191" s="31">
        <v>20.810688018798828</v>
      </c>
      <c r="H191" s="31">
        <v>50406.81640625</v>
      </c>
      <c r="I191" s="31">
        <f t="shared" si="47"/>
        <v>37424.177852376306</v>
      </c>
      <c r="J191" s="31">
        <f t="shared" si="46"/>
        <v>4158.2419835973678</v>
      </c>
      <c r="K191" s="31">
        <v>23.529008865356445</v>
      </c>
      <c r="L191" s="31">
        <v>7507.1083984375</v>
      </c>
      <c r="M191" s="31">
        <f t="shared" si="48"/>
        <v>-5475.5301554361977</v>
      </c>
      <c r="N191" s="32">
        <f t="shared" si="35"/>
        <v>-6083.9223949291081</v>
      </c>
      <c r="O191" s="31">
        <v>30.85711669921875</v>
      </c>
      <c r="P191" s="31">
        <v>43.110221862792969</v>
      </c>
      <c r="Q191" s="31">
        <f t="shared" si="36"/>
        <v>4.7900246514214411</v>
      </c>
      <c r="R191" s="31">
        <v>34.544326782226563</v>
      </c>
      <c r="S191" s="31">
        <v>3.3489656448364258</v>
      </c>
      <c r="T191" s="32">
        <f t="shared" si="37"/>
        <v>3.72107293870714</v>
      </c>
      <c r="U191" s="31">
        <v>36.605567932128906</v>
      </c>
      <c r="V191" s="31">
        <v>0.63859385251998901</v>
      </c>
      <c r="W191" s="31">
        <f t="shared" si="38"/>
        <v>7.0954872502221003E-2</v>
      </c>
      <c r="X191" s="31">
        <v>36.455234527587891</v>
      </c>
      <c r="Y191" s="31">
        <v>0.70369124412536621</v>
      </c>
      <c r="Z191" s="32">
        <f t="shared" si="39"/>
        <v>0.78187916013929581</v>
      </c>
      <c r="AA191" s="31">
        <v>30.218723297119141</v>
      </c>
      <c r="AB191" s="31">
        <v>4.6401286125183105</v>
      </c>
      <c r="AC191" s="31">
        <f t="shared" si="40"/>
        <v>0.5155698458353678</v>
      </c>
      <c r="AD191" t="s">
        <v>66</v>
      </c>
      <c r="AF191" s="32">
        <f t="shared" si="41"/>
        <v>0</v>
      </c>
      <c r="AG191" t="s">
        <v>66</v>
      </c>
      <c r="AI191" s="31">
        <f t="shared" si="42"/>
        <v>0</v>
      </c>
      <c r="AJ191" t="s">
        <v>66</v>
      </c>
      <c r="AL191" s="32">
        <f t="shared" si="43"/>
        <v>0</v>
      </c>
    </row>
    <row r="192" spans="1:38" ht="15.15" thickBot="1" x14ac:dyDescent="0.35">
      <c r="A192" s="33" t="s">
        <v>76</v>
      </c>
      <c r="B192" s="30">
        <v>44412</v>
      </c>
      <c r="C192" s="33">
        <v>940</v>
      </c>
      <c r="D192" s="1461" t="s">
        <v>65</v>
      </c>
      <c r="E192" s="30">
        <v>44491</v>
      </c>
      <c r="F192" s="24">
        <v>100</v>
      </c>
      <c r="G192" s="31">
        <v>15.468379974365234</v>
      </c>
      <c r="H192" s="31">
        <v>2127269.75</v>
      </c>
      <c r="I192" s="31">
        <f t="shared" si="47"/>
        <v>2114287.1114461264</v>
      </c>
      <c r="J192" s="31">
        <f t="shared" si="46"/>
        <v>224924.16079214111</v>
      </c>
      <c r="K192" s="31">
        <v>18.206680297851563</v>
      </c>
      <c r="L192" s="31">
        <v>312411.8125</v>
      </c>
      <c r="M192" s="31">
        <f t="shared" si="48"/>
        <v>299429.17394612631</v>
      </c>
      <c r="N192" s="32">
        <f t="shared" si="35"/>
        <v>318541.67441077263</v>
      </c>
      <c r="O192" s="31">
        <v>27.994468688964844</v>
      </c>
      <c r="P192" s="31">
        <v>313.39862060546875</v>
      </c>
      <c r="Q192" s="31">
        <f t="shared" si="36"/>
        <v>33.340278787815826</v>
      </c>
      <c r="R192" s="31">
        <v>30.954055786132813</v>
      </c>
      <c r="S192" s="31">
        <v>40.309402465820313</v>
      </c>
      <c r="T192" s="32">
        <f t="shared" si="37"/>
        <v>42.882343048745014</v>
      </c>
      <c r="U192" s="31">
        <v>25.414493560791016</v>
      </c>
      <c r="V192" s="31">
        <v>878.00244140625</v>
      </c>
      <c r="W192" s="31">
        <f t="shared" si="38"/>
        <v>93.404515043218083</v>
      </c>
      <c r="X192" s="31">
        <v>28.370578765869141</v>
      </c>
      <c r="Y192" s="31">
        <v>130.17626953125</v>
      </c>
      <c r="Z192" s="32">
        <f t="shared" si="39"/>
        <v>138.48539311835106</v>
      </c>
      <c r="AA192" s="31">
        <v>29.339820861816406</v>
      </c>
      <c r="AB192" s="31">
        <v>8.1598882675170898</v>
      </c>
      <c r="AC192" s="31">
        <f t="shared" si="40"/>
        <v>0.86807321994862663</v>
      </c>
      <c r="AD192" t="s">
        <v>66</v>
      </c>
      <c r="AF192" s="32">
        <f t="shared" si="41"/>
        <v>0</v>
      </c>
      <c r="AG192" s="31">
        <v>24.887418746948242</v>
      </c>
      <c r="AH192" s="31">
        <v>1740.4234619140625</v>
      </c>
      <c r="AI192" s="31">
        <f t="shared" si="42"/>
        <v>185.15143211851728</v>
      </c>
      <c r="AJ192" s="31">
        <v>28.700822830200195</v>
      </c>
      <c r="AK192" s="31">
        <v>184.85415649414063</v>
      </c>
      <c r="AL192" s="32">
        <f t="shared" si="43"/>
        <v>196.65335797249003</v>
      </c>
    </row>
    <row r="193" spans="1:38" ht="15.15" thickBot="1" x14ac:dyDescent="0.35">
      <c r="A193" s="33" t="s">
        <v>77</v>
      </c>
      <c r="B193" s="30">
        <v>44412</v>
      </c>
      <c r="C193" s="33">
        <v>1000</v>
      </c>
      <c r="D193" s="1461" t="s">
        <v>65</v>
      </c>
      <c r="E193" s="30">
        <v>44491</v>
      </c>
      <c r="F193" s="24">
        <v>100</v>
      </c>
      <c r="G193" s="31">
        <v>8.7335424423217773</v>
      </c>
      <c r="H193" s="31">
        <v>238131216</v>
      </c>
      <c r="I193" s="31">
        <f t="shared" si="47"/>
        <v>238118233.36144611</v>
      </c>
      <c r="J193" s="31">
        <f t="shared" si="46"/>
        <v>23811823.336144611</v>
      </c>
      <c r="K193" s="31">
        <v>11.606509208679199</v>
      </c>
      <c r="L193" s="31">
        <v>31823692</v>
      </c>
      <c r="M193" s="31">
        <f t="shared" si="48"/>
        <v>31810709.361446127</v>
      </c>
      <c r="N193" s="32">
        <f>(M193*($F193*10))/($C193)</f>
        <v>31810709.361446127</v>
      </c>
      <c r="O193" s="31">
        <v>28.408882141113281</v>
      </c>
      <c r="P193" s="31">
        <v>235.16838073730469</v>
      </c>
      <c r="Q193" s="31">
        <f t="shared" si="36"/>
        <v>23.516838073730469</v>
      </c>
      <c r="R193" s="31">
        <v>30.995515823364258</v>
      </c>
      <c r="S193" s="31">
        <v>39.167774200439453</v>
      </c>
      <c r="T193" s="32">
        <f t="shared" si="37"/>
        <v>39.167774200439453</v>
      </c>
      <c r="U193" s="31">
        <v>26.186180114746094</v>
      </c>
      <c r="V193" s="31">
        <v>533.4510498046875</v>
      </c>
      <c r="W193" s="31">
        <f t="shared" si="38"/>
        <v>53.345104980468747</v>
      </c>
      <c r="X193" s="31">
        <v>29.471223831176758</v>
      </c>
      <c r="Y193" s="31">
        <v>63.95611572265625</v>
      </c>
      <c r="Z193" s="32">
        <f t="shared" si="39"/>
        <v>63.95611572265625</v>
      </c>
      <c r="AA193" s="31">
        <v>29.87959098815918</v>
      </c>
      <c r="AB193" s="31">
        <v>5.7693243026733398</v>
      </c>
      <c r="AC193" s="31">
        <f t="shared" si="40"/>
        <v>0.57693243026733398</v>
      </c>
      <c r="AD193" s="31">
        <v>32.090984344482422</v>
      </c>
      <c r="AE193" s="31">
        <v>1.3941067457199097</v>
      </c>
      <c r="AF193" s="32">
        <f t="shared" si="41"/>
        <v>1.3941067457199097</v>
      </c>
      <c r="AG193" s="31">
        <v>24.88646125793457</v>
      </c>
      <c r="AH193" s="31">
        <v>1741.4036865234375</v>
      </c>
      <c r="AI193" s="31">
        <f t="shared" si="42"/>
        <v>174.14036865234374</v>
      </c>
      <c r="AJ193" s="31">
        <v>27.948446273803711</v>
      </c>
      <c r="AK193" s="31">
        <v>287.71530151367188</v>
      </c>
      <c r="AL193" s="32">
        <f t="shared" si="43"/>
        <v>287.71530151367188</v>
      </c>
    </row>
    <row r="194" spans="1:38" ht="15.15" thickBot="1" x14ac:dyDescent="0.35">
      <c r="A194" s="33" t="s">
        <v>78</v>
      </c>
      <c r="B194" s="30">
        <v>44412</v>
      </c>
      <c r="C194" s="33">
        <v>1000</v>
      </c>
      <c r="D194" s="1461" t="s">
        <v>65</v>
      </c>
      <c r="E194" s="30">
        <v>44491</v>
      </c>
      <c r="F194" s="24">
        <v>100</v>
      </c>
      <c r="G194" s="31">
        <v>14.904446601867676</v>
      </c>
      <c r="H194" s="31">
        <v>3157857.75</v>
      </c>
      <c r="I194" s="31">
        <f t="shared" si="47"/>
        <v>3144875.1114461264</v>
      </c>
      <c r="J194" s="31">
        <f t="shared" si="46"/>
        <v>314487.51114461262</v>
      </c>
      <c r="K194" s="31">
        <v>17.79698371887207</v>
      </c>
      <c r="L194" s="31">
        <v>416267.71875</v>
      </c>
      <c r="M194" s="31">
        <f t="shared" si="48"/>
        <v>403285.08019612631</v>
      </c>
      <c r="N194" s="32">
        <f t="shared" si="35"/>
        <v>403285.08019612631</v>
      </c>
      <c r="O194" s="31">
        <v>31.077102661132813</v>
      </c>
      <c r="P194" s="31">
        <v>37.014789581298828</v>
      </c>
      <c r="Q194" s="31">
        <f t="shared" si="36"/>
        <v>3.7014789581298828</v>
      </c>
      <c r="R194" s="31">
        <v>34.536109924316406</v>
      </c>
      <c r="S194" s="31">
        <v>3.368088960647583</v>
      </c>
      <c r="T194" s="32">
        <f t="shared" si="37"/>
        <v>3.368088960647583</v>
      </c>
      <c r="U194" s="31">
        <v>27.313604354858398</v>
      </c>
      <c r="V194" s="31">
        <v>257.59368896484375</v>
      </c>
      <c r="W194" s="31">
        <f t="shared" si="38"/>
        <v>25.759368896484375</v>
      </c>
      <c r="X194" s="31">
        <v>30.790792465209961</v>
      </c>
      <c r="Y194" s="31">
        <v>27.279750823974609</v>
      </c>
      <c r="Z194" s="32">
        <f t="shared" si="39"/>
        <v>27.279750823974609</v>
      </c>
      <c r="AA194" s="31">
        <v>28.132722854614258</v>
      </c>
      <c r="AB194" s="31">
        <v>17.716697692871094</v>
      </c>
      <c r="AC194" s="31">
        <f t="shared" si="40"/>
        <v>1.7716697692871093</v>
      </c>
      <c r="AD194" s="31">
        <v>31.496271133422852</v>
      </c>
      <c r="AE194" s="31">
        <v>2.0425877571105957</v>
      </c>
      <c r="AF194" s="32">
        <f t="shared" si="41"/>
        <v>2.0425877571105957</v>
      </c>
      <c r="AG194" s="31">
        <v>24.569562911987305</v>
      </c>
      <c r="AH194" s="31">
        <v>2098.0966796875</v>
      </c>
      <c r="AI194" s="31">
        <f t="shared" si="42"/>
        <v>209.80966796875001</v>
      </c>
      <c r="AJ194" s="31">
        <v>27.813833236694336</v>
      </c>
      <c r="AK194" s="31">
        <v>311.41461181640625</v>
      </c>
      <c r="AL194" s="32">
        <f t="shared" si="43"/>
        <v>311.41461181640625</v>
      </c>
    </row>
    <row r="195" spans="1:38" ht="15.15" thickBot="1" x14ac:dyDescent="0.35">
      <c r="A195" s="33" t="s">
        <v>79</v>
      </c>
      <c r="B195" s="30">
        <v>44412</v>
      </c>
      <c r="C195" s="33">
        <v>900</v>
      </c>
      <c r="D195" s="1461" t="s">
        <v>65</v>
      </c>
      <c r="E195" s="30">
        <v>44491</v>
      </c>
      <c r="F195" s="24">
        <v>100</v>
      </c>
      <c r="G195" s="31">
        <v>13.812255859375</v>
      </c>
      <c r="H195" s="31">
        <v>6787010.5</v>
      </c>
      <c r="I195" s="31">
        <f t="shared" si="47"/>
        <v>6774027.8614461264</v>
      </c>
      <c r="J195" s="31">
        <f t="shared" si="46"/>
        <v>752669.76238290302</v>
      </c>
      <c r="K195" s="31">
        <v>16.899646759033203</v>
      </c>
      <c r="L195" s="31">
        <v>780506.9375</v>
      </c>
      <c r="M195" s="31">
        <f t="shared" si="48"/>
        <v>767524.29894612625</v>
      </c>
      <c r="N195" s="32">
        <f t="shared" si="35"/>
        <v>852804.7766068069</v>
      </c>
      <c r="O195" s="31">
        <v>31.55195426940918</v>
      </c>
      <c r="P195" s="31">
        <v>26.635950088500977</v>
      </c>
      <c r="Q195" s="31">
        <f t="shared" si="36"/>
        <v>2.9595500098334417</v>
      </c>
      <c r="R195" s="31">
        <v>33.41455078125</v>
      </c>
      <c r="S195" s="31">
        <v>7.3268604278564453</v>
      </c>
      <c r="T195" s="32">
        <f t="shared" si="37"/>
        <v>8.1409560309516067</v>
      </c>
      <c r="U195" s="31">
        <v>27.185388565063477</v>
      </c>
      <c r="V195" s="31">
        <v>279.82742309570313</v>
      </c>
      <c r="W195" s="31">
        <f t="shared" si="38"/>
        <v>31.091935899522568</v>
      </c>
      <c r="X195" s="31">
        <v>29.698253631591797</v>
      </c>
      <c r="Y195" s="31">
        <v>55.235332489013672</v>
      </c>
      <c r="Z195" s="32">
        <f t="shared" si="39"/>
        <v>61.372591654459633</v>
      </c>
      <c r="AA195" s="31">
        <v>26.801422119140625</v>
      </c>
      <c r="AB195" s="31">
        <v>41.660598754882813</v>
      </c>
      <c r="AC195" s="31">
        <f t="shared" si="40"/>
        <v>4.6289554172092018</v>
      </c>
      <c r="AD195" s="31">
        <v>30.105449676513672</v>
      </c>
      <c r="AE195" s="31">
        <v>4.9902887344360352</v>
      </c>
      <c r="AF195" s="32">
        <f t="shared" si="41"/>
        <v>5.5447652604844837</v>
      </c>
      <c r="AG195" s="31">
        <v>24.452770233154297</v>
      </c>
      <c r="AH195" s="31">
        <v>2247.246826171875</v>
      </c>
      <c r="AI195" s="31">
        <f t="shared" si="42"/>
        <v>249.694091796875</v>
      </c>
      <c r="AJ195" s="31">
        <v>28.018842697143555</v>
      </c>
      <c r="AK195" s="31">
        <v>276.048828125</v>
      </c>
      <c r="AL195" s="32">
        <f t="shared" si="43"/>
        <v>306.72092013888891</v>
      </c>
    </row>
    <row r="196" spans="1:38" ht="15.15" thickBot="1" x14ac:dyDescent="0.35">
      <c r="A196" s="33" t="s">
        <v>80</v>
      </c>
      <c r="B196" s="30">
        <v>44412</v>
      </c>
      <c r="C196" s="33">
        <v>1000</v>
      </c>
      <c r="D196" s="1461" t="s">
        <v>65</v>
      </c>
      <c r="E196" s="30">
        <v>44491</v>
      </c>
      <c r="F196" s="24">
        <v>100</v>
      </c>
      <c r="G196" s="31">
        <v>21.251625061035156</v>
      </c>
      <c r="H196" s="31">
        <v>37011.734375</v>
      </c>
      <c r="I196" s="31">
        <f t="shared" si="47"/>
        <v>24029.095821126302</v>
      </c>
      <c r="J196" s="31">
        <f t="shared" si="46"/>
        <v>2402.9095821126302</v>
      </c>
      <c r="K196" s="31">
        <v>23.986415863037109</v>
      </c>
      <c r="L196" s="31">
        <v>5448.9404296875</v>
      </c>
      <c r="M196" s="31">
        <f t="shared" si="48"/>
        <v>-7533.6981241861977</v>
      </c>
      <c r="N196" s="32">
        <f t="shared" si="35"/>
        <v>-7533.6981241861977</v>
      </c>
      <c r="O196" s="31">
        <v>31.858633041381836</v>
      </c>
      <c r="P196" s="31">
        <v>21.53639030456543</v>
      </c>
      <c r="Q196" s="31">
        <f t="shared" si="36"/>
        <v>2.1536390304565431</v>
      </c>
      <c r="R196" s="31">
        <v>36.183986663818359</v>
      </c>
      <c r="S196" s="31">
        <v>1.0751112699508667</v>
      </c>
      <c r="T196" s="32">
        <f t="shared" si="37"/>
        <v>1.0751112699508667</v>
      </c>
      <c r="U196" s="31">
        <v>33.204261779785156</v>
      </c>
      <c r="V196" s="31">
        <v>5.741696834564209</v>
      </c>
      <c r="W196" s="31">
        <f t="shared" si="38"/>
        <v>0.57416968345642094</v>
      </c>
      <c r="X196" s="31">
        <v>39.186714172363281</v>
      </c>
      <c r="Y196" s="31">
        <v>0.12061562389135361</v>
      </c>
      <c r="Z196" s="32">
        <f t="shared" si="39"/>
        <v>0.12061562389135361</v>
      </c>
      <c r="AA196" s="31">
        <v>31.345977783203125</v>
      </c>
      <c r="AB196" s="31">
        <v>2.2495849132537842</v>
      </c>
      <c r="AC196" s="31">
        <f t="shared" si="40"/>
        <v>0.22495849132537843</v>
      </c>
      <c r="AD196" t="s">
        <v>66</v>
      </c>
      <c r="AF196" s="32">
        <f t="shared" si="41"/>
        <v>0</v>
      </c>
      <c r="AG196" t="s">
        <v>66</v>
      </c>
      <c r="AI196" s="31">
        <f t="shared" si="42"/>
        <v>0</v>
      </c>
      <c r="AJ196" t="s">
        <v>66</v>
      </c>
      <c r="AL196" s="32">
        <f t="shared" si="43"/>
        <v>0</v>
      </c>
    </row>
    <row r="197" spans="1:38" ht="15.15" thickBot="1" x14ac:dyDescent="0.35">
      <c r="A197" s="33" t="s">
        <v>81</v>
      </c>
      <c r="B197" s="30">
        <v>44412</v>
      </c>
      <c r="C197" s="33">
        <v>960</v>
      </c>
      <c r="D197" s="1461" t="s">
        <v>65</v>
      </c>
      <c r="E197" s="30">
        <v>44491</v>
      </c>
      <c r="F197" s="24">
        <v>100</v>
      </c>
      <c r="G197" s="31">
        <v>16.407098770141602</v>
      </c>
      <c r="H197" s="31">
        <v>1102119.375</v>
      </c>
      <c r="I197" s="31">
        <f t="shared" si="47"/>
        <v>1089136.7364461264</v>
      </c>
      <c r="J197" s="31">
        <f t="shared" si="46"/>
        <v>113451.74337980483</v>
      </c>
      <c r="K197" s="31">
        <v>19.825040817260742</v>
      </c>
      <c r="L197" s="31">
        <v>100545.0390625</v>
      </c>
      <c r="M197" s="31">
        <f t="shared" si="48"/>
        <v>87562.400508626306</v>
      </c>
      <c r="N197" s="32">
        <f t="shared" ref="N197:N245" si="49">(M197*($F197*10))/($C197)</f>
        <v>91210.833863152409</v>
      </c>
      <c r="O197" s="31">
        <v>29.789213180541992</v>
      </c>
      <c r="P197" s="31">
        <v>90.358062744140625</v>
      </c>
      <c r="Q197" s="31">
        <f t="shared" ref="Q197:Q257" si="50">(P197*$F197)/$C197</f>
        <v>9.4122982025146484</v>
      </c>
      <c r="R197" s="31">
        <v>36.642097473144531</v>
      </c>
      <c r="S197" s="31">
        <v>0.7826804518699646</v>
      </c>
      <c r="T197" s="32">
        <f t="shared" ref="T197:T257" si="51">(S197*($F197*10))/($C197)</f>
        <v>0.81529213736454642</v>
      </c>
      <c r="U197" s="31">
        <v>32.806941986083984</v>
      </c>
      <c r="V197" s="31">
        <v>7.4209437370300293</v>
      </c>
      <c r="W197" s="31">
        <f t="shared" ref="W197:W245" si="52">(V197*$F197)/$C197</f>
        <v>0.77301497260729468</v>
      </c>
      <c r="X197" s="31">
        <v>37.584175109863281</v>
      </c>
      <c r="Y197" s="31">
        <v>0.33946701884269714</v>
      </c>
      <c r="Z197" s="32">
        <f t="shared" ref="Z197:Z245" si="53">(Y197*($F197*10))/($C197)</f>
        <v>0.35361147796114284</v>
      </c>
      <c r="AA197" s="31">
        <v>30.51911735534668</v>
      </c>
      <c r="AB197" s="31">
        <v>3.8259599208831787</v>
      </c>
      <c r="AC197" s="31">
        <f t="shared" ref="AC197:AC245" si="54">(AB197*$F197)/$C197</f>
        <v>0.39853749175866443</v>
      </c>
      <c r="AD197" s="31">
        <v>32.136444091796875</v>
      </c>
      <c r="AE197" s="31">
        <v>1.3539911508560181</v>
      </c>
      <c r="AF197" s="32">
        <f t="shared" ref="AF197:AF245" si="55">(AE197*($F197*10))/($C197)</f>
        <v>1.4104074488083522</v>
      </c>
      <c r="AG197" t="s">
        <v>66</v>
      </c>
      <c r="AI197" s="31">
        <f t="shared" ref="AI197:AI257" si="56">(AH197*$F197)/$C197</f>
        <v>0</v>
      </c>
      <c r="AJ197" s="31">
        <v>39.022430419921875</v>
      </c>
      <c r="AK197" s="31">
        <v>0.42757195234298706</v>
      </c>
      <c r="AL197" s="32">
        <f t="shared" ref="AL197:AL257" si="57">(AK197*($F197*10))/($C197)</f>
        <v>0.44538745035727817</v>
      </c>
    </row>
    <row r="198" spans="1:38" ht="15.15" thickBot="1" x14ac:dyDescent="0.35">
      <c r="A198" s="33" t="s">
        <v>64</v>
      </c>
      <c r="B198" s="30">
        <v>44419</v>
      </c>
      <c r="C198" s="33">
        <v>940</v>
      </c>
      <c r="D198" s="1461" t="s">
        <v>65</v>
      </c>
      <c r="E198" s="30">
        <v>44501</v>
      </c>
      <c r="F198" s="24">
        <v>100</v>
      </c>
      <c r="G198" s="31">
        <v>19.156782150268555</v>
      </c>
      <c r="H198" s="31">
        <v>160572.1875</v>
      </c>
      <c r="I198" s="31">
        <f t="shared" si="47"/>
        <v>147589.54894612631</v>
      </c>
      <c r="J198" s="31">
        <f t="shared" si="46"/>
        <v>15701.015845332586</v>
      </c>
      <c r="K198" s="31">
        <v>22.508766174316406</v>
      </c>
      <c r="L198" s="31">
        <v>15341.552734375</v>
      </c>
      <c r="M198" s="31">
        <f t="shared" si="48"/>
        <v>2358.9141805013023</v>
      </c>
      <c r="N198" s="32">
        <f t="shared" si="49"/>
        <v>2509.4831707460662</v>
      </c>
      <c r="O198" s="31">
        <v>32.512104034423828</v>
      </c>
      <c r="P198" s="31">
        <v>13.693364143371582</v>
      </c>
      <c r="Q198" s="31">
        <f t="shared" si="50"/>
        <v>1.4567408663161256</v>
      </c>
      <c r="R198" s="31">
        <v>36.292255401611328</v>
      </c>
      <c r="S198" s="31">
        <v>0.99740099906921387</v>
      </c>
      <c r="T198" s="32">
        <f t="shared" si="51"/>
        <v>1.0610648926268234</v>
      </c>
      <c r="U198" s="31">
        <v>32.398563385009766</v>
      </c>
      <c r="V198" s="31">
        <v>9.6600465774536133</v>
      </c>
      <c r="W198" s="31">
        <f t="shared" si="52"/>
        <v>1.0276645295163418</v>
      </c>
      <c r="X198" s="31">
        <v>34.338115692138672</v>
      </c>
      <c r="Y198" s="31">
        <v>2.7610726356506348</v>
      </c>
      <c r="Z198" s="32">
        <f t="shared" si="53"/>
        <v>2.9373113145219518</v>
      </c>
      <c r="AA198" s="31">
        <v>30.087734222412109</v>
      </c>
      <c r="AB198" s="31">
        <v>5.0473923683166504</v>
      </c>
      <c r="AC198" s="31">
        <f t="shared" si="54"/>
        <v>0.53695663492730328</v>
      </c>
      <c r="AD198" t="s">
        <v>66</v>
      </c>
      <c r="AF198" s="32">
        <f t="shared" si="55"/>
        <v>0</v>
      </c>
      <c r="AG198" s="31">
        <v>39.613780975341797</v>
      </c>
      <c r="AH198" s="31">
        <v>0.3019927442073822</v>
      </c>
      <c r="AI198" s="31">
        <f t="shared" si="56"/>
        <v>3.2126887681636407E-2</v>
      </c>
      <c r="AJ198" t="s">
        <v>66</v>
      </c>
      <c r="AL198" s="32">
        <f t="shared" si="57"/>
        <v>0</v>
      </c>
    </row>
    <row r="199" spans="1:38" ht="15.15" thickBot="1" x14ac:dyDescent="0.35">
      <c r="A199" s="33" t="s">
        <v>67</v>
      </c>
      <c r="B199" s="30">
        <v>44419</v>
      </c>
      <c r="C199" s="33">
        <v>950</v>
      </c>
      <c r="D199" s="1461" t="s">
        <v>65</v>
      </c>
      <c r="E199" s="30">
        <v>44501</v>
      </c>
      <c r="F199" s="24">
        <v>100</v>
      </c>
      <c r="G199" s="31">
        <v>17.739261627197266</v>
      </c>
      <c r="H199" s="31">
        <v>433445</v>
      </c>
      <c r="I199" s="31">
        <f t="shared" si="47"/>
        <v>420462.36144612631</v>
      </c>
      <c r="J199" s="31">
        <f t="shared" si="46"/>
        <v>44259.195941697508</v>
      </c>
      <c r="K199" s="31">
        <v>21.156517028808594</v>
      </c>
      <c r="L199" s="31">
        <v>39561.69921875</v>
      </c>
      <c r="M199" s="31">
        <f t="shared" si="48"/>
        <v>26579.060664876302</v>
      </c>
      <c r="N199" s="32">
        <f t="shared" si="49"/>
        <v>27977.958594606633</v>
      </c>
      <c r="O199" s="31">
        <v>31.612228393554688</v>
      </c>
      <c r="P199" s="31">
        <v>25.546337127685547</v>
      </c>
      <c r="Q199" s="31">
        <f t="shared" si="50"/>
        <v>2.6890881187037419</v>
      </c>
      <c r="R199" s="31">
        <v>35.840137481689453</v>
      </c>
      <c r="S199" s="31">
        <v>1.3643794059753418</v>
      </c>
      <c r="T199" s="32">
        <f t="shared" si="51"/>
        <v>1.4361888483950966</v>
      </c>
      <c r="U199" s="31">
        <v>31.790031433105469</v>
      </c>
      <c r="V199" s="31">
        <v>14.309601783752441</v>
      </c>
      <c r="W199" s="31">
        <f t="shared" si="52"/>
        <v>1.5062738719739412</v>
      </c>
      <c r="X199" s="31">
        <v>34.282062530517578</v>
      </c>
      <c r="Y199" s="31">
        <v>2.8628370761871338</v>
      </c>
      <c r="Z199" s="32">
        <f t="shared" si="53"/>
        <v>3.0135127117759302</v>
      </c>
      <c r="AA199" s="31">
        <v>30.44000244140625</v>
      </c>
      <c r="AB199" s="31">
        <v>4.0253915786743164</v>
      </c>
      <c r="AC199" s="31">
        <f t="shared" si="54"/>
        <v>0.42372542933413859</v>
      </c>
      <c r="AD199" t="s">
        <v>66</v>
      </c>
      <c r="AF199" s="32">
        <f t="shared" si="55"/>
        <v>0</v>
      </c>
      <c r="AG199" s="31">
        <v>37.237514495849609</v>
      </c>
      <c r="AH199" s="31">
        <v>1.2212979793548584</v>
      </c>
      <c r="AI199" s="31">
        <f t="shared" si="56"/>
        <v>0.12855768203735352</v>
      </c>
      <c r="AJ199" t="s">
        <v>66</v>
      </c>
      <c r="AL199" s="32">
        <f t="shared" si="57"/>
        <v>0</v>
      </c>
    </row>
    <row r="200" spans="1:38" ht="15.15" thickBot="1" x14ac:dyDescent="0.35">
      <c r="A200" s="33" t="s">
        <v>68</v>
      </c>
      <c r="B200" s="30">
        <v>44419</v>
      </c>
      <c r="C200" s="33">
        <v>900</v>
      </c>
      <c r="D200" s="1461" t="s">
        <v>65</v>
      </c>
      <c r="E200" s="30">
        <v>44501</v>
      </c>
      <c r="F200" s="24">
        <v>100</v>
      </c>
      <c r="G200" s="31">
        <v>17.805286407470703</v>
      </c>
      <c r="H200" s="31">
        <v>413853.625</v>
      </c>
      <c r="I200" s="31">
        <f t="shared" si="47"/>
        <v>400870.98644612631</v>
      </c>
      <c r="J200" s="31">
        <f t="shared" si="46"/>
        <v>44541.220716236261</v>
      </c>
      <c r="K200" s="31">
        <v>20.795173645019531</v>
      </c>
      <c r="L200" s="31">
        <v>50957.64453125</v>
      </c>
      <c r="M200" s="31">
        <f t="shared" si="48"/>
        <v>37975.005977376306</v>
      </c>
      <c r="N200" s="32">
        <f t="shared" si="49"/>
        <v>42194.451085973669</v>
      </c>
      <c r="O200" s="31">
        <v>29.904788970947266</v>
      </c>
      <c r="P200" s="31">
        <v>83.403495788574219</v>
      </c>
      <c r="Q200" s="31">
        <f t="shared" si="50"/>
        <v>9.267055087619358</v>
      </c>
      <c r="R200" s="31">
        <v>34.491390228271484</v>
      </c>
      <c r="S200" s="31">
        <v>3.4740974903106689</v>
      </c>
      <c r="T200" s="32">
        <f t="shared" si="51"/>
        <v>3.86010832256741</v>
      </c>
      <c r="U200" s="31">
        <v>33.143051147460938</v>
      </c>
      <c r="V200" s="31">
        <v>5.9731760025024414</v>
      </c>
      <c r="W200" s="31">
        <f t="shared" si="52"/>
        <v>0.66368622250027132</v>
      </c>
      <c r="X200" t="s">
        <v>66</v>
      </c>
      <c r="Z200" s="32">
        <f t="shared" si="53"/>
        <v>0</v>
      </c>
      <c r="AA200" s="31">
        <v>29.661544799804688</v>
      </c>
      <c r="AB200" s="31">
        <v>6.6365909576416016</v>
      </c>
      <c r="AC200" s="31">
        <f t="shared" si="54"/>
        <v>0.73739899529351127</v>
      </c>
      <c r="AD200" t="s">
        <v>66</v>
      </c>
      <c r="AF200" s="32">
        <f t="shared" si="55"/>
        <v>0</v>
      </c>
      <c r="AG200" t="s">
        <v>66</v>
      </c>
      <c r="AI200" s="31">
        <f t="shared" si="56"/>
        <v>0</v>
      </c>
      <c r="AJ200" t="s">
        <v>66</v>
      </c>
      <c r="AL200" s="32">
        <f t="shared" si="57"/>
        <v>0</v>
      </c>
    </row>
    <row r="201" spans="1:38" ht="15.15" thickBot="1" x14ac:dyDescent="0.35">
      <c r="A201" s="33" t="s">
        <v>69</v>
      </c>
      <c r="B201" s="30">
        <v>44419</v>
      </c>
      <c r="C201" s="33">
        <v>900</v>
      </c>
      <c r="D201" s="1461" t="s">
        <v>65</v>
      </c>
      <c r="E201" s="30">
        <v>44501</v>
      </c>
      <c r="F201" s="24">
        <v>100</v>
      </c>
      <c r="G201" s="31">
        <v>17.875970840454102</v>
      </c>
      <c r="H201" s="31">
        <v>393860</v>
      </c>
      <c r="I201" s="31">
        <f t="shared" si="47"/>
        <v>380877.36144612631</v>
      </c>
      <c r="J201" s="31">
        <f t="shared" si="46"/>
        <v>42319.706827347371</v>
      </c>
      <c r="K201" s="31">
        <v>20.883537292480469</v>
      </c>
      <c r="L201" s="31">
        <v>47898.921875</v>
      </c>
      <c r="M201" s="31">
        <f t="shared" si="48"/>
        <v>34916.283321126306</v>
      </c>
      <c r="N201" s="32">
        <f t="shared" si="49"/>
        <v>38795.870356807005</v>
      </c>
      <c r="O201" s="31">
        <v>30.768043518066406</v>
      </c>
      <c r="P201" s="31">
        <v>45.855022430419922</v>
      </c>
      <c r="Q201" s="31">
        <f t="shared" si="50"/>
        <v>5.0950024922688799</v>
      </c>
      <c r="R201" s="31">
        <v>32.846073150634766</v>
      </c>
      <c r="S201" s="31">
        <v>10.864301681518555</v>
      </c>
      <c r="T201" s="32">
        <f t="shared" si="51"/>
        <v>12.071446312798393</v>
      </c>
      <c r="U201" s="31">
        <v>33.531646728515625</v>
      </c>
      <c r="V201" s="31">
        <v>4.6476445198059082</v>
      </c>
      <c r="W201" s="31">
        <f t="shared" si="52"/>
        <v>0.51640494664510095</v>
      </c>
      <c r="X201" s="31">
        <v>35.393112182617188</v>
      </c>
      <c r="Y201" s="31">
        <v>1.39710533618927</v>
      </c>
      <c r="Z201" s="32">
        <f t="shared" si="53"/>
        <v>1.5523392624325223</v>
      </c>
      <c r="AA201" s="31">
        <v>26.883220672607422</v>
      </c>
      <c r="AB201" s="31">
        <v>39.528400421142578</v>
      </c>
      <c r="AC201" s="31">
        <f t="shared" si="54"/>
        <v>4.3920444912380638</v>
      </c>
      <c r="AD201" s="31">
        <v>31.106695175170898</v>
      </c>
      <c r="AE201" s="31">
        <v>2.6232881546020508</v>
      </c>
      <c r="AF201" s="32">
        <f t="shared" si="55"/>
        <v>2.9147646162245007</v>
      </c>
      <c r="AG201" s="31">
        <v>38.205024719238281</v>
      </c>
      <c r="AH201" s="31">
        <v>0.69143187999725342</v>
      </c>
      <c r="AI201" s="31">
        <f t="shared" si="56"/>
        <v>7.6825764444139272E-2</v>
      </c>
      <c r="AJ201" t="s">
        <v>66</v>
      </c>
      <c r="AL201" s="32">
        <f t="shared" si="57"/>
        <v>0</v>
      </c>
    </row>
    <row r="202" spans="1:38" ht="15.15" thickBot="1" x14ac:dyDescent="0.35">
      <c r="A202" s="33" t="s">
        <v>70</v>
      </c>
      <c r="B202" s="30">
        <v>44419</v>
      </c>
      <c r="C202" s="33">
        <v>970</v>
      </c>
      <c r="D202" s="1461" t="s">
        <v>65</v>
      </c>
      <c r="E202" s="30">
        <v>44501</v>
      </c>
      <c r="F202" s="24">
        <v>100</v>
      </c>
      <c r="G202" s="31">
        <v>18.42497444152832</v>
      </c>
      <c r="H202" s="31">
        <v>268110.65625</v>
      </c>
      <c r="I202" s="31">
        <f t="shared" si="47"/>
        <v>255128.01769612631</v>
      </c>
      <c r="J202" s="31">
        <f t="shared" si="46"/>
        <v>26301.857494446009</v>
      </c>
      <c r="K202" s="31">
        <v>21.8284912109375</v>
      </c>
      <c r="L202" s="31">
        <v>24707.841796875</v>
      </c>
      <c r="M202" s="31">
        <f t="shared" si="48"/>
        <v>11725.203243001302</v>
      </c>
      <c r="N202" s="32">
        <f t="shared" si="49"/>
        <v>12087.838394846704</v>
      </c>
      <c r="O202" s="31">
        <v>30.832712173461914</v>
      </c>
      <c r="P202" s="31">
        <v>43.845481872558594</v>
      </c>
      <c r="Q202" s="31">
        <f t="shared" si="50"/>
        <v>4.5201527703668649</v>
      </c>
      <c r="R202" s="31">
        <v>33.352619171142578</v>
      </c>
      <c r="S202" s="31">
        <v>7.6481480598449707</v>
      </c>
      <c r="T202" s="32">
        <f t="shared" si="51"/>
        <v>7.8846887214896606</v>
      </c>
      <c r="U202" s="31">
        <v>35.981620788574219</v>
      </c>
      <c r="V202" s="31">
        <v>0.95542341470718384</v>
      </c>
      <c r="W202" s="31">
        <f t="shared" si="52"/>
        <v>9.8497259248163285E-2</v>
      </c>
      <c r="X202" t="s">
        <v>66</v>
      </c>
      <c r="Z202" s="32">
        <f t="shared" si="53"/>
        <v>0</v>
      </c>
      <c r="AA202" s="31">
        <v>30.977235794067383</v>
      </c>
      <c r="AB202" s="31">
        <v>2.8507320880889893</v>
      </c>
      <c r="AC202" s="31">
        <f t="shared" si="54"/>
        <v>0.29388990598855558</v>
      </c>
      <c r="AD202" t="s">
        <v>66</v>
      </c>
      <c r="AF202" s="32">
        <f t="shared" si="55"/>
        <v>0</v>
      </c>
      <c r="AG202" s="31">
        <v>35.710826873779297</v>
      </c>
      <c r="AH202" s="31">
        <v>2.9970262050628662</v>
      </c>
      <c r="AI202" s="31">
        <f t="shared" si="56"/>
        <v>0.30897177371782125</v>
      </c>
      <c r="AJ202" t="s">
        <v>66</v>
      </c>
      <c r="AL202" s="32">
        <f t="shared" si="57"/>
        <v>0</v>
      </c>
    </row>
    <row r="203" spans="1:38" ht="15.15" thickBot="1" x14ac:dyDescent="0.35">
      <c r="A203" s="33" t="s">
        <v>71</v>
      </c>
      <c r="B203" s="30">
        <v>44419</v>
      </c>
      <c r="C203" s="33">
        <v>900</v>
      </c>
      <c r="D203" s="1461" t="s">
        <v>65</v>
      </c>
      <c r="E203" s="30">
        <v>44501</v>
      </c>
      <c r="F203" s="24">
        <v>100</v>
      </c>
      <c r="G203" s="31">
        <v>19.006036758422852</v>
      </c>
      <c r="H203" s="31">
        <v>178456.6875</v>
      </c>
      <c r="I203" s="31">
        <f t="shared" si="47"/>
        <v>165474.04894612631</v>
      </c>
      <c r="J203" s="31">
        <f t="shared" si="46"/>
        <v>18386.00543845848</v>
      </c>
      <c r="K203" s="31">
        <v>22.813756942749023</v>
      </c>
      <c r="L203" s="31">
        <v>12390.234375</v>
      </c>
      <c r="M203" s="31">
        <f t="shared" si="48"/>
        <v>-592.40417887369767</v>
      </c>
      <c r="N203" s="32">
        <f t="shared" si="49"/>
        <v>-658.22686541521955</v>
      </c>
      <c r="O203" s="31">
        <v>32.299423217773438</v>
      </c>
      <c r="P203" s="31">
        <v>15.8677978515625</v>
      </c>
      <c r="Q203" s="31">
        <f t="shared" si="50"/>
        <v>1.7630886501736112</v>
      </c>
      <c r="R203" s="31">
        <v>36.962139129638672</v>
      </c>
      <c r="S203" s="31">
        <v>0.62700015306472778</v>
      </c>
      <c r="T203" s="32">
        <f t="shared" si="51"/>
        <v>0.69666683673858643</v>
      </c>
      <c r="U203" t="s">
        <v>66</v>
      </c>
      <c r="W203" s="31">
        <f t="shared" si="52"/>
        <v>0</v>
      </c>
      <c r="X203" t="s">
        <v>66</v>
      </c>
      <c r="Z203" s="32">
        <f t="shared" si="53"/>
        <v>0</v>
      </c>
      <c r="AA203" t="s">
        <v>66</v>
      </c>
      <c r="AC203" s="31">
        <f t="shared" si="54"/>
        <v>0</v>
      </c>
      <c r="AD203" s="31">
        <v>33.627147674560547</v>
      </c>
      <c r="AE203" s="31">
        <v>0.51976919174194336</v>
      </c>
      <c r="AF203" s="32">
        <f t="shared" si="55"/>
        <v>0.57752132415771484</v>
      </c>
      <c r="AG203" s="31">
        <v>35.130546569824219</v>
      </c>
      <c r="AH203" s="31">
        <v>4.2157635688781738</v>
      </c>
      <c r="AI203" s="31">
        <f t="shared" si="56"/>
        <v>0.4684181743197971</v>
      </c>
      <c r="AJ203" t="s">
        <v>66</v>
      </c>
      <c r="AL203" s="32">
        <f t="shared" si="57"/>
        <v>0</v>
      </c>
    </row>
    <row r="204" spans="1:38" ht="15.15" thickBot="1" x14ac:dyDescent="0.35">
      <c r="A204" s="33" t="s">
        <v>72</v>
      </c>
      <c r="B204" s="30">
        <v>44419</v>
      </c>
      <c r="C204" s="33">
        <v>900</v>
      </c>
      <c r="D204" s="1461" t="s">
        <v>65</v>
      </c>
      <c r="E204" s="30">
        <v>44501</v>
      </c>
      <c r="F204" s="24">
        <v>100</v>
      </c>
      <c r="G204" s="31">
        <v>14.459794044494629</v>
      </c>
      <c r="H204" s="31">
        <v>4311940.5</v>
      </c>
      <c r="I204" s="31">
        <f t="shared" si="47"/>
        <v>4298957.8614461264</v>
      </c>
      <c r="J204" s="31">
        <f t="shared" si="46"/>
        <v>477661.98460512515</v>
      </c>
      <c r="K204" s="31">
        <v>17.597894668579102</v>
      </c>
      <c r="L204" s="31">
        <v>478567.5</v>
      </c>
      <c r="M204" s="31">
        <f t="shared" si="48"/>
        <v>465584.86144612631</v>
      </c>
      <c r="N204" s="32">
        <f t="shared" si="49"/>
        <v>517316.51271791809</v>
      </c>
      <c r="O204" s="31">
        <v>29.306299209594727</v>
      </c>
      <c r="P204" s="31">
        <v>126.27005004882813</v>
      </c>
      <c r="Q204" s="31">
        <f t="shared" si="50"/>
        <v>14.030005560980904</v>
      </c>
      <c r="R204" s="31">
        <v>33.101203918457031</v>
      </c>
      <c r="S204" s="31">
        <v>9.1037425994873047</v>
      </c>
      <c r="T204" s="32">
        <f t="shared" si="51"/>
        <v>10.115269554985893</v>
      </c>
      <c r="U204" s="31">
        <v>29.873462677001953</v>
      </c>
      <c r="V204" s="31">
        <v>49.326892852783203</v>
      </c>
      <c r="W204" s="31">
        <f t="shared" si="52"/>
        <v>5.4807658725314674</v>
      </c>
      <c r="X204" s="31">
        <v>33.298820495605469</v>
      </c>
      <c r="Y204" s="31">
        <v>5.4016132354736328</v>
      </c>
      <c r="Z204" s="32">
        <f t="shared" si="53"/>
        <v>6.0017924838595924</v>
      </c>
      <c r="AA204" s="31">
        <v>22.675451278686523</v>
      </c>
      <c r="AB204" s="31">
        <v>589.6466064453125</v>
      </c>
      <c r="AC204" s="31">
        <f t="shared" si="54"/>
        <v>65.516289605034729</v>
      </c>
      <c r="AD204" s="31">
        <v>26.201759338378906</v>
      </c>
      <c r="AE204" s="31">
        <v>61.233737945556641</v>
      </c>
      <c r="AF204" s="32">
        <f t="shared" si="55"/>
        <v>68.037486606174042</v>
      </c>
      <c r="AG204" s="31">
        <v>38.211170196533203</v>
      </c>
      <c r="AH204" s="31">
        <v>0.68893784284591675</v>
      </c>
      <c r="AI204" s="31">
        <f t="shared" si="56"/>
        <v>7.6548649205101862E-2</v>
      </c>
      <c r="AJ204" t="s">
        <v>66</v>
      </c>
      <c r="AL204" s="32">
        <f t="shared" si="57"/>
        <v>0</v>
      </c>
    </row>
    <row r="205" spans="1:38" ht="15.15" thickBot="1" x14ac:dyDescent="0.35">
      <c r="A205" s="33" t="s">
        <v>73</v>
      </c>
      <c r="B205" s="30">
        <v>44419</v>
      </c>
      <c r="C205" s="33">
        <v>930</v>
      </c>
      <c r="D205" s="1461" t="s">
        <v>65</v>
      </c>
      <c r="E205" s="30">
        <v>44501</v>
      </c>
      <c r="F205" s="24">
        <v>100</v>
      </c>
      <c r="G205" s="31">
        <v>16.510168075561523</v>
      </c>
      <c r="H205" s="31">
        <v>1025347.3125</v>
      </c>
      <c r="I205" s="31">
        <f t="shared" si="47"/>
        <v>1012364.6739461262</v>
      </c>
      <c r="J205" s="31">
        <f t="shared" si="46"/>
        <v>108856.41655334691</v>
      </c>
      <c r="K205" s="31">
        <v>19.478096008300781</v>
      </c>
      <c r="L205" s="31">
        <v>128207.796875</v>
      </c>
      <c r="M205" s="31">
        <f t="shared" si="48"/>
        <v>115225.15832112631</v>
      </c>
      <c r="N205" s="32">
        <f t="shared" si="49"/>
        <v>123898.01970013582</v>
      </c>
      <c r="O205" s="31">
        <v>31.713201522827148</v>
      </c>
      <c r="P205" s="31">
        <v>23.819940567016602</v>
      </c>
      <c r="Q205" s="31">
        <f t="shared" si="50"/>
        <v>2.5612839319372691</v>
      </c>
      <c r="R205" s="31">
        <v>33.027683258056641</v>
      </c>
      <c r="S205" s="31">
        <v>9.5795717239379883</v>
      </c>
      <c r="T205" s="32">
        <f t="shared" si="51"/>
        <v>10.300614756922569</v>
      </c>
      <c r="U205" s="31">
        <v>27.715202331542969</v>
      </c>
      <c r="V205" s="31">
        <v>198.75433349609375</v>
      </c>
      <c r="W205" s="31">
        <f t="shared" si="52"/>
        <v>21.371433709257392</v>
      </c>
      <c r="X205" s="31">
        <v>31.813934326171875</v>
      </c>
      <c r="Y205" s="31">
        <v>14.090439796447754</v>
      </c>
      <c r="Z205" s="32">
        <f t="shared" si="53"/>
        <v>15.151010533814789</v>
      </c>
      <c r="AA205" s="31">
        <v>29.124979019165039</v>
      </c>
      <c r="AB205" s="31">
        <v>9.3672161102294922</v>
      </c>
      <c r="AC205" s="31">
        <f t="shared" si="54"/>
        <v>1.0072275387343539</v>
      </c>
      <c r="AD205" s="31">
        <v>31.792131423950195</v>
      </c>
      <c r="AE205" s="31">
        <v>1.6891014575958252</v>
      </c>
      <c r="AF205" s="32">
        <f t="shared" si="55"/>
        <v>1.8162381264471239</v>
      </c>
      <c r="AG205" t="s">
        <v>66</v>
      </c>
      <c r="AI205" s="31">
        <f t="shared" si="56"/>
        <v>0</v>
      </c>
      <c r="AJ205" t="s">
        <v>66</v>
      </c>
      <c r="AL205" s="32">
        <f t="shared" si="57"/>
        <v>0</v>
      </c>
    </row>
    <row r="206" spans="1:38" ht="15.15" thickBot="1" x14ac:dyDescent="0.35">
      <c r="A206" s="33" t="s">
        <v>74</v>
      </c>
      <c r="B206" s="30">
        <v>44419</v>
      </c>
      <c r="C206" s="33">
        <v>1000</v>
      </c>
      <c r="D206" s="1461" t="s">
        <v>65</v>
      </c>
      <c r="E206" s="30">
        <v>44501</v>
      </c>
      <c r="F206" s="24">
        <v>100</v>
      </c>
      <c r="G206" s="31">
        <v>18.500480651855469</v>
      </c>
      <c r="H206" s="31">
        <v>254297.578125</v>
      </c>
      <c r="I206" s="31">
        <f t="shared" si="47"/>
        <v>241314.93957112631</v>
      </c>
      <c r="J206" s="31">
        <f t="shared" si="46"/>
        <v>24131.493957112631</v>
      </c>
      <c r="K206" s="31">
        <v>21.589138031005859</v>
      </c>
      <c r="L206" s="31">
        <v>29218.314453125</v>
      </c>
      <c r="M206" s="31">
        <f t="shared" si="48"/>
        <v>16235.675899251302</v>
      </c>
      <c r="N206" s="32">
        <f t="shared" si="49"/>
        <v>16235.675899251302</v>
      </c>
      <c r="O206" s="31">
        <v>29.808658599853516</v>
      </c>
      <c r="P206" s="31">
        <v>89.148651123046875</v>
      </c>
      <c r="Q206" s="31">
        <f t="shared" si="50"/>
        <v>8.9148651123046871</v>
      </c>
      <c r="R206" s="31">
        <v>32.615322113037109</v>
      </c>
      <c r="S206" s="31">
        <v>12.748132705688477</v>
      </c>
      <c r="T206" s="32">
        <f t="shared" si="51"/>
        <v>12.748132705688477</v>
      </c>
      <c r="U206" s="31">
        <v>32.183826446533203</v>
      </c>
      <c r="V206" s="31">
        <v>11.096783638000488</v>
      </c>
      <c r="W206" s="31">
        <f t="shared" si="52"/>
        <v>1.1096783638000489</v>
      </c>
      <c r="X206" s="31">
        <v>35.081314086914063</v>
      </c>
      <c r="Y206" s="31">
        <v>1.7086987495422363</v>
      </c>
      <c r="Z206" s="32">
        <f t="shared" si="53"/>
        <v>1.7086987495422363</v>
      </c>
      <c r="AA206" s="31">
        <v>30.048637390136719</v>
      </c>
      <c r="AB206" s="31">
        <v>5.1757397651672363</v>
      </c>
      <c r="AC206" s="31">
        <f t="shared" si="54"/>
        <v>0.51757397651672366</v>
      </c>
      <c r="AD206" t="s">
        <v>66</v>
      </c>
      <c r="AF206" s="32">
        <f t="shared" si="55"/>
        <v>0</v>
      </c>
      <c r="AG206" t="s">
        <v>66</v>
      </c>
      <c r="AI206" s="31">
        <f t="shared" si="56"/>
        <v>0</v>
      </c>
      <c r="AJ206" t="s">
        <v>66</v>
      </c>
      <c r="AL206" s="32">
        <f t="shared" si="57"/>
        <v>0</v>
      </c>
    </row>
    <row r="207" spans="1:38" ht="15.15" thickBot="1" x14ac:dyDescent="0.35">
      <c r="A207" s="33" t="s">
        <v>75</v>
      </c>
      <c r="B207" s="30">
        <v>44419</v>
      </c>
      <c r="C207" s="33">
        <v>870</v>
      </c>
      <c r="D207" s="1461" t="s">
        <v>65</v>
      </c>
      <c r="E207" s="30">
        <v>44501</v>
      </c>
      <c r="F207" s="24">
        <v>100</v>
      </c>
      <c r="G207" s="31">
        <v>18.10639762878418</v>
      </c>
      <c r="H207" s="31">
        <v>335148.5</v>
      </c>
      <c r="I207" s="31">
        <f t="shared" si="47"/>
        <v>322165.86144612631</v>
      </c>
      <c r="J207" s="31">
        <f t="shared" si="46"/>
        <v>37030.558786911068</v>
      </c>
      <c r="K207" s="31">
        <v>21.001501083374023</v>
      </c>
      <c r="L207" s="31">
        <v>44099.8046875</v>
      </c>
      <c r="M207" s="31">
        <f t="shared" si="48"/>
        <v>31117.166133626302</v>
      </c>
      <c r="N207" s="32">
        <f t="shared" si="49"/>
        <v>35766.857624857817</v>
      </c>
      <c r="O207" s="31">
        <v>30.091606140136719</v>
      </c>
      <c r="P207" s="31">
        <v>73.275947570800781</v>
      </c>
      <c r="Q207" s="31">
        <f t="shared" si="50"/>
        <v>8.4225227092874455</v>
      </c>
      <c r="R207" s="31">
        <v>33.914192199707031</v>
      </c>
      <c r="S207" s="31">
        <v>5.1826314926147461</v>
      </c>
      <c r="T207" s="32">
        <f t="shared" si="51"/>
        <v>5.9570476926606277</v>
      </c>
      <c r="U207" s="31">
        <v>32.619132995605469</v>
      </c>
      <c r="V207" s="31">
        <v>8.3777179718017578</v>
      </c>
      <c r="W207" s="31">
        <f t="shared" si="52"/>
        <v>0.96295608871284577</v>
      </c>
      <c r="X207" s="31">
        <v>36.211864471435547</v>
      </c>
      <c r="Y207" s="31">
        <v>0.82343536615371704</v>
      </c>
      <c r="Z207" s="32">
        <f t="shared" si="53"/>
        <v>0.94647743236059434</v>
      </c>
      <c r="AA207" s="31">
        <v>30.089418411254883</v>
      </c>
      <c r="AB207" s="31">
        <v>5.041935920715332</v>
      </c>
      <c r="AC207" s="31">
        <f t="shared" si="54"/>
        <v>0.57953286445003815</v>
      </c>
      <c r="AD207" s="31">
        <v>31.346036911010742</v>
      </c>
      <c r="AE207" s="31">
        <v>2.2494993209838867</v>
      </c>
      <c r="AF207" s="32">
        <f t="shared" si="55"/>
        <v>2.5856314034297547</v>
      </c>
      <c r="AG207" t="s">
        <v>66</v>
      </c>
      <c r="AI207" s="31">
        <f t="shared" si="56"/>
        <v>0</v>
      </c>
      <c r="AJ207" t="s">
        <v>66</v>
      </c>
      <c r="AL207" s="32">
        <f t="shared" si="57"/>
        <v>0</v>
      </c>
    </row>
    <row r="208" spans="1:38" ht="15.15" thickBot="1" x14ac:dyDescent="0.35">
      <c r="A208" s="33" t="s">
        <v>76</v>
      </c>
      <c r="B208" s="30">
        <v>44419</v>
      </c>
      <c r="C208" s="33">
        <v>910</v>
      </c>
      <c r="D208" s="1461" t="s">
        <v>65</v>
      </c>
      <c r="E208" s="30">
        <v>44501</v>
      </c>
      <c r="F208" s="24">
        <v>100</v>
      </c>
      <c r="G208" s="31">
        <v>16.415937423706055</v>
      </c>
      <c r="H208" s="31">
        <v>1095316.375</v>
      </c>
      <c r="I208" s="31">
        <f t="shared" si="47"/>
        <v>1082333.7364461264</v>
      </c>
      <c r="J208" s="31">
        <f t="shared" si="46"/>
        <v>118937.77323583806</v>
      </c>
      <c r="K208" s="31">
        <v>19.593421936035156</v>
      </c>
      <c r="L208" s="31">
        <v>118257.2890625</v>
      </c>
      <c r="M208" s="31">
        <f t="shared" si="48"/>
        <v>105274.65050862631</v>
      </c>
      <c r="N208" s="32">
        <f t="shared" si="49"/>
        <v>115686.42913035858</v>
      </c>
      <c r="O208" s="31">
        <v>29.755229949951172</v>
      </c>
      <c r="P208" s="31">
        <v>92.51116943359375</v>
      </c>
      <c r="Q208" s="31">
        <f t="shared" si="50"/>
        <v>10.166062575120192</v>
      </c>
      <c r="R208" s="31">
        <v>32.608108520507813</v>
      </c>
      <c r="S208" s="31">
        <v>12.812017440795898</v>
      </c>
      <c r="T208" s="32">
        <f t="shared" si="51"/>
        <v>14.079140044830657</v>
      </c>
      <c r="U208" s="31">
        <v>29.132621765136719</v>
      </c>
      <c r="V208" s="31">
        <v>79.585693359375</v>
      </c>
      <c r="W208" s="31">
        <f t="shared" si="52"/>
        <v>8.7456805889423084</v>
      </c>
      <c r="X208" s="31">
        <v>31.713150024414063</v>
      </c>
      <c r="Y208" s="31">
        <v>15.037898063659668</v>
      </c>
      <c r="Z208" s="32">
        <f t="shared" si="53"/>
        <v>16.525162707318316</v>
      </c>
      <c r="AA208" s="31">
        <v>31.938526153564453</v>
      </c>
      <c r="AB208" s="31">
        <v>1.5375226736068726</v>
      </c>
      <c r="AC208" s="31">
        <f t="shared" si="54"/>
        <v>0.16895853556119478</v>
      </c>
      <c r="AD208" t="s">
        <v>66</v>
      </c>
      <c r="AF208" s="32">
        <f t="shared" si="55"/>
        <v>0</v>
      </c>
      <c r="AG208" s="31">
        <v>25.541072845458984</v>
      </c>
      <c r="AH208" s="31">
        <v>1185.036865234375</v>
      </c>
      <c r="AI208" s="31">
        <f t="shared" si="56"/>
        <v>130.2238313444368</v>
      </c>
      <c r="AJ208" s="31">
        <v>29.203432083129883</v>
      </c>
      <c r="AK208" s="31">
        <v>137.55561828613281</v>
      </c>
      <c r="AL208" s="32">
        <f t="shared" si="57"/>
        <v>151.16002009465143</v>
      </c>
    </row>
    <row r="209" spans="1:38" ht="15.15" thickBot="1" x14ac:dyDescent="0.35">
      <c r="A209" s="33" t="s">
        <v>77</v>
      </c>
      <c r="B209" s="30">
        <v>44419</v>
      </c>
      <c r="C209" s="33">
        <v>850</v>
      </c>
      <c r="D209" s="1461" t="s">
        <v>65</v>
      </c>
      <c r="E209" s="30">
        <v>44501</v>
      </c>
      <c r="F209" s="24">
        <v>100</v>
      </c>
      <c r="G209" s="31">
        <v>18.5037841796875</v>
      </c>
      <c r="H209" s="31">
        <v>253709.75</v>
      </c>
      <c r="I209" s="31">
        <f t="shared" si="47"/>
        <v>240727.11144612631</v>
      </c>
      <c r="J209" s="31">
        <f t="shared" si="46"/>
        <v>28320.83664072074</v>
      </c>
      <c r="K209" s="31">
        <v>21.759323120117188</v>
      </c>
      <c r="L209" s="31">
        <v>25934.53125</v>
      </c>
      <c r="M209" s="31">
        <f t="shared" si="48"/>
        <v>12951.892696126302</v>
      </c>
      <c r="N209" s="32">
        <f t="shared" si="49"/>
        <v>15237.520818972122</v>
      </c>
      <c r="O209" s="31">
        <v>30.808965682983398</v>
      </c>
      <c r="P209" s="31">
        <v>44.572948455810547</v>
      </c>
      <c r="Q209" s="31">
        <f t="shared" si="50"/>
        <v>5.2438762889188881</v>
      </c>
      <c r="R209" s="31">
        <v>33.974605560302734</v>
      </c>
      <c r="S209" s="31">
        <v>4.9701428413391113</v>
      </c>
      <c r="T209" s="32">
        <f t="shared" si="51"/>
        <v>5.8472268721636604</v>
      </c>
      <c r="U209" s="31">
        <v>29.390689849853516</v>
      </c>
      <c r="V209" s="31">
        <v>67.369903564453125</v>
      </c>
      <c r="W209" s="31">
        <f t="shared" si="52"/>
        <v>7.925871007582721</v>
      </c>
      <c r="X209" s="31">
        <v>33.546352386474609</v>
      </c>
      <c r="Y209" s="31">
        <v>4.6037216186523438</v>
      </c>
      <c r="Z209" s="32">
        <f t="shared" si="53"/>
        <v>5.4161430807674629</v>
      </c>
      <c r="AA209" s="31">
        <v>31.583585739135742</v>
      </c>
      <c r="AB209" s="31">
        <v>1.9311938285827637</v>
      </c>
      <c r="AC209" s="31">
        <f t="shared" si="54"/>
        <v>0.22719927395091338</v>
      </c>
      <c r="AD209" t="s">
        <v>66</v>
      </c>
      <c r="AF209" s="32">
        <f t="shared" si="55"/>
        <v>0</v>
      </c>
      <c r="AG209" s="31">
        <v>29.538026809692383</v>
      </c>
      <c r="AH209" s="31">
        <v>112.98822021484375</v>
      </c>
      <c r="AI209" s="31">
        <f t="shared" si="56"/>
        <v>13.292731789981618</v>
      </c>
      <c r="AJ209" s="31">
        <v>34.040008544921875</v>
      </c>
      <c r="AK209" s="31">
        <v>8.0050859451293945</v>
      </c>
      <c r="AL209" s="32">
        <f t="shared" si="57"/>
        <v>9.4177481707404649</v>
      </c>
    </row>
    <row r="210" spans="1:38" ht="15.15" thickBot="1" x14ac:dyDescent="0.35">
      <c r="A210" s="33" t="s">
        <v>78</v>
      </c>
      <c r="B210" s="30">
        <v>44419</v>
      </c>
      <c r="C210" s="33">
        <v>1000</v>
      </c>
      <c r="D210" s="1461" t="s">
        <v>65</v>
      </c>
      <c r="E210" s="30">
        <v>44501</v>
      </c>
      <c r="F210" s="24">
        <v>100</v>
      </c>
      <c r="G210" s="31">
        <v>14.138412475585938</v>
      </c>
      <c r="H210" s="31">
        <v>5400690.5</v>
      </c>
      <c r="I210" s="31">
        <f t="shared" si="47"/>
        <v>5387707.8614461264</v>
      </c>
      <c r="J210" s="31">
        <f t="shared" si="46"/>
        <v>538770.78614461271</v>
      </c>
      <c r="K210" s="31">
        <v>16.995595932006836</v>
      </c>
      <c r="L210" s="31">
        <v>729769</v>
      </c>
      <c r="M210" s="31">
        <f t="shared" si="48"/>
        <v>716786.36144612625</v>
      </c>
      <c r="N210" s="32">
        <f t="shared" si="49"/>
        <v>716786.36144612625</v>
      </c>
      <c r="O210" s="31">
        <v>31.144521713256836</v>
      </c>
      <c r="P210" s="31">
        <v>35.325263977050781</v>
      </c>
      <c r="Q210" s="31">
        <f t="shared" si="50"/>
        <v>3.532526397705078</v>
      </c>
      <c r="R210" s="31">
        <v>33.450687408447266</v>
      </c>
      <c r="S210" s="31">
        <v>7.1456632614135742</v>
      </c>
      <c r="T210" s="32">
        <f t="shared" si="51"/>
        <v>7.1456632614135742</v>
      </c>
      <c r="U210" s="31">
        <v>27.006975173950195</v>
      </c>
      <c r="V210" s="31">
        <v>313.99453735351563</v>
      </c>
      <c r="W210" s="31">
        <f t="shared" si="52"/>
        <v>31.399453735351564</v>
      </c>
      <c r="X210" s="31">
        <v>29.805810928344727</v>
      </c>
      <c r="Y210" s="31">
        <v>51.529399871826172</v>
      </c>
      <c r="Z210" s="32">
        <f t="shared" si="53"/>
        <v>51.529399871826172</v>
      </c>
      <c r="AA210" s="31">
        <v>30.299774169921875</v>
      </c>
      <c r="AB210" s="31">
        <v>4.4047603607177734</v>
      </c>
      <c r="AC210" s="31">
        <f t="shared" si="54"/>
        <v>0.44047603607177732</v>
      </c>
      <c r="AD210" s="31">
        <v>31.977310180664063</v>
      </c>
      <c r="AE210" s="31">
        <v>1.4996966123580933</v>
      </c>
      <c r="AF210" s="32">
        <f t="shared" si="55"/>
        <v>1.4996966123580933</v>
      </c>
      <c r="AG210" s="31">
        <v>23.694671630859375</v>
      </c>
      <c r="AH210" s="31">
        <v>3509.50390625</v>
      </c>
      <c r="AI210" s="31">
        <f t="shared" si="56"/>
        <v>350.95039062500001</v>
      </c>
      <c r="AJ210" s="31">
        <v>25.227577209472656</v>
      </c>
      <c r="AK210" s="31">
        <v>1424.9150390625</v>
      </c>
      <c r="AL210" s="32">
        <f t="shared" si="57"/>
        <v>1424.9150390625</v>
      </c>
    </row>
    <row r="211" spans="1:38" ht="15.15" thickBot="1" x14ac:dyDescent="0.35">
      <c r="A211" s="33" t="s">
        <v>79</v>
      </c>
      <c r="B211" s="30">
        <v>44419</v>
      </c>
      <c r="C211" s="33">
        <v>1000</v>
      </c>
      <c r="D211" s="1461" t="s">
        <v>65</v>
      </c>
      <c r="E211" s="30">
        <v>44501</v>
      </c>
      <c r="F211" s="24">
        <v>100</v>
      </c>
      <c r="G211" s="31">
        <v>14.631511688232422</v>
      </c>
      <c r="H211" s="31">
        <v>3823224</v>
      </c>
      <c r="I211" s="31">
        <f t="shared" si="47"/>
        <v>3810241.3614461264</v>
      </c>
      <c r="J211" s="31">
        <f t="shared" si="46"/>
        <v>381024.13614461262</v>
      </c>
      <c r="K211" s="31">
        <v>17.410917282104492</v>
      </c>
      <c r="L211" s="31">
        <v>545542.8125</v>
      </c>
      <c r="M211" s="31">
        <f t="shared" si="48"/>
        <v>532560.17394612625</v>
      </c>
      <c r="N211" s="32">
        <f t="shared" si="49"/>
        <v>532560.17394612625</v>
      </c>
      <c r="O211" s="31">
        <v>30.57545280456543</v>
      </c>
      <c r="P211" s="31">
        <v>52.401931762695313</v>
      </c>
      <c r="Q211" s="31">
        <f t="shared" si="50"/>
        <v>5.2401931762695311</v>
      </c>
      <c r="R211" s="31">
        <v>32.289535522460938</v>
      </c>
      <c r="S211" s="31">
        <v>15.976895332336426</v>
      </c>
      <c r="T211" s="32">
        <f t="shared" si="51"/>
        <v>15.976895332336426</v>
      </c>
      <c r="U211" s="31">
        <v>26.590084075927734</v>
      </c>
      <c r="V211" s="31">
        <v>410.9881591796875</v>
      </c>
      <c r="W211" s="31">
        <f t="shared" si="52"/>
        <v>41.09881591796875</v>
      </c>
      <c r="X211" s="31">
        <v>29.447242736816406</v>
      </c>
      <c r="Y211" s="31">
        <v>64.95416259765625</v>
      </c>
      <c r="Z211" s="32">
        <f t="shared" si="53"/>
        <v>64.95416259765625</v>
      </c>
      <c r="AA211" t="s">
        <v>66</v>
      </c>
      <c r="AC211" s="31">
        <f t="shared" si="54"/>
        <v>0</v>
      </c>
      <c r="AD211" s="31">
        <v>33.914016723632813</v>
      </c>
      <c r="AE211" s="31">
        <v>0.43230822682380676</v>
      </c>
      <c r="AF211" s="32">
        <f t="shared" si="55"/>
        <v>0.43230822682380676</v>
      </c>
      <c r="AG211" s="31">
        <v>24.607460021972656</v>
      </c>
      <c r="AH211" s="31">
        <v>2051.860107421875</v>
      </c>
      <c r="AI211" s="31">
        <f t="shared" si="56"/>
        <v>205.18601074218751</v>
      </c>
      <c r="AJ211" s="31">
        <v>27.500041961669922</v>
      </c>
      <c r="AK211" s="31">
        <v>374.51705932617188</v>
      </c>
      <c r="AL211" s="32">
        <f t="shared" si="57"/>
        <v>374.51705932617188</v>
      </c>
    </row>
    <row r="212" spans="1:38" ht="15.15" thickBot="1" x14ac:dyDescent="0.35">
      <c r="A212" s="33" t="s">
        <v>80</v>
      </c>
      <c r="B212" s="30">
        <v>44419</v>
      </c>
      <c r="C212" s="33">
        <v>1000</v>
      </c>
      <c r="D212" s="1461" t="s">
        <v>65</v>
      </c>
      <c r="E212" s="30">
        <v>44501</v>
      </c>
      <c r="F212" s="24">
        <v>100</v>
      </c>
      <c r="G212" s="31">
        <v>19.363536834716797</v>
      </c>
      <c r="H212" s="31">
        <v>138920.9375</v>
      </c>
      <c r="I212" s="31">
        <f t="shared" si="47"/>
        <v>125938.29894612631</v>
      </c>
      <c r="J212" s="31">
        <f t="shared" si="46"/>
        <v>12593.829894612631</v>
      </c>
      <c r="K212" s="31">
        <v>22.29600715637207</v>
      </c>
      <c r="L212" s="31">
        <v>17807.326171875</v>
      </c>
      <c r="M212" s="31">
        <f t="shared" si="48"/>
        <v>4824.6876180013023</v>
      </c>
      <c r="N212" s="32">
        <f t="shared" si="49"/>
        <v>4824.6876180013023</v>
      </c>
      <c r="O212" s="31">
        <v>30.472639083862305</v>
      </c>
      <c r="P212" s="31">
        <v>56.271591186523438</v>
      </c>
      <c r="Q212" s="31">
        <f t="shared" si="50"/>
        <v>5.6271591186523438</v>
      </c>
      <c r="R212" s="31">
        <v>32.752193450927734</v>
      </c>
      <c r="S212" s="31">
        <v>11.594579696655273</v>
      </c>
      <c r="T212" s="32">
        <f t="shared" si="51"/>
        <v>11.594579696655273</v>
      </c>
      <c r="U212" s="31">
        <v>32.313209533691406</v>
      </c>
      <c r="V212" s="31">
        <v>10.207389831542969</v>
      </c>
      <c r="W212" s="31">
        <f t="shared" si="52"/>
        <v>1.0207389831542968</v>
      </c>
      <c r="X212" s="31">
        <v>35.420455932617188</v>
      </c>
      <c r="Y212" s="31">
        <v>1.3726544380187988</v>
      </c>
      <c r="Z212" s="32">
        <f t="shared" si="53"/>
        <v>1.3726544380187988</v>
      </c>
      <c r="AA212" s="31">
        <v>29.671869277954102</v>
      </c>
      <c r="AB212" s="31">
        <v>6.5927290916442871</v>
      </c>
      <c r="AC212" s="31">
        <f t="shared" si="54"/>
        <v>0.65927290916442871</v>
      </c>
      <c r="AD212" t="s">
        <v>66</v>
      </c>
      <c r="AF212" s="32">
        <f t="shared" si="55"/>
        <v>0</v>
      </c>
      <c r="AG212" t="s">
        <v>66</v>
      </c>
      <c r="AI212" s="31">
        <f t="shared" si="56"/>
        <v>0</v>
      </c>
      <c r="AJ212" t="s">
        <v>66</v>
      </c>
      <c r="AL212" s="32">
        <f t="shared" si="57"/>
        <v>0</v>
      </c>
    </row>
    <row r="213" spans="1:38" ht="15.15" thickBot="1" x14ac:dyDescent="0.35">
      <c r="A213" s="33" t="s">
        <v>81</v>
      </c>
      <c r="B213" s="30">
        <v>44419</v>
      </c>
      <c r="C213" s="33">
        <v>900</v>
      </c>
      <c r="D213" s="1461" t="s">
        <v>65</v>
      </c>
      <c r="E213" s="30">
        <v>44501</v>
      </c>
      <c r="F213" s="24">
        <v>100</v>
      </c>
      <c r="G213" s="31">
        <v>20.498624801635742</v>
      </c>
      <c r="H213" s="31">
        <v>62723.5703125</v>
      </c>
      <c r="I213" s="31">
        <f t="shared" si="47"/>
        <v>49740.931758626306</v>
      </c>
      <c r="J213" s="31">
        <f t="shared" si="46"/>
        <v>5526.7701954029235</v>
      </c>
      <c r="K213" s="31">
        <v>23.050716400146484</v>
      </c>
      <c r="L213" s="31">
        <v>10495.12109375</v>
      </c>
      <c r="M213" s="31">
        <f t="shared" si="48"/>
        <v>-2487.5174601236977</v>
      </c>
      <c r="N213" s="32">
        <f t="shared" si="49"/>
        <v>-2763.9082890263307</v>
      </c>
      <c r="O213" s="31">
        <v>32.968955993652344</v>
      </c>
      <c r="P213" s="31">
        <v>9.9774627685546875</v>
      </c>
      <c r="Q213" s="31">
        <f t="shared" si="50"/>
        <v>1.1086069742838542</v>
      </c>
      <c r="R213" s="31">
        <v>37.15618896484375</v>
      </c>
      <c r="S213" s="31">
        <v>0.54811054468154907</v>
      </c>
      <c r="T213" s="32">
        <f t="shared" si="51"/>
        <v>0.60901171631283235</v>
      </c>
      <c r="U213" s="31">
        <v>34.090854644775391</v>
      </c>
      <c r="V213" s="31">
        <v>3.2390401363372803</v>
      </c>
      <c r="W213" s="31">
        <f t="shared" si="52"/>
        <v>0.35989334848192001</v>
      </c>
      <c r="X213" s="31">
        <v>36.628181457519531</v>
      </c>
      <c r="Y213" s="31">
        <v>0.62933707237243652</v>
      </c>
      <c r="Z213" s="32">
        <f t="shared" si="53"/>
        <v>0.69926341374715173</v>
      </c>
      <c r="AA213" s="31">
        <v>28.007078170776367</v>
      </c>
      <c r="AB213" s="31">
        <v>19.205656051635742</v>
      </c>
      <c r="AC213" s="31">
        <f t="shared" si="54"/>
        <v>2.1339617835150824</v>
      </c>
      <c r="AD213" t="s">
        <v>66</v>
      </c>
      <c r="AF213" s="32">
        <f t="shared" si="55"/>
        <v>0</v>
      </c>
      <c r="AG213" t="s">
        <v>66</v>
      </c>
      <c r="AI213" s="31">
        <f t="shared" si="56"/>
        <v>0</v>
      </c>
      <c r="AJ213" t="s">
        <v>66</v>
      </c>
      <c r="AL213" s="32">
        <f t="shared" si="57"/>
        <v>0</v>
      </c>
    </row>
    <row r="214" spans="1:38" ht="15.15" thickBot="1" x14ac:dyDescent="0.35">
      <c r="A214" s="33" t="s">
        <v>64</v>
      </c>
      <c r="B214" s="30">
        <v>44426</v>
      </c>
      <c r="C214" s="33">
        <v>960</v>
      </c>
      <c r="D214" s="1461" t="s">
        <v>65</v>
      </c>
      <c r="E214" s="30">
        <v>44503</v>
      </c>
      <c r="F214" s="24">
        <v>100</v>
      </c>
      <c r="G214" s="31">
        <v>18.233386993408203</v>
      </c>
      <c r="H214" s="31">
        <v>306621.25</v>
      </c>
      <c r="I214" s="31">
        <f t="shared" si="47"/>
        <v>293638.61144612631</v>
      </c>
      <c r="J214" s="31">
        <f t="shared" si="46"/>
        <v>30587.35535897149</v>
      </c>
      <c r="K214" s="31">
        <v>21.230852127075195</v>
      </c>
      <c r="L214" s="31">
        <v>37554.2734375</v>
      </c>
      <c r="M214" s="31">
        <f t="shared" si="48"/>
        <v>24571.634883626302</v>
      </c>
      <c r="N214" s="32">
        <f t="shared" si="49"/>
        <v>25595.453003777398</v>
      </c>
      <c r="O214" s="31">
        <v>26.899101257324219</v>
      </c>
      <c r="P214" s="31">
        <v>669.49755859375</v>
      </c>
      <c r="Q214" s="31">
        <f t="shared" si="50"/>
        <v>69.739329020182296</v>
      </c>
      <c r="R214" s="31">
        <v>30.196186065673828</v>
      </c>
      <c r="S214" s="31">
        <v>68.153472900390625</v>
      </c>
      <c r="T214" s="32">
        <f t="shared" si="51"/>
        <v>70.993200937906906</v>
      </c>
      <c r="U214" s="31">
        <v>31.352529525756836</v>
      </c>
      <c r="V214" s="31">
        <v>18.980802536010742</v>
      </c>
      <c r="W214" s="31">
        <f t="shared" si="52"/>
        <v>1.9771669308344524</v>
      </c>
      <c r="X214" s="31">
        <v>34.963218688964844</v>
      </c>
      <c r="Y214" s="31">
        <v>1.8440918922424316</v>
      </c>
      <c r="Z214" s="32">
        <f t="shared" si="53"/>
        <v>1.9209290544191997</v>
      </c>
      <c r="AA214" s="31">
        <v>30.55864143371582</v>
      </c>
      <c r="AB214" s="31">
        <v>3.730060338973999</v>
      </c>
      <c r="AC214" s="31">
        <f t="shared" si="54"/>
        <v>0.38854795197645825</v>
      </c>
      <c r="AD214" t="s">
        <v>66</v>
      </c>
      <c r="AF214" s="32">
        <f t="shared" si="55"/>
        <v>0</v>
      </c>
      <c r="AG214" s="31">
        <v>36.449245452880859</v>
      </c>
      <c r="AH214" s="31">
        <v>1.9414277076721191</v>
      </c>
      <c r="AI214" s="31">
        <f t="shared" si="56"/>
        <v>0.20223205288251242</v>
      </c>
      <c r="AJ214" t="s">
        <v>66</v>
      </c>
      <c r="AL214" s="32">
        <f t="shared" si="57"/>
        <v>0</v>
      </c>
    </row>
    <row r="215" spans="1:38" ht="15.15" thickBot="1" x14ac:dyDescent="0.35">
      <c r="A215" s="33" t="s">
        <v>67</v>
      </c>
      <c r="B215" s="30">
        <v>44426</v>
      </c>
      <c r="C215" s="33">
        <v>920</v>
      </c>
      <c r="D215" s="1461" t="s">
        <v>65</v>
      </c>
      <c r="E215" s="30">
        <v>44503</v>
      </c>
      <c r="F215" s="24">
        <v>100</v>
      </c>
      <c r="G215" s="31">
        <v>18.37309455871582</v>
      </c>
      <c r="H215" s="31">
        <v>278034</v>
      </c>
      <c r="I215" s="31">
        <f t="shared" si="47"/>
        <v>265051.36144612631</v>
      </c>
      <c r="J215" s="31">
        <f t="shared" si="46"/>
        <v>28809.930591970249</v>
      </c>
      <c r="K215" s="31">
        <v>21.315168380737305</v>
      </c>
      <c r="L215" s="31">
        <v>35400.31640625</v>
      </c>
      <c r="M215" s="31">
        <f t="shared" si="48"/>
        <v>22417.677852376302</v>
      </c>
      <c r="N215" s="32">
        <f t="shared" si="49"/>
        <v>24367.041143887283</v>
      </c>
      <c r="O215" s="31">
        <v>27.22429084777832</v>
      </c>
      <c r="P215" s="31">
        <v>534.420166015625</v>
      </c>
      <c r="Q215" s="31">
        <f t="shared" si="50"/>
        <v>58.089148479959242</v>
      </c>
      <c r="R215" s="31">
        <v>29.56633186340332</v>
      </c>
      <c r="S215" s="31">
        <v>105.44919586181641</v>
      </c>
      <c r="T215" s="32">
        <f t="shared" si="51"/>
        <v>114.61869115414827</v>
      </c>
      <c r="U215" s="31">
        <v>32.492774963378906</v>
      </c>
      <c r="V215" s="31">
        <v>9.0899152755737305</v>
      </c>
      <c r="W215" s="31">
        <f t="shared" si="52"/>
        <v>0.98803426908410119</v>
      </c>
      <c r="X215" s="31">
        <v>36.512157440185547</v>
      </c>
      <c r="Y215" s="31">
        <v>0.67829632759094238</v>
      </c>
      <c r="Z215" s="32">
        <f t="shared" si="53"/>
        <v>0.73727861694667651</v>
      </c>
      <c r="AA215" s="31">
        <v>30.224582672119141</v>
      </c>
      <c r="AB215" s="31">
        <v>4.6226992607116699</v>
      </c>
      <c r="AC215" s="31">
        <f t="shared" si="54"/>
        <v>0.50246731094692065</v>
      </c>
      <c r="AD215" s="31" t="s">
        <v>66</v>
      </c>
      <c r="AE215" s="31"/>
      <c r="AF215" s="32">
        <f t="shared" si="55"/>
        <v>0</v>
      </c>
      <c r="AG215" t="s">
        <v>66</v>
      </c>
      <c r="AI215" s="31">
        <f t="shared" si="56"/>
        <v>0</v>
      </c>
      <c r="AJ215" t="s">
        <v>66</v>
      </c>
      <c r="AL215" s="32">
        <f t="shared" si="57"/>
        <v>0</v>
      </c>
    </row>
    <row r="216" spans="1:38" ht="15.15" thickBot="1" x14ac:dyDescent="0.35">
      <c r="A216" s="33" t="s">
        <v>68</v>
      </c>
      <c r="B216" s="30">
        <v>44426</v>
      </c>
      <c r="C216" s="33">
        <v>920</v>
      </c>
      <c r="D216" s="1461" t="s">
        <v>65</v>
      </c>
      <c r="E216" s="30">
        <v>44503</v>
      </c>
      <c r="F216" s="24">
        <v>100</v>
      </c>
      <c r="G216" s="31">
        <v>13.9263916015625</v>
      </c>
      <c r="H216" s="31">
        <v>6265476.5</v>
      </c>
      <c r="I216" s="31">
        <f t="shared" si="47"/>
        <v>6252493.8614461264</v>
      </c>
      <c r="J216" s="31">
        <f t="shared" si="46"/>
        <v>679618.89798327466</v>
      </c>
      <c r="K216" s="31">
        <v>16.847429275512695</v>
      </c>
      <c r="L216" s="31">
        <v>809586.625</v>
      </c>
      <c r="M216" s="31">
        <f t="shared" si="48"/>
        <v>796603.98644612625</v>
      </c>
      <c r="N216" s="32">
        <f t="shared" si="49"/>
        <v>865873.89831100672</v>
      </c>
      <c r="O216" s="31">
        <v>27.225650787353516</v>
      </c>
      <c r="P216" s="31">
        <v>533.91680908203125</v>
      </c>
      <c r="Q216" s="31">
        <f t="shared" si="50"/>
        <v>58.034435769786008</v>
      </c>
      <c r="R216" s="31">
        <v>29.942781448364258</v>
      </c>
      <c r="S216" s="31">
        <v>81.236343383789063</v>
      </c>
      <c r="T216" s="32">
        <f t="shared" si="51"/>
        <v>88.300373243248984</v>
      </c>
      <c r="U216" s="31">
        <v>31.553865432739258</v>
      </c>
      <c r="V216" s="31">
        <v>16.666894912719727</v>
      </c>
      <c r="W216" s="31">
        <f t="shared" si="52"/>
        <v>1.8116190122521443</v>
      </c>
      <c r="X216" s="31">
        <v>33.750846862792969</v>
      </c>
      <c r="Y216" s="31">
        <v>4.0342559814453125</v>
      </c>
      <c r="Z216" s="32">
        <f t="shared" si="53"/>
        <v>4.3850608493970791</v>
      </c>
      <c r="AA216" s="31">
        <v>29.63941764831543</v>
      </c>
      <c r="AB216" s="31">
        <v>6.7315802574157715</v>
      </c>
      <c r="AC216" s="31">
        <f t="shared" si="54"/>
        <v>0.73169350624084473</v>
      </c>
      <c r="AD216" s="31">
        <v>33.844642639160156</v>
      </c>
      <c r="AE216" s="31">
        <v>0.45200598239898682</v>
      </c>
      <c r="AF216" s="32">
        <f t="shared" si="55"/>
        <v>0.49131085043368133</v>
      </c>
      <c r="AG216" s="31">
        <v>38.563526153564453</v>
      </c>
      <c r="AH216" s="31">
        <v>0.56001442670822144</v>
      </c>
      <c r="AI216" s="31">
        <f t="shared" si="56"/>
        <v>6.0871133337850158E-2</v>
      </c>
      <c r="AJ216" t="s">
        <v>66</v>
      </c>
      <c r="AL216" s="32">
        <f t="shared" si="57"/>
        <v>0</v>
      </c>
    </row>
    <row r="217" spans="1:38" ht="15.15" thickBot="1" x14ac:dyDescent="0.35">
      <c r="A217" s="33" t="s">
        <v>69</v>
      </c>
      <c r="B217" s="30">
        <v>44426</v>
      </c>
      <c r="C217" s="33">
        <v>870</v>
      </c>
      <c r="D217" s="1461" t="s">
        <v>65</v>
      </c>
      <c r="E217" s="30">
        <v>44503</v>
      </c>
      <c r="F217" s="24">
        <v>100</v>
      </c>
      <c r="G217" s="31">
        <v>12.432254791259766</v>
      </c>
      <c r="H217" s="31">
        <v>17845444</v>
      </c>
      <c r="I217" s="31">
        <f t="shared" si="47"/>
        <v>17832461.361446127</v>
      </c>
      <c r="J217" s="31">
        <f t="shared" si="46"/>
        <v>2049708.2024650723</v>
      </c>
      <c r="K217" s="31">
        <v>15.652329444885254</v>
      </c>
      <c r="L217" s="31">
        <v>1870071.25</v>
      </c>
      <c r="M217" s="31">
        <f t="shared" si="48"/>
        <v>1857088.6114461264</v>
      </c>
      <c r="N217" s="32">
        <f t="shared" si="49"/>
        <v>2134584.6108576166</v>
      </c>
      <c r="O217" s="31">
        <v>27.364824295043945</v>
      </c>
      <c r="P217" s="31">
        <v>484.82965087890625</v>
      </c>
      <c r="Q217" s="31">
        <f t="shared" si="50"/>
        <v>55.727546078035203</v>
      </c>
      <c r="R217" s="31">
        <v>30.442028045654297</v>
      </c>
      <c r="S217" s="31">
        <v>57.477996826171875</v>
      </c>
      <c r="T217" s="32">
        <f t="shared" si="51"/>
        <v>66.066663018588358</v>
      </c>
      <c r="U217" s="31">
        <v>32.155155181884766</v>
      </c>
      <c r="V217" s="31">
        <v>11.304133415222168</v>
      </c>
      <c r="W217" s="31">
        <f t="shared" si="52"/>
        <v>1.2993256799105941</v>
      </c>
      <c r="X217" s="31">
        <v>37.816818237304688</v>
      </c>
      <c r="Y217" s="31">
        <v>0.29211801290512085</v>
      </c>
      <c r="Z217" s="32">
        <f t="shared" si="53"/>
        <v>0.33576783092542628</v>
      </c>
      <c r="AA217" s="31">
        <v>29.986251831054688</v>
      </c>
      <c r="AB217" s="31">
        <v>5.3873324394226074</v>
      </c>
      <c r="AC217" s="31">
        <f t="shared" si="54"/>
        <v>0.61923361372673646</v>
      </c>
      <c r="AD217" s="31" t="s">
        <v>66</v>
      </c>
      <c r="AF217" s="32">
        <f t="shared" si="55"/>
        <v>0</v>
      </c>
      <c r="AG217" t="s">
        <v>66</v>
      </c>
      <c r="AI217" s="31">
        <f t="shared" si="56"/>
        <v>0</v>
      </c>
      <c r="AJ217" t="s">
        <v>66</v>
      </c>
      <c r="AL217" s="32">
        <f t="shared" si="57"/>
        <v>0</v>
      </c>
    </row>
    <row r="218" spans="1:38" ht="15.15" thickBot="1" x14ac:dyDescent="0.35">
      <c r="A218" s="33" t="s">
        <v>70</v>
      </c>
      <c r="B218" s="30">
        <v>44426</v>
      </c>
      <c r="C218" s="33">
        <v>900</v>
      </c>
      <c r="D218" s="1461" t="s">
        <v>65</v>
      </c>
      <c r="E218" s="30">
        <v>44503</v>
      </c>
      <c r="F218" s="24">
        <v>100</v>
      </c>
      <c r="G218" s="31">
        <v>16.180282592773438</v>
      </c>
      <c r="H218" s="31">
        <v>1238423.875</v>
      </c>
      <c r="I218" s="31">
        <f t="shared" si="47"/>
        <v>1225441.2364461264</v>
      </c>
      <c r="J218" s="31">
        <f t="shared" si="46"/>
        <v>136160.13738290293</v>
      </c>
      <c r="K218" s="31">
        <v>19.593845367431641</v>
      </c>
      <c r="L218" s="31">
        <v>124564.1875</v>
      </c>
      <c r="M218" s="31">
        <f t="shared" si="48"/>
        <v>111581.54894612631</v>
      </c>
      <c r="N218" s="32">
        <f t="shared" si="49"/>
        <v>123979.49882902924</v>
      </c>
      <c r="O218" s="31">
        <v>28.298574447631836</v>
      </c>
      <c r="P218" s="31">
        <v>467.56866455078125</v>
      </c>
      <c r="Q218" s="31">
        <f t="shared" si="50"/>
        <v>51.952073838975693</v>
      </c>
      <c r="R218" s="31">
        <v>32.256580352783203</v>
      </c>
      <c r="S218" s="31">
        <v>38.700218200683594</v>
      </c>
      <c r="T218" s="32">
        <f t="shared" si="51"/>
        <v>43.000242445203995</v>
      </c>
      <c r="U218" s="31">
        <v>31.623432159423828</v>
      </c>
      <c r="V218" s="31">
        <v>5.1952724456787109</v>
      </c>
      <c r="W218" s="31">
        <f t="shared" si="52"/>
        <v>0.57725249396430123</v>
      </c>
      <c r="X218" s="31">
        <v>38.005348205566406</v>
      </c>
      <c r="Y218" s="31">
        <v>7.1791939437389374E-2</v>
      </c>
      <c r="Z218" s="32">
        <f t="shared" si="53"/>
        <v>7.9768821597099304E-2</v>
      </c>
      <c r="AA218" s="31">
        <v>24.240280151367188</v>
      </c>
      <c r="AB218" s="31">
        <v>92.883560180664063</v>
      </c>
      <c r="AC218" s="31">
        <f t="shared" si="54"/>
        <v>10.320395575629341</v>
      </c>
      <c r="AD218" s="31">
        <v>27.930843353271484</v>
      </c>
      <c r="AE218" s="31">
        <v>7.502108097076416</v>
      </c>
      <c r="AF218" s="32">
        <f t="shared" si="55"/>
        <v>8.3356756634182396</v>
      </c>
      <c r="AG218" s="31">
        <v>30.592140197753906</v>
      </c>
      <c r="AH218" s="31">
        <v>60.791839599609375</v>
      </c>
      <c r="AI218" s="31">
        <f t="shared" si="56"/>
        <v>6.754648844401042</v>
      </c>
      <c r="AJ218" s="31">
        <v>34.957252502441406</v>
      </c>
      <c r="AK218" s="31">
        <v>4.667994499206543</v>
      </c>
      <c r="AL218" s="32">
        <f t="shared" si="57"/>
        <v>5.1866605546739368</v>
      </c>
    </row>
    <row r="219" spans="1:38" ht="15.15" thickBot="1" x14ac:dyDescent="0.35">
      <c r="A219" s="33" t="s">
        <v>71</v>
      </c>
      <c r="B219" s="30">
        <v>44426</v>
      </c>
      <c r="C219" s="33">
        <v>1000</v>
      </c>
      <c r="D219" s="1461" t="s">
        <v>65</v>
      </c>
      <c r="E219" s="30">
        <v>44503</v>
      </c>
      <c r="F219" s="24">
        <v>100</v>
      </c>
      <c r="G219" s="31">
        <v>15.099535942077637</v>
      </c>
      <c r="H219" s="31">
        <v>2562559.5</v>
      </c>
      <c r="I219" s="31">
        <f t="shared" si="47"/>
        <v>2549576.8614461264</v>
      </c>
      <c r="J219" s="31">
        <f t="shared" si="46"/>
        <v>254957.68614461264</v>
      </c>
      <c r="K219" s="31">
        <v>18.363620758056641</v>
      </c>
      <c r="L219" s="31">
        <v>285020.9375</v>
      </c>
      <c r="M219" s="31">
        <f t="shared" si="48"/>
        <v>272038.29894612631</v>
      </c>
      <c r="N219" s="32">
        <f t="shared" si="49"/>
        <v>272038.29894612631</v>
      </c>
      <c r="O219" s="31">
        <v>28.441062927246094</v>
      </c>
      <c r="P219" s="31">
        <v>427.45321655273438</v>
      </c>
      <c r="Q219" s="31">
        <f t="shared" si="50"/>
        <v>42.745321655273436</v>
      </c>
      <c r="R219" s="31">
        <v>31.936494827270508</v>
      </c>
      <c r="S219" s="31">
        <v>47.339740753173828</v>
      </c>
      <c r="T219" s="32">
        <f t="shared" si="51"/>
        <v>47.339740753173828</v>
      </c>
      <c r="U219" s="31">
        <v>31.222871780395508</v>
      </c>
      <c r="V219" s="31">
        <v>6.7970700263977051</v>
      </c>
      <c r="W219" s="31">
        <f t="shared" si="52"/>
        <v>0.67970700263977046</v>
      </c>
      <c r="X219" s="31">
        <v>33.849040985107422</v>
      </c>
      <c r="Y219" s="31">
        <v>1.1671345233917236</v>
      </c>
      <c r="Z219" s="32">
        <f t="shared" si="53"/>
        <v>1.1671345233917236</v>
      </c>
      <c r="AA219" s="31">
        <v>24.072793960571289</v>
      </c>
      <c r="AB219" s="31">
        <v>104.119140625</v>
      </c>
      <c r="AC219" s="31">
        <f t="shared" si="54"/>
        <v>10.411914062499999</v>
      </c>
      <c r="AD219" s="31">
        <v>27.225774765014648</v>
      </c>
      <c r="AE219" s="31">
        <v>12.132498741149902</v>
      </c>
      <c r="AF219" s="32">
        <f t="shared" si="55"/>
        <v>12.132498741149902</v>
      </c>
      <c r="AG219" s="31">
        <v>30.415525436401367</v>
      </c>
      <c r="AH219" s="31">
        <v>67.444610595703125</v>
      </c>
      <c r="AI219" s="31">
        <f t="shared" si="56"/>
        <v>6.7444610595703125</v>
      </c>
      <c r="AJ219" s="31">
        <v>37.247005462646484</v>
      </c>
      <c r="AK219" s="31">
        <v>1.2145016193389893</v>
      </c>
      <c r="AL219" s="32">
        <f t="shared" si="57"/>
        <v>1.2145016193389893</v>
      </c>
    </row>
    <row r="220" spans="1:38" ht="15.15" thickBot="1" x14ac:dyDescent="0.35">
      <c r="A220" s="33" t="s">
        <v>72</v>
      </c>
      <c r="B220" s="30">
        <v>44426</v>
      </c>
      <c r="C220" s="33">
        <v>950</v>
      </c>
      <c r="D220" s="1461" t="s">
        <v>65</v>
      </c>
      <c r="E220" s="30">
        <v>44503</v>
      </c>
      <c r="F220" s="24">
        <v>100</v>
      </c>
      <c r="G220" s="31">
        <v>18.079746246337891</v>
      </c>
      <c r="H220" s="31">
        <v>345006.78125</v>
      </c>
      <c r="I220" s="31">
        <f t="shared" si="47"/>
        <v>332024.14269612631</v>
      </c>
      <c r="J220" s="31">
        <f t="shared" si="46"/>
        <v>34949.909757486981</v>
      </c>
      <c r="K220" s="31">
        <v>21.276296615600586</v>
      </c>
      <c r="L220" s="31">
        <v>40157.3125</v>
      </c>
      <c r="M220" s="31">
        <f t="shared" si="48"/>
        <v>27174.673946126302</v>
      </c>
      <c r="N220" s="32">
        <f t="shared" si="49"/>
        <v>28604.919943290843</v>
      </c>
      <c r="O220" s="31">
        <v>27.479942321777344</v>
      </c>
      <c r="P220" s="31">
        <v>782.8204345703125</v>
      </c>
      <c r="Q220" s="31">
        <f t="shared" si="50"/>
        <v>82.402151007401315</v>
      </c>
      <c r="R220" s="31">
        <v>30.547952651977539</v>
      </c>
      <c r="S220" s="31">
        <v>113.46395111083984</v>
      </c>
      <c r="T220" s="32">
        <f t="shared" si="51"/>
        <v>119.43573801141036</v>
      </c>
      <c r="U220" s="31">
        <v>29.109853744506836</v>
      </c>
      <c r="V220" s="31">
        <v>28.054529190063477</v>
      </c>
      <c r="W220" s="31">
        <f t="shared" si="52"/>
        <v>2.9531083357961556</v>
      </c>
      <c r="X220" s="31">
        <v>32.463653564453125</v>
      </c>
      <c r="Y220" s="31">
        <v>2.9565727710723877</v>
      </c>
      <c r="Z220" s="32">
        <f t="shared" si="53"/>
        <v>3.1121818642867241</v>
      </c>
      <c r="AA220" s="31">
        <v>29.573486328125</v>
      </c>
      <c r="AB220" s="31">
        <v>2.4479680061340332</v>
      </c>
      <c r="AC220" s="31">
        <f t="shared" si="54"/>
        <v>0.25768084275095088</v>
      </c>
      <c r="AD220" s="31" t="s">
        <v>66</v>
      </c>
      <c r="AF220" s="32">
        <f t="shared" si="55"/>
        <v>0</v>
      </c>
      <c r="AG220" t="s">
        <v>66</v>
      </c>
      <c r="AI220" s="31">
        <f t="shared" si="56"/>
        <v>0</v>
      </c>
      <c r="AJ220" t="s">
        <v>66</v>
      </c>
      <c r="AL220" s="32">
        <f t="shared" si="57"/>
        <v>0</v>
      </c>
    </row>
    <row r="221" spans="1:38" ht="15.15" thickBot="1" x14ac:dyDescent="0.35">
      <c r="A221" s="33" t="s">
        <v>73</v>
      </c>
      <c r="B221" s="30">
        <v>44426</v>
      </c>
      <c r="C221" s="33">
        <v>980</v>
      </c>
      <c r="D221" s="1461" t="s">
        <v>65</v>
      </c>
      <c r="E221" s="30">
        <v>44503</v>
      </c>
      <c r="F221" s="24">
        <v>100</v>
      </c>
      <c r="G221" s="31">
        <v>17.842674255371094</v>
      </c>
      <c r="H221" s="31">
        <v>404671.28125</v>
      </c>
      <c r="I221" s="31">
        <f t="shared" si="47"/>
        <v>391688.64269612631</v>
      </c>
      <c r="J221" s="31">
        <f t="shared" si="46"/>
        <v>39968.228846543505</v>
      </c>
      <c r="K221" s="31">
        <v>21.006448745727539</v>
      </c>
      <c r="L221" s="31">
        <v>48152.2734375</v>
      </c>
      <c r="M221" s="31">
        <f t="shared" si="48"/>
        <v>35169.634883626306</v>
      </c>
      <c r="N221" s="32">
        <f t="shared" si="49"/>
        <v>35887.382534312557</v>
      </c>
      <c r="O221" s="31">
        <v>27.241384506225586</v>
      </c>
      <c r="P221" s="31">
        <v>909.671630859375</v>
      </c>
      <c r="Q221" s="31">
        <f t="shared" si="50"/>
        <v>92.823635801977048</v>
      </c>
      <c r="R221" s="31">
        <v>30.433979034423828</v>
      </c>
      <c r="S221" s="31">
        <v>121.90420532226563</v>
      </c>
      <c r="T221" s="32">
        <f t="shared" si="51"/>
        <v>124.39204624720982</v>
      </c>
      <c r="U221" s="31">
        <v>29.622892379760742</v>
      </c>
      <c r="V221" s="31">
        <v>19.88456916809082</v>
      </c>
      <c r="W221" s="31">
        <f t="shared" si="52"/>
        <v>2.029037670213349</v>
      </c>
      <c r="X221" s="31">
        <v>32.572132110595703</v>
      </c>
      <c r="Y221" s="31">
        <v>2.7490372657775879</v>
      </c>
      <c r="Z221" s="32">
        <f t="shared" si="53"/>
        <v>2.8051400671199875</v>
      </c>
      <c r="AA221" s="31">
        <v>29.316213607788086</v>
      </c>
      <c r="AB221" s="31">
        <v>2.917311429977417</v>
      </c>
      <c r="AC221" s="31">
        <f t="shared" si="54"/>
        <v>0.29768483979361399</v>
      </c>
      <c r="AD221" s="31" t="s">
        <v>66</v>
      </c>
      <c r="AF221" s="32">
        <f t="shared" si="55"/>
        <v>0</v>
      </c>
      <c r="AG221" s="31">
        <v>34.190792083740234</v>
      </c>
      <c r="AH221" s="31">
        <v>7.325894832611084</v>
      </c>
      <c r="AI221" s="31">
        <f t="shared" si="56"/>
        <v>0.74754028904194736</v>
      </c>
      <c r="AJ221" t="s">
        <v>66</v>
      </c>
      <c r="AL221" s="32">
        <f t="shared" si="57"/>
        <v>0</v>
      </c>
    </row>
    <row r="222" spans="1:38" ht="15.15" thickBot="1" x14ac:dyDescent="0.35">
      <c r="A222" s="33" t="s">
        <v>74</v>
      </c>
      <c r="B222" s="30">
        <v>44426</v>
      </c>
      <c r="C222" s="33">
        <v>900</v>
      </c>
      <c r="D222" s="1461" t="s">
        <v>65</v>
      </c>
      <c r="E222" s="30">
        <v>44503</v>
      </c>
      <c r="F222" s="24">
        <v>100</v>
      </c>
      <c r="G222" s="31">
        <v>20.637638092041016</v>
      </c>
      <c r="H222" s="31">
        <v>61714.44921875</v>
      </c>
      <c r="I222" s="31">
        <f t="shared" si="47"/>
        <v>48731.810664876306</v>
      </c>
      <c r="J222" s="31">
        <f t="shared" si="46"/>
        <v>5414.6456294307009</v>
      </c>
      <c r="K222" s="31">
        <v>23.473705291748047</v>
      </c>
      <c r="L222" s="31">
        <v>9155.0458984375</v>
      </c>
      <c r="M222" s="31">
        <f t="shared" si="48"/>
        <v>-3827.5926554361977</v>
      </c>
      <c r="N222" s="32">
        <f t="shared" si="49"/>
        <v>-4252.8807282624421</v>
      </c>
      <c r="O222" s="31">
        <v>30.728702545166016</v>
      </c>
      <c r="P222" s="31">
        <v>101.26055145263672</v>
      </c>
      <c r="Q222" s="31">
        <f t="shared" si="50"/>
        <v>11.251172383626303</v>
      </c>
      <c r="R222" s="31">
        <v>34.091274261474609</v>
      </c>
      <c r="S222" s="31">
        <v>12.192758560180664</v>
      </c>
      <c r="T222" s="32">
        <f t="shared" si="51"/>
        <v>13.54750951131185</v>
      </c>
      <c r="U222" s="31">
        <v>35.3304443359375</v>
      </c>
      <c r="V222" s="31">
        <v>0.43199288845062256</v>
      </c>
      <c r="W222" s="31">
        <f t="shared" si="52"/>
        <v>4.7999209827846952E-2</v>
      </c>
      <c r="X222" t="s">
        <v>66</v>
      </c>
      <c r="Z222" s="32">
        <f t="shared" si="53"/>
        <v>0</v>
      </c>
      <c r="AA222" s="31">
        <v>30.480398178100586</v>
      </c>
      <c r="AB222" s="31">
        <v>1.3190890550613403</v>
      </c>
      <c r="AC222" s="31">
        <f t="shared" si="54"/>
        <v>0.14656545056237114</v>
      </c>
      <c r="AD222" s="31" t="s">
        <v>66</v>
      </c>
      <c r="AF222" s="32">
        <f t="shared" si="55"/>
        <v>0</v>
      </c>
      <c r="AG222" t="s">
        <v>66</v>
      </c>
      <c r="AI222" s="31">
        <f t="shared" si="56"/>
        <v>0</v>
      </c>
      <c r="AJ222" t="s">
        <v>66</v>
      </c>
      <c r="AL222" s="32">
        <f t="shared" si="57"/>
        <v>0</v>
      </c>
    </row>
    <row r="223" spans="1:38" ht="15.15" thickBot="1" x14ac:dyDescent="0.35">
      <c r="A223" s="33" t="s">
        <v>75</v>
      </c>
      <c r="B223" s="30">
        <v>44426</v>
      </c>
      <c r="C223" s="33">
        <v>940</v>
      </c>
      <c r="D223" s="1461" t="s">
        <v>65</v>
      </c>
      <c r="E223" s="30">
        <v>44503</v>
      </c>
      <c r="F223" s="24">
        <v>100</v>
      </c>
      <c r="G223" s="31">
        <v>14.803574562072754</v>
      </c>
      <c r="H223" s="31">
        <v>3127208</v>
      </c>
      <c r="I223" s="31">
        <f t="shared" si="47"/>
        <v>3114225.3614461264</v>
      </c>
      <c r="J223" s="31">
        <f t="shared" si="46"/>
        <v>331300.57036660914</v>
      </c>
      <c r="K223" s="31">
        <v>17.538595199584961</v>
      </c>
      <c r="L223" s="31">
        <v>496543.40625</v>
      </c>
      <c r="M223" s="31">
        <f t="shared" si="48"/>
        <v>483560.76769612631</v>
      </c>
      <c r="N223" s="32">
        <f t="shared" si="49"/>
        <v>514426.3486129003</v>
      </c>
      <c r="O223" s="31">
        <v>29.452047348022461</v>
      </c>
      <c r="P223" s="31">
        <v>226.19451904296875</v>
      </c>
      <c r="Q223" s="31">
        <f t="shared" si="50"/>
        <v>24.063246706698802</v>
      </c>
      <c r="R223" s="31">
        <v>32.935379028320313</v>
      </c>
      <c r="S223" s="31">
        <v>25.242221832275391</v>
      </c>
      <c r="T223" s="32">
        <f t="shared" si="51"/>
        <v>26.853427481144031</v>
      </c>
      <c r="U223" s="31">
        <v>35.206439971923828</v>
      </c>
      <c r="V223" s="31">
        <v>0.46947059035301208</v>
      </c>
      <c r="W223" s="31">
        <f t="shared" si="52"/>
        <v>4.994367982478852E-2</v>
      </c>
      <c r="X223" s="31">
        <v>38.920082092285156</v>
      </c>
      <c r="Y223" s="31">
        <v>3.8863763213157654E-2</v>
      </c>
      <c r="Z223" s="32">
        <f t="shared" si="53"/>
        <v>4.1344428950167718E-2</v>
      </c>
      <c r="AA223" s="31">
        <v>29.521780014038086</v>
      </c>
      <c r="AB223" s="31">
        <v>2.535804271697998</v>
      </c>
      <c r="AC223" s="31">
        <f t="shared" si="54"/>
        <v>0.26976641188276573</v>
      </c>
      <c r="AD223" s="31">
        <v>32.117591857910156</v>
      </c>
      <c r="AE223" s="31">
        <v>0.43202617764472961</v>
      </c>
      <c r="AF223" s="32">
        <f t="shared" si="55"/>
        <v>0.4596023166433294</v>
      </c>
      <c r="AG223" t="s">
        <v>66</v>
      </c>
      <c r="AI223" s="31">
        <f t="shared" si="56"/>
        <v>0</v>
      </c>
      <c r="AJ223" t="s">
        <v>66</v>
      </c>
      <c r="AL223" s="32">
        <f t="shared" si="57"/>
        <v>0</v>
      </c>
    </row>
    <row r="224" spans="1:38" ht="15.15" thickBot="1" x14ac:dyDescent="0.35">
      <c r="A224" s="33" t="s">
        <v>76</v>
      </c>
      <c r="B224" s="30">
        <v>44426</v>
      </c>
      <c r="C224" s="33">
        <v>930</v>
      </c>
      <c r="D224" s="1461" t="s">
        <v>65</v>
      </c>
      <c r="E224" s="30">
        <v>44503</v>
      </c>
      <c r="F224" s="24">
        <v>100</v>
      </c>
      <c r="G224" s="31">
        <v>10.016845703125</v>
      </c>
      <c r="H224" s="31">
        <v>78322280</v>
      </c>
      <c r="I224" s="31">
        <f t="shared" si="47"/>
        <v>78309297.361446127</v>
      </c>
      <c r="J224" s="31">
        <f t="shared" si="46"/>
        <v>8420354.5549942069</v>
      </c>
      <c r="K224" s="31">
        <v>12.363941192626953</v>
      </c>
      <c r="L224" s="31">
        <v>16145119</v>
      </c>
      <c r="M224" s="31">
        <f t="shared" si="48"/>
        <v>16132136.361446125</v>
      </c>
      <c r="N224" s="32">
        <f t="shared" si="49"/>
        <v>17346383.184350673</v>
      </c>
      <c r="O224" s="31">
        <v>26.902921676635742</v>
      </c>
      <c r="P224" s="31">
        <v>1125.697021484375</v>
      </c>
      <c r="Q224" s="31">
        <f t="shared" si="50"/>
        <v>121.04269048219086</v>
      </c>
      <c r="R224" s="31">
        <v>30.413267135620117</v>
      </c>
      <c r="S224" s="31">
        <v>123.50410461425781</v>
      </c>
      <c r="T224" s="32">
        <f t="shared" si="51"/>
        <v>132.80011248844926</v>
      </c>
      <c r="U224" s="31">
        <v>23.243782043457031</v>
      </c>
      <c r="V224" s="31">
        <v>1436.2542724609375</v>
      </c>
      <c r="W224" s="31">
        <f t="shared" si="52"/>
        <v>154.43594327536962</v>
      </c>
      <c r="X224" s="31">
        <v>26.234777450561523</v>
      </c>
      <c r="Y224" s="31">
        <v>193.07640075683594</v>
      </c>
      <c r="Z224" s="32">
        <f t="shared" si="53"/>
        <v>207.60903307186661</v>
      </c>
      <c r="AA224" s="31">
        <v>29.352039337158203</v>
      </c>
      <c r="AB224" s="31">
        <v>2.8469183444976807</v>
      </c>
      <c r="AC224" s="31">
        <f t="shared" si="54"/>
        <v>0.30612025209652483</v>
      </c>
      <c r="AD224" s="31" t="s">
        <v>66</v>
      </c>
      <c r="AF224" s="32">
        <f t="shared" si="55"/>
        <v>0</v>
      </c>
      <c r="AG224" s="31">
        <v>28.004791259765625</v>
      </c>
      <c r="AH224" s="31">
        <v>278.33920288085938</v>
      </c>
      <c r="AI224" s="31">
        <f t="shared" si="56"/>
        <v>29.928946546328966</v>
      </c>
      <c r="AJ224" s="31">
        <v>27.78333854675293</v>
      </c>
      <c r="AK224" s="31">
        <v>317.04910278320313</v>
      </c>
      <c r="AL224" s="32">
        <f t="shared" si="57"/>
        <v>340.91301374537971</v>
      </c>
    </row>
    <row r="225" spans="1:38" ht="15.15" thickBot="1" x14ac:dyDescent="0.35">
      <c r="A225" s="33" t="s">
        <v>77</v>
      </c>
      <c r="B225" s="30">
        <v>44426</v>
      </c>
      <c r="C225" s="33">
        <v>1000</v>
      </c>
      <c r="D225" s="1461" t="s">
        <v>65</v>
      </c>
      <c r="E225" s="30">
        <v>44503</v>
      </c>
      <c r="F225" s="24">
        <v>100</v>
      </c>
      <c r="G225" s="31">
        <v>8.2431669235229492</v>
      </c>
      <c r="H225" s="31">
        <v>258327968</v>
      </c>
      <c r="I225" s="31">
        <f t="shared" si="47"/>
        <v>258314985.36144611</v>
      </c>
      <c r="J225" s="31">
        <f t="shared" si="46"/>
        <v>25831498.53614461</v>
      </c>
      <c r="K225" s="31">
        <v>10.520901679992676</v>
      </c>
      <c r="L225" s="31">
        <v>55794996</v>
      </c>
      <c r="M225" s="31">
        <f t="shared" si="48"/>
        <v>55782013.361446127</v>
      </c>
      <c r="N225" s="32">
        <f t="shared" si="49"/>
        <v>55782013.361446127</v>
      </c>
      <c r="O225" s="31">
        <v>27.462528228759766</v>
      </c>
      <c r="P225" s="31">
        <v>791.44952392578125</v>
      </c>
      <c r="Q225" s="31">
        <f t="shared" si="50"/>
        <v>79.144952392578119</v>
      </c>
      <c r="R225" s="31">
        <v>31.506978988647461</v>
      </c>
      <c r="S225" s="31">
        <v>62.037876129150391</v>
      </c>
      <c r="T225" s="32">
        <f t="shared" si="51"/>
        <v>62.037876129150391</v>
      </c>
      <c r="U225" s="31">
        <v>24.984241485595703</v>
      </c>
      <c r="V225" s="31">
        <v>446.79104614257813</v>
      </c>
      <c r="W225" s="31">
        <f t="shared" si="52"/>
        <v>44.67910461425781</v>
      </c>
      <c r="X225" s="31">
        <v>29.114444732666016</v>
      </c>
      <c r="Y225" s="31">
        <v>27.968250274658203</v>
      </c>
      <c r="Z225" s="32">
        <f t="shared" si="53"/>
        <v>27.968250274658203</v>
      </c>
      <c r="AA225" s="31">
        <v>29.524541854858398</v>
      </c>
      <c r="AB225" s="31">
        <v>2.5310337543487549</v>
      </c>
      <c r="AC225" s="31">
        <f t="shared" si="54"/>
        <v>0.25310337543487549</v>
      </c>
      <c r="AD225" s="31">
        <v>31.255552291870117</v>
      </c>
      <c r="AE225" s="31">
        <v>0.77759820222854614</v>
      </c>
      <c r="AF225" s="32">
        <f t="shared" si="55"/>
        <v>0.77759820222854614</v>
      </c>
      <c r="AG225" s="31">
        <v>32.401248931884766</v>
      </c>
      <c r="AH225" s="31">
        <v>20.982379913330078</v>
      </c>
      <c r="AI225" s="31">
        <f t="shared" si="56"/>
        <v>2.0982379913330078</v>
      </c>
      <c r="AJ225" s="31">
        <v>30.825841903686523</v>
      </c>
      <c r="AK225" s="31">
        <v>52.986484527587891</v>
      </c>
      <c r="AL225" s="32">
        <f t="shared" si="57"/>
        <v>52.986484527587891</v>
      </c>
    </row>
    <row r="226" spans="1:38" ht="15.15" thickBot="1" x14ac:dyDescent="0.35">
      <c r="A226" s="33" t="s">
        <v>78</v>
      </c>
      <c r="B226" s="30">
        <v>44426</v>
      </c>
      <c r="C226" s="33">
        <v>990</v>
      </c>
      <c r="D226" s="1461" t="s">
        <v>65</v>
      </c>
      <c r="E226" s="30">
        <v>44503</v>
      </c>
      <c r="F226" s="24">
        <v>100</v>
      </c>
      <c r="G226" s="31">
        <v>13.721440315246582</v>
      </c>
      <c r="H226" s="31">
        <v>6476895</v>
      </c>
      <c r="I226" s="31">
        <f t="shared" si="47"/>
        <v>6463912.3614461264</v>
      </c>
      <c r="J226" s="31">
        <f t="shared" si="46"/>
        <v>652920.4405501138</v>
      </c>
      <c r="K226" s="31">
        <v>16.771669387817383</v>
      </c>
      <c r="L226" s="31">
        <v>831879.4375</v>
      </c>
      <c r="M226" s="31">
        <f t="shared" si="48"/>
        <v>818896.79894612625</v>
      </c>
      <c r="N226" s="32">
        <f t="shared" si="49"/>
        <v>827168.48378396593</v>
      </c>
      <c r="O226" s="31">
        <v>30.417287826538086</v>
      </c>
      <c r="P226" s="31">
        <v>123.19188690185547</v>
      </c>
      <c r="Q226" s="31">
        <f t="shared" si="50"/>
        <v>12.44362493958136</v>
      </c>
      <c r="R226" s="31">
        <v>33.353214263916016</v>
      </c>
      <c r="S226" s="31">
        <v>19.403945922851563</v>
      </c>
      <c r="T226" s="32">
        <f t="shared" si="51"/>
        <v>19.59994537661774</v>
      </c>
      <c r="U226" s="31">
        <v>26.919065475463867</v>
      </c>
      <c r="V226" s="31">
        <v>121.99571228027344</v>
      </c>
      <c r="W226" s="31">
        <f t="shared" si="52"/>
        <v>12.322799220229641</v>
      </c>
      <c r="X226" s="31">
        <v>29.779052734375</v>
      </c>
      <c r="Y226" s="31">
        <v>17.906675338745117</v>
      </c>
      <c r="Z226" s="32">
        <f t="shared" si="53"/>
        <v>18.08755084721729</v>
      </c>
      <c r="AA226" s="31" t="s">
        <v>66</v>
      </c>
      <c r="AC226" s="31">
        <f t="shared" si="54"/>
        <v>0</v>
      </c>
      <c r="AD226" s="31" t="s">
        <v>66</v>
      </c>
      <c r="AF226" s="32">
        <f t="shared" si="55"/>
        <v>0</v>
      </c>
      <c r="AG226" s="31">
        <v>21.388616561889648</v>
      </c>
      <c r="AH226" s="31">
        <v>13618.873046875</v>
      </c>
      <c r="AI226" s="31">
        <f t="shared" si="56"/>
        <v>1375.6437421085859</v>
      </c>
      <c r="AJ226" s="31">
        <v>25.282018661499023</v>
      </c>
      <c r="AK226" s="31">
        <v>1380.0234375</v>
      </c>
      <c r="AL226" s="32">
        <f t="shared" si="57"/>
        <v>1393.9630681818182</v>
      </c>
    </row>
    <row r="227" spans="1:38" ht="15.15" thickBot="1" x14ac:dyDescent="0.35">
      <c r="A227" s="33" t="s">
        <v>79</v>
      </c>
      <c r="B227" s="30">
        <v>44426</v>
      </c>
      <c r="C227" s="33">
        <v>900</v>
      </c>
      <c r="D227" s="1461" t="s">
        <v>65</v>
      </c>
      <c r="E227" s="30">
        <v>44503</v>
      </c>
      <c r="F227" s="24">
        <v>100</v>
      </c>
      <c r="G227" s="31">
        <v>15.327835083007813</v>
      </c>
      <c r="H227" s="31">
        <v>2197671.25</v>
      </c>
      <c r="I227" s="31">
        <f t="shared" si="47"/>
        <v>2184688.6114461264</v>
      </c>
      <c r="J227" s="31">
        <f t="shared" si="46"/>
        <v>242743.17904956959</v>
      </c>
      <c r="K227" s="31">
        <v>21.037471771240234</v>
      </c>
      <c r="L227" s="31">
        <v>47157.58984375</v>
      </c>
      <c r="M227" s="31">
        <f t="shared" si="48"/>
        <v>34174.951289876306</v>
      </c>
      <c r="N227" s="32">
        <f t="shared" si="49"/>
        <v>37972.16809986256</v>
      </c>
      <c r="O227" s="31">
        <v>31.829946517944336</v>
      </c>
      <c r="P227" s="31">
        <v>50.624008178710938</v>
      </c>
      <c r="Q227" s="31">
        <f t="shared" si="50"/>
        <v>5.6248897976345482</v>
      </c>
      <c r="R227" t="s">
        <v>66</v>
      </c>
      <c r="T227" s="32">
        <f t="shared" si="51"/>
        <v>0</v>
      </c>
      <c r="U227" s="31">
        <v>30.314645767211914</v>
      </c>
      <c r="V227" s="31">
        <v>12.501334190368652</v>
      </c>
      <c r="W227" s="31">
        <f t="shared" si="52"/>
        <v>1.3890371322631836</v>
      </c>
      <c r="X227" s="31">
        <v>33.731372833251953</v>
      </c>
      <c r="Y227" s="31">
        <v>1.2630091905593872</v>
      </c>
      <c r="Z227" s="32">
        <f t="shared" si="53"/>
        <v>1.4033435450659857</v>
      </c>
      <c r="AA227" s="31">
        <v>30.523441314697266</v>
      </c>
      <c r="AB227" s="31">
        <v>1.2809414863586426</v>
      </c>
      <c r="AC227" s="31">
        <f t="shared" si="54"/>
        <v>0.14232683181762695</v>
      </c>
      <c r="AD227" s="31" t="s">
        <v>66</v>
      </c>
      <c r="AF227" s="32">
        <f t="shared" si="55"/>
        <v>0</v>
      </c>
      <c r="AG227" s="31">
        <v>28.174446105957031</v>
      </c>
      <c r="AH227" s="31">
        <v>251.91252136230469</v>
      </c>
      <c r="AI227" s="31">
        <f t="shared" si="56"/>
        <v>27.990280151367188</v>
      </c>
      <c r="AJ227" s="31">
        <v>32.095176696777344</v>
      </c>
      <c r="AK227" s="31">
        <v>25.11979866027832</v>
      </c>
      <c r="AL227" s="32">
        <f t="shared" si="57"/>
        <v>27.910887400309246</v>
      </c>
    </row>
    <row r="228" spans="1:38" ht="15.15" thickBot="1" x14ac:dyDescent="0.35">
      <c r="A228" s="33" t="s">
        <v>80</v>
      </c>
      <c r="B228" s="30">
        <v>44426</v>
      </c>
      <c r="C228" s="33">
        <v>940</v>
      </c>
      <c r="D228" s="1461" t="s">
        <v>65</v>
      </c>
      <c r="E228" s="30">
        <v>44503</v>
      </c>
      <c r="F228" s="24">
        <v>100</v>
      </c>
      <c r="G228" s="31">
        <v>18.996387481689453</v>
      </c>
      <c r="H228" s="31">
        <v>186198.5</v>
      </c>
      <c r="I228" s="31">
        <f t="shared" si="47"/>
        <v>173215.86144612631</v>
      </c>
      <c r="J228" s="31">
        <f t="shared" si="46"/>
        <v>18427.219302779391</v>
      </c>
      <c r="K228" s="31">
        <v>22.544748306274414</v>
      </c>
      <c r="L228" s="31">
        <v>17104.515625</v>
      </c>
      <c r="M228" s="31">
        <f t="shared" si="48"/>
        <v>4121.8770711263023</v>
      </c>
      <c r="N228" s="32">
        <f t="shared" si="49"/>
        <v>4384.9756075811729</v>
      </c>
      <c r="O228" s="31">
        <v>29.340030670166016</v>
      </c>
      <c r="P228" s="31">
        <v>242.72125244140625</v>
      </c>
      <c r="Q228" s="31">
        <f t="shared" si="50"/>
        <v>25.821409834192153</v>
      </c>
      <c r="R228" s="31">
        <v>31.742368698120117</v>
      </c>
      <c r="S228" s="31">
        <v>53.493446350097656</v>
      </c>
      <c r="T228" s="32">
        <f t="shared" si="51"/>
        <v>56.907921649040063</v>
      </c>
      <c r="U228" s="31">
        <v>33.047653198242188</v>
      </c>
      <c r="V228" s="31">
        <v>1.9981381893157959</v>
      </c>
      <c r="W228" s="31">
        <f t="shared" si="52"/>
        <v>0.21256789248040381</v>
      </c>
      <c r="X228" s="31">
        <v>36.410999298095703</v>
      </c>
      <c r="Y228" s="31">
        <v>0.20923270285129547</v>
      </c>
      <c r="Z228" s="32">
        <f t="shared" si="53"/>
        <v>0.22258798175669731</v>
      </c>
      <c r="AA228" s="31">
        <v>28.866025924682617</v>
      </c>
      <c r="AB228" s="31">
        <v>3.9653441905975342</v>
      </c>
      <c r="AC228" s="31">
        <f t="shared" si="54"/>
        <v>0.42184512665931212</v>
      </c>
      <c r="AD228" s="31" t="s">
        <v>66</v>
      </c>
      <c r="AF228" s="32">
        <f t="shared" si="55"/>
        <v>0</v>
      </c>
      <c r="AG228" t="s">
        <v>66</v>
      </c>
      <c r="AI228" s="31">
        <f t="shared" si="56"/>
        <v>0</v>
      </c>
      <c r="AJ228" t="s">
        <v>66</v>
      </c>
      <c r="AL228" s="32">
        <f t="shared" si="57"/>
        <v>0</v>
      </c>
    </row>
    <row r="229" spans="1:38" ht="15.15" thickBot="1" x14ac:dyDescent="0.35">
      <c r="A229" s="33" t="s">
        <v>81</v>
      </c>
      <c r="B229" s="30">
        <v>44426</v>
      </c>
      <c r="C229" s="33">
        <v>940</v>
      </c>
      <c r="D229" s="1461" t="s">
        <v>65</v>
      </c>
      <c r="E229" s="30">
        <v>44503</v>
      </c>
      <c r="F229" s="24">
        <v>100</v>
      </c>
      <c r="G229" s="31">
        <v>20.390495300292969</v>
      </c>
      <c r="H229" s="31">
        <v>72879.328125</v>
      </c>
      <c r="I229" s="31">
        <f t="shared" si="47"/>
        <v>59896.689571126306</v>
      </c>
      <c r="J229" s="31">
        <f t="shared" si="46"/>
        <v>6371.98825224748</v>
      </c>
      <c r="K229" s="31">
        <v>23.800764083862305</v>
      </c>
      <c r="L229" s="31">
        <v>7346.67431640625</v>
      </c>
      <c r="M229" s="31">
        <f t="shared" si="48"/>
        <v>-5635.9642374674477</v>
      </c>
      <c r="N229" s="32">
        <f t="shared" si="49"/>
        <v>-5995.7066356036676</v>
      </c>
      <c r="O229" s="31">
        <v>30.074005126953125</v>
      </c>
      <c r="P229" s="31">
        <v>152.91030883789063</v>
      </c>
      <c r="Q229" s="31">
        <f t="shared" si="50"/>
        <v>16.267054131690493</v>
      </c>
      <c r="R229" s="31">
        <v>33.044990539550781</v>
      </c>
      <c r="S229" s="31">
        <v>23.559141159057617</v>
      </c>
      <c r="T229" s="32">
        <f t="shared" si="51"/>
        <v>25.06291612665704</v>
      </c>
      <c r="U229" s="31">
        <v>34.883071899414063</v>
      </c>
      <c r="V229" s="31">
        <v>0.58321660757064819</v>
      </c>
      <c r="W229" s="31">
        <f t="shared" si="52"/>
        <v>6.2044319954324273E-2</v>
      </c>
      <c r="X229" s="31">
        <v>37.851146697998047</v>
      </c>
      <c r="Y229" s="31">
        <v>7.9617075622081757E-2</v>
      </c>
      <c r="Z229" s="32">
        <f t="shared" si="53"/>
        <v>8.4699016619235915E-2</v>
      </c>
      <c r="AA229" s="31">
        <v>29.377395629882813</v>
      </c>
      <c r="AB229" s="31">
        <v>2.7981250286102295</v>
      </c>
      <c r="AC229" s="31">
        <f t="shared" si="54"/>
        <v>0.29767287538406695</v>
      </c>
      <c r="AD229" s="31">
        <v>33.022327423095703</v>
      </c>
      <c r="AE229" s="31">
        <v>0.23314324021339417</v>
      </c>
      <c r="AF229" s="32">
        <f t="shared" si="55"/>
        <v>0.2480247236312704</v>
      </c>
      <c r="AG229" t="s">
        <v>66</v>
      </c>
      <c r="AI229" s="31">
        <f t="shared" si="56"/>
        <v>0</v>
      </c>
      <c r="AJ229" t="s">
        <v>66</v>
      </c>
      <c r="AL229" s="32">
        <f t="shared" si="57"/>
        <v>0</v>
      </c>
    </row>
    <row r="230" spans="1:38" ht="15.15" thickBot="1" x14ac:dyDescent="0.35">
      <c r="A230" s="33" t="s">
        <v>64</v>
      </c>
      <c r="B230" s="30">
        <v>44433</v>
      </c>
      <c r="C230" s="33">
        <v>940</v>
      </c>
      <c r="D230" s="1461" t="s">
        <v>65</v>
      </c>
      <c r="E230" s="30">
        <v>44504</v>
      </c>
      <c r="F230" s="24">
        <v>100</v>
      </c>
      <c r="G230" s="31">
        <v>18.616317749023438</v>
      </c>
      <c r="H230" s="31">
        <v>240456.34375</v>
      </c>
      <c r="I230" s="31">
        <f t="shared" si="47"/>
        <v>227473.70519612631</v>
      </c>
      <c r="J230" s="31">
        <f t="shared" si="46"/>
        <v>24199.330340013435</v>
      </c>
      <c r="K230" s="31">
        <v>23.043233871459961</v>
      </c>
      <c r="L230" s="31">
        <v>12230.6201171875</v>
      </c>
      <c r="M230" s="31">
        <f t="shared" si="48"/>
        <v>-752.01843668619767</v>
      </c>
      <c r="N230" s="32">
        <f t="shared" si="49"/>
        <v>-800.0196134959549</v>
      </c>
      <c r="O230" s="31">
        <v>33.493984222412109</v>
      </c>
      <c r="P230" s="31">
        <v>17.758369445800781</v>
      </c>
      <c r="Q230" s="31">
        <f t="shared" si="50"/>
        <v>1.8891882389149768</v>
      </c>
      <c r="R230" s="31">
        <v>36.819477081298828</v>
      </c>
      <c r="S230" s="31">
        <v>2.1887807846069336</v>
      </c>
      <c r="T230" s="32">
        <f t="shared" si="51"/>
        <v>2.328490196390355</v>
      </c>
      <c r="U230" s="31">
        <v>29.930215835571289</v>
      </c>
      <c r="V230" s="31">
        <v>16.179672241210938</v>
      </c>
      <c r="W230" s="31">
        <f t="shared" si="52"/>
        <v>1.7212417277883976</v>
      </c>
      <c r="X230" s="31">
        <v>36.0501708984375</v>
      </c>
      <c r="Y230" s="31">
        <v>0.26654225587844849</v>
      </c>
      <c r="Z230" s="32">
        <f t="shared" si="53"/>
        <v>0.2835555913600516</v>
      </c>
      <c r="AA230" s="31">
        <v>26.889814376831055</v>
      </c>
      <c r="AB230" s="31">
        <v>15.255495071411133</v>
      </c>
      <c r="AC230" s="31">
        <f t="shared" si="54"/>
        <v>1.622925007596929</v>
      </c>
      <c r="AD230" s="31" t="s">
        <v>66</v>
      </c>
      <c r="AF230" s="32">
        <f t="shared" si="55"/>
        <v>0</v>
      </c>
      <c r="AG230" s="31">
        <v>38.215538024902344</v>
      </c>
      <c r="AH230" s="31">
        <v>0.68717092275619507</v>
      </c>
      <c r="AI230" s="31">
        <f t="shared" si="56"/>
        <v>7.3103289654914375E-2</v>
      </c>
      <c r="AJ230" t="s">
        <v>66</v>
      </c>
      <c r="AL230" s="32">
        <f t="shared" si="57"/>
        <v>0</v>
      </c>
    </row>
    <row r="231" spans="1:38" ht="15.15" thickBot="1" x14ac:dyDescent="0.35">
      <c r="A231" s="33" t="s">
        <v>67</v>
      </c>
      <c r="B231" s="30">
        <v>44433</v>
      </c>
      <c r="C231" s="33">
        <v>870</v>
      </c>
      <c r="D231" s="1461" t="s">
        <v>65</v>
      </c>
      <c r="E231" s="30">
        <v>44504</v>
      </c>
      <c r="F231" s="24">
        <v>100</v>
      </c>
      <c r="G231" s="31">
        <v>19.708780288696289</v>
      </c>
      <c r="H231" s="31">
        <v>115294.375</v>
      </c>
      <c r="I231" s="31">
        <f t="shared" si="47"/>
        <v>102311.73644612631</v>
      </c>
      <c r="J231" s="31">
        <f t="shared" si="46"/>
        <v>11759.9697064513</v>
      </c>
      <c r="K231" s="31">
        <v>22.474653244018555</v>
      </c>
      <c r="L231" s="31">
        <v>17930.53515625</v>
      </c>
      <c r="M231" s="31">
        <f t="shared" si="48"/>
        <v>4947.8966023763023</v>
      </c>
      <c r="N231" s="32">
        <f t="shared" si="49"/>
        <v>5687.2374739957504</v>
      </c>
      <c r="O231" s="31">
        <v>34.523799896240234</v>
      </c>
      <c r="P231" s="31">
        <v>9.2864141464233398</v>
      </c>
      <c r="Q231" s="31">
        <f t="shared" si="50"/>
        <v>1.0674039248762459</v>
      </c>
      <c r="R231" s="31">
        <v>39.616073608398438</v>
      </c>
      <c r="S231" s="31">
        <v>0.37635999917984009</v>
      </c>
      <c r="T231" s="32">
        <f t="shared" si="51"/>
        <v>0.43259770020671273</v>
      </c>
      <c r="U231" s="31">
        <v>31.2392578125</v>
      </c>
      <c r="V231" s="31">
        <v>6.7227544784545898</v>
      </c>
      <c r="W231" s="31">
        <f t="shared" si="52"/>
        <v>0.77273039982236669</v>
      </c>
      <c r="X231" s="31">
        <v>33.219043731689453</v>
      </c>
      <c r="Y231" s="31">
        <v>1.7810928821563721</v>
      </c>
      <c r="Z231" s="32">
        <f t="shared" si="53"/>
        <v>2.0472331978808875</v>
      </c>
      <c r="AA231" s="31">
        <v>28.183391571044922</v>
      </c>
      <c r="AB231" s="31">
        <v>6.3154630661010742</v>
      </c>
      <c r="AC231" s="31">
        <f t="shared" si="54"/>
        <v>0.72591529495414642</v>
      </c>
      <c r="AD231" s="31">
        <v>30.481760025024414</v>
      </c>
      <c r="AE231" s="31">
        <v>1.3178648948669434</v>
      </c>
      <c r="AF231" s="32">
        <f t="shared" si="55"/>
        <v>1.5147872354792453</v>
      </c>
      <c r="AG231" t="s">
        <v>66</v>
      </c>
      <c r="AI231" s="31">
        <f t="shared" si="56"/>
        <v>0</v>
      </c>
      <c r="AJ231" t="s">
        <v>66</v>
      </c>
      <c r="AL231" s="32">
        <f t="shared" si="57"/>
        <v>0</v>
      </c>
    </row>
    <row r="232" spans="1:38" ht="15.15" thickBot="1" x14ac:dyDescent="0.35">
      <c r="A232" s="33" t="s">
        <v>68</v>
      </c>
      <c r="B232" s="30">
        <v>44433</v>
      </c>
      <c r="C232" s="33">
        <v>865</v>
      </c>
      <c r="D232" s="1461" t="s">
        <v>65</v>
      </c>
      <c r="E232" s="30">
        <v>44504</v>
      </c>
      <c r="F232" s="24">
        <v>100</v>
      </c>
      <c r="G232" s="31">
        <v>13.730470657348633</v>
      </c>
      <c r="H232" s="31">
        <v>6437661</v>
      </c>
      <c r="I232" s="31">
        <f t="shared" si="47"/>
        <v>6424678.3614461264</v>
      </c>
      <c r="J232" s="31">
        <f t="shared" si="46"/>
        <v>742737.38282614178</v>
      </c>
      <c r="K232" s="31">
        <v>17.203210830688477</v>
      </c>
      <c r="L232" s="31">
        <v>622242.6875</v>
      </c>
      <c r="M232" s="31">
        <f t="shared" si="48"/>
        <v>609260.04894612625</v>
      </c>
      <c r="N232" s="32">
        <f t="shared" si="49"/>
        <v>704346.87739436561</v>
      </c>
      <c r="O232" s="31">
        <v>30.437223434448242</v>
      </c>
      <c r="P232" s="31">
        <v>121.65547180175781</v>
      </c>
      <c r="Q232" s="31">
        <f t="shared" si="50"/>
        <v>14.064216393266799</v>
      </c>
      <c r="R232" s="31">
        <v>35.050502777099609</v>
      </c>
      <c r="S232" s="31">
        <v>6.6656994819641113</v>
      </c>
      <c r="T232" s="32">
        <f t="shared" si="51"/>
        <v>7.7060109618082215</v>
      </c>
      <c r="U232" s="31">
        <v>33.915027618408203</v>
      </c>
      <c r="V232" s="31">
        <v>1.1165908575057983</v>
      </c>
      <c r="W232" s="31">
        <f t="shared" si="52"/>
        <v>0.12908564826656629</v>
      </c>
      <c r="X232" t="s">
        <v>66</v>
      </c>
      <c r="Z232" s="32">
        <f t="shared" si="53"/>
        <v>0</v>
      </c>
      <c r="AA232" s="31">
        <v>29.244474411010742</v>
      </c>
      <c r="AB232" s="31">
        <v>3.0635457038879395</v>
      </c>
      <c r="AC232" s="31">
        <f t="shared" si="54"/>
        <v>0.35416713339744965</v>
      </c>
      <c r="AD232" s="31" t="s">
        <v>66</v>
      </c>
      <c r="AF232" s="32">
        <f t="shared" si="55"/>
        <v>0</v>
      </c>
      <c r="AG232" s="31">
        <v>37.6904296875</v>
      </c>
      <c r="AH232" s="31">
        <v>0.93575304746627808</v>
      </c>
      <c r="AI232" s="31">
        <f t="shared" si="56"/>
        <v>0.10817954305968533</v>
      </c>
      <c r="AJ232" t="s">
        <v>66</v>
      </c>
      <c r="AL232" s="32">
        <f t="shared" si="57"/>
        <v>0</v>
      </c>
    </row>
    <row r="233" spans="1:38" ht="15.15" thickBot="1" x14ac:dyDescent="0.35">
      <c r="A233" s="33" t="s">
        <v>69</v>
      </c>
      <c r="B233" s="30">
        <v>44433</v>
      </c>
      <c r="C233" s="33">
        <v>930</v>
      </c>
      <c r="D233" s="1461" t="s">
        <v>65</v>
      </c>
      <c r="E233" s="30">
        <v>44504</v>
      </c>
      <c r="F233" s="24">
        <v>100</v>
      </c>
      <c r="G233" s="31">
        <v>14.366188049316406</v>
      </c>
      <c r="H233" s="31">
        <v>4197255</v>
      </c>
      <c r="I233" s="31">
        <f t="shared" si="47"/>
        <v>4184272.3614461264</v>
      </c>
      <c r="J233" s="31">
        <f t="shared" si="46"/>
        <v>449921.75929528236</v>
      </c>
      <c r="K233" s="31">
        <v>17.408962249755859</v>
      </c>
      <c r="L233" s="31">
        <v>541797.8125</v>
      </c>
      <c r="M233" s="31">
        <f t="shared" si="48"/>
        <v>528815.17394612625</v>
      </c>
      <c r="N233" s="32">
        <f t="shared" si="49"/>
        <v>568618.46660873783</v>
      </c>
      <c r="O233" s="31">
        <v>30.335182189941406</v>
      </c>
      <c r="P233" s="31">
        <v>129.72691345214844</v>
      </c>
      <c r="Q233" s="31">
        <f t="shared" si="50"/>
        <v>13.949130478725639</v>
      </c>
      <c r="R233" s="31">
        <v>33.469863891601563</v>
      </c>
      <c r="S233" s="31">
        <v>18.030080795288086</v>
      </c>
      <c r="T233" s="32">
        <f t="shared" si="51"/>
        <v>19.387183650847405</v>
      </c>
      <c r="U233" s="31">
        <v>35.310619354248047</v>
      </c>
      <c r="V233" s="31">
        <v>0.43777716159820557</v>
      </c>
      <c r="W233" s="31">
        <f t="shared" si="52"/>
        <v>4.7072813075075867E-2</v>
      </c>
      <c r="X233" s="31">
        <v>35.423145294189453</v>
      </c>
      <c r="Y233" s="31">
        <v>0.40594372153282166</v>
      </c>
      <c r="Z233" s="32">
        <f t="shared" si="53"/>
        <v>0.43649862530410932</v>
      </c>
      <c r="AA233" s="31">
        <v>29.528678894042969</v>
      </c>
      <c r="AB233" s="31">
        <v>2.5239048004150391</v>
      </c>
      <c r="AC233" s="31">
        <f t="shared" si="54"/>
        <v>0.27138761294785368</v>
      </c>
      <c r="AD233" s="31">
        <v>31.635349273681641</v>
      </c>
      <c r="AE233" s="31">
        <v>0.60020476579666138</v>
      </c>
      <c r="AF233" s="32">
        <f t="shared" si="55"/>
        <v>0.6453814685985606</v>
      </c>
      <c r="AG233" s="31">
        <v>38.779781341552734</v>
      </c>
      <c r="AH233" s="31">
        <v>0.49314478039741516</v>
      </c>
      <c r="AI233" s="31">
        <f t="shared" si="56"/>
        <v>5.3026320472840338E-2</v>
      </c>
      <c r="AJ233" t="s">
        <v>66</v>
      </c>
      <c r="AL233" s="32">
        <f t="shared" si="57"/>
        <v>0</v>
      </c>
    </row>
    <row r="234" spans="1:38" ht="15.15" thickBot="1" x14ac:dyDescent="0.35">
      <c r="A234" s="33" t="s">
        <v>70</v>
      </c>
      <c r="B234" s="30">
        <v>44433</v>
      </c>
      <c r="C234" s="33">
        <v>990</v>
      </c>
      <c r="D234" s="1461" t="s">
        <v>65</v>
      </c>
      <c r="E234" s="30">
        <v>44504</v>
      </c>
      <c r="F234" s="24">
        <v>100</v>
      </c>
      <c r="G234" s="31">
        <v>16.727945327758789</v>
      </c>
      <c r="H234" s="31">
        <v>856716.1875</v>
      </c>
      <c r="I234" s="31">
        <f t="shared" si="47"/>
        <v>843733.54894612625</v>
      </c>
      <c r="J234" s="31">
        <f t="shared" ref="J234:J245" si="58">(I234*$F234)/$C234</f>
        <v>85225.611004659222</v>
      </c>
      <c r="K234" s="31">
        <v>19.883798599243164</v>
      </c>
      <c r="L234" s="31">
        <v>102486.359375</v>
      </c>
      <c r="M234" s="31">
        <f t="shared" si="48"/>
        <v>89503.720821126306</v>
      </c>
      <c r="N234" s="32">
        <f t="shared" si="49"/>
        <v>90407.798809218497</v>
      </c>
      <c r="O234" s="31">
        <v>28.870048522949219</v>
      </c>
      <c r="P234" s="31">
        <v>326.28903198242188</v>
      </c>
      <c r="Q234" s="31">
        <f t="shared" si="50"/>
        <v>32.958488079032513</v>
      </c>
      <c r="R234" s="31">
        <v>32.91766357421875</v>
      </c>
      <c r="S234" s="31">
        <v>25.525312423706055</v>
      </c>
      <c r="T234" s="32">
        <f t="shared" si="51"/>
        <v>25.783143862329347</v>
      </c>
      <c r="U234" s="31">
        <v>32.894088745117188</v>
      </c>
      <c r="V234" s="31">
        <v>2.2149829864501953</v>
      </c>
      <c r="W234" s="31">
        <f t="shared" si="52"/>
        <v>0.22373565519698943</v>
      </c>
      <c r="X234" s="31">
        <v>37.194194793701172</v>
      </c>
      <c r="Y234" s="31">
        <v>0.12371596693992615</v>
      </c>
      <c r="Z234" s="32">
        <f t="shared" si="53"/>
        <v>0.12496562317164257</v>
      </c>
      <c r="AA234" s="31">
        <v>22.634279251098633</v>
      </c>
      <c r="AB234" s="31">
        <v>277.63031005859375</v>
      </c>
      <c r="AC234" s="31">
        <f t="shared" si="54"/>
        <v>28.043465662484216</v>
      </c>
      <c r="AD234" s="31">
        <v>27.344823837280273</v>
      </c>
      <c r="AE234" s="31">
        <v>11.186661720275879</v>
      </c>
      <c r="AF234" s="32">
        <f t="shared" si="55"/>
        <v>11.299658303308968</v>
      </c>
      <c r="AG234" t="s">
        <v>66</v>
      </c>
      <c r="AI234" s="31">
        <f t="shared" si="56"/>
        <v>0</v>
      </c>
      <c r="AJ234" t="s">
        <v>66</v>
      </c>
      <c r="AL234" s="32">
        <f t="shared" si="57"/>
        <v>0</v>
      </c>
    </row>
    <row r="235" spans="1:38" ht="15.15" thickBot="1" x14ac:dyDescent="0.35">
      <c r="A235" s="33" t="s">
        <v>71</v>
      </c>
      <c r="B235" s="30">
        <v>44433</v>
      </c>
      <c r="C235" s="33">
        <v>990</v>
      </c>
      <c r="D235" s="1461" t="s">
        <v>65</v>
      </c>
      <c r="E235" s="30">
        <v>44504</v>
      </c>
      <c r="F235" s="24">
        <v>100</v>
      </c>
      <c r="G235" s="31">
        <v>19.305788040161133</v>
      </c>
      <c r="H235" s="31">
        <v>151205.0625</v>
      </c>
      <c r="I235" s="31">
        <f t="shared" si="47"/>
        <v>138222.42394612631</v>
      </c>
      <c r="J235" s="31">
        <f t="shared" si="58"/>
        <v>13961.861004659224</v>
      </c>
      <c r="K235" s="31">
        <v>23.066135406494141</v>
      </c>
      <c r="L235" s="31">
        <v>12043.6025390625</v>
      </c>
      <c r="M235" s="31">
        <f t="shared" si="48"/>
        <v>-939.03601481119767</v>
      </c>
      <c r="N235" s="32">
        <f t="shared" si="49"/>
        <v>-948.52122708201784</v>
      </c>
      <c r="O235" s="31">
        <v>30.440656661987305</v>
      </c>
      <c r="P235" s="31">
        <v>121.392822265625</v>
      </c>
      <c r="Q235" s="31">
        <f t="shared" si="50"/>
        <v>12.261901238952021</v>
      </c>
      <c r="R235" s="31">
        <v>33.809043884277344</v>
      </c>
      <c r="S235" s="31">
        <v>14.563465118408203</v>
      </c>
      <c r="T235" s="32">
        <f t="shared" si="51"/>
        <v>14.710570826674953</v>
      </c>
      <c r="U235" s="31">
        <v>35.233280181884766</v>
      </c>
      <c r="V235" s="31">
        <v>0.4610922634601593</v>
      </c>
      <c r="W235" s="31">
        <f t="shared" si="52"/>
        <v>4.6574976107086795E-2</v>
      </c>
      <c r="X235" s="31">
        <v>36.134250640869141</v>
      </c>
      <c r="Y235" s="31">
        <v>0.25192269682884216</v>
      </c>
      <c r="Z235" s="32">
        <f t="shared" si="53"/>
        <v>0.254467370534184</v>
      </c>
      <c r="AA235" s="31">
        <v>25.187004089355469</v>
      </c>
      <c r="AB235" s="31">
        <v>48.710105895996094</v>
      </c>
      <c r="AC235" s="31">
        <f t="shared" si="54"/>
        <v>4.9202127167672822</v>
      </c>
      <c r="AD235" s="31">
        <v>29.834835052490234</v>
      </c>
      <c r="AE235" s="31">
        <v>2.0484333038330078</v>
      </c>
      <c r="AF235" s="32">
        <f t="shared" si="55"/>
        <v>2.0691245493262707</v>
      </c>
      <c r="AG235" s="31">
        <v>33.683399200439453</v>
      </c>
      <c r="AH235" s="31">
        <v>9.8726367950439453</v>
      </c>
      <c r="AI235" s="31">
        <f t="shared" si="56"/>
        <v>0.99723603990342879</v>
      </c>
      <c r="AJ235" t="s">
        <v>66</v>
      </c>
      <c r="AL235" s="32">
        <f t="shared" si="57"/>
        <v>0</v>
      </c>
    </row>
    <row r="236" spans="1:38" ht="15.15" thickBot="1" x14ac:dyDescent="0.35">
      <c r="A236" s="33" t="s">
        <v>72</v>
      </c>
      <c r="B236" s="30">
        <v>44433</v>
      </c>
      <c r="C236" s="33">
        <v>1000</v>
      </c>
      <c r="D236" s="1461" t="s">
        <v>65</v>
      </c>
      <c r="E236" s="30">
        <v>44504</v>
      </c>
      <c r="F236" s="24">
        <v>100</v>
      </c>
      <c r="G236" s="31">
        <v>13.59037971496582</v>
      </c>
      <c r="H236" s="31">
        <v>7073983.5</v>
      </c>
      <c r="I236" s="31">
        <f t="shared" si="47"/>
        <v>7061000.8614461264</v>
      </c>
      <c r="J236" s="31">
        <f t="shared" si="58"/>
        <v>706100.08614461264</v>
      </c>
      <c r="K236" s="31">
        <v>16.782161712646484</v>
      </c>
      <c r="L236" s="31">
        <v>826027.3125</v>
      </c>
      <c r="M236" s="31">
        <f t="shared" si="48"/>
        <v>813044.67394612625</v>
      </c>
      <c r="N236" s="32">
        <f t="shared" si="49"/>
        <v>813044.67394612625</v>
      </c>
      <c r="O236" s="31">
        <v>29.428726196289063</v>
      </c>
      <c r="P236" s="31">
        <v>229.53988647460938</v>
      </c>
      <c r="Q236" s="31">
        <f t="shared" si="50"/>
        <v>22.953988647460939</v>
      </c>
      <c r="R236" s="31">
        <v>32.808658599853516</v>
      </c>
      <c r="S236" s="31">
        <v>27.338418960571289</v>
      </c>
      <c r="T236" s="32">
        <f t="shared" si="51"/>
        <v>27.338418960571289</v>
      </c>
      <c r="U236" s="31">
        <v>26.213638305664063</v>
      </c>
      <c r="V236" s="31">
        <v>195.834228515625</v>
      </c>
      <c r="W236" s="31">
        <f t="shared" si="52"/>
        <v>19.583422851562499</v>
      </c>
      <c r="X236" s="31">
        <v>31.793787002563477</v>
      </c>
      <c r="Y236" s="31">
        <v>4.6341614723205566</v>
      </c>
      <c r="Z236" s="32">
        <f t="shared" si="53"/>
        <v>4.6341614723205566</v>
      </c>
      <c r="AA236" s="31">
        <v>28.808086395263672</v>
      </c>
      <c r="AB236" s="31">
        <v>4.1251187324523926</v>
      </c>
      <c r="AC236" s="31">
        <f t="shared" si="54"/>
        <v>0.41251187324523925</v>
      </c>
      <c r="AD236" s="31" t="s">
        <v>66</v>
      </c>
      <c r="AF236" s="32">
        <f t="shared" si="55"/>
        <v>0</v>
      </c>
      <c r="AG236" s="31">
        <v>39.739723205566406</v>
      </c>
      <c r="AH236" s="31">
        <v>0.28043675422668457</v>
      </c>
      <c r="AI236" s="31">
        <f t="shared" si="56"/>
        <v>2.8043675422668456E-2</v>
      </c>
      <c r="AJ236" t="s">
        <v>66</v>
      </c>
      <c r="AL236" s="32">
        <f t="shared" si="57"/>
        <v>0</v>
      </c>
    </row>
    <row r="237" spans="1:38" ht="15.15" thickBot="1" x14ac:dyDescent="0.35">
      <c r="A237" s="33" t="s">
        <v>73</v>
      </c>
      <c r="B237" s="30">
        <v>44433</v>
      </c>
      <c r="C237" s="33">
        <v>1000</v>
      </c>
      <c r="D237" s="1461" t="s">
        <v>65</v>
      </c>
      <c r="E237" s="30">
        <v>44504</v>
      </c>
      <c r="F237" s="24">
        <v>100</v>
      </c>
      <c r="G237" s="31">
        <v>23.041460037231445</v>
      </c>
      <c r="H237" s="31">
        <v>12245.2255859375</v>
      </c>
      <c r="I237" s="31">
        <f t="shared" si="47"/>
        <v>-737.41296793619767</v>
      </c>
      <c r="J237" s="31">
        <f t="shared" si="58"/>
        <v>-73.741296793619767</v>
      </c>
      <c r="K237" s="31">
        <v>25.715677261352539</v>
      </c>
      <c r="L237" s="31">
        <v>2025.510986328125</v>
      </c>
      <c r="M237" s="31">
        <f t="shared" si="48"/>
        <v>-10957.127567545573</v>
      </c>
      <c r="N237" s="32">
        <f t="shared" si="49"/>
        <v>-10957.127567545573</v>
      </c>
      <c r="O237" t="s">
        <v>66</v>
      </c>
      <c r="Q237" s="31">
        <f t="shared" si="50"/>
        <v>0</v>
      </c>
      <c r="R237" t="s">
        <v>66</v>
      </c>
      <c r="T237" s="32">
        <f t="shared" si="51"/>
        <v>0</v>
      </c>
      <c r="U237" s="31">
        <v>35.43023681640625</v>
      </c>
      <c r="V237" s="31">
        <v>0.40401691198348999</v>
      </c>
      <c r="W237" s="31">
        <f t="shared" si="52"/>
        <v>4.0401691198349E-2</v>
      </c>
      <c r="X237" t="s">
        <v>66</v>
      </c>
      <c r="Z237" s="32">
        <f t="shared" si="53"/>
        <v>0</v>
      </c>
      <c r="AA237" s="31" t="s">
        <v>66</v>
      </c>
      <c r="AC237" s="31">
        <f t="shared" si="54"/>
        <v>0</v>
      </c>
      <c r="AD237" s="31" t="s">
        <v>66</v>
      </c>
      <c r="AF237" s="32">
        <f t="shared" si="55"/>
        <v>0</v>
      </c>
      <c r="AG237" t="s">
        <v>66</v>
      </c>
      <c r="AI237" s="31">
        <f t="shared" si="56"/>
        <v>0</v>
      </c>
      <c r="AJ237" t="s">
        <v>66</v>
      </c>
      <c r="AL237" s="32">
        <f t="shared" si="57"/>
        <v>0</v>
      </c>
    </row>
    <row r="238" spans="1:38" ht="15.15" thickBot="1" x14ac:dyDescent="0.35">
      <c r="A238" s="33" t="s">
        <v>74</v>
      </c>
      <c r="B238" s="30">
        <v>44433</v>
      </c>
      <c r="C238" s="33">
        <v>960</v>
      </c>
      <c r="D238" s="1461" t="s">
        <v>65</v>
      </c>
      <c r="E238" s="30">
        <v>44504</v>
      </c>
      <c r="F238" s="24">
        <v>100</v>
      </c>
      <c r="G238" s="31">
        <v>18.774282455444336</v>
      </c>
      <c r="H238" s="31">
        <v>216210.828125</v>
      </c>
      <c r="I238" s="31">
        <f t="shared" si="47"/>
        <v>203228.18957112631</v>
      </c>
      <c r="J238" s="31">
        <f t="shared" si="58"/>
        <v>21169.603080325654</v>
      </c>
      <c r="K238" s="31">
        <v>21.944757461547852</v>
      </c>
      <c r="L238" s="31">
        <v>25611.435546875</v>
      </c>
      <c r="M238" s="31">
        <f t="shared" si="48"/>
        <v>12628.796993001302</v>
      </c>
      <c r="N238" s="32">
        <f t="shared" si="49"/>
        <v>13154.996867709689</v>
      </c>
      <c r="O238" s="31">
        <v>30.502920150756836</v>
      </c>
      <c r="P238" s="31">
        <v>116.72663116455078</v>
      </c>
      <c r="Q238" s="31">
        <f t="shared" si="50"/>
        <v>12.159024079640707</v>
      </c>
      <c r="R238" s="31">
        <v>33.471305847167969</v>
      </c>
      <c r="S238" s="31">
        <v>18.01371955871582</v>
      </c>
      <c r="T238" s="32">
        <f t="shared" si="51"/>
        <v>18.764291206995647</v>
      </c>
      <c r="U238" s="31">
        <v>34.886795043945313</v>
      </c>
      <c r="V238" s="31">
        <v>0.58176159858703613</v>
      </c>
      <c r="W238" s="31">
        <f t="shared" si="52"/>
        <v>6.0600166519482933E-2</v>
      </c>
      <c r="X238" s="31">
        <v>36.801490783691406</v>
      </c>
      <c r="Y238" s="31">
        <v>0.16100893914699554</v>
      </c>
      <c r="Z238" s="32">
        <f t="shared" si="53"/>
        <v>0.16771764494478703</v>
      </c>
      <c r="AA238" s="31">
        <v>25.78465461730957</v>
      </c>
      <c r="AB238" s="31">
        <v>32.408432006835938</v>
      </c>
      <c r="AC238" s="31">
        <f t="shared" si="54"/>
        <v>3.3758783340454102</v>
      </c>
      <c r="AD238" s="31">
        <v>28.638090133666992</v>
      </c>
      <c r="AE238" s="31">
        <v>4.6320309638977051</v>
      </c>
      <c r="AF238" s="32">
        <f t="shared" si="55"/>
        <v>4.8250322540601092</v>
      </c>
      <c r="AG238" s="31">
        <v>38.757865905761719</v>
      </c>
      <c r="AH238" s="31">
        <v>0.49954080581665039</v>
      </c>
      <c r="AI238" s="31">
        <f t="shared" si="56"/>
        <v>5.2035500605901085E-2</v>
      </c>
      <c r="AJ238" t="s">
        <v>66</v>
      </c>
      <c r="AL238" s="32">
        <f t="shared" si="57"/>
        <v>0</v>
      </c>
    </row>
    <row r="239" spans="1:38" ht="15.15" thickBot="1" x14ac:dyDescent="0.35">
      <c r="A239" s="33" t="s">
        <v>75</v>
      </c>
      <c r="B239" s="30">
        <v>44433</v>
      </c>
      <c r="C239" s="33">
        <v>960</v>
      </c>
      <c r="D239" s="1461" t="s">
        <v>65</v>
      </c>
      <c r="E239" s="30">
        <v>44504</v>
      </c>
      <c r="F239" s="24">
        <v>100</v>
      </c>
      <c r="G239" s="31">
        <v>18.920604705810547</v>
      </c>
      <c r="H239" s="31">
        <v>195938.890625</v>
      </c>
      <c r="I239" s="31">
        <f t="shared" ref="I239:I245" si="59">H239-$H$265</f>
        <v>182956.25207112631</v>
      </c>
      <c r="J239" s="31">
        <f t="shared" si="58"/>
        <v>19057.942924075654</v>
      </c>
      <c r="K239" s="31">
        <v>22.438070297241211</v>
      </c>
      <c r="L239" s="31">
        <v>18377.359375</v>
      </c>
      <c r="M239" s="31">
        <f t="shared" ref="M239:M245" si="60">L239-$H$265</f>
        <v>5394.7208211263023</v>
      </c>
      <c r="N239" s="32">
        <f t="shared" si="49"/>
        <v>5619.5008553398984</v>
      </c>
      <c r="O239" s="31">
        <v>30.261093139648438</v>
      </c>
      <c r="P239" s="31">
        <v>135.92091369628906</v>
      </c>
      <c r="Q239" s="31">
        <f t="shared" si="50"/>
        <v>14.158428510030111</v>
      </c>
      <c r="R239" s="31">
        <v>34.160675048828125</v>
      </c>
      <c r="S239" s="31">
        <v>11.671524047851563</v>
      </c>
      <c r="T239" s="32">
        <f t="shared" si="51"/>
        <v>12.157837549845377</v>
      </c>
      <c r="U239" s="31">
        <v>35.038665771484375</v>
      </c>
      <c r="V239" s="31">
        <v>0.52540433406829834</v>
      </c>
      <c r="W239" s="31">
        <f t="shared" si="52"/>
        <v>5.472961813211441E-2</v>
      </c>
      <c r="X239" t="s">
        <v>66</v>
      </c>
      <c r="Z239" s="32">
        <f t="shared" si="53"/>
        <v>0</v>
      </c>
      <c r="AA239" s="31">
        <v>30.104360580444336</v>
      </c>
      <c r="AB239" s="31">
        <v>1.7045776844024658</v>
      </c>
      <c r="AC239" s="31">
        <f t="shared" si="54"/>
        <v>0.17756017545859018</v>
      </c>
      <c r="AD239" s="31" t="s">
        <v>66</v>
      </c>
      <c r="AF239" s="32">
        <f t="shared" si="55"/>
        <v>0</v>
      </c>
      <c r="AG239" t="s">
        <v>66</v>
      </c>
      <c r="AI239" s="31">
        <f t="shared" si="56"/>
        <v>0</v>
      </c>
      <c r="AJ239" t="s">
        <v>66</v>
      </c>
      <c r="AL239" s="32">
        <f t="shared" si="57"/>
        <v>0</v>
      </c>
    </row>
    <row r="240" spans="1:38" ht="15.15" thickBot="1" x14ac:dyDescent="0.35">
      <c r="A240" s="33" t="s">
        <v>76</v>
      </c>
      <c r="B240" s="30">
        <v>44433</v>
      </c>
      <c r="C240" s="33">
        <v>1000</v>
      </c>
      <c r="D240" s="1461" t="s">
        <v>65</v>
      </c>
      <c r="E240" s="30">
        <v>44504</v>
      </c>
      <c r="F240" s="24">
        <v>100</v>
      </c>
      <c r="G240" s="31">
        <v>9.8140792846679688</v>
      </c>
      <c r="H240" s="31">
        <v>89770912</v>
      </c>
      <c r="I240" s="31">
        <f t="shared" si="59"/>
        <v>89757929.361446127</v>
      </c>
      <c r="J240" s="31">
        <f t="shared" si="58"/>
        <v>8975792.9361446127</v>
      </c>
      <c r="K240" s="31">
        <v>12.801517486572266</v>
      </c>
      <c r="L240" s="31">
        <v>12027552</v>
      </c>
      <c r="M240" s="31">
        <f t="shared" si="60"/>
        <v>12014569.361446125</v>
      </c>
      <c r="N240" s="32">
        <f t="shared" si="49"/>
        <v>12014569.361446125</v>
      </c>
      <c r="O240" s="31">
        <v>28.535793304443359</v>
      </c>
      <c r="P240" s="31">
        <v>402.70681762695313</v>
      </c>
      <c r="Q240" s="31">
        <f t="shared" si="50"/>
        <v>40.270681762695311</v>
      </c>
      <c r="R240" s="31">
        <v>32.104476928710938</v>
      </c>
      <c r="S240" s="31">
        <v>42.589153289794922</v>
      </c>
      <c r="T240" s="32">
        <f t="shared" si="51"/>
        <v>42.589153289794922</v>
      </c>
      <c r="U240" s="31">
        <v>27.246747970581055</v>
      </c>
      <c r="V240" s="31">
        <v>97.918777465820313</v>
      </c>
      <c r="W240" s="31">
        <f t="shared" si="52"/>
        <v>9.7918777465820313</v>
      </c>
      <c r="X240" s="31">
        <v>30.265647888183594</v>
      </c>
      <c r="Y240" s="31">
        <v>12.919125556945801</v>
      </c>
      <c r="Z240" s="32">
        <f t="shared" si="53"/>
        <v>12.919125556945801</v>
      </c>
      <c r="AA240" s="31">
        <v>30.048986434936523</v>
      </c>
      <c r="AB240" s="31">
        <v>1.7701610326766968</v>
      </c>
      <c r="AC240" s="31">
        <f t="shared" si="54"/>
        <v>0.17701610326766967</v>
      </c>
      <c r="AD240" s="31">
        <v>34.275920867919922</v>
      </c>
      <c r="AE240" s="31">
        <v>9.9183790385723114E-2</v>
      </c>
      <c r="AF240" s="32">
        <f t="shared" si="55"/>
        <v>9.9183790385723114E-2</v>
      </c>
      <c r="AG240" s="31">
        <v>27.09019660949707</v>
      </c>
      <c r="AH240" s="31">
        <v>476.57757568359375</v>
      </c>
      <c r="AI240" s="31">
        <f t="shared" si="56"/>
        <v>47.657757568359372</v>
      </c>
      <c r="AJ240" s="31">
        <v>31.069440841674805</v>
      </c>
      <c r="AK240" s="31">
        <v>45.915302276611328</v>
      </c>
      <c r="AL240" s="32">
        <f t="shared" si="57"/>
        <v>45.915302276611328</v>
      </c>
    </row>
    <row r="241" spans="1:38" ht="15.15" thickBot="1" x14ac:dyDescent="0.35">
      <c r="A241" s="33" t="s">
        <v>77</v>
      </c>
      <c r="B241" s="30">
        <v>44433</v>
      </c>
      <c r="C241" s="33">
        <v>1000</v>
      </c>
      <c r="D241" s="1461" t="s">
        <v>65</v>
      </c>
      <c r="E241" s="30">
        <v>44504</v>
      </c>
      <c r="F241" s="24">
        <v>100</v>
      </c>
      <c r="G241" s="31">
        <v>13.095283508300781</v>
      </c>
      <c r="H241" s="31">
        <v>9870427</v>
      </c>
      <c r="I241" s="31">
        <f t="shared" si="59"/>
        <v>9857444.3614461254</v>
      </c>
      <c r="J241" s="31">
        <f t="shared" si="58"/>
        <v>985744.4361446125</v>
      </c>
      <c r="K241" s="31">
        <v>15.816884994506836</v>
      </c>
      <c r="L241" s="31">
        <v>1581457.875</v>
      </c>
      <c r="M241" s="31">
        <f t="shared" si="60"/>
        <v>1568475.2364461264</v>
      </c>
      <c r="N241" s="32">
        <f t="shared" si="49"/>
        <v>1568475.2364461264</v>
      </c>
      <c r="O241" s="31">
        <v>28.685134887695313</v>
      </c>
      <c r="P241" s="31">
        <v>366.57131958007813</v>
      </c>
      <c r="Q241" s="31">
        <f t="shared" si="50"/>
        <v>36.65713195800781</v>
      </c>
      <c r="R241" s="31">
        <v>32.50018310546875</v>
      </c>
      <c r="S241" s="31">
        <v>33.197975158691406</v>
      </c>
      <c r="T241" s="32">
        <f t="shared" si="51"/>
        <v>33.197975158691406</v>
      </c>
      <c r="U241" s="31">
        <v>25.841680526733398</v>
      </c>
      <c r="V241" s="31">
        <v>251.34364318847656</v>
      </c>
      <c r="W241" s="31">
        <f t="shared" si="52"/>
        <v>25.134364318847656</v>
      </c>
      <c r="X241" s="31">
        <v>28.206583023071289</v>
      </c>
      <c r="Y241" s="31">
        <v>51.427303314208984</v>
      </c>
      <c r="Z241" s="32">
        <f t="shared" si="53"/>
        <v>51.427303314208984</v>
      </c>
      <c r="AA241" s="31">
        <v>26.969482421875</v>
      </c>
      <c r="AB241" s="31">
        <v>14.448974609375</v>
      </c>
      <c r="AC241" s="31">
        <f t="shared" si="54"/>
        <v>1.4448974609375</v>
      </c>
      <c r="AD241" s="31">
        <v>29.745092391967773</v>
      </c>
      <c r="AE241" s="31">
        <v>2.177680492401123</v>
      </c>
      <c r="AF241" s="32">
        <f t="shared" si="55"/>
        <v>2.177680492401123</v>
      </c>
      <c r="AG241" s="31">
        <v>26.762802124023438</v>
      </c>
      <c r="AH241" s="31">
        <v>577.7501220703125</v>
      </c>
      <c r="AI241" s="31">
        <f t="shared" si="56"/>
        <v>57.775012207031253</v>
      </c>
      <c r="AJ241" s="31">
        <v>30.607206344604492</v>
      </c>
      <c r="AK241" s="31">
        <v>60.255664825439453</v>
      </c>
      <c r="AL241" s="32">
        <f t="shared" si="57"/>
        <v>60.255664825439453</v>
      </c>
    </row>
    <row r="242" spans="1:38" ht="15.15" thickBot="1" x14ac:dyDescent="0.35">
      <c r="A242" s="33" t="s">
        <v>78</v>
      </c>
      <c r="B242" s="30">
        <v>44433</v>
      </c>
      <c r="C242" s="33">
        <v>1000</v>
      </c>
      <c r="D242" s="1461" t="s">
        <v>65</v>
      </c>
      <c r="E242" s="30">
        <v>44504</v>
      </c>
      <c r="F242" s="24">
        <v>100</v>
      </c>
      <c r="G242" s="31">
        <v>13.985523223876953</v>
      </c>
      <c r="H242" s="31">
        <v>5422496.5</v>
      </c>
      <c r="I242" s="31">
        <f t="shared" si="59"/>
        <v>5409513.8614461264</v>
      </c>
      <c r="J242" s="31">
        <f t="shared" si="58"/>
        <v>540951.38614461268</v>
      </c>
      <c r="K242" s="31">
        <v>16.864200592041016</v>
      </c>
      <c r="L242" s="31">
        <v>781667.125</v>
      </c>
      <c r="M242" s="31">
        <f t="shared" si="60"/>
        <v>768684.48644612625</v>
      </c>
      <c r="N242" s="32">
        <f t="shared" si="49"/>
        <v>768684.48644612625</v>
      </c>
      <c r="O242" s="31">
        <v>31.90593147277832</v>
      </c>
      <c r="P242" s="31">
        <v>48.259407043457031</v>
      </c>
      <c r="Q242" s="31">
        <f t="shared" si="50"/>
        <v>4.8259407043457028</v>
      </c>
      <c r="R242" s="31">
        <v>35.451564788818359</v>
      </c>
      <c r="S242" s="31">
        <v>5.1783814430236816</v>
      </c>
      <c r="T242" s="32">
        <f t="shared" si="51"/>
        <v>5.1783814430236816</v>
      </c>
      <c r="U242" s="31">
        <v>27.283515930175781</v>
      </c>
      <c r="V242" s="31">
        <v>95.532844543457031</v>
      </c>
      <c r="W242" s="31">
        <f t="shared" si="52"/>
        <v>9.5532844543457038</v>
      </c>
      <c r="X242" s="31">
        <v>30.728710174560547</v>
      </c>
      <c r="Y242" s="31">
        <v>9.4690895080566406</v>
      </c>
      <c r="Z242" s="32">
        <f t="shared" si="53"/>
        <v>9.4690895080566406</v>
      </c>
      <c r="AA242" s="31">
        <v>31.000221252441406</v>
      </c>
      <c r="AB242" s="31">
        <v>0.92545938491821289</v>
      </c>
      <c r="AC242" s="31">
        <f t="shared" si="54"/>
        <v>9.2545938491821286E-2</v>
      </c>
      <c r="AD242" s="31" t="s">
        <v>66</v>
      </c>
      <c r="AF242" s="32">
        <f t="shared" si="55"/>
        <v>0</v>
      </c>
      <c r="AG242" s="31">
        <v>26.787240982055664</v>
      </c>
      <c r="AH242" s="31">
        <v>569.507080078125</v>
      </c>
      <c r="AI242" s="31">
        <f t="shared" si="56"/>
        <v>56.950708007812501</v>
      </c>
      <c r="AJ242" s="31">
        <v>30.298299789428711</v>
      </c>
      <c r="AK242" s="31">
        <v>72.257522583007813</v>
      </c>
      <c r="AL242" s="32">
        <f t="shared" si="57"/>
        <v>72.257522583007813</v>
      </c>
    </row>
    <row r="243" spans="1:38" ht="15.15" thickBot="1" x14ac:dyDescent="0.35">
      <c r="A243" s="33" t="s">
        <v>79</v>
      </c>
      <c r="B243" s="30">
        <v>44433</v>
      </c>
      <c r="C243" s="33">
        <v>1000</v>
      </c>
      <c r="D243" s="1461" t="s">
        <v>65</v>
      </c>
      <c r="E243" s="30">
        <v>44504</v>
      </c>
      <c r="F243" s="24">
        <v>100</v>
      </c>
      <c r="G243" s="31">
        <v>13.319770812988281</v>
      </c>
      <c r="H243" s="31">
        <v>8486695</v>
      </c>
      <c r="I243" s="31">
        <f t="shared" si="59"/>
        <v>8473712.3614461254</v>
      </c>
      <c r="J243" s="31">
        <f t="shared" si="58"/>
        <v>847371.23614461254</v>
      </c>
      <c r="K243" s="31">
        <v>15.337377548217773</v>
      </c>
      <c r="L243" s="31">
        <v>2183606.25</v>
      </c>
      <c r="M243" s="31">
        <f t="shared" si="60"/>
        <v>2170623.6114461264</v>
      </c>
      <c r="N243" s="32">
        <f t="shared" si="49"/>
        <v>2170623.6114461264</v>
      </c>
      <c r="O243" t="s">
        <v>66</v>
      </c>
      <c r="Q243" s="31">
        <f t="shared" si="50"/>
        <v>0</v>
      </c>
      <c r="R243" t="s">
        <v>66</v>
      </c>
      <c r="T243" s="32">
        <f t="shared" si="51"/>
        <v>0</v>
      </c>
      <c r="U243" s="31">
        <v>27.792242050170898</v>
      </c>
      <c r="V243" s="31">
        <v>67.908241271972656</v>
      </c>
      <c r="W243" s="31">
        <f t="shared" si="52"/>
        <v>6.7908241271972658</v>
      </c>
      <c r="X243" s="31">
        <v>30.449724197387695</v>
      </c>
      <c r="Y243" s="31">
        <v>11.418205261230469</v>
      </c>
      <c r="Z243" s="32">
        <f t="shared" si="53"/>
        <v>11.418205261230469</v>
      </c>
      <c r="AA243" s="31">
        <v>17.184799194335938</v>
      </c>
      <c r="AB243" s="31">
        <v>11403.234375</v>
      </c>
      <c r="AC243" s="31">
        <f t="shared" si="54"/>
        <v>1140.3234375</v>
      </c>
      <c r="AD243" s="31">
        <v>19.884128570556641</v>
      </c>
      <c r="AE243" s="31">
        <v>1810.386962890625</v>
      </c>
      <c r="AF243" s="32">
        <f t="shared" si="55"/>
        <v>1810.386962890625</v>
      </c>
      <c r="AG243" s="31">
        <v>27.626379013061523</v>
      </c>
      <c r="AH243" s="31">
        <v>347.70358276367188</v>
      </c>
      <c r="AI243" s="31">
        <f t="shared" si="56"/>
        <v>34.77035827636719</v>
      </c>
      <c r="AJ243" s="31">
        <v>31.710390090942383</v>
      </c>
      <c r="AK243" s="31">
        <v>31.497695922851563</v>
      </c>
      <c r="AL243" s="32">
        <f t="shared" si="57"/>
        <v>31.497695922851563</v>
      </c>
    </row>
    <row r="244" spans="1:38" ht="15.15" thickBot="1" x14ac:dyDescent="0.35">
      <c r="A244" s="33" t="s">
        <v>80</v>
      </c>
      <c r="B244" s="30">
        <v>44433</v>
      </c>
      <c r="C244" s="33">
        <v>900</v>
      </c>
      <c r="D244" s="1461" t="s">
        <v>65</v>
      </c>
      <c r="E244" s="30">
        <v>44504</v>
      </c>
      <c r="F244" s="24">
        <v>100</v>
      </c>
      <c r="G244" s="31">
        <v>17.975433349609375</v>
      </c>
      <c r="H244" s="31">
        <v>370091.3125</v>
      </c>
      <c r="I244" s="31">
        <f t="shared" si="59"/>
        <v>357108.67394612631</v>
      </c>
      <c r="J244" s="31">
        <f t="shared" si="58"/>
        <v>39678.74154956959</v>
      </c>
      <c r="K244" s="31">
        <v>21.247358322143555</v>
      </c>
      <c r="L244" s="31">
        <v>40946.8671875</v>
      </c>
      <c r="M244" s="31">
        <f t="shared" si="60"/>
        <v>27964.228633626302</v>
      </c>
      <c r="N244" s="32">
        <f t="shared" si="49"/>
        <v>31071.365148473669</v>
      </c>
      <c r="O244" s="31">
        <v>29.561809539794922</v>
      </c>
      <c r="P244" s="31">
        <v>211.09246826171875</v>
      </c>
      <c r="Q244" s="31">
        <f t="shared" si="50"/>
        <v>23.454718695746529</v>
      </c>
      <c r="R244" s="31">
        <v>33.743083953857422</v>
      </c>
      <c r="S244" s="31">
        <v>15.180930137634277</v>
      </c>
      <c r="T244" s="32">
        <f t="shared" si="51"/>
        <v>16.867700152926975</v>
      </c>
      <c r="U244" s="31">
        <v>33.661026000976563</v>
      </c>
      <c r="V244" s="31">
        <v>1.3240483999252319</v>
      </c>
      <c r="W244" s="31">
        <f t="shared" si="52"/>
        <v>0.14711648888058132</v>
      </c>
      <c r="X244" s="31">
        <v>34.395401000976563</v>
      </c>
      <c r="Y244" s="31">
        <v>0.80895638465881348</v>
      </c>
      <c r="Z244" s="32">
        <f t="shared" si="53"/>
        <v>0.89884042739868164</v>
      </c>
      <c r="AA244" s="31">
        <v>28.819358825683594</v>
      </c>
      <c r="AB244" s="31">
        <v>4.0935373306274414</v>
      </c>
      <c r="AC244" s="31">
        <f t="shared" si="54"/>
        <v>0.45483748118082684</v>
      </c>
      <c r="AD244" s="31" t="s">
        <v>66</v>
      </c>
      <c r="AF244" s="32">
        <f t="shared" si="55"/>
        <v>0</v>
      </c>
      <c r="AG244" t="s">
        <v>66</v>
      </c>
      <c r="AI244" s="31">
        <f t="shared" si="56"/>
        <v>0</v>
      </c>
      <c r="AJ244" t="s">
        <v>66</v>
      </c>
      <c r="AL244" s="32">
        <f t="shared" si="57"/>
        <v>0</v>
      </c>
    </row>
    <row r="245" spans="1:38" ht="15.15" thickBot="1" x14ac:dyDescent="0.35">
      <c r="A245" s="33" t="s">
        <v>81</v>
      </c>
      <c r="B245" s="30">
        <v>44433</v>
      </c>
      <c r="C245" s="33">
        <v>870</v>
      </c>
      <c r="D245" s="1461" t="s">
        <v>65</v>
      </c>
      <c r="E245" s="30">
        <v>44504</v>
      </c>
      <c r="F245" s="24">
        <v>100</v>
      </c>
      <c r="G245" s="31">
        <v>11.007698059082031</v>
      </c>
      <c r="H245" s="31">
        <v>40211348</v>
      </c>
      <c r="I245" s="31">
        <f t="shared" si="59"/>
        <v>40198365.361446127</v>
      </c>
      <c r="J245" s="31">
        <f t="shared" si="58"/>
        <v>4620501.7656834628</v>
      </c>
      <c r="K245" s="31">
        <v>13.905303001403809</v>
      </c>
      <c r="L245" s="31">
        <v>5723219.5</v>
      </c>
      <c r="M245" s="31">
        <f t="shared" si="60"/>
        <v>5710236.8614461264</v>
      </c>
      <c r="N245" s="32">
        <f t="shared" si="49"/>
        <v>6563490.6453403747</v>
      </c>
      <c r="O245" t="s">
        <v>66</v>
      </c>
      <c r="Q245" s="31">
        <f t="shared" si="50"/>
        <v>0</v>
      </c>
      <c r="R245" t="s">
        <v>66</v>
      </c>
      <c r="T245" s="32">
        <f t="shared" si="51"/>
        <v>0</v>
      </c>
      <c r="U245" s="31">
        <v>33.568805694580078</v>
      </c>
      <c r="V245" s="31">
        <v>1.4085574150085449</v>
      </c>
      <c r="W245" s="31">
        <f t="shared" si="52"/>
        <v>0.16190315115040746</v>
      </c>
      <c r="X245" s="31">
        <v>35.886638641357422</v>
      </c>
      <c r="Y245" s="31">
        <v>0.29745092988014221</v>
      </c>
      <c r="Z245" s="32">
        <f t="shared" si="53"/>
        <v>0.3418976205518876</v>
      </c>
      <c r="AA245" s="31">
        <v>19.80206298828125</v>
      </c>
      <c r="AB245" s="31">
        <v>1914.567138671875</v>
      </c>
      <c r="AC245" s="31">
        <f t="shared" si="54"/>
        <v>220.06518835308907</v>
      </c>
      <c r="AD245" s="31">
        <v>23.060234069824219</v>
      </c>
      <c r="AE245" s="31">
        <v>207.65577697753906</v>
      </c>
      <c r="AF245" s="32">
        <f t="shared" si="55"/>
        <v>238.68480112360811</v>
      </c>
      <c r="AG245" t="s">
        <v>66</v>
      </c>
      <c r="AI245" s="31">
        <f t="shared" si="56"/>
        <v>0</v>
      </c>
      <c r="AJ245" t="s">
        <v>66</v>
      </c>
      <c r="AL245" s="32">
        <f t="shared" si="57"/>
        <v>0</v>
      </c>
    </row>
    <row r="246" spans="1:38" ht="15.15" thickBot="1" x14ac:dyDescent="0.35">
      <c r="A246" t="s">
        <v>337</v>
      </c>
      <c r="C246" s="33">
        <v>900</v>
      </c>
      <c r="D246" s="1461" t="s">
        <v>65</v>
      </c>
      <c r="E246" s="30">
        <v>44406</v>
      </c>
      <c r="F246" s="24">
        <v>100</v>
      </c>
      <c r="O246" s="31">
        <v>25.948196411132813</v>
      </c>
      <c r="P246" s="31">
        <v>2053.2724609375</v>
      </c>
      <c r="Q246" s="31">
        <f t="shared" si="50"/>
        <v>228.14138454861111</v>
      </c>
      <c r="R246" s="31">
        <v>29.19483757019043</v>
      </c>
      <c r="S246" s="31">
        <v>265.9525146484375</v>
      </c>
      <c r="T246" s="32">
        <f t="shared" si="51"/>
        <v>295.50279405381946</v>
      </c>
      <c r="AG246" s="31">
        <v>20.06999397277832</v>
      </c>
      <c r="AH246" s="31">
        <v>33909.73828125</v>
      </c>
      <c r="AI246" s="31">
        <f t="shared" si="56"/>
        <v>3767.7486979166665</v>
      </c>
      <c r="AJ246" s="31">
        <v>21.836055755615234</v>
      </c>
      <c r="AK246" s="31">
        <v>11098.115234375</v>
      </c>
      <c r="AL246" s="32">
        <f t="shared" si="57"/>
        <v>12331.239149305555</v>
      </c>
    </row>
    <row r="247" spans="1:38" ht="15.15" thickBot="1" x14ac:dyDescent="0.35">
      <c r="A247" t="s">
        <v>338</v>
      </c>
      <c r="C247" s="33">
        <v>930</v>
      </c>
      <c r="D247" s="1461" t="s">
        <v>65</v>
      </c>
      <c r="E247" s="30">
        <v>44406</v>
      </c>
      <c r="F247" s="24">
        <v>100</v>
      </c>
      <c r="O247" s="31">
        <v>27.104934692382813</v>
      </c>
      <c r="P247" s="31">
        <v>991.26666259765625</v>
      </c>
      <c r="Q247" s="31">
        <f t="shared" si="50"/>
        <v>106.58781318254368</v>
      </c>
      <c r="R247" s="31">
        <v>29.94560432434082</v>
      </c>
      <c r="S247" s="31">
        <v>165.78375244140625</v>
      </c>
      <c r="T247" s="32">
        <f t="shared" si="51"/>
        <v>178.26209939936155</v>
      </c>
      <c r="AG247" s="31">
        <v>22.138607025146484</v>
      </c>
      <c r="AH247" s="31">
        <v>9165.349609375</v>
      </c>
      <c r="AI247" s="31">
        <f t="shared" si="56"/>
        <v>985.52146337365593</v>
      </c>
      <c r="AJ247" s="31">
        <v>24.013137817382813</v>
      </c>
      <c r="AK247" s="31">
        <v>2800.794189453125</v>
      </c>
      <c r="AL247" s="32">
        <f t="shared" si="57"/>
        <v>3011.6066553259407</v>
      </c>
    </row>
    <row r="248" spans="1:38" ht="15.15" thickBot="1" x14ac:dyDescent="0.35">
      <c r="A248" t="s">
        <v>339</v>
      </c>
      <c r="B248" s="30">
        <v>44356</v>
      </c>
      <c r="C248" s="33">
        <v>1000</v>
      </c>
      <c r="D248" s="1461" t="s">
        <v>65</v>
      </c>
      <c r="E248" s="30">
        <v>44419</v>
      </c>
      <c r="F248" s="24">
        <v>100</v>
      </c>
      <c r="O248" s="31">
        <v>27.434171676635742</v>
      </c>
      <c r="P248" s="31">
        <v>805.70489501953125</v>
      </c>
      <c r="Q248" s="31">
        <f t="shared" si="50"/>
        <v>80.570489501953119</v>
      </c>
      <c r="R248" s="31">
        <v>30.814022064208984</v>
      </c>
      <c r="S248" s="31">
        <v>95.965171813964844</v>
      </c>
      <c r="T248" s="32">
        <f t="shared" si="51"/>
        <v>95.965171813964844</v>
      </c>
      <c r="AG248" s="31">
        <v>20.673284530639648</v>
      </c>
      <c r="AH248" s="31">
        <v>23153.76953125</v>
      </c>
      <c r="AI248" s="31">
        <f t="shared" si="56"/>
        <v>2315.376953125</v>
      </c>
      <c r="AJ248" s="31">
        <v>23.190130233764648</v>
      </c>
      <c r="AK248" s="31">
        <v>4713.38037109375</v>
      </c>
      <c r="AL248" s="32">
        <f t="shared" si="57"/>
        <v>4713.38037109375</v>
      </c>
    </row>
    <row r="249" spans="1:38" ht="15.15" thickBot="1" x14ac:dyDescent="0.35">
      <c r="A249" t="s">
        <v>340</v>
      </c>
      <c r="B249" s="30">
        <v>44356</v>
      </c>
      <c r="C249" s="33">
        <v>950</v>
      </c>
      <c r="D249" s="1461" t="s">
        <v>65</v>
      </c>
      <c r="E249" s="30">
        <v>44419</v>
      </c>
      <c r="F249" s="24">
        <v>100</v>
      </c>
      <c r="O249" s="31">
        <v>26.750904083251953</v>
      </c>
      <c r="P249" s="31">
        <v>1238.7498779296875</v>
      </c>
      <c r="Q249" s="31">
        <f t="shared" si="50"/>
        <v>130.39472399259867</v>
      </c>
      <c r="R249" s="31">
        <v>29.829486846923828</v>
      </c>
      <c r="S249" s="31">
        <v>178.35646057128906</v>
      </c>
      <c r="T249" s="32">
        <f t="shared" si="51"/>
        <v>187.74364270662008</v>
      </c>
      <c r="AG249" s="31">
        <v>21.041805267333984</v>
      </c>
      <c r="AH249" s="31">
        <v>18340.111328125</v>
      </c>
      <c r="AI249" s="31">
        <f t="shared" si="56"/>
        <v>1930.5380345394738</v>
      </c>
      <c r="AJ249" s="31">
        <v>24.012472152709961</v>
      </c>
      <c r="AK249" s="31">
        <v>2801.9736328125</v>
      </c>
      <c r="AL249" s="32">
        <f t="shared" si="57"/>
        <v>2949.4459292763158</v>
      </c>
    </row>
    <row r="250" spans="1:38" ht="15.15" thickBot="1" x14ac:dyDescent="0.35">
      <c r="A250" t="s">
        <v>341</v>
      </c>
      <c r="B250" s="30">
        <v>44370</v>
      </c>
      <c r="C250" s="33">
        <v>1000</v>
      </c>
      <c r="D250" s="1461" t="s">
        <v>65</v>
      </c>
      <c r="E250" s="30">
        <v>44432</v>
      </c>
      <c r="F250" s="24">
        <v>100</v>
      </c>
      <c r="O250" s="31">
        <v>26.49943733215332</v>
      </c>
      <c r="P250" s="31">
        <v>1451.2274169921875</v>
      </c>
      <c r="Q250" s="31">
        <f t="shared" si="50"/>
        <v>145.12274169921875</v>
      </c>
      <c r="R250" s="31">
        <v>29.588790893554688</v>
      </c>
      <c r="S250" s="31">
        <v>207.53718566894531</v>
      </c>
      <c r="T250" s="32">
        <f t="shared" si="51"/>
        <v>207.53718566894531</v>
      </c>
      <c r="AG250" s="31">
        <v>23.692873001098633</v>
      </c>
      <c r="AH250" s="31">
        <v>3429.62548828125</v>
      </c>
      <c r="AI250" s="31">
        <f t="shared" si="56"/>
        <v>342.96254882812502</v>
      </c>
      <c r="AJ250" s="31">
        <v>26.779884338378906</v>
      </c>
      <c r="AK250" s="31">
        <v>486.802734375</v>
      </c>
      <c r="AL250" s="32">
        <f t="shared" si="57"/>
        <v>486.802734375</v>
      </c>
    </row>
    <row r="251" spans="1:38" ht="15.15" thickBot="1" x14ac:dyDescent="0.35">
      <c r="A251" t="s">
        <v>342</v>
      </c>
      <c r="B251" s="30">
        <v>44370</v>
      </c>
      <c r="C251" s="33">
        <v>1000</v>
      </c>
      <c r="D251" s="1461" t="s">
        <v>65</v>
      </c>
      <c r="E251" s="30">
        <v>44432</v>
      </c>
      <c r="F251" s="24">
        <v>100</v>
      </c>
      <c r="O251" s="31">
        <v>28.38325309753418</v>
      </c>
      <c r="P251" s="31">
        <v>443.29617309570313</v>
      </c>
      <c r="Q251" s="31">
        <f t="shared" si="50"/>
        <v>44.32961730957031</v>
      </c>
      <c r="R251" s="31">
        <v>31.949821472167969</v>
      </c>
      <c r="S251" s="31">
        <v>46.944240570068359</v>
      </c>
      <c r="T251" s="32">
        <f t="shared" si="51"/>
        <v>46.944240570068359</v>
      </c>
      <c r="AG251" s="31">
        <v>24.33892822265625</v>
      </c>
      <c r="AH251" s="31">
        <v>2279.28173828125</v>
      </c>
      <c r="AI251" s="31">
        <f t="shared" si="56"/>
        <v>227.92817382812501</v>
      </c>
      <c r="AJ251" s="31">
        <v>29.405763626098633</v>
      </c>
      <c r="AK251" s="31">
        <v>92.494544982910156</v>
      </c>
      <c r="AL251" s="32">
        <f t="shared" si="57"/>
        <v>92.494544982910156</v>
      </c>
    </row>
    <row r="252" spans="1:38" ht="15.15" thickBot="1" x14ac:dyDescent="0.35">
      <c r="A252" t="s">
        <v>343</v>
      </c>
      <c r="B252" s="30">
        <v>44385</v>
      </c>
      <c r="C252" s="33">
        <v>960</v>
      </c>
      <c r="D252" s="1461" t="s">
        <v>65</v>
      </c>
      <c r="E252" s="30">
        <v>44452</v>
      </c>
      <c r="F252" s="24">
        <v>100</v>
      </c>
      <c r="O252" s="31">
        <v>32.011402130126953</v>
      </c>
      <c r="P252" s="31">
        <v>45.159172058105469</v>
      </c>
      <c r="Q252" s="31">
        <f t="shared" si="50"/>
        <v>4.7040804227193194</v>
      </c>
      <c r="R252" s="31">
        <v>36.73406982421875</v>
      </c>
      <c r="S252" s="31">
        <v>2.3096857070922852</v>
      </c>
      <c r="T252" s="32">
        <f t="shared" si="51"/>
        <v>2.4059226115544639</v>
      </c>
      <c r="AG252" s="31">
        <v>38.178760528564453</v>
      </c>
      <c r="AH252" s="31">
        <v>0.36014857888221741</v>
      </c>
      <c r="AI252" s="31">
        <f t="shared" si="56"/>
        <v>3.7515476966897644E-2</v>
      </c>
      <c r="AJ252" t="s">
        <v>66</v>
      </c>
      <c r="AK252" t="s">
        <v>82</v>
      </c>
      <c r="AL252" s="32" t="e">
        <f t="shared" si="57"/>
        <v>#VALUE!</v>
      </c>
    </row>
    <row r="253" spans="1:38" ht="15.15" thickBot="1" x14ac:dyDescent="0.35">
      <c r="A253" t="s">
        <v>344</v>
      </c>
      <c r="B253" s="30">
        <v>44385</v>
      </c>
      <c r="C253" s="33">
        <v>895</v>
      </c>
      <c r="D253" s="1461" t="s">
        <v>65</v>
      </c>
      <c r="E253" s="30">
        <v>44452</v>
      </c>
      <c r="F253" s="24">
        <v>100</v>
      </c>
      <c r="O253" s="31">
        <v>33.047340393066406</v>
      </c>
      <c r="P253" s="31">
        <v>23.524314880371094</v>
      </c>
      <c r="Q253" s="31">
        <f t="shared" si="50"/>
        <v>2.6284150704325246</v>
      </c>
      <c r="R253" s="31">
        <v>36.683425903320313</v>
      </c>
      <c r="S253" s="31">
        <v>2.384509801864624</v>
      </c>
      <c r="T253" s="32">
        <f t="shared" si="51"/>
        <v>2.6642567618599151</v>
      </c>
      <c r="AG253" s="31">
        <v>36.590179443359375</v>
      </c>
      <c r="AH253" s="31">
        <v>0.98357886075973511</v>
      </c>
      <c r="AI253" s="31">
        <f t="shared" si="56"/>
        <v>0.10989707941449554</v>
      </c>
      <c r="AJ253" t="s">
        <v>66</v>
      </c>
      <c r="AK253" t="s">
        <v>82</v>
      </c>
      <c r="AL253" s="32" t="e">
        <f t="shared" si="57"/>
        <v>#VALUE!</v>
      </c>
    </row>
    <row r="254" spans="1:38" ht="15.15" thickBot="1" x14ac:dyDescent="0.35">
      <c r="A254" t="s">
        <v>345</v>
      </c>
      <c r="B254" s="30">
        <v>44419</v>
      </c>
      <c r="C254" s="33">
        <v>970</v>
      </c>
      <c r="D254" s="1461" t="s">
        <v>65</v>
      </c>
      <c r="E254" s="30">
        <v>44501</v>
      </c>
      <c r="F254" s="24">
        <v>100</v>
      </c>
      <c r="O254" s="31">
        <v>32.752464294433594</v>
      </c>
      <c r="P254" s="31">
        <v>28.322858810424805</v>
      </c>
      <c r="Q254" s="31">
        <f t="shared" si="50"/>
        <v>2.9198823515901862</v>
      </c>
      <c r="R254" s="31">
        <v>33.461017608642578</v>
      </c>
      <c r="S254" s="31">
        <v>18.130769729614258</v>
      </c>
      <c r="T254" s="32">
        <f t="shared" si="51"/>
        <v>18.691515185169337</v>
      </c>
      <c r="AG254" t="s">
        <v>66</v>
      </c>
      <c r="AH254" t="s">
        <v>82</v>
      </c>
      <c r="AI254" s="31" t="e">
        <f t="shared" si="56"/>
        <v>#VALUE!</v>
      </c>
      <c r="AJ254" t="s">
        <v>66</v>
      </c>
      <c r="AK254" t="s">
        <v>82</v>
      </c>
      <c r="AL254" s="32" t="e">
        <f t="shared" si="57"/>
        <v>#VALUE!</v>
      </c>
    </row>
    <row r="255" spans="1:38" ht="15.15" thickBot="1" x14ac:dyDescent="0.35">
      <c r="A255" t="s">
        <v>346</v>
      </c>
      <c r="B255" s="30">
        <v>44419</v>
      </c>
      <c r="C255" s="33">
        <v>900</v>
      </c>
      <c r="D255" s="1461" t="s">
        <v>65</v>
      </c>
      <c r="E255" s="30">
        <v>44501</v>
      </c>
      <c r="F255" s="24">
        <v>100</v>
      </c>
      <c r="O255" s="31">
        <v>33.672634124755859</v>
      </c>
      <c r="P255" s="31">
        <v>15.869366645812988</v>
      </c>
      <c r="Q255" s="31">
        <f t="shared" si="50"/>
        <v>1.7632629606458876</v>
      </c>
      <c r="R255" s="31">
        <v>37.919742584228516</v>
      </c>
      <c r="S255" s="31">
        <v>1.0949290990829468</v>
      </c>
      <c r="T255" s="32">
        <f t="shared" si="51"/>
        <v>1.2165878878699408</v>
      </c>
      <c r="AG255" s="31">
        <v>35.509147644042969</v>
      </c>
      <c r="AH255" s="31">
        <v>1.9486359357833862</v>
      </c>
      <c r="AI255" s="31">
        <f t="shared" si="56"/>
        <v>0.21651510397593179</v>
      </c>
      <c r="AJ255" t="s">
        <v>66</v>
      </c>
      <c r="AK255" t="s">
        <v>82</v>
      </c>
      <c r="AL255" s="32" t="e">
        <f t="shared" si="57"/>
        <v>#VALUE!</v>
      </c>
    </row>
    <row r="256" spans="1:38" ht="15.15" thickBot="1" x14ac:dyDescent="0.35">
      <c r="A256" t="s">
        <v>347</v>
      </c>
      <c r="B256" s="30">
        <v>44426</v>
      </c>
      <c r="C256" s="33">
        <v>990</v>
      </c>
      <c r="D256" s="1461" t="s">
        <v>65</v>
      </c>
      <c r="E256" s="30">
        <v>44503</v>
      </c>
      <c r="F256" s="24">
        <v>100</v>
      </c>
      <c r="O256" s="31">
        <v>29.244380950927734</v>
      </c>
      <c r="P256" s="31">
        <v>257.78567504882813</v>
      </c>
      <c r="Q256" s="31">
        <f t="shared" si="50"/>
        <v>26.038957075639203</v>
      </c>
      <c r="R256" s="31">
        <v>32.731044769287109</v>
      </c>
      <c r="S256" s="31">
        <v>28.707361221313477</v>
      </c>
      <c r="T256" s="32">
        <f t="shared" si="51"/>
        <v>28.997334566983309</v>
      </c>
      <c r="AG256" s="31">
        <v>22.453567504882813</v>
      </c>
      <c r="AH256" s="31">
        <v>7510.00830078125</v>
      </c>
      <c r="AI256" s="31">
        <f t="shared" si="56"/>
        <v>758.58669704861109</v>
      </c>
      <c r="AJ256" s="31">
        <v>25.636184692382813</v>
      </c>
      <c r="AK256" s="31">
        <v>1003.43017578125</v>
      </c>
      <c r="AL256" s="32">
        <f t="shared" si="57"/>
        <v>1013.5658341224747</v>
      </c>
    </row>
    <row r="257" spans="1:38" ht="15.15" thickBot="1" x14ac:dyDescent="0.35">
      <c r="A257" t="s">
        <v>348</v>
      </c>
      <c r="B257" s="30">
        <v>44426</v>
      </c>
      <c r="C257" s="33">
        <v>900</v>
      </c>
      <c r="D257" s="1461" t="s">
        <v>65</v>
      </c>
      <c r="E257" s="30">
        <v>44503</v>
      </c>
      <c r="F257" s="24">
        <v>100</v>
      </c>
      <c r="O257" s="31">
        <v>29.407211303710938</v>
      </c>
      <c r="P257" s="31">
        <v>232.66999816894531</v>
      </c>
      <c r="Q257" s="31">
        <f t="shared" si="50"/>
        <v>25.852222018771702</v>
      </c>
      <c r="R257" s="31">
        <v>35.290412902832031</v>
      </c>
      <c r="S257" s="31">
        <v>5.7313046455383301</v>
      </c>
      <c r="T257" s="32">
        <f t="shared" si="51"/>
        <v>6.3681162728203669</v>
      </c>
      <c r="AG257" s="31">
        <v>27.746580123901367</v>
      </c>
      <c r="AH257" s="31">
        <v>264.140869140625</v>
      </c>
      <c r="AI257" s="31">
        <f t="shared" si="56"/>
        <v>29.348985460069443</v>
      </c>
      <c r="AJ257" s="31">
        <v>31.220785140991211</v>
      </c>
      <c r="AK257" s="31">
        <v>29.349006652832031</v>
      </c>
      <c r="AL257" s="32">
        <f t="shared" si="57"/>
        <v>32.610007392035591</v>
      </c>
    </row>
    <row r="258" spans="1:38" ht="15.15" thickBot="1" x14ac:dyDescent="0.35">
      <c r="A258" s="33"/>
      <c r="B258" s="30"/>
      <c r="E258" s="30"/>
    </row>
    <row r="259" spans="1:38" ht="15.15" thickBot="1" x14ac:dyDescent="0.35">
      <c r="A259" s="33"/>
      <c r="B259" s="30"/>
      <c r="E259" s="30"/>
    </row>
    <row r="260" spans="1:38" ht="15.15" thickBot="1" x14ac:dyDescent="0.35">
      <c r="A260" s="33"/>
      <c r="B260" s="30"/>
      <c r="E260" s="30"/>
    </row>
    <row r="261" spans="1:38" ht="15.15" thickBot="1" x14ac:dyDescent="0.35">
      <c r="A261" s="33"/>
      <c r="B261" s="30"/>
      <c r="E261" s="30"/>
    </row>
    <row r="264" spans="1:38" x14ac:dyDescent="0.3">
      <c r="H264" t="s">
        <v>83</v>
      </c>
    </row>
    <row r="265" spans="1:38" x14ac:dyDescent="0.3">
      <c r="H265" s="46">
        <v>12982.638553873698</v>
      </c>
    </row>
  </sheetData>
  <sheetProtection algorithmName="SHA-512" hashValue="W+3QTmto9HMU3bxA+qIlDCA2dhkh6zeA9wKkWAYn9sD9lwRKxgZT/oWXTD1PK0CeEY9ZGTGjMaYSnCMSPT3spA==" saltValue="0etxmr0bPfpjn9fU9yZ2Pg==" spinCount="100000" sheet="1" objects="1" scenarios="1"/>
  <autoFilter ref="A1:AL1" xr:uid="{5FE29998-E2F9-4B16-8079-105153EC22D4}">
    <filterColumn colId="6" showButton="0"/>
    <filterColumn colId="7" showButton="0"/>
    <filterColumn colId="8" showButton="0"/>
    <filterColumn colId="9" showButton="0"/>
    <filterColumn colId="10" showButton="0"/>
    <filterColumn colId="11" showButton="0"/>
    <filterColumn colId="12" showButton="0"/>
    <filterColumn colId="14" showButton="0"/>
    <filterColumn colId="15" showButton="0"/>
    <filterColumn colId="16" showButton="0"/>
    <filterColumn colId="17" showButton="0"/>
    <filterColumn colId="18" showButton="0"/>
    <filterColumn colId="20" showButton="0"/>
    <filterColumn colId="21" showButton="0"/>
    <filterColumn colId="22" showButton="0"/>
    <filterColumn colId="23" showButton="0"/>
    <filterColumn colId="24" showButton="0"/>
    <filterColumn colId="26" showButton="0"/>
    <filterColumn colId="27" showButton="0"/>
    <filterColumn colId="28" showButton="0"/>
    <filterColumn colId="29" showButton="0"/>
    <filterColumn colId="30" showButton="0"/>
    <filterColumn colId="32" showButton="0"/>
    <filterColumn colId="33" showButton="0"/>
    <filterColumn colId="34" showButton="0"/>
    <filterColumn colId="35" showButton="0"/>
    <filterColumn colId="36" showButton="0"/>
  </autoFilter>
  <mergeCells count="15">
    <mergeCell ref="X2:Z2"/>
    <mergeCell ref="AA2:AC2"/>
    <mergeCell ref="AD2:AF2"/>
    <mergeCell ref="AG2:AI2"/>
    <mergeCell ref="AJ2:AL2"/>
    <mergeCell ref="G1:N1"/>
    <mergeCell ref="O1:T1"/>
    <mergeCell ref="U1:Z1"/>
    <mergeCell ref="AA1:AF1"/>
    <mergeCell ref="AG1:AL1"/>
    <mergeCell ref="G2:J2"/>
    <mergeCell ref="K2:N2"/>
    <mergeCell ref="O2:Q2"/>
    <mergeCell ref="R2:T2"/>
    <mergeCell ref="U2:W2"/>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43835-A92F-4A30-BFAE-32E452317020}">
  <dimension ref="A1:AG64"/>
  <sheetViews>
    <sheetView topLeftCell="A43" workbookViewId="0">
      <selection activeCell="L44" sqref="L44"/>
    </sheetView>
  </sheetViews>
  <sheetFormatPr defaultRowHeight="13.35" x14ac:dyDescent="0.25"/>
  <cols>
    <col min="1" max="16384" width="8.88671875" style="1480"/>
  </cols>
  <sheetData>
    <row r="1" spans="1:2" x14ac:dyDescent="0.25">
      <c r="A1" s="1480" t="s">
        <v>352</v>
      </c>
      <c r="B1" s="1480" t="s">
        <v>353</v>
      </c>
    </row>
    <row r="2" spans="1:2" x14ac:dyDescent="0.25">
      <c r="A2" s="1480" t="s">
        <v>354</v>
      </c>
      <c r="B2" s="1480" t="s">
        <v>355</v>
      </c>
    </row>
    <row r="3" spans="1:2" x14ac:dyDescent="0.25">
      <c r="A3" s="1480" t="s">
        <v>356</v>
      </c>
      <c r="B3" s="1480" t="s">
        <v>357</v>
      </c>
    </row>
    <row r="4" spans="1:2" x14ac:dyDescent="0.25">
      <c r="A4" s="1480" t="s">
        <v>358</v>
      </c>
      <c r="B4" s="1480" t="s">
        <v>355</v>
      </c>
    </row>
    <row r="5" spans="1:2" x14ac:dyDescent="0.25">
      <c r="A5" s="1480" t="s">
        <v>359</v>
      </c>
      <c r="B5" s="1480" t="s">
        <v>357</v>
      </c>
    </row>
    <row r="6" spans="1:2" x14ac:dyDescent="0.25">
      <c r="A6" s="1480" t="s">
        <v>360</v>
      </c>
      <c r="B6" s="1480" t="s">
        <v>355</v>
      </c>
    </row>
    <row r="7" spans="1:2" x14ac:dyDescent="0.25">
      <c r="A7" s="1480" t="s">
        <v>361</v>
      </c>
      <c r="B7" s="1480" t="s">
        <v>357</v>
      </c>
    </row>
    <row r="8" spans="1:2" x14ac:dyDescent="0.25">
      <c r="A8" s="1480" t="s">
        <v>362</v>
      </c>
      <c r="B8" s="1480" t="s">
        <v>355</v>
      </c>
    </row>
    <row r="9" spans="1:2" x14ac:dyDescent="0.25">
      <c r="A9" s="1480" t="s">
        <v>363</v>
      </c>
      <c r="B9" s="1480" t="s">
        <v>357</v>
      </c>
    </row>
    <row r="10" spans="1:2" x14ac:dyDescent="0.25">
      <c r="A10" s="1480" t="s">
        <v>364</v>
      </c>
      <c r="B10" s="1480" t="s">
        <v>355</v>
      </c>
    </row>
    <row r="11" spans="1:2" x14ac:dyDescent="0.25">
      <c r="A11" s="1480" t="s">
        <v>365</v>
      </c>
      <c r="B11" s="1480" t="s">
        <v>357</v>
      </c>
    </row>
    <row r="12" spans="1:2" x14ac:dyDescent="0.25">
      <c r="A12" s="1480" t="s">
        <v>366</v>
      </c>
      <c r="B12" s="1480" t="s">
        <v>355</v>
      </c>
    </row>
    <row r="13" spans="1:2" x14ac:dyDescent="0.25">
      <c r="A13" s="1480" t="s">
        <v>367</v>
      </c>
      <c r="B13" s="1480" t="s">
        <v>357</v>
      </c>
    </row>
    <row r="14" spans="1:2" x14ac:dyDescent="0.25">
      <c r="A14" s="1480" t="s">
        <v>368</v>
      </c>
      <c r="B14" s="1480" t="s">
        <v>355</v>
      </c>
    </row>
    <row r="15" spans="1:2" x14ac:dyDescent="0.25">
      <c r="A15" s="1480" t="s">
        <v>369</v>
      </c>
      <c r="B15" s="1480" t="s">
        <v>357</v>
      </c>
    </row>
    <row r="16" spans="1:2" x14ac:dyDescent="0.25">
      <c r="A16" s="1480" t="s">
        <v>370</v>
      </c>
      <c r="B16" s="1480" t="s">
        <v>355</v>
      </c>
    </row>
    <row r="17" spans="1:2" x14ac:dyDescent="0.25">
      <c r="A17" s="1480" t="s">
        <v>371</v>
      </c>
      <c r="B17" s="1480" t="s">
        <v>357</v>
      </c>
    </row>
    <row r="18" spans="1:2" x14ac:dyDescent="0.25">
      <c r="A18" s="1480" t="s">
        <v>372</v>
      </c>
      <c r="B18" s="1480" t="s">
        <v>355</v>
      </c>
    </row>
    <row r="19" spans="1:2" x14ac:dyDescent="0.25">
      <c r="A19" s="1480" t="s">
        <v>373</v>
      </c>
      <c r="B19" s="1480" t="s">
        <v>357</v>
      </c>
    </row>
    <row r="20" spans="1:2" x14ac:dyDescent="0.25">
      <c r="A20" s="1480" t="s">
        <v>374</v>
      </c>
      <c r="B20" s="1480" t="s">
        <v>355</v>
      </c>
    </row>
    <row r="21" spans="1:2" x14ac:dyDescent="0.25">
      <c r="A21" s="1480" t="s">
        <v>375</v>
      </c>
      <c r="B21" s="1480" t="s">
        <v>357</v>
      </c>
    </row>
    <row r="22" spans="1:2" x14ac:dyDescent="0.25">
      <c r="A22" s="1480" t="s">
        <v>376</v>
      </c>
      <c r="B22" s="1480" t="s">
        <v>355</v>
      </c>
    </row>
    <row r="23" spans="1:2" x14ac:dyDescent="0.25">
      <c r="A23" s="1480" t="s">
        <v>377</v>
      </c>
      <c r="B23" s="1480" t="s">
        <v>357</v>
      </c>
    </row>
    <row r="24" spans="1:2" x14ac:dyDescent="0.25">
      <c r="A24" s="1480" t="s">
        <v>378</v>
      </c>
      <c r="B24" s="1480" t="s">
        <v>355</v>
      </c>
    </row>
    <row r="25" spans="1:2" x14ac:dyDescent="0.25">
      <c r="A25" s="1480" t="s">
        <v>379</v>
      </c>
      <c r="B25" s="1480" t="s">
        <v>357</v>
      </c>
    </row>
    <row r="26" spans="1:2" x14ac:dyDescent="0.25">
      <c r="A26" s="1480" t="s">
        <v>380</v>
      </c>
      <c r="B26" s="1480" t="s">
        <v>355</v>
      </c>
    </row>
    <row r="27" spans="1:2" x14ac:dyDescent="0.25">
      <c r="A27" s="1480" t="s">
        <v>381</v>
      </c>
      <c r="B27" s="1480" t="s">
        <v>357</v>
      </c>
    </row>
    <row r="28" spans="1:2" x14ac:dyDescent="0.25">
      <c r="A28" s="1480" t="s">
        <v>382</v>
      </c>
      <c r="B28" s="1480" t="s">
        <v>383</v>
      </c>
    </row>
    <row r="29" spans="1:2" x14ac:dyDescent="0.25">
      <c r="A29" s="1480" t="s">
        <v>384</v>
      </c>
      <c r="B29" s="1480" t="s">
        <v>385</v>
      </c>
    </row>
    <row r="30" spans="1:2" x14ac:dyDescent="0.25">
      <c r="A30" s="1480" t="s">
        <v>386</v>
      </c>
    </row>
    <row r="31" spans="1:2" x14ac:dyDescent="0.25">
      <c r="A31" s="1480" t="s">
        <v>387</v>
      </c>
    </row>
    <row r="32" spans="1:2" x14ac:dyDescent="0.25">
      <c r="A32" s="1480" t="s">
        <v>388</v>
      </c>
      <c r="B32" s="1480" t="s">
        <v>389</v>
      </c>
    </row>
    <row r="33" spans="1:33" x14ac:dyDescent="0.25">
      <c r="A33" s="1480" t="s">
        <v>390</v>
      </c>
      <c r="B33" s="1480" t="s">
        <v>391</v>
      </c>
    </row>
    <row r="34" spans="1:33" x14ac:dyDescent="0.25">
      <c r="A34" s="1480" t="s">
        <v>392</v>
      </c>
      <c r="B34" s="1480" t="s">
        <v>393</v>
      </c>
    </row>
    <row r="35" spans="1:33" x14ac:dyDescent="0.25">
      <c r="A35" s="1480" t="s">
        <v>394</v>
      </c>
      <c r="B35" s="1480" t="s">
        <v>395</v>
      </c>
    </row>
    <row r="36" spans="1:33" x14ac:dyDescent="0.25">
      <c r="A36" s="1480" t="s">
        <v>396</v>
      </c>
      <c r="B36" s="1480" t="s">
        <v>397</v>
      </c>
    </row>
    <row r="37" spans="1:33" x14ac:dyDescent="0.25">
      <c r="A37" s="1480" t="s">
        <v>398</v>
      </c>
      <c r="B37" s="1480" t="s">
        <v>399</v>
      </c>
    </row>
    <row r="38" spans="1:33" x14ac:dyDescent="0.25">
      <c r="A38" s="1480" t="s">
        <v>400</v>
      </c>
      <c r="B38" s="1480" t="s">
        <v>401</v>
      </c>
    </row>
    <row r="39" spans="1:33" x14ac:dyDescent="0.25">
      <c r="A39" s="1480" t="s">
        <v>402</v>
      </c>
      <c r="B39" s="1480" t="s">
        <v>403</v>
      </c>
    </row>
    <row r="40" spans="1:33" x14ac:dyDescent="0.25">
      <c r="A40" s="1480" t="s">
        <v>404</v>
      </c>
      <c r="B40" s="1480" t="s">
        <v>82</v>
      </c>
    </row>
    <row r="41" spans="1:33" x14ac:dyDescent="0.25">
      <c r="A41" s="1480" t="s">
        <v>405</v>
      </c>
      <c r="B41" s="1480" t="s">
        <v>82</v>
      </c>
    </row>
    <row r="42" spans="1:33" x14ac:dyDescent="0.25">
      <c r="A42" s="1480" t="s">
        <v>406</v>
      </c>
      <c r="B42" s="1480" t="s">
        <v>60</v>
      </c>
    </row>
    <row r="43" spans="1:33" x14ac:dyDescent="0.25">
      <c r="A43" s="1480" t="s">
        <v>407</v>
      </c>
      <c r="B43" s="1480" t="s">
        <v>408</v>
      </c>
    </row>
    <row r="44" spans="1:33" x14ac:dyDescent="0.25">
      <c r="A44" s="1480" t="s">
        <v>409</v>
      </c>
      <c r="B44" s="1480" t="s">
        <v>410</v>
      </c>
    </row>
    <row r="45" spans="1:33" x14ac:dyDescent="0.25">
      <c r="A45" s="1480" t="s">
        <v>411</v>
      </c>
      <c r="B45" s="1480" t="s">
        <v>412</v>
      </c>
    </row>
    <row r="46" spans="1:33" x14ac:dyDescent="0.25">
      <c r="A46" s="1480" t="s">
        <v>413</v>
      </c>
    </row>
    <row r="48" spans="1:33" x14ac:dyDescent="0.25">
      <c r="A48" s="1480" t="s">
        <v>414</v>
      </c>
      <c r="B48" s="1480" t="s">
        <v>415</v>
      </c>
      <c r="C48" s="1480" t="s">
        <v>416</v>
      </c>
      <c r="D48" s="1480" t="s">
        <v>54</v>
      </c>
      <c r="E48" s="1480" t="s">
        <v>417</v>
      </c>
      <c r="F48" s="1480" t="s">
        <v>418</v>
      </c>
      <c r="G48" s="1480" t="s">
        <v>419</v>
      </c>
      <c r="H48" s="1480" t="s">
        <v>420</v>
      </c>
      <c r="I48" s="1480" t="s">
        <v>421</v>
      </c>
      <c r="J48" s="1480" t="s">
        <v>422</v>
      </c>
      <c r="K48" s="1480" t="s">
        <v>423</v>
      </c>
      <c r="L48" s="1480" t="s">
        <v>424</v>
      </c>
      <c r="M48" s="1480" t="s">
        <v>425</v>
      </c>
      <c r="N48" s="1480" t="s">
        <v>426</v>
      </c>
      <c r="O48" s="1480" t="s">
        <v>427</v>
      </c>
      <c r="P48" s="1480" t="s">
        <v>428</v>
      </c>
      <c r="Q48" s="1480" t="s">
        <v>429</v>
      </c>
      <c r="R48" s="1480" t="s">
        <v>430</v>
      </c>
      <c r="S48" s="1480" t="s">
        <v>431</v>
      </c>
      <c r="T48" s="1480" t="s">
        <v>432</v>
      </c>
      <c r="U48" s="1480" t="s">
        <v>433</v>
      </c>
      <c r="V48" s="1480" t="s">
        <v>434</v>
      </c>
      <c r="W48" s="1480" t="s">
        <v>435</v>
      </c>
      <c r="X48" s="1480" t="s">
        <v>436</v>
      </c>
      <c r="Y48" s="1480" t="s">
        <v>113</v>
      </c>
      <c r="Z48" s="1480" t="s">
        <v>437</v>
      </c>
      <c r="AA48" s="1480" t="s">
        <v>438</v>
      </c>
      <c r="AB48" s="1480" t="s">
        <v>439</v>
      </c>
      <c r="AC48" s="1480" t="s">
        <v>440</v>
      </c>
      <c r="AD48" s="1480" t="s">
        <v>441</v>
      </c>
      <c r="AE48" s="1480" t="s">
        <v>442</v>
      </c>
      <c r="AF48" s="1480" t="s">
        <v>443</v>
      </c>
      <c r="AG48" s="1480" t="s">
        <v>444</v>
      </c>
    </row>
    <row r="49" spans="1:33" x14ac:dyDescent="0.25">
      <c r="A49" s="1480">
        <v>25</v>
      </c>
      <c r="B49" s="1480" t="s">
        <v>445</v>
      </c>
      <c r="C49" s="1480" t="b">
        <v>0</v>
      </c>
      <c r="D49" s="1480" t="s">
        <v>446</v>
      </c>
      <c r="E49" s="1480" t="s">
        <v>447</v>
      </c>
      <c r="F49" s="1480" t="s">
        <v>448</v>
      </c>
      <c r="G49" s="1480" t="s">
        <v>449</v>
      </c>
      <c r="H49" s="1480" t="s">
        <v>450</v>
      </c>
      <c r="I49" s="1481">
        <v>19.929067611694336</v>
      </c>
      <c r="J49" s="1481">
        <v>19.929067611694336</v>
      </c>
      <c r="K49" s="1480" t="s">
        <v>82</v>
      </c>
      <c r="L49" s="1481">
        <v>37070.80078125</v>
      </c>
      <c r="M49" s="1481">
        <v>37070.80078125</v>
      </c>
      <c r="N49" s="1480" t="s">
        <v>82</v>
      </c>
      <c r="O49" s="1481">
        <v>36.563999176025391</v>
      </c>
      <c r="P49" s="1481">
        <v>0.99860000610351563</v>
      </c>
      <c r="Q49" s="1481">
        <v>-3.6407999992370605</v>
      </c>
      <c r="R49" s="1481">
        <v>88.219627380371094</v>
      </c>
      <c r="S49" s="1480" t="b">
        <v>0</v>
      </c>
      <c r="T49" s="1481">
        <v>0.35</v>
      </c>
      <c r="U49" s="1480" t="b">
        <v>1</v>
      </c>
      <c r="V49" s="1480">
        <v>3</v>
      </c>
      <c r="W49" s="1480">
        <v>13</v>
      </c>
      <c r="X49" s="1480" t="s">
        <v>451</v>
      </c>
      <c r="Y49" s="1480" t="s">
        <v>82</v>
      </c>
      <c r="Z49" s="1481">
        <v>0.80542147514026263</v>
      </c>
      <c r="AA49" s="1480" t="s">
        <v>349</v>
      </c>
      <c r="AB49" s="1480" t="s">
        <v>349</v>
      </c>
      <c r="AC49" s="1480" t="s">
        <v>349</v>
      </c>
      <c r="AD49" s="1481">
        <v>84.203224182128906</v>
      </c>
      <c r="AE49" s="1480" t="s">
        <v>82</v>
      </c>
      <c r="AF49" s="1480" t="s">
        <v>82</v>
      </c>
      <c r="AG49" s="1480" t="s">
        <v>82</v>
      </c>
    </row>
    <row r="50" spans="1:33" x14ac:dyDescent="0.25">
      <c r="A50" s="1480">
        <v>26</v>
      </c>
      <c r="B50" s="1480" t="s">
        <v>452</v>
      </c>
      <c r="C50" s="1480" t="b">
        <v>0</v>
      </c>
      <c r="D50" s="1480" t="s">
        <v>453</v>
      </c>
      <c r="E50" s="1480" t="s">
        <v>447</v>
      </c>
      <c r="F50" s="1480" t="s">
        <v>448</v>
      </c>
      <c r="G50" s="1480" t="s">
        <v>449</v>
      </c>
      <c r="H50" s="1480" t="s">
        <v>450</v>
      </c>
      <c r="I50" s="1481">
        <v>22.218362808227539</v>
      </c>
      <c r="J50" s="1481">
        <v>22.218362808227539</v>
      </c>
      <c r="K50" s="1480" t="s">
        <v>82</v>
      </c>
      <c r="L50" s="1481">
        <v>8714.5087890625</v>
      </c>
      <c r="M50" s="1481">
        <v>8714.5087890625</v>
      </c>
      <c r="N50" s="1480" t="s">
        <v>82</v>
      </c>
      <c r="O50" s="1481">
        <v>36.563999176025391</v>
      </c>
      <c r="P50" s="1481">
        <v>0.99860000610351563</v>
      </c>
      <c r="Q50" s="1481">
        <v>-3.6407999992370605</v>
      </c>
      <c r="R50" s="1481">
        <v>88.219627380371094</v>
      </c>
      <c r="S50" s="1480" t="b">
        <v>0</v>
      </c>
      <c r="T50" s="1481">
        <v>0.35</v>
      </c>
      <c r="U50" s="1480" t="b">
        <v>1</v>
      </c>
      <c r="V50" s="1480">
        <v>3</v>
      </c>
      <c r="W50" s="1480">
        <v>15</v>
      </c>
      <c r="X50" s="1480" t="s">
        <v>451</v>
      </c>
      <c r="Y50" s="1480" t="s">
        <v>82</v>
      </c>
      <c r="Z50" s="1481">
        <v>0.88876136913214587</v>
      </c>
      <c r="AA50" s="1480" t="s">
        <v>349</v>
      </c>
      <c r="AB50" s="1480" t="s">
        <v>349</v>
      </c>
      <c r="AC50" s="1480" t="s">
        <v>349</v>
      </c>
      <c r="AD50" s="1481">
        <v>84.203224182128906</v>
      </c>
      <c r="AE50" s="1480" t="s">
        <v>82</v>
      </c>
      <c r="AF50" s="1480" t="s">
        <v>82</v>
      </c>
      <c r="AG50" s="1480" t="s">
        <v>82</v>
      </c>
    </row>
    <row r="51" spans="1:33" x14ac:dyDescent="0.25">
      <c r="A51" s="1480">
        <v>27</v>
      </c>
      <c r="B51" s="1480" t="s">
        <v>454</v>
      </c>
      <c r="C51" s="1480" t="b">
        <v>0</v>
      </c>
      <c r="D51" s="1480" t="s">
        <v>455</v>
      </c>
      <c r="E51" s="1480" t="s">
        <v>447</v>
      </c>
      <c r="F51" s="1480" t="s">
        <v>448</v>
      </c>
      <c r="G51" s="1480" t="s">
        <v>449</v>
      </c>
      <c r="H51" s="1480" t="s">
        <v>450</v>
      </c>
      <c r="I51" s="1481">
        <v>20.663898468017578</v>
      </c>
      <c r="J51" s="1481">
        <v>20.663898468017578</v>
      </c>
      <c r="K51" s="1480" t="s">
        <v>82</v>
      </c>
      <c r="L51" s="1481">
        <v>23291.62109375</v>
      </c>
      <c r="M51" s="1481">
        <v>23291.62109375</v>
      </c>
      <c r="N51" s="1480" t="s">
        <v>82</v>
      </c>
      <c r="O51" s="1481">
        <v>36.563999176025391</v>
      </c>
      <c r="P51" s="1481">
        <v>0.99860000610351563</v>
      </c>
      <c r="Q51" s="1481">
        <v>-3.6407999992370605</v>
      </c>
      <c r="R51" s="1481">
        <v>88.219627380371094</v>
      </c>
      <c r="S51" s="1480" t="b">
        <v>0</v>
      </c>
      <c r="T51" s="1481">
        <v>0.35</v>
      </c>
      <c r="U51" s="1480" t="b">
        <v>1</v>
      </c>
      <c r="V51" s="1480">
        <v>3</v>
      </c>
      <c r="W51" s="1480">
        <v>13</v>
      </c>
      <c r="X51" s="1480" t="s">
        <v>451</v>
      </c>
      <c r="Y51" s="1480" t="s">
        <v>82</v>
      </c>
      <c r="Z51" s="1481">
        <v>0.77761535037384077</v>
      </c>
      <c r="AA51" s="1480" t="s">
        <v>349</v>
      </c>
      <c r="AB51" s="1480" t="s">
        <v>65</v>
      </c>
      <c r="AC51" s="1480" t="s">
        <v>349</v>
      </c>
      <c r="AD51" s="1481">
        <v>84.182792663574219</v>
      </c>
      <c r="AE51" s="1480" t="s">
        <v>82</v>
      </c>
      <c r="AF51" s="1480" t="s">
        <v>82</v>
      </c>
      <c r="AG51" s="1480" t="s">
        <v>82</v>
      </c>
    </row>
    <row r="52" spans="1:33" x14ac:dyDescent="0.25">
      <c r="A52" s="1480">
        <v>28</v>
      </c>
      <c r="B52" s="1480" t="s">
        <v>456</v>
      </c>
      <c r="C52" s="1480" t="b">
        <v>0</v>
      </c>
      <c r="D52" s="1480" t="s">
        <v>457</v>
      </c>
      <c r="E52" s="1480" t="s">
        <v>447</v>
      </c>
      <c r="F52" s="1480" t="s">
        <v>448</v>
      </c>
      <c r="G52" s="1480" t="s">
        <v>449</v>
      </c>
      <c r="H52" s="1480" t="s">
        <v>450</v>
      </c>
      <c r="I52" s="1481">
        <v>21.218767166137695</v>
      </c>
      <c r="J52" s="1481">
        <v>21.218767166137695</v>
      </c>
      <c r="K52" s="1480" t="s">
        <v>82</v>
      </c>
      <c r="L52" s="1481">
        <v>16398.220703125</v>
      </c>
      <c r="M52" s="1481">
        <v>16398.220703125</v>
      </c>
      <c r="N52" s="1480" t="s">
        <v>82</v>
      </c>
      <c r="O52" s="1481">
        <v>36.563999176025391</v>
      </c>
      <c r="P52" s="1481">
        <v>0.99860000610351563</v>
      </c>
      <c r="Q52" s="1481">
        <v>-3.6407999992370605</v>
      </c>
      <c r="R52" s="1481">
        <v>88.219627380371094</v>
      </c>
      <c r="S52" s="1480" t="b">
        <v>0</v>
      </c>
      <c r="T52" s="1481">
        <v>0.35</v>
      </c>
      <c r="U52" s="1480" t="b">
        <v>1</v>
      </c>
      <c r="V52" s="1480">
        <v>3</v>
      </c>
      <c r="W52" s="1480">
        <v>15</v>
      </c>
      <c r="X52" s="1480" t="s">
        <v>451</v>
      </c>
      <c r="Y52" s="1480" t="s">
        <v>82</v>
      </c>
      <c r="Z52" s="1481">
        <v>0.86603398799098152</v>
      </c>
      <c r="AA52" s="1480" t="s">
        <v>349</v>
      </c>
      <c r="AB52" s="1480" t="s">
        <v>349</v>
      </c>
      <c r="AC52" s="1480" t="s">
        <v>349</v>
      </c>
      <c r="AD52" s="1481">
        <v>84.182792663574219</v>
      </c>
      <c r="AE52" s="1480" t="s">
        <v>82</v>
      </c>
      <c r="AF52" s="1480" t="s">
        <v>82</v>
      </c>
      <c r="AG52" s="1480" t="s">
        <v>82</v>
      </c>
    </row>
    <row r="53" spans="1:33" x14ac:dyDescent="0.25">
      <c r="A53" s="1480">
        <v>29</v>
      </c>
      <c r="B53" s="1480" t="s">
        <v>458</v>
      </c>
      <c r="C53" s="1480" t="b">
        <v>0</v>
      </c>
      <c r="D53" s="1480" t="s">
        <v>459</v>
      </c>
      <c r="E53" s="1480" t="s">
        <v>447</v>
      </c>
      <c r="F53" s="1480" t="s">
        <v>448</v>
      </c>
      <c r="G53" s="1480" t="s">
        <v>449</v>
      </c>
      <c r="H53" s="1480" t="s">
        <v>450</v>
      </c>
      <c r="I53" s="1481">
        <v>23.983974456787109</v>
      </c>
      <c r="J53" s="1481">
        <v>23.983974456787109</v>
      </c>
      <c r="K53" s="1480" t="s">
        <v>82</v>
      </c>
      <c r="L53" s="1481">
        <v>2852.931396484375</v>
      </c>
      <c r="M53" s="1481">
        <v>2852.931396484375</v>
      </c>
      <c r="N53" s="1480" t="s">
        <v>82</v>
      </c>
      <c r="O53" s="1481">
        <v>36.563999176025391</v>
      </c>
      <c r="P53" s="1481">
        <v>0.99860000610351563</v>
      </c>
      <c r="Q53" s="1481">
        <v>-3.6407999992370605</v>
      </c>
      <c r="R53" s="1481">
        <v>88.219627380371094</v>
      </c>
      <c r="S53" s="1480" t="b">
        <v>0</v>
      </c>
      <c r="T53" s="1481">
        <v>0.35</v>
      </c>
      <c r="U53" s="1480" t="b">
        <v>1</v>
      </c>
      <c r="V53" s="1480">
        <v>3</v>
      </c>
      <c r="W53" s="1480">
        <v>18</v>
      </c>
      <c r="X53" s="1480" t="s">
        <v>451</v>
      </c>
      <c r="Y53" s="1480" t="s">
        <v>82</v>
      </c>
      <c r="Z53" s="1481">
        <v>0.86457940384355292</v>
      </c>
      <c r="AA53" s="1480" t="s">
        <v>349</v>
      </c>
      <c r="AB53" s="1480" t="s">
        <v>349</v>
      </c>
      <c r="AC53" s="1480" t="s">
        <v>349</v>
      </c>
      <c r="AD53" s="1481">
        <v>84.179794311523438</v>
      </c>
      <c r="AE53" s="1480" t="s">
        <v>82</v>
      </c>
      <c r="AF53" s="1480" t="s">
        <v>82</v>
      </c>
      <c r="AG53" s="1480" t="s">
        <v>82</v>
      </c>
    </row>
    <row r="54" spans="1:33" x14ac:dyDescent="0.25">
      <c r="A54" s="1480">
        <v>30</v>
      </c>
      <c r="B54" s="1480" t="s">
        <v>460</v>
      </c>
      <c r="C54" s="1480" t="b">
        <v>0</v>
      </c>
      <c r="D54" s="1480" t="s">
        <v>461</v>
      </c>
      <c r="E54" s="1480" t="s">
        <v>447</v>
      </c>
      <c r="F54" s="1480" t="s">
        <v>448</v>
      </c>
      <c r="G54" s="1480" t="s">
        <v>449</v>
      </c>
      <c r="H54" s="1480" t="s">
        <v>450</v>
      </c>
      <c r="I54" s="1481">
        <v>24.373682022094727</v>
      </c>
      <c r="J54" s="1481">
        <v>24.373682022094727</v>
      </c>
      <c r="K54" s="1480" t="s">
        <v>82</v>
      </c>
      <c r="L54" s="1481">
        <v>2229.73046875</v>
      </c>
      <c r="M54" s="1481">
        <v>2229.73046875</v>
      </c>
      <c r="N54" s="1480" t="s">
        <v>82</v>
      </c>
      <c r="O54" s="1481">
        <v>36.563999176025391</v>
      </c>
      <c r="P54" s="1481">
        <v>0.99860000610351563</v>
      </c>
      <c r="Q54" s="1481">
        <v>-3.6407999992370605</v>
      </c>
      <c r="R54" s="1481">
        <v>88.219627380371094</v>
      </c>
      <c r="S54" s="1480" t="b">
        <v>0</v>
      </c>
      <c r="T54" s="1481">
        <v>0.35</v>
      </c>
      <c r="U54" s="1480" t="b">
        <v>1</v>
      </c>
      <c r="V54" s="1480">
        <v>3</v>
      </c>
      <c r="W54" s="1480">
        <v>18</v>
      </c>
      <c r="X54" s="1480" t="s">
        <v>451</v>
      </c>
      <c r="Y54" s="1480" t="s">
        <v>82</v>
      </c>
      <c r="Z54" s="1481">
        <v>0.86353204603276812</v>
      </c>
      <c r="AA54" s="1480" t="s">
        <v>349</v>
      </c>
      <c r="AB54" s="1480" t="s">
        <v>349</v>
      </c>
      <c r="AC54" s="1480" t="s">
        <v>349</v>
      </c>
      <c r="AD54" s="1481">
        <v>84.179794311523438</v>
      </c>
      <c r="AE54" s="1480" t="s">
        <v>82</v>
      </c>
      <c r="AF54" s="1480" t="s">
        <v>82</v>
      </c>
      <c r="AG54" s="1480" t="s">
        <v>82</v>
      </c>
    </row>
    <row r="55" spans="1:33" x14ac:dyDescent="0.25">
      <c r="A55" s="1480">
        <v>31</v>
      </c>
      <c r="B55" s="1480" t="s">
        <v>462</v>
      </c>
      <c r="C55" s="1480" t="b">
        <v>0</v>
      </c>
      <c r="D55" s="1480" t="s">
        <v>463</v>
      </c>
      <c r="E55" s="1480" t="s">
        <v>447</v>
      </c>
      <c r="F55" s="1480" t="s">
        <v>448</v>
      </c>
      <c r="G55" s="1480" t="s">
        <v>449</v>
      </c>
      <c r="H55" s="1480" t="s">
        <v>450</v>
      </c>
      <c r="I55" s="1481">
        <v>38.473705291748047</v>
      </c>
      <c r="J55" s="1481">
        <v>38.473705291748047</v>
      </c>
      <c r="K55" s="1480" t="s">
        <v>82</v>
      </c>
      <c r="L55" s="1481">
        <v>0.2988620400428772</v>
      </c>
      <c r="M55" s="1481">
        <v>0.2988620400428772</v>
      </c>
      <c r="N55" s="1480" t="s">
        <v>82</v>
      </c>
      <c r="O55" s="1481">
        <v>36.563999176025391</v>
      </c>
      <c r="P55" s="1481">
        <v>0.99860000610351563</v>
      </c>
      <c r="Q55" s="1481">
        <v>-3.6407999992370605</v>
      </c>
      <c r="R55" s="1481">
        <v>88.219627380371094</v>
      </c>
      <c r="S55" s="1480" t="b">
        <v>0</v>
      </c>
      <c r="T55" s="1481">
        <v>0.35</v>
      </c>
      <c r="U55" s="1480" t="b">
        <v>1</v>
      </c>
      <c r="V55" s="1480">
        <v>3</v>
      </c>
      <c r="W55" s="1480">
        <v>31</v>
      </c>
      <c r="X55" s="1480" t="s">
        <v>451</v>
      </c>
      <c r="Y55" s="1480" t="s">
        <v>82</v>
      </c>
      <c r="Z55" s="1481">
        <v>0.47341523125981139</v>
      </c>
      <c r="AA55" s="1480" t="s">
        <v>65</v>
      </c>
      <c r="AB55" s="1480" t="s">
        <v>65</v>
      </c>
      <c r="AC55" s="1480" t="s">
        <v>349</v>
      </c>
      <c r="AD55" s="1481">
        <v>67.071861267089844</v>
      </c>
      <c r="AE55" s="1481">
        <v>85.154632568359375</v>
      </c>
      <c r="AF55" s="1480" t="s">
        <v>82</v>
      </c>
      <c r="AG55" s="1480" t="s">
        <v>82</v>
      </c>
    </row>
    <row r="56" spans="1:33" x14ac:dyDescent="0.25">
      <c r="A56" s="1480">
        <v>32</v>
      </c>
      <c r="B56" s="1480" t="s">
        <v>464</v>
      </c>
      <c r="C56" s="1480" t="b">
        <v>0</v>
      </c>
      <c r="D56" s="1480" t="s">
        <v>465</v>
      </c>
      <c r="E56" s="1480" t="s">
        <v>447</v>
      </c>
      <c r="F56" s="1480" t="s">
        <v>448</v>
      </c>
      <c r="G56" s="1480" t="s">
        <v>449</v>
      </c>
      <c r="H56" s="1480" t="s">
        <v>450</v>
      </c>
      <c r="I56" s="1481">
        <v>36.513484954833984</v>
      </c>
      <c r="J56" s="1481">
        <v>36.513484954833984</v>
      </c>
      <c r="K56" s="1480" t="s">
        <v>82</v>
      </c>
      <c r="L56" s="1481">
        <v>1.0324629545211792</v>
      </c>
      <c r="M56" s="1481">
        <v>1.0324629545211792</v>
      </c>
      <c r="N56" s="1480" t="s">
        <v>82</v>
      </c>
      <c r="O56" s="1481">
        <v>36.563999176025391</v>
      </c>
      <c r="P56" s="1481">
        <v>0.99860000610351563</v>
      </c>
      <c r="Q56" s="1481">
        <v>-3.6407999992370605</v>
      </c>
      <c r="R56" s="1481">
        <v>88.219627380371094</v>
      </c>
      <c r="S56" s="1480" t="b">
        <v>0</v>
      </c>
      <c r="T56" s="1481">
        <v>0.35</v>
      </c>
      <c r="U56" s="1480" t="b">
        <v>1</v>
      </c>
      <c r="V56" s="1480">
        <v>3</v>
      </c>
      <c r="W56" s="1480">
        <v>30</v>
      </c>
      <c r="X56" s="1480" t="s">
        <v>451</v>
      </c>
      <c r="Y56" s="1480" t="s">
        <v>82</v>
      </c>
      <c r="Z56" s="1481">
        <v>0.86839621894899321</v>
      </c>
      <c r="AA56" s="1480" t="s">
        <v>65</v>
      </c>
      <c r="AB56" s="1480" t="s">
        <v>349</v>
      </c>
      <c r="AC56" s="1480" t="s">
        <v>349</v>
      </c>
      <c r="AD56" s="1481">
        <v>82.027542114257813</v>
      </c>
      <c r="AE56" s="1481">
        <v>73.190093994140625</v>
      </c>
      <c r="AF56" s="1480" t="s">
        <v>82</v>
      </c>
      <c r="AG56" s="1480" t="s">
        <v>82</v>
      </c>
    </row>
    <row r="57" spans="1:33" x14ac:dyDescent="0.25">
      <c r="A57" s="1480">
        <v>37</v>
      </c>
      <c r="B57" s="1480" t="s">
        <v>466</v>
      </c>
      <c r="C57" s="1480" t="b">
        <v>0</v>
      </c>
      <c r="D57" s="1480" t="s">
        <v>467</v>
      </c>
      <c r="E57" s="1480" t="s">
        <v>447</v>
      </c>
      <c r="F57" s="1480" t="s">
        <v>448</v>
      </c>
      <c r="G57" s="1480" t="s">
        <v>449</v>
      </c>
      <c r="H57" s="1480" t="s">
        <v>450</v>
      </c>
      <c r="I57" s="1481">
        <v>22.019378662109375</v>
      </c>
      <c r="J57" s="1481">
        <v>22.019378662109375</v>
      </c>
      <c r="K57" s="1480" t="s">
        <v>82</v>
      </c>
      <c r="L57" s="1481">
        <v>9883.18359375</v>
      </c>
      <c r="M57" s="1481">
        <v>9883.18359375</v>
      </c>
      <c r="N57" s="1480" t="s">
        <v>82</v>
      </c>
      <c r="O57" s="1481">
        <v>36.563999176025391</v>
      </c>
      <c r="P57" s="1481">
        <v>0.99860000610351563</v>
      </c>
      <c r="Q57" s="1481">
        <v>-3.6407999992370605</v>
      </c>
      <c r="R57" s="1481">
        <v>88.219627380371094</v>
      </c>
      <c r="S57" s="1480" t="b">
        <v>0</v>
      </c>
      <c r="T57" s="1481">
        <v>0.35</v>
      </c>
      <c r="U57" s="1480" t="b">
        <v>1</v>
      </c>
      <c r="V57" s="1480">
        <v>3</v>
      </c>
      <c r="W57" s="1480">
        <v>15</v>
      </c>
      <c r="X57" s="1480" t="s">
        <v>451</v>
      </c>
      <c r="Y57" s="1480" t="s">
        <v>82</v>
      </c>
      <c r="Z57" s="1481">
        <v>0.83142499688216032</v>
      </c>
      <c r="AA57" s="1480" t="s">
        <v>349</v>
      </c>
      <c r="AB57" s="1480" t="s">
        <v>349</v>
      </c>
      <c r="AC57" s="1480" t="s">
        <v>349</v>
      </c>
      <c r="AD57" s="1481">
        <v>84.203224182128906</v>
      </c>
      <c r="AE57" s="1480" t="s">
        <v>82</v>
      </c>
      <c r="AF57" s="1480" t="s">
        <v>82</v>
      </c>
      <c r="AG57" s="1480" t="s">
        <v>82</v>
      </c>
    </row>
    <row r="58" spans="1:33" x14ac:dyDescent="0.25">
      <c r="A58" s="1480">
        <v>38</v>
      </c>
      <c r="B58" s="1480" t="s">
        <v>468</v>
      </c>
      <c r="C58" s="1480" t="b">
        <v>0</v>
      </c>
      <c r="D58" s="1480" t="s">
        <v>469</v>
      </c>
      <c r="E58" s="1480" t="s">
        <v>447</v>
      </c>
      <c r="F58" s="1480" t="s">
        <v>448</v>
      </c>
      <c r="G58" s="1480" t="s">
        <v>449</v>
      </c>
      <c r="H58" s="1480" t="s">
        <v>450</v>
      </c>
      <c r="I58" s="1481">
        <v>24.595029830932617</v>
      </c>
      <c r="J58" s="1481">
        <v>24.595029830932617</v>
      </c>
      <c r="K58" s="1480" t="s">
        <v>82</v>
      </c>
      <c r="L58" s="1481">
        <v>1938.4556884765625</v>
      </c>
      <c r="M58" s="1481">
        <v>1938.4556884765625</v>
      </c>
      <c r="N58" s="1480" t="s">
        <v>82</v>
      </c>
      <c r="O58" s="1481">
        <v>36.563999176025391</v>
      </c>
      <c r="P58" s="1481">
        <v>0.99860000610351563</v>
      </c>
      <c r="Q58" s="1481">
        <v>-3.6407999992370605</v>
      </c>
      <c r="R58" s="1481">
        <v>88.219627380371094</v>
      </c>
      <c r="S58" s="1480" t="b">
        <v>0</v>
      </c>
      <c r="T58" s="1481">
        <v>0.35</v>
      </c>
      <c r="U58" s="1480" t="b">
        <v>1</v>
      </c>
      <c r="V58" s="1480">
        <v>3</v>
      </c>
      <c r="W58" s="1480">
        <v>17</v>
      </c>
      <c r="X58" s="1480" t="s">
        <v>451</v>
      </c>
      <c r="Y58" s="1480" t="s">
        <v>82</v>
      </c>
      <c r="Z58" s="1481">
        <v>0.94337774072266034</v>
      </c>
      <c r="AA58" s="1480" t="s">
        <v>349</v>
      </c>
      <c r="AB58" s="1480" t="s">
        <v>349</v>
      </c>
      <c r="AC58" s="1480" t="s">
        <v>349</v>
      </c>
      <c r="AD58" s="1481">
        <v>84.203224182128906</v>
      </c>
      <c r="AE58" s="1480" t="s">
        <v>82</v>
      </c>
      <c r="AF58" s="1480" t="s">
        <v>82</v>
      </c>
      <c r="AG58" s="1480" t="s">
        <v>82</v>
      </c>
    </row>
    <row r="59" spans="1:33" x14ac:dyDescent="0.25">
      <c r="A59" s="1480">
        <v>39</v>
      </c>
      <c r="B59" s="1480" t="s">
        <v>470</v>
      </c>
      <c r="C59" s="1480" t="b">
        <v>0</v>
      </c>
      <c r="D59" s="1480" t="s">
        <v>471</v>
      </c>
      <c r="E59" s="1480" t="s">
        <v>447</v>
      </c>
      <c r="F59" s="1480" t="s">
        <v>448</v>
      </c>
      <c r="G59" s="1480" t="s">
        <v>449</v>
      </c>
      <c r="H59" s="1480" t="s">
        <v>450</v>
      </c>
      <c r="I59" s="1481">
        <v>23.89476203918457</v>
      </c>
      <c r="J59" s="1481">
        <v>23.89476203918457</v>
      </c>
      <c r="K59" s="1480" t="s">
        <v>82</v>
      </c>
      <c r="L59" s="1481">
        <v>3018.525634765625</v>
      </c>
      <c r="M59" s="1481">
        <v>3018.525634765625</v>
      </c>
      <c r="N59" s="1480" t="s">
        <v>82</v>
      </c>
      <c r="O59" s="1481">
        <v>36.563999176025391</v>
      </c>
      <c r="P59" s="1481">
        <v>0.99860000610351563</v>
      </c>
      <c r="Q59" s="1481">
        <v>-3.6407999992370605</v>
      </c>
      <c r="R59" s="1481">
        <v>88.219627380371094</v>
      </c>
      <c r="S59" s="1480" t="b">
        <v>0</v>
      </c>
      <c r="T59" s="1481">
        <v>0.35</v>
      </c>
      <c r="U59" s="1480" t="b">
        <v>1</v>
      </c>
      <c r="V59" s="1480">
        <v>3</v>
      </c>
      <c r="W59" s="1480">
        <v>18</v>
      </c>
      <c r="X59" s="1480" t="s">
        <v>451</v>
      </c>
      <c r="Y59" s="1480" t="s">
        <v>82</v>
      </c>
      <c r="Z59" s="1481">
        <v>0.8934861705832865</v>
      </c>
      <c r="AA59" s="1480" t="s">
        <v>349</v>
      </c>
      <c r="AB59" s="1480" t="s">
        <v>349</v>
      </c>
      <c r="AC59" s="1480" t="s">
        <v>349</v>
      </c>
      <c r="AD59" s="1481">
        <v>84.046943664550781</v>
      </c>
      <c r="AE59" s="1480" t="s">
        <v>82</v>
      </c>
      <c r="AF59" s="1480" t="s">
        <v>82</v>
      </c>
      <c r="AG59" s="1480" t="s">
        <v>82</v>
      </c>
    </row>
    <row r="60" spans="1:33" x14ac:dyDescent="0.25">
      <c r="A60" s="1480">
        <v>40</v>
      </c>
      <c r="B60" s="1480" t="s">
        <v>472</v>
      </c>
      <c r="C60" s="1480" t="b">
        <v>0</v>
      </c>
      <c r="D60" s="1480" t="s">
        <v>473</v>
      </c>
      <c r="E60" s="1480" t="s">
        <v>447</v>
      </c>
      <c r="F60" s="1480" t="s">
        <v>448</v>
      </c>
      <c r="G60" s="1480" t="s">
        <v>449</v>
      </c>
      <c r="H60" s="1480" t="s">
        <v>450</v>
      </c>
      <c r="I60" s="1481">
        <v>24.594856262207031</v>
      </c>
      <c r="J60" s="1481">
        <v>24.594856262207031</v>
      </c>
      <c r="K60" s="1480" t="s">
        <v>82</v>
      </c>
      <c r="L60" s="1481">
        <v>1938.66845703125</v>
      </c>
      <c r="M60" s="1481">
        <v>1938.66845703125</v>
      </c>
      <c r="N60" s="1480" t="s">
        <v>82</v>
      </c>
      <c r="O60" s="1481">
        <v>36.563999176025391</v>
      </c>
      <c r="P60" s="1481">
        <v>0.99860000610351563</v>
      </c>
      <c r="Q60" s="1481">
        <v>-3.6407999992370605</v>
      </c>
      <c r="R60" s="1481">
        <v>88.219627380371094</v>
      </c>
      <c r="S60" s="1480" t="b">
        <v>0</v>
      </c>
      <c r="T60" s="1481">
        <v>0.35</v>
      </c>
      <c r="U60" s="1480" t="b">
        <v>1</v>
      </c>
      <c r="V60" s="1480">
        <v>3</v>
      </c>
      <c r="W60" s="1480">
        <v>17</v>
      </c>
      <c r="X60" s="1480" t="s">
        <v>451</v>
      </c>
      <c r="Y60" s="1480" t="s">
        <v>82</v>
      </c>
      <c r="Z60" s="1481">
        <v>0.90055609174554629</v>
      </c>
      <c r="AA60" s="1480" t="s">
        <v>349</v>
      </c>
      <c r="AB60" s="1480" t="s">
        <v>349</v>
      </c>
      <c r="AC60" s="1480" t="s">
        <v>349</v>
      </c>
      <c r="AD60" s="1481">
        <v>84.182792663574219</v>
      </c>
      <c r="AE60" s="1480" t="s">
        <v>82</v>
      </c>
      <c r="AF60" s="1480" t="s">
        <v>82</v>
      </c>
      <c r="AG60" s="1480" t="s">
        <v>82</v>
      </c>
    </row>
    <row r="61" spans="1:33" x14ac:dyDescent="0.25">
      <c r="A61" s="1480">
        <v>41</v>
      </c>
      <c r="B61" s="1480" t="s">
        <v>474</v>
      </c>
      <c r="C61" s="1480" t="b">
        <v>0</v>
      </c>
      <c r="D61" s="1480" t="s">
        <v>475</v>
      </c>
      <c r="E61" s="1480" t="s">
        <v>447</v>
      </c>
      <c r="F61" s="1480" t="s">
        <v>448</v>
      </c>
      <c r="G61" s="1480" t="s">
        <v>449</v>
      </c>
      <c r="H61" s="1480" t="s">
        <v>450</v>
      </c>
      <c r="I61" s="1481">
        <v>27.050947189331055</v>
      </c>
      <c r="J61" s="1481">
        <v>27.050947189331055</v>
      </c>
      <c r="K61" s="1480" t="s">
        <v>82</v>
      </c>
      <c r="L61" s="1481">
        <v>410.11114501953125</v>
      </c>
      <c r="M61" s="1481">
        <v>410.11114501953125</v>
      </c>
      <c r="N61" s="1480" t="s">
        <v>82</v>
      </c>
      <c r="O61" s="1481">
        <v>36.563999176025391</v>
      </c>
      <c r="P61" s="1481">
        <v>0.99860000610351563</v>
      </c>
      <c r="Q61" s="1481">
        <v>-3.6407999992370605</v>
      </c>
      <c r="R61" s="1481">
        <v>88.219627380371094</v>
      </c>
      <c r="S61" s="1480" t="b">
        <v>0</v>
      </c>
      <c r="T61" s="1481">
        <v>0.35</v>
      </c>
      <c r="U61" s="1480" t="b">
        <v>1</v>
      </c>
      <c r="V61" s="1480">
        <v>3</v>
      </c>
      <c r="W61" s="1480">
        <v>20</v>
      </c>
      <c r="X61" s="1480" t="s">
        <v>451</v>
      </c>
      <c r="Y61" s="1480" t="s">
        <v>82</v>
      </c>
      <c r="Z61" s="1481">
        <v>0.95871955849182466</v>
      </c>
      <c r="AA61" s="1480" t="s">
        <v>349</v>
      </c>
      <c r="AB61" s="1480" t="s">
        <v>349</v>
      </c>
      <c r="AC61" s="1480" t="s">
        <v>349</v>
      </c>
      <c r="AD61" s="1481">
        <v>84.179794311523438</v>
      </c>
      <c r="AE61" s="1480" t="s">
        <v>82</v>
      </c>
      <c r="AF61" s="1480" t="s">
        <v>82</v>
      </c>
      <c r="AG61" s="1480" t="s">
        <v>82</v>
      </c>
    </row>
    <row r="62" spans="1:33" x14ac:dyDescent="0.25">
      <c r="A62" s="1480">
        <v>42</v>
      </c>
      <c r="B62" s="1480" t="s">
        <v>476</v>
      </c>
      <c r="C62" s="1480" t="b">
        <v>0</v>
      </c>
      <c r="D62" s="1480" t="s">
        <v>477</v>
      </c>
      <c r="E62" s="1480" t="s">
        <v>447</v>
      </c>
      <c r="F62" s="1480" t="s">
        <v>448</v>
      </c>
      <c r="G62" s="1480" t="s">
        <v>449</v>
      </c>
      <c r="H62" s="1480" t="s">
        <v>450</v>
      </c>
      <c r="I62" s="1481">
        <v>30.144596099853516</v>
      </c>
      <c r="J62" s="1481">
        <v>30.144596099853516</v>
      </c>
      <c r="K62" s="1480" t="s">
        <v>82</v>
      </c>
      <c r="L62" s="1481">
        <v>57.967525482177734</v>
      </c>
      <c r="M62" s="1481">
        <v>57.967525482177734</v>
      </c>
      <c r="N62" s="1480" t="s">
        <v>82</v>
      </c>
      <c r="O62" s="1481">
        <v>36.563999176025391</v>
      </c>
      <c r="P62" s="1481">
        <v>0.99860000610351563</v>
      </c>
      <c r="Q62" s="1481">
        <v>-3.6407999992370605</v>
      </c>
      <c r="R62" s="1481">
        <v>88.219627380371094</v>
      </c>
      <c r="S62" s="1480" t="b">
        <v>0</v>
      </c>
      <c r="T62" s="1481">
        <v>0.35</v>
      </c>
      <c r="U62" s="1480" t="b">
        <v>1</v>
      </c>
      <c r="V62" s="1480">
        <v>3</v>
      </c>
      <c r="W62" s="1480">
        <v>24</v>
      </c>
      <c r="X62" s="1480" t="s">
        <v>451</v>
      </c>
      <c r="Y62" s="1480" t="s">
        <v>82</v>
      </c>
      <c r="Z62" s="1481">
        <v>0.98349892821026186</v>
      </c>
      <c r="AA62" s="1480" t="s">
        <v>349</v>
      </c>
      <c r="AB62" s="1480" t="s">
        <v>349</v>
      </c>
      <c r="AC62" s="1480" t="s">
        <v>349</v>
      </c>
      <c r="AD62" s="1481">
        <v>84.315628051757813</v>
      </c>
      <c r="AE62" s="1480" t="s">
        <v>82</v>
      </c>
      <c r="AF62" s="1480" t="s">
        <v>82</v>
      </c>
      <c r="AG62" s="1480" t="s">
        <v>82</v>
      </c>
    </row>
    <row r="63" spans="1:33" x14ac:dyDescent="0.25">
      <c r="A63" s="1480">
        <v>43</v>
      </c>
      <c r="B63" s="1480" t="s">
        <v>478</v>
      </c>
      <c r="C63" s="1480" t="b">
        <v>0</v>
      </c>
      <c r="D63" s="1480" t="s">
        <v>479</v>
      </c>
      <c r="E63" s="1480" t="s">
        <v>447</v>
      </c>
      <c r="F63" s="1480" t="s">
        <v>448</v>
      </c>
      <c r="G63" s="1480" t="s">
        <v>449</v>
      </c>
      <c r="H63" s="1480" t="s">
        <v>450</v>
      </c>
      <c r="I63" s="1480" t="s">
        <v>66</v>
      </c>
      <c r="J63" s="1480" t="s">
        <v>82</v>
      </c>
      <c r="K63" s="1480" t="s">
        <v>82</v>
      </c>
      <c r="L63" s="1480" t="s">
        <v>82</v>
      </c>
      <c r="M63" s="1480" t="s">
        <v>82</v>
      </c>
      <c r="N63" s="1480" t="s">
        <v>82</v>
      </c>
      <c r="O63" s="1481">
        <v>36.563999176025391</v>
      </c>
      <c r="P63" s="1481">
        <v>0.99860000610351563</v>
      </c>
      <c r="Q63" s="1481">
        <v>-3.6407999992370605</v>
      </c>
      <c r="R63" s="1481">
        <v>88.219627380371094</v>
      </c>
      <c r="S63" s="1480" t="b">
        <v>0</v>
      </c>
      <c r="T63" s="1481">
        <v>0.35</v>
      </c>
      <c r="U63" s="1480" t="b">
        <v>1</v>
      </c>
      <c r="V63" s="1480">
        <v>3</v>
      </c>
      <c r="W63" s="1480">
        <v>34</v>
      </c>
      <c r="X63" s="1480" t="s">
        <v>480</v>
      </c>
      <c r="Y63" s="1480" t="s">
        <v>82</v>
      </c>
      <c r="Z63" s="1481">
        <v>0</v>
      </c>
      <c r="AA63" s="1480" t="s">
        <v>65</v>
      </c>
      <c r="AB63" s="1480" t="s">
        <v>65</v>
      </c>
      <c r="AC63" s="1480" t="s">
        <v>349</v>
      </c>
      <c r="AD63" s="1481">
        <v>92.632476806640625</v>
      </c>
      <c r="AE63" s="1481">
        <v>83.930984497070313</v>
      </c>
      <c r="AF63" s="1481">
        <v>81.483695983886719</v>
      </c>
      <c r="AG63" s="1480" t="s">
        <v>82</v>
      </c>
    </row>
    <row r="64" spans="1:33" x14ac:dyDescent="0.25">
      <c r="A64" s="1480">
        <v>44</v>
      </c>
      <c r="B64" s="1480" t="s">
        <v>481</v>
      </c>
      <c r="C64" s="1480" t="b">
        <v>0</v>
      </c>
      <c r="D64" s="1480" t="s">
        <v>482</v>
      </c>
      <c r="E64" s="1480" t="s">
        <v>447</v>
      </c>
      <c r="F64" s="1480" t="s">
        <v>448</v>
      </c>
      <c r="G64" s="1480" t="s">
        <v>449</v>
      </c>
      <c r="H64" s="1480" t="s">
        <v>450</v>
      </c>
      <c r="I64" s="1480" t="s">
        <v>66</v>
      </c>
      <c r="J64" s="1480" t="s">
        <v>82</v>
      </c>
      <c r="K64" s="1480" t="s">
        <v>82</v>
      </c>
      <c r="L64" s="1480" t="s">
        <v>82</v>
      </c>
      <c r="M64" s="1480" t="s">
        <v>82</v>
      </c>
      <c r="N64" s="1480" t="s">
        <v>82</v>
      </c>
      <c r="O64" s="1481">
        <v>36.563999176025391</v>
      </c>
      <c r="P64" s="1481">
        <v>0.99860000610351563</v>
      </c>
      <c r="Q64" s="1481">
        <v>-3.6407999992370605</v>
      </c>
      <c r="R64" s="1481">
        <v>88.219627380371094</v>
      </c>
      <c r="S64" s="1480" t="b">
        <v>0</v>
      </c>
      <c r="T64" s="1481">
        <v>0.35</v>
      </c>
      <c r="U64" s="1480" t="b">
        <v>1</v>
      </c>
      <c r="V64" s="1480">
        <v>3</v>
      </c>
      <c r="W64" s="1480">
        <v>39</v>
      </c>
      <c r="X64" s="1480" t="s">
        <v>480</v>
      </c>
      <c r="Y64" s="1480" t="s">
        <v>82</v>
      </c>
      <c r="Z64" s="1481">
        <v>0</v>
      </c>
      <c r="AA64" s="1480" t="s">
        <v>349</v>
      </c>
      <c r="AB64" s="1480" t="s">
        <v>65</v>
      </c>
      <c r="AC64" s="1480" t="s">
        <v>65</v>
      </c>
      <c r="AD64" s="1481">
        <v>92.7684326171875</v>
      </c>
      <c r="AE64" s="1480" t="s">
        <v>82</v>
      </c>
      <c r="AF64" s="1480" t="s">
        <v>82</v>
      </c>
      <c r="AG64" s="1480" t="s">
        <v>82</v>
      </c>
    </row>
  </sheetData>
  <sheetProtection algorithmName="SHA-512" hashValue="J1xCTye1Oxl9DL91V6GRMskS1JQDBlBUaBFl8ph7c0VG73yBWTCKoX+5H5zza6NjkEY9+Umfh1sdp+D9p29How==" saltValue="2yv6QkAZvS5X1FWAVFQ98w==" spinCount="100000" sheet="1" objects="1" scenarios="1"/>
  <pageMargins left="0.75" right="0.75" top="1" bottom="1" header="0.5" footer="0.5"/>
  <pageSetup orientation="portrait" horizontalDpi="300" verticalDpi="300"/>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ACA2F-F693-4505-99BF-9DD885116BB9}">
  <dimension ref="A1:T25"/>
  <sheetViews>
    <sheetView workbookViewId="0">
      <selection activeCell="E16" sqref="E16"/>
    </sheetView>
  </sheetViews>
  <sheetFormatPr defaultColWidth="9.21875" defaultRowHeight="14.55" x14ac:dyDescent="0.3"/>
  <cols>
    <col min="1" max="1" width="14.77734375" bestFit="1" customWidth="1"/>
    <col min="2" max="2" width="12.21875" bestFit="1" customWidth="1"/>
    <col min="3" max="3" width="21.5546875" bestFit="1" customWidth="1"/>
    <col min="4" max="4" width="14.77734375" bestFit="1" customWidth="1"/>
    <col min="5" max="5" width="18.77734375" bestFit="1" customWidth="1"/>
    <col min="6" max="6" width="21.77734375" bestFit="1" customWidth="1"/>
    <col min="7" max="7" width="15.77734375" bestFit="1" customWidth="1"/>
    <col min="8" max="8" width="18.77734375" bestFit="1" customWidth="1"/>
    <col min="9" max="9" width="16.44140625" bestFit="1" customWidth="1"/>
    <col min="10" max="10" width="9.21875" bestFit="1" customWidth="1"/>
    <col min="11" max="11" width="18" bestFit="1" customWidth="1"/>
    <col min="12" max="19" width="18" customWidth="1"/>
    <col min="20" max="20" width="12" customWidth="1"/>
  </cols>
  <sheetData>
    <row r="1" spans="1:20" x14ac:dyDescent="0.3">
      <c r="D1" s="49"/>
      <c r="E1" s="1739" t="s">
        <v>92</v>
      </c>
      <c r="F1" s="1739"/>
      <c r="G1" s="1739"/>
      <c r="H1" s="1739"/>
      <c r="I1" s="1739"/>
      <c r="J1" s="1739"/>
      <c r="K1" s="1739"/>
      <c r="L1" s="1740" t="s">
        <v>93</v>
      </c>
      <c r="M1" s="1740"/>
      <c r="N1" s="1740"/>
      <c r="O1" s="1740"/>
      <c r="P1" s="1741" t="s">
        <v>94</v>
      </c>
      <c r="Q1" s="1741"/>
      <c r="R1" s="1741"/>
      <c r="S1" s="1741"/>
      <c r="T1" s="50"/>
    </row>
    <row r="2" spans="1:20" s="51" customFormat="1" ht="41.15" customHeight="1" x14ac:dyDescent="0.3">
      <c r="A2" s="51" t="s">
        <v>95</v>
      </c>
      <c r="B2" s="51" t="s">
        <v>96</v>
      </c>
      <c r="C2" s="51" t="s">
        <v>13</v>
      </c>
      <c r="D2" s="53" t="s">
        <v>97</v>
      </c>
      <c r="E2" s="53" t="s">
        <v>98</v>
      </c>
      <c r="F2" s="53" t="s">
        <v>99</v>
      </c>
      <c r="G2" s="53" t="s">
        <v>100</v>
      </c>
      <c r="H2" s="53" t="s">
        <v>101</v>
      </c>
      <c r="I2" s="53" t="s">
        <v>102</v>
      </c>
      <c r="J2" s="53" t="s">
        <v>103</v>
      </c>
      <c r="K2" s="53" t="s">
        <v>104</v>
      </c>
      <c r="L2" s="54" t="s">
        <v>105</v>
      </c>
      <c r="M2" s="54" t="s">
        <v>106</v>
      </c>
      <c r="N2" s="54" t="s">
        <v>107</v>
      </c>
      <c r="O2" s="54" t="s">
        <v>108</v>
      </c>
      <c r="P2" s="52" t="s">
        <v>109</v>
      </c>
      <c r="Q2" s="52" t="s">
        <v>110</v>
      </c>
      <c r="R2" s="52" t="s">
        <v>111</v>
      </c>
      <c r="S2" s="52" t="s">
        <v>112</v>
      </c>
      <c r="T2" s="51" t="s">
        <v>113</v>
      </c>
    </row>
    <row r="3" spans="1:20" s="48" customFormat="1" x14ac:dyDescent="0.3">
      <c r="A3" s="55">
        <v>44294.486111111109</v>
      </c>
      <c r="B3" s="48" t="s">
        <v>17</v>
      </c>
      <c r="C3" s="48" t="s">
        <v>114</v>
      </c>
      <c r="D3" s="48">
        <v>6.7</v>
      </c>
      <c r="E3" s="48">
        <v>23.2</v>
      </c>
      <c r="F3" s="48">
        <v>0</v>
      </c>
      <c r="G3" s="48">
        <v>3.57</v>
      </c>
      <c r="H3" s="48">
        <v>3.54</v>
      </c>
      <c r="I3" s="48">
        <v>7.0000000000000007E-2</v>
      </c>
      <c r="J3" s="48">
        <v>5.0000000000000001E-3</v>
      </c>
      <c r="K3" s="48">
        <v>0.33</v>
      </c>
      <c r="T3" s="48" t="s">
        <v>115</v>
      </c>
    </row>
    <row r="4" spans="1:20" s="48" customFormat="1" x14ac:dyDescent="0.3">
      <c r="A4" s="55">
        <v>44294.486111111109</v>
      </c>
      <c r="B4" s="48" t="s">
        <v>17</v>
      </c>
      <c r="C4" s="48" t="s">
        <v>114</v>
      </c>
      <c r="D4" s="48">
        <v>6.85</v>
      </c>
      <c r="E4" s="48">
        <v>22.3</v>
      </c>
      <c r="F4" s="48">
        <v>0.05</v>
      </c>
      <c r="G4" s="48">
        <v>3.68</v>
      </c>
      <c r="H4" s="48">
        <v>3.21</v>
      </c>
      <c r="I4" s="48">
        <v>0.19</v>
      </c>
      <c r="J4" s="48">
        <v>0.01</v>
      </c>
      <c r="K4" s="48">
        <v>0.15</v>
      </c>
    </row>
    <row r="5" spans="1:20" s="48" customFormat="1" x14ac:dyDescent="0.3">
      <c r="A5" s="55">
        <v>44294.486111111109</v>
      </c>
      <c r="B5" s="48" t="s">
        <v>17</v>
      </c>
      <c r="C5" s="48" t="s">
        <v>114</v>
      </c>
      <c r="D5" s="48">
        <v>6.7</v>
      </c>
      <c r="E5" s="48">
        <v>24.4</v>
      </c>
      <c r="F5" s="48">
        <v>0.16</v>
      </c>
      <c r="G5" s="48">
        <v>3.64</v>
      </c>
      <c r="H5" s="48">
        <v>3.37</v>
      </c>
      <c r="I5" s="48">
        <v>7.0000000000000007E-2</v>
      </c>
      <c r="J5" s="48">
        <v>6.0000000000000001E-3</v>
      </c>
      <c r="K5" s="48">
        <v>0.2</v>
      </c>
    </row>
    <row r="6" spans="1:20" x14ac:dyDescent="0.3">
      <c r="A6" s="56">
        <v>44306.444444444445</v>
      </c>
      <c r="B6" s="48" t="s">
        <v>17</v>
      </c>
      <c r="C6" s="48" t="s">
        <v>114</v>
      </c>
      <c r="D6" s="48">
        <v>6.85</v>
      </c>
      <c r="E6" s="48">
        <v>22.3</v>
      </c>
      <c r="F6" s="48">
        <v>0.05</v>
      </c>
      <c r="G6" s="48">
        <v>3.68</v>
      </c>
      <c r="H6" s="48">
        <v>3.21</v>
      </c>
      <c r="I6" s="48">
        <v>0.19</v>
      </c>
      <c r="J6" s="48">
        <v>0.01</v>
      </c>
      <c r="K6" s="48">
        <v>0.15</v>
      </c>
      <c r="L6" s="57">
        <v>0.58499999999999996</v>
      </c>
      <c r="M6" s="57">
        <v>6.8000000000000005E-2</v>
      </c>
      <c r="N6" s="48">
        <v>0.53200000000000003</v>
      </c>
      <c r="O6" s="48">
        <v>3.0000000000000001E-3</v>
      </c>
      <c r="P6" s="48"/>
      <c r="Q6" s="48"/>
      <c r="R6" s="48"/>
      <c r="S6" s="48"/>
      <c r="T6" s="48"/>
    </row>
    <row r="7" spans="1:20" x14ac:dyDescent="0.3">
      <c r="A7" s="56">
        <v>44313.489583333336</v>
      </c>
      <c r="B7" s="48" t="s">
        <v>17</v>
      </c>
      <c r="C7" s="48" t="s">
        <v>114</v>
      </c>
      <c r="D7" s="48">
        <v>6.7</v>
      </c>
      <c r="E7" s="48">
        <v>24.4</v>
      </c>
      <c r="F7" s="48">
        <v>0.16</v>
      </c>
      <c r="G7" s="48">
        <v>3.64</v>
      </c>
      <c r="H7" s="48">
        <v>3.37</v>
      </c>
      <c r="I7" s="48">
        <v>7.0000000000000007E-2</v>
      </c>
      <c r="J7" s="48">
        <v>6.0000000000000001E-3</v>
      </c>
      <c r="K7" s="48">
        <v>0.2</v>
      </c>
      <c r="L7" s="57">
        <v>0.63500000000000001</v>
      </c>
      <c r="M7" s="57">
        <v>6.2E-2</v>
      </c>
      <c r="N7" s="48">
        <v>0.503</v>
      </c>
      <c r="O7" s="48">
        <v>5.0000000000000001E-3</v>
      </c>
      <c r="P7" s="48"/>
      <c r="Q7" s="48"/>
      <c r="R7" s="48"/>
      <c r="S7" s="48"/>
      <c r="T7" s="48"/>
    </row>
    <row r="8" spans="1:20" x14ac:dyDescent="0.3">
      <c r="A8" s="56">
        <v>44320.451388888891</v>
      </c>
      <c r="B8" s="48" t="s">
        <v>17</v>
      </c>
      <c r="C8" s="48" t="s">
        <v>114</v>
      </c>
      <c r="D8" s="48">
        <v>6.7</v>
      </c>
      <c r="E8" s="48">
        <v>26.9</v>
      </c>
      <c r="F8" s="48">
        <v>0.12</v>
      </c>
      <c r="G8" s="48">
        <v>3.86</v>
      </c>
      <c r="H8" s="48">
        <v>3.62</v>
      </c>
      <c r="I8" s="48">
        <v>0.09</v>
      </c>
      <c r="J8" s="48">
        <v>1.0999999999999999E-2</v>
      </c>
      <c r="K8" s="48">
        <v>0.19</v>
      </c>
      <c r="L8" s="57">
        <v>0.61499999999999999</v>
      </c>
      <c r="M8" s="57">
        <v>6.8000000000000005E-2</v>
      </c>
      <c r="N8" s="48">
        <v>0.63400000000000001</v>
      </c>
      <c r="O8" s="48">
        <v>1E-3</v>
      </c>
      <c r="P8" s="48"/>
      <c r="Q8" s="48"/>
      <c r="R8" s="48"/>
      <c r="S8" s="48"/>
      <c r="T8" s="48"/>
    </row>
    <row r="9" spans="1:20" s="48" customFormat="1" x14ac:dyDescent="0.3">
      <c r="A9" s="56">
        <v>44327.461805555555</v>
      </c>
      <c r="B9" s="48" t="s">
        <v>17</v>
      </c>
      <c r="C9" s="48" t="s">
        <v>114</v>
      </c>
      <c r="D9" s="48">
        <v>6.69</v>
      </c>
      <c r="E9" s="48">
        <v>26.2</v>
      </c>
      <c r="F9" s="48">
        <v>0.21</v>
      </c>
      <c r="G9" s="48">
        <v>3.95</v>
      </c>
      <c r="H9" s="48">
        <v>3.61</v>
      </c>
      <c r="I9" s="48">
        <v>0.06</v>
      </c>
      <c r="J9" s="48">
        <v>5.0000000000000001E-3</v>
      </c>
      <c r="K9" s="48">
        <v>0.21</v>
      </c>
      <c r="L9" s="57">
        <v>0.68899999999999995</v>
      </c>
      <c r="M9" s="57">
        <v>0.06</v>
      </c>
      <c r="N9" s="48">
        <v>0.53500000000000003</v>
      </c>
      <c r="O9" s="48">
        <v>2E-3</v>
      </c>
    </row>
    <row r="10" spans="1:20" s="48" customFormat="1" x14ac:dyDescent="0.3">
      <c r="A10" s="56">
        <v>44335.509722222225</v>
      </c>
      <c r="B10" s="48" t="s">
        <v>17</v>
      </c>
      <c r="C10" s="48" t="s">
        <v>114</v>
      </c>
      <c r="D10" s="48">
        <v>6.72</v>
      </c>
      <c r="E10" s="48">
        <v>25.2</v>
      </c>
      <c r="F10" s="48">
        <v>0.17</v>
      </c>
      <c r="G10" s="48">
        <v>3.86</v>
      </c>
      <c r="H10" s="48">
        <v>3.6</v>
      </c>
      <c r="I10" s="48">
        <v>0.25</v>
      </c>
      <c r="J10" s="48">
        <v>8.0000000000000002E-3</v>
      </c>
      <c r="K10" s="48">
        <v>0.24</v>
      </c>
      <c r="L10" s="57">
        <v>0.70199999999999996</v>
      </c>
      <c r="M10" s="57">
        <v>7.0999999999999994E-2</v>
      </c>
      <c r="N10" s="48">
        <v>0.39300000000000002</v>
      </c>
      <c r="O10" s="48">
        <v>2.9000000000000001E-2</v>
      </c>
      <c r="P10" s="48">
        <v>0.123</v>
      </c>
      <c r="Q10" s="48">
        <v>-4</v>
      </c>
      <c r="R10" s="48">
        <v>0.05</v>
      </c>
      <c r="S10" s="48">
        <v>0.01</v>
      </c>
    </row>
    <row r="11" spans="1:20" s="48" customFormat="1" x14ac:dyDescent="0.3">
      <c r="A11" s="56">
        <v>44342.513888888891</v>
      </c>
      <c r="B11" s="48" t="s">
        <v>17</v>
      </c>
      <c r="C11" s="48" t="s">
        <v>114</v>
      </c>
      <c r="D11" s="48">
        <v>6.66</v>
      </c>
      <c r="E11" s="48">
        <v>28.1</v>
      </c>
      <c r="F11" s="48">
        <v>0.08</v>
      </c>
      <c r="G11" s="48">
        <v>3.83</v>
      </c>
      <c r="H11" s="48">
        <v>3.5</v>
      </c>
      <c r="I11" s="48">
        <v>7.0000000000000007E-2</v>
      </c>
      <c r="J11" s="48">
        <v>7.0000000000000001E-3</v>
      </c>
      <c r="K11" s="48">
        <v>0.24</v>
      </c>
      <c r="L11" s="57">
        <v>0.57099999999999995</v>
      </c>
      <c r="M11" s="57">
        <v>6.4000000000000001E-2</v>
      </c>
      <c r="N11" s="48">
        <v>0.30199999999999999</v>
      </c>
      <c r="O11" s="48">
        <v>0.01</v>
      </c>
      <c r="P11" s="48">
        <v>0.74099999999999999</v>
      </c>
      <c r="Q11" s="48">
        <v>-3</v>
      </c>
      <c r="R11" s="48">
        <v>0.01</v>
      </c>
      <c r="S11" s="48">
        <v>0</v>
      </c>
    </row>
    <row r="12" spans="1:20" s="48" customFormat="1" x14ac:dyDescent="0.3">
      <c r="A12" s="56">
        <v>44350.490277777775</v>
      </c>
      <c r="B12" s="48" t="s">
        <v>17</v>
      </c>
      <c r="C12" s="48" t="s">
        <v>114</v>
      </c>
      <c r="D12" s="48">
        <v>6.58</v>
      </c>
      <c r="E12" s="48">
        <v>29.6</v>
      </c>
      <c r="F12" s="48">
        <v>0.08</v>
      </c>
      <c r="G12" s="48">
        <v>3.64</v>
      </c>
      <c r="H12" s="48">
        <v>3.32</v>
      </c>
      <c r="I12" s="48">
        <v>0.56000000000000005</v>
      </c>
      <c r="J12" s="48">
        <v>8.0000000000000002E-3</v>
      </c>
      <c r="K12" s="48">
        <v>0.28000000000000003</v>
      </c>
      <c r="L12" s="56" t="e">
        <v>#N/A</v>
      </c>
      <c r="M12" s="56" t="e">
        <v>#N/A</v>
      </c>
      <c r="N12" s="56" t="e">
        <v>#N/A</v>
      </c>
      <c r="O12" s="56" t="e">
        <v>#N/A</v>
      </c>
      <c r="P12" s="48">
        <v>6.7000000000000004E-2</v>
      </c>
      <c r="Q12" s="48">
        <v>8</v>
      </c>
      <c r="R12" s="48">
        <v>0.03</v>
      </c>
      <c r="S12" s="48">
        <v>7.0000000000000007E-2</v>
      </c>
    </row>
    <row r="13" spans="1:20" s="48" customFormat="1" x14ac:dyDescent="0.3">
      <c r="A13" s="56">
        <v>44356.496527777781</v>
      </c>
      <c r="B13" s="48" t="s">
        <v>17</v>
      </c>
      <c r="C13" s="48" t="s">
        <v>114</v>
      </c>
      <c r="D13" s="48">
        <v>6.69</v>
      </c>
      <c r="E13" s="48">
        <v>28.6</v>
      </c>
      <c r="F13" s="48">
        <v>0.08</v>
      </c>
      <c r="G13" s="48">
        <v>4.08</v>
      </c>
      <c r="H13" s="48">
        <v>3.91</v>
      </c>
      <c r="I13" s="48">
        <v>0.14000000000000001</v>
      </c>
      <c r="J13" s="48">
        <v>8.0000000000000002E-3</v>
      </c>
      <c r="K13" s="48">
        <v>0.27</v>
      </c>
      <c r="L13" s="57">
        <v>0.70399999999999996</v>
      </c>
      <c r="M13" s="57">
        <v>0.70399999999999996</v>
      </c>
      <c r="N13" s="48">
        <v>0.95099999999999996</v>
      </c>
      <c r="O13" s="48">
        <v>-2E-3</v>
      </c>
      <c r="P13" s="48">
        <v>0.10199999999999999</v>
      </c>
      <c r="Q13" s="48">
        <v>24</v>
      </c>
      <c r="R13" s="48">
        <v>0.05</v>
      </c>
      <c r="S13" s="48">
        <v>0.12</v>
      </c>
    </row>
    <row r="14" spans="1:20" s="48" customFormat="1" x14ac:dyDescent="0.3">
      <c r="A14" s="56">
        <v>44363.482638888891</v>
      </c>
      <c r="B14" s="48" t="s">
        <v>17</v>
      </c>
      <c r="C14" s="48" t="s">
        <v>114</v>
      </c>
      <c r="D14" s="48">
        <v>6.79</v>
      </c>
      <c r="E14" s="48">
        <v>33.9</v>
      </c>
      <c r="F14" s="48">
        <v>3.82</v>
      </c>
      <c r="G14" s="48">
        <v>3.89</v>
      </c>
      <c r="H14" s="48">
        <v>0.01</v>
      </c>
      <c r="I14" s="48">
        <v>0.08</v>
      </c>
      <c r="J14" s="48">
        <v>7.0000000000000001E-3</v>
      </c>
      <c r="K14" s="48">
        <v>0.28000000000000003</v>
      </c>
      <c r="L14" s="58">
        <v>-3.2000000000000001E-2</v>
      </c>
      <c r="M14" s="58">
        <v>8.4000000000000005E-2</v>
      </c>
      <c r="N14" s="58">
        <v>1.0469999999999999</v>
      </c>
      <c r="O14" s="58">
        <v>1E-3</v>
      </c>
      <c r="P14" s="48">
        <v>0.09</v>
      </c>
      <c r="Q14" s="48">
        <v>0</v>
      </c>
      <c r="R14" s="48">
        <v>-0.34</v>
      </c>
      <c r="S14" s="48">
        <v>0</v>
      </c>
    </row>
    <row r="15" spans="1:20" s="48" customFormat="1" x14ac:dyDescent="0.3">
      <c r="A15" s="56">
        <v>44370.464583333334</v>
      </c>
      <c r="B15" s="48" t="s">
        <v>17</v>
      </c>
      <c r="C15" s="48" t="s">
        <v>114</v>
      </c>
      <c r="D15" s="48">
        <v>6.98</v>
      </c>
      <c r="E15" s="48">
        <v>28.3</v>
      </c>
      <c r="F15" s="48">
        <v>4.0599999999999996</v>
      </c>
      <c r="G15" s="48">
        <v>3.83</v>
      </c>
      <c r="H15" s="48">
        <v>0</v>
      </c>
      <c r="I15" s="48">
        <v>0.03</v>
      </c>
      <c r="J15" s="48">
        <v>8.0000000000000002E-3</v>
      </c>
      <c r="K15" s="48">
        <v>0.27</v>
      </c>
      <c r="L15" s="48">
        <v>-1.2999999999999999E-2</v>
      </c>
      <c r="M15" s="48">
        <v>8.4000000000000005E-2</v>
      </c>
      <c r="N15" s="48">
        <v>0.77200000000000002</v>
      </c>
      <c r="O15" s="48">
        <v>0</v>
      </c>
      <c r="P15" s="48">
        <v>9.2999999999999999E-2</v>
      </c>
      <c r="Q15" s="48">
        <v>0</v>
      </c>
      <c r="R15" s="48">
        <v>0</v>
      </c>
      <c r="S15" s="48">
        <v>0.02</v>
      </c>
    </row>
    <row r="16" spans="1:20" x14ac:dyDescent="0.3">
      <c r="A16" s="56">
        <v>44377.590277777781</v>
      </c>
      <c r="B16" s="48" t="s">
        <v>17</v>
      </c>
      <c r="C16" s="48" t="s">
        <v>114</v>
      </c>
      <c r="D16" s="48">
        <v>6.71</v>
      </c>
      <c r="E16" s="48">
        <v>30.2</v>
      </c>
      <c r="F16" s="48">
        <v>3.49</v>
      </c>
      <c r="G16" s="48">
        <v>3.46</v>
      </c>
      <c r="H16" s="48">
        <v>0.31</v>
      </c>
      <c r="I16" s="48">
        <v>0.26</v>
      </c>
      <c r="J16" s="48">
        <v>0</v>
      </c>
      <c r="K16" s="48">
        <v>0.24</v>
      </c>
      <c r="L16" s="48">
        <v>-6.0000000000000001E-3</v>
      </c>
      <c r="M16" s="48">
        <v>8.3000000000000004E-2</v>
      </c>
      <c r="N16" s="48">
        <v>0.66300000000000003</v>
      </c>
      <c r="O16" s="48">
        <v>1E-3</v>
      </c>
      <c r="P16" s="48">
        <v>7.5999999999999998E-2</v>
      </c>
      <c r="Q16" s="48">
        <v>8</v>
      </c>
      <c r="R16" s="48">
        <v>0.02</v>
      </c>
      <c r="S16" s="48">
        <v>0.03</v>
      </c>
      <c r="T16" s="48"/>
    </row>
    <row r="17" spans="1:20" x14ac:dyDescent="0.3">
      <c r="A17" s="56">
        <v>44385.506944444445</v>
      </c>
      <c r="B17" s="48" t="s">
        <v>17</v>
      </c>
      <c r="C17" s="48" t="s">
        <v>114</v>
      </c>
      <c r="D17" s="48">
        <v>6.71</v>
      </c>
      <c r="E17" s="48">
        <v>31.5</v>
      </c>
      <c r="F17" s="48">
        <v>3.67</v>
      </c>
      <c r="G17" s="48">
        <v>3.53</v>
      </c>
      <c r="H17" s="48">
        <v>0</v>
      </c>
      <c r="I17" s="48">
        <v>0.06</v>
      </c>
      <c r="J17" s="48">
        <v>7.0000000000000001E-3</v>
      </c>
      <c r="K17" s="48">
        <v>0.28999999999999998</v>
      </c>
      <c r="L17" s="48">
        <v>1.2E-2</v>
      </c>
      <c r="M17" s="48">
        <v>8.2000000000000003E-2</v>
      </c>
      <c r="N17" s="48">
        <v>0.50900000000000001</v>
      </c>
      <c r="O17" s="48">
        <v>1.7000000000000001E-2</v>
      </c>
      <c r="P17" s="48">
        <v>0.14399999999999999</v>
      </c>
      <c r="Q17" s="48">
        <v>33</v>
      </c>
      <c r="R17" s="48">
        <v>0.04</v>
      </c>
      <c r="S17" s="48">
        <v>0.01</v>
      </c>
      <c r="T17" s="48"/>
    </row>
    <row r="18" spans="1:20" x14ac:dyDescent="0.3">
      <c r="A18" s="56">
        <v>44391.461805555555</v>
      </c>
      <c r="B18" s="48" t="s">
        <v>17</v>
      </c>
      <c r="C18" s="48" t="s">
        <v>114</v>
      </c>
      <c r="D18" s="48">
        <v>6.11</v>
      </c>
      <c r="E18" s="48">
        <v>29.2</v>
      </c>
      <c r="F18" s="48">
        <v>3.82</v>
      </c>
      <c r="G18" s="48">
        <v>3.67</v>
      </c>
      <c r="H18" s="48">
        <v>0.02</v>
      </c>
      <c r="I18" s="48">
        <v>7.0000000000000007E-2</v>
      </c>
      <c r="J18" s="48">
        <v>7.0000000000000001E-3</v>
      </c>
      <c r="K18" s="48">
        <v>0.23</v>
      </c>
      <c r="L18" s="48"/>
      <c r="M18" s="48"/>
      <c r="N18" s="48"/>
      <c r="O18" s="48"/>
      <c r="P18" s="48">
        <v>7.0000000000000007E-2</v>
      </c>
      <c r="Q18" s="48">
        <v>8</v>
      </c>
      <c r="R18" s="48">
        <v>7.0000000000000007E-2</v>
      </c>
      <c r="S18" s="48">
        <v>0.19</v>
      </c>
      <c r="T18" s="48"/>
    </row>
    <row r="19" spans="1:20" x14ac:dyDescent="0.3">
      <c r="A19" s="56">
        <v>44398.569444444445</v>
      </c>
      <c r="B19" s="48" t="s">
        <v>17</v>
      </c>
      <c r="C19" s="48" t="s">
        <v>114</v>
      </c>
      <c r="D19" s="48">
        <v>6.77</v>
      </c>
      <c r="E19" s="48">
        <v>27.4</v>
      </c>
      <c r="F19" s="48">
        <v>3.92</v>
      </c>
      <c r="G19" s="48">
        <v>3.82</v>
      </c>
      <c r="H19" s="48">
        <v>0.01</v>
      </c>
      <c r="I19" s="48">
        <v>0.01</v>
      </c>
      <c r="J19" s="48">
        <v>6.0000000000000001E-3</v>
      </c>
      <c r="K19" s="48">
        <v>0.19</v>
      </c>
      <c r="L19" s="48"/>
      <c r="M19" s="48"/>
      <c r="N19" s="48"/>
      <c r="O19" s="48"/>
      <c r="P19" s="48">
        <v>0.14000000000000001</v>
      </c>
      <c r="Q19" s="48">
        <v>8</v>
      </c>
      <c r="R19" s="48">
        <v>0.05</v>
      </c>
      <c r="S19" s="48">
        <v>0.05</v>
      </c>
      <c r="T19" s="48"/>
    </row>
    <row r="20" spans="1:20" x14ac:dyDescent="0.3">
      <c r="A20" s="56">
        <v>44405.48541666667</v>
      </c>
      <c r="B20" s="48" t="s">
        <v>17</v>
      </c>
      <c r="C20" s="48" t="s">
        <v>114</v>
      </c>
      <c r="D20" s="48">
        <v>6.71</v>
      </c>
      <c r="E20" s="48">
        <v>31.9</v>
      </c>
      <c r="F20" s="48">
        <v>0.09</v>
      </c>
      <c r="G20" s="48">
        <v>4.0599999999999996</v>
      </c>
      <c r="H20" s="48">
        <v>3.49</v>
      </c>
      <c r="I20" s="48">
        <v>0.04</v>
      </c>
      <c r="J20" s="48">
        <v>7.0000000000000001E-3</v>
      </c>
      <c r="K20" s="48">
        <v>0.3</v>
      </c>
      <c r="L20" s="48"/>
      <c r="M20" s="48"/>
      <c r="N20" s="48"/>
      <c r="O20" s="48"/>
      <c r="P20" s="48"/>
      <c r="Q20" s="48"/>
      <c r="R20" s="48"/>
      <c r="S20" s="48"/>
      <c r="T20" s="48"/>
    </row>
    <row r="21" spans="1:20" x14ac:dyDescent="0.3">
      <c r="A21" s="56">
        <v>44412.534722222219</v>
      </c>
      <c r="B21" s="48" t="s">
        <v>17</v>
      </c>
      <c r="C21" s="48" t="s">
        <v>114</v>
      </c>
      <c r="D21" s="48">
        <v>6.76</v>
      </c>
      <c r="E21" s="48">
        <v>29.4</v>
      </c>
      <c r="F21" s="48">
        <v>0.15</v>
      </c>
      <c r="G21" s="48">
        <v>3.57</v>
      </c>
      <c r="H21" s="48">
        <v>3.53</v>
      </c>
      <c r="I21" s="48">
        <v>0.01</v>
      </c>
      <c r="J21" s="48">
        <v>8.0000000000000002E-3</v>
      </c>
      <c r="K21" s="48">
        <v>0.32</v>
      </c>
      <c r="L21" s="48"/>
      <c r="M21" s="48"/>
      <c r="N21" s="48"/>
      <c r="O21" s="48"/>
      <c r="P21" s="48">
        <v>4.7E-2</v>
      </c>
      <c r="Q21" s="48">
        <v>6</v>
      </c>
      <c r="R21" s="48">
        <v>0.04</v>
      </c>
      <c r="S21" s="48">
        <v>0.05</v>
      </c>
      <c r="T21" s="48"/>
    </row>
    <row r="22" spans="1:20" x14ac:dyDescent="0.3">
      <c r="A22" s="56">
        <v>44419.520833333336</v>
      </c>
      <c r="B22" s="48" t="s">
        <v>17</v>
      </c>
      <c r="C22" s="48" t="s">
        <v>114</v>
      </c>
      <c r="D22" s="48">
        <v>6.67</v>
      </c>
      <c r="E22" s="48">
        <v>30.2</v>
      </c>
      <c r="F22" s="48">
        <v>0.14000000000000001</v>
      </c>
      <c r="G22" s="48">
        <v>3.89</v>
      </c>
      <c r="H22" s="48">
        <v>3.26</v>
      </c>
      <c r="I22" s="48">
        <v>0.36</v>
      </c>
      <c r="J22" s="48">
        <v>8.9999999999999993E-3</v>
      </c>
      <c r="K22" s="48">
        <v>0.27</v>
      </c>
      <c r="L22" s="48"/>
      <c r="M22" s="48"/>
      <c r="N22" s="48"/>
      <c r="O22" s="48"/>
      <c r="P22" s="48">
        <v>0.59399999999999997</v>
      </c>
      <c r="Q22" s="48">
        <v>7</v>
      </c>
      <c r="R22" s="48">
        <v>0.04</v>
      </c>
      <c r="S22" s="48">
        <v>0.04</v>
      </c>
      <c r="T22" s="48"/>
    </row>
    <row r="23" spans="1:20" x14ac:dyDescent="0.3">
      <c r="A23" s="56">
        <v>44426.5625</v>
      </c>
      <c r="B23" s="48" t="s">
        <v>17</v>
      </c>
      <c r="C23" s="48" t="s">
        <v>114</v>
      </c>
      <c r="D23" s="48">
        <v>6.71</v>
      </c>
      <c r="E23" s="48">
        <v>32.799999999999997</v>
      </c>
      <c r="F23" s="48">
        <v>0.18</v>
      </c>
      <c r="G23" s="48">
        <v>3.82</v>
      </c>
      <c r="H23" s="48">
        <v>3.66</v>
      </c>
      <c r="I23" s="48">
        <v>0.03</v>
      </c>
      <c r="J23" s="48">
        <v>8.0000000000000002E-3</v>
      </c>
      <c r="K23" s="48">
        <v>0.28999999999999998</v>
      </c>
      <c r="L23" s="48"/>
      <c r="M23" s="48"/>
      <c r="N23" s="48"/>
      <c r="O23" s="48"/>
      <c r="P23" s="48">
        <v>0.154</v>
      </c>
      <c r="Q23" s="48">
        <v>2</v>
      </c>
      <c r="R23" s="48">
        <v>0.03</v>
      </c>
      <c r="S23" s="48">
        <v>0.03</v>
      </c>
      <c r="T23" s="48"/>
    </row>
    <row r="24" spans="1:20" x14ac:dyDescent="0.3">
      <c r="A24" s="56">
        <v>44433.473611111112</v>
      </c>
      <c r="B24" s="48" t="s">
        <v>17</v>
      </c>
      <c r="C24" s="48" t="s">
        <v>114</v>
      </c>
      <c r="D24" s="48">
        <v>6.84</v>
      </c>
      <c r="E24" s="48">
        <v>33.5</v>
      </c>
      <c r="F24" s="48">
        <v>0.21</v>
      </c>
      <c r="G24" s="48">
        <v>3.94</v>
      </c>
      <c r="H24" s="48">
        <v>3.94</v>
      </c>
      <c r="I24" s="48">
        <v>0</v>
      </c>
      <c r="J24" s="48">
        <v>7.0000000000000001E-3</v>
      </c>
      <c r="K24" s="48">
        <v>0.28999999999999998</v>
      </c>
      <c r="L24" s="48"/>
      <c r="M24" s="48"/>
      <c r="N24" s="48"/>
      <c r="O24" s="48"/>
      <c r="P24" s="48">
        <v>0.109</v>
      </c>
      <c r="Q24" s="48">
        <v>-3</v>
      </c>
      <c r="R24" s="48">
        <v>0.04</v>
      </c>
      <c r="S24" s="48">
        <v>0.09</v>
      </c>
      <c r="T24" s="48"/>
    </row>
    <row r="25" spans="1:20" s="48" customFormat="1" x14ac:dyDescent="0.3"/>
  </sheetData>
  <sheetProtection algorithmName="SHA-512" hashValue="uP9Zi8e7MHO0KhPKYjQ3ThLNjHxYYvDBNcZ8/IkODDwWfkgUL8cgF/ycOutCvjCSP1ngc3MGjNc92VRIHwWEug==" saltValue="uMC0HohpcIoqXh8nKuLZRg==" spinCount="100000" sheet="1" objects="1" scenarios="1"/>
  <mergeCells count="3">
    <mergeCell ref="E1:K1"/>
    <mergeCell ref="L1:O1"/>
    <mergeCell ref="P1:S1"/>
  </mergeCells>
  <pageMargins left="0.7" right="0.7" top="0.75" bottom="0.75" header="0.3" footer="0.3"/>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FFBA3-491B-42E2-9359-4BA88A04BED6}">
  <dimension ref="A1:T24"/>
  <sheetViews>
    <sheetView workbookViewId="0">
      <selection activeCell="G16" sqref="G16"/>
    </sheetView>
  </sheetViews>
  <sheetFormatPr defaultRowHeight="14.55" x14ac:dyDescent="0.3"/>
  <cols>
    <col min="1" max="1" width="14.77734375" bestFit="1" customWidth="1"/>
    <col min="2" max="2" width="16.21875" customWidth="1"/>
    <col min="3" max="3" width="17" bestFit="1" customWidth="1"/>
    <col min="5" max="5" width="18.77734375" bestFit="1" customWidth="1"/>
    <col min="6" max="6" width="21.77734375" bestFit="1" customWidth="1"/>
    <col min="7" max="7" width="15.77734375" bestFit="1" customWidth="1"/>
    <col min="8" max="8" width="18.77734375" bestFit="1" customWidth="1"/>
    <col min="9" max="9" width="16.44140625" bestFit="1" customWidth="1"/>
    <col min="11" max="11" width="18" bestFit="1" customWidth="1"/>
    <col min="12" max="19" width="18" customWidth="1"/>
    <col min="20" max="20" width="12.77734375" bestFit="1" customWidth="1"/>
  </cols>
  <sheetData>
    <row r="1" spans="1:20" x14ac:dyDescent="0.3">
      <c r="D1" s="49"/>
      <c r="E1" s="49"/>
      <c r="F1" s="1739" t="s">
        <v>92</v>
      </c>
      <c r="G1" s="1739"/>
      <c r="H1" s="1739"/>
      <c r="I1" s="1739"/>
      <c r="J1" s="1739"/>
      <c r="K1" s="1739"/>
      <c r="L1" s="1740" t="s">
        <v>93</v>
      </c>
      <c r="M1" s="1740"/>
      <c r="N1" s="1740"/>
      <c r="O1" s="1740"/>
      <c r="P1" s="1741" t="s">
        <v>94</v>
      </c>
      <c r="Q1" s="1741"/>
      <c r="R1" s="1741"/>
      <c r="S1" s="1741"/>
      <c r="T1" s="50"/>
    </row>
    <row r="2" spans="1:20" s="51" customFormat="1" ht="44.2" customHeight="1" x14ac:dyDescent="0.3">
      <c r="A2" s="51" t="s">
        <v>95</v>
      </c>
      <c r="B2" s="51" t="s">
        <v>96</v>
      </c>
      <c r="C2" s="51" t="s">
        <v>13</v>
      </c>
      <c r="D2" s="53" t="s">
        <v>97</v>
      </c>
      <c r="E2" s="53" t="s">
        <v>98</v>
      </c>
      <c r="F2" s="53" t="s">
        <v>99</v>
      </c>
      <c r="G2" s="53" t="s">
        <v>100</v>
      </c>
      <c r="H2" s="53" t="s">
        <v>101</v>
      </c>
      <c r="I2" s="53" t="s">
        <v>102</v>
      </c>
      <c r="J2" s="53" t="s">
        <v>103</v>
      </c>
      <c r="K2" s="53" t="s">
        <v>104</v>
      </c>
      <c r="L2" s="54" t="s">
        <v>105</v>
      </c>
      <c r="M2" s="54" t="s">
        <v>106</v>
      </c>
      <c r="N2" s="54" t="s">
        <v>107</v>
      </c>
      <c r="O2" s="54" t="s">
        <v>108</v>
      </c>
      <c r="P2" s="52" t="s">
        <v>109</v>
      </c>
      <c r="Q2" s="52" t="s">
        <v>110</v>
      </c>
      <c r="R2" s="52" t="s">
        <v>111</v>
      </c>
      <c r="S2" s="52" t="s">
        <v>112</v>
      </c>
      <c r="T2" s="51" t="s">
        <v>113</v>
      </c>
    </row>
    <row r="3" spans="1:20" x14ac:dyDescent="0.3">
      <c r="A3" s="55">
        <v>44294.486111111109</v>
      </c>
      <c r="B3" s="48" t="s">
        <v>86</v>
      </c>
      <c r="C3" s="48" t="s">
        <v>118</v>
      </c>
      <c r="D3" s="48">
        <v>6.27</v>
      </c>
      <c r="E3" s="48">
        <v>21.6</v>
      </c>
      <c r="F3" s="48">
        <v>0.09</v>
      </c>
      <c r="G3" s="48">
        <v>2.77</v>
      </c>
      <c r="H3" s="48">
        <v>2.27</v>
      </c>
      <c r="I3" s="48">
        <v>0.18</v>
      </c>
      <c r="J3" s="48">
        <v>4.0000000000000001E-3</v>
      </c>
      <c r="K3" s="48">
        <v>0.35</v>
      </c>
      <c r="L3" s="48"/>
      <c r="M3" s="48"/>
      <c r="N3" s="48"/>
      <c r="O3" s="48"/>
      <c r="P3" s="48"/>
      <c r="Q3" s="48"/>
      <c r="R3" s="48"/>
      <c r="S3" s="48"/>
      <c r="T3" s="48" t="s">
        <v>115</v>
      </c>
    </row>
    <row r="4" spans="1:20" x14ac:dyDescent="0.3">
      <c r="A4" s="55">
        <v>44294.486111111109</v>
      </c>
      <c r="B4" s="48" t="s">
        <v>86</v>
      </c>
      <c r="C4" s="48" t="s">
        <v>118</v>
      </c>
      <c r="D4" s="48">
        <v>6.24</v>
      </c>
      <c r="E4" s="48">
        <v>21.2</v>
      </c>
      <c r="F4" s="48">
        <v>0.15</v>
      </c>
      <c r="G4" s="48">
        <v>2.89</v>
      </c>
      <c r="H4" s="48">
        <v>2.15</v>
      </c>
      <c r="I4" s="48">
        <v>0.15</v>
      </c>
      <c r="J4" s="48">
        <v>6.0000000000000001E-3</v>
      </c>
      <c r="K4" s="48">
        <v>0.28999999999999998</v>
      </c>
      <c r="L4" s="48"/>
      <c r="M4" s="48"/>
      <c r="N4" s="48"/>
      <c r="O4" s="48"/>
      <c r="P4" s="48"/>
      <c r="Q4" s="48"/>
      <c r="R4" s="48"/>
      <c r="S4" s="48"/>
      <c r="T4" s="48"/>
    </row>
    <row r="5" spans="1:20" x14ac:dyDescent="0.3">
      <c r="A5" s="55">
        <v>44294.486111111109</v>
      </c>
      <c r="B5" s="48" t="s">
        <v>86</v>
      </c>
      <c r="C5" s="48" t="s">
        <v>118</v>
      </c>
      <c r="D5" s="48">
        <v>6.55</v>
      </c>
      <c r="E5" s="48">
        <v>23.3</v>
      </c>
      <c r="F5" s="48">
        <v>0.04</v>
      </c>
      <c r="G5" s="48">
        <v>2.61</v>
      </c>
      <c r="H5" s="48">
        <v>2.2000000000000002</v>
      </c>
      <c r="I5" s="48">
        <v>0.34</v>
      </c>
      <c r="J5" s="48">
        <v>5.0000000000000001E-3</v>
      </c>
      <c r="K5" s="48">
        <v>0.2</v>
      </c>
      <c r="L5" s="48"/>
      <c r="M5" s="48"/>
      <c r="N5" s="48"/>
      <c r="O5" s="48"/>
      <c r="P5" s="48"/>
      <c r="Q5" s="48"/>
      <c r="R5" s="48"/>
      <c r="S5" s="48"/>
      <c r="T5" s="48"/>
    </row>
    <row r="6" spans="1:20" x14ac:dyDescent="0.3">
      <c r="A6" s="56">
        <v>44306.40625</v>
      </c>
      <c r="B6" s="48" t="s">
        <v>86</v>
      </c>
      <c r="C6" s="48" t="s">
        <v>118</v>
      </c>
      <c r="D6" s="48">
        <v>6.24</v>
      </c>
      <c r="E6" s="48">
        <v>21.2</v>
      </c>
      <c r="F6" s="48">
        <v>0.15</v>
      </c>
      <c r="G6" s="48">
        <v>2.89</v>
      </c>
      <c r="H6" s="48">
        <v>2.15</v>
      </c>
      <c r="I6" s="48">
        <v>0.15</v>
      </c>
      <c r="J6" s="48">
        <v>6.0000000000000001E-3</v>
      </c>
      <c r="K6" s="48">
        <v>0.28999999999999998</v>
      </c>
      <c r="L6" s="57">
        <v>0.54900000000000004</v>
      </c>
      <c r="M6" s="57">
        <v>0.107</v>
      </c>
      <c r="N6" s="48">
        <v>0.54500000000000004</v>
      </c>
      <c r="O6" s="48">
        <v>4.0000000000000001E-3</v>
      </c>
      <c r="P6" s="48"/>
      <c r="Q6" s="48"/>
      <c r="R6" s="48"/>
      <c r="S6" s="48"/>
      <c r="T6" s="48"/>
    </row>
    <row r="7" spans="1:20" x14ac:dyDescent="0.3">
      <c r="A7" s="56">
        <v>44313.40625</v>
      </c>
      <c r="B7" s="48" t="s">
        <v>86</v>
      </c>
      <c r="C7" s="48" t="s">
        <v>118</v>
      </c>
      <c r="D7" s="48">
        <v>6.55</v>
      </c>
      <c r="E7" s="48">
        <v>23.3</v>
      </c>
      <c r="F7" s="48">
        <v>0.04</v>
      </c>
      <c r="G7" s="48">
        <v>2.61</v>
      </c>
      <c r="H7" s="48">
        <v>2.2000000000000002</v>
      </c>
      <c r="I7" s="48">
        <v>0.34</v>
      </c>
      <c r="J7" s="48">
        <v>5.0000000000000001E-3</v>
      </c>
      <c r="K7" s="48">
        <v>0.2</v>
      </c>
      <c r="L7" s="57">
        <v>0.628</v>
      </c>
      <c r="M7" s="57">
        <v>9.4E-2</v>
      </c>
      <c r="N7" s="48">
        <v>0.44800000000000001</v>
      </c>
      <c r="O7" s="48">
        <v>4.0000000000000001E-3</v>
      </c>
      <c r="P7" s="48"/>
      <c r="Q7" s="48"/>
      <c r="R7" s="48"/>
      <c r="S7" s="48"/>
      <c r="T7" s="48"/>
    </row>
    <row r="8" spans="1:20" x14ac:dyDescent="0.3">
      <c r="A8" s="56">
        <v>44320.409722222219</v>
      </c>
      <c r="B8" s="48" t="s">
        <v>86</v>
      </c>
      <c r="C8" s="48" t="s">
        <v>118</v>
      </c>
      <c r="D8" s="48">
        <v>6.43</v>
      </c>
      <c r="E8" s="48">
        <v>24.6</v>
      </c>
      <c r="F8" s="48">
        <v>0.08</v>
      </c>
      <c r="G8" s="48">
        <v>2.25</v>
      </c>
      <c r="H8" s="48">
        <v>2.0299999999999998</v>
      </c>
      <c r="I8" s="48">
        <v>0.18</v>
      </c>
      <c r="J8" s="48">
        <v>4.0000000000000001E-3</v>
      </c>
      <c r="K8" s="48">
        <v>0.28999999999999998</v>
      </c>
      <c r="L8" s="57">
        <v>0.52300000000000002</v>
      </c>
      <c r="M8" s="57">
        <v>0.114</v>
      </c>
      <c r="N8" s="48">
        <v>0.43099999999999999</v>
      </c>
      <c r="O8" s="48">
        <v>2E-3</v>
      </c>
      <c r="P8" s="48"/>
      <c r="Q8" s="48"/>
      <c r="R8" s="48"/>
      <c r="S8" s="48"/>
      <c r="T8" s="48"/>
    </row>
    <row r="9" spans="1:20" x14ac:dyDescent="0.3">
      <c r="A9" s="56">
        <v>44327.413194444445</v>
      </c>
      <c r="B9" s="48" t="s">
        <v>86</v>
      </c>
      <c r="C9" s="48" t="s">
        <v>118</v>
      </c>
      <c r="D9" s="48">
        <v>6.44</v>
      </c>
      <c r="E9" s="48">
        <v>25.1</v>
      </c>
      <c r="F9" s="48">
        <v>0.18</v>
      </c>
      <c r="G9" s="48">
        <v>2.34</v>
      </c>
      <c r="H9" s="48">
        <v>2.04</v>
      </c>
      <c r="I9" s="48">
        <v>0.13</v>
      </c>
      <c r="J9" s="48">
        <v>6.0000000000000001E-3</v>
      </c>
      <c r="K9" s="48">
        <v>0.28000000000000003</v>
      </c>
      <c r="L9" s="57">
        <v>0.58299999999999996</v>
      </c>
      <c r="M9" s="57">
        <v>0.1</v>
      </c>
      <c r="N9" s="48">
        <v>0.623</v>
      </c>
      <c r="O9" s="48">
        <v>1E-3</v>
      </c>
      <c r="P9" s="48"/>
      <c r="Q9" s="48"/>
      <c r="R9" s="48"/>
      <c r="S9" s="48"/>
      <c r="T9" s="48"/>
    </row>
    <row r="10" spans="1:20" x14ac:dyDescent="0.3">
      <c r="A10" s="56">
        <v>44335.388888888891</v>
      </c>
      <c r="B10" s="48" t="s">
        <v>86</v>
      </c>
      <c r="C10" s="48" t="s">
        <v>118</v>
      </c>
      <c r="D10" s="48">
        <v>6.62</v>
      </c>
      <c r="E10" s="48">
        <v>24.4</v>
      </c>
      <c r="F10" s="48">
        <v>0.17</v>
      </c>
      <c r="G10" s="48">
        <v>2.25</v>
      </c>
      <c r="H10" s="48">
        <v>1.99</v>
      </c>
      <c r="I10" s="48">
        <v>0.2</v>
      </c>
      <c r="J10" s="48">
        <v>5.0000000000000001E-3</v>
      </c>
      <c r="K10" s="48">
        <v>0.26</v>
      </c>
      <c r="L10" s="57">
        <v>0.53200000000000003</v>
      </c>
      <c r="M10" s="57">
        <v>0.10100000000000001</v>
      </c>
      <c r="N10" s="48">
        <v>0.42699999999999999</v>
      </c>
      <c r="O10" s="48">
        <v>2.9000000000000001E-2</v>
      </c>
      <c r="P10" s="48">
        <v>0.112</v>
      </c>
      <c r="Q10" s="48">
        <v>0</v>
      </c>
      <c r="R10" s="48">
        <v>0.01</v>
      </c>
      <c r="S10" s="48">
        <v>0.03</v>
      </c>
      <c r="T10" s="48"/>
    </row>
    <row r="11" spans="1:20" x14ac:dyDescent="0.3">
      <c r="A11" s="56">
        <v>44342.423611111109</v>
      </c>
      <c r="B11" s="48" t="s">
        <v>86</v>
      </c>
      <c r="C11" s="48" t="s">
        <v>118</v>
      </c>
      <c r="D11" s="48">
        <v>6.56</v>
      </c>
      <c r="E11" s="48">
        <v>25.8</v>
      </c>
      <c r="F11" s="48">
        <v>0.11</v>
      </c>
      <c r="G11" s="48">
        <v>2.72</v>
      </c>
      <c r="H11" s="48">
        <v>2.2799999999999998</v>
      </c>
      <c r="I11" s="48">
        <v>0.27</v>
      </c>
      <c r="J11" s="48">
        <v>5.0000000000000001E-3</v>
      </c>
      <c r="K11" s="48">
        <v>0.34</v>
      </c>
      <c r="L11" s="57">
        <v>0.54900000000000004</v>
      </c>
      <c r="M11" s="57">
        <v>9.8000000000000004E-2</v>
      </c>
      <c r="N11" s="48">
        <v>0.38100000000000001</v>
      </c>
      <c r="O11" s="48">
        <v>0.01</v>
      </c>
      <c r="P11" s="48">
        <v>0.72899999999999998</v>
      </c>
      <c r="Q11" s="48">
        <v>0</v>
      </c>
      <c r="R11" s="48">
        <v>0.01</v>
      </c>
      <c r="S11" s="48">
        <v>0.01</v>
      </c>
      <c r="T11" s="48"/>
    </row>
    <row r="12" spans="1:20" x14ac:dyDescent="0.3">
      <c r="A12" s="56">
        <v>44356.416666666664</v>
      </c>
      <c r="B12" s="48" t="s">
        <v>86</v>
      </c>
      <c r="C12" s="48" t="s">
        <v>118</v>
      </c>
      <c r="D12" s="48">
        <v>6.87</v>
      </c>
      <c r="E12" s="48">
        <v>26.4</v>
      </c>
      <c r="F12" s="48">
        <v>0.11</v>
      </c>
      <c r="G12" s="48">
        <v>2.42</v>
      </c>
      <c r="H12" s="48">
        <v>2.2799999999999998</v>
      </c>
      <c r="I12" s="48">
        <v>0.25</v>
      </c>
      <c r="J12" s="48">
        <v>7.0000000000000001E-3</v>
      </c>
      <c r="K12" s="48">
        <v>0.35</v>
      </c>
      <c r="L12" s="57">
        <v>0.59099999999999997</v>
      </c>
      <c r="M12" s="57">
        <v>0.59099999999999997</v>
      </c>
      <c r="N12" s="48">
        <v>1.0029999999999999</v>
      </c>
      <c r="O12" s="48">
        <v>1E-3</v>
      </c>
      <c r="P12" s="48">
        <v>0.109</v>
      </c>
      <c r="Q12" s="48">
        <v>7</v>
      </c>
      <c r="R12" s="48">
        <v>0.03</v>
      </c>
      <c r="S12" s="48">
        <v>0.02</v>
      </c>
      <c r="T12" s="48"/>
    </row>
    <row r="13" spans="1:20" x14ac:dyDescent="0.3">
      <c r="A13" s="56">
        <v>44370.385416666664</v>
      </c>
      <c r="B13" s="48" t="s">
        <v>86</v>
      </c>
      <c r="C13" s="48" t="s">
        <v>118</v>
      </c>
      <c r="D13" s="48">
        <v>6.92</v>
      </c>
      <c r="E13" s="48">
        <v>27.6</v>
      </c>
      <c r="F13" s="48">
        <v>3</v>
      </c>
      <c r="G13" s="48">
        <v>2.92</v>
      </c>
      <c r="H13" s="48">
        <v>0</v>
      </c>
      <c r="I13" s="48">
        <v>0</v>
      </c>
      <c r="J13" s="48">
        <v>7.0000000000000001E-3</v>
      </c>
      <c r="K13" s="48">
        <v>0.3</v>
      </c>
      <c r="L13" s="48">
        <v>-1.2999999999999999E-2</v>
      </c>
      <c r="M13" s="48">
        <v>0.128</v>
      </c>
      <c r="N13" s="48">
        <v>0.83699999999999997</v>
      </c>
      <c r="O13" s="48">
        <v>0</v>
      </c>
      <c r="P13" s="48">
        <v>4.5999999999999999E-2</v>
      </c>
      <c r="Q13" s="48">
        <v>0</v>
      </c>
      <c r="R13" s="48">
        <v>0</v>
      </c>
      <c r="S13" s="48">
        <v>0</v>
      </c>
      <c r="T13" s="48"/>
    </row>
    <row r="14" spans="1:20" x14ac:dyDescent="0.3">
      <c r="A14" s="56">
        <v>44377.423611111109</v>
      </c>
      <c r="B14" s="48" t="s">
        <v>86</v>
      </c>
      <c r="C14" s="48" t="s">
        <v>118</v>
      </c>
      <c r="D14" s="48">
        <v>7</v>
      </c>
      <c r="E14" s="48">
        <v>28.1</v>
      </c>
      <c r="F14" s="48">
        <v>2.78</v>
      </c>
      <c r="G14" s="48">
        <v>2.8</v>
      </c>
      <c r="H14" s="48">
        <v>0.01</v>
      </c>
      <c r="I14" s="48">
        <v>0.25</v>
      </c>
      <c r="J14" s="48">
        <v>0.1</v>
      </c>
      <c r="K14" s="48">
        <v>0.37</v>
      </c>
      <c r="L14" s="48">
        <v>-3.0000000000000001E-3</v>
      </c>
      <c r="M14" s="48">
        <v>0.121</v>
      </c>
      <c r="N14" s="48">
        <v>0.60099999999999998</v>
      </c>
      <c r="O14" s="48">
        <v>1E-3</v>
      </c>
      <c r="P14" s="48">
        <v>0.11700000000000001</v>
      </c>
      <c r="Q14" s="48">
        <v>7</v>
      </c>
      <c r="R14" s="48">
        <v>0</v>
      </c>
      <c r="S14" s="48">
        <v>0.02</v>
      </c>
      <c r="T14" s="48"/>
    </row>
    <row r="15" spans="1:20" x14ac:dyDescent="0.3">
      <c r="A15" s="56">
        <v>44385.427083333336</v>
      </c>
      <c r="B15" s="48" t="s">
        <v>86</v>
      </c>
      <c r="C15" s="48" t="s">
        <v>118</v>
      </c>
      <c r="D15" s="48">
        <v>6.88</v>
      </c>
      <c r="E15" s="48">
        <v>28.6</v>
      </c>
      <c r="F15" s="48">
        <v>2.67</v>
      </c>
      <c r="G15" s="48">
        <v>2.78</v>
      </c>
      <c r="H15" s="48">
        <v>0.03</v>
      </c>
      <c r="I15" s="48">
        <v>0.03</v>
      </c>
      <c r="J15" s="48">
        <v>5.0000000000000001E-3</v>
      </c>
      <c r="K15" s="48">
        <v>0.35</v>
      </c>
      <c r="L15" s="48">
        <v>8.0000000000000002E-3</v>
      </c>
      <c r="M15" s="48">
        <v>0.13200000000000001</v>
      </c>
      <c r="N15" s="48">
        <v>0.503</v>
      </c>
      <c r="O15" s="48">
        <v>1.6E-2</v>
      </c>
      <c r="P15" s="48">
        <v>0.17499999999999999</v>
      </c>
      <c r="Q15" s="48">
        <v>37</v>
      </c>
      <c r="R15" s="48">
        <v>0.02</v>
      </c>
      <c r="S15" s="48">
        <v>0.02</v>
      </c>
      <c r="T15" s="48"/>
    </row>
    <row r="16" spans="1:20" x14ac:dyDescent="0.3">
      <c r="A16" s="56">
        <v>44391.40625</v>
      </c>
      <c r="B16" s="48" t="s">
        <v>86</v>
      </c>
      <c r="C16" s="48" t="s">
        <v>118</v>
      </c>
      <c r="D16" s="48">
        <v>6.77</v>
      </c>
      <c r="E16" s="48">
        <v>28.6</v>
      </c>
      <c r="F16" s="48">
        <v>2.64</v>
      </c>
      <c r="G16" s="48">
        <v>2.81</v>
      </c>
      <c r="H16" s="48">
        <v>0.01</v>
      </c>
      <c r="I16" s="48">
        <v>0.03</v>
      </c>
      <c r="J16" s="48">
        <v>6.0000000000000001E-3</v>
      </c>
      <c r="K16" s="48">
        <v>0.42</v>
      </c>
      <c r="L16" s="48"/>
      <c r="M16" s="48"/>
      <c r="N16" s="48"/>
      <c r="O16" s="48"/>
      <c r="P16" s="48">
        <v>0.06</v>
      </c>
      <c r="Q16" s="48">
        <v>8</v>
      </c>
      <c r="R16" s="48">
        <v>0.03</v>
      </c>
      <c r="S16" s="48">
        <v>0.02</v>
      </c>
      <c r="T16" s="48"/>
    </row>
    <row r="17" spans="1:20" x14ac:dyDescent="0.3">
      <c r="A17" s="56">
        <v>44398.375</v>
      </c>
      <c r="B17" s="48" t="s">
        <v>86</v>
      </c>
      <c r="C17" s="48" t="s">
        <v>118</v>
      </c>
      <c r="D17" s="48">
        <v>6.71</v>
      </c>
      <c r="E17" s="48">
        <v>28.6</v>
      </c>
      <c r="F17" s="48">
        <v>2.78</v>
      </c>
      <c r="G17" s="48">
        <v>2.73</v>
      </c>
      <c r="H17" s="48">
        <v>0.03</v>
      </c>
      <c r="I17" s="48">
        <v>0.02</v>
      </c>
      <c r="J17" s="48">
        <v>6.0000000000000001E-3</v>
      </c>
      <c r="K17" s="48">
        <v>0.38</v>
      </c>
      <c r="L17" s="48"/>
      <c r="M17" s="48"/>
      <c r="N17" s="48"/>
      <c r="O17" s="48"/>
      <c r="P17" s="48">
        <v>0.20300000000000001</v>
      </c>
      <c r="Q17" s="48">
        <v>5</v>
      </c>
      <c r="R17" s="48">
        <v>0.02</v>
      </c>
      <c r="S17" s="48">
        <v>0.02</v>
      </c>
      <c r="T17" s="48"/>
    </row>
    <row r="18" spans="1:20" x14ac:dyDescent="0.3">
      <c r="A18" s="56">
        <v>44405.385416666664</v>
      </c>
      <c r="B18" s="48" t="s">
        <v>86</v>
      </c>
      <c r="C18" s="48" t="s">
        <v>118</v>
      </c>
      <c r="D18" s="48">
        <v>6.74</v>
      </c>
      <c r="E18" s="48">
        <v>29.7</v>
      </c>
      <c r="F18" s="48">
        <v>0.04</v>
      </c>
      <c r="G18" s="48">
        <v>0.04</v>
      </c>
      <c r="H18" s="48">
        <v>0.02</v>
      </c>
      <c r="I18" s="48">
        <v>0.02</v>
      </c>
      <c r="J18" s="48">
        <v>7.0000000000000001E-3</v>
      </c>
      <c r="K18" s="48">
        <v>0.48</v>
      </c>
      <c r="L18" s="48"/>
      <c r="M18" s="48"/>
      <c r="N18" s="48"/>
      <c r="O18" s="48"/>
      <c r="P18" s="48"/>
      <c r="Q18" s="48"/>
      <c r="R18" s="48"/>
      <c r="S18" s="48"/>
      <c r="T18" s="48"/>
    </row>
    <row r="19" spans="1:20" x14ac:dyDescent="0.3">
      <c r="A19" s="56">
        <v>44412.399305555555</v>
      </c>
      <c r="B19" s="48" t="s">
        <v>86</v>
      </c>
      <c r="C19" s="48" t="s">
        <v>118</v>
      </c>
      <c r="D19" s="48">
        <v>6.7</v>
      </c>
      <c r="E19" s="48">
        <v>29.7</v>
      </c>
      <c r="F19" s="48">
        <v>0.06</v>
      </c>
      <c r="G19" s="48">
        <v>2.48</v>
      </c>
      <c r="H19" s="48">
        <v>2.19</v>
      </c>
      <c r="I19" s="48">
        <v>0.19</v>
      </c>
      <c r="J19" s="48">
        <v>7.0000000000000001E-3</v>
      </c>
      <c r="K19" s="48">
        <v>0.43</v>
      </c>
      <c r="L19" s="48"/>
      <c r="M19" s="48"/>
      <c r="N19" s="48"/>
      <c r="O19" s="48"/>
      <c r="P19" s="48">
        <v>5.3999999999999999E-2</v>
      </c>
      <c r="Q19" s="48">
        <v>1</v>
      </c>
      <c r="R19" s="48">
        <v>0.05</v>
      </c>
      <c r="S19" s="48">
        <v>0.03</v>
      </c>
      <c r="T19" s="48"/>
    </row>
    <row r="20" spans="1:20" x14ac:dyDescent="0.3">
      <c r="A20" s="56">
        <v>44419.375</v>
      </c>
      <c r="B20" s="48" t="s">
        <v>86</v>
      </c>
      <c r="C20" s="48" t="s">
        <v>118</v>
      </c>
      <c r="D20" s="48">
        <v>6.68</v>
      </c>
      <c r="E20" s="48">
        <v>29.7</v>
      </c>
      <c r="F20" s="48">
        <v>0.1</v>
      </c>
      <c r="G20" s="48">
        <v>2.35</v>
      </c>
      <c r="H20" s="48">
        <v>2.0099999999999998</v>
      </c>
      <c r="I20" s="48">
        <v>0.18</v>
      </c>
      <c r="J20" s="48">
        <v>6.0000000000000001E-3</v>
      </c>
      <c r="K20" s="48">
        <v>0.32</v>
      </c>
      <c r="L20" s="48"/>
      <c r="M20" s="48"/>
      <c r="N20" s="48"/>
      <c r="O20" s="48"/>
      <c r="P20" s="48">
        <v>0.82399999999999995</v>
      </c>
      <c r="Q20" s="48">
        <v>4</v>
      </c>
      <c r="R20" s="48">
        <v>0.04</v>
      </c>
      <c r="S20" s="48">
        <v>0.03</v>
      </c>
      <c r="T20" s="48"/>
    </row>
    <row r="21" spans="1:20" x14ac:dyDescent="0.3">
      <c r="A21" s="56">
        <v>44426.392361111109</v>
      </c>
      <c r="B21" s="48" t="s">
        <v>86</v>
      </c>
      <c r="C21" s="48" t="s">
        <v>118</v>
      </c>
      <c r="D21" s="48">
        <v>6.78</v>
      </c>
      <c r="E21" s="48">
        <v>29.9</v>
      </c>
      <c r="F21" s="48">
        <v>7.0000000000000007E-2</v>
      </c>
      <c r="G21" s="48">
        <v>2.36</v>
      </c>
      <c r="H21" s="48">
        <v>1.96</v>
      </c>
      <c r="I21" s="48">
        <v>0.11</v>
      </c>
      <c r="J21" s="48">
        <v>2E-3</v>
      </c>
      <c r="K21" s="48">
        <v>0.4</v>
      </c>
      <c r="L21" s="48"/>
      <c r="M21" s="48"/>
      <c r="N21" s="48"/>
      <c r="O21" s="48"/>
      <c r="P21" s="48">
        <v>5.8999999999999997E-2</v>
      </c>
      <c r="Q21" s="48">
        <v>11</v>
      </c>
      <c r="R21" s="48">
        <v>0.05</v>
      </c>
      <c r="S21" s="48">
        <v>0.02</v>
      </c>
      <c r="T21" s="48"/>
    </row>
    <row r="22" spans="1:20" x14ac:dyDescent="0.3">
      <c r="A22" s="56">
        <v>44433.381944444445</v>
      </c>
      <c r="B22" s="48" t="s">
        <v>86</v>
      </c>
      <c r="C22" s="48" t="s">
        <v>118</v>
      </c>
      <c r="D22" s="48">
        <v>6.85</v>
      </c>
      <c r="E22" s="48">
        <v>29.6</v>
      </c>
      <c r="F22" s="48">
        <v>0.11</v>
      </c>
      <c r="G22" s="48">
        <v>1.21</v>
      </c>
      <c r="H22" s="48">
        <v>1.24</v>
      </c>
      <c r="I22" s="48">
        <v>0.16</v>
      </c>
      <c r="J22" s="48">
        <v>1E-3</v>
      </c>
      <c r="K22" s="48">
        <v>0.42</v>
      </c>
      <c r="L22" s="48"/>
      <c r="M22" s="48"/>
      <c r="N22" s="48"/>
      <c r="O22" s="48"/>
      <c r="P22" s="48">
        <v>0.311</v>
      </c>
      <c r="Q22" s="48">
        <v>6</v>
      </c>
      <c r="R22" s="48">
        <v>0.03</v>
      </c>
      <c r="S22" s="48">
        <v>0.03</v>
      </c>
      <c r="T22" s="48" t="s">
        <v>119</v>
      </c>
    </row>
    <row r="23" spans="1:20" x14ac:dyDescent="0.3">
      <c r="A23" s="48"/>
      <c r="B23" s="48"/>
      <c r="C23" s="48"/>
      <c r="D23" s="48"/>
      <c r="E23" s="48"/>
      <c r="F23" s="48"/>
      <c r="G23" s="48"/>
      <c r="H23" s="48"/>
      <c r="I23" s="48"/>
      <c r="J23" s="48"/>
      <c r="K23" s="48"/>
      <c r="L23" s="48"/>
      <c r="M23" s="48"/>
      <c r="N23" s="48"/>
      <c r="O23" s="48"/>
      <c r="P23" s="48"/>
      <c r="Q23" s="48"/>
      <c r="R23" s="48"/>
      <c r="S23" s="48"/>
      <c r="T23" s="48"/>
    </row>
    <row r="24" spans="1:20" x14ac:dyDescent="0.3">
      <c r="A24" s="48"/>
      <c r="B24" s="48"/>
      <c r="C24" s="48"/>
      <c r="D24" s="48"/>
      <c r="E24" s="48"/>
      <c r="F24" s="48"/>
      <c r="G24" s="48"/>
      <c r="H24" s="48"/>
      <c r="I24" s="48"/>
      <c r="J24" s="48"/>
      <c r="K24" s="48"/>
      <c r="L24" s="48"/>
      <c r="M24" s="48"/>
      <c r="N24" s="48"/>
      <c r="O24" s="48"/>
      <c r="P24" s="48"/>
      <c r="Q24" s="48"/>
      <c r="R24" s="48"/>
      <c r="S24" s="48"/>
      <c r="T24" s="48"/>
    </row>
  </sheetData>
  <sheetProtection algorithmName="SHA-512" hashValue="z3lXYt3g7ngplMt+/j1ByzKyYfVe1IcBZZ7uffu3dx4qFIMH3Diy3wNgcnT1JCp1Yl9fhmfoSLioiyMaJEmwvw==" saltValue="CM22dl1geMCPs6CYx0yqWg==" spinCount="100000" sheet="1" objects="1" scenarios="1"/>
  <mergeCells count="3">
    <mergeCell ref="F1:K1"/>
    <mergeCell ref="L1:O1"/>
    <mergeCell ref="P1:S1"/>
  </mergeCells>
  <pageMargins left="0.7" right="0.7" top="0.75" bottom="0.75" header="0.3" footer="0.3"/>
  <tableParts count="1">
    <tablePart r:id="rId1"/>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05F574-514E-4FAA-BC41-370D4F2C57DF}">
  <dimension ref="A1:T24"/>
  <sheetViews>
    <sheetView topLeftCell="A7" workbookViewId="0">
      <selection activeCell="H11" sqref="H11"/>
    </sheetView>
  </sheetViews>
  <sheetFormatPr defaultRowHeight="14.55" x14ac:dyDescent="0.3"/>
  <cols>
    <col min="1" max="1" width="14.77734375" bestFit="1" customWidth="1"/>
    <col min="2" max="2" width="9.77734375" customWidth="1"/>
    <col min="3" max="3" width="18.21875" bestFit="1" customWidth="1"/>
    <col min="4" max="4" width="13.77734375" bestFit="1" customWidth="1"/>
    <col min="5" max="5" width="18.77734375" bestFit="1" customWidth="1"/>
    <col min="6" max="6" width="21.77734375" bestFit="1" customWidth="1"/>
    <col min="7" max="7" width="15.77734375" bestFit="1" customWidth="1"/>
    <col min="8" max="8" width="18.77734375" bestFit="1" customWidth="1"/>
    <col min="9" max="9" width="16.44140625" bestFit="1" customWidth="1"/>
    <col min="11" max="11" width="18" bestFit="1" customWidth="1"/>
    <col min="12" max="19" width="18" customWidth="1"/>
    <col min="20" max="20" width="12.77734375" bestFit="1" customWidth="1"/>
  </cols>
  <sheetData>
    <row r="1" spans="1:20" x14ac:dyDescent="0.3">
      <c r="D1" s="49"/>
      <c r="E1" s="49"/>
      <c r="F1" s="1739" t="s">
        <v>92</v>
      </c>
      <c r="G1" s="1739"/>
      <c r="H1" s="1739"/>
      <c r="I1" s="1739"/>
      <c r="J1" s="1739"/>
      <c r="K1" s="1739"/>
      <c r="L1" s="1740" t="s">
        <v>93</v>
      </c>
      <c r="M1" s="1740"/>
      <c r="N1" s="1740"/>
      <c r="O1" s="1740"/>
      <c r="P1" s="1741" t="s">
        <v>94</v>
      </c>
      <c r="Q1" s="1741"/>
      <c r="R1" s="1741"/>
      <c r="S1" s="1741"/>
      <c r="T1" s="50"/>
    </row>
    <row r="2" spans="1:20" s="51" customFormat="1" ht="43" customHeight="1" x14ac:dyDescent="0.3">
      <c r="A2" s="51" t="s">
        <v>95</v>
      </c>
      <c r="B2" s="51" t="s">
        <v>96</v>
      </c>
      <c r="C2" s="51" t="s">
        <v>13</v>
      </c>
      <c r="D2" s="53" t="s">
        <v>97</v>
      </c>
      <c r="E2" s="53" t="s">
        <v>98</v>
      </c>
      <c r="F2" s="53" t="s">
        <v>99</v>
      </c>
      <c r="G2" s="53" t="s">
        <v>100</v>
      </c>
      <c r="H2" s="53" t="s">
        <v>101</v>
      </c>
      <c r="I2" s="53" t="s">
        <v>102</v>
      </c>
      <c r="J2" s="53" t="s">
        <v>103</v>
      </c>
      <c r="K2" s="53" t="s">
        <v>104</v>
      </c>
      <c r="L2" s="54" t="s">
        <v>105</v>
      </c>
      <c r="M2" s="54" t="s">
        <v>106</v>
      </c>
      <c r="N2" s="54" t="s">
        <v>107</v>
      </c>
      <c r="O2" s="54" t="s">
        <v>108</v>
      </c>
      <c r="P2" s="52" t="s">
        <v>109</v>
      </c>
      <c r="Q2" s="52" t="s">
        <v>110</v>
      </c>
      <c r="R2" s="52" t="s">
        <v>111</v>
      </c>
      <c r="S2" s="52" t="s">
        <v>112</v>
      </c>
      <c r="T2" s="51" t="s">
        <v>113</v>
      </c>
    </row>
    <row r="3" spans="1:20" x14ac:dyDescent="0.3">
      <c r="A3" s="55">
        <v>44294.486111111109</v>
      </c>
      <c r="B3" s="48" t="s">
        <v>85</v>
      </c>
      <c r="C3" s="48" t="s">
        <v>116</v>
      </c>
      <c r="D3" s="48">
        <v>6.32</v>
      </c>
      <c r="E3" s="48">
        <v>22</v>
      </c>
      <c r="F3" s="48">
        <v>0.06</v>
      </c>
      <c r="G3" s="48">
        <v>2.63</v>
      </c>
      <c r="H3" s="48">
        <v>1.99</v>
      </c>
      <c r="I3" s="48">
        <v>0.31</v>
      </c>
      <c r="J3" s="48">
        <v>5.0000000000000001E-3</v>
      </c>
      <c r="K3" s="48">
        <v>0.34</v>
      </c>
      <c r="L3" s="48"/>
      <c r="M3" s="48"/>
      <c r="N3" s="48"/>
      <c r="O3" s="48"/>
      <c r="P3" s="48"/>
      <c r="Q3" s="48"/>
      <c r="R3" s="48"/>
      <c r="S3" s="48"/>
      <c r="T3" s="48" t="s">
        <v>115</v>
      </c>
    </row>
    <row r="4" spans="1:20" x14ac:dyDescent="0.3">
      <c r="A4" s="55">
        <v>44294.486111111109</v>
      </c>
      <c r="B4" s="48" t="s">
        <v>85</v>
      </c>
      <c r="C4" s="48" t="s">
        <v>116</v>
      </c>
      <c r="D4" s="48">
        <v>6.66</v>
      </c>
      <c r="E4" s="48">
        <v>20.6</v>
      </c>
      <c r="F4" s="48">
        <v>2.77</v>
      </c>
      <c r="G4" s="48">
        <v>0.13</v>
      </c>
      <c r="H4" s="48">
        <v>1.83</v>
      </c>
      <c r="I4" s="48">
        <v>0.24</v>
      </c>
      <c r="J4" s="48">
        <v>5.0000000000000001E-3</v>
      </c>
      <c r="K4" s="48">
        <v>0.33</v>
      </c>
      <c r="L4" s="48"/>
      <c r="M4" s="48"/>
      <c r="N4" s="48"/>
      <c r="O4" s="48"/>
      <c r="P4" s="48"/>
      <c r="Q4" s="48"/>
      <c r="R4" s="48"/>
      <c r="S4" s="48"/>
      <c r="T4" s="48"/>
    </row>
    <row r="5" spans="1:20" x14ac:dyDescent="0.3">
      <c r="A5" s="55">
        <v>44294.486111111109</v>
      </c>
      <c r="B5" s="48" t="s">
        <v>85</v>
      </c>
      <c r="C5" s="48" t="s">
        <v>116</v>
      </c>
      <c r="D5" s="48">
        <v>6.31</v>
      </c>
      <c r="E5" s="48">
        <v>22</v>
      </c>
      <c r="F5" s="48">
        <v>0.21</v>
      </c>
      <c r="G5" s="48">
        <v>2.52</v>
      </c>
      <c r="H5" s="48">
        <v>1.88</v>
      </c>
      <c r="I5" s="48">
        <v>0.34</v>
      </c>
      <c r="J5" s="48">
        <v>6.0000000000000001E-3</v>
      </c>
      <c r="K5" s="48">
        <v>0.32</v>
      </c>
      <c r="L5" s="48"/>
      <c r="M5" s="48"/>
      <c r="N5" s="48"/>
      <c r="O5" s="48"/>
      <c r="P5" s="48"/>
      <c r="Q5" s="48"/>
      <c r="R5" s="48"/>
      <c r="S5" s="48"/>
      <c r="T5" s="48"/>
    </row>
    <row r="6" spans="1:20" x14ac:dyDescent="0.3">
      <c r="A6" s="56">
        <v>44306.409722222219</v>
      </c>
      <c r="B6" s="48" t="s">
        <v>85</v>
      </c>
      <c r="C6" s="48" t="s">
        <v>116</v>
      </c>
      <c r="D6" s="48">
        <v>6.66</v>
      </c>
      <c r="E6" s="48">
        <v>20.6</v>
      </c>
      <c r="F6" s="48">
        <v>2.77</v>
      </c>
      <c r="G6" s="48">
        <v>0.13</v>
      </c>
      <c r="H6" s="48">
        <v>1.83</v>
      </c>
      <c r="I6" s="48">
        <v>0.24</v>
      </c>
      <c r="J6" s="48">
        <v>5.0000000000000001E-3</v>
      </c>
      <c r="K6" s="48">
        <v>0.33</v>
      </c>
      <c r="L6" s="57">
        <v>0.57299999999999995</v>
      </c>
      <c r="M6" s="57">
        <v>0.10299999999999999</v>
      </c>
      <c r="N6" s="48">
        <v>0.59199999999999997</v>
      </c>
      <c r="O6" s="48">
        <v>7.0000000000000001E-3</v>
      </c>
      <c r="P6" s="48"/>
      <c r="Q6" s="48"/>
      <c r="R6" s="48"/>
      <c r="S6" s="48"/>
      <c r="T6" s="48"/>
    </row>
    <row r="7" spans="1:20" x14ac:dyDescent="0.3">
      <c r="A7" s="56">
        <v>44313.402777777781</v>
      </c>
      <c r="B7" s="48" t="s">
        <v>85</v>
      </c>
      <c r="C7" s="48" t="s">
        <v>116</v>
      </c>
      <c r="D7" s="48">
        <v>6.31</v>
      </c>
      <c r="E7" s="48">
        <v>22</v>
      </c>
      <c r="F7" s="48">
        <v>0.21</v>
      </c>
      <c r="G7" s="48">
        <v>2.52</v>
      </c>
      <c r="H7" s="48">
        <v>1.88</v>
      </c>
      <c r="I7" s="48">
        <v>0.34</v>
      </c>
      <c r="J7" s="48">
        <v>6.0000000000000001E-3</v>
      </c>
      <c r="K7" s="48">
        <v>0.32</v>
      </c>
      <c r="L7" s="57">
        <v>0.61</v>
      </c>
      <c r="M7" s="57">
        <v>9.2999999999999999E-2</v>
      </c>
      <c r="N7" s="48">
        <v>0.47699999999999998</v>
      </c>
      <c r="O7" s="48">
        <v>5.0000000000000001E-3</v>
      </c>
      <c r="P7" s="48"/>
      <c r="Q7" s="48"/>
      <c r="R7" s="48"/>
      <c r="S7" s="48"/>
      <c r="T7" s="48"/>
    </row>
    <row r="8" spans="1:20" x14ac:dyDescent="0.3">
      <c r="A8" s="56">
        <v>44320.413194444445</v>
      </c>
      <c r="B8" s="48" t="s">
        <v>85</v>
      </c>
      <c r="C8" s="48" t="s">
        <v>116</v>
      </c>
      <c r="D8" s="48">
        <v>6.43</v>
      </c>
      <c r="E8" s="48">
        <v>24.3</v>
      </c>
      <c r="F8" s="48">
        <v>0.08</v>
      </c>
      <c r="G8" s="48">
        <v>2.2200000000000002</v>
      </c>
      <c r="H8" s="48">
        <v>1.87</v>
      </c>
      <c r="I8" s="48">
        <v>0.22</v>
      </c>
      <c r="J8" s="48">
        <v>6.0000000000000001E-3</v>
      </c>
      <c r="K8" s="48">
        <v>0.32</v>
      </c>
      <c r="L8" s="57">
        <v>0.52700000000000002</v>
      </c>
      <c r="M8" s="57">
        <v>0.11700000000000001</v>
      </c>
      <c r="N8" s="48">
        <v>0.44800000000000001</v>
      </c>
      <c r="O8" s="48">
        <v>-1E-3</v>
      </c>
      <c r="P8" s="48"/>
      <c r="Q8" s="48"/>
      <c r="R8" s="48"/>
      <c r="S8" s="48"/>
      <c r="T8" s="48"/>
    </row>
    <row r="9" spans="1:20" x14ac:dyDescent="0.3">
      <c r="A9" s="56">
        <v>44327.409722222219</v>
      </c>
      <c r="B9" s="48" t="s">
        <v>85</v>
      </c>
      <c r="C9" s="48" t="s">
        <v>116</v>
      </c>
      <c r="D9" s="48">
        <v>6.65</v>
      </c>
      <c r="E9" s="48">
        <v>24.4</v>
      </c>
      <c r="F9" s="48">
        <v>0.09</v>
      </c>
      <c r="G9" s="48">
        <v>2.13</v>
      </c>
      <c r="H9" s="48">
        <v>1.78</v>
      </c>
      <c r="I9" s="48">
        <v>0.21</v>
      </c>
      <c r="J9" s="48">
        <v>7.0000000000000001E-3</v>
      </c>
      <c r="K9" s="48">
        <v>0.3</v>
      </c>
      <c r="L9" s="57">
        <v>0.54300000000000004</v>
      </c>
      <c r="M9" s="57">
        <v>9.2999999999999999E-2</v>
      </c>
      <c r="N9" s="48">
        <v>0.57799999999999996</v>
      </c>
      <c r="O9" s="48">
        <v>3.0000000000000001E-3</v>
      </c>
      <c r="P9" s="48"/>
      <c r="Q9" s="48"/>
      <c r="R9" s="48"/>
      <c r="S9" s="48"/>
      <c r="T9" s="48"/>
    </row>
    <row r="10" spans="1:20" x14ac:dyDescent="0.3">
      <c r="A10" s="56">
        <v>44335.385416666664</v>
      </c>
      <c r="B10" s="48" t="s">
        <v>85</v>
      </c>
      <c r="C10" s="48" t="s">
        <v>116</v>
      </c>
      <c r="D10" s="48">
        <v>6.53</v>
      </c>
      <c r="E10" s="48">
        <v>24.8</v>
      </c>
      <c r="F10" s="48">
        <v>0.11</v>
      </c>
      <c r="G10" s="48">
        <v>2.23</v>
      </c>
      <c r="H10" s="48">
        <v>1.77</v>
      </c>
      <c r="I10" s="48">
        <v>0.33</v>
      </c>
      <c r="J10" s="48">
        <v>5.0000000000000001E-3</v>
      </c>
      <c r="K10" s="48">
        <v>0.26</v>
      </c>
      <c r="L10" s="57">
        <v>0.52100000000000002</v>
      </c>
      <c r="M10" s="57">
        <v>0.106</v>
      </c>
      <c r="N10" s="48">
        <v>0.45200000000000001</v>
      </c>
      <c r="O10" s="48">
        <v>3.3000000000000002E-2</v>
      </c>
      <c r="P10" s="48">
        <v>8.8999999999999996E-2</v>
      </c>
      <c r="Q10" s="48">
        <v>0</v>
      </c>
      <c r="R10" s="48">
        <v>0</v>
      </c>
      <c r="S10" s="48">
        <v>0.02</v>
      </c>
      <c r="T10" s="48"/>
    </row>
    <row r="11" spans="1:20" x14ac:dyDescent="0.3">
      <c r="A11" s="56">
        <v>44342.420138888891</v>
      </c>
      <c r="B11" s="48" t="s">
        <v>85</v>
      </c>
      <c r="C11" s="48" t="s">
        <v>116</v>
      </c>
      <c r="D11" s="48">
        <v>6.62</v>
      </c>
      <c r="E11" s="48">
        <v>25.3</v>
      </c>
      <c r="F11" s="48">
        <v>0.09</v>
      </c>
      <c r="G11" s="48">
        <v>23.4</v>
      </c>
      <c r="H11" s="48">
        <v>1.72</v>
      </c>
      <c r="I11" s="48">
        <v>0.25</v>
      </c>
      <c r="J11" s="48">
        <v>5.0000000000000001E-3</v>
      </c>
      <c r="K11" s="48">
        <v>0.35</v>
      </c>
      <c r="L11" s="57">
        <v>0.50700000000000001</v>
      </c>
      <c r="M11" s="57">
        <v>9.8000000000000004E-2</v>
      </c>
      <c r="N11" s="48">
        <v>0.433</v>
      </c>
      <c r="O11" s="48">
        <v>1.0999999999999999E-2</v>
      </c>
      <c r="P11" s="48"/>
      <c r="Q11" s="48"/>
      <c r="R11" s="48"/>
      <c r="S11" s="48"/>
      <c r="T11" s="48"/>
    </row>
    <row r="12" spans="1:20" x14ac:dyDescent="0.3">
      <c r="A12" s="56">
        <v>44356.413194444445</v>
      </c>
      <c r="B12" s="48" t="s">
        <v>85</v>
      </c>
      <c r="C12" s="48" t="s">
        <v>116</v>
      </c>
      <c r="D12" s="48">
        <v>7.2</v>
      </c>
      <c r="E12" s="48">
        <v>25.2</v>
      </c>
      <c r="F12" s="48">
        <v>0.09</v>
      </c>
      <c r="G12" s="48">
        <v>2.2599999999999998</v>
      </c>
      <c r="H12" s="48">
        <v>1.82</v>
      </c>
      <c r="I12" s="48">
        <v>0.14000000000000001</v>
      </c>
      <c r="J12" s="48">
        <v>1E-3</v>
      </c>
      <c r="K12" s="48">
        <v>0.36</v>
      </c>
      <c r="L12" s="57">
        <v>0.55200000000000005</v>
      </c>
      <c r="M12" s="57">
        <v>0.55200000000000005</v>
      </c>
      <c r="N12" s="48">
        <v>0.94199999999999995</v>
      </c>
      <c r="O12" s="48">
        <v>-1E-3</v>
      </c>
      <c r="P12" s="48">
        <v>0.432</v>
      </c>
      <c r="Q12" s="48">
        <v>0</v>
      </c>
      <c r="R12" s="48">
        <v>0.02</v>
      </c>
      <c r="S12" s="48">
        <v>0.06</v>
      </c>
      <c r="T12" s="48"/>
    </row>
    <row r="13" spans="1:20" x14ac:dyDescent="0.3">
      <c r="A13" s="56">
        <v>44370.381944444445</v>
      </c>
      <c r="B13" s="48" t="s">
        <v>85</v>
      </c>
      <c r="C13" s="48" t="s">
        <v>116</v>
      </c>
      <c r="D13" s="48">
        <v>6.97</v>
      </c>
      <c r="E13" s="48">
        <v>26.6</v>
      </c>
      <c r="F13" s="48">
        <v>2.68</v>
      </c>
      <c r="G13" s="48">
        <v>2.74</v>
      </c>
      <c r="H13" s="48">
        <v>0</v>
      </c>
      <c r="I13" s="48">
        <v>0.03</v>
      </c>
      <c r="J13" s="48">
        <v>6.0000000000000001E-3</v>
      </c>
      <c r="K13" s="48">
        <v>0.32</v>
      </c>
      <c r="L13" s="48">
        <v>-1.2999999999999999E-2</v>
      </c>
      <c r="M13" s="48">
        <v>0.126</v>
      </c>
      <c r="N13" s="48">
        <v>0.84299999999999997</v>
      </c>
      <c r="O13" s="48">
        <v>0</v>
      </c>
      <c r="P13" s="48">
        <v>0.312</v>
      </c>
      <c r="Q13" s="48">
        <v>0</v>
      </c>
      <c r="R13" s="48">
        <v>0</v>
      </c>
      <c r="S13" s="48">
        <v>0</v>
      </c>
      <c r="T13" s="48"/>
    </row>
    <row r="14" spans="1:20" x14ac:dyDescent="0.3">
      <c r="A14" s="56">
        <v>44377.40625</v>
      </c>
      <c r="B14" s="48" t="s">
        <v>85</v>
      </c>
      <c r="C14" s="48" t="s">
        <v>116</v>
      </c>
      <c r="D14" s="48">
        <v>6.63</v>
      </c>
      <c r="E14" s="48">
        <v>27.4</v>
      </c>
      <c r="F14" s="48">
        <v>2.52</v>
      </c>
      <c r="G14" s="48">
        <v>2.5499999999999998</v>
      </c>
      <c r="H14" s="48">
        <v>0.01</v>
      </c>
      <c r="I14" s="48">
        <v>0.21</v>
      </c>
      <c r="J14" s="48">
        <v>7.0000000000000001E-3</v>
      </c>
      <c r="K14" s="48">
        <v>0.37</v>
      </c>
      <c r="L14" s="48">
        <v>-6.0000000000000001E-3</v>
      </c>
      <c r="M14" s="48">
        <v>0.124</v>
      </c>
      <c r="N14" s="48">
        <v>0.622</v>
      </c>
      <c r="O14" s="48">
        <v>1E-3</v>
      </c>
      <c r="P14" s="48">
        <v>9.6000000000000002E-2</v>
      </c>
      <c r="Q14" s="48">
        <v>4</v>
      </c>
      <c r="R14" s="48">
        <v>0.04</v>
      </c>
      <c r="S14" s="48">
        <v>0.01</v>
      </c>
      <c r="T14" s="48"/>
    </row>
    <row r="15" spans="1:20" x14ac:dyDescent="0.3">
      <c r="A15" s="56">
        <v>44385.430555555555</v>
      </c>
      <c r="B15" s="48" t="s">
        <v>85</v>
      </c>
      <c r="C15" s="48" t="s">
        <v>116</v>
      </c>
      <c r="D15" s="48">
        <v>7.09</v>
      </c>
      <c r="E15" s="48">
        <v>27.2</v>
      </c>
      <c r="F15" s="48">
        <v>2.35</v>
      </c>
      <c r="G15" s="48">
        <v>2.56</v>
      </c>
      <c r="H15" s="48">
        <v>0</v>
      </c>
      <c r="I15" s="48">
        <v>0.03</v>
      </c>
      <c r="J15" s="48">
        <v>7.0000000000000001E-3</v>
      </c>
      <c r="K15" s="48">
        <v>0.41</v>
      </c>
      <c r="L15" s="48">
        <v>6.0000000000000001E-3</v>
      </c>
      <c r="M15" s="48">
        <v>0.13</v>
      </c>
      <c r="N15" s="48">
        <v>0.439</v>
      </c>
      <c r="O15" s="48">
        <v>1.4999999999999999E-2</v>
      </c>
      <c r="P15" s="48">
        <v>8.6999999999999994E-2</v>
      </c>
      <c r="Q15" s="48">
        <v>6</v>
      </c>
      <c r="R15" s="48">
        <v>0.02</v>
      </c>
      <c r="S15" s="48">
        <v>0.03</v>
      </c>
      <c r="T15" s="48"/>
    </row>
    <row r="16" spans="1:20" x14ac:dyDescent="0.3">
      <c r="A16" s="56">
        <v>44391.409722222219</v>
      </c>
      <c r="B16" s="48" t="s">
        <v>85</v>
      </c>
      <c r="C16" s="48" t="s">
        <v>116</v>
      </c>
      <c r="D16" s="48">
        <v>6.67</v>
      </c>
      <c r="E16" s="48">
        <v>27.6</v>
      </c>
      <c r="F16" s="48">
        <v>2.52</v>
      </c>
      <c r="G16" s="48">
        <v>2.73</v>
      </c>
      <c r="H16" s="48">
        <v>0.02</v>
      </c>
      <c r="I16" s="48">
        <v>0.22</v>
      </c>
      <c r="J16" s="48">
        <v>6.0000000000000001E-3</v>
      </c>
      <c r="K16" s="48">
        <v>0.38</v>
      </c>
      <c r="L16" s="48"/>
      <c r="M16" s="48"/>
      <c r="N16" s="48"/>
      <c r="O16" s="48"/>
      <c r="P16" s="48">
        <v>6.8000000000000005E-2</v>
      </c>
      <c r="Q16" s="48">
        <v>7</v>
      </c>
      <c r="R16" s="48">
        <v>0.01</v>
      </c>
      <c r="S16" s="48">
        <v>0.02</v>
      </c>
      <c r="T16" s="48"/>
    </row>
    <row r="17" spans="1:20" x14ac:dyDescent="0.3">
      <c r="A17" s="56">
        <v>44398.381944444445</v>
      </c>
      <c r="B17" s="48" t="s">
        <v>85</v>
      </c>
      <c r="C17" s="48" t="s">
        <v>116</v>
      </c>
      <c r="D17" s="48">
        <v>6.57</v>
      </c>
      <c r="E17" s="48">
        <v>27.7</v>
      </c>
      <c r="F17" s="48">
        <v>2.39</v>
      </c>
      <c r="G17" s="48">
        <v>2.4300000000000002</v>
      </c>
      <c r="H17" s="48">
        <v>0</v>
      </c>
      <c r="I17" s="48">
        <v>0.03</v>
      </c>
      <c r="J17" s="48">
        <v>5.0000000000000001E-3</v>
      </c>
      <c r="K17" s="48">
        <v>0.4</v>
      </c>
      <c r="L17" s="48"/>
      <c r="M17" s="48"/>
      <c r="N17" s="48"/>
      <c r="O17" s="48"/>
      <c r="P17" s="48">
        <v>0.13600000000000001</v>
      </c>
      <c r="Q17" s="48">
        <v>2</v>
      </c>
      <c r="R17" s="48">
        <v>0.06</v>
      </c>
      <c r="S17" s="48">
        <v>0.06</v>
      </c>
      <c r="T17" s="48"/>
    </row>
    <row r="18" spans="1:20" x14ac:dyDescent="0.3">
      <c r="A18" s="56">
        <v>44405.388888888891</v>
      </c>
      <c r="B18" s="48" t="s">
        <v>85</v>
      </c>
      <c r="C18" s="48" t="s">
        <v>116</v>
      </c>
      <c r="D18" s="48">
        <v>7</v>
      </c>
      <c r="E18" s="48">
        <v>28.6</v>
      </c>
      <c r="F18" s="48">
        <v>0.05</v>
      </c>
      <c r="G18" s="48">
        <v>1.02</v>
      </c>
      <c r="H18" s="48">
        <v>0.84</v>
      </c>
      <c r="I18" s="48">
        <v>0.16</v>
      </c>
      <c r="J18" s="48">
        <v>7.0000000000000001E-3</v>
      </c>
      <c r="K18" s="48">
        <v>0.47</v>
      </c>
      <c r="L18" s="48"/>
      <c r="M18" s="48"/>
      <c r="N18" s="48"/>
      <c r="O18" s="48"/>
      <c r="P18" s="48"/>
      <c r="Q18" s="48"/>
      <c r="R18" s="48"/>
      <c r="S18" s="48"/>
      <c r="T18" s="48"/>
    </row>
    <row r="19" spans="1:20" x14ac:dyDescent="0.3">
      <c r="A19" s="56">
        <v>44412.402777777781</v>
      </c>
      <c r="B19" s="48" t="s">
        <v>85</v>
      </c>
      <c r="C19" s="48" t="s">
        <v>116</v>
      </c>
      <c r="D19" s="48">
        <v>7.07</v>
      </c>
      <c r="E19" s="48">
        <v>28.2</v>
      </c>
      <c r="F19" s="48">
        <v>0.1</v>
      </c>
      <c r="G19" s="48">
        <v>1.91</v>
      </c>
      <c r="H19" s="48">
        <v>1.69</v>
      </c>
      <c r="I19" s="48">
        <v>0.25</v>
      </c>
      <c r="J19" s="48">
        <v>5.0000000000000001E-3</v>
      </c>
      <c r="K19" s="48">
        <v>0.4</v>
      </c>
      <c r="L19" s="48"/>
      <c r="M19" s="48"/>
      <c r="N19" s="48"/>
      <c r="O19" s="48"/>
      <c r="P19" s="48">
        <v>5.1999999999999998E-2</v>
      </c>
      <c r="Q19" s="48">
        <v>7</v>
      </c>
      <c r="R19" s="48">
        <v>0.03</v>
      </c>
      <c r="S19" s="48">
        <v>0.06</v>
      </c>
      <c r="T19" s="48"/>
    </row>
    <row r="20" spans="1:20" x14ac:dyDescent="0.3">
      <c r="A20" s="56">
        <v>44419.381944444445</v>
      </c>
      <c r="B20" s="48" t="s">
        <v>85</v>
      </c>
      <c r="C20" s="48" t="s">
        <v>116</v>
      </c>
      <c r="D20" s="48">
        <v>7.09</v>
      </c>
      <c r="E20" s="48" t="s">
        <v>117</v>
      </c>
      <c r="F20" s="48">
        <v>0.11</v>
      </c>
      <c r="G20" s="48">
        <v>1.82</v>
      </c>
      <c r="H20" s="48">
        <v>1.59</v>
      </c>
      <c r="I20" s="48">
        <v>0.18</v>
      </c>
      <c r="J20" s="48">
        <v>6.0000000000000001E-3</v>
      </c>
      <c r="K20" s="48">
        <v>0.44</v>
      </c>
      <c r="L20" s="48"/>
      <c r="M20" s="48"/>
      <c r="N20" s="48"/>
      <c r="O20" s="48"/>
      <c r="P20" s="48">
        <v>0.67500000000000004</v>
      </c>
      <c r="Q20" s="48">
        <v>0</v>
      </c>
      <c r="R20" s="48">
        <v>0.05</v>
      </c>
      <c r="S20" s="48">
        <v>0.03</v>
      </c>
      <c r="T20" s="48"/>
    </row>
    <row r="21" spans="1:20" x14ac:dyDescent="0.3">
      <c r="A21" s="56">
        <v>44426.395833333336</v>
      </c>
      <c r="B21" s="48" t="s">
        <v>85</v>
      </c>
      <c r="C21" s="48" t="s">
        <v>116</v>
      </c>
      <c r="D21" s="48">
        <v>6.7</v>
      </c>
      <c r="E21" s="48">
        <v>28.6</v>
      </c>
      <c r="F21" s="48">
        <v>0.09</v>
      </c>
      <c r="G21" s="48">
        <v>1.8</v>
      </c>
      <c r="H21" s="48">
        <v>1.61</v>
      </c>
      <c r="I21" s="48">
        <v>0.18</v>
      </c>
      <c r="J21" s="48">
        <v>5.0000000000000001E-3</v>
      </c>
      <c r="K21" s="48">
        <v>0.38</v>
      </c>
      <c r="L21" s="48"/>
      <c r="M21" s="48"/>
      <c r="N21" s="48"/>
      <c r="O21" s="48"/>
      <c r="P21" s="48">
        <v>0.06</v>
      </c>
      <c r="Q21" s="48">
        <v>11</v>
      </c>
      <c r="R21" s="48">
        <v>7.0000000000000007E-2</v>
      </c>
      <c r="S21" s="48">
        <v>0.02</v>
      </c>
      <c r="T21" s="48"/>
    </row>
    <row r="22" spans="1:20" x14ac:dyDescent="0.3">
      <c r="A22" s="56">
        <v>44433.378472222219</v>
      </c>
      <c r="B22" s="48" t="s">
        <v>85</v>
      </c>
      <c r="C22" s="48" t="s">
        <v>116</v>
      </c>
      <c r="D22" s="48">
        <v>6.7</v>
      </c>
      <c r="E22" s="48">
        <v>30.4</v>
      </c>
      <c r="F22" s="48">
        <v>0.08</v>
      </c>
      <c r="G22" s="48">
        <v>1.19</v>
      </c>
      <c r="H22" s="48">
        <v>1.21</v>
      </c>
      <c r="I22" s="48">
        <v>0.21</v>
      </c>
      <c r="J22" s="48">
        <v>7.0000000000000001E-3</v>
      </c>
      <c r="K22" s="48">
        <v>0.38</v>
      </c>
      <c r="L22" s="48"/>
      <c r="M22" s="48"/>
      <c r="N22" s="48"/>
      <c r="O22" s="48"/>
      <c r="P22" s="48">
        <v>0.16900000000000001</v>
      </c>
      <c r="Q22" s="48">
        <v>12</v>
      </c>
      <c r="R22" s="48">
        <v>0.14000000000000001</v>
      </c>
      <c r="S22" s="48">
        <v>0.03</v>
      </c>
      <c r="T22" s="48"/>
    </row>
    <row r="23" spans="1:20" x14ac:dyDescent="0.3">
      <c r="A23" s="48"/>
      <c r="B23" s="48"/>
      <c r="C23" s="48"/>
      <c r="D23" s="48"/>
      <c r="E23" s="48"/>
      <c r="F23" s="48"/>
      <c r="G23" s="48"/>
      <c r="H23" s="48"/>
      <c r="I23" s="48"/>
      <c r="J23" s="48"/>
      <c r="K23" s="48"/>
      <c r="L23" s="48"/>
      <c r="M23" s="48"/>
      <c r="N23" s="48"/>
      <c r="O23" s="48"/>
      <c r="P23" s="48"/>
      <c r="Q23" s="48"/>
      <c r="R23" s="48"/>
      <c r="S23" s="48"/>
      <c r="T23" s="48"/>
    </row>
    <row r="24" spans="1:20" x14ac:dyDescent="0.3">
      <c r="A24" s="48"/>
      <c r="B24" s="48"/>
      <c r="C24" s="48"/>
      <c r="D24" s="48"/>
      <c r="E24" s="48"/>
      <c r="F24" s="48"/>
      <c r="G24" s="48"/>
      <c r="H24" s="48"/>
      <c r="I24" s="48"/>
      <c r="J24" s="48"/>
      <c r="K24" s="48"/>
      <c r="L24" s="48"/>
      <c r="M24" s="48"/>
      <c r="N24" s="48"/>
      <c r="O24" s="48"/>
      <c r="P24" s="48"/>
      <c r="Q24" s="48"/>
      <c r="R24" s="48"/>
      <c r="S24" s="48"/>
      <c r="T24" s="48"/>
    </row>
  </sheetData>
  <sheetProtection algorithmName="SHA-512" hashValue="k2qZ2v+zzZ/VHZKI26BGkZ52wOLR5ooFrx49msEn1bGJYoGEjIx3MAFhRRGcsvEHjVgKEn14NTy+baKCEEQcYw==" saltValue="5Bx5zHa4GYZTCJ1HS+iByw==" spinCount="100000" sheet="1" objects="1" scenarios="1"/>
  <mergeCells count="3">
    <mergeCell ref="F1:K1"/>
    <mergeCell ref="L1:O1"/>
    <mergeCell ref="P1:S1"/>
  </mergeCells>
  <pageMargins left="0.7" right="0.7" top="0.75" bottom="0.75" header="0.3" footer="0.3"/>
  <tableParts count="1">
    <tablePart r:id="rId1"/>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DA163-1C74-496B-BC29-60DB0474A45D}">
  <dimension ref="A1:T23"/>
  <sheetViews>
    <sheetView workbookViewId="0">
      <selection activeCell="F12" sqref="F12"/>
    </sheetView>
  </sheetViews>
  <sheetFormatPr defaultColWidth="9.21875" defaultRowHeight="14.55" x14ac:dyDescent="0.3"/>
  <cols>
    <col min="1" max="1" width="20" style="48" bestFit="1" customWidth="1"/>
    <col min="2" max="2" width="14.44140625" style="48" bestFit="1" customWidth="1"/>
    <col min="3" max="3" width="26.21875" style="48" bestFit="1" customWidth="1"/>
    <col min="4" max="4" width="9.21875" style="48"/>
    <col min="5" max="5" width="18.77734375" style="48" bestFit="1" customWidth="1"/>
    <col min="6" max="6" width="21.77734375" style="48" bestFit="1" customWidth="1"/>
    <col min="7" max="7" width="15.77734375" style="48" bestFit="1" customWidth="1"/>
    <col min="8" max="8" width="21" style="48" bestFit="1" customWidth="1"/>
    <col min="9" max="9" width="18.77734375" style="48" bestFit="1" customWidth="1"/>
    <col min="10" max="10" width="11.44140625" style="48" bestFit="1" customWidth="1"/>
    <col min="11" max="11" width="18" style="48" bestFit="1" customWidth="1"/>
    <col min="12" max="19" width="18" style="48" customWidth="1"/>
    <col min="20" max="20" width="12.77734375" style="48" bestFit="1" customWidth="1"/>
    <col min="21" max="16384" width="9.21875" style="48"/>
  </cols>
  <sheetData>
    <row r="1" spans="1:20" x14ac:dyDescent="0.3">
      <c r="D1" s="46"/>
      <c r="E1" s="46"/>
      <c r="F1" s="1739" t="s">
        <v>92</v>
      </c>
      <c r="G1" s="1739"/>
      <c r="H1" s="1739"/>
      <c r="I1" s="1739"/>
      <c r="J1" s="1739"/>
      <c r="K1" s="1739"/>
      <c r="L1" s="1740" t="s">
        <v>93</v>
      </c>
      <c r="M1" s="1740"/>
      <c r="N1" s="1740"/>
      <c r="O1" s="1740"/>
      <c r="P1" s="1741" t="s">
        <v>94</v>
      </c>
      <c r="Q1" s="1741"/>
      <c r="R1" s="1741"/>
      <c r="S1" s="1741"/>
      <c r="T1" s="50"/>
    </row>
    <row r="2" spans="1:20" x14ac:dyDescent="0.3">
      <c r="A2" s="48" t="s">
        <v>95</v>
      </c>
      <c r="B2" s="48" t="s">
        <v>96</v>
      </c>
      <c r="C2" s="48" t="s">
        <v>13</v>
      </c>
      <c r="D2" s="46" t="s">
        <v>97</v>
      </c>
      <c r="E2" s="46" t="s">
        <v>98</v>
      </c>
      <c r="F2" s="46" t="s">
        <v>99</v>
      </c>
      <c r="G2" s="46" t="s">
        <v>100</v>
      </c>
      <c r="H2" s="46" t="s">
        <v>101</v>
      </c>
      <c r="I2" s="46" t="s">
        <v>102</v>
      </c>
      <c r="J2" s="46" t="s">
        <v>103</v>
      </c>
      <c r="K2" s="46" t="s">
        <v>104</v>
      </c>
      <c r="L2" s="54" t="s">
        <v>105</v>
      </c>
      <c r="M2" s="54" t="s">
        <v>106</v>
      </c>
      <c r="N2" s="54" t="s">
        <v>107</v>
      </c>
      <c r="O2" s="54" t="s">
        <v>108</v>
      </c>
      <c r="P2" s="48" t="s">
        <v>109</v>
      </c>
      <c r="Q2" s="48" t="s">
        <v>110</v>
      </c>
      <c r="R2" s="48" t="s">
        <v>111</v>
      </c>
      <c r="S2" s="48" t="s">
        <v>112</v>
      </c>
      <c r="T2" s="48" t="s">
        <v>113</v>
      </c>
    </row>
    <row r="3" spans="1:20" x14ac:dyDescent="0.3">
      <c r="A3" s="55">
        <v>44294.486111111109</v>
      </c>
      <c r="B3" s="48" t="s">
        <v>26</v>
      </c>
      <c r="C3" s="48" t="s">
        <v>120</v>
      </c>
      <c r="D3" s="48">
        <v>6.29</v>
      </c>
      <c r="E3" s="48">
        <v>22.1</v>
      </c>
      <c r="F3" s="48">
        <v>0.11</v>
      </c>
      <c r="G3" s="48">
        <v>1.25</v>
      </c>
      <c r="H3" s="48">
        <v>0.75</v>
      </c>
      <c r="I3" s="48">
        <v>0.38</v>
      </c>
      <c r="J3" s="48">
        <v>6.2E-2</v>
      </c>
      <c r="K3" s="48">
        <v>0.51</v>
      </c>
      <c r="T3" s="48" t="s">
        <v>115</v>
      </c>
    </row>
    <row r="4" spans="1:20" x14ac:dyDescent="0.3">
      <c r="A4" s="55">
        <v>44294.486111111109</v>
      </c>
      <c r="B4" s="48" t="s">
        <v>26</v>
      </c>
      <c r="C4" s="48" t="s">
        <v>120</v>
      </c>
      <c r="D4" s="48">
        <v>6.75</v>
      </c>
      <c r="E4" s="48">
        <v>23</v>
      </c>
      <c r="F4" s="48">
        <v>7.0000000000000001E-3</v>
      </c>
      <c r="G4" s="48">
        <v>0.84</v>
      </c>
      <c r="H4" s="48">
        <v>0.65</v>
      </c>
      <c r="I4" s="48">
        <v>0.22</v>
      </c>
      <c r="J4" s="48">
        <v>7.0000000000000007E-2</v>
      </c>
      <c r="K4" s="48">
        <v>0.49</v>
      </c>
    </row>
    <row r="5" spans="1:20" x14ac:dyDescent="0.3">
      <c r="A5" s="55">
        <v>44294.486111111109</v>
      </c>
      <c r="B5" s="48" t="s">
        <v>26</v>
      </c>
      <c r="C5" s="48" t="s">
        <v>120</v>
      </c>
      <c r="D5" s="48">
        <v>6.62</v>
      </c>
      <c r="E5" s="48">
        <v>22.8</v>
      </c>
      <c r="F5" s="48">
        <v>7.0000000000000007E-2</v>
      </c>
      <c r="G5" s="48">
        <v>1.18</v>
      </c>
      <c r="H5" s="48">
        <v>0.72</v>
      </c>
      <c r="I5" s="48">
        <v>0.39</v>
      </c>
      <c r="J5" s="48">
        <v>4.8000000000000001E-2</v>
      </c>
      <c r="K5" s="48">
        <v>0.51</v>
      </c>
    </row>
    <row r="6" spans="1:20" customFormat="1" x14ac:dyDescent="0.3">
      <c r="A6" s="56">
        <v>44306.4375</v>
      </c>
      <c r="B6" s="48" t="s">
        <v>26</v>
      </c>
      <c r="C6" s="48" t="s">
        <v>120</v>
      </c>
      <c r="D6" s="48">
        <v>6.75</v>
      </c>
      <c r="E6" s="48">
        <v>23</v>
      </c>
      <c r="F6" s="48">
        <v>7.0000000000000001E-3</v>
      </c>
      <c r="G6" s="48">
        <v>0.84</v>
      </c>
      <c r="H6" s="48">
        <v>0.65</v>
      </c>
      <c r="I6" s="48">
        <v>0.22</v>
      </c>
      <c r="J6" s="48">
        <v>7.0000000000000007E-2</v>
      </c>
      <c r="K6" s="48">
        <v>0.49</v>
      </c>
      <c r="L6" s="57">
        <v>0.33700000000000002</v>
      </c>
      <c r="M6" s="57">
        <v>0.158</v>
      </c>
      <c r="N6" s="48">
        <v>0.75700000000000001</v>
      </c>
      <c r="O6" s="48">
        <v>8.0000000000000002E-3</v>
      </c>
      <c r="P6" s="48"/>
      <c r="Q6" s="48"/>
      <c r="R6" s="48"/>
      <c r="S6" s="48"/>
      <c r="T6" s="48"/>
    </row>
    <row r="7" spans="1:20" customFormat="1" x14ac:dyDescent="0.3">
      <c r="A7" s="56">
        <v>44313.434027777781</v>
      </c>
      <c r="B7" s="48" t="s">
        <v>26</v>
      </c>
      <c r="C7" s="48" t="s">
        <v>120</v>
      </c>
      <c r="D7" s="48">
        <v>6.62</v>
      </c>
      <c r="E7" s="48">
        <v>22.8</v>
      </c>
      <c r="F7" s="48">
        <v>7.0000000000000007E-2</v>
      </c>
      <c r="G7" s="48">
        <v>1.18</v>
      </c>
      <c r="H7" s="48">
        <v>0.72</v>
      </c>
      <c r="I7" s="48">
        <v>0.39</v>
      </c>
      <c r="J7" s="48">
        <v>4.8000000000000001E-2</v>
      </c>
      <c r="K7" s="48">
        <v>0.51</v>
      </c>
      <c r="L7" s="57">
        <v>0.33600000000000002</v>
      </c>
      <c r="M7" s="57">
        <v>0.15</v>
      </c>
      <c r="N7" s="48">
        <v>0.77600000000000002</v>
      </c>
      <c r="O7" s="48">
        <v>5.0999999999999997E-2</v>
      </c>
      <c r="P7" s="48"/>
      <c r="Q7" s="48"/>
      <c r="R7" s="48"/>
      <c r="S7" s="48"/>
      <c r="T7" s="48"/>
    </row>
    <row r="8" spans="1:20" customFormat="1" x14ac:dyDescent="0.3">
      <c r="A8" s="56">
        <v>44320.434027777781</v>
      </c>
      <c r="B8" s="48" t="s">
        <v>26</v>
      </c>
      <c r="C8" s="48" t="s">
        <v>120</v>
      </c>
      <c r="D8" s="48">
        <v>6.54</v>
      </c>
      <c r="E8" s="48">
        <v>24.6</v>
      </c>
      <c r="F8" s="48">
        <v>0.11</v>
      </c>
      <c r="G8" s="48">
        <v>0.85</v>
      </c>
      <c r="H8" s="48">
        <v>0.6</v>
      </c>
      <c r="I8" s="48">
        <v>0.28999999999999998</v>
      </c>
      <c r="J8" s="48">
        <v>7.5999999999999998E-2</v>
      </c>
      <c r="K8" s="48">
        <v>0.49</v>
      </c>
      <c r="L8" s="57">
        <v>0.35399999999999998</v>
      </c>
      <c r="M8" s="57">
        <v>0.16600000000000001</v>
      </c>
      <c r="N8" s="48">
        <v>0.68</v>
      </c>
      <c r="O8" s="48">
        <v>4.4999999999999998E-2</v>
      </c>
      <c r="P8" s="48"/>
      <c r="Q8" s="48"/>
      <c r="R8" s="48"/>
      <c r="S8" s="48"/>
      <c r="T8" s="48"/>
    </row>
    <row r="9" spans="1:20" x14ac:dyDescent="0.3">
      <c r="A9" s="56">
        <v>44327.434027777781</v>
      </c>
      <c r="B9" s="48" t="s">
        <v>26</v>
      </c>
      <c r="C9" s="48" t="s">
        <v>120</v>
      </c>
      <c r="D9" s="48">
        <v>6.66</v>
      </c>
      <c r="E9" s="48">
        <v>23.7</v>
      </c>
      <c r="F9" s="48">
        <v>0.08</v>
      </c>
      <c r="G9" s="48">
        <v>1.17</v>
      </c>
      <c r="H9" s="48">
        <v>0.85</v>
      </c>
      <c r="I9" s="48">
        <v>0.23</v>
      </c>
      <c r="J9" s="48">
        <v>5.1999999999999998E-2</v>
      </c>
      <c r="K9" s="48">
        <v>0.49</v>
      </c>
      <c r="L9" s="57">
        <v>0.27400000000000002</v>
      </c>
      <c r="M9" s="57">
        <v>0.14799999999999999</v>
      </c>
      <c r="N9" s="48">
        <v>0.92200000000000004</v>
      </c>
      <c r="O9" s="48">
        <v>6.6000000000000003E-2</v>
      </c>
    </row>
    <row r="10" spans="1:20" x14ac:dyDescent="0.3">
      <c r="A10" s="56">
        <v>44335.4375</v>
      </c>
      <c r="B10" s="48" t="s">
        <v>26</v>
      </c>
      <c r="C10" s="48" t="s">
        <v>120</v>
      </c>
      <c r="D10" s="48">
        <v>6.78</v>
      </c>
      <c r="E10" s="48">
        <v>23.8</v>
      </c>
      <c r="F10" s="48">
        <v>0.15</v>
      </c>
      <c r="G10" s="48">
        <v>0.54</v>
      </c>
      <c r="H10" s="48">
        <v>0.34</v>
      </c>
      <c r="I10" s="48">
        <v>0.17</v>
      </c>
      <c r="J10" s="48">
        <v>6.3E-2</v>
      </c>
      <c r="K10" s="48">
        <v>0.53</v>
      </c>
      <c r="L10" s="57">
        <v>0.217</v>
      </c>
      <c r="M10" s="57">
        <v>0.159</v>
      </c>
      <c r="N10" s="48">
        <v>0.71599999999999997</v>
      </c>
      <c r="O10" s="48">
        <v>6.8000000000000005E-2</v>
      </c>
      <c r="P10" s="48">
        <v>0.11</v>
      </c>
      <c r="Q10" s="48">
        <v>0</v>
      </c>
      <c r="R10" s="48">
        <v>0.12</v>
      </c>
      <c r="S10" s="48">
        <v>0.03</v>
      </c>
    </row>
    <row r="11" spans="1:20" x14ac:dyDescent="0.3">
      <c r="A11" s="56">
        <v>44342.4375</v>
      </c>
      <c r="B11" s="48" t="s">
        <v>26</v>
      </c>
      <c r="C11" s="48" t="s">
        <v>120</v>
      </c>
      <c r="D11" s="48">
        <v>6.35</v>
      </c>
      <c r="E11" s="48">
        <v>24.6</v>
      </c>
      <c r="F11" s="48">
        <v>0.04</v>
      </c>
      <c r="G11" s="48">
        <v>0.76</v>
      </c>
      <c r="H11" s="48">
        <v>0.49</v>
      </c>
      <c r="I11" s="48">
        <v>0.19</v>
      </c>
      <c r="J11" s="48">
        <v>7.6999999999999999E-2</v>
      </c>
      <c r="K11" s="48">
        <v>0.48</v>
      </c>
      <c r="L11" s="57">
        <v>0.221</v>
      </c>
      <c r="M11" s="57">
        <v>5.8000000000000003E-2</v>
      </c>
      <c r="N11" s="48">
        <v>0.70899999999999996</v>
      </c>
      <c r="O11" s="48">
        <v>7.0000000000000007E-2</v>
      </c>
      <c r="P11" s="48">
        <v>0.87</v>
      </c>
      <c r="Q11" s="48">
        <v>1</v>
      </c>
      <c r="R11" s="48">
        <v>0.37</v>
      </c>
      <c r="S11" s="48">
        <v>0.08</v>
      </c>
    </row>
    <row r="12" spans="1:20" x14ac:dyDescent="0.3">
      <c r="A12" s="56">
        <v>44356.430555555555</v>
      </c>
      <c r="B12" s="48" t="s">
        <v>26</v>
      </c>
      <c r="C12" s="48" t="s">
        <v>120</v>
      </c>
      <c r="D12" s="48">
        <v>6.61</v>
      </c>
      <c r="E12" s="48">
        <v>26</v>
      </c>
      <c r="F12" s="48">
        <v>7.0000000000000007E-2</v>
      </c>
      <c r="G12" s="48">
        <v>0.86</v>
      </c>
      <c r="H12" s="48">
        <v>0.73</v>
      </c>
      <c r="I12" s="48">
        <v>0.2</v>
      </c>
      <c r="J12" s="48">
        <v>5.5E-2</v>
      </c>
      <c r="K12" s="48">
        <v>0.51</v>
      </c>
      <c r="L12" s="57">
        <v>0.222</v>
      </c>
      <c r="M12" s="57">
        <v>0.222</v>
      </c>
      <c r="N12" s="48">
        <v>0.86</v>
      </c>
      <c r="O12" s="48">
        <v>3.6999999999999998E-2</v>
      </c>
      <c r="P12" s="48">
        <v>0.246</v>
      </c>
      <c r="Q12" s="48">
        <v>5</v>
      </c>
      <c r="R12" s="48">
        <v>0.49</v>
      </c>
      <c r="S12" s="48">
        <v>0.03</v>
      </c>
    </row>
    <row r="13" spans="1:20" x14ac:dyDescent="0.3">
      <c r="A13" s="56">
        <v>44363.427083333336</v>
      </c>
      <c r="B13" s="48" t="s">
        <v>26</v>
      </c>
      <c r="C13" s="48" t="s">
        <v>120</v>
      </c>
      <c r="D13" s="48">
        <v>6.53</v>
      </c>
      <c r="E13" s="48">
        <v>27.1</v>
      </c>
      <c r="F13" s="48">
        <v>7.0000000000000007E-2</v>
      </c>
      <c r="G13" s="48">
        <v>1.03</v>
      </c>
      <c r="H13" s="48">
        <v>0.71</v>
      </c>
      <c r="I13" s="48">
        <v>0.33</v>
      </c>
      <c r="J13" s="48">
        <v>5.0999999999999997E-2</v>
      </c>
      <c r="K13" s="48">
        <v>0.56000000000000005</v>
      </c>
      <c r="L13" s="58">
        <v>0.246</v>
      </c>
      <c r="M13" s="58">
        <v>0.185</v>
      </c>
      <c r="N13" s="58">
        <v>1.0660000000000001</v>
      </c>
      <c r="O13" s="58">
        <v>5.0000000000000001E-3</v>
      </c>
      <c r="P13" s="48">
        <v>6.0999999999999999E-2</v>
      </c>
      <c r="Q13" s="48">
        <v>0</v>
      </c>
      <c r="R13" s="48">
        <v>-0.41</v>
      </c>
      <c r="S13" s="48">
        <v>0</v>
      </c>
    </row>
    <row r="14" spans="1:20" x14ac:dyDescent="0.3">
      <c r="A14" s="56">
        <v>44370.430555555555</v>
      </c>
      <c r="B14" s="48" t="s">
        <v>26</v>
      </c>
      <c r="C14" s="48" t="s">
        <v>120</v>
      </c>
      <c r="D14" s="48">
        <v>6.97</v>
      </c>
      <c r="E14" s="48">
        <v>26.5</v>
      </c>
      <c r="F14" s="48">
        <v>2.73</v>
      </c>
      <c r="G14" s="48">
        <v>2.65</v>
      </c>
      <c r="H14" s="48">
        <v>0.01</v>
      </c>
      <c r="I14" s="48">
        <v>0.19</v>
      </c>
      <c r="J14" s="48">
        <v>8.0000000000000002E-3</v>
      </c>
      <c r="K14" s="48">
        <v>0.53</v>
      </c>
      <c r="L14" s="48">
        <v>-1.6E-2</v>
      </c>
      <c r="M14" s="48">
        <v>0.20399999999999999</v>
      </c>
      <c r="N14" s="48">
        <v>0.90100000000000002</v>
      </c>
      <c r="O14" s="48">
        <v>1E-3</v>
      </c>
      <c r="P14" s="48">
        <v>0.27400000000000002</v>
      </c>
      <c r="Q14" s="48">
        <v>0</v>
      </c>
      <c r="R14" s="48">
        <v>0</v>
      </c>
      <c r="S14" s="48">
        <v>0</v>
      </c>
    </row>
    <row r="15" spans="1:20" customFormat="1" x14ac:dyDescent="0.3">
      <c r="A15" s="56">
        <v>44377.427083333336</v>
      </c>
      <c r="B15" s="48" t="s">
        <v>26</v>
      </c>
      <c r="C15" s="48" t="s">
        <v>120</v>
      </c>
      <c r="D15" s="48">
        <v>6.86</v>
      </c>
      <c r="E15" s="48">
        <v>25.9</v>
      </c>
      <c r="F15" s="48">
        <v>2.2200000000000002</v>
      </c>
      <c r="G15" s="48">
        <v>2.3199999999999998</v>
      </c>
      <c r="H15" s="48">
        <v>0.01</v>
      </c>
      <c r="I15" s="48">
        <v>0.1</v>
      </c>
      <c r="J15" s="48">
        <v>1.2E-2</v>
      </c>
      <c r="K15" s="48">
        <v>0.67</v>
      </c>
      <c r="L15" s="48">
        <v>-7.0000000000000001E-3</v>
      </c>
      <c r="M15" s="48">
        <v>0.20699999999999999</v>
      </c>
      <c r="N15" s="48">
        <v>0.65100000000000002</v>
      </c>
      <c r="O15" s="48">
        <v>2E-3</v>
      </c>
      <c r="P15" s="48">
        <v>4.3999999999999997E-2</v>
      </c>
      <c r="Q15" s="48">
        <v>9</v>
      </c>
      <c r="R15" s="48">
        <v>0</v>
      </c>
      <c r="S15" s="48">
        <v>0.04</v>
      </c>
      <c r="T15" s="48"/>
    </row>
    <row r="16" spans="1:20" customFormat="1" x14ac:dyDescent="0.3">
      <c r="A16" s="56">
        <v>44385.447916666664</v>
      </c>
      <c r="B16" s="48" t="s">
        <v>26</v>
      </c>
      <c r="C16" s="48" t="s">
        <v>120</v>
      </c>
      <c r="D16" s="48">
        <v>6.41</v>
      </c>
      <c r="E16" s="48">
        <v>26.9</v>
      </c>
      <c r="F16" s="48">
        <v>1.77</v>
      </c>
      <c r="G16" s="48">
        <v>0.84</v>
      </c>
      <c r="H16" s="48">
        <v>0.01</v>
      </c>
      <c r="I16" s="48">
        <v>0.05</v>
      </c>
      <c r="J16" s="48">
        <v>6.0000000000000001E-3</v>
      </c>
      <c r="K16" s="48">
        <v>0.65</v>
      </c>
      <c r="L16" s="48">
        <v>8.9999999999999993E-3</v>
      </c>
      <c r="M16" s="48">
        <v>0.20399999999999999</v>
      </c>
      <c r="N16" s="48">
        <v>0.48399999999999999</v>
      </c>
      <c r="O16" s="48">
        <v>1.6E-2</v>
      </c>
      <c r="P16" s="48">
        <v>7.9000000000000001E-2</v>
      </c>
      <c r="Q16" s="48">
        <v>0</v>
      </c>
      <c r="R16" s="48">
        <v>0.06</v>
      </c>
      <c r="S16" s="48">
        <v>0.02</v>
      </c>
      <c r="T16" s="48"/>
    </row>
    <row r="17" spans="1:20" customFormat="1" x14ac:dyDescent="0.3">
      <c r="A17" s="56">
        <v>44391.40625</v>
      </c>
      <c r="B17" s="48" t="s">
        <v>26</v>
      </c>
      <c r="C17" s="48" t="s">
        <v>120</v>
      </c>
      <c r="D17" s="48">
        <v>6.42</v>
      </c>
      <c r="E17" s="48">
        <v>27.1</v>
      </c>
      <c r="F17" s="48">
        <v>1.35</v>
      </c>
      <c r="G17" s="48">
        <v>1.36</v>
      </c>
      <c r="H17" s="48">
        <v>0.01</v>
      </c>
      <c r="I17" s="48">
        <v>0.01</v>
      </c>
      <c r="J17" s="48">
        <v>8.9999999999999993E-3</v>
      </c>
      <c r="K17" s="48">
        <v>0.54</v>
      </c>
      <c r="L17" s="48"/>
      <c r="M17" s="48"/>
      <c r="N17" s="48"/>
      <c r="O17" s="48"/>
      <c r="P17" s="48">
        <v>4.3999999999999997E-2</v>
      </c>
      <c r="Q17" s="48">
        <v>28</v>
      </c>
      <c r="R17" s="48">
        <v>0.03</v>
      </c>
      <c r="S17" s="48">
        <v>0.06</v>
      </c>
      <c r="T17" s="48"/>
    </row>
    <row r="18" spans="1:20" customFormat="1" x14ac:dyDescent="0.3">
      <c r="A18" s="56">
        <v>44398.472222222219</v>
      </c>
      <c r="B18" s="48" t="s">
        <v>26</v>
      </c>
      <c r="C18" s="48" t="s">
        <v>120</v>
      </c>
      <c r="D18" s="48">
        <v>6.83</v>
      </c>
      <c r="E18" s="48">
        <v>26.6</v>
      </c>
      <c r="F18" s="48">
        <v>1.89</v>
      </c>
      <c r="G18" s="48">
        <v>1.89</v>
      </c>
      <c r="H18" s="48">
        <v>0</v>
      </c>
      <c r="I18" s="48">
        <v>0.24</v>
      </c>
      <c r="J18" s="48">
        <v>0.01</v>
      </c>
      <c r="K18" s="48">
        <v>0.69</v>
      </c>
      <c r="L18" s="48"/>
      <c r="M18" s="48"/>
      <c r="N18" s="48"/>
      <c r="O18" s="48"/>
      <c r="P18" s="48">
        <v>7.0999999999999994E-2</v>
      </c>
      <c r="Q18" s="48">
        <v>6</v>
      </c>
      <c r="R18" s="48">
        <v>0.02</v>
      </c>
      <c r="S18" s="48">
        <v>0.03</v>
      </c>
      <c r="T18" s="48"/>
    </row>
    <row r="19" spans="1:20" customFormat="1" x14ac:dyDescent="0.3">
      <c r="A19" s="56">
        <v>44405.416666666664</v>
      </c>
      <c r="B19" s="48" t="s">
        <v>26</v>
      </c>
      <c r="C19" s="48" t="s">
        <v>120</v>
      </c>
      <c r="D19" s="48">
        <v>6.71</v>
      </c>
      <c r="E19" s="48">
        <v>28.8</v>
      </c>
      <c r="F19" s="48">
        <v>1.86</v>
      </c>
      <c r="G19" s="48">
        <v>1.54</v>
      </c>
      <c r="H19" s="48">
        <v>0</v>
      </c>
      <c r="I19" s="48">
        <v>0.03</v>
      </c>
      <c r="J19" s="48">
        <v>7.0000000000000001E-3</v>
      </c>
      <c r="K19" s="48">
        <v>0.65</v>
      </c>
      <c r="L19" s="48"/>
      <c r="M19" s="48"/>
      <c r="N19" s="48"/>
      <c r="O19" s="48"/>
      <c r="P19" s="48"/>
      <c r="Q19" s="48"/>
      <c r="R19" s="48"/>
      <c r="S19" s="48"/>
      <c r="T19" s="48"/>
    </row>
    <row r="20" spans="1:20" customFormat="1" x14ac:dyDescent="0.3">
      <c r="A20" s="56">
        <v>44432.458333333336</v>
      </c>
      <c r="B20" s="48" t="s">
        <v>26</v>
      </c>
      <c r="C20" s="48" t="s">
        <v>120</v>
      </c>
      <c r="D20" s="48">
        <v>6.73</v>
      </c>
      <c r="E20" s="48">
        <v>28.4</v>
      </c>
      <c r="F20" s="48">
        <v>0.06</v>
      </c>
      <c r="G20" s="48">
        <v>0.82</v>
      </c>
      <c r="H20" s="48">
        <v>0.7</v>
      </c>
      <c r="I20" s="48">
        <v>0.17</v>
      </c>
      <c r="J20" s="48">
        <v>8.0000000000000002E-3</v>
      </c>
      <c r="K20" s="48">
        <v>0.69</v>
      </c>
      <c r="L20" s="48"/>
      <c r="M20" s="48"/>
      <c r="N20" s="48"/>
      <c r="O20" s="48"/>
      <c r="P20" s="48">
        <v>0.111</v>
      </c>
      <c r="Q20" s="48">
        <v>6</v>
      </c>
      <c r="R20" s="48">
        <v>0.04</v>
      </c>
      <c r="S20" s="48">
        <v>0.03</v>
      </c>
      <c r="T20" s="48"/>
    </row>
    <row r="21" spans="1:20" customFormat="1" x14ac:dyDescent="0.3">
      <c r="A21" s="56">
        <v>44419.402777777781</v>
      </c>
      <c r="B21" s="48" t="s">
        <v>26</v>
      </c>
      <c r="C21" s="48" t="s">
        <v>120</v>
      </c>
      <c r="D21" s="48">
        <v>6.8</v>
      </c>
      <c r="E21" s="48">
        <v>27.5</v>
      </c>
      <c r="F21" s="48">
        <v>0.1</v>
      </c>
      <c r="G21" s="48">
        <v>0.98</v>
      </c>
      <c r="H21" s="48">
        <v>0.84</v>
      </c>
      <c r="I21" s="48">
        <v>0.19</v>
      </c>
      <c r="J21" s="48">
        <v>7.0000000000000001E-3</v>
      </c>
      <c r="K21" s="48">
        <v>0.7</v>
      </c>
      <c r="L21" s="48"/>
      <c r="M21" s="48"/>
      <c r="N21" s="48"/>
      <c r="O21" s="48"/>
      <c r="P21" s="48">
        <v>1.88</v>
      </c>
      <c r="Q21" s="48">
        <v>32</v>
      </c>
      <c r="R21" s="48">
        <v>0.06</v>
      </c>
      <c r="S21" s="48">
        <v>0.05</v>
      </c>
      <c r="T21" s="48"/>
    </row>
    <row r="22" spans="1:20" customFormat="1" x14ac:dyDescent="0.3">
      <c r="A22" s="56">
        <v>44426.409722222219</v>
      </c>
      <c r="B22" s="48" t="s">
        <v>26</v>
      </c>
      <c r="C22" s="48" t="s">
        <v>120</v>
      </c>
      <c r="D22" s="48">
        <v>6.75</v>
      </c>
      <c r="E22" s="48">
        <v>28.1</v>
      </c>
      <c r="F22" s="48">
        <v>0.04</v>
      </c>
      <c r="G22" s="48">
        <v>0.77</v>
      </c>
      <c r="H22" s="48">
        <v>0.66</v>
      </c>
      <c r="I22" s="48">
        <v>0.24</v>
      </c>
      <c r="J22" s="48">
        <v>7.0000000000000001E-3</v>
      </c>
      <c r="K22" s="48">
        <v>0.69</v>
      </c>
      <c r="L22" s="48"/>
      <c r="M22" s="48"/>
      <c r="N22" s="48"/>
      <c r="O22" s="48"/>
      <c r="P22" s="48">
        <v>0.10299999999999999</v>
      </c>
      <c r="Q22" s="48">
        <v>1</v>
      </c>
      <c r="R22" s="48">
        <v>0.02</v>
      </c>
      <c r="S22" s="48">
        <v>0.04</v>
      </c>
      <c r="T22" s="48"/>
    </row>
    <row r="23" spans="1:20" customFormat="1" x14ac:dyDescent="0.3">
      <c r="A23" s="56">
        <v>44433.430555555555</v>
      </c>
      <c r="B23" s="48" t="s">
        <v>26</v>
      </c>
      <c r="C23" s="48" t="s">
        <v>120</v>
      </c>
      <c r="D23" s="48">
        <v>6.73</v>
      </c>
      <c r="E23" s="48">
        <v>28.6</v>
      </c>
      <c r="F23" s="48">
        <v>0.08</v>
      </c>
      <c r="G23" s="48">
        <v>0.64</v>
      </c>
      <c r="H23" s="48">
        <v>0.7</v>
      </c>
      <c r="I23" s="48" t="s">
        <v>121</v>
      </c>
      <c r="J23" s="48">
        <v>8.0000000000000002E-3</v>
      </c>
      <c r="K23" s="48">
        <v>0.66</v>
      </c>
      <c r="L23" s="48"/>
      <c r="M23" s="48"/>
      <c r="N23" s="48"/>
      <c r="O23" s="48"/>
      <c r="P23" s="48">
        <v>9.9000000000000005E-2</v>
      </c>
      <c r="Q23" s="48">
        <v>-2</v>
      </c>
      <c r="R23" s="48">
        <v>0.05</v>
      </c>
      <c r="S23" s="48">
        <v>0.04</v>
      </c>
      <c r="T23" s="48"/>
    </row>
  </sheetData>
  <sheetProtection algorithmName="SHA-512" hashValue="HsBejlTTGwOb8cT9Cz/6WcgVHC8KvunU8linxZu8qlrb8nTLtrjBPXnzrjeibwashB//9a2U/CluwxXbx/tzXw==" saltValue="XZ8GqCuLW5gpmDARiFnrAQ==" spinCount="100000" sheet="1" objects="1" scenarios="1"/>
  <mergeCells count="3">
    <mergeCell ref="F1:K1"/>
    <mergeCell ref="L1:O1"/>
    <mergeCell ref="P1:S1"/>
  </mergeCells>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C4494-1A51-4DBE-8984-61F4E94B86AE}">
  <dimension ref="A1:S114"/>
  <sheetViews>
    <sheetView topLeftCell="G1" workbookViewId="0">
      <selection activeCell="J2" sqref="J2:Q2"/>
    </sheetView>
  </sheetViews>
  <sheetFormatPr defaultRowHeight="15.75" x14ac:dyDescent="0.3"/>
  <cols>
    <col min="1" max="1" width="8.88671875" style="62"/>
    <col min="2" max="2" width="12.109375" style="280" customWidth="1"/>
    <col min="3" max="3" width="14.6640625" style="282" customWidth="1"/>
    <col min="4" max="4" width="12.33203125" style="282" customWidth="1"/>
    <col min="5" max="5" width="16.109375" style="282" customWidth="1"/>
    <col min="6" max="6" width="14" style="282" customWidth="1"/>
    <col min="7" max="7" width="15.44140625" style="282" customWidth="1"/>
    <col min="8" max="8" width="12.88671875" style="282" customWidth="1"/>
    <col min="9" max="9" width="7.109375" style="62" customWidth="1"/>
    <col min="10" max="10" width="11.6640625" style="62" customWidth="1"/>
    <col min="11" max="11" width="14.33203125" style="62" customWidth="1"/>
    <col min="12" max="12" width="17.44140625" style="62" customWidth="1"/>
    <col min="13" max="13" width="14.77734375" style="62" customWidth="1"/>
    <col min="14" max="14" width="38.6640625" style="62" customWidth="1"/>
    <col min="15" max="15" width="14.77734375" style="62" customWidth="1"/>
    <col min="16" max="16" width="15.6640625" style="62" customWidth="1"/>
    <col min="17" max="17" width="16.88671875" style="62" customWidth="1"/>
    <col min="20" max="16384" width="8.88671875" style="62"/>
  </cols>
  <sheetData>
    <row r="1" spans="1:19" ht="33.9" customHeight="1" thickTop="1" x14ac:dyDescent="0.3">
      <c r="A1" s="1367"/>
      <c r="B1" s="1368"/>
      <c r="C1" s="1347" t="s">
        <v>8</v>
      </c>
      <c r="D1" s="1348" t="s">
        <v>3</v>
      </c>
      <c r="E1" s="1348" t="s">
        <v>5</v>
      </c>
      <c r="F1" s="1348" t="s">
        <v>6</v>
      </c>
      <c r="G1" s="1382" t="s">
        <v>51</v>
      </c>
      <c r="H1" s="1351" t="s">
        <v>229</v>
      </c>
      <c r="I1" s="1617" t="s">
        <v>227</v>
      </c>
      <c r="J1" s="1618"/>
      <c r="K1" s="1618"/>
      <c r="L1" s="1618"/>
      <c r="M1" s="1618"/>
      <c r="N1" s="1618"/>
      <c r="O1" s="1618"/>
      <c r="P1" s="1618"/>
      <c r="Q1" s="1619"/>
      <c r="R1" s="62"/>
      <c r="S1" s="62"/>
    </row>
    <row r="2" spans="1:19" s="380" customFormat="1" ht="41.75" customHeight="1" thickBot="1" x14ac:dyDescent="0.35">
      <c r="A2" s="1369" t="s">
        <v>149</v>
      </c>
      <c r="B2" s="1370" t="s">
        <v>55</v>
      </c>
      <c r="C2" s="1349" t="s">
        <v>169</v>
      </c>
      <c r="D2" s="1350" t="s">
        <v>169</v>
      </c>
      <c r="E2" s="1350" t="s">
        <v>169</v>
      </c>
      <c r="F2" s="1350" t="s">
        <v>169</v>
      </c>
      <c r="G2" s="1350" t="s">
        <v>169</v>
      </c>
      <c r="H2" s="1352" t="s">
        <v>169</v>
      </c>
      <c r="I2" s="1355" t="s">
        <v>97</v>
      </c>
      <c r="J2" s="1356" t="s">
        <v>209</v>
      </c>
      <c r="K2" s="1356" t="s">
        <v>202</v>
      </c>
      <c r="L2" s="1356" t="s">
        <v>203</v>
      </c>
      <c r="M2" s="1356" t="s">
        <v>204</v>
      </c>
      <c r="N2" s="1378" t="s">
        <v>305</v>
      </c>
      <c r="O2" s="1356" t="s">
        <v>205</v>
      </c>
      <c r="P2" s="1356" t="s">
        <v>228</v>
      </c>
      <c r="Q2" s="1357" t="s">
        <v>207</v>
      </c>
    </row>
    <row r="3" spans="1:19" s="191" customFormat="1" x14ac:dyDescent="0.3">
      <c r="A3" s="1371" t="str">
        <f>Core_Data!B3</f>
        <v>EP</v>
      </c>
      <c r="B3" s="1372">
        <f>Core_Data!C3</f>
        <v>44335</v>
      </c>
      <c r="C3" s="1345">
        <f>Core_Data!E3</f>
        <v>7.5073779335749142</v>
      </c>
      <c r="D3" s="1344">
        <f>Core_Data!G3</f>
        <v>4.7229710237808709</v>
      </c>
      <c r="E3" s="1344">
        <f>Core_Data!I3</f>
        <v>3.1797940234756839</v>
      </c>
      <c r="F3" s="1344">
        <f>Core_Data!K3</f>
        <v>0</v>
      </c>
      <c r="G3" s="1344">
        <f>Core_Data!M3</f>
        <v>0</v>
      </c>
      <c r="H3" s="1353">
        <f>Core_Data!W3</f>
        <v>4.7352302561231019</v>
      </c>
      <c r="I3" s="1358">
        <f>Core_Data!N3</f>
        <v>6.72</v>
      </c>
      <c r="J3" s="1359">
        <f>Core_Data!O3</f>
        <v>25.2</v>
      </c>
      <c r="K3" s="1359">
        <f>Core_Data!P3</f>
        <v>0.17</v>
      </c>
      <c r="L3" s="1359">
        <f>Core_Data!Q3</f>
        <v>3.6</v>
      </c>
      <c r="M3" s="1359">
        <f>Core_Data!R3</f>
        <v>3.86</v>
      </c>
      <c r="N3" s="1379">
        <f>K3*1.288+L3*1.097</f>
        <v>4.1681599999999994</v>
      </c>
      <c r="O3" s="1359">
        <f>Core_Data!S3</f>
        <v>0.25</v>
      </c>
      <c r="P3" s="1359">
        <f>Core_Data!T3</f>
        <v>8.0000000000000002E-3</v>
      </c>
      <c r="Q3" s="1360">
        <f>Core_Data!U3</f>
        <v>0.24</v>
      </c>
      <c r="R3" s="1377"/>
      <c r="S3" s="1377"/>
    </row>
    <row r="4" spans="1:19" s="191" customFormat="1" x14ac:dyDescent="0.3">
      <c r="A4" s="1373" t="str">
        <f>Core_Data!B4</f>
        <v>EP</v>
      </c>
      <c r="B4" s="1374">
        <f>Core_Data!C4</f>
        <v>44342</v>
      </c>
      <c r="C4" s="1346">
        <f>Core_Data!E4</f>
        <v>7.4305880117388243</v>
      </c>
      <c r="D4" s="1343">
        <f>Core_Data!G4</f>
        <v>4.3983402472244153</v>
      </c>
      <c r="E4" s="1343">
        <f>Core_Data!I4</f>
        <v>2.9491774059529887</v>
      </c>
      <c r="F4" s="1343">
        <f>Core_Data!K4</f>
        <v>0</v>
      </c>
      <c r="G4" s="1343">
        <f>Core_Data!M4</f>
        <v>2.1604990068941463</v>
      </c>
      <c r="H4" s="1354">
        <f>Core_Data!W4</f>
        <v>4.4159298260944944</v>
      </c>
      <c r="I4" s="1361">
        <f>Core_Data!N4</f>
        <v>6.66</v>
      </c>
      <c r="J4" s="1362">
        <f>Core_Data!O4</f>
        <v>28.1</v>
      </c>
      <c r="K4" s="1362">
        <f>Core_Data!P4</f>
        <v>0.08</v>
      </c>
      <c r="L4" s="1362">
        <f>Core_Data!Q4</f>
        <v>3.5</v>
      </c>
      <c r="M4" s="1362">
        <f>Core_Data!R4</f>
        <v>3.83</v>
      </c>
      <c r="N4" s="1380">
        <f t="shared" ref="N4:N67" si="0">K4*1.288+L4*1.097</f>
        <v>3.9425400000000002</v>
      </c>
      <c r="O4" s="1362">
        <f>Core_Data!S4</f>
        <v>7.0000000000000007E-2</v>
      </c>
      <c r="P4" s="1362">
        <f>Core_Data!T4</f>
        <v>7.0000000000000001E-3</v>
      </c>
      <c r="Q4" s="1363">
        <f>Core_Data!U4</f>
        <v>0.24</v>
      </c>
      <c r="R4" s="1377"/>
      <c r="S4" s="1377"/>
    </row>
    <row r="5" spans="1:19" s="191" customFormat="1" x14ac:dyDescent="0.3">
      <c r="A5" s="1373" t="str">
        <f>Core_Data!B5</f>
        <v>EP</v>
      </c>
      <c r="B5" s="1374">
        <f>Core_Data!C5</f>
        <v>44350</v>
      </c>
      <c r="C5" s="1346">
        <f>Core_Data!E5</f>
        <v>7.2010631024471907</v>
      </c>
      <c r="D5" s="1343">
        <f>Core_Data!G5</f>
        <v>3.9174695393344017</v>
      </c>
      <c r="E5" s="1343">
        <f>Core_Data!I5</f>
        <v>3.2434645556811552</v>
      </c>
      <c r="F5" s="1343">
        <f>Core_Data!K5</f>
        <v>0</v>
      </c>
      <c r="G5" s="1343">
        <f>Core_Data!M5</f>
        <v>2.7440271514333912</v>
      </c>
      <c r="H5" s="1354">
        <f>Core_Data!W5</f>
        <v>4.0243089142143083</v>
      </c>
      <c r="I5" s="1361">
        <f>Core_Data!N5</f>
        <v>6.58</v>
      </c>
      <c r="J5" s="1362">
        <f>Core_Data!O5</f>
        <v>29.6</v>
      </c>
      <c r="K5" s="1362">
        <f>Core_Data!P5</f>
        <v>0.08</v>
      </c>
      <c r="L5" s="1362">
        <f>Core_Data!Q5</f>
        <v>3.32</v>
      </c>
      <c r="M5" s="1362">
        <f>Core_Data!R5</f>
        <v>3.64</v>
      </c>
      <c r="N5" s="1380">
        <f t="shared" si="0"/>
        <v>3.7450799999999997</v>
      </c>
      <c r="O5" s="1362">
        <f>Core_Data!S5</f>
        <v>0.56000000000000005</v>
      </c>
      <c r="P5" s="1362">
        <f>Core_Data!T5</f>
        <v>8.0000000000000002E-3</v>
      </c>
      <c r="Q5" s="1363">
        <f>Core_Data!U5</f>
        <v>0.28000000000000003</v>
      </c>
      <c r="R5" s="1377"/>
      <c r="S5" s="1377"/>
    </row>
    <row r="6" spans="1:19" s="191" customFormat="1" x14ac:dyDescent="0.3">
      <c r="A6" s="1373" t="str">
        <f>Core_Data!B6</f>
        <v>EP</v>
      </c>
      <c r="B6" s="1374">
        <f>Core_Data!C6</f>
        <v>44356</v>
      </c>
      <c r="C6" s="1346">
        <f>Core_Data!E6</f>
        <v>7.5775594003841169</v>
      </c>
      <c r="D6" s="1343">
        <f>Core_Data!G6</f>
        <v>4.1767319225757706</v>
      </c>
      <c r="E6" s="1343">
        <f>Core_Data!I6</f>
        <v>3.3151970568903897</v>
      </c>
      <c r="F6" s="1343">
        <f>Core_Data!K6</f>
        <v>3.3597301399743871</v>
      </c>
      <c r="G6" s="1343">
        <f>Core_Data!M6</f>
        <v>0</v>
      </c>
      <c r="H6" s="1354">
        <f>Core_Data!W6</f>
        <v>4.2873068489727197</v>
      </c>
      <c r="I6" s="1361">
        <f>Core_Data!N6</f>
        <v>6.69</v>
      </c>
      <c r="J6" s="1362">
        <f>Core_Data!O6</f>
        <v>28.6</v>
      </c>
      <c r="K6" s="1362">
        <f>Core_Data!P6</f>
        <v>0.08</v>
      </c>
      <c r="L6" s="1362">
        <f>Core_Data!Q6</f>
        <v>3.91</v>
      </c>
      <c r="M6" s="1362">
        <f>Core_Data!R6</f>
        <v>4.08</v>
      </c>
      <c r="N6" s="1380">
        <f t="shared" si="0"/>
        <v>4.3923100000000002</v>
      </c>
      <c r="O6" s="1362">
        <f>Core_Data!S6</f>
        <v>0.14000000000000001</v>
      </c>
      <c r="P6" s="1362">
        <f>Core_Data!T6</f>
        <v>8.0000000000000002E-3</v>
      </c>
      <c r="Q6" s="1363">
        <f>Core_Data!U6</f>
        <v>0.27</v>
      </c>
      <c r="R6" s="1377"/>
      <c r="S6" s="1377"/>
    </row>
    <row r="7" spans="1:19" s="191" customFormat="1" x14ac:dyDescent="0.3">
      <c r="A7" s="1373" t="str">
        <f>Core_Data!B7</f>
        <v>EP</v>
      </c>
      <c r="B7" s="1374">
        <f>Core_Data!C7</f>
        <v>44363</v>
      </c>
      <c r="C7" s="1346">
        <f>Core_Data!E7</f>
        <v>8.9201125773878598</v>
      </c>
      <c r="D7" s="1343">
        <f>Core_Data!G7</f>
        <v>0</v>
      </c>
      <c r="E7" s="1343">
        <f>Core_Data!I7</f>
        <v>2.8252048194210433</v>
      </c>
      <c r="F7" s="1343">
        <f>Core_Data!K7</f>
        <v>7.3148056493421336</v>
      </c>
      <c r="G7" s="1343">
        <f>Core_Data!M7</f>
        <v>2.7622840466805152</v>
      </c>
      <c r="H7" s="1354">
        <f>Core_Data!W7</f>
        <v>7.3148318841855584</v>
      </c>
      <c r="I7" s="1361">
        <f>Core_Data!N7</f>
        <v>6.79</v>
      </c>
      <c r="J7" s="1362">
        <f>Core_Data!O7</f>
        <v>33.9</v>
      </c>
      <c r="K7" s="1362">
        <f>Core_Data!P7</f>
        <v>3.82</v>
      </c>
      <c r="L7" s="1362">
        <f>Core_Data!Q7</f>
        <v>0.01</v>
      </c>
      <c r="M7" s="1362">
        <f>Core_Data!R7</f>
        <v>3.89</v>
      </c>
      <c r="N7" s="1380">
        <f t="shared" si="0"/>
        <v>4.9311300000000005</v>
      </c>
      <c r="O7" s="1362">
        <f>Core_Data!S7</f>
        <v>0.08</v>
      </c>
      <c r="P7" s="1362">
        <f>Core_Data!T7</f>
        <v>7.0000000000000001E-3</v>
      </c>
      <c r="Q7" s="1363">
        <f>Core_Data!U7</f>
        <v>0.28000000000000003</v>
      </c>
      <c r="R7" s="1377"/>
      <c r="S7" s="1377"/>
    </row>
    <row r="8" spans="1:19" s="191" customFormat="1" x14ac:dyDescent="0.3">
      <c r="A8" s="1373" t="str">
        <f>Core_Data!B8</f>
        <v>EP</v>
      </c>
      <c r="B8" s="1374">
        <f>Core_Data!C8</f>
        <v>44370</v>
      </c>
      <c r="C8" s="1346">
        <f>Core_Data!E8</f>
        <v>7.384134194520211</v>
      </c>
      <c r="D8" s="1343">
        <f>Core_Data!G8</f>
        <v>3.7119183612943583</v>
      </c>
      <c r="E8" s="1343">
        <f>Core_Data!I8</f>
        <v>3.0816381264248243</v>
      </c>
      <c r="F8" s="1343">
        <f>Core_Data!K8</f>
        <v>0</v>
      </c>
      <c r="G8" s="1343">
        <f>Core_Data!M8</f>
        <v>2.831351610048888</v>
      </c>
      <c r="H8" s="1354">
        <f>Core_Data!W8</f>
        <v>3.8473453486612756</v>
      </c>
      <c r="I8" s="1361">
        <f>Core_Data!N8</f>
        <v>6.98</v>
      </c>
      <c r="J8" s="1362">
        <f>Core_Data!O8</f>
        <v>28.3</v>
      </c>
      <c r="K8" s="1362">
        <f>Core_Data!P8</f>
        <v>4.0599999999999996</v>
      </c>
      <c r="L8" s="1362">
        <f>Core_Data!Q8</f>
        <v>0</v>
      </c>
      <c r="M8" s="1362">
        <f>Core_Data!R8</f>
        <v>3.83</v>
      </c>
      <c r="N8" s="1380">
        <f t="shared" si="0"/>
        <v>5.2292799999999993</v>
      </c>
      <c r="O8" s="1362">
        <f>Core_Data!S8</f>
        <v>0.03</v>
      </c>
      <c r="P8" s="1362">
        <f>Core_Data!T8</f>
        <v>8.0000000000000002E-3</v>
      </c>
      <c r="Q8" s="1363">
        <f>Core_Data!U8</f>
        <v>0.27</v>
      </c>
      <c r="R8" s="1377"/>
      <c r="S8" s="1377"/>
    </row>
    <row r="9" spans="1:19" s="191" customFormat="1" x14ac:dyDescent="0.3">
      <c r="A9" s="1373" t="str">
        <f>Core_Data!B9</f>
        <v>EP</v>
      </c>
      <c r="B9" s="1374">
        <f>Core_Data!C9</f>
        <v>44377</v>
      </c>
      <c r="C9" s="1346">
        <f>Core_Data!E9</f>
        <v>6.6706494925420223</v>
      </c>
      <c r="D9" s="1343">
        <f>Core_Data!G9</f>
        <v>3.4496228998138809</v>
      </c>
      <c r="E9" s="1343">
        <f>Core_Data!I9</f>
        <v>3.0995905834804347</v>
      </c>
      <c r="F9" s="1343">
        <f>Core_Data!K9</f>
        <v>0</v>
      </c>
      <c r="G9" s="1343">
        <f>Core_Data!M9</f>
        <v>2.1553193673056121</v>
      </c>
      <c r="H9" s="1354">
        <f>Core_Data!W9</f>
        <v>3.6249696603768022</v>
      </c>
      <c r="I9" s="1361">
        <f>Core_Data!N9</f>
        <v>6.71</v>
      </c>
      <c r="J9" s="1362">
        <f>Core_Data!O9</f>
        <v>30.2</v>
      </c>
      <c r="K9" s="1362">
        <f>Core_Data!P9</f>
        <v>3.49</v>
      </c>
      <c r="L9" s="1362">
        <f>Core_Data!Q9</f>
        <v>0.31</v>
      </c>
      <c r="M9" s="1362">
        <f>Core_Data!R9</f>
        <v>3.46</v>
      </c>
      <c r="N9" s="1380">
        <f t="shared" si="0"/>
        <v>4.8351899999999999</v>
      </c>
      <c r="O9" s="1362">
        <f>Core_Data!S9</f>
        <v>0.26</v>
      </c>
      <c r="P9" s="1362">
        <f>Core_Data!T9</f>
        <v>0</v>
      </c>
      <c r="Q9" s="1363">
        <f>Core_Data!U9</f>
        <v>0.24</v>
      </c>
      <c r="R9" s="1377"/>
      <c r="S9" s="1377"/>
    </row>
    <row r="10" spans="1:19" s="191" customFormat="1" x14ac:dyDescent="0.3">
      <c r="A10" s="1373" t="str">
        <f>Core_Data!B10</f>
        <v>EP</v>
      </c>
      <c r="B10" s="1374">
        <f>Core_Data!C10</f>
        <v>44385</v>
      </c>
      <c r="C10" s="1346">
        <f>Core_Data!E10</f>
        <v>7.8312300053910073</v>
      </c>
      <c r="D10" s="1343">
        <f>Core_Data!G10</f>
        <v>3.5173735394078167</v>
      </c>
      <c r="E10" s="1343">
        <f>Core_Data!I10</f>
        <v>3.0227691938237178</v>
      </c>
      <c r="F10" s="1343">
        <f>Core_Data!K10</f>
        <v>2.6702701838332747</v>
      </c>
      <c r="G10" s="1343">
        <f>Core_Data!M10</f>
        <v>0</v>
      </c>
      <c r="H10" s="1354">
        <f>Core_Data!W10</f>
        <v>3.6824338096107176</v>
      </c>
      <c r="I10" s="1361">
        <f>Core_Data!N10</f>
        <v>6.71</v>
      </c>
      <c r="J10" s="1362">
        <f>Core_Data!O10</f>
        <v>31.5</v>
      </c>
      <c r="K10" s="1362">
        <f>Core_Data!P10</f>
        <v>3.67</v>
      </c>
      <c r="L10" s="1362">
        <f>Core_Data!Q10</f>
        <v>0</v>
      </c>
      <c r="M10" s="1362">
        <f>Core_Data!R10</f>
        <v>3.53</v>
      </c>
      <c r="N10" s="1380">
        <f t="shared" si="0"/>
        <v>4.7269600000000001</v>
      </c>
      <c r="O10" s="1362">
        <f>Core_Data!S10</f>
        <v>0.06</v>
      </c>
      <c r="P10" s="1362">
        <f>Core_Data!T10</f>
        <v>7.0000000000000001E-3</v>
      </c>
      <c r="Q10" s="1363">
        <f>Core_Data!U10</f>
        <v>0.28999999999999998</v>
      </c>
      <c r="R10" s="1377"/>
      <c r="S10" s="1377"/>
    </row>
    <row r="11" spans="1:19" s="191" customFormat="1" x14ac:dyDescent="0.3">
      <c r="A11" s="1373" t="str">
        <f>Core_Data!B11</f>
        <v>EP</v>
      </c>
      <c r="B11" s="1374">
        <f>Core_Data!C11</f>
        <v>44391</v>
      </c>
      <c r="C11" s="1346">
        <f>Core_Data!E11</f>
        <v>6.9792893794204227</v>
      </c>
      <c r="D11" s="1343">
        <f>Core_Data!G11</f>
        <v>3.5031007130453271</v>
      </c>
      <c r="E11" s="1343">
        <f>Core_Data!I11</f>
        <v>3.048371497817886</v>
      </c>
      <c r="F11" s="1343">
        <f>Core_Data!K11</f>
        <v>3.06189652349555</v>
      </c>
      <c r="G11" s="1343">
        <f>Core_Data!M11</f>
        <v>2.3526606607367042</v>
      </c>
      <c r="H11" s="1354">
        <f>Core_Data!W11</f>
        <v>3.7544386541667936</v>
      </c>
      <c r="I11" s="1361">
        <f>Core_Data!N11</f>
        <v>6.11</v>
      </c>
      <c r="J11" s="1362">
        <f>Core_Data!O11</f>
        <v>29.2</v>
      </c>
      <c r="K11" s="1362">
        <f>Core_Data!P11</f>
        <v>3.82</v>
      </c>
      <c r="L11" s="1362">
        <f>Core_Data!Q11</f>
        <v>0.02</v>
      </c>
      <c r="M11" s="1362">
        <f>Core_Data!R11</f>
        <v>3.67</v>
      </c>
      <c r="N11" s="1380">
        <f t="shared" si="0"/>
        <v>4.9420999999999999</v>
      </c>
      <c r="O11" s="1362">
        <f>Core_Data!S11</f>
        <v>7.0000000000000007E-2</v>
      </c>
      <c r="P11" s="1362">
        <f>Core_Data!T11</f>
        <v>7.0000000000000001E-3</v>
      </c>
      <c r="Q11" s="1363">
        <f>Core_Data!U11</f>
        <v>0.23</v>
      </c>
      <c r="R11" s="1377"/>
      <c r="S11" s="1377"/>
    </row>
    <row r="12" spans="1:19" s="191" customFormat="1" x14ac:dyDescent="0.3">
      <c r="A12" s="1373" t="str">
        <f>Core_Data!B12</f>
        <v>EP</v>
      </c>
      <c r="B12" s="1374">
        <f>Core_Data!C12</f>
        <v>44398</v>
      </c>
      <c r="C12" s="1346">
        <f>Core_Data!E12</f>
        <v>7.1243260630757259</v>
      </c>
      <c r="D12" s="1343">
        <f>Core_Data!G12</f>
        <v>3.903561063124283</v>
      </c>
      <c r="E12" s="1343">
        <f>Core_Data!I12</f>
        <v>2.6437438289589763</v>
      </c>
      <c r="F12" s="1343">
        <f>Core_Data!K12</f>
        <v>4.2802806593803524</v>
      </c>
      <c r="G12" s="1343">
        <f>Core_Data!M12</f>
        <v>0</v>
      </c>
      <c r="H12" s="1354">
        <f>Core_Data!W12</f>
        <v>4.4395837599444574</v>
      </c>
      <c r="I12" s="1361">
        <f>Core_Data!N12</f>
        <v>6.77</v>
      </c>
      <c r="J12" s="1362">
        <f>Core_Data!O12</f>
        <v>27.4</v>
      </c>
      <c r="K12" s="1362">
        <f>Core_Data!P12</f>
        <v>3.92</v>
      </c>
      <c r="L12" s="1362">
        <f>Core_Data!Q12</f>
        <v>0.01</v>
      </c>
      <c r="M12" s="1362">
        <f>Core_Data!R12</f>
        <v>3.82</v>
      </c>
      <c r="N12" s="1380">
        <f t="shared" si="0"/>
        <v>5.0599300000000005</v>
      </c>
      <c r="O12" s="1362">
        <f>Core_Data!S12</f>
        <v>0.01</v>
      </c>
      <c r="P12" s="1362">
        <f>Core_Data!T12</f>
        <v>6.0000000000000001E-3</v>
      </c>
      <c r="Q12" s="1363">
        <f>Core_Data!U12</f>
        <v>0.19</v>
      </c>
      <c r="R12" s="1377"/>
      <c r="S12" s="1377"/>
    </row>
    <row r="13" spans="1:19" s="191" customFormat="1" x14ac:dyDescent="0.3">
      <c r="A13" s="1373" t="str">
        <f>Core_Data!B13</f>
        <v>EP</v>
      </c>
      <c r="B13" s="1374">
        <f>Core_Data!C13</f>
        <v>44405</v>
      </c>
      <c r="C13" s="1346">
        <f>Core_Data!E13</f>
        <v>7.4432373448654072</v>
      </c>
      <c r="D13" s="1343">
        <f>Core_Data!G13</f>
        <v>4.7632454669389199</v>
      </c>
      <c r="E13" s="1343">
        <f>Core_Data!I13</f>
        <v>2.9565019022298489</v>
      </c>
      <c r="F13" s="1343">
        <f>Core_Data!K13</f>
        <v>3.2648335664820296</v>
      </c>
      <c r="G13" s="1343">
        <f>Core_Data!M13</f>
        <v>3.0906484876986329</v>
      </c>
      <c r="H13" s="1354">
        <f>Core_Data!W13</f>
        <v>4.7920588152224175</v>
      </c>
      <c r="I13" s="1361">
        <f>Core_Data!N13</f>
        <v>6.71</v>
      </c>
      <c r="J13" s="1362">
        <f>Core_Data!O13</f>
        <v>31.9</v>
      </c>
      <c r="K13" s="1362">
        <f>Core_Data!P13</f>
        <v>0.09</v>
      </c>
      <c r="L13" s="1362">
        <f>Core_Data!Q13</f>
        <v>3.49</v>
      </c>
      <c r="M13" s="1362">
        <f>Core_Data!R13</f>
        <v>4.0599999999999996</v>
      </c>
      <c r="N13" s="1380">
        <f t="shared" si="0"/>
        <v>3.9444500000000002</v>
      </c>
      <c r="O13" s="1362">
        <f>Core_Data!S13</f>
        <v>0.04</v>
      </c>
      <c r="P13" s="1362">
        <f>Core_Data!T13</f>
        <v>7.0000000000000001E-3</v>
      </c>
      <c r="Q13" s="1363">
        <f>Core_Data!U13</f>
        <v>0.3</v>
      </c>
      <c r="R13" s="1377"/>
      <c r="S13" s="1377"/>
    </row>
    <row r="14" spans="1:19" s="191" customFormat="1" x14ac:dyDescent="0.3">
      <c r="A14" s="1373" t="str">
        <f>Core_Data!B14</f>
        <v>EP</v>
      </c>
      <c r="B14" s="1374">
        <f>Core_Data!C14</f>
        <v>44412</v>
      </c>
      <c r="C14" s="1346">
        <f>Core_Data!E14</f>
        <v>7.548210102201657</v>
      </c>
      <c r="D14" s="1343">
        <f>Core_Data!G14</f>
        <v>3.7099616071987671</v>
      </c>
      <c r="E14" s="1343">
        <f>Core_Data!I14</f>
        <v>3.4315718643235331</v>
      </c>
      <c r="F14" s="1343">
        <f>Core_Data!K14</f>
        <v>2.5078973554355652</v>
      </c>
      <c r="G14" s="1343">
        <f>Core_Data!M14</f>
        <v>0</v>
      </c>
      <c r="H14" s="1354">
        <f>Core_Data!W14</f>
        <v>3.9112367497031117</v>
      </c>
      <c r="I14" s="1361">
        <f>Core_Data!N14</f>
        <v>6.76</v>
      </c>
      <c r="J14" s="1362">
        <f>Core_Data!O14</f>
        <v>29.4</v>
      </c>
      <c r="K14" s="1362">
        <f>Core_Data!P14</f>
        <v>0.15</v>
      </c>
      <c r="L14" s="1362">
        <f>Core_Data!Q14</f>
        <v>3.53</v>
      </c>
      <c r="M14" s="1362">
        <f>Core_Data!R14</f>
        <v>3.57</v>
      </c>
      <c r="N14" s="1380">
        <f t="shared" si="0"/>
        <v>4.0656099999999995</v>
      </c>
      <c r="O14" s="1362">
        <f>Core_Data!S14</f>
        <v>0.01</v>
      </c>
      <c r="P14" s="1362">
        <f>Core_Data!T14</f>
        <v>8.0000000000000002E-3</v>
      </c>
      <c r="Q14" s="1363">
        <f>Core_Data!U14</f>
        <v>0.32</v>
      </c>
      <c r="R14" s="1377"/>
      <c r="S14" s="1377"/>
    </row>
    <row r="15" spans="1:19" s="191" customFormat="1" x14ac:dyDescent="0.3">
      <c r="A15" s="1373" t="str">
        <f>Core_Data!B15</f>
        <v>EP</v>
      </c>
      <c r="B15" s="1374">
        <f>Core_Data!C15</f>
        <v>44419</v>
      </c>
      <c r="C15" s="1346">
        <f>Core_Data!E15</f>
        <v>7.4768331624978526</v>
      </c>
      <c r="D15" s="1343">
        <f>Core_Data!G15</f>
        <v>3.3165813878647228</v>
      </c>
      <c r="E15" s="1343">
        <f>Core_Data!I15</f>
        <v>3.473547112131016</v>
      </c>
      <c r="F15" s="1343">
        <f>Core_Data!K15</f>
        <v>0</v>
      </c>
      <c r="G15" s="1343">
        <f>Core_Data!M15</f>
        <v>1.8080680376038922</v>
      </c>
      <c r="H15" s="1354">
        <f>Core_Data!W15</f>
        <v>3.7086422698680894</v>
      </c>
      <c r="I15" s="1361">
        <f>Core_Data!N15</f>
        <v>6.67</v>
      </c>
      <c r="J15" s="1362">
        <f>Core_Data!O15</f>
        <v>30.2</v>
      </c>
      <c r="K15" s="1362">
        <f>Core_Data!P15</f>
        <v>0.14000000000000001</v>
      </c>
      <c r="L15" s="1362">
        <f>Core_Data!Q15</f>
        <v>3.26</v>
      </c>
      <c r="M15" s="1362">
        <f>Core_Data!R15</f>
        <v>3.89</v>
      </c>
      <c r="N15" s="1380">
        <f t="shared" si="0"/>
        <v>3.7565399999999998</v>
      </c>
      <c r="O15" s="1362">
        <f>Core_Data!S15</f>
        <v>0.36</v>
      </c>
      <c r="P15" s="1362">
        <f>Core_Data!T15</f>
        <v>8.9999999999999993E-3</v>
      </c>
      <c r="Q15" s="1363">
        <f>Core_Data!U15</f>
        <v>0.27</v>
      </c>
      <c r="R15" s="1377"/>
      <c r="S15" s="1377"/>
    </row>
    <row r="16" spans="1:19" s="191" customFormat="1" x14ac:dyDescent="0.3">
      <c r="A16" s="1373" t="str">
        <f>Core_Data!B16</f>
        <v>EP</v>
      </c>
      <c r="B16" s="1374">
        <f>Core_Data!C16</f>
        <v>44426</v>
      </c>
      <c r="C16" s="1346">
        <f>Core_Data!E16</f>
        <v>7.4727366054879463</v>
      </c>
      <c r="D16" s="1343">
        <f>Core_Data!G16</f>
        <v>4.9646320399135817</v>
      </c>
      <c r="E16" s="1343">
        <f>Core_Data!I16</f>
        <v>3.1710241715303273</v>
      </c>
      <c r="F16" s="1343">
        <f>Core_Data!K16</f>
        <v>0</v>
      </c>
      <c r="G16" s="1343">
        <f>Core_Data!M16</f>
        <v>2.0048199947937011</v>
      </c>
      <c r="H16" s="1354">
        <f>Core_Data!W16</f>
        <v>4.9720302285741473</v>
      </c>
      <c r="I16" s="1361">
        <f>Core_Data!N16</f>
        <v>6.71</v>
      </c>
      <c r="J16" s="1362">
        <f>Core_Data!O16</f>
        <v>32.799999999999997</v>
      </c>
      <c r="K16" s="1362">
        <f>Core_Data!P16</f>
        <v>0.18</v>
      </c>
      <c r="L16" s="1362">
        <f>Core_Data!Q16</f>
        <v>3.66</v>
      </c>
      <c r="M16" s="1362">
        <f>Core_Data!R16</f>
        <v>3.82</v>
      </c>
      <c r="N16" s="1380">
        <f t="shared" si="0"/>
        <v>4.2468599999999999</v>
      </c>
      <c r="O16" s="1362">
        <f>Core_Data!S16</f>
        <v>0.03</v>
      </c>
      <c r="P16" s="1362">
        <f>Core_Data!T16</f>
        <v>8.0000000000000002E-3</v>
      </c>
      <c r="Q16" s="1363">
        <f>Core_Data!U16</f>
        <v>0.28999999999999998</v>
      </c>
      <c r="R16" s="1377"/>
      <c r="S16" s="1377"/>
    </row>
    <row r="17" spans="1:19" s="191" customFormat="1" x14ac:dyDescent="0.3">
      <c r="A17" s="1373" t="str">
        <f>Core_Data!B17</f>
        <v>EP</v>
      </c>
      <c r="B17" s="1374">
        <f>Core_Data!C17</f>
        <v>44433</v>
      </c>
      <c r="C17" s="1346">
        <f>Core_Data!E17</f>
        <v>7.1744460476783178</v>
      </c>
      <c r="D17" s="1343">
        <f>Core_Data!G17</f>
        <v>3.1697614258419864</v>
      </c>
      <c r="E17" s="1343">
        <f>Core_Data!I17</f>
        <v>3.2751356342848927</v>
      </c>
      <c r="F17" s="1343">
        <f>Core_Data!K17</f>
        <v>3.0698234944731251</v>
      </c>
      <c r="G17" s="1343">
        <f>Core_Data!M17</f>
        <v>0</v>
      </c>
      <c r="H17" s="1354">
        <f>Core_Data!W17</f>
        <v>3.6567643468940103</v>
      </c>
      <c r="I17" s="1361">
        <f>Core_Data!N17</f>
        <v>6.84</v>
      </c>
      <c r="J17" s="1362">
        <f>Core_Data!O17</f>
        <v>33.5</v>
      </c>
      <c r="K17" s="1362">
        <f>Core_Data!P17</f>
        <v>0.21</v>
      </c>
      <c r="L17" s="1362">
        <f>Core_Data!Q17</f>
        <v>3.94</v>
      </c>
      <c r="M17" s="1362">
        <f>Core_Data!R17</f>
        <v>3.94</v>
      </c>
      <c r="N17" s="1380">
        <f t="shared" si="0"/>
        <v>4.5926599999999995</v>
      </c>
      <c r="O17" s="1362">
        <f>Core_Data!S17</f>
        <v>0</v>
      </c>
      <c r="P17" s="1362">
        <f>Core_Data!T17</f>
        <v>7.0000000000000001E-3</v>
      </c>
      <c r="Q17" s="1363">
        <f>Core_Data!U17</f>
        <v>0.28999999999999998</v>
      </c>
      <c r="R17" s="1377"/>
      <c r="S17" s="1377"/>
    </row>
    <row r="18" spans="1:19" s="191" customFormat="1" x14ac:dyDescent="0.3">
      <c r="A18" s="1373" t="str">
        <f>Core_Data!B18</f>
        <v>SPI</v>
      </c>
      <c r="B18" s="1374">
        <f>Core_Data!C18</f>
        <v>44335</v>
      </c>
      <c r="C18" s="1346">
        <f>Core_Data!E18</f>
        <v>7.2488480361773453</v>
      </c>
      <c r="D18" s="1343">
        <f>Core_Data!G18</f>
        <v>4.721946009032651</v>
      </c>
      <c r="E18" s="1343">
        <f>Core_Data!I18</f>
        <v>2.5435253467391021</v>
      </c>
      <c r="F18" s="1343">
        <f>Core_Data!K18</f>
        <v>0</v>
      </c>
      <c r="G18" s="1343">
        <f>Core_Data!M18</f>
        <v>2.5274824013348796</v>
      </c>
      <c r="H18" s="1354">
        <f>Core_Data!W18</f>
        <v>4.7275646836244176</v>
      </c>
      <c r="I18" s="1361">
        <f>Core_Data!N18</f>
        <v>6.62</v>
      </c>
      <c r="J18" s="1362">
        <f>Core_Data!O18</f>
        <v>24.4</v>
      </c>
      <c r="K18" s="1362">
        <f>Core_Data!P18</f>
        <v>0.17</v>
      </c>
      <c r="L18" s="1362">
        <f>Core_Data!Q18</f>
        <v>1.99</v>
      </c>
      <c r="M18" s="1362">
        <f>Core_Data!R18</f>
        <v>2.25</v>
      </c>
      <c r="N18" s="1380">
        <f t="shared" si="0"/>
        <v>2.4019900000000001</v>
      </c>
      <c r="O18" s="1362">
        <f>Core_Data!S18</f>
        <v>0.2</v>
      </c>
      <c r="P18" s="1362">
        <f>Core_Data!T18</f>
        <v>5.0000000000000001E-3</v>
      </c>
      <c r="Q18" s="1363">
        <f>Core_Data!U18</f>
        <v>0.26</v>
      </c>
      <c r="R18" s="1377"/>
      <c r="S18" s="1377"/>
    </row>
    <row r="19" spans="1:19" s="191" customFormat="1" x14ac:dyDescent="0.3">
      <c r="A19" s="1373" t="str">
        <f>Core_Data!B19</f>
        <v>SPI</v>
      </c>
      <c r="B19" s="1374">
        <f>Core_Data!C19</f>
        <v>44342</v>
      </c>
      <c r="C19" s="1346">
        <f>Core_Data!E19</f>
        <v>7.4112603147058156</v>
      </c>
      <c r="D19" s="1343">
        <f>Core_Data!G19</f>
        <v>4.8538832053589882</v>
      </c>
      <c r="E19" s="1343">
        <f>Core_Data!I19</f>
        <v>2.6247939608020308</v>
      </c>
      <c r="F19" s="1343">
        <f>Core_Data!K19</f>
        <v>0</v>
      </c>
      <c r="G19" s="1343">
        <f>Core_Data!M19</f>
        <v>2.4706463928792002</v>
      </c>
      <c r="H19" s="1354">
        <f>Core_Data!W19</f>
        <v>4.8582211499574273</v>
      </c>
      <c r="I19" s="1361">
        <f>Core_Data!N19</f>
        <v>6.56</v>
      </c>
      <c r="J19" s="1362">
        <f>Core_Data!O19</f>
        <v>25.8</v>
      </c>
      <c r="K19" s="1362">
        <f>Core_Data!P19</f>
        <v>0.11</v>
      </c>
      <c r="L19" s="1362">
        <f>Core_Data!Q19</f>
        <v>2.2799999999999998</v>
      </c>
      <c r="M19" s="1362">
        <f>Core_Data!R19</f>
        <v>2.72</v>
      </c>
      <c r="N19" s="1380">
        <f t="shared" si="0"/>
        <v>2.6428399999999996</v>
      </c>
      <c r="O19" s="1362">
        <f>Core_Data!S19</f>
        <v>0.27</v>
      </c>
      <c r="P19" s="1362">
        <f>Core_Data!T19</f>
        <v>5.0000000000000001E-3</v>
      </c>
      <c r="Q19" s="1363">
        <f>Core_Data!U19</f>
        <v>0.34</v>
      </c>
      <c r="R19" s="1377"/>
      <c r="S19" s="1377"/>
    </row>
    <row r="20" spans="1:19" s="191" customFormat="1" x14ac:dyDescent="0.3">
      <c r="A20" s="1373" t="str">
        <f>Core_Data!B20</f>
        <v>SPI</v>
      </c>
      <c r="B20" s="1374">
        <f>Core_Data!C20</f>
        <v>44356</v>
      </c>
      <c r="C20" s="1346">
        <f>Core_Data!E20</f>
        <v>7.1820159348297006</v>
      </c>
      <c r="D20" s="1343">
        <f>Core_Data!G20</f>
        <v>4.163497354716899</v>
      </c>
      <c r="E20" s="1343">
        <f>Core_Data!I20</f>
        <v>3.1234874552157841</v>
      </c>
      <c r="F20" s="1343">
        <f>Core_Data!K20</f>
        <v>3.8012376756987201</v>
      </c>
      <c r="G20" s="1343">
        <f>Core_Data!M20</f>
        <v>3.0157247208101761</v>
      </c>
      <c r="H20" s="1354">
        <f>Core_Data!W20</f>
        <v>4.366695681353594</v>
      </c>
      <c r="I20" s="1361">
        <f>Core_Data!N20</f>
        <v>6.87</v>
      </c>
      <c r="J20" s="1362">
        <f>Core_Data!O20</f>
        <v>26.4</v>
      </c>
      <c r="K20" s="1362">
        <f>Core_Data!P20</f>
        <v>0.11</v>
      </c>
      <c r="L20" s="1362">
        <f>Core_Data!Q20</f>
        <v>2.2799999999999998</v>
      </c>
      <c r="M20" s="1362">
        <f>Core_Data!R20</f>
        <v>2.42</v>
      </c>
      <c r="N20" s="1380">
        <f t="shared" si="0"/>
        <v>2.6428399999999996</v>
      </c>
      <c r="O20" s="1362">
        <f>Core_Data!S20</f>
        <v>0.25</v>
      </c>
      <c r="P20" s="1362">
        <f>Core_Data!T20</f>
        <v>7.0000000000000001E-3</v>
      </c>
      <c r="Q20" s="1363">
        <f>Core_Data!U20</f>
        <v>0.35</v>
      </c>
      <c r="R20" s="1377"/>
      <c r="S20" s="1377"/>
    </row>
    <row r="21" spans="1:19" s="191" customFormat="1" x14ac:dyDescent="0.3">
      <c r="A21" s="1373" t="str">
        <f>Core_Data!B21</f>
        <v>SPI</v>
      </c>
      <c r="B21" s="1374">
        <f>Core_Data!C21</f>
        <v>44370</v>
      </c>
      <c r="C21" s="1346">
        <f>Core_Data!E21</f>
        <v>6.0332986709654914</v>
      </c>
      <c r="D21" s="1343">
        <f>Core_Data!G21</f>
        <v>0</v>
      </c>
      <c r="E21" s="1343">
        <f>Core_Data!I21</f>
        <v>1.8361707979478543</v>
      </c>
      <c r="F21" s="1343">
        <f>Core_Data!K21</f>
        <v>0</v>
      </c>
      <c r="G21" s="1343">
        <f>Core_Data!M21</f>
        <v>2.2615535480783655</v>
      </c>
      <c r="H21" s="1354">
        <f>Core_Data!W21</f>
        <v>2.4000161379836684</v>
      </c>
      <c r="I21" s="1361">
        <f>Core_Data!N21</f>
        <v>6.92</v>
      </c>
      <c r="J21" s="1362">
        <f>Core_Data!O21</f>
        <v>27.6</v>
      </c>
      <c r="K21" s="1362">
        <f>Core_Data!P21</f>
        <v>3</v>
      </c>
      <c r="L21" s="1362">
        <f>Core_Data!Q21</f>
        <v>0</v>
      </c>
      <c r="M21" s="1362">
        <f>Core_Data!R21</f>
        <v>2.92</v>
      </c>
      <c r="N21" s="1380">
        <f t="shared" si="0"/>
        <v>3.8639999999999999</v>
      </c>
      <c r="O21" s="1362">
        <f>Core_Data!S21</f>
        <v>0</v>
      </c>
      <c r="P21" s="1362">
        <f>Core_Data!T21</f>
        <v>7.0000000000000001E-3</v>
      </c>
      <c r="Q21" s="1363">
        <f>Core_Data!U21</f>
        <v>0.3</v>
      </c>
      <c r="R21" s="1377"/>
      <c r="S21" s="1377"/>
    </row>
    <row r="22" spans="1:19" s="191" customFormat="1" x14ac:dyDescent="0.3">
      <c r="A22" s="1373" t="str">
        <f>Core_Data!B22</f>
        <v>SPI</v>
      </c>
      <c r="B22" s="1374">
        <f>Core_Data!C22</f>
        <v>44377</v>
      </c>
      <c r="C22" s="1346">
        <f>Core_Data!E22</f>
        <v>5.6489012349832528</v>
      </c>
      <c r="D22" s="1343">
        <f>Core_Data!G22</f>
        <v>2.6724300034261792</v>
      </c>
      <c r="E22" s="1343">
        <f>Core_Data!I22</f>
        <v>0</v>
      </c>
      <c r="F22" s="1343">
        <f>Core_Data!K22</f>
        <v>0</v>
      </c>
      <c r="G22" s="1343">
        <f>Core_Data!M22</f>
        <v>0</v>
      </c>
      <c r="H22" s="1354">
        <f>Core_Data!W22</f>
        <v>2.6724300034261792</v>
      </c>
      <c r="I22" s="1361">
        <f>Core_Data!N22</f>
        <v>7</v>
      </c>
      <c r="J22" s="1362">
        <f>Core_Data!O22</f>
        <v>28.1</v>
      </c>
      <c r="K22" s="1362">
        <f>Core_Data!P22</f>
        <v>2.78</v>
      </c>
      <c r="L22" s="1362">
        <f>Core_Data!Q22</f>
        <v>0.01</v>
      </c>
      <c r="M22" s="1362">
        <f>Core_Data!R22</f>
        <v>2.8</v>
      </c>
      <c r="N22" s="1380">
        <f t="shared" si="0"/>
        <v>3.5916099999999997</v>
      </c>
      <c r="O22" s="1362">
        <f>Core_Data!S22</f>
        <v>0.25</v>
      </c>
      <c r="P22" s="1362">
        <f>Core_Data!T22</f>
        <v>0.1</v>
      </c>
      <c r="Q22" s="1363">
        <f>Core_Data!U22</f>
        <v>0.37</v>
      </c>
      <c r="R22" s="1377"/>
      <c r="S22" s="1377"/>
    </row>
    <row r="23" spans="1:19" s="191" customFormat="1" x14ac:dyDescent="0.3">
      <c r="A23" s="1373" t="str">
        <f>Core_Data!B23</f>
        <v>SPI</v>
      </c>
      <c r="B23" s="1374">
        <f>Core_Data!C23</f>
        <v>44385</v>
      </c>
      <c r="C23" s="1346">
        <f>Core_Data!E23</f>
        <v>5.4593349146911159</v>
      </c>
      <c r="D23" s="1343">
        <f>Core_Data!G23</f>
        <v>2.4792015600758024</v>
      </c>
      <c r="E23" s="1343">
        <f>Core_Data!I23</f>
        <v>0</v>
      </c>
      <c r="F23" s="1343">
        <f>Core_Data!K23</f>
        <v>0</v>
      </c>
      <c r="G23" s="1343">
        <f>Core_Data!M23</f>
        <v>3.6197326464697857</v>
      </c>
      <c r="H23" s="1354">
        <f>Core_Data!W23</f>
        <v>3.6500712522310739</v>
      </c>
      <c r="I23" s="1361">
        <f>Core_Data!N23</f>
        <v>6.88</v>
      </c>
      <c r="J23" s="1362">
        <f>Core_Data!O23</f>
        <v>28.6</v>
      </c>
      <c r="K23" s="1362">
        <f>Core_Data!P23</f>
        <v>2.67</v>
      </c>
      <c r="L23" s="1362">
        <f>Core_Data!Q23</f>
        <v>0.03</v>
      </c>
      <c r="M23" s="1362">
        <f>Core_Data!R23</f>
        <v>2.78</v>
      </c>
      <c r="N23" s="1380">
        <f t="shared" si="0"/>
        <v>3.47187</v>
      </c>
      <c r="O23" s="1362">
        <f>Core_Data!S23</f>
        <v>0.03</v>
      </c>
      <c r="P23" s="1362">
        <f>Core_Data!T23</f>
        <v>5.0000000000000001E-3</v>
      </c>
      <c r="Q23" s="1363">
        <f>Core_Data!U23</f>
        <v>0.35</v>
      </c>
      <c r="R23" s="1377"/>
      <c r="S23" s="1377"/>
    </row>
    <row r="24" spans="1:19" s="191" customFormat="1" x14ac:dyDescent="0.3">
      <c r="A24" s="1373" t="str">
        <f>Core_Data!B24</f>
        <v>SPI</v>
      </c>
      <c r="B24" s="1374">
        <f>Core_Data!C24</f>
        <v>44391</v>
      </c>
      <c r="C24" s="1346">
        <f>Core_Data!E24</f>
        <v>5.9118235110714696</v>
      </c>
      <c r="D24" s="1343">
        <f>Core_Data!G24</f>
        <v>3.0981883072865495</v>
      </c>
      <c r="E24" s="1343">
        <f>Core_Data!I24</f>
        <v>0</v>
      </c>
      <c r="F24" s="1343">
        <f>Core_Data!K24</f>
        <v>0</v>
      </c>
      <c r="G24" s="1343">
        <f>Core_Data!M24</f>
        <v>0</v>
      </c>
      <c r="H24" s="1354">
        <f>Core_Data!W24</f>
        <v>3.0981883072865495</v>
      </c>
      <c r="I24" s="1361">
        <f>Core_Data!N24</f>
        <v>6.77</v>
      </c>
      <c r="J24" s="1362">
        <f>Core_Data!O24</f>
        <v>28.6</v>
      </c>
      <c r="K24" s="1362">
        <f>Core_Data!P24</f>
        <v>2.64</v>
      </c>
      <c r="L24" s="1362">
        <f>Core_Data!Q24</f>
        <v>0.01</v>
      </c>
      <c r="M24" s="1362">
        <f>Core_Data!R24</f>
        <v>2.81</v>
      </c>
      <c r="N24" s="1380">
        <f t="shared" si="0"/>
        <v>3.4112900000000002</v>
      </c>
      <c r="O24" s="1362">
        <f>Core_Data!S24</f>
        <v>0.03</v>
      </c>
      <c r="P24" s="1362">
        <f>Core_Data!T24</f>
        <v>6.0000000000000001E-3</v>
      </c>
      <c r="Q24" s="1363">
        <f>Core_Data!U24</f>
        <v>0.42</v>
      </c>
      <c r="R24" s="1377"/>
      <c r="S24" s="1377"/>
    </row>
    <row r="25" spans="1:19" s="191" customFormat="1" x14ac:dyDescent="0.3">
      <c r="A25" s="1373" t="str">
        <f>Core_Data!B25</f>
        <v>SPI</v>
      </c>
      <c r="B25" s="1374">
        <f>Core_Data!C25</f>
        <v>44398</v>
      </c>
      <c r="C25" s="1346">
        <f>Core_Data!E25</f>
        <v>6.3136663056555458</v>
      </c>
      <c r="D25" s="1343">
        <f>Core_Data!G25</f>
        <v>0</v>
      </c>
      <c r="E25" s="1343">
        <f>Core_Data!I25</f>
        <v>0</v>
      </c>
      <c r="F25" s="1343">
        <f>Core_Data!K25</f>
        <v>4.1051102984023373</v>
      </c>
      <c r="G25" s="1343">
        <f>Core_Data!M25</f>
        <v>0</v>
      </c>
      <c r="H25" s="1354">
        <f>Core_Data!W25</f>
        <v>4.1051102984023373</v>
      </c>
      <c r="I25" s="1361">
        <f>Core_Data!N25</f>
        <v>6.71</v>
      </c>
      <c r="J25" s="1362">
        <f>Core_Data!O25</f>
        <v>28.6</v>
      </c>
      <c r="K25" s="1362">
        <f>Core_Data!P25</f>
        <v>2.78</v>
      </c>
      <c r="L25" s="1362">
        <f>Core_Data!Q25</f>
        <v>0.03</v>
      </c>
      <c r="M25" s="1362">
        <f>Core_Data!R25</f>
        <v>2.73</v>
      </c>
      <c r="N25" s="1380">
        <f t="shared" si="0"/>
        <v>3.61355</v>
      </c>
      <c r="O25" s="1362">
        <f>Core_Data!S25</f>
        <v>0.02</v>
      </c>
      <c r="P25" s="1362">
        <f>Core_Data!T25</f>
        <v>6.0000000000000001E-3</v>
      </c>
      <c r="Q25" s="1363">
        <f>Core_Data!U25</f>
        <v>0.38</v>
      </c>
      <c r="R25" s="1377"/>
      <c r="S25" s="1377"/>
    </row>
    <row r="26" spans="1:19" s="191" customFormat="1" x14ac:dyDescent="0.3">
      <c r="A26" s="1373" t="str">
        <f>Core_Data!B26</f>
        <v>SPI</v>
      </c>
      <c r="B26" s="1374">
        <f>Core_Data!C26</f>
        <v>44405</v>
      </c>
      <c r="C26" s="1346">
        <f>Core_Data!E26</f>
        <v>8.6081730970830517</v>
      </c>
      <c r="D26" s="1343">
        <f>Core_Data!G26</f>
        <v>0</v>
      </c>
      <c r="E26" s="1343">
        <f>Core_Data!I26</f>
        <v>0</v>
      </c>
      <c r="F26" s="1343">
        <f>Core_Data!K26</f>
        <v>5.8665072771985223</v>
      </c>
      <c r="G26" s="1343">
        <f>Core_Data!M26</f>
        <v>0</v>
      </c>
      <c r="H26" s="1354">
        <f>Core_Data!W26</f>
        <v>5.8665072771985223</v>
      </c>
      <c r="I26" s="1361">
        <f>Core_Data!N26</f>
        <v>6.74</v>
      </c>
      <c r="J26" s="1362">
        <f>Core_Data!O26</f>
        <v>29.7</v>
      </c>
      <c r="K26" s="1362">
        <f>Core_Data!P26</f>
        <v>0.04</v>
      </c>
      <c r="L26" s="1362">
        <f>Core_Data!Q26</f>
        <v>0.02</v>
      </c>
      <c r="M26" s="1362">
        <f>Core_Data!R26</f>
        <v>0.04</v>
      </c>
      <c r="N26" s="1380">
        <f t="shared" si="0"/>
        <v>7.3459999999999998E-2</v>
      </c>
      <c r="O26" s="1362">
        <f>Core_Data!S26</f>
        <v>0.02</v>
      </c>
      <c r="P26" s="1362">
        <f>Core_Data!T26</f>
        <v>7.0000000000000001E-3</v>
      </c>
      <c r="Q26" s="1363">
        <f>Core_Data!U26</f>
        <v>0.48</v>
      </c>
      <c r="R26" s="1377"/>
      <c r="S26" s="1377"/>
    </row>
    <row r="27" spans="1:19" s="191" customFormat="1" x14ac:dyDescent="0.3">
      <c r="A27" s="1373" t="str">
        <f>Core_Data!B27</f>
        <v>SPI</v>
      </c>
      <c r="B27" s="1374">
        <f>Core_Data!C27</f>
        <v>44412</v>
      </c>
      <c r="C27" s="1346">
        <f>Core_Data!E27</f>
        <v>7.7628834849747959</v>
      </c>
      <c r="D27" s="1343">
        <f>Core_Data!G27</f>
        <v>3.7621508354431223</v>
      </c>
      <c r="E27" s="1343">
        <f>Core_Data!I27</f>
        <v>2.828397132065815</v>
      </c>
      <c r="F27" s="1343">
        <f>Core_Data!K27</f>
        <v>0</v>
      </c>
      <c r="G27" s="1343">
        <f>Core_Data!M27</f>
        <v>0</v>
      </c>
      <c r="H27" s="1354">
        <f>Core_Data!W27</f>
        <v>3.8100012547570228</v>
      </c>
      <c r="I27" s="1361">
        <f>Core_Data!N27</f>
        <v>6.7</v>
      </c>
      <c r="J27" s="1362">
        <f>Core_Data!O27</f>
        <v>29.7</v>
      </c>
      <c r="K27" s="1362">
        <f>Core_Data!P27</f>
        <v>0.06</v>
      </c>
      <c r="L27" s="1362">
        <f>Core_Data!Q27</f>
        <v>2.19</v>
      </c>
      <c r="M27" s="1362">
        <f>Core_Data!R27</f>
        <v>2.48</v>
      </c>
      <c r="N27" s="1380">
        <f t="shared" si="0"/>
        <v>2.4797099999999999</v>
      </c>
      <c r="O27" s="1362">
        <f>Core_Data!S27</f>
        <v>0.19</v>
      </c>
      <c r="P27" s="1362">
        <f>Core_Data!T27</f>
        <v>7.0000000000000001E-3</v>
      </c>
      <c r="Q27" s="1363">
        <f>Core_Data!U27</f>
        <v>0.43</v>
      </c>
      <c r="R27" s="1377"/>
      <c r="S27" s="1377"/>
    </row>
    <row r="28" spans="1:19" s="191" customFormat="1" x14ac:dyDescent="0.3">
      <c r="A28" s="1373" t="str">
        <f>Core_Data!B28</f>
        <v>SPI</v>
      </c>
      <c r="B28" s="1374">
        <f>Core_Data!C28</f>
        <v>44419</v>
      </c>
      <c r="C28" s="1346">
        <f>Core_Data!E28</f>
        <v>6.9571425802081057</v>
      </c>
      <c r="D28" s="1343">
        <f>Core_Data!G28</f>
        <v>3.8028826843473644</v>
      </c>
      <c r="E28" s="1343">
        <f>Core_Data!I28</f>
        <v>2.8390480438118804</v>
      </c>
      <c r="F28" s="1343">
        <f>Core_Data!K28</f>
        <v>3.1450774317855172</v>
      </c>
      <c r="G28" s="1343">
        <f>Core_Data!M28</f>
        <v>0</v>
      </c>
      <c r="H28" s="1354">
        <f>Core_Data!W28</f>
        <v>3.9262666364612002</v>
      </c>
      <c r="I28" s="1361">
        <f>Core_Data!N28</f>
        <v>6.68</v>
      </c>
      <c r="J28" s="1362">
        <f>Core_Data!O28</f>
        <v>29.7</v>
      </c>
      <c r="K28" s="1362">
        <f>Core_Data!P28</f>
        <v>0.1</v>
      </c>
      <c r="L28" s="1362">
        <f>Core_Data!Q28</f>
        <v>2.0099999999999998</v>
      </c>
      <c r="M28" s="1362">
        <f>Core_Data!R28</f>
        <v>2.35</v>
      </c>
      <c r="N28" s="1380">
        <f t="shared" si="0"/>
        <v>2.3337699999999999</v>
      </c>
      <c r="O28" s="1362">
        <f>Core_Data!S28</f>
        <v>0.18</v>
      </c>
      <c r="P28" s="1362">
        <f>Core_Data!T28</f>
        <v>6.0000000000000001E-3</v>
      </c>
      <c r="Q28" s="1363">
        <f>Core_Data!U28</f>
        <v>0.32</v>
      </c>
      <c r="R28" s="1377"/>
      <c r="S28" s="1377"/>
    </row>
    <row r="29" spans="1:19" s="191" customFormat="1" x14ac:dyDescent="0.3">
      <c r="A29" s="1373" t="str">
        <f>Core_Data!B29</f>
        <v>SPI</v>
      </c>
      <c r="B29" s="1374">
        <f>Core_Data!C29</f>
        <v>44426</v>
      </c>
      <c r="C29" s="1346">
        <f>Core_Data!E29</f>
        <v>7.093407807743783</v>
      </c>
      <c r="D29" s="1343">
        <f>Core_Data!G29</f>
        <v>4.5633325917001768</v>
      </c>
      <c r="E29" s="1343">
        <f>Core_Data!I29</f>
        <v>2.0264676710536986</v>
      </c>
      <c r="F29" s="1343">
        <f>Core_Data!K29</f>
        <v>0</v>
      </c>
      <c r="G29" s="1343">
        <f>Core_Data!M29</f>
        <v>0</v>
      </c>
      <c r="H29" s="1354">
        <f>Core_Data!W29</f>
        <v>4.5645923561721409</v>
      </c>
      <c r="I29" s="1361">
        <f>Core_Data!N29</f>
        <v>6.78</v>
      </c>
      <c r="J29" s="1362">
        <f>Core_Data!O29</f>
        <v>29.9</v>
      </c>
      <c r="K29" s="1362">
        <f>Core_Data!P29</f>
        <v>7.0000000000000007E-2</v>
      </c>
      <c r="L29" s="1362">
        <f>Core_Data!Q29</f>
        <v>1.96</v>
      </c>
      <c r="M29" s="1362">
        <f>Core_Data!R29</f>
        <v>2.36</v>
      </c>
      <c r="N29" s="1380">
        <f t="shared" si="0"/>
        <v>2.2402799999999998</v>
      </c>
      <c r="O29" s="1362">
        <f>Core_Data!S29</f>
        <v>0.11</v>
      </c>
      <c r="P29" s="1362">
        <f>Core_Data!T29</f>
        <v>2E-3</v>
      </c>
      <c r="Q29" s="1363">
        <f>Core_Data!U29</f>
        <v>0.4</v>
      </c>
      <c r="R29" s="1377"/>
      <c r="S29" s="1377"/>
    </row>
    <row r="30" spans="1:19" s="191" customFormat="1" x14ac:dyDescent="0.3">
      <c r="A30" s="1373" t="str">
        <f>Core_Data!B30</f>
        <v>SPI</v>
      </c>
      <c r="B30" s="1374">
        <f>Core_Data!C30</f>
        <v>44433</v>
      </c>
      <c r="C30" s="1346">
        <f>Core_Data!E30</f>
        <v>9.5187224424310894</v>
      </c>
      <c r="D30" s="1343">
        <f>Core_Data!G30</f>
        <v>4.0692002329379919</v>
      </c>
      <c r="E30" s="1343">
        <f>Core_Data!I30</f>
        <v>2.1889560866282487</v>
      </c>
      <c r="F30" s="1343">
        <f>Core_Data!K30</f>
        <v>5.0415213521965967</v>
      </c>
      <c r="G30" s="1343">
        <f>Core_Data!M30</f>
        <v>0</v>
      </c>
      <c r="H30" s="1354">
        <f>Core_Data!W30</f>
        <v>5.0860552312793166</v>
      </c>
      <c r="I30" s="1361">
        <f>Core_Data!N30</f>
        <v>6.85</v>
      </c>
      <c r="J30" s="1362">
        <f>Core_Data!O30</f>
        <v>29.6</v>
      </c>
      <c r="K30" s="1362">
        <f>Core_Data!P30</f>
        <v>0.11</v>
      </c>
      <c r="L30" s="1362">
        <f>Core_Data!Q30</f>
        <v>1.24</v>
      </c>
      <c r="M30" s="1362">
        <f>Core_Data!R30</f>
        <v>1.21</v>
      </c>
      <c r="N30" s="1380">
        <f t="shared" si="0"/>
        <v>1.50196</v>
      </c>
      <c r="O30" s="1362">
        <f>Core_Data!S30</f>
        <v>0.16</v>
      </c>
      <c r="P30" s="1362">
        <f>Core_Data!T30</f>
        <v>1E-3</v>
      </c>
      <c r="Q30" s="1363">
        <f>Core_Data!U30</f>
        <v>0.42</v>
      </c>
      <c r="R30" s="1377"/>
      <c r="S30" s="1377"/>
    </row>
    <row r="31" spans="1:19" s="191" customFormat="1" x14ac:dyDescent="0.3">
      <c r="A31" s="1373" t="str">
        <f>Core_Data!B31</f>
        <v>SPO</v>
      </c>
      <c r="B31" s="1374">
        <f>Core_Data!C31</f>
        <v>44335</v>
      </c>
      <c r="C31" s="1346">
        <f>Core_Data!E31</f>
        <v>7.3976328979330424</v>
      </c>
      <c r="D31" s="1343">
        <f>Core_Data!G31</f>
        <v>5.1051171753821354</v>
      </c>
      <c r="E31" s="1343">
        <f>Core_Data!I31</f>
        <v>3.3694614758953745</v>
      </c>
      <c r="F31" s="1343">
        <f>Core_Data!K31</f>
        <v>2.6119711757154414</v>
      </c>
      <c r="G31" s="1343">
        <f>Core_Data!M31</f>
        <v>1.9773829866860844</v>
      </c>
      <c r="H31" s="1354">
        <f>Core_Data!W31</f>
        <v>5.1147115589511296</v>
      </c>
      <c r="I31" s="1361">
        <f>Core_Data!N31</f>
        <v>6.53</v>
      </c>
      <c r="J31" s="1362">
        <f>Core_Data!O31</f>
        <v>24.8</v>
      </c>
      <c r="K31" s="1362">
        <f>Core_Data!P31</f>
        <v>0.11</v>
      </c>
      <c r="L31" s="1362">
        <f>Core_Data!Q31</f>
        <v>1.77</v>
      </c>
      <c r="M31" s="1362">
        <f>Core_Data!R31</f>
        <v>2.23</v>
      </c>
      <c r="N31" s="1380">
        <f t="shared" si="0"/>
        <v>2.0833699999999999</v>
      </c>
      <c r="O31" s="1362">
        <f>Core_Data!S31</f>
        <v>0.33</v>
      </c>
      <c r="P31" s="1362">
        <f>Core_Data!T31</f>
        <v>5.0000000000000001E-3</v>
      </c>
      <c r="Q31" s="1363">
        <f>Core_Data!U31</f>
        <v>0.26</v>
      </c>
      <c r="R31" s="1377"/>
      <c r="S31" s="1377"/>
    </row>
    <row r="32" spans="1:19" s="191" customFormat="1" x14ac:dyDescent="0.3">
      <c r="A32" s="1373" t="str">
        <f>Core_Data!B32</f>
        <v>SPO</v>
      </c>
      <c r="B32" s="1374">
        <f>Core_Data!C32</f>
        <v>44342</v>
      </c>
      <c r="C32" s="1346">
        <f>Core_Data!E32</f>
        <v>6.9219903352171874</v>
      </c>
      <c r="D32" s="1343">
        <f>Core_Data!G32</f>
        <v>4.3579867486689796</v>
      </c>
      <c r="E32" s="1343">
        <f>Core_Data!I32</f>
        <v>2.4934356195993486</v>
      </c>
      <c r="F32" s="1343">
        <f>Core_Data!K32</f>
        <v>3.9947325075118063</v>
      </c>
      <c r="G32" s="1343">
        <f>Core_Data!M32</f>
        <v>2.397277177665643</v>
      </c>
      <c r="H32" s="1354">
        <f>Core_Data!W32</f>
        <v>4.5217037588088145</v>
      </c>
      <c r="I32" s="1361">
        <f>Core_Data!N32</f>
        <v>6.62</v>
      </c>
      <c r="J32" s="1362">
        <f>Core_Data!O32</f>
        <v>25.3</v>
      </c>
      <c r="K32" s="1362">
        <f>Core_Data!P32</f>
        <v>0.09</v>
      </c>
      <c r="L32" s="1362">
        <f>Core_Data!Q32</f>
        <v>1.72</v>
      </c>
      <c r="M32" s="1362">
        <f>Core_Data!R32</f>
        <v>2.34</v>
      </c>
      <c r="N32" s="1380">
        <f t="shared" si="0"/>
        <v>2.0027599999999999</v>
      </c>
      <c r="O32" s="1362">
        <f>Core_Data!S32</f>
        <v>0.25</v>
      </c>
      <c r="P32" s="1362">
        <f>Core_Data!T32</f>
        <v>5.0000000000000001E-3</v>
      </c>
      <c r="Q32" s="1363">
        <f>Core_Data!U32</f>
        <v>0.35</v>
      </c>
      <c r="R32" s="1377"/>
      <c r="S32" s="1377"/>
    </row>
    <row r="33" spans="1:19" s="191" customFormat="1" x14ac:dyDescent="0.3">
      <c r="A33" s="1373" t="str">
        <f>Core_Data!B33</f>
        <v>SPO</v>
      </c>
      <c r="B33" s="1374">
        <f>Core_Data!C33</f>
        <v>44356</v>
      </c>
      <c r="C33" s="1346">
        <f>Core_Data!E33</f>
        <v>6.8820149051785551</v>
      </c>
      <c r="D33" s="1343">
        <f>Core_Data!G33</f>
        <v>4.4053095940815297</v>
      </c>
      <c r="E33" s="1343">
        <f>Core_Data!I33</f>
        <v>3.3310670461162957</v>
      </c>
      <c r="F33" s="1343">
        <f>Core_Data!K33</f>
        <v>2.968653156689125</v>
      </c>
      <c r="G33" s="1343">
        <f>Core_Data!M33</f>
        <v>0</v>
      </c>
      <c r="H33" s="1354">
        <f>Core_Data!W33</f>
        <v>4.4548667000939863</v>
      </c>
      <c r="I33" s="1361">
        <f>Core_Data!N33</f>
        <v>7.2</v>
      </c>
      <c r="J33" s="1362">
        <f>Core_Data!O33</f>
        <v>25.2</v>
      </c>
      <c r="K33" s="1362">
        <f>Core_Data!P33</f>
        <v>0.09</v>
      </c>
      <c r="L33" s="1362">
        <f>Core_Data!Q33</f>
        <v>1.82</v>
      </c>
      <c r="M33" s="1362">
        <f>Core_Data!R33</f>
        <v>2.2599999999999998</v>
      </c>
      <c r="N33" s="1380">
        <f t="shared" si="0"/>
        <v>2.11246</v>
      </c>
      <c r="O33" s="1362">
        <f>Core_Data!S33</f>
        <v>0.14000000000000001</v>
      </c>
      <c r="P33" s="1362">
        <f>Core_Data!T33</f>
        <v>1E-3</v>
      </c>
      <c r="Q33" s="1363">
        <f>Core_Data!U33</f>
        <v>0.36</v>
      </c>
      <c r="R33" s="1377"/>
      <c r="S33" s="1377"/>
    </row>
    <row r="34" spans="1:19" s="191" customFormat="1" x14ac:dyDescent="0.3">
      <c r="A34" s="1373" t="str">
        <f>Core_Data!B34</f>
        <v>SPO</v>
      </c>
      <c r="B34" s="1374">
        <f>Core_Data!C34</f>
        <v>44370</v>
      </c>
      <c r="C34" s="1346">
        <f>Core_Data!E34</f>
        <v>5.025982146472221</v>
      </c>
      <c r="D34" s="1343">
        <f>Core_Data!G34</f>
        <v>0</v>
      </c>
      <c r="E34" s="1343">
        <f>Core_Data!I34</f>
        <v>0</v>
      </c>
      <c r="F34" s="1343">
        <f>Core_Data!K34</f>
        <v>0</v>
      </c>
      <c r="G34" s="1343">
        <f>Core_Data!M34</f>
        <v>0</v>
      </c>
      <c r="H34" s="1354">
        <f>Core_Data!W34</f>
        <v>0</v>
      </c>
      <c r="I34" s="1361">
        <f>Core_Data!N34</f>
        <v>6.97</v>
      </c>
      <c r="J34" s="1362">
        <f>Core_Data!O34</f>
        <v>26.6</v>
      </c>
      <c r="K34" s="1362">
        <f>Core_Data!P34</f>
        <v>2.68</v>
      </c>
      <c r="L34" s="1362">
        <f>Core_Data!Q34</f>
        <v>0</v>
      </c>
      <c r="M34" s="1362">
        <f>Core_Data!R34</f>
        <v>2.74</v>
      </c>
      <c r="N34" s="1380">
        <f t="shared" si="0"/>
        <v>3.4518400000000002</v>
      </c>
      <c r="O34" s="1362">
        <f>Core_Data!S34</f>
        <v>0.03</v>
      </c>
      <c r="P34" s="1362">
        <f>Core_Data!T34</f>
        <v>6.0000000000000001E-3</v>
      </c>
      <c r="Q34" s="1363">
        <f>Core_Data!U34</f>
        <v>0.32</v>
      </c>
      <c r="R34" s="1377"/>
      <c r="S34" s="1377"/>
    </row>
    <row r="35" spans="1:19" s="191" customFormat="1" x14ac:dyDescent="0.3">
      <c r="A35" s="1373" t="str">
        <f>Core_Data!B35</f>
        <v>SPO</v>
      </c>
      <c r="B35" s="1374">
        <f>Core_Data!C35</f>
        <v>44377</v>
      </c>
      <c r="C35" s="1346">
        <f>Core_Data!E35</f>
        <v>4.682770131298021</v>
      </c>
      <c r="D35" s="1343">
        <f>Core_Data!G35</f>
        <v>0</v>
      </c>
      <c r="E35" s="1343">
        <f>Core_Data!I35</f>
        <v>0</v>
      </c>
      <c r="F35" s="1343">
        <f>Core_Data!K35</f>
        <v>0</v>
      </c>
      <c r="G35" s="1343">
        <f>Core_Data!M35</f>
        <v>0</v>
      </c>
      <c r="H35" s="1354">
        <f>Core_Data!W35</f>
        <v>0</v>
      </c>
      <c r="I35" s="1361">
        <f>Core_Data!N35</f>
        <v>6.63</v>
      </c>
      <c r="J35" s="1362">
        <f>Core_Data!O35</f>
        <v>27.4</v>
      </c>
      <c r="K35" s="1362">
        <f>Core_Data!P35</f>
        <v>2.52</v>
      </c>
      <c r="L35" s="1362">
        <f>Core_Data!Q35</f>
        <v>0.01</v>
      </c>
      <c r="M35" s="1362">
        <f>Core_Data!R35</f>
        <v>2.5499999999999998</v>
      </c>
      <c r="N35" s="1380">
        <f t="shared" si="0"/>
        <v>3.2567300000000001</v>
      </c>
      <c r="O35" s="1362">
        <f>Core_Data!S35</f>
        <v>0.21</v>
      </c>
      <c r="P35" s="1362">
        <f>Core_Data!T35</f>
        <v>7.0000000000000001E-3</v>
      </c>
      <c r="Q35" s="1363">
        <f>Core_Data!U35</f>
        <v>0.37</v>
      </c>
      <c r="R35" s="1377"/>
      <c r="S35" s="1377"/>
    </row>
    <row r="36" spans="1:19" s="191" customFormat="1" x14ac:dyDescent="0.3">
      <c r="A36" s="1373" t="str">
        <f>Core_Data!B36</f>
        <v>SPO</v>
      </c>
      <c r="B36" s="1374">
        <f>Core_Data!C36</f>
        <v>44385</v>
      </c>
      <c r="C36" s="1346">
        <f>Core_Data!E36</f>
        <v>5.0881109626207861</v>
      </c>
      <c r="D36" s="1343">
        <f>Core_Data!G36</f>
        <v>2.8348287037714068</v>
      </c>
      <c r="E36" s="1343">
        <f>Core_Data!I36</f>
        <v>0</v>
      </c>
      <c r="F36" s="1343">
        <f>Core_Data!K36</f>
        <v>0</v>
      </c>
      <c r="G36" s="1343">
        <f>Core_Data!M36</f>
        <v>0</v>
      </c>
      <c r="H36" s="1354">
        <f>Core_Data!W36</f>
        <v>2.8348287037714068</v>
      </c>
      <c r="I36" s="1361">
        <f>Core_Data!N36</f>
        <v>7.09</v>
      </c>
      <c r="J36" s="1362">
        <f>Core_Data!O36</f>
        <v>27.2</v>
      </c>
      <c r="K36" s="1362">
        <f>Core_Data!P36</f>
        <v>2.35</v>
      </c>
      <c r="L36" s="1362">
        <f>Core_Data!Q36</f>
        <v>0</v>
      </c>
      <c r="M36" s="1362">
        <f>Core_Data!R36</f>
        <v>2.56</v>
      </c>
      <c r="N36" s="1380">
        <f t="shared" si="0"/>
        <v>3.0268000000000002</v>
      </c>
      <c r="O36" s="1362">
        <f>Core_Data!S36</f>
        <v>0.03</v>
      </c>
      <c r="P36" s="1362">
        <f>Core_Data!T36</f>
        <v>7.0000000000000001E-3</v>
      </c>
      <c r="Q36" s="1363">
        <f>Core_Data!U36</f>
        <v>0.41</v>
      </c>
      <c r="R36" s="1377"/>
      <c r="S36" s="1377"/>
    </row>
    <row r="37" spans="1:19" s="191" customFormat="1" x14ac:dyDescent="0.3">
      <c r="A37" s="1373" t="str">
        <f>Core_Data!B37</f>
        <v>SPO</v>
      </c>
      <c r="B37" s="1374">
        <f>Core_Data!C37</f>
        <v>44391</v>
      </c>
      <c r="C37" s="1346">
        <f>Core_Data!E37</f>
        <v>5.4913577477793218</v>
      </c>
      <c r="D37" s="1343">
        <f>Core_Data!G37</f>
        <v>2.8803480784195954</v>
      </c>
      <c r="E37" s="1343">
        <f>Core_Data!I37</f>
        <v>0</v>
      </c>
      <c r="F37" s="1343">
        <f>Core_Data!K37</f>
        <v>0</v>
      </c>
      <c r="G37" s="1343">
        <f>Core_Data!M37</f>
        <v>0</v>
      </c>
      <c r="H37" s="1354">
        <f>Core_Data!W37</f>
        <v>2.8803480784195954</v>
      </c>
      <c r="I37" s="1361">
        <f>Core_Data!N37</f>
        <v>6.67</v>
      </c>
      <c r="J37" s="1362">
        <f>Core_Data!O37</f>
        <v>27.6</v>
      </c>
      <c r="K37" s="1362">
        <f>Core_Data!P37</f>
        <v>2.52</v>
      </c>
      <c r="L37" s="1362">
        <f>Core_Data!Q37</f>
        <v>0.02</v>
      </c>
      <c r="M37" s="1362">
        <f>Core_Data!R37</f>
        <v>2.73</v>
      </c>
      <c r="N37" s="1380">
        <f t="shared" si="0"/>
        <v>3.2677</v>
      </c>
      <c r="O37" s="1362">
        <f>Core_Data!S37</f>
        <v>0.22</v>
      </c>
      <c r="P37" s="1362">
        <f>Core_Data!T37</f>
        <v>6.0000000000000001E-3</v>
      </c>
      <c r="Q37" s="1363">
        <f>Core_Data!U37</f>
        <v>0.38</v>
      </c>
      <c r="R37" s="1377"/>
      <c r="S37" s="1377"/>
    </row>
    <row r="38" spans="1:19" s="191" customFormat="1" x14ac:dyDescent="0.3">
      <c r="A38" s="1373" t="str">
        <f>Core_Data!B38</f>
        <v>SPO</v>
      </c>
      <c r="B38" s="1374">
        <f>Core_Data!C38</f>
        <v>44398</v>
      </c>
      <c r="C38" s="1346">
        <f>Core_Data!E38</f>
        <v>5.01187338604002</v>
      </c>
      <c r="D38" s="1343">
        <f>Core_Data!G38</f>
        <v>2.6639377692904969</v>
      </c>
      <c r="E38" s="1343">
        <f>Core_Data!I38</f>
        <v>0</v>
      </c>
      <c r="F38" s="1343">
        <f>Core_Data!K38</f>
        <v>0</v>
      </c>
      <c r="G38" s="1343">
        <f>Core_Data!M38</f>
        <v>0</v>
      </c>
      <c r="H38" s="1354">
        <f>Core_Data!W38</f>
        <v>2.6639377692904969</v>
      </c>
      <c r="I38" s="1361">
        <f>Core_Data!N38</f>
        <v>6.57</v>
      </c>
      <c r="J38" s="1362">
        <f>Core_Data!O38</f>
        <v>27.7</v>
      </c>
      <c r="K38" s="1362">
        <f>Core_Data!P38</f>
        <v>2.39</v>
      </c>
      <c r="L38" s="1362">
        <f>Core_Data!Q38</f>
        <v>0</v>
      </c>
      <c r="M38" s="1362">
        <f>Core_Data!R38</f>
        <v>2.4300000000000002</v>
      </c>
      <c r="N38" s="1380">
        <f t="shared" si="0"/>
        <v>3.0783200000000002</v>
      </c>
      <c r="O38" s="1362">
        <f>Core_Data!S38</f>
        <v>0.03</v>
      </c>
      <c r="P38" s="1362">
        <f>Core_Data!T38</f>
        <v>5.0000000000000001E-3</v>
      </c>
      <c r="Q38" s="1363">
        <f>Core_Data!U38</f>
        <v>0.4</v>
      </c>
      <c r="R38" s="1377"/>
      <c r="S38" s="1377"/>
    </row>
    <row r="39" spans="1:19" s="191" customFormat="1" x14ac:dyDescent="0.3">
      <c r="A39" s="1373" t="str">
        <f>Core_Data!B39</f>
        <v>SPO</v>
      </c>
      <c r="B39" s="1374">
        <f>Core_Data!C39</f>
        <v>44405</v>
      </c>
      <c r="C39" s="1346">
        <f>Core_Data!E39</f>
        <v>6.6806695873206543</v>
      </c>
      <c r="D39" s="1343">
        <f>Core_Data!G39</f>
        <v>3.9091048998141136</v>
      </c>
      <c r="E39" s="1343">
        <f>Core_Data!I39</f>
        <v>3.279550348825468</v>
      </c>
      <c r="F39" s="1343">
        <f>Core_Data!K39</f>
        <v>0</v>
      </c>
      <c r="G39" s="1343">
        <f>Core_Data!M39</f>
        <v>0</v>
      </c>
      <c r="H39" s="1354">
        <f>Core_Data!W39</f>
        <v>4.0006534911966458</v>
      </c>
      <c r="I39" s="1361">
        <f>Core_Data!N39</f>
        <v>7</v>
      </c>
      <c r="J39" s="1362">
        <f>Core_Data!O39</f>
        <v>28.6</v>
      </c>
      <c r="K39" s="1362">
        <f>Core_Data!P39</f>
        <v>0.05</v>
      </c>
      <c r="L39" s="1362">
        <f>Core_Data!Q39</f>
        <v>0.84</v>
      </c>
      <c r="M39" s="1362">
        <f>Core_Data!R39</f>
        <v>1.02</v>
      </c>
      <c r="N39" s="1380">
        <f t="shared" si="0"/>
        <v>0.98587999999999998</v>
      </c>
      <c r="O39" s="1362">
        <f>Core_Data!S39</f>
        <v>0.16</v>
      </c>
      <c r="P39" s="1362">
        <f>Core_Data!T39</f>
        <v>7.0000000000000001E-3</v>
      </c>
      <c r="Q39" s="1363">
        <f>Core_Data!U39</f>
        <v>0.47</v>
      </c>
      <c r="R39" s="1377"/>
      <c r="S39" s="1377"/>
    </row>
    <row r="40" spans="1:19" s="191" customFormat="1" x14ac:dyDescent="0.3">
      <c r="A40" s="1373" t="str">
        <f>Core_Data!B40</f>
        <v>SPO</v>
      </c>
      <c r="B40" s="1374">
        <f>Core_Data!C40</f>
        <v>44412</v>
      </c>
      <c r="C40" s="1346">
        <f>Core_Data!E40</f>
        <v>6.4679144985785593</v>
      </c>
      <c r="D40" s="1343">
        <f>Core_Data!G40</f>
        <v>3.6671601345541878</v>
      </c>
      <c r="E40" s="1343">
        <f>Core_Data!I40</f>
        <v>2.0876180924738739</v>
      </c>
      <c r="F40" s="1343">
        <f>Core_Data!K40</f>
        <v>2.5291065311531939</v>
      </c>
      <c r="G40" s="1343">
        <f>Core_Data!M40</f>
        <v>0</v>
      </c>
      <c r="H40" s="1354">
        <f>Core_Data!W40</f>
        <v>3.708197116667141</v>
      </c>
      <c r="I40" s="1361">
        <f>Core_Data!N40</f>
        <v>7.07</v>
      </c>
      <c r="J40" s="1362">
        <f>Core_Data!O40</f>
        <v>28.2</v>
      </c>
      <c r="K40" s="1362">
        <f>Core_Data!P40</f>
        <v>0.1</v>
      </c>
      <c r="L40" s="1362">
        <f>Core_Data!Q40</f>
        <v>1.69</v>
      </c>
      <c r="M40" s="1362">
        <f>Core_Data!R40</f>
        <v>1.91</v>
      </c>
      <c r="N40" s="1380">
        <f t="shared" si="0"/>
        <v>1.9827299999999999</v>
      </c>
      <c r="O40" s="1362">
        <f>Core_Data!S40</f>
        <v>0.25</v>
      </c>
      <c r="P40" s="1362">
        <f>Core_Data!T40</f>
        <v>5.0000000000000001E-3</v>
      </c>
      <c r="Q40" s="1363">
        <f>Core_Data!U40</f>
        <v>0.4</v>
      </c>
      <c r="R40" s="1377"/>
      <c r="S40" s="1377"/>
    </row>
    <row r="41" spans="1:19" s="191" customFormat="1" x14ac:dyDescent="0.3">
      <c r="A41" s="1373" t="str">
        <f>Core_Data!B41</f>
        <v>SPO</v>
      </c>
      <c r="B41" s="1374">
        <f>Core_Data!C41</f>
        <v>44419</v>
      </c>
      <c r="C41" s="1346">
        <f>Core_Data!E41</f>
        <v>7.4763848749940305</v>
      </c>
      <c r="D41" s="1343">
        <f>Core_Data!G41</f>
        <v>4.0247043077357461</v>
      </c>
      <c r="E41" s="1343">
        <f>Core_Data!I41</f>
        <v>3.1257503535272613</v>
      </c>
      <c r="F41" s="1343">
        <f>Core_Data!K41</f>
        <v>0</v>
      </c>
      <c r="G41" s="1343">
        <f>Core_Data!M41</f>
        <v>0</v>
      </c>
      <c r="H41" s="1354">
        <f>Core_Data!W41</f>
        <v>4.0763183393647253</v>
      </c>
      <c r="I41" s="1361">
        <f>Core_Data!N41</f>
        <v>7.09</v>
      </c>
      <c r="J41" s="1362">
        <f>Core_Data!O41</f>
        <v>29.5</v>
      </c>
      <c r="K41" s="1362">
        <f>Core_Data!P41</f>
        <v>0.11</v>
      </c>
      <c r="L41" s="1362">
        <f>Core_Data!Q41</f>
        <v>1.59</v>
      </c>
      <c r="M41" s="1362">
        <f>Core_Data!R41</f>
        <v>1.82</v>
      </c>
      <c r="N41" s="1380">
        <f t="shared" si="0"/>
        <v>1.88591</v>
      </c>
      <c r="O41" s="1362">
        <f>Core_Data!S41</f>
        <v>0.18</v>
      </c>
      <c r="P41" s="1362">
        <f>Core_Data!T41</f>
        <v>6.0000000000000001E-3</v>
      </c>
      <c r="Q41" s="1363">
        <f>Core_Data!U41</f>
        <v>0.44</v>
      </c>
      <c r="R41" s="1377"/>
      <c r="S41" s="1377"/>
    </row>
    <row r="42" spans="1:19" s="191" customFormat="1" x14ac:dyDescent="0.3">
      <c r="A42" s="1373" t="str">
        <f>Core_Data!B42</f>
        <v>SPO</v>
      </c>
      <c r="B42" s="1374">
        <f>Core_Data!C42</f>
        <v>44426</v>
      </c>
      <c r="C42" s="1346">
        <f>Core_Data!E42</f>
        <v>8.4148405289647066</v>
      </c>
      <c r="D42" s="1343">
        <f>Core_Data!G42</f>
        <v>4.2469220709916948</v>
      </c>
      <c r="E42" s="1343">
        <f>Core_Data!I42</f>
        <v>0</v>
      </c>
      <c r="F42" s="1343">
        <f>Core_Data!K42</f>
        <v>0</v>
      </c>
      <c r="G42" s="1343">
        <f>Core_Data!M42</f>
        <v>0</v>
      </c>
      <c r="H42" s="1354">
        <f>Core_Data!W42</f>
        <v>4.2469220709916948</v>
      </c>
      <c r="I42" s="1361">
        <f>Core_Data!N42</f>
        <v>6.7</v>
      </c>
      <c r="J42" s="1362">
        <f>Core_Data!O42</f>
        <v>28.6</v>
      </c>
      <c r="K42" s="1362">
        <f>Core_Data!P42</f>
        <v>0.09</v>
      </c>
      <c r="L42" s="1362">
        <f>Core_Data!Q42</f>
        <v>1.61</v>
      </c>
      <c r="M42" s="1362">
        <f>Core_Data!R42</f>
        <v>1.8</v>
      </c>
      <c r="N42" s="1380">
        <f t="shared" si="0"/>
        <v>1.88209</v>
      </c>
      <c r="O42" s="1362">
        <f>Core_Data!S42</f>
        <v>0.18</v>
      </c>
      <c r="P42" s="1362">
        <f>Core_Data!T42</f>
        <v>5.0000000000000001E-3</v>
      </c>
      <c r="Q42" s="1363">
        <f>Core_Data!U42</f>
        <v>0.38</v>
      </c>
      <c r="R42" s="1377"/>
      <c r="S42" s="1377"/>
    </row>
    <row r="43" spans="1:19" s="191" customFormat="1" x14ac:dyDescent="0.3">
      <c r="A43" s="1373" t="str">
        <f>Core_Data!B43</f>
        <v>SPO</v>
      </c>
      <c r="B43" s="1374">
        <f>Core_Data!C43</f>
        <v>44433</v>
      </c>
      <c r="C43" s="1346">
        <f>Core_Data!E43</f>
        <v>7.3034935445072406</v>
      </c>
      <c r="D43" s="1343">
        <f>Core_Data!G43</f>
        <v>4.1192138535715888</v>
      </c>
      <c r="E43" s="1343">
        <f>Core_Data!I43</f>
        <v>0</v>
      </c>
      <c r="F43" s="1343">
        <f>Core_Data!K43</f>
        <v>3.2273567906886726</v>
      </c>
      <c r="G43" s="1343">
        <f>Core_Data!M43</f>
        <v>0</v>
      </c>
      <c r="H43" s="1354">
        <f>Core_Data!W43</f>
        <v>4.1716289227353132</v>
      </c>
      <c r="I43" s="1361">
        <f>Core_Data!N43</f>
        <v>6.7</v>
      </c>
      <c r="J43" s="1362">
        <f>Core_Data!O43</f>
        <v>30.4</v>
      </c>
      <c r="K43" s="1362">
        <f>Core_Data!P43</f>
        <v>0.08</v>
      </c>
      <c r="L43" s="1362">
        <f>Core_Data!Q43</f>
        <v>1.21</v>
      </c>
      <c r="M43" s="1362">
        <f>Core_Data!R43</f>
        <v>1.19</v>
      </c>
      <c r="N43" s="1380">
        <f t="shared" si="0"/>
        <v>1.43041</v>
      </c>
      <c r="O43" s="1362">
        <f>Core_Data!S43</f>
        <v>0.21</v>
      </c>
      <c r="P43" s="1362">
        <f>Core_Data!T43</f>
        <v>7.0000000000000001E-3</v>
      </c>
      <c r="Q43" s="1363">
        <f>Core_Data!U43</f>
        <v>0.38</v>
      </c>
      <c r="R43" s="1377"/>
      <c r="S43" s="1377"/>
    </row>
    <row r="44" spans="1:19" s="191" customFormat="1" x14ac:dyDescent="0.3">
      <c r="A44" s="1373" t="str">
        <f>Core_Data!B44</f>
        <v>MRT</v>
      </c>
      <c r="B44" s="1374">
        <f>Core_Data!C44</f>
        <v>44335</v>
      </c>
      <c r="C44" s="1346">
        <f>Core_Data!E44</f>
        <v>8.2003369395001009</v>
      </c>
      <c r="D44" s="1343">
        <f>Core_Data!G44</f>
        <v>5.6379441984051732</v>
      </c>
      <c r="E44" s="1343">
        <f>Core_Data!I44</f>
        <v>3.7445155306024982</v>
      </c>
      <c r="F44" s="1343">
        <f>Core_Data!K44</f>
        <v>3.4011381377074636</v>
      </c>
      <c r="G44" s="1343">
        <f>Core_Data!M44</f>
        <v>4.2795797096603305</v>
      </c>
      <c r="H44" s="1354">
        <f>Core_Data!W44</f>
        <v>5.6642299495850637</v>
      </c>
      <c r="I44" s="1361">
        <f>Core_Data!N44</f>
        <v>6.78</v>
      </c>
      <c r="J44" s="1362">
        <f>Core_Data!O44</f>
        <v>23.8</v>
      </c>
      <c r="K44" s="1362">
        <f>Core_Data!P44</f>
        <v>0.15</v>
      </c>
      <c r="L44" s="1362">
        <f>Core_Data!Q44</f>
        <v>0.34</v>
      </c>
      <c r="M44" s="1362">
        <f>Core_Data!R44</f>
        <v>0.54</v>
      </c>
      <c r="N44" s="1380">
        <f t="shared" si="0"/>
        <v>0.56618000000000002</v>
      </c>
      <c r="O44" s="1362">
        <f>Core_Data!S44</f>
        <v>0.17</v>
      </c>
      <c r="P44" s="1362">
        <f>Core_Data!T44</f>
        <v>6.3E-2</v>
      </c>
      <c r="Q44" s="1363">
        <f>Core_Data!U44</f>
        <v>0.53</v>
      </c>
      <c r="R44" s="1377"/>
      <c r="S44" s="1377"/>
    </row>
    <row r="45" spans="1:19" s="191" customFormat="1" x14ac:dyDescent="0.3">
      <c r="A45" s="1373" t="str">
        <f>Core_Data!B45</f>
        <v>MRT</v>
      </c>
      <c r="B45" s="1374">
        <f>Core_Data!C45</f>
        <v>44342</v>
      </c>
      <c r="C45" s="1346">
        <f>Core_Data!E45</f>
        <v>8.3862630230825239</v>
      </c>
      <c r="D45" s="1343">
        <f>Core_Data!G45</f>
        <v>5.2706816175395286</v>
      </c>
      <c r="E45" s="1343">
        <f>Core_Data!I45</f>
        <v>3.6322593795010154</v>
      </c>
      <c r="F45" s="1343">
        <f>Core_Data!K45</f>
        <v>5.2175838324125881</v>
      </c>
      <c r="G45" s="1343">
        <f>Core_Data!M45</f>
        <v>4.8620221165427324</v>
      </c>
      <c r="H45" s="1354">
        <f>Core_Data!W45</f>
        <v>5.6320611658056414</v>
      </c>
      <c r="I45" s="1361">
        <f>Core_Data!N45</f>
        <v>6.35</v>
      </c>
      <c r="J45" s="1362">
        <f>Core_Data!O45</f>
        <v>24.6</v>
      </c>
      <c r="K45" s="1362">
        <f>Core_Data!P45</f>
        <v>0.04</v>
      </c>
      <c r="L45" s="1362">
        <f>Core_Data!Q45</f>
        <v>0.49</v>
      </c>
      <c r="M45" s="1362">
        <f>Core_Data!R45</f>
        <v>0.76</v>
      </c>
      <c r="N45" s="1380">
        <f t="shared" si="0"/>
        <v>0.58904999999999996</v>
      </c>
      <c r="O45" s="1362">
        <f>Core_Data!S45</f>
        <v>0.19</v>
      </c>
      <c r="P45" s="1362">
        <f>Core_Data!T45</f>
        <v>7.6999999999999999E-2</v>
      </c>
      <c r="Q45" s="1363">
        <f>Core_Data!U45</f>
        <v>0.48</v>
      </c>
      <c r="R45" s="1377"/>
      <c r="S45" s="1377"/>
    </row>
    <row r="46" spans="1:19" s="191" customFormat="1" x14ac:dyDescent="0.3">
      <c r="A46" s="1373" t="str">
        <f>Core_Data!B46</f>
        <v>MRT</v>
      </c>
      <c r="B46" s="1374">
        <f>Core_Data!C46</f>
        <v>44356</v>
      </c>
      <c r="C46" s="1346">
        <f>Core_Data!E46</f>
        <v>10.071276621177251</v>
      </c>
      <c r="D46" s="1343">
        <f>Core_Data!G46</f>
        <v>4.8995789026498029</v>
      </c>
      <c r="E46" s="1343">
        <f>Core_Data!I46</f>
        <v>4.1163567329406483</v>
      </c>
      <c r="F46" s="1343">
        <f>Core_Data!K46</f>
        <v>5.2153438571610549</v>
      </c>
      <c r="G46" s="1343">
        <f>Core_Data!M46</f>
        <v>4.1933167364170636</v>
      </c>
      <c r="H46" s="1354">
        <f>Core_Data!W46</f>
        <v>5.4349265887930054</v>
      </c>
      <c r="I46" s="1361">
        <f>Core_Data!N46</f>
        <v>6.61</v>
      </c>
      <c r="J46" s="1362">
        <f>Core_Data!O46</f>
        <v>26</v>
      </c>
      <c r="K46" s="1362">
        <f>Core_Data!P46</f>
        <v>7.0000000000000007E-2</v>
      </c>
      <c r="L46" s="1362">
        <f>Core_Data!Q46</f>
        <v>0.73</v>
      </c>
      <c r="M46" s="1362">
        <f>Core_Data!R46</f>
        <v>0.86</v>
      </c>
      <c r="N46" s="1380">
        <f t="shared" si="0"/>
        <v>0.89096999999999993</v>
      </c>
      <c r="O46" s="1362">
        <f>Core_Data!S46</f>
        <v>0.2</v>
      </c>
      <c r="P46" s="1362">
        <f>Core_Data!T46</f>
        <v>5.5E-2</v>
      </c>
      <c r="Q46" s="1363">
        <f>Core_Data!U46</f>
        <v>0.51</v>
      </c>
      <c r="R46" s="1377"/>
      <c r="S46" s="1377"/>
    </row>
    <row r="47" spans="1:19" s="191" customFormat="1" x14ac:dyDescent="0.3">
      <c r="A47" s="1373" t="str">
        <f>Core_Data!B47</f>
        <v>MRT</v>
      </c>
      <c r="B47" s="1374">
        <f>Core_Data!C47</f>
        <v>44363</v>
      </c>
      <c r="C47" s="1346">
        <f>Core_Data!E47</f>
        <v>7.8383692808696015</v>
      </c>
      <c r="D47" s="1343">
        <f>Core_Data!G47</f>
        <v>4.7795727869078934</v>
      </c>
      <c r="E47" s="1343">
        <f>Core_Data!I47</f>
        <v>3.3866254690921229</v>
      </c>
      <c r="F47" s="1343">
        <f>Core_Data!K47</f>
        <v>6.1462388958032994</v>
      </c>
      <c r="G47" s="1343">
        <f>Core_Data!M47</f>
        <v>3.4723657347419548</v>
      </c>
      <c r="H47" s="1354">
        <f>Core_Data!W47</f>
        <v>6.1661212817726314</v>
      </c>
      <c r="I47" s="1361">
        <f>Core_Data!N47</f>
        <v>6.53</v>
      </c>
      <c r="J47" s="1362">
        <f>Core_Data!O47</f>
        <v>27.1</v>
      </c>
      <c r="K47" s="1362">
        <f>Core_Data!P47</f>
        <v>7.0000000000000007E-2</v>
      </c>
      <c r="L47" s="1362">
        <f>Core_Data!Q47</f>
        <v>0.71</v>
      </c>
      <c r="M47" s="1362">
        <f>Core_Data!R47</f>
        <v>1.03</v>
      </c>
      <c r="N47" s="1380">
        <f t="shared" si="0"/>
        <v>0.86902999999999997</v>
      </c>
      <c r="O47" s="1362">
        <f>Core_Data!S47</f>
        <v>0.33</v>
      </c>
      <c r="P47" s="1362">
        <f>Core_Data!T47</f>
        <v>5.0999999999999997E-2</v>
      </c>
      <c r="Q47" s="1363">
        <f>Core_Data!U47</f>
        <v>0.56000000000000005</v>
      </c>
      <c r="R47" s="1377"/>
      <c r="S47" s="1377"/>
    </row>
    <row r="48" spans="1:19" s="191" customFormat="1" x14ac:dyDescent="0.3">
      <c r="A48" s="1373" t="str">
        <f>Core_Data!B48</f>
        <v>MRT</v>
      </c>
      <c r="B48" s="1374">
        <f>Core_Data!C48</f>
        <v>44370</v>
      </c>
      <c r="C48" s="1346">
        <f>Core_Data!E48</f>
        <v>6.8420854826283053</v>
      </c>
      <c r="D48" s="1343">
        <f>Core_Data!G48</f>
        <v>0</v>
      </c>
      <c r="E48" s="1343">
        <f>Core_Data!I48</f>
        <v>2.2607593586424297</v>
      </c>
      <c r="F48" s="1343">
        <f>Core_Data!K48</f>
        <v>0</v>
      </c>
      <c r="G48" s="1343">
        <f>Core_Data!M48</f>
        <v>0</v>
      </c>
      <c r="H48" s="1354">
        <f>Core_Data!W48</f>
        <v>2.2607593586424297</v>
      </c>
      <c r="I48" s="1361">
        <f>Core_Data!N48</f>
        <v>6.97</v>
      </c>
      <c r="J48" s="1362">
        <f>Core_Data!O48</f>
        <v>26.5</v>
      </c>
      <c r="K48" s="1362">
        <f>Core_Data!P48</f>
        <v>2.73</v>
      </c>
      <c r="L48" s="1362">
        <f>Core_Data!Q48</f>
        <v>0.01</v>
      </c>
      <c r="M48" s="1362">
        <f>Core_Data!R48</f>
        <v>2.65</v>
      </c>
      <c r="N48" s="1380">
        <f t="shared" si="0"/>
        <v>3.5272100000000002</v>
      </c>
      <c r="O48" s="1362">
        <f>Core_Data!S48</f>
        <v>0.19</v>
      </c>
      <c r="P48" s="1362">
        <f>Core_Data!T48</f>
        <v>8.0000000000000002E-3</v>
      </c>
      <c r="Q48" s="1363">
        <f>Core_Data!U48</f>
        <v>0.53</v>
      </c>
      <c r="R48" s="1377"/>
      <c r="S48" s="1377"/>
    </row>
    <row r="49" spans="1:19" s="191" customFormat="1" x14ac:dyDescent="0.3">
      <c r="A49" s="1373" t="str">
        <f>Core_Data!B49</f>
        <v>MRT</v>
      </c>
      <c r="B49" s="1374">
        <f>Core_Data!C49</f>
        <v>44377</v>
      </c>
      <c r="C49" s="1346">
        <f>Core_Data!E49</f>
        <v>6.7899646648484158</v>
      </c>
      <c r="D49" s="1343">
        <f>Core_Data!G49</f>
        <v>2.4286434473187644</v>
      </c>
      <c r="E49" s="1343">
        <f>Core_Data!I49</f>
        <v>0</v>
      </c>
      <c r="F49" s="1343">
        <f>Core_Data!K49</f>
        <v>0</v>
      </c>
      <c r="G49" s="1343">
        <f>Core_Data!M49</f>
        <v>2.5084394771307048</v>
      </c>
      <c r="H49" s="1354">
        <f>Core_Data!W49</f>
        <v>2.7714015726213659</v>
      </c>
      <c r="I49" s="1361">
        <f>Core_Data!N49</f>
        <v>6.86</v>
      </c>
      <c r="J49" s="1362">
        <f>Core_Data!O49</f>
        <v>25.9</v>
      </c>
      <c r="K49" s="1362">
        <f>Core_Data!P49</f>
        <v>2.2200000000000002</v>
      </c>
      <c r="L49" s="1362">
        <f>Core_Data!Q49</f>
        <v>0.01</v>
      </c>
      <c r="M49" s="1362">
        <f>Core_Data!R49</f>
        <v>2.3199999999999998</v>
      </c>
      <c r="N49" s="1380">
        <f t="shared" si="0"/>
        <v>2.87033</v>
      </c>
      <c r="O49" s="1362">
        <f>Core_Data!S49</f>
        <v>0.1</v>
      </c>
      <c r="P49" s="1362">
        <f>Core_Data!T49</f>
        <v>1.2E-2</v>
      </c>
      <c r="Q49" s="1363">
        <f>Core_Data!U49</f>
        <v>0.67</v>
      </c>
      <c r="R49" s="1377"/>
      <c r="S49" s="1377"/>
    </row>
    <row r="50" spans="1:19" s="191" customFormat="1" x14ac:dyDescent="0.3">
      <c r="A50" s="1373" t="str">
        <f>Core_Data!B50</f>
        <v>MRT</v>
      </c>
      <c r="B50" s="1374">
        <f>Core_Data!C50</f>
        <v>44385</v>
      </c>
      <c r="C50" s="1346">
        <f>Core_Data!E50</f>
        <v>6.8892170572706553</v>
      </c>
      <c r="D50" s="1343">
        <f>Core_Data!G50</f>
        <v>3.1843703706804534</v>
      </c>
      <c r="E50" s="1343">
        <f>Core_Data!I50</f>
        <v>0</v>
      </c>
      <c r="F50" s="1343">
        <f>Core_Data!K50</f>
        <v>2.6351603567164474</v>
      </c>
      <c r="G50" s="1343">
        <f>Core_Data!M50</f>
        <v>0</v>
      </c>
      <c r="H50" s="1354">
        <f>Core_Data!W50</f>
        <v>3.2923774298888513</v>
      </c>
      <c r="I50" s="1361">
        <f>Core_Data!N50</f>
        <v>6.41</v>
      </c>
      <c r="J50" s="1362">
        <f>Core_Data!O50</f>
        <v>26.9</v>
      </c>
      <c r="K50" s="1362">
        <f>Core_Data!P50</f>
        <v>1.77</v>
      </c>
      <c r="L50" s="1362">
        <f>Core_Data!Q50</f>
        <v>0.01</v>
      </c>
      <c r="M50" s="1362">
        <f>Core_Data!R50</f>
        <v>0.84</v>
      </c>
      <c r="N50" s="1380">
        <f t="shared" si="0"/>
        <v>2.2907299999999999</v>
      </c>
      <c r="O50" s="1362">
        <f>Core_Data!S50</f>
        <v>0.05</v>
      </c>
      <c r="P50" s="1362">
        <f>Core_Data!T50</f>
        <v>6.0000000000000001E-3</v>
      </c>
      <c r="Q50" s="1363">
        <f>Core_Data!U50</f>
        <v>0.65</v>
      </c>
      <c r="R50" s="1377"/>
      <c r="S50" s="1377"/>
    </row>
    <row r="51" spans="1:19" s="191" customFormat="1" x14ac:dyDescent="0.3">
      <c r="A51" s="1373" t="str">
        <f>Core_Data!B51</f>
        <v>MRT</v>
      </c>
      <c r="B51" s="1374">
        <f>Core_Data!C51</f>
        <v>44391</v>
      </c>
      <c r="C51" s="1346">
        <f>Core_Data!E51</f>
        <v>7.362246912755932</v>
      </c>
      <c r="D51" s="1343">
        <f>Core_Data!G51</f>
        <v>3.1467904477067403</v>
      </c>
      <c r="E51" s="1343">
        <f>Core_Data!I51</f>
        <v>2.0060820399846007</v>
      </c>
      <c r="F51" s="1343">
        <f>Core_Data!K51</f>
        <v>3.36580187358265</v>
      </c>
      <c r="G51" s="1343">
        <f>Core_Data!M51</f>
        <v>0</v>
      </c>
      <c r="H51" s="1354">
        <f>Core_Data!W51</f>
        <v>3.5826569497851435</v>
      </c>
      <c r="I51" s="1361">
        <f>Core_Data!N51</f>
        <v>6.42</v>
      </c>
      <c r="J51" s="1362">
        <f>Core_Data!O51</f>
        <v>27.1</v>
      </c>
      <c r="K51" s="1362">
        <f>Core_Data!P51</f>
        <v>1.35</v>
      </c>
      <c r="L51" s="1362">
        <f>Core_Data!Q51</f>
        <v>0.01</v>
      </c>
      <c r="M51" s="1362">
        <f>Core_Data!R51</f>
        <v>1.36</v>
      </c>
      <c r="N51" s="1380">
        <f t="shared" si="0"/>
        <v>1.74977</v>
      </c>
      <c r="O51" s="1362">
        <f>Core_Data!S51</f>
        <v>0.01</v>
      </c>
      <c r="P51" s="1362">
        <f>Core_Data!T51</f>
        <v>8.9999999999999993E-3</v>
      </c>
      <c r="Q51" s="1363">
        <f>Core_Data!U51</f>
        <v>0.54</v>
      </c>
      <c r="R51" s="1377"/>
      <c r="S51" s="1377"/>
    </row>
    <row r="52" spans="1:19" s="191" customFormat="1" x14ac:dyDescent="0.3">
      <c r="A52" s="1373" t="str">
        <f>Core_Data!B52</f>
        <v>MRT</v>
      </c>
      <c r="B52" s="1374">
        <f>Core_Data!C52</f>
        <v>44398</v>
      </c>
      <c r="C52" s="1346">
        <f>Core_Data!E52</f>
        <v>6.6054349674181383</v>
      </c>
      <c r="D52" s="1343">
        <f>Core_Data!G52</f>
        <v>2.6667652053756519</v>
      </c>
      <c r="E52" s="1343">
        <f>Core_Data!I52</f>
        <v>2.2286049992580708</v>
      </c>
      <c r="F52" s="1343">
        <f>Core_Data!K52</f>
        <v>0</v>
      </c>
      <c r="G52" s="1343">
        <f>Core_Data!M52</f>
        <v>0</v>
      </c>
      <c r="H52" s="1354">
        <f>Core_Data!W52</f>
        <v>2.8017767523015138</v>
      </c>
      <c r="I52" s="1361">
        <f>Core_Data!N52</f>
        <v>6.83</v>
      </c>
      <c r="J52" s="1362">
        <f>Core_Data!O52</f>
        <v>26.6</v>
      </c>
      <c r="K52" s="1362">
        <f>Core_Data!P52</f>
        <v>1.89</v>
      </c>
      <c r="L52" s="1362">
        <f>Core_Data!Q52</f>
        <v>0</v>
      </c>
      <c r="M52" s="1362">
        <f>Core_Data!R52</f>
        <v>1.89</v>
      </c>
      <c r="N52" s="1380">
        <f t="shared" si="0"/>
        <v>2.43432</v>
      </c>
      <c r="O52" s="1362">
        <f>Core_Data!S52</f>
        <v>0.24</v>
      </c>
      <c r="P52" s="1362">
        <f>Core_Data!T52</f>
        <v>0.01</v>
      </c>
      <c r="Q52" s="1363">
        <f>Core_Data!U52</f>
        <v>0.69</v>
      </c>
      <c r="R52" s="1377"/>
      <c r="S52" s="1377"/>
    </row>
    <row r="53" spans="1:19" s="191" customFormat="1" x14ac:dyDescent="0.3">
      <c r="A53" s="1373" t="str">
        <f>Core_Data!B53</f>
        <v>MRT</v>
      </c>
      <c r="B53" s="1374">
        <f>Core_Data!C53</f>
        <v>44405</v>
      </c>
      <c r="C53" s="1346">
        <f>Core_Data!E53</f>
        <v>6.857961824343902</v>
      </c>
      <c r="D53" s="1343">
        <f>Core_Data!G53</f>
        <v>2.6367344308011669</v>
      </c>
      <c r="E53" s="1343">
        <f>Core_Data!I53</f>
        <v>2.3320288243410854</v>
      </c>
      <c r="F53" s="1343">
        <f>Core_Data!K53</f>
        <v>0</v>
      </c>
      <c r="G53" s="1343">
        <f>Core_Data!M53</f>
        <v>0</v>
      </c>
      <c r="H53" s="1354">
        <f>Core_Data!W53</f>
        <v>2.8116039394663228</v>
      </c>
      <c r="I53" s="1361">
        <f>Core_Data!N53</f>
        <v>6.71</v>
      </c>
      <c r="J53" s="1362">
        <f>Core_Data!O53</f>
        <v>28.8</v>
      </c>
      <c r="K53" s="1362">
        <f>Core_Data!P53</f>
        <v>1.86</v>
      </c>
      <c r="L53" s="1362">
        <f>Core_Data!Q53</f>
        <v>0</v>
      </c>
      <c r="M53" s="1362">
        <f>Core_Data!R53</f>
        <v>1.54</v>
      </c>
      <c r="N53" s="1380">
        <f t="shared" si="0"/>
        <v>2.39568</v>
      </c>
      <c r="O53" s="1362">
        <f>Core_Data!S53</f>
        <v>0.03</v>
      </c>
      <c r="P53" s="1362">
        <f>Core_Data!T53</f>
        <v>7.0000000000000001E-3</v>
      </c>
      <c r="Q53" s="1363">
        <f>Core_Data!U53</f>
        <v>0.65</v>
      </c>
      <c r="R53" s="1377"/>
      <c r="S53" s="1377"/>
    </row>
    <row r="54" spans="1:19" s="191" customFormat="1" x14ac:dyDescent="0.3">
      <c r="A54" s="1373" t="str">
        <f>Core_Data!B54</f>
        <v>MRT</v>
      </c>
      <c r="B54" s="1374">
        <f>Core_Data!C54</f>
        <v>44419</v>
      </c>
      <c r="C54" s="1346">
        <f>Core_Data!E54</f>
        <v>7.3491595906222695</v>
      </c>
      <c r="D54" s="1343">
        <f>Core_Data!G54</f>
        <v>3.6833972776381381</v>
      </c>
      <c r="E54" s="1343">
        <f>Core_Data!I54</f>
        <v>0</v>
      </c>
      <c r="F54" s="1343">
        <f>Core_Data!K54</f>
        <v>0</v>
      </c>
      <c r="G54" s="1343">
        <f>Core_Data!M54</f>
        <v>2.5896089250665399</v>
      </c>
      <c r="H54" s="1354">
        <f>Core_Data!W54</f>
        <v>3.7170530382877782</v>
      </c>
      <c r="I54" s="1361">
        <f>Core_Data!N54</f>
        <v>6.8</v>
      </c>
      <c r="J54" s="1362">
        <f>Core_Data!O54</f>
        <v>27.5</v>
      </c>
      <c r="K54" s="1362">
        <f>Core_Data!P54</f>
        <v>0.1</v>
      </c>
      <c r="L54" s="1362">
        <f>Core_Data!Q54</f>
        <v>0.84</v>
      </c>
      <c r="M54" s="1362">
        <f>Core_Data!R54</f>
        <v>0.98</v>
      </c>
      <c r="N54" s="1380">
        <f t="shared" si="0"/>
        <v>1.0502799999999999</v>
      </c>
      <c r="O54" s="1362">
        <f>Core_Data!S54</f>
        <v>0.19</v>
      </c>
      <c r="P54" s="1362">
        <f>Core_Data!T54</f>
        <v>7.0000000000000001E-3</v>
      </c>
      <c r="Q54" s="1363">
        <f>Core_Data!U54</f>
        <v>0.7</v>
      </c>
      <c r="R54" s="1377"/>
      <c r="S54" s="1377"/>
    </row>
    <row r="55" spans="1:19" s="191" customFormat="1" x14ac:dyDescent="0.3">
      <c r="A55" s="1373" t="str">
        <f>Core_Data!B55</f>
        <v>MRT</v>
      </c>
      <c r="B55" s="1374">
        <f>Core_Data!C55</f>
        <v>44426</v>
      </c>
      <c r="C55" s="1346">
        <f>Core_Data!E55</f>
        <v>8.2912776118587743</v>
      </c>
      <c r="D55" s="1343">
        <f>Core_Data!G55</f>
        <v>4.6753080389039123</v>
      </c>
      <c r="E55" s="1343">
        <f>Core_Data!I55</f>
        <v>2.9406128501018993</v>
      </c>
      <c r="F55" s="1343">
        <f>Core_Data!K55</f>
        <v>4.0156176907627623</v>
      </c>
      <c r="G55" s="1343">
        <f>Core_Data!M55</f>
        <v>3.8292751375319267</v>
      </c>
      <c r="H55" s="1354">
        <f>Core_Data!W55</f>
        <v>4.815156537643583</v>
      </c>
      <c r="I55" s="1361">
        <f>Core_Data!N55</f>
        <v>6.75</v>
      </c>
      <c r="J55" s="1362">
        <f>Core_Data!O55</f>
        <v>28.1</v>
      </c>
      <c r="K55" s="1362">
        <f>Core_Data!P55</f>
        <v>0.04</v>
      </c>
      <c r="L55" s="1362">
        <f>Core_Data!Q55</f>
        <v>0.66</v>
      </c>
      <c r="M55" s="1362">
        <f>Core_Data!R55</f>
        <v>0.77</v>
      </c>
      <c r="N55" s="1380">
        <f t="shared" si="0"/>
        <v>0.77554000000000001</v>
      </c>
      <c r="O55" s="1362">
        <f>Core_Data!S55</f>
        <v>0.24</v>
      </c>
      <c r="P55" s="1362">
        <f>Core_Data!T55</f>
        <v>7.0000000000000001E-3</v>
      </c>
      <c r="Q55" s="1363">
        <f>Core_Data!U55</f>
        <v>0.69</v>
      </c>
      <c r="R55" s="1377"/>
      <c r="S55" s="1377"/>
    </row>
    <row r="56" spans="1:19" s="191" customFormat="1" x14ac:dyDescent="0.3">
      <c r="A56" s="1373" t="str">
        <f>Core_Data!B56</f>
        <v>MRT</v>
      </c>
      <c r="B56" s="1374">
        <f>Core_Data!C56</f>
        <v>44433</v>
      </c>
      <c r="C56" s="1346">
        <f>Core_Data!E56</f>
        <v>7.6954268258771572</v>
      </c>
      <c r="D56" s="1343">
        <f>Core_Data!G56</f>
        <v>4.354304301352979</v>
      </c>
      <c r="E56" s="1343">
        <f>Core_Data!I56</f>
        <v>2.048705204442399</v>
      </c>
      <c r="F56" s="1343">
        <f>Core_Data!K56</f>
        <v>4.2170056724908411</v>
      </c>
      <c r="G56" s="1343">
        <f>Core_Data!M56</f>
        <v>2.6977679697637789</v>
      </c>
      <c r="H56" s="1354">
        <f>Core_Data!W56</f>
        <v>4.5988180698718546</v>
      </c>
      <c r="I56" s="1361">
        <f>Core_Data!N56</f>
        <v>6.73</v>
      </c>
      <c r="J56" s="1362">
        <f>Core_Data!O56</f>
        <v>28.6</v>
      </c>
      <c r="K56" s="1362">
        <f>Core_Data!P56</f>
        <v>0.08</v>
      </c>
      <c r="L56" s="1362">
        <f>Core_Data!Q56</f>
        <v>0.7</v>
      </c>
      <c r="M56" s="1362">
        <f>Core_Data!R56</f>
        <v>0.64</v>
      </c>
      <c r="N56" s="1380">
        <f t="shared" si="0"/>
        <v>0.87093999999999994</v>
      </c>
      <c r="O56" s="1362">
        <f>Core_Data!S56</f>
        <v>0.7</v>
      </c>
      <c r="P56" s="1362">
        <f>Core_Data!T56</f>
        <v>8.0000000000000002E-3</v>
      </c>
      <c r="Q56" s="1363">
        <f>Core_Data!U56</f>
        <v>0.66</v>
      </c>
      <c r="R56" s="1377"/>
      <c r="S56" s="1377"/>
    </row>
    <row r="57" spans="1:19" s="191" customFormat="1" x14ac:dyDescent="0.3">
      <c r="A57" s="1373" t="str">
        <f>Core_Data!B57</f>
        <v>RN</v>
      </c>
      <c r="B57" s="1374">
        <f>Core_Data!C57</f>
        <v>44335</v>
      </c>
      <c r="C57" s="1346">
        <f>Core_Data!E57</f>
        <v>9.0497576396880604</v>
      </c>
      <c r="D57" s="1343">
        <f>Core_Data!G57</f>
        <v>4.8874086588122267</v>
      </c>
      <c r="E57" s="1343">
        <f>Core_Data!I57</f>
        <v>5.7209447811309939</v>
      </c>
      <c r="F57" s="1343">
        <f>Core_Data!K57</f>
        <v>0</v>
      </c>
      <c r="G57" s="1343">
        <f>Core_Data!M57</f>
        <v>7.0792634452056076</v>
      </c>
      <c r="H57" s="1354">
        <f>Core_Data!W57</f>
        <v>7.1005561068026344</v>
      </c>
      <c r="I57" s="1361">
        <f>Core_Data!N57</f>
        <v>6.82</v>
      </c>
      <c r="J57" s="1362">
        <f>Core_Data!O57</f>
        <v>24.8</v>
      </c>
      <c r="K57" s="1362">
        <f>Core_Data!P57</f>
        <v>7.4999999999999997E-2</v>
      </c>
      <c r="L57" s="1362">
        <f>Core_Data!Q57</f>
        <v>1.6800000000000002</v>
      </c>
      <c r="M57" s="1362">
        <f>Core_Data!R57</f>
        <v>1.7949999999999999</v>
      </c>
      <c r="N57" s="1380">
        <f t="shared" si="0"/>
        <v>1.9395600000000002</v>
      </c>
      <c r="O57" s="1362">
        <f>Core_Data!S57</f>
        <v>0.33999999999999997</v>
      </c>
      <c r="P57" s="1362">
        <f>Core_Data!T57</f>
        <v>6.5000000000000006E-3</v>
      </c>
      <c r="Q57" s="1363">
        <f>Core_Data!U57</f>
        <v>0.46500000000000002</v>
      </c>
      <c r="R57" s="1377"/>
      <c r="S57" s="1377"/>
    </row>
    <row r="58" spans="1:19" s="191" customFormat="1" x14ac:dyDescent="0.3">
      <c r="A58" s="1373" t="str">
        <f>Core_Data!B58</f>
        <v>RN</v>
      </c>
      <c r="B58" s="1374">
        <f>Core_Data!C58</f>
        <v>44342</v>
      </c>
      <c r="C58" s="1346">
        <f>Core_Data!E58</f>
        <v>8.0739575068438771</v>
      </c>
      <c r="D58" s="1343">
        <f>Core_Data!G58</f>
        <v>4.582345351084574</v>
      </c>
      <c r="E58" s="1343">
        <f>Core_Data!I58</f>
        <v>4.5789234554193214</v>
      </c>
      <c r="F58" s="1343">
        <f>Core_Data!K58</f>
        <v>0</v>
      </c>
      <c r="G58" s="1343">
        <f>Core_Data!M58</f>
        <v>5.9408651947164479</v>
      </c>
      <c r="H58" s="1354">
        <f>Core_Data!W58</f>
        <v>5.9771975914967843</v>
      </c>
      <c r="I58" s="1361">
        <f>Core_Data!N58</f>
        <v>6.7200000000000006</v>
      </c>
      <c r="J58" s="1362">
        <f>Core_Data!O58</f>
        <v>25.65</v>
      </c>
      <c r="K58" s="1362">
        <f>Core_Data!P58</f>
        <v>6.0000000000000005E-2</v>
      </c>
      <c r="L58" s="1362">
        <f>Core_Data!Q58</f>
        <v>1.65</v>
      </c>
      <c r="M58" s="1362">
        <f>Core_Data!R58</f>
        <v>1.75</v>
      </c>
      <c r="N58" s="1380">
        <f t="shared" si="0"/>
        <v>1.88733</v>
      </c>
      <c r="O58" s="1362">
        <f>Core_Data!S58</f>
        <v>0.32</v>
      </c>
      <c r="P58" s="1362">
        <f>Core_Data!T58</f>
        <v>7.0000000000000001E-3</v>
      </c>
      <c r="Q58" s="1363">
        <f>Core_Data!U58</f>
        <v>0.505</v>
      </c>
      <c r="R58" s="1377"/>
      <c r="S58" s="1377"/>
    </row>
    <row r="59" spans="1:19" s="191" customFormat="1" x14ac:dyDescent="0.3">
      <c r="A59" s="1373" t="str">
        <f>Core_Data!B59</f>
        <v>RN</v>
      </c>
      <c r="B59" s="1374">
        <f>Core_Data!C59</f>
        <v>44350</v>
      </c>
      <c r="C59" s="1346">
        <f>Core_Data!E59</f>
        <v>9.9736003923149656</v>
      </c>
      <c r="D59" s="1343">
        <f>Core_Data!G59</f>
        <v>5.2120222604884647</v>
      </c>
      <c r="E59" s="1343">
        <f>Core_Data!I59</f>
        <v>5.3808577257032759</v>
      </c>
      <c r="F59" s="1343">
        <f>Core_Data!K59</f>
        <v>2.8671217803632532</v>
      </c>
      <c r="G59" s="1343">
        <f>Core_Data!M59</f>
        <v>6.8914232824001544</v>
      </c>
      <c r="H59" s="1354">
        <f>Core_Data!W59</f>
        <v>6.9133891052679397</v>
      </c>
      <c r="I59" s="1361">
        <f>Core_Data!N59</f>
        <v>6.7050000000000001</v>
      </c>
      <c r="J59" s="1362">
        <f>Core_Data!O59</f>
        <v>26.35</v>
      </c>
      <c r="K59" s="1362">
        <f>Core_Data!P59</f>
        <v>0.08</v>
      </c>
      <c r="L59" s="1362">
        <f>Core_Data!Q59</f>
        <v>1.32</v>
      </c>
      <c r="M59" s="1362">
        <f>Core_Data!R59</f>
        <v>1.51</v>
      </c>
      <c r="N59" s="1380">
        <f t="shared" si="0"/>
        <v>1.55108</v>
      </c>
      <c r="O59" s="1362">
        <f>Core_Data!S59</f>
        <v>0.29000000000000004</v>
      </c>
      <c r="P59" s="1362">
        <f>Core_Data!T59</f>
        <v>6.0000000000000001E-3</v>
      </c>
      <c r="Q59" s="1363">
        <f>Core_Data!U59</f>
        <v>0.61499999999999999</v>
      </c>
      <c r="R59" s="1377"/>
      <c r="S59" s="1377"/>
    </row>
    <row r="60" spans="1:19" s="191" customFormat="1" x14ac:dyDescent="0.3">
      <c r="A60" s="1373" t="str">
        <f>Core_Data!B60</f>
        <v>RN</v>
      </c>
      <c r="B60" s="1374">
        <f>Core_Data!C60</f>
        <v>44356</v>
      </c>
      <c r="C60" s="1346">
        <f>Core_Data!E60</f>
        <v>9.0805407894700885</v>
      </c>
      <c r="D60" s="1343">
        <f>Core_Data!G60</f>
        <v>4.5905055775213919</v>
      </c>
      <c r="E60" s="1343">
        <f>Core_Data!I60</f>
        <v>4.3104329272152517</v>
      </c>
      <c r="F60" s="1343">
        <f>Core_Data!K60</f>
        <v>4.2064803213784936</v>
      </c>
      <c r="G60" s="1343">
        <f>Core_Data!M60</f>
        <v>6.5764821103594846</v>
      </c>
      <c r="H60" s="1354">
        <f>Core_Data!W60</f>
        <v>6.5850879640502056</v>
      </c>
      <c r="I60" s="1361">
        <f>Core_Data!N60</f>
        <v>6.7449999999999992</v>
      </c>
      <c r="J60" s="1362">
        <f>Core_Data!O60</f>
        <v>27.25</v>
      </c>
      <c r="K60" s="1362">
        <f>Core_Data!P60</f>
        <v>0.13500000000000001</v>
      </c>
      <c r="L60" s="1362">
        <f>Core_Data!Q60</f>
        <v>1.365</v>
      </c>
      <c r="M60" s="1362">
        <f>Core_Data!R60</f>
        <v>1.2850000000000001</v>
      </c>
      <c r="N60" s="1380">
        <f t="shared" si="0"/>
        <v>1.6712849999999999</v>
      </c>
      <c r="O60" s="1362">
        <f>Core_Data!S60</f>
        <v>0.41500000000000004</v>
      </c>
      <c r="P60" s="1362">
        <f>Core_Data!T60</f>
        <v>7.0000000000000001E-3</v>
      </c>
      <c r="Q60" s="1363">
        <f>Core_Data!U60</f>
        <v>0.55499999999999994</v>
      </c>
      <c r="R60" s="1377"/>
      <c r="S60" s="1377"/>
    </row>
    <row r="61" spans="1:19" s="191" customFormat="1" x14ac:dyDescent="0.3">
      <c r="A61" s="1373" t="str">
        <f>Core_Data!B61</f>
        <v>RN</v>
      </c>
      <c r="B61" s="1374">
        <f>Core_Data!C61</f>
        <v>44363</v>
      </c>
      <c r="C61" s="1346">
        <f>Core_Data!E61</f>
        <v>7.5755870095503726</v>
      </c>
      <c r="D61" s="1343">
        <f>Core_Data!G61</f>
        <v>0</v>
      </c>
      <c r="E61" s="1343">
        <f>Core_Data!I61</f>
        <v>4.2106156072800465</v>
      </c>
      <c r="F61" s="1343">
        <f>Core_Data!K61</f>
        <v>0</v>
      </c>
      <c r="G61" s="1343">
        <f>Core_Data!M61</f>
        <v>6.0329542550771391</v>
      </c>
      <c r="H61" s="1354">
        <f>Core_Data!W61</f>
        <v>6.0394435420451087</v>
      </c>
      <c r="I61" s="1361">
        <f>Core_Data!N61</f>
        <v>6.74</v>
      </c>
      <c r="J61" s="1362">
        <f>Core_Data!O61</f>
        <v>28</v>
      </c>
      <c r="K61" s="1362">
        <f>Core_Data!P61</f>
        <v>0.70500000000000007</v>
      </c>
      <c r="L61" s="1362">
        <f>Core_Data!Q61</f>
        <v>6.0000000000000005E-2</v>
      </c>
      <c r="M61" s="1362">
        <f>Core_Data!R61</f>
        <v>0.85499999999999998</v>
      </c>
      <c r="N61" s="1380">
        <f t="shared" si="0"/>
        <v>0.97386000000000006</v>
      </c>
      <c r="O61" s="1362">
        <f>Core_Data!S61</f>
        <v>0.13500000000000001</v>
      </c>
      <c r="P61" s="1362">
        <f>Core_Data!T61</f>
        <v>6.0000000000000001E-3</v>
      </c>
      <c r="Q61" s="1363">
        <f>Core_Data!U61</f>
        <v>0.57000000000000006</v>
      </c>
      <c r="R61" s="1377"/>
      <c r="S61" s="1377"/>
    </row>
    <row r="62" spans="1:19" s="191" customFormat="1" x14ac:dyDescent="0.3">
      <c r="A62" s="1373" t="str">
        <f>Core_Data!B62</f>
        <v>RN</v>
      </c>
      <c r="B62" s="1374">
        <f>Core_Data!C62</f>
        <v>44370</v>
      </c>
      <c r="C62" s="1346">
        <f>Core_Data!E62</f>
        <v>8.9481229124964674</v>
      </c>
      <c r="D62" s="1343">
        <f>Core_Data!G62</f>
        <v>0</v>
      </c>
      <c r="E62" s="1343">
        <f>Core_Data!I62</f>
        <v>4.972675217011691</v>
      </c>
      <c r="F62" s="1343">
        <f>Core_Data!K62</f>
        <v>0</v>
      </c>
      <c r="G62" s="1343">
        <f>Core_Data!M62</f>
        <v>6.4238796591750136</v>
      </c>
      <c r="H62" s="1354">
        <f>Core_Data!W62</f>
        <v>6.4389807201198508</v>
      </c>
      <c r="I62" s="1361">
        <f>Core_Data!N62</f>
        <v>6.7949999999999999</v>
      </c>
      <c r="J62" s="1362">
        <f>Core_Data!O62</f>
        <v>27.75</v>
      </c>
      <c r="K62" s="1362">
        <f>Core_Data!P62</f>
        <v>2.2549999999999999</v>
      </c>
      <c r="L62" s="1362">
        <f>Core_Data!Q62</f>
        <v>7.0000000000000007E-2</v>
      </c>
      <c r="M62" s="1362">
        <f>Core_Data!R62</f>
        <v>2.3849999999999998</v>
      </c>
      <c r="N62" s="1380">
        <f t="shared" si="0"/>
        <v>2.98123</v>
      </c>
      <c r="O62" s="1362">
        <f>Core_Data!S62</f>
        <v>2.5000000000000001E-2</v>
      </c>
      <c r="P62" s="1362">
        <f>Core_Data!T62</f>
        <v>6.0000000000000001E-3</v>
      </c>
      <c r="Q62" s="1363">
        <f>Core_Data!U62</f>
        <v>0.53</v>
      </c>
      <c r="R62" s="1377"/>
      <c r="S62" s="1377"/>
    </row>
    <row r="63" spans="1:19" s="191" customFormat="1" x14ac:dyDescent="0.3">
      <c r="A63" s="1373" t="str">
        <f>Core_Data!B63</f>
        <v>RN</v>
      </c>
      <c r="B63" s="1374">
        <f>Core_Data!C63</f>
        <v>44377</v>
      </c>
      <c r="C63" s="1346">
        <f>Core_Data!E63</f>
        <v>8.7893770962330091</v>
      </c>
      <c r="D63" s="1343">
        <f>Core_Data!G63</f>
        <v>0</v>
      </c>
      <c r="E63" s="1343">
        <f>Core_Data!I63</f>
        <v>5.2319408525106175</v>
      </c>
      <c r="F63" s="1343">
        <f>Core_Data!K63</f>
        <v>0</v>
      </c>
      <c r="G63" s="1343">
        <f>Core_Data!M63</f>
        <v>6.7465834779246157</v>
      </c>
      <c r="H63" s="1354">
        <f>Core_Data!W63</f>
        <v>6.7596628112187753</v>
      </c>
      <c r="I63" s="1361">
        <f>Core_Data!N63</f>
        <v>6.76</v>
      </c>
      <c r="J63" s="1362">
        <f>Core_Data!O63</f>
        <v>27.700000000000003</v>
      </c>
      <c r="K63" s="1362">
        <f>Core_Data!P63</f>
        <v>1.915</v>
      </c>
      <c r="L63" s="1362">
        <f>Core_Data!Q63</f>
        <v>5.5000000000000007E-2</v>
      </c>
      <c r="M63" s="1362">
        <f>Core_Data!R63</f>
        <v>1.895</v>
      </c>
      <c r="N63" s="1380">
        <f t="shared" si="0"/>
        <v>2.5268549999999999</v>
      </c>
      <c r="O63" s="1362">
        <f>Core_Data!S63</f>
        <v>6.5000000000000002E-2</v>
      </c>
      <c r="P63" s="1362">
        <f>Core_Data!T63</f>
        <v>7.4999999999999997E-3</v>
      </c>
      <c r="Q63" s="1363">
        <f>Core_Data!U63</f>
        <v>0.54499999999999993</v>
      </c>
      <c r="R63" s="1377"/>
      <c r="S63" s="1377"/>
    </row>
    <row r="64" spans="1:19" s="191" customFormat="1" x14ac:dyDescent="0.3">
      <c r="A64" s="1373" t="str">
        <f>Core_Data!B64</f>
        <v>RN</v>
      </c>
      <c r="B64" s="1374">
        <f>Core_Data!C64</f>
        <v>44385</v>
      </c>
      <c r="C64" s="1346">
        <f>Core_Data!E64</f>
        <v>8.7422239622644788</v>
      </c>
      <c r="D64" s="1343">
        <f>Core_Data!G64</f>
        <v>2.8426731922953588</v>
      </c>
      <c r="E64" s="1343">
        <f>Core_Data!I64</f>
        <v>4.7025848149247986</v>
      </c>
      <c r="F64" s="1343">
        <f>Core_Data!K64</f>
        <v>0</v>
      </c>
      <c r="G64" s="1343">
        <f>Core_Data!M64</f>
        <v>6.583365509828246</v>
      </c>
      <c r="H64" s="1354">
        <f>Core_Data!W64</f>
        <v>6.589120940928983</v>
      </c>
      <c r="I64" s="1361">
        <f>Core_Data!N64</f>
        <v>6.8849999999999998</v>
      </c>
      <c r="J64" s="1362">
        <f>Core_Data!O64</f>
        <v>28.15</v>
      </c>
      <c r="K64" s="1362">
        <f>Core_Data!P64</f>
        <v>1.625</v>
      </c>
      <c r="L64" s="1362">
        <f>Core_Data!Q64</f>
        <v>0.03</v>
      </c>
      <c r="M64" s="1362">
        <f>Core_Data!R64</f>
        <v>1.7050000000000001</v>
      </c>
      <c r="N64" s="1380">
        <f t="shared" si="0"/>
        <v>2.1259100000000002</v>
      </c>
      <c r="O64" s="1362">
        <f>Core_Data!S64</f>
        <v>3.5000000000000003E-2</v>
      </c>
      <c r="P64" s="1362">
        <f>Core_Data!T64</f>
        <v>6.0000000000000001E-3</v>
      </c>
      <c r="Q64" s="1363">
        <f>Core_Data!U64</f>
        <v>0.255</v>
      </c>
      <c r="R64" s="1377"/>
      <c r="S64" s="1377"/>
    </row>
    <row r="65" spans="1:19" s="191" customFormat="1" x14ac:dyDescent="0.3">
      <c r="A65" s="1373" t="str">
        <f>Core_Data!B65</f>
        <v>RN</v>
      </c>
      <c r="B65" s="1374">
        <f>Core_Data!C65</f>
        <v>44391</v>
      </c>
      <c r="C65" s="1346">
        <f>Core_Data!E65</f>
        <v>9.4968335120305873</v>
      </c>
      <c r="D65" s="1343">
        <f>Core_Data!G65</f>
        <v>0</v>
      </c>
      <c r="E65" s="1343">
        <f>Core_Data!I65</f>
        <v>6.2559757760072374</v>
      </c>
      <c r="F65" s="1343">
        <f>Core_Data!K65</f>
        <v>4.475989658364921</v>
      </c>
      <c r="G65" s="1343">
        <f>Core_Data!M65</f>
        <v>7.7502065365441126</v>
      </c>
      <c r="H65" s="1354">
        <f>Core_Data!W65</f>
        <v>7.764129195704605</v>
      </c>
      <c r="I65" s="1361">
        <f>Core_Data!N65</f>
        <v>6.8849999999999998</v>
      </c>
      <c r="J65" s="1362">
        <f>Core_Data!O65</f>
        <v>28</v>
      </c>
      <c r="K65" s="1362">
        <f>Core_Data!P65</f>
        <v>1.8599999999999999</v>
      </c>
      <c r="L65" s="1362">
        <f>Core_Data!Q65</f>
        <v>3.5000000000000003E-2</v>
      </c>
      <c r="M65" s="1362">
        <f>Core_Data!R65</f>
        <v>1.835</v>
      </c>
      <c r="N65" s="1380">
        <f t="shared" si="0"/>
        <v>2.434075</v>
      </c>
      <c r="O65" s="1362">
        <f>Core_Data!S65</f>
        <v>0.17499999999999999</v>
      </c>
      <c r="P65" s="1362">
        <f>Core_Data!T65</f>
        <v>6.5000000000000006E-3</v>
      </c>
      <c r="Q65" s="1363">
        <f>Core_Data!U65</f>
        <v>0.6100000000000001</v>
      </c>
      <c r="R65" s="1377"/>
      <c r="S65" s="1377"/>
    </row>
    <row r="66" spans="1:19" s="191" customFormat="1" x14ac:dyDescent="0.3">
      <c r="A66" s="1373" t="str">
        <f>Core_Data!B66</f>
        <v>RN</v>
      </c>
      <c r="B66" s="1374">
        <f>Core_Data!C66</f>
        <v>44398</v>
      </c>
      <c r="C66" s="1346">
        <f>Core_Data!E66</f>
        <v>8.4510484637141765</v>
      </c>
      <c r="D66" s="1343">
        <f>Core_Data!G66</f>
        <v>2.5293707608093068</v>
      </c>
      <c r="E66" s="1343">
        <f>Core_Data!I66</f>
        <v>4.5696227545333876</v>
      </c>
      <c r="F66" s="1343">
        <f>Core_Data!K66</f>
        <v>2.9799106746966424</v>
      </c>
      <c r="G66" s="1343">
        <f>Core_Data!M66</f>
        <v>0</v>
      </c>
      <c r="H66" s="1354">
        <f>Core_Data!W66</f>
        <v>4.5844942085514333</v>
      </c>
      <c r="I66" s="1361">
        <f>Core_Data!N66</f>
        <v>6.8450000000000006</v>
      </c>
      <c r="J66" s="1362">
        <f>Core_Data!O66</f>
        <v>23.4</v>
      </c>
      <c r="K66" s="1362">
        <f>Core_Data!P66</f>
        <v>2.21</v>
      </c>
      <c r="L66" s="1362">
        <f>Core_Data!Q66</f>
        <v>0.01</v>
      </c>
      <c r="M66" s="1362">
        <f>Core_Data!R66</f>
        <v>2.2000000000000002</v>
      </c>
      <c r="N66" s="1380">
        <f t="shared" si="0"/>
        <v>2.85745</v>
      </c>
      <c r="O66" s="1362">
        <f>Core_Data!S66</f>
        <v>6.9999999999999993E-2</v>
      </c>
      <c r="P66" s="1362">
        <f>Core_Data!T66</f>
        <v>7.0000000000000001E-3</v>
      </c>
      <c r="Q66" s="1363">
        <f>Core_Data!U66</f>
        <v>0.56499999999999995</v>
      </c>
      <c r="R66" s="1377"/>
      <c r="S66" s="1377"/>
    </row>
    <row r="67" spans="1:19" s="191" customFormat="1" x14ac:dyDescent="0.3">
      <c r="A67" s="1373" t="str">
        <f>Core_Data!B67</f>
        <v>RN</v>
      </c>
      <c r="B67" s="1374">
        <f>Core_Data!C67</f>
        <v>44405</v>
      </c>
      <c r="C67" s="1346">
        <f>Core_Data!E67</f>
        <v>9.8465963824465117</v>
      </c>
      <c r="D67" s="1343">
        <f>Core_Data!G67</f>
        <v>4.0789618308486393</v>
      </c>
      <c r="E67" s="1343">
        <f>Core_Data!I67</f>
        <v>4.966883790581651</v>
      </c>
      <c r="F67" s="1343">
        <f>Core_Data!K67</f>
        <v>0</v>
      </c>
      <c r="G67" s="1343">
        <f>Core_Data!M67</f>
        <v>6.4926071483978385</v>
      </c>
      <c r="H67" s="1354">
        <f>Core_Data!W67</f>
        <v>6.506985731257366</v>
      </c>
      <c r="I67" s="1361">
        <f>Core_Data!N67</f>
        <v>6.75</v>
      </c>
      <c r="J67" s="1362">
        <f>Core_Data!O67</f>
        <v>24.200000000000003</v>
      </c>
      <c r="K67" s="1362">
        <f>Core_Data!P67</f>
        <v>0.105</v>
      </c>
      <c r="L67" s="1362">
        <f>Core_Data!Q67</f>
        <v>1.32</v>
      </c>
      <c r="M67" s="1362">
        <f>Core_Data!R67</f>
        <v>1.335</v>
      </c>
      <c r="N67" s="1380">
        <f t="shared" si="0"/>
        <v>1.58328</v>
      </c>
      <c r="O67" s="1362">
        <f>Core_Data!S67</f>
        <v>0.18</v>
      </c>
      <c r="P67" s="1362">
        <f>Core_Data!T67</f>
        <v>6.5000000000000006E-3</v>
      </c>
      <c r="Q67" s="1363">
        <f>Core_Data!U67</f>
        <v>0.56499999999999995</v>
      </c>
      <c r="R67" s="1377"/>
      <c r="S67" s="1377"/>
    </row>
    <row r="68" spans="1:19" s="191" customFormat="1" x14ac:dyDescent="0.3">
      <c r="A68" s="1373" t="str">
        <f>Core_Data!B68</f>
        <v>RN</v>
      </c>
      <c r="B68" s="1374">
        <f>Core_Data!C68</f>
        <v>44412</v>
      </c>
      <c r="C68" s="1346">
        <f>Core_Data!E68</f>
        <v>8.7619108730210442</v>
      </c>
      <c r="D68" s="1343">
        <f>Core_Data!G68</f>
        <v>3.7724110136143607</v>
      </c>
      <c r="E68" s="1343">
        <f>Core_Data!I68</f>
        <v>4.6391474905137544</v>
      </c>
      <c r="F68" s="1343">
        <f>Core_Data!K68</f>
        <v>3.505192400473788</v>
      </c>
      <c r="G68" s="1343">
        <f>Core_Data!M68</f>
        <v>5.3612590735701922</v>
      </c>
      <c r="H68" s="1354">
        <f>Core_Data!W68</f>
        <v>5.4509252652322751</v>
      </c>
      <c r="I68" s="1361">
        <f>Core_Data!N68</f>
        <v>6.74</v>
      </c>
      <c r="J68" s="1362">
        <f>Core_Data!O68</f>
        <v>23.6</v>
      </c>
      <c r="K68" s="1362">
        <f>Core_Data!P68</f>
        <v>9.5000000000000001E-2</v>
      </c>
      <c r="L68" s="1362">
        <f>Core_Data!Q68</f>
        <v>0.89000000000000012</v>
      </c>
      <c r="M68" s="1362">
        <f>Core_Data!R68</f>
        <v>0.8</v>
      </c>
      <c r="N68" s="1380">
        <f t="shared" ref="N68:N113" si="1">K68*1.288+L68*1.097</f>
        <v>1.0986900000000002</v>
      </c>
      <c r="O68" s="1362">
        <f>Core_Data!S68</f>
        <v>0.27</v>
      </c>
      <c r="P68" s="1362">
        <f>Core_Data!T68</f>
        <v>6.5000000000000006E-3</v>
      </c>
      <c r="Q68" s="1363">
        <f>Core_Data!U68</f>
        <v>0.6100000000000001</v>
      </c>
      <c r="R68" s="1377"/>
      <c r="S68" s="1377"/>
    </row>
    <row r="69" spans="1:19" s="191" customFormat="1" x14ac:dyDescent="0.3">
      <c r="A69" s="1373" t="str">
        <f>Core_Data!B69</f>
        <v>RN</v>
      </c>
      <c r="B69" s="1374">
        <f>Core_Data!C69</f>
        <v>44419</v>
      </c>
      <c r="C69" s="1346">
        <f>Core_Data!E69</f>
        <v>8.7956529211205527</v>
      </c>
      <c r="D69" s="1343">
        <f>Core_Data!G69</f>
        <v>4.063005892980124</v>
      </c>
      <c r="E69" s="1343">
        <f>Core_Data!I69</f>
        <v>4.7652346487326867</v>
      </c>
      <c r="F69" s="1343">
        <f>Core_Data!K69</f>
        <v>0</v>
      </c>
      <c r="G69" s="1343">
        <f>Core_Data!M69</f>
        <v>5.9541054675219511</v>
      </c>
      <c r="H69" s="1354">
        <f>Core_Data!W69</f>
        <v>5.9865563736692264</v>
      </c>
      <c r="I69" s="1361">
        <f>Core_Data!N69</f>
        <v>6.82</v>
      </c>
      <c r="J69" s="1362">
        <f>Core_Data!O69</f>
        <v>23.1</v>
      </c>
      <c r="K69" s="1362">
        <f>Core_Data!P69</f>
        <v>0.1</v>
      </c>
      <c r="L69" s="1362">
        <f>Core_Data!Q69</f>
        <v>1.085</v>
      </c>
      <c r="M69" s="1362">
        <f>Core_Data!R69</f>
        <v>1.095</v>
      </c>
      <c r="N69" s="1380">
        <f t="shared" si="1"/>
        <v>1.319045</v>
      </c>
      <c r="O69" s="1362">
        <f>Core_Data!S69</f>
        <v>0.18</v>
      </c>
      <c r="P69" s="1362">
        <f>Core_Data!T69</f>
        <v>6.5000000000000006E-3</v>
      </c>
      <c r="Q69" s="1363">
        <f>Core_Data!U69</f>
        <v>0.61</v>
      </c>
      <c r="R69" s="1377"/>
      <c r="S69" s="1377"/>
    </row>
    <row r="70" spans="1:19" s="191" customFormat="1" x14ac:dyDescent="0.3">
      <c r="A70" s="1373" t="str">
        <f>Core_Data!B70</f>
        <v>RN</v>
      </c>
      <c r="B70" s="1374">
        <f>Core_Data!C70</f>
        <v>44426</v>
      </c>
      <c r="C70" s="1346">
        <f>Core_Data!E70</f>
        <v>8.6511149385728281</v>
      </c>
      <c r="D70" s="1343">
        <f>Core_Data!G70</f>
        <v>3.9558924586156925</v>
      </c>
      <c r="E70" s="1343">
        <f>Core_Data!I70</f>
        <v>3.9884828813409765</v>
      </c>
      <c r="F70" s="1343">
        <f>Core_Data!K70</f>
        <v>0</v>
      </c>
      <c r="G70" s="1343">
        <f>Core_Data!M70</f>
        <v>5.8462238907393802</v>
      </c>
      <c r="H70" s="1354">
        <f>Core_Data!W70</f>
        <v>5.8576879672140345</v>
      </c>
      <c r="I70" s="1361">
        <f>Core_Data!N70</f>
        <v>7.1050000000000004</v>
      </c>
      <c r="J70" s="1362">
        <f>Core_Data!O70</f>
        <v>23.299999999999997</v>
      </c>
      <c r="K70" s="1362">
        <f>Core_Data!P70</f>
        <v>7.0000000000000007E-2</v>
      </c>
      <c r="L70" s="1362">
        <f>Core_Data!Q70</f>
        <v>1.2549999999999999</v>
      </c>
      <c r="M70" s="1362">
        <f>Core_Data!R70</f>
        <v>1.2850000000000001</v>
      </c>
      <c r="N70" s="1380">
        <f t="shared" si="1"/>
        <v>1.4668949999999998</v>
      </c>
      <c r="O70" s="1362">
        <f>Core_Data!S70</f>
        <v>0.17499999999999999</v>
      </c>
      <c r="P70" s="1362">
        <f>Core_Data!T70</f>
        <v>5.4000000000000006E-2</v>
      </c>
      <c r="Q70" s="1363">
        <f>Core_Data!U70</f>
        <v>0.66999999999999993</v>
      </c>
      <c r="R70" s="1377"/>
      <c r="S70" s="1377"/>
    </row>
    <row r="71" spans="1:19" s="191" customFormat="1" x14ac:dyDescent="0.3">
      <c r="A71" s="1373" t="str">
        <f>Core_Data!B71</f>
        <v>RN</v>
      </c>
      <c r="B71" s="1374">
        <f>Core_Data!C71</f>
        <v>44433</v>
      </c>
      <c r="C71" s="1346">
        <f>Core_Data!E71</f>
        <v>9.1672151154857069</v>
      </c>
      <c r="D71" s="1343">
        <f>Core_Data!G71</f>
        <v>3.3825519858263853</v>
      </c>
      <c r="E71" s="1343">
        <f>Core_Data!I71</f>
        <v>4.0205992861258624</v>
      </c>
      <c r="F71" s="1343">
        <f>Core_Data!K71</f>
        <v>5.9567414178163585</v>
      </c>
      <c r="G71" s="1343">
        <f>Core_Data!M71</f>
        <v>4.6614390992234407</v>
      </c>
      <c r="H71" s="1354">
        <f>Core_Data!W71</f>
        <v>5.9840557375423442</v>
      </c>
      <c r="I71" s="1361">
        <f>Core_Data!N71</f>
        <v>6.915</v>
      </c>
      <c r="J71" s="1362">
        <f>Core_Data!O71</f>
        <v>23.9</v>
      </c>
      <c r="K71" s="1362">
        <f>Core_Data!P71</f>
        <v>7.0000000000000007E-2</v>
      </c>
      <c r="L71" s="1362">
        <f>Core_Data!Q71</f>
        <v>0.79</v>
      </c>
      <c r="M71" s="1362">
        <f>Core_Data!R71</f>
        <v>0.64500000000000002</v>
      </c>
      <c r="N71" s="1380">
        <f t="shared" si="1"/>
        <v>0.95679000000000003</v>
      </c>
      <c r="O71" s="1362">
        <f>Core_Data!S71</f>
        <v>0.24</v>
      </c>
      <c r="P71" s="1362">
        <f>Core_Data!T71</f>
        <v>8.5000000000000006E-3</v>
      </c>
      <c r="Q71" s="1363">
        <f>Core_Data!U71</f>
        <v>0.62</v>
      </c>
      <c r="R71" s="1377"/>
      <c r="S71" s="1377"/>
    </row>
    <row r="72" spans="1:19" s="191" customFormat="1" x14ac:dyDescent="0.3">
      <c r="A72" s="1373" t="str">
        <f>Core_Data!B72</f>
        <v>RU</v>
      </c>
      <c r="B72" s="1374">
        <f>Core_Data!C72</f>
        <v>44335</v>
      </c>
      <c r="C72" s="1346">
        <f>Core_Data!E72</f>
        <v>7.4691683721050639</v>
      </c>
      <c r="D72" s="1343">
        <f>Core_Data!G72</f>
        <v>4.7400289986131288</v>
      </c>
      <c r="E72" s="1343">
        <f>Core_Data!I72</f>
        <v>4.4051917282697053</v>
      </c>
      <c r="F72" s="1343">
        <f>Core_Data!K72</f>
        <v>0</v>
      </c>
      <c r="G72" s="1343">
        <f>Core_Data!M72</f>
        <v>2.5204130406954133</v>
      </c>
      <c r="H72" s="1354">
        <f>Core_Data!W72</f>
        <v>4.9069281558909319</v>
      </c>
      <c r="I72" s="1361">
        <f>Core_Data!N72</f>
        <v>7.43</v>
      </c>
      <c r="J72" s="1362">
        <f>Core_Data!O72</f>
        <v>24.5</v>
      </c>
      <c r="K72" s="1362">
        <f>Core_Data!P72</f>
        <v>8.4999999999999992E-2</v>
      </c>
      <c r="L72" s="1362">
        <f>Core_Data!Q72</f>
        <v>2.4249999999999998</v>
      </c>
      <c r="M72" s="1362">
        <f>Core_Data!R72</f>
        <v>2.86</v>
      </c>
      <c r="N72" s="1380">
        <f t="shared" si="1"/>
        <v>2.7697049999999996</v>
      </c>
      <c r="O72" s="1362">
        <f>Core_Data!S72</f>
        <v>0.28500000000000003</v>
      </c>
      <c r="P72" s="1362">
        <f>Core_Data!T72</f>
        <v>8.0000000000000002E-3</v>
      </c>
      <c r="Q72" s="1363">
        <f>Core_Data!U72</f>
        <v>0.28500000000000003</v>
      </c>
      <c r="R72" s="1377"/>
      <c r="S72" s="1377"/>
    </row>
    <row r="73" spans="1:19" s="191" customFormat="1" x14ac:dyDescent="0.3">
      <c r="A73" s="1373" t="str">
        <f>Core_Data!B73</f>
        <v>RU</v>
      </c>
      <c r="B73" s="1374">
        <f>Core_Data!C73</f>
        <v>44342</v>
      </c>
      <c r="C73" s="1346">
        <f>Core_Data!E73</f>
        <v>7.6870587008862445</v>
      </c>
      <c r="D73" s="1343">
        <f>Core_Data!G73</f>
        <v>4.7211953366507178</v>
      </c>
      <c r="E73" s="1343">
        <f>Core_Data!I73</f>
        <v>4.2034233374593502</v>
      </c>
      <c r="F73" s="1343">
        <f>Core_Data!K73</f>
        <v>0</v>
      </c>
      <c r="G73" s="1343">
        <f>Core_Data!M73</f>
        <v>2.8024360933784962</v>
      </c>
      <c r="H73" s="1354">
        <f>Core_Data!W73</f>
        <v>4.8403210099395428</v>
      </c>
      <c r="I73" s="1361">
        <f>Core_Data!N73</f>
        <v>6.88</v>
      </c>
      <c r="J73" s="1362">
        <f>Core_Data!O73</f>
        <v>25</v>
      </c>
      <c r="K73" s="1362">
        <f>Core_Data!P73</f>
        <v>0.13500000000000001</v>
      </c>
      <c r="L73" s="1362">
        <f>Core_Data!Q73</f>
        <v>2.39</v>
      </c>
      <c r="M73" s="1362">
        <f>Core_Data!R73</f>
        <v>2.9950000000000001</v>
      </c>
      <c r="N73" s="1380">
        <f t="shared" si="1"/>
        <v>2.7957100000000001</v>
      </c>
      <c r="O73" s="1362">
        <f>Core_Data!S73</f>
        <v>0.2</v>
      </c>
      <c r="P73" s="1362">
        <f>Core_Data!T73</f>
        <v>7.0000000000000001E-3</v>
      </c>
      <c r="Q73" s="1363">
        <f>Core_Data!U73</f>
        <v>0.27</v>
      </c>
      <c r="R73" s="1377"/>
      <c r="S73" s="1377"/>
    </row>
    <row r="74" spans="1:19" s="191" customFormat="1" x14ac:dyDescent="0.3">
      <c r="A74" s="1373" t="str">
        <f>Core_Data!B74</f>
        <v>RU</v>
      </c>
      <c r="B74" s="1374">
        <f>Core_Data!C74</f>
        <v>44350</v>
      </c>
      <c r="C74" s="1346">
        <f>Core_Data!E74</f>
        <v>7.0970742653226893</v>
      </c>
      <c r="D74" s="1343">
        <f>Core_Data!G74</f>
        <v>4.3537581058361781</v>
      </c>
      <c r="E74" s="1343">
        <f>Core_Data!I74</f>
        <v>3.7638717262823116</v>
      </c>
      <c r="F74" s="1343">
        <f>Core_Data!K74</f>
        <v>0</v>
      </c>
      <c r="G74" s="1343">
        <f>Core_Data!M74</f>
        <v>2.7605127333945005</v>
      </c>
      <c r="H74" s="1354">
        <f>Core_Data!W74</f>
        <v>4.4618559199604793</v>
      </c>
      <c r="I74" s="1361">
        <f>Core_Data!N74</f>
        <v>7.2449999999999992</v>
      </c>
      <c r="J74" s="1362">
        <f>Core_Data!O74</f>
        <v>25.05</v>
      </c>
      <c r="K74" s="1362">
        <f>Core_Data!P74</f>
        <v>7.4999999999999997E-2</v>
      </c>
      <c r="L74" s="1362">
        <f>Core_Data!Q74</f>
        <v>2.34</v>
      </c>
      <c r="M74" s="1362">
        <f>Core_Data!R74</f>
        <v>2.56</v>
      </c>
      <c r="N74" s="1380">
        <f t="shared" si="1"/>
        <v>2.6635799999999996</v>
      </c>
      <c r="O74" s="1362">
        <f>Core_Data!S74</f>
        <v>0.26</v>
      </c>
      <c r="P74" s="1362">
        <f>Core_Data!T74</f>
        <v>7.0000000000000001E-3</v>
      </c>
      <c r="Q74" s="1363">
        <f>Core_Data!U74</f>
        <v>0.39</v>
      </c>
      <c r="R74" s="1377"/>
      <c r="S74" s="1377"/>
    </row>
    <row r="75" spans="1:19" s="191" customFormat="1" x14ac:dyDescent="0.3">
      <c r="A75" s="1373" t="str">
        <f>Core_Data!B75</f>
        <v>RU</v>
      </c>
      <c r="B75" s="1374">
        <f>Core_Data!C75</f>
        <v>44356</v>
      </c>
      <c r="C75" s="1346">
        <f>Core_Data!E75</f>
        <v>7.7336987531004038</v>
      </c>
      <c r="D75" s="1343">
        <f>Core_Data!G75</f>
        <v>4.3340059600019885</v>
      </c>
      <c r="E75" s="1343">
        <f>Core_Data!I75</f>
        <v>3.7516032075768719</v>
      </c>
      <c r="F75" s="1343">
        <f>Core_Data!K75</f>
        <v>0</v>
      </c>
      <c r="G75" s="1343">
        <f>Core_Data!M75</f>
        <v>0</v>
      </c>
      <c r="H75" s="1354">
        <f>Core_Data!W75</f>
        <v>4.4349192443684737</v>
      </c>
      <c r="I75" s="1361">
        <f>Core_Data!N75</f>
        <v>6.8149999999999995</v>
      </c>
      <c r="J75" s="1362">
        <f>Core_Data!O75</f>
        <v>26.95</v>
      </c>
      <c r="K75" s="1362">
        <f>Core_Data!P75</f>
        <v>0.1</v>
      </c>
      <c r="L75" s="1362">
        <f>Core_Data!Q75</f>
        <v>2.6100000000000003</v>
      </c>
      <c r="M75" s="1362">
        <f>Core_Data!R75</f>
        <v>2.87</v>
      </c>
      <c r="N75" s="1380">
        <f t="shared" si="1"/>
        <v>2.9919700000000002</v>
      </c>
      <c r="O75" s="1362">
        <f>Core_Data!S75</f>
        <v>0.155</v>
      </c>
      <c r="P75" s="1362">
        <f>Core_Data!T75</f>
        <v>8.0000000000000002E-3</v>
      </c>
      <c r="Q75" s="1363">
        <f>Core_Data!U75</f>
        <v>0.33999999999999997</v>
      </c>
      <c r="R75" s="1377"/>
      <c r="S75" s="1377"/>
    </row>
    <row r="76" spans="1:19" s="191" customFormat="1" x14ac:dyDescent="0.3">
      <c r="A76" s="1373" t="str">
        <f>Core_Data!B76</f>
        <v>RU</v>
      </c>
      <c r="B76" s="1374">
        <f>Core_Data!C76</f>
        <v>44363</v>
      </c>
      <c r="C76" s="1346">
        <f>Core_Data!E76</f>
        <v>6.6956501668543815</v>
      </c>
      <c r="D76" s="1343">
        <f>Core_Data!G76</f>
        <v>0</v>
      </c>
      <c r="E76" s="1343">
        <f>Core_Data!I76</f>
        <v>4.3559487492646749</v>
      </c>
      <c r="F76" s="1343">
        <f>Core_Data!K76</f>
        <v>0</v>
      </c>
      <c r="G76" s="1343">
        <f>Core_Data!M76</f>
        <v>1.8620594843788647</v>
      </c>
      <c r="H76" s="1354">
        <f>Core_Data!W76</f>
        <v>4.3573393407477621</v>
      </c>
      <c r="I76" s="1361">
        <f>Core_Data!N76</f>
        <v>7.12</v>
      </c>
      <c r="J76" s="1362">
        <f>Core_Data!O76</f>
        <v>28.8</v>
      </c>
      <c r="K76" s="1362">
        <f>Core_Data!P76</f>
        <v>2.36</v>
      </c>
      <c r="L76" s="1362">
        <f>Core_Data!Q76</f>
        <v>0.02</v>
      </c>
      <c r="M76" s="1362">
        <f>Core_Data!R76</f>
        <v>2.41</v>
      </c>
      <c r="N76" s="1380">
        <f t="shared" si="1"/>
        <v>3.0616199999999996</v>
      </c>
      <c r="O76" s="1362">
        <f>Core_Data!S76</f>
        <v>0.09</v>
      </c>
      <c r="P76" s="1362">
        <f>Core_Data!T76</f>
        <v>7.0000000000000001E-3</v>
      </c>
      <c r="Q76" s="1363">
        <f>Core_Data!U76</f>
        <v>0.34</v>
      </c>
      <c r="R76" s="1377"/>
      <c r="S76" s="1377"/>
    </row>
    <row r="77" spans="1:19" s="191" customFormat="1" x14ac:dyDescent="0.3">
      <c r="A77" s="1373" t="str">
        <f>Core_Data!B77</f>
        <v>RU</v>
      </c>
      <c r="B77" s="1374">
        <f>Core_Data!C77</f>
        <v>44370</v>
      </c>
      <c r="C77" s="1346">
        <f>Core_Data!E77</f>
        <v>6.7113774578673802</v>
      </c>
      <c r="D77" s="1343">
        <f>Core_Data!G77</f>
        <v>0</v>
      </c>
      <c r="E77" s="1343">
        <f>Core_Data!I77</f>
        <v>4.528648619786007</v>
      </c>
      <c r="F77" s="1343">
        <f>Core_Data!K77</f>
        <v>0</v>
      </c>
      <c r="G77" s="1343">
        <f>Core_Data!M77</f>
        <v>3.6892668926510406</v>
      </c>
      <c r="H77" s="1354">
        <f>Core_Data!W77</f>
        <v>4.5873592341105756</v>
      </c>
      <c r="I77" s="1361">
        <f>Core_Data!N77</f>
        <v>7.1</v>
      </c>
      <c r="J77" s="1362">
        <f>Core_Data!O77</f>
        <v>27.4</v>
      </c>
      <c r="K77" s="1362">
        <f>Core_Data!P77</f>
        <v>3.26</v>
      </c>
      <c r="L77" s="1362">
        <f>Core_Data!Q77</f>
        <v>0.01</v>
      </c>
      <c r="M77" s="1362">
        <f>Core_Data!R77</f>
        <v>3.3</v>
      </c>
      <c r="N77" s="1380">
        <f t="shared" si="1"/>
        <v>4.2098500000000003</v>
      </c>
      <c r="O77" s="1362">
        <f>Core_Data!S77</f>
        <v>1.4999999999999999E-2</v>
      </c>
      <c r="P77" s="1362">
        <f>Core_Data!T77</f>
        <v>6.5000000000000006E-3</v>
      </c>
      <c r="Q77" s="1363">
        <f>Core_Data!U77</f>
        <v>0.32999999999999996</v>
      </c>
      <c r="R77" s="1377"/>
      <c r="S77" s="1377"/>
    </row>
    <row r="78" spans="1:19" s="191" customFormat="1" x14ac:dyDescent="0.3">
      <c r="A78" s="1373" t="str">
        <f>Core_Data!B78</f>
        <v>RU</v>
      </c>
      <c r="B78" s="1374">
        <f>Core_Data!C78</f>
        <v>44377</v>
      </c>
      <c r="C78" s="1346">
        <f>Core_Data!E78</f>
        <v>6.5199267632234479</v>
      </c>
      <c r="D78" s="1343">
        <f>Core_Data!G78</f>
        <v>0</v>
      </c>
      <c r="E78" s="1343">
        <f>Core_Data!I78</f>
        <v>4.2412600059771011</v>
      </c>
      <c r="F78" s="1343">
        <f>Core_Data!K78</f>
        <v>0</v>
      </c>
      <c r="G78" s="1343">
        <f>Core_Data!M78</f>
        <v>3.0618000178157891</v>
      </c>
      <c r="H78" s="1354">
        <f>Core_Data!W78</f>
        <v>4.2690789478210212</v>
      </c>
      <c r="I78" s="1361">
        <f>Core_Data!N78</f>
        <v>6.9850000000000003</v>
      </c>
      <c r="J78" s="1362">
        <f>Core_Data!O78</f>
        <v>26.7</v>
      </c>
      <c r="K78" s="1362">
        <f>Core_Data!P78</f>
        <v>3.08</v>
      </c>
      <c r="L78" s="1362">
        <f>Core_Data!Q78</f>
        <v>0.01</v>
      </c>
      <c r="M78" s="1362">
        <f>Core_Data!R78</f>
        <v>3.0649999999999999</v>
      </c>
      <c r="N78" s="1380">
        <f t="shared" si="1"/>
        <v>3.9780100000000003</v>
      </c>
      <c r="O78" s="1362">
        <f>Core_Data!S78</f>
        <v>0.04</v>
      </c>
      <c r="P78" s="1362">
        <f>Core_Data!T78</f>
        <v>8.0000000000000002E-3</v>
      </c>
      <c r="Q78" s="1363">
        <f>Core_Data!U78</f>
        <v>0.32</v>
      </c>
      <c r="R78" s="1377"/>
      <c r="S78" s="1377"/>
    </row>
    <row r="79" spans="1:19" s="191" customFormat="1" x14ac:dyDescent="0.3">
      <c r="A79" s="1373" t="str">
        <f>Core_Data!B79</f>
        <v>RU</v>
      </c>
      <c r="B79" s="1374">
        <f>Core_Data!C79</f>
        <v>44385</v>
      </c>
      <c r="C79" s="1346">
        <f>Core_Data!E79</f>
        <v>6.7372543138337742</v>
      </c>
      <c r="D79" s="1343">
        <f>Core_Data!G79</f>
        <v>2.9564632934270887</v>
      </c>
      <c r="E79" s="1343">
        <f>Core_Data!I79</f>
        <v>3.9406198467719626</v>
      </c>
      <c r="F79" s="1343">
        <f>Core_Data!K79</f>
        <v>0</v>
      </c>
      <c r="G79" s="1343">
        <f>Core_Data!M79</f>
        <v>0</v>
      </c>
      <c r="H79" s="1354">
        <f>Core_Data!W79</f>
        <v>3.9834769678162663</v>
      </c>
      <c r="I79" s="1361">
        <f>Core_Data!N79</f>
        <v>6.7450000000000001</v>
      </c>
      <c r="J79" s="1362">
        <f>Core_Data!O79</f>
        <v>27.15</v>
      </c>
      <c r="K79" s="1362">
        <f>Core_Data!P79</f>
        <v>2.6550000000000002</v>
      </c>
      <c r="L79" s="1362">
        <f>Core_Data!Q79</f>
        <v>5.0000000000000001E-3</v>
      </c>
      <c r="M79" s="1362">
        <f>Core_Data!R79</f>
        <v>2.73</v>
      </c>
      <c r="N79" s="1380">
        <f t="shared" si="1"/>
        <v>3.4251250000000004</v>
      </c>
      <c r="O79" s="1362">
        <f>Core_Data!S79</f>
        <v>0.05</v>
      </c>
      <c r="P79" s="1362">
        <f>Core_Data!T79</f>
        <v>7.0000000000000001E-3</v>
      </c>
      <c r="Q79" s="1363">
        <f>Core_Data!U79</f>
        <v>0.4</v>
      </c>
      <c r="R79" s="1377"/>
      <c r="S79" s="1377"/>
    </row>
    <row r="80" spans="1:19" s="191" customFormat="1" x14ac:dyDescent="0.3">
      <c r="A80" s="1373" t="str">
        <f>Core_Data!B80</f>
        <v>RU</v>
      </c>
      <c r="B80" s="1374">
        <f>Core_Data!C80</f>
        <v>44391</v>
      </c>
      <c r="C80" s="1346">
        <f>Core_Data!E80</f>
        <v>9.8628594775492058</v>
      </c>
      <c r="D80" s="1343">
        <f>Core_Data!G80</f>
        <v>0</v>
      </c>
      <c r="E80" s="1343">
        <f>Core_Data!I80</f>
        <v>3.7432204152120327</v>
      </c>
      <c r="F80" s="1343">
        <f>Core_Data!K80</f>
        <v>4.9408450708457536</v>
      </c>
      <c r="G80" s="1343">
        <f>Core_Data!M80</f>
        <v>0</v>
      </c>
      <c r="H80" s="1354">
        <f>Core_Data!W80</f>
        <v>4.9675587886088426</v>
      </c>
      <c r="I80" s="1361">
        <f>Core_Data!N80</f>
        <v>6.8650000000000002</v>
      </c>
      <c r="J80" s="1362">
        <f>Core_Data!O80</f>
        <v>27.95</v>
      </c>
      <c r="K80" s="1362">
        <f>Core_Data!P80</f>
        <v>3.0150000000000001</v>
      </c>
      <c r="L80" s="1362">
        <f>Core_Data!Q80</f>
        <v>0.02</v>
      </c>
      <c r="M80" s="1362">
        <f>Core_Data!R80</f>
        <v>3.0250000000000004</v>
      </c>
      <c r="N80" s="1380">
        <f t="shared" si="1"/>
        <v>3.9052600000000002</v>
      </c>
      <c r="O80" s="1362">
        <f>Core_Data!S80</f>
        <v>9.5000000000000001E-2</v>
      </c>
      <c r="P80" s="1362">
        <f>Core_Data!T80</f>
        <v>8.0000000000000002E-3</v>
      </c>
      <c r="Q80" s="1363">
        <f>Core_Data!U80</f>
        <v>0.46</v>
      </c>
      <c r="R80" s="1377"/>
      <c r="S80" s="1377"/>
    </row>
    <row r="81" spans="1:19" s="191" customFormat="1" x14ac:dyDescent="0.3">
      <c r="A81" s="1373" t="str">
        <f>Core_Data!B81</f>
        <v>RU</v>
      </c>
      <c r="B81" s="1374">
        <f>Core_Data!C81</f>
        <v>44405</v>
      </c>
      <c r="C81" s="1346">
        <f>Core_Data!E81</f>
        <v>8.1333710139331075</v>
      </c>
      <c r="D81" s="1343">
        <f>Core_Data!G81</f>
        <v>4.5326444063254305</v>
      </c>
      <c r="E81" s="1343">
        <f>Core_Data!I81</f>
        <v>3.6371857019862635</v>
      </c>
      <c r="F81" s="1343">
        <f>Core_Data!K81</f>
        <v>0</v>
      </c>
      <c r="G81" s="1343">
        <f>Core_Data!M81</f>
        <v>3.0363742024637514</v>
      </c>
      <c r="H81" s="1354">
        <f>Core_Data!W81</f>
        <v>4.5967695831395945</v>
      </c>
      <c r="I81" s="1361">
        <f>Core_Data!N81</f>
        <v>6.7450000000000001</v>
      </c>
      <c r="J81" s="1362">
        <f>Core_Data!O81</f>
        <v>28.15</v>
      </c>
      <c r="K81" s="1362">
        <f>Core_Data!P81</f>
        <v>0.1</v>
      </c>
      <c r="L81" s="1362">
        <f>Core_Data!Q81</f>
        <v>2.0449999999999999</v>
      </c>
      <c r="M81" s="1362">
        <f>Core_Data!R81</f>
        <v>2.2549999999999999</v>
      </c>
      <c r="N81" s="1380">
        <f t="shared" si="1"/>
        <v>2.3721649999999999</v>
      </c>
      <c r="O81" s="1362">
        <f>Core_Data!S81</f>
        <v>0.14000000000000001</v>
      </c>
      <c r="P81" s="1362">
        <f>Core_Data!T81</f>
        <v>6.0000000000000001E-3</v>
      </c>
      <c r="Q81" s="1363">
        <f>Core_Data!U81</f>
        <v>0.44</v>
      </c>
      <c r="R81" s="1377"/>
      <c r="S81" s="1377"/>
    </row>
    <row r="82" spans="1:19" s="191" customFormat="1" x14ac:dyDescent="0.3">
      <c r="A82" s="1373" t="str">
        <f>Core_Data!B82</f>
        <v>RU</v>
      </c>
      <c r="B82" s="1374">
        <f>Core_Data!C82</f>
        <v>44412</v>
      </c>
      <c r="C82" s="1346">
        <f>Core_Data!E82</f>
        <v>7.7970179338660834</v>
      </c>
      <c r="D82" s="1343">
        <f>Core_Data!G82</f>
        <v>3.7303707033332447</v>
      </c>
      <c r="E82" s="1343">
        <f>Core_Data!I82</f>
        <v>4.0131980264403566</v>
      </c>
      <c r="F82" s="1343">
        <f>Core_Data!K82</f>
        <v>0</v>
      </c>
      <c r="G82" s="1343">
        <f>Core_Data!M82</f>
        <v>3.0807511674943671</v>
      </c>
      <c r="H82" s="1354">
        <f>Core_Data!W82</f>
        <v>4.2275733381513261</v>
      </c>
      <c r="I82" s="1361">
        <f>Core_Data!N82</f>
        <v>6.66</v>
      </c>
      <c r="J82" s="1362">
        <f>Core_Data!O82</f>
        <v>26.799999999999997</v>
      </c>
      <c r="K82" s="1362">
        <f>Core_Data!P82</f>
        <v>0.01</v>
      </c>
      <c r="L82" s="1362">
        <f>Core_Data!Q82</f>
        <v>2.415</v>
      </c>
      <c r="M82" s="1362">
        <f>Core_Data!R82</f>
        <v>2.7800000000000002</v>
      </c>
      <c r="N82" s="1380">
        <f t="shared" si="1"/>
        <v>2.6621350000000001</v>
      </c>
      <c r="O82" s="1362">
        <f>Core_Data!S82</f>
        <v>0.115</v>
      </c>
      <c r="P82" s="1362">
        <f>Core_Data!T82</f>
        <v>6.5000000000000006E-3</v>
      </c>
      <c r="Q82" s="1363">
        <f>Core_Data!U82</f>
        <v>0.35499999999999998</v>
      </c>
      <c r="R82" s="1377"/>
      <c r="S82" s="1377"/>
    </row>
    <row r="83" spans="1:19" s="191" customFormat="1" x14ac:dyDescent="0.3">
      <c r="A83" s="1373" t="str">
        <f>Core_Data!B83</f>
        <v>RU</v>
      </c>
      <c r="B83" s="1374">
        <f>Core_Data!C83</f>
        <v>44419</v>
      </c>
      <c r="C83" s="1346">
        <f>Core_Data!E83</f>
        <v>8.4672516463565746</v>
      </c>
      <c r="D83" s="1343">
        <f>Core_Data!G83</f>
        <v>4.0851231859017831</v>
      </c>
      <c r="E83" s="1343">
        <f>Core_Data!I83</f>
        <v>4.1279498708001707</v>
      </c>
      <c r="F83" s="1343">
        <f>Core_Data!K83</f>
        <v>4.5219452069362802</v>
      </c>
      <c r="G83" s="1343">
        <f>Core_Data!M83</f>
        <v>0</v>
      </c>
      <c r="H83" s="1354">
        <f>Core_Data!W83</f>
        <v>4.7697698492433531</v>
      </c>
      <c r="I83" s="1361">
        <f>Core_Data!N83</f>
        <v>6.64</v>
      </c>
      <c r="J83" s="1362">
        <f>Core_Data!O83</f>
        <v>29.5</v>
      </c>
      <c r="K83" s="1362">
        <f>Core_Data!P83</f>
        <v>0.09</v>
      </c>
      <c r="L83" s="1362">
        <f>Core_Data!Q83</f>
        <v>2.1950000000000003</v>
      </c>
      <c r="M83" s="1362">
        <f>Core_Data!R83</f>
        <v>2.665</v>
      </c>
      <c r="N83" s="1380">
        <f t="shared" si="1"/>
        <v>2.5238350000000005</v>
      </c>
      <c r="O83" s="1362">
        <f>Core_Data!S83</f>
        <v>0.14499999999999999</v>
      </c>
      <c r="P83" s="1362">
        <f>Core_Data!T83</f>
        <v>4.5000000000000005E-3</v>
      </c>
      <c r="Q83" s="1363">
        <f>Core_Data!U83</f>
        <v>0.39500000000000002</v>
      </c>
      <c r="R83" s="1377"/>
      <c r="S83" s="1377"/>
    </row>
    <row r="84" spans="1:19" s="191" customFormat="1" x14ac:dyDescent="0.3">
      <c r="A84" s="1373" t="str">
        <f>Core_Data!B84</f>
        <v>RU</v>
      </c>
      <c r="B84" s="1374">
        <f>Core_Data!C84</f>
        <v>44426</v>
      </c>
      <c r="C84" s="1346">
        <f>Core_Data!E84</f>
        <v>7.5735569828090972</v>
      </c>
      <c r="D84" s="1343">
        <f>Core_Data!G84</f>
        <v>4.9425680230912103</v>
      </c>
      <c r="E84" s="1343">
        <f>Core_Data!I84</f>
        <v>3.396386455090723</v>
      </c>
      <c r="F84" s="1343">
        <f>Core_Data!K84</f>
        <v>0</v>
      </c>
      <c r="G84" s="1343">
        <f>Core_Data!M84</f>
        <v>2.572604608472389</v>
      </c>
      <c r="H84" s="1354">
        <f>Core_Data!W84</f>
        <v>4.9565417274702419</v>
      </c>
      <c r="I84" s="1361">
        <f>Core_Data!N84</f>
        <v>6.6549999999999994</v>
      </c>
      <c r="J84" s="1362">
        <f>Core_Data!O84</f>
        <v>28.3</v>
      </c>
      <c r="K84" s="1362">
        <f>Core_Data!P84</f>
        <v>0.11</v>
      </c>
      <c r="L84" s="1362">
        <f>Core_Data!Q84</f>
        <v>2.27</v>
      </c>
      <c r="M84" s="1362">
        <f>Core_Data!R84</f>
        <v>2.7350000000000003</v>
      </c>
      <c r="N84" s="1380">
        <f t="shared" si="1"/>
        <v>2.6318700000000002</v>
      </c>
      <c r="O84" s="1362">
        <f>Core_Data!S84</f>
        <v>0.13500000000000001</v>
      </c>
      <c r="P84" s="1362">
        <f>Core_Data!T84</f>
        <v>6.5000000000000006E-3</v>
      </c>
      <c r="Q84" s="1363">
        <f>Core_Data!U84</f>
        <v>0.34</v>
      </c>
      <c r="R84" s="1377"/>
      <c r="S84" s="1377"/>
    </row>
    <row r="85" spans="1:19" s="191" customFormat="1" x14ac:dyDescent="0.3">
      <c r="A85" s="1373" t="str">
        <f>Core_Data!B85</f>
        <v>RU</v>
      </c>
      <c r="B85" s="1374">
        <f>Core_Data!C85</f>
        <v>44433</v>
      </c>
      <c r="C85" s="1346">
        <f>Core_Data!E85</f>
        <v>8.5478362688149758</v>
      </c>
      <c r="D85" s="1343">
        <f>Core_Data!G85</f>
        <v>4.0598281668485159</v>
      </c>
      <c r="E85" s="1343">
        <f>Core_Data!I85</f>
        <v>3.9908586057780417</v>
      </c>
      <c r="F85" s="1343">
        <f>Core_Data!K85</f>
        <v>0</v>
      </c>
      <c r="G85" s="1343">
        <f>Core_Data!M85</f>
        <v>0</v>
      </c>
      <c r="H85" s="1354">
        <f>Core_Data!W85</f>
        <v>4.3277410628718389</v>
      </c>
      <c r="I85" s="1361">
        <f>Core_Data!N85</f>
        <v>6.8599999999999994</v>
      </c>
      <c r="J85" s="1362">
        <f>Core_Data!O85</f>
        <v>29</v>
      </c>
      <c r="K85" s="1362">
        <f>Core_Data!P85</f>
        <v>0.04</v>
      </c>
      <c r="L85" s="1362">
        <f>Core_Data!Q85</f>
        <v>2.1550000000000002</v>
      </c>
      <c r="M85" s="1362">
        <f>Core_Data!R85</f>
        <v>2.2850000000000001</v>
      </c>
      <c r="N85" s="1380">
        <f t="shared" si="1"/>
        <v>2.4155550000000003</v>
      </c>
      <c r="O85" s="1362">
        <f>Core_Data!S85</f>
        <v>0.245</v>
      </c>
      <c r="P85" s="1362">
        <f>Core_Data!T85</f>
        <v>2E-3</v>
      </c>
      <c r="Q85" s="1363">
        <f>Core_Data!U85</f>
        <v>0.37</v>
      </c>
      <c r="R85" s="1377"/>
      <c r="S85" s="1377"/>
    </row>
    <row r="86" spans="1:19" s="191" customFormat="1" x14ac:dyDescent="0.3">
      <c r="A86" s="1373" t="str">
        <f>Core_Data!B86</f>
        <v>RL</v>
      </c>
      <c r="B86" s="1374">
        <f>Core_Data!C86</f>
        <v>44335</v>
      </c>
      <c r="C86" s="1346">
        <f>Core_Data!E86</f>
        <v>8.056562054046335</v>
      </c>
      <c r="D86" s="1343">
        <f>Core_Data!G86</f>
        <v>5.2988036670212644</v>
      </c>
      <c r="E86" s="1343">
        <f>Core_Data!I86</f>
        <v>3.2101183280359256</v>
      </c>
      <c r="F86" s="1343">
        <f>Core_Data!K86</f>
        <v>2.8878923350740906</v>
      </c>
      <c r="G86" s="1343">
        <f>Core_Data!M86</f>
        <v>1.9211965312062447</v>
      </c>
      <c r="H86" s="1354">
        <f>Core_Data!W86</f>
        <v>5.3041791462411982</v>
      </c>
      <c r="I86" s="1361">
        <f>Core_Data!N86</f>
        <v>7.0449999999999999</v>
      </c>
      <c r="J86" s="1362">
        <f>Core_Data!O86</f>
        <v>23.549999999999997</v>
      </c>
      <c r="K86" s="1362">
        <f>Core_Data!P86</f>
        <v>0.19</v>
      </c>
      <c r="L86" s="1362">
        <f>Core_Data!Q86</f>
        <v>1.52</v>
      </c>
      <c r="M86" s="1362">
        <f>Core_Data!R86</f>
        <v>1.7650000000000001</v>
      </c>
      <c r="N86" s="1380">
        <f t="shared" si="1"/>
        <v>1.9121600000000001</v>
      </c>
      <c r="O86" s="1362">
        <f>Core_Data!S86</f>
        <v>0.27</v>
      </c>
      <c r="P86" s="1362">
        <f>Core_Data!T86</f>
        <v>6.5000000000000006E-3</v>
      </c>
      <c r="Q86" s="1363">
        <f>Core_Data!U86</f>
        <v>0.38</v>
      </c>
      <c r="R86" s="1377"/>
      <c r="S86" s="1377"/>
    </row>
    <row r="87" spans="1:19" s="191" customFormat="1" x14ac:dyDescent="0.3">
      <c r="A87" s="1373" t="str">
        <f>Core_Data!B87</f>
        <v>RL</v>
      </c>
      <c r="B87" s="1374">
        <f>Core_Data!C87</f>
        <v>44342</v>
      </c>
      <c r="C87" s="1346">
        <f>Core_Data!E87</f>
        <v>7.8495615332656898</v>
      </c>
      <c r="D87" s="1343">
        <f>Core_Data!G87</f>
        <v>5.0132062005410614</v>
      </c>
      <c r="E87" s="1343">
        <f>Core_Data!I87</f>
        <v>3.0326118640148327</v>
      </c>
      <c r="F87" s="1343">
        <f>Core_Data!K87</f>
        <v>2.6233181796996914</v>
      </c>
      <c r="G87" s="1343">
        <f>Core_Data!M87</f>
        <v>2.095619415650412</v>
      </c>
      <c r="H87" s="1354">
        <f>Core_Data!W87</f>
        <v>5.0199890903122526</v>
      </c>
      <c r="I87" s="1361">
        <f>Core_Data!N87</f>
        <v>6.87</v>
      </c>
      <c r="J87" s="1362">
        <f>Core_Data!O87</f>
        <v>23.65</v>
      </c>
      <c r="K87" s="1362">
        <f>Core_Data!P87</f>
        <v>0.09</v>
      </c>
      <c r="L87" s="1362">
        <f>Core_Data!Q87</f>
        <v>1.56</v>
      </c>
      <c r="M87" s="1362">
        <f>Core_Data!R87</f>
        <v>1.885</v>
      </c>
      <c r="N87" s="1380">
        <f t="shared" si="1"/>
        <v>1.82724</v>
      </c>
      <c r="O87" s="1362">
        <f>Core_Data!S87</f>
        <v>0.21000000000000002</v>
      </c>
      <c r="P87" s="1362">
        <f>Core_Data!T87</f>
        <v>7.0000000000000001E-3</v>
      </c>
      <c r="Q87" s="1363">
        <f>Core_Data!U87</f>
        <v>0.32999999999999996</v>
      </c>
      <c r="R87" s="1377"/>
      <c r="S87" s="1377"/>
    </row>
    <row r="88" spans="1:19" s="191" customFormat="1" x14ac:dyDescent="0.3">
      <c r="A88" s="1373" t="str">
        <f>Core_Data!B88</f>
        <v>RL</v>
      </c>
      <c r="B88" s="1374">
        <f>Core_Data!C88</f>
        <v>44350</v>
      </c>
      <c r="C88" s="1346">
        <f>Core_Data!E88</f>
        <v>7.7578372747518367</v>
      </c>
      <c r="D88" s="1343">
        <f>Core_Data!G88</f>
        <v>5.4341633506233746</v>
      </c>
      <c r="E88" s="1343">
        <f>Core_Data!I88</f>
        <v>2.4377615778005475</v>
      </c>
      <c r="F88" s="1343">
        <f>Core_Data!K88</f>
        <v>0</v>
      </c>
      <c r="G88" s="1343">
        <f>Core_Data!M88</f>
        <v>0</v>
      </c>
      <c r="H88" s="1354">
        <f>Core_Data!W88</f>
        <v>5.4346010376526168</v>
      </c>
      <c r="I88" s="1361">
        <f>Core_Data!N88</f>
        <v>7.0250000000000004</v>
      </c>
      <c r="J88" s="1362">
        <f>Core_Data!O88</f>
        <v>24.35</v>
      </c>
      <c r="K88" s="1362">
        <f>Core_Data!P88</f>
        <v>0.125</v>
      </c>
      <c r="L88" s="1362">
        <f>Core_Data!Q88</f>
        <v>1.4950000000000001</v>
      </c>
      <c r="M88" s="1362">
        <f>Core_Data!R88</f>
        <v>1.585</v>
      </c>
      <c r="N88" s="1380">
        <f t="shared" si="1"/>
        <v>1.801015</v>
      </c>
      <c r="O88" s="1362">
        <f>Core_Data!S88</f>
        <v>0.27500000000000002</v>
      </c>
      <c r="P88" s="1362">
        <f>Core_Data!T88</f>
        <v>7.0000000000000001E-3</v>
      </c>
      <c r="Q88" s="1363">
        <f>Core_Data!U88</f>
        <v>0.41000000000000003</v>
      </c>
      <c r="R88" s="1377"/>
      <c r="S88" s="1377"/>
    </row>
    <row r="89" spans="1:19" s="191" customFormat="1" x14ac:dyDescent="0.3">
      <c r="A89" s="1373" t="str">
        <f>Core_Data!B89</f>
        <v>RL</v>
      </c>
      <c r="B89" s="1374">
        <f>Core_Data!C89</f>
        <v>44356</v>
      </c>
      <c r="C89" s="1346">
        <f>Core_Data!E89</f>
        <v>9.5403441257741548</v>
      </c>
      <c r="D89" s="1343">
        <f>Core_Data!G89</f>
        <v>4.6631920852005928</v>
      </c>
      <c r="E89" s="1343">
        <f>Core_Data!I89</f>
        <v>3.1596655425971378</v>
      </c>
      <c r="F89" s="1343">
        <f>Core_Data!K89</f>
        <v>4.1212810154635378</v>
      </c>
      <c r="G89" s="1343">
        <f>Core_Data!M89</f>
        <v>2.8743369449425566</v>
      </c>
      <c r="H89" s="1354">
        <f>Core_Data!W89</f>
        <v>4.7885968282251365</v>
      </c>
      <c r="I89" s="1361">
        <f>Core_Data!N89</f>
        <v>6.9249999999999998</v>
      </c>
      <c r="J89" s="1362">
        <f>Core_Data!O89</f>
        <v>24.75</v>
      </c>
      <c r="K89" s="1362">
        <f>Core_Data!P89</f>
        <v>8.4999999999999992E-2</v>
      </c>
      <c r="L89" s="1362">
        <f>Core_Data!Q89</f>
        <v>1.6549999999999998</v>
      </c>
      <c r="M89" s="1362">
        <f>Core_Data!R89</f>
        <v>1.635</v>
      </c>
      <c r="N89" s="1380">
        <f t="shared" si="1"/>
        <v>1.9250149999999997</v>
      </c>
      <c r="O89" s="1362">
        <f>Core_Data!S89</f>
        <v>0.21500000000000002</v>
      </c>
      <c r="P89" s="1362">
        <f>Core_Data!T89</f>
        <v>6.0000000000000001E-3</v>
      </c>
      <c r="Q89" s="1363">
        <f>Core_Data!U89</f>
        <v>0.39</v>
      </c>
      <c r="R89" s="1377"/>
      <c r="S89" s="1377"/>
    </row>
    <row r="90" spans="1:19" s="191" customFormat="1" x14ac:dyDescent="0.3">
      <c r="A90" s="1373" t="str">
        <f>Core_Data!B90</f>
        <v>RL</v>
      </c>
      <c r="B90" s="1374">
        <f>Core_Data!C90</f>
        <v>44363</v>
      </c>
      <c r="C90" s="1346">
        <f>Core_Data!E90</f>
        <v>9.0929269019959538</v>
      </c>
      <c r="D90" s="1343">
        <f>Core_Data!G90</f>
        <v>0</v>
      </c>
      <c r="E90" s="1343">
        <f>Core_Data!I90</f>
        <v>0</v>
      </c>
      <c r="F90" s="1343">
        <f>Core_Data!K90</f>
        <v>0</v>
      </c>
      <c r="G90" s="1343">
        <f>Core_Data!M90</f>
        <v>1.7678973697037557</v>
      </c>
      <c r="H90" s="1354">
        <f>Core_Data!W90</f>
        <v>1.7678973697037557</v>
      </c>
      <c r="I90" s="1361">
        <f>Core_Data!N90</f>
        <v>7.0350000000000001</v>
      </c>
      <c r="J90" s="1362">
        <f>Core_Data!O90</f>
        <v>26.450000000000003</v>
      </c>
      <c r="K90" s="1362">
        <f>Core_Data!P90</f>
        <v>1.4849999999999999</v>
      </c>
      <c r="L90" s="1362">
        <f>Core_Data!Q90</f>
        <v>1.4999999999999999E-2</v>
      </c>
      <c r="M90" s="1362">
        <f>Core_Data!R90</f>
        <v>1.53</v>
      </c>
      <c r="N90" s="1380">
        <f t="shared" si="1"/>
        <v>1.929135</v>
      </c>
      <c r="O90" s="1362">
        <f>Core_Data!S90</f>
        <v>0.155</v>
      </c>
      <c r="P90" s="1362">
        <f>Core_Data!T90</f>
        <v>2.5000000000000001E-3</v>
      </c>
      <c r="Q90" s="1363">
        <f>Core_Data!U90</f>
        <v>0.44</v>
      </c>
      <c r="R90" s="1377"/>
      <c r="S90" s="1377"/>
    </row>
    <row r="91" spans="1:19" s="191" customFormat="1" x14ac:dyDescent="0.3">
      <c r="A91" s="1373" t="str">
        <f>Core_Data!B91</f>
        <v>RL</v>
      </c>
      <c r="B91" s="1374">
        <f>Core_Data!C91</f>
        <v>44370</v>
      </c>
      <c r="C91" s="1346">
        <f>Core_Data!E91</f>
        <v>8.4755082224747227</v>
      </c>
      <c r="D91" s="1343">
        <f>Core_Data!G91</f>
        <v>0</v>
      </c>
      <c r="E91" s="1343">
        <f>Core_Data!I91</f>
        <v>5.3907912736005485</v>
      </c>
      <c r="F91" s="1343">
        <f>Core_Data!K91</f>
        <v>0</v>
      </c>
      <c r="G91" s="1343">
        <f>Core_Data!M91</f>
        <v>2.9677801196380611</v>
      </c>
      <c r="H91" s="1354">
        <f>Core_Data!W91</f>
        <v>5.392427918938326</v>
      </c>
      <c r="I91" s="1361">
        <f>Core_Data!N91</f>
        <v>6.9850000000000003</v>
      </c>
      <c r="J91" s="1362">
        <f>Core_Data!O91</f>
        <v>26.1</v>
      </c>
      <c r="K91" s="1362">
        <f>Core_Data!P91</f>
        <v>2.14</v>
      </c>
      <c r="L91" s="1362">
        <f>Core_Data!Q91</f>
        <v>5.0000000000000001E-3</v>
      </c>
      <c r="M91" s="1362">
        <f>Core_Data!R91</f>
        <v>2.165</v>
      </c>
      <c r="N91" s="1380">
        <f t="shared" si="1"/>
        <v>2.7618050000000003</v>
      </c>
      <c r="O91" s="1362">
        <f>Core_Data!S91</f>
        <v>0.08</v>
      </c>
      <c r="P91" s="1362">
        <f>Core_Data!T91</f>
        <v>5.4999999999999997E-3</v>
      </c>
      <c r="Q91" s="1363">
        <f>Core_Data!U91</f>
        <v>0.42</v>
      </c>
      <c r="R91" s="1377"/>
      <c r="S91" s="1377"/>
    </row>
    <row r="92" spans="1:19" s="191" customFormat="1" x14ac:dyDescent="0.3">
      <c r="A92" s="1373" t="str">
        <f>Core_Data!B92</f>
        <v>RL</v>
      </c>
      <c r="B92" s="1374">
        <f>Core_Data!C92</f>
        <v>44385</v>
      </c>
      <c r="C92" s="1346">
        <f>Core_Data!E92</f>
        <v>7.4380077940147062</v>
      </c>
      <c r="D92" s="1343">
        <f>Core_Data!G92</f>
        <v>3.305476178149656</v>
      </c>
      <c r="E92" s="1343">
        <f>Core_Data!I92</f>
        <v>0</v>
      </c>
      <c r="F92" s="1343">
        <f>Core_Data!K92</f>
        <v>0</v>
      </c>
      <c r="G92" s="1343">
        <f>Core_Data!M92</f>
        <v>0</v>
      </c>
      <c r="H92" s="1354">
        <f>Core_Data!W92</f>
        <v>3.305476178149656</v>
      </c>
      <c r="I92" s="1361">
        <f>Core_Data!N92</f>
        <v>6.915</v>
      </c>
      <c r="J92" s="1362">
        <f>Core_Data!O92</f>
        <v>26.6</v>
      </c>
      <c r="K92" s="1362">
        <f>Core_Data!P92</f>
        <v>1.9849999999999999</v>
      </c>
      <c r="L92" s="1362">
        <f>Core_Data!Q92</f>
        <v>5.0000000000000001E-3</v>
      </c>
      <c r="M92" s="1362">
        <f>Core_Data!R92</f>
        <v>2.4500000000000002</v>
      </c>
      <c r="N92" s="1380">
        <f t="shared" si="1"/>
        <v>2.5621650000000002</v>
      </c>
      <c r="O92" s="1362">
        <f>Core_Data!S92</f>
        <v>0.04</v>
      </c>
      <c r="P92" s="1362">
        <f>Core_Data!T92</f>
        <v>6.0000000000000001E-3</v>
      </c>
      <c r="Q92" s="1363">
        <f>Core_Data!U92</f>
        <v>0.47499999999999998</v>
      </c>
      <c r="R92" s="1377"/>
      <c r="S92" s="1377"/>
    </row>
    <row r="93" spans="1:19" s="191" customFormat="1" x14ac:dyDescent="0.3">
      <c r="A93" s="1373" t="str">
        <f>Core_Data!B93</f>
        <v>RL</v>
      </c>
      <c r="B93" s="1374">
        <f>Core_Data!C93</f>
        <v>44391</v>
      </c>
      <c r="C93" s="1346">
        <f>Core_Data!E93</f>
        <v>8.618436072965924</v>
      </c>
      <c r="D93" s="1343">
        <f>Core_Data!G93</f>
        <v>2.371208054202266</v>
      </c>
      <c r="E93" s="1343">
        <f>Core_Data!I93</f>
        <v>2.3856744524787841</v>
      </c>
      <c r="F93" s="1343">
        <f>Core_Data!K93</f>
        <v>5.9605393604835006</v>
      </c>
      <c r="G93" s="1343">
        <f>Core_Data!M93</f>
        <v>3.4463475421516776</v>
      </c>
      <c r="H93" s="1354">
        <f>Core_Data!W93</f>
        <v>5.962093176814566</v>
      </c>
      <c r="I93" s="1361">
        <f>Core_Data!N93</f>
        <v>6.8800000000000008</v>
      </c>
      <c r="J93" s="1362">
        <f>Core_Data!O93</f>
        <v>26.55</v>
      </c>
      <c r="K93" s="1362">
        <f>Core_Data!P93</f>
        <v>2.4750000000000001</v>
      </c>
      <c r="L93" s="1362">
        <f>Core_Data!Q93</f>
        <v>0.02</v>
      </c>
      <c r="M93" s="1362">
        <f>Core_Data!R93</f>
        <v>2.6949999999999998</v>
      </c>
      <c r="N93" s="1380">
        <f t="shared" si="1"/>
        <v>3.20974</v>
      </c>
      <c r="O93" s="1362">
        <f>Core_Data!S93</f>
        <v>1.4999999999999999E-2</v>
      </c>
      <c r="P93" s="1362">
        <f>Core_Data!T93</f>
        <v>5.4999999999999997E-3</v>
      </c>
      <c r="Q93" s="1363">
        <f>Core_Data!U93</f>
        <v>0.45499999999999996</v>
      </c>
      <c r="R93" s="1377"/>
      <c r="S93" s="1377"/>
    </row>
    <row r="94" spans="1:19" s="191" customFormat="1" x14ac:dyDescent="0.3">
      <c r="A94" s="1373" t="str">
        <f>Core_Data!B94</f>
        <v>RL</v>
      </c>
      <c r="B94" s="1374">
        <f>Core_Data!C94</f>
        <v>44398</v>
      </c>
      <c r="C94" s="1346">
        <f>Core_Data!E94</f>
        <v>7.8819275026119655</v>
      </c>
      <c r="D94" s="1343">
        <f>Core_Data!G94</f>
        <v>2.4030170419172112</v>
      </c>
      <c r="E94" s="1343">
        <f>Core_Data!I94</f>
        <v>0</v>
      </c>
      <c r="F94" s="1343">
        <f>Core_Data!K94</f>
        <v>0</v>
      </c>
      <c r="G94" s="1343">
        <f>Core_Data!M94</f>
        <v>0</v>
      </c>
      <c r="H94" s="1354">
        <f>Core_Data!W94</f>
        <v>2.4030170419172112</v>
      </c>
      <c r="I94" s="1361">
        <f>Core_Data!N94</f>
        <v>6.8149999999999995</v>
      </c>
      <c r="J94" s="1362">
        <f>Core_Data!O94</f>
        <v>26.85</v>
      </c>
      <c r="K94" s="1362">
        <f>Core_Data!P94</f>
        <v>1.85</v>
      </c>
      <c r="L94" s="1362">
        <f>Core_Data!Q94</f>
        <v>0.01</v>
      </c>
      <c r="M94" s="1362">
        <f>Core_Data!R94</f>
        <v>2.2549999999999999</v>
      </c>
      <c r="N94" s="1380">
        <f t="shared" si="1"/>
        <v>2.39377</v>
      </c>
      <c r="O94" s="1362">
        <f>Core_Data!S94</f>
        <v>0.02</v>
      </c>
      <c r="P94" s="1362">
        <f>Core_Data!T94</f>
        <v>5.4999999999999997E-3</v>
      </c>
      <c r="Q94" s="1363">
        <f>Core_Data!U94</f>
        <v>0.49</v>
      </c>
      <c r="R94" s="1377"/>
      <c r="S94" s="1377"/>
    </row>
    <row r="95" spans="1:19" s="191" customFormat="1" x14ac:dyDescent="0.3">
      <c r="A95" s="1373" t="str">
        <f>Core_Data!B95</f>
        <v>RL</v>
      </c>
      <c r="B95" s="1374">
        <f>Core_Data!C95</f>
        <v>44405</v>
      </c>
      <c r="C95" s="1346">
        <f>Core_Data!E95</f>
        <v>9.5015392476340228</v>
      </c>
      <c r="D95" s="1343">
        <f>Core_Data!G95</f>
        <v>4.3643485262595734</v>
      </c>
      <c r="E95" s="1343">
        <f>Core_Data!I95</f>
        <v>2.7288188780106166</v>
      </c>
      <c r="F95" s="1343">
        <f>Core_Data!K95</f>
        <v>2.5291129364241001</v>
      </c>
      <c r="G95" s="1343">
        <f>Core_Data!M95</f>
        <v>2.0774493804714829</v>
      </c>
      <c r="H95" s="1354">
        <f>Core_Data!W95</f>
        <v>4.382601565554058</v>
      </c>
      <c r="I95" s="1361">
        <f>Core_Data!N95</f>
        <v>6.4649999999999999</v>
      </c>
      <c r="J95" s="1362">
        <f>Core_Data!O95</f>
        <v>27.6</v>
      </c>
      <c r="K95" s="1362">
        <f>Core_Data!P95</f>
        <v>9.5000000000000001E-2</v>
      </c>
      <c r="L95" s="1362">
        <f>Core_Data!Q95</f>
        <v>1.9849999999999999</v>
      </c>
      <c r="M95" s="1362">
        <f>Core_Data!R95</f>
        <v>2.1349999999999998</v>
      </c>
      <c r="N95" s="1380">
        <f t="shared" si="1"/>
        <v>2.2999049999999999</v>
      </c>
      <c r="O95" s="1362">
        <f>Core_Data!S95</f>
        <v>0.15</v>
      </c>
      <c r="P95" s="1362">
        <f>Core_Data!T95</f>
        <v>7.0000000000000001E-3</v>
      </c>
      <c r="Q95" s="1363">
        <f>Core_Data!U95</f>
        <v>0.44999999999999996</v>
      </c>
      <c r="R95" s="1377"/>
      <c r="S95" s="1377"/>
    </row>
    <row r="96" spans="1:19" s="191" customFormat="1" x14ac:dyDescent="0.3">
      <c r="A96" s="1373" t="str">
        <f>Core_Data!B96</f>
        <v>RL</v>
      </c>
      <c r="B96" s="1374">
        <f>Core_Data!C96</f>
        <v>44412</v>
      </c>
      <c r="C96" s="1346">
        <f>Core_Data!E96</f>
        <v>8.889053693948302</v>
      </c>
      <c r="D96" s="1343">
        <f>Core_Data!G96</f>
        <v>4.3702022723114844</v>
      </c>
      <c r="E96" s="1343">
        <f>Core_Data!I96</f>
        <v>3.6123135758582299</v>
      </c>
      <c r="F96" s="1343">
        <f>Core_Data!K96</f>
        <v>2.9269010526001331</v>
      </c>
      <c r="G96" s="1343">
        <f>Core_Data!M96</f>
        <v>2.550474365181763</v>
      </c>
      <c r="H96" s="1354">
        <f>Core_Data!W96</f>
        <v>4.4586236345702259</v>
      </c>
      <c r="I96" s="1361">
        <f>Core_Data!N96</f>
        <v>6.9049999999999994</v>
      </c>
      <c r="J96" s="1362">
        <f>Core_Data!O96</f>
        <v>27.2</v>
      </c>
      <c r="K96" s="1362">
        <f>Core_Data!P96</f>
        <v>7.0000000000000007E-2</v>
      </c>
      <c r="L96" s="1362">
        <f>Core_Data!Q96</f>
        <v>2.0199999999999996</v>
      </c>
      <c r="M96" s="1362">
        <f>Core_Data!R96</f>
        <v>2.2999999999999998</v>
      </c>
      <c r="N96" s="1380">
        <f t="shared" si="1"/>
        <v>2.3060999999999994</v>
      </c>
      <c r="O96" s="1362">
        <f>Core_Data!S96</f>
        <v>0.16500000000000001</v>
      </c>
      <c r="P96" s="1362">
        <f>Core_Data!T96</f>
        <v>7.0000000000000001E-3</v>
      </c>
      <c r="Q96" s="1363">
        <f>Core_Data!U96</f>
        <v>0.47</v>
      </c>
      <c r="R96" s="1377"/>
      <c r="S96" s="1377"/>
    </row>
    <row r="97" spans="1:19" s="191" customFormat="1" x14ac:dyDescent="0.3">
      <c r="A97" s="1373" t="str">
        <f>Core_Data!B97</f>
        <v>RL</v>
      </c>
      <c r="B97" s="1374">
        <f>Core_Data!C97</f>
        <v>44419</v>
      </c>
      <c r="C97" s="1346">
        <f>Core_Data!E97</f>
        <v>7.6377944669964597</v>
      </c>
      <c r="D97" s="1343">
        <f>Core_Data!G97</f>
        <v>4.0281339200625865</v>
      </c>
      <c r="E97" s="1343">
        <f>Core_Data!I97</f>
        <v>3.0445447549330433</v>
      </c>
      <c r="F97" s="1343">
        <f>Core_Data!K97</f>
        <v>3.4090402536897542</v>
      </c>
      <c r="G97" s="1343">
        <f>Core_Data!M97</f>
        <v>0</v>
      </c>
      <c r="H97" s="1354">
        <f>Core_Data!W97</f>
        <v>4.1566092695764247</v>
      </c>
      <c r="I97" s="1361">
        <f>Core_Data!N97</f>
        <v>6.4049999999999994</v>
      </c>
      <c r="J97" s="1362">
        <f>Core_Data!O97</f>
        <v>27.950000000000003</v>
      </c>
      <c r="K97" s="1362">
        <f>Core_Data!P97</f>
        <v>0.125</v>
      </c>
      <c r="L97" s="1362">
        <f>Core_Data!Q97</f>
        <v>1.855</v>
      </c>
      <c r="M97" s="1362">
        <f>Core_Data!R97</f>
        <v>2.0350000000000001</v>
      </c>
      <c r="N97" s="1380">
        <f t="shared" si="1"/>
        <v>2.195935</v>
      </c>
      <c r="O97" s="1362">
        <f>Core_Data!S97</f>
        <v>0.15000000000000002</v>
      </c>
      <c r="P97" s="1362">
        <f>Core_Data!T97</f>
        <v>7.4999999999999997E-3</v>
      </c>
      <c r="Q97" s="1363">
        <f>Core_Data!U97</f>
        <v>0.5</v>
      </c>
      <c r="R97" s="1377"/>
      <c r="S97" s="1377"/>
    </row>
    <row r="98" spans="1:19" s="191" customFormat="1" x14ac:dyDescent="0.3">
      <c r="A98" s="1373" t="str">
        <f>Core_Data!B98</f>
        <v>RL</v>
      </c>
      <c r="B98" s="1374">
        <f>Core_Data!C98</f>
        <v>44426</v>
      </c>
      <c r="C98" s="1346">
        <f>Core_Data!E98</f>
        <v>9.1350255918222683</v>
      </c>
      <c r="D98" s="1343">
        <f>Core_Data!G98</f>
        <v>4.8574166910971099</v>
      </c>
      <c r="E98" s="1343">
        <f>Core_Data!I98</f>
        <v>3.4536536059345058</v>
      </c>
      <c r="F98" s="1343">
        <f>Core_Data!K98</f>
        <v>2.5632992050352823</v>
      </c>
      <c r="G98" s="1343">
        <f>Core_Data!M98</f>
        <v>0</v>
      </c>
      <c r="H98" s="1354">
        <f>Core_Data!W98</f>
        <v>4.8763448743902673</v>
      </c>
      <c r="I98" s="1361">
        <f>Core_Data!N98</f>
        <v>6.8849999999999998</v>
      </c>
      <c r="J98" s="1362">
        <f>Core_Data!O98</f>
        <v>27.35</v>
      </c>
      <c r="K98" s="1362">
        <f>Core_Data!P98</f>
        <v>6.5000000000000002E-2</v>
      </c>
      <c r="L98" s="1362">
        <f>Core_Data!Q98</f>
        <v>1.87</v>
      </c>
      <c r="M98" s="1362">
        <f>Core_Data!R98</f>
        <v>2.2000000000000002</v>
      </c>
      <c r="N98" s="1380">
        <f t="shared" si="1"/>
        <v>2.1351100000000001</v>
      </c>
      <c r="O98" s="1362">
        <f>Core_Data!S98</f>
        <v>0.23</v>
      </c>
      <c r="P98" s="1362">
        <f>Core_Data!T98</f>
        <v>2E-3</v>
      </c>
      <c r="Q98" s="1363">
        <f>Core_Data!U98</f>
        <v>0.375</v>
      </c>
      <c r="R98" s="1377"/>
      <c r="S98" s="1377"/>
    </row>
    <row r="99" spans="1:19" s="191" customFormat="1" x14ac:dyDescent="0.3">
      <c r="A99" s="1373" t="str">
        <f>Core_Data!B99</f>
        <v>RL</v>
      </c>
      <c r="B99" s="1374">
        <f>Core_Data!C99</f>
        <v>44433</v>
      </c>
      <c r="C99" s="1346">
        <f>Core_Data!E99</f>
        <v>8.7754863458710872</v>
      </c>
      <c r="D99" s="1343">
        <f>Core_Data!G99</f>
        <v>4.1463350032418775</v>
      </c>
      <c r="E99" s="1343">
        <f>Core_Data!I99</f>
        <v>1.8098479644559737</v>
      </c>
      <c r="F99" s="1343">
        <f>Core_Data!K99</f>
        <v>0</v>
      </c>
      <c r="G99" s="1343">
        <f>Core_Data!M99</f>
        <v>0</v>
      </c>
      <c r="H99" s="1354">
        <f>Core_Data!W99</f>
        <v>4.1483316377498651</v>
      </c>
      <c r="I99" s="1361">
        <f>Core_Data!N99</f>
        <v>7.0049999999999999</v>
      </c>
      <c r="J99" s="1362">
        <f>Core_Data!O99</f>
        <v>27.95</v>
      </c>
      <c r="K99" s="1362">
        <f>Core_Data!P99</f>
        <v>6.0000000000000005E-2</v>
      </c>
      <c r="L99" s="1362">
        <f>Core_Data!Q99</f>
        <v>1.34</v>
      </c>
      <c r="M99" s="1362">
        <f>Core_Data!R99</f>
        <v>1.3050000000000002</v>
      </c>
      <c r="N99" s="1380">
        <f t="shared" si="1"/>
        <v>1.5472600000000001</v>
      </c>
      <c r="O99" s="1362">
        <f>Core_Data!S99</f>
        <v>0.17</v>
      </c>
      <c r="P99" s="1362">
        <f>Core_Data!T99</f>
        <v>4.5000000000000005E-3</v>
      </c>
      <c r="Q99" s="1363">
        <f>Core_Data!U99</f>
        <v>0.51</v>
      </c>
      <c r="R99" s="1377"/>
      <c r="S99" s="1377"/>
    </row>
    <row r="100" spans="1:19" s="191" customFormat="1" x14ac:dyDescent="0.3">
      <c r="A100" s="1373" t="str">
        <f>Core_Data!B100</f>
        <v>RS</v>
      </c>
      <c r="B100" s="1374">
        <f>Core_Data!C100</f>
        <v>44335</v>
      </c>
      <c r="C100" s="1346">
        <f>Core_Data!E100</f>
        <v>8.1903267843660164</v>
      </c>
      <c r="D100" s="1343">
        <f>Core_Data!G100</f>
        <v>4.8431920405644897</v>
      </c>
      <c r="E100" s="1343">
        <f>Core_Data!I100</f>
        <v>4.3733485927609284</v>
      </c>
      <c r="F100" s="1343">
        <f>Core_Data!K100</f>
        <v>2.5324246445355993</v>
      </c>
      <c r="G100" s="1343">
        <f>Core_Data!M100</f>
        <v>5.0641736514136264</v>
      </c>
      <c r="H100" s="1354">
        <f>Core_Data!W100</f>
        <v>5.3213540186618644</v>
      </c>
      <c r="I100" s="1361">
        <f>Core_Data!N100</f>
        <v>6.7850000000000001</v>
      </c>
      <c r="J100" s="1362">
        <f>Core_Data!O100</f>
        <v>22.85</v>
      </c>
      <c r="K100" s="1362">
        <f>Core_Data!P100</f>
        <v>0.08</v>
      </c>
      <c r="L100" s="1362">
        <f>Core_Data!Q100</f>
        <v>1.01</v>
      </c>
      <c r="M100" s="1362">
        <f>Core_Data!R100</f>
        <v>1.0649999999999999</v>
      </c>
      <c r="N100" s="1380">
        <f t="shared" si="1"/>
        <v>1.2110099999999999</v>
      </c>
      <c r="O100" s="1362">
        <f>Core_Data!S100</f>
        <v>0.25</v>
      </c>
      <c r="P100" s="1362">
        <f>Core_Data!T100</f>
        <v>7.4999999999999997E-3</v>
      </c>
      <c r="Q100" s="1363">
        <f>Core_Data!U100</f>
        <v>0.435</v>
      </c>
      <c r="R100" s="1377"/>
      <c r="S100" s="1377"/>
    </row>
    <row r="101" spans="1:19" s="191" customFormat="1" x14ac:dyDescent="0.3">
      <c r="A101" s="1373" t="str">
        <f>Core_Data!B101</f>
        <v>RS</v>
      </c>
      <c r="B101" s="1374">
        <f>Core_Data!C101</f>
        <v>44342</v>
      </c>
      <c r="C101" s="1346">
        <f>Core_Data!E101</f>
        <v>8.8262241930475405</v>
      </c>
      <c r="D101" s="1343">
        <f>Core_Data!G101</f>
        <v>4.9619664954406089</v>
      </c>
      <c r="E101" s="1343">
        <f>Core_Data!I101</f>
        <v>4.6459903147220061</v>
      </c>
      <c r="F101" s="1343">
        <f>Core_Data!K101</f>
        <v>0</v>
      </c>
      <c r="G101" s="1343">
        <f>Core_Data!M101</f>
        <v>5.3641335810490691</v>
      </c>
      <c r="H101" s="1354">
        <f>Core_Data!W101</f>
        <v>5.5648440482527137</v>
      </c>
      <c r="I101" s="1361">
        <f>Core_Data!N101</f>
        <v>6.7050000000000001</v>
      </c>
      <c r="J101" s="1362">
        <f>Core_Data!O101</f>
        <v>23.15</v>
      </c>
      <c r="K101" s="1362">
        <f>Core_Data!P101</f>
        <v>0.05</v>
      </c>
      <c r="L101" s="1362">
        <f>Core_Data!Q101</f>
        <v>0.90500000000000003</v>
      </c>
      <c r="M101" s="1362">
        <f>Core_Data!R101</f>
        <v>1.2450000000000001</v>
      </c>
      <c r="N101" s="1380">
        <f t="shared" si="1"/>
        <v>1.057185</v>
      </c>
      <c r="O101" s="1362">
        <f>Core_Data!S101</f>
        <v>0.23499999999999999</v>
      </c>
      <c r="P101" s="1362">
        <f>Core_Data!T101</f>
        <v>3.5000000000000001E-3</v>
      </c>
      <c r="Q101" s="1363">
        <f>Core_Data!U101</f>
        <v>0.53</v>
      </c>
      <c r="R101" s="1377"/>
      <c r="S101" s="1377"/>
    </row>
    <row r="102" spans="1:19" s="191" customFormat="1" x14ac:dyDescent="0.3">
      <c r="A102" s="1373" t="str">
        <f>Core_Data!B102</f>
        <v>RS</v>
      </c>
      <c r="B102" s="1374">
        <f>Core_Data!C102</f>
        <v>44350</v>
      </c>
      <c r="C102" s="1346">
        <f>Core_Data!E102</f>
        <v>10.227293627798474</v>
      </c>
      <c r="D102" s="1343">
        <f>Core_Data!G102</f>
        <v>5.6172938485331683</v>
      </c>
      <c r="E102" s="1343">
        <f>Core_Data!I102</f>
        <v>4.9461794550287745</v>
      </c>
      <c r="F102" s="1343">
        <f>Core_Data!K102</f>
        <v>0</v>
      </c>
      <c r="G102" s="1343">
        <f>Core_Data!M102</f>
        <v>5.2847122091420431</v>
      </c>
      <c r="H102" s="1354">
        <f>Core_Data!W102</f>
        <v>5.842140483760411</v>
      </c>
      <c r="I102" s="1361">
        <f>Core_Data!N102</f>
        <v>6.7750000000000004</v>
      </c>
      <c r="J102" s="1362">
        <f>Core_Data!O102</f>
        <v>23.799999999999997</v>
      </c>
      <c r="K102" s="1362">
        <f>Core_Data!P102</f>
        <v>0.13</v>
      </c>
      <c r="L102" s="1362">
        <f>Core_Data!Q102</f>
        <v>0.69</v>
      </c>
      <c r="M102" s="1362">
        <f>Core_Data!R102</f>
        <v>0.64500000000000002</v>
      </c>
      <c r="N102" s="1380">
        <f t="shared" si="1"/>
        <v>0.92436999999999991</v>
      </c>
      <c r="O102" s="1362">
        <f>Core_Data!S102</f>
        <v>0.33499999999999996</v>
      </c>
      <c r="P102" s="1362">
        <f>Core_Data!T102</f>
        <v>9.4999999999999998E-3</v>
      </c>
      <c r="Q102" s="1363">
        <f>Core_Data!U102</f>
        <v>0.48</v>
      </c>
      <c r="R102" s="1377"/>
      <c r="S102" s="1377"/>
    </row>
    <row r="103" spans="1:19" s="191" customFormat="1" x14ac:dyDescent="0.3">
      <c r="A103" s="1373" t="str">
        <f>Core_Data!B103</f>
        <v>RS</v>
      </c>
      <c r="B103" s="1374">
        <f>Core_Data!C103</f>
        <v>44363</v>
      </c>
      <c r="C103" s="1346">
        <f>Core_Data!E103</f>
        <v>10.195875834339857</v>
      </c>
      <c r="D103" s="1343">
        <f>Core_Data!G103</f>
        <v>5.0376734799601923</v>
      </c>
      <c r="E103" s="1343">
        <f>Core_Data!I103</f>
        <v>4.8377336835911153</v>
      </c>
      <c r="F103" s="1343">
        <f>Core_Data!K103</f>
        <v>0</v>
      </c>
      <c r="G103" s="1343">
        <f>Core_Data!M103</f>
        <v>5.5078349905749517</v>
      </c>
      <c r="H103" s="1354">
        <f>Core_Data!W103</f>
        <v>5.6988566711347008</v>
      </c>
      <c r="I103" s="1361">
        <f>Core_Data!N103</f>
        <v>6.8900000000000006</v>
      </c>
      <c r="J103" s="1362">
        <f>Core_Data!O103</f>
        <v>24.35</v>
      </c>
      <c r="K103" s="1362">
        <f>Core_Data!P103</f>
        <v>0.02</v>
      </c>
      <c r="L103" s="1362">
        <f>Core_Data!Q103</f>
        <v>1.4999999999999999E-2</v>
      </c>
      <c r="M103" s="1362">
        <f>Core_Data!R103</f>
        <v>0.12</v>
      </c>
      <c r="N103" s="1380">
        <f t="shared" si="1"/>
        <v>4.2215000000000003E-2</v>
      </c>
      <c r="O103" s="1362">
        <f>Core_Data!S103</f>
        <v>6.5000000000000002E-2</v>
      </c>
      <c r="P103" s="1362">
        <f>Core_Data!T103</f>
        <v>1.3499999999999998E-2</v>
      </c>
      <c r="Q103" s="1363">
        <f>Core_Data!U103</f>
        <v>0.57000000000000006</v>
      </c>
      <c r="R103" s="1377"/>
      <c r="S103" s="1377"/>
    </row>
    <row r="104" spans="1:19" s="191" customFormat="1" x14ac:dyDescent="0.3">
      <c r="A104" s="1373" t="str">
        <f>Core_Data!B104</f>
        <v>RS</v>
      </c>
      <c r="B104" s="1374">
        <f>Core_Data!C104</f>
        <v>44370</v>
      </c>
      <c r="C104" s="1346">
        <f>Core_Data!E104</f>
        <v>9.1068445777294933</v>
      </c>
      <c r="D104" s="1343">
        <f>Core_Data!G104</f>
        <v>4.7339626541513349</v>
      </c>
      <c r="E104" s="1343">
        <f>Core_Data!I104</f>
        <v>4.9042282800518882</v>
      </c>
      <c r="F104" s="1343">
        <f>Core_Data!K104</f>
        <v>2.5799274933094076</v>
      </c>
      <c r="G104" s="1343">
        <f>Core_Data!M104</f>
        <v>5.7885679715571321</v>
      </c>
      <c r="H104" s="1354">
        <f>Core_Data!W104</f>
        <v>5.8746851293435514</v>
      </c>
      <c r="I104" s="1361">
        <f>Core_Data!N104</f>
        <v>7.0600000000000005</v>
      </c>
      <c r="J104" s="1362">
        <f>Core_Data!O104</f>
        <v>24.5</v>
      </c>
      <c r="K104" s="1362">
        <f>Core_Data!P104</f>
        <v>1.375</v>
      </c>
      <c r="L104" s="1362">
        <f>Core_Data!Q104</f>
        <v>0.28500000000000003</v>
      </c>
      <c r="M104" s="1362">
        <f>Core_Data!R104</f>
        <v>1.53</v>
      </c>
      <c r="N104" s="1380">
        <f t="shared" si="1"/>
        <v>2.0836450000000002</v>
      </c>
      <c r="O104" s="1362">
        <f>Core_Data!S104</f>
        <v>8.4999999999999992E-2</v>
      </c>
      <c r="P104" s="1362">
        <f>Core_Data!T104</f>
        <v>6.0000000000000001E-3</v>
      </c>
      <c r="Q104" s="1363">
        <f>Core_Data!U104</f>
        <v>0.53500000000000003</v>
      </c>
      <c r="R104" s="1377"/>
      <c r="S104" s="1377"/>
    </row>
    <row r="105" spans="1:19" s="191" customFormat="1" x14ac:dyDescent="0.3">
      <c r="A105" s="1373" t="str">
        <f>Core_Data!B105</f>
        <v>RS</v>
      </c>
      <c r="B105" s="1374">
        <f>Core_Data!C105</f>
        <v>44377</v>
      </c>
      <c r="C105" s="1346">
        <f>Core_Data!E105</f>
        <v>8.15647664681115</v>
      </c>
      <c r="D105" s="1343">
        <f>Core_Data!G105</f>
        <v>4.7591690948104999</v>
      </c>
      <c r="E105" s="1343">
        <f>Core_Data!I105</f>
        <v>5.0297924421681817</v>
      </c>
      <c r="F105" s="1343">
        <f>Core_Data!K105</f>
        <v>0</v>
      </c>
      <c r="G105" s="1343">
        <f>Core_Data!M105</f>
        <v>5.9788084898644929</v>
      </c>
      <c r="H105" s="1354">
        <f>Core_Data!W105</f>
        <v>6.0480185061338281</v>
      </c>
      <c r="I105" s="1361">
        <f>Core_Data!N105</f>
        <v>7.02</v>
      </c>
      <c r="J105" s="1362">
        <f>Core_Data!O105</f>
        <v>24.1</v>
      </c>
      <c r="K105" s="1362">
        <f>Core_Data!P105</f>
        <v>1.45</v>
      </c>
      <c r="L105" s="1362">
        <f>Core_Data!Q105</f>
        <v>0.06</v>
      </c>
      <c r="M105" s="1362">
        <f>Core_Data!R105</f>
        <v>1.615</v>
      </c>
      <c r="N105" s="1380">
        <f t="shared" si="1"/>
        <v>1.9334199999999999</v>
      </c>
      <c r="O105" s="1362">
        <f>Core_Data!S105</f>
        <v>0.08</v>
      </c>
      <c r="P105" s="1362">
        <f>Core_Data!T105</f>
        <v>6.0000000000000001E-3</v>
      </c>
      <c r="Q105" s="1363">
        <f>Core_Data!U105</f>
        <v>0.59</v>
      </c>
      <c r="R105" s="1377"/>
      <c r="S105" s="1377"/>
    </row>
    <row r="106" spans="1:19" s="191" customFormat="1" x14ac:dyDescent="0.3">
      <c r="A106" s="1373" t="str">
        <f>Core_Data!B106</f>
        <v>RS</v>
      </c>
      <c r="B106" s="1374">
        <f>Core_Data!C106</f>
        <v>44385</v>
      </c>
      <c r="C106" s="1346">
        <f>Core_Data!E106</f>
        <v>10.215083438035487</v>
      </c>
      <c r="D106" s="1343">
        <f>Core_Data!G106</f>
        <v>4.8885207964420898</v>
      </c>
      <c r="E106" s="1343">
        <f>Core_Data!I106</f>
        <v>4.8245901417589065</v>
      </c>
      <c r="F106" s="1343">
        <f>Core_Data!K106</f>
        <v>0</v>
      </c>
      <c r="G106" s="1343">
        <f>Core_Data!M106</f>
        <v>6.1084330352946665</v>
      </c>
      <c r="H106" s="1354">
        <f>Core_Data!W106</f>
        <v>6.1546497210374449</v>
      </c>
      <c r="I106" s="1361">
        <f>Core_Data!N106</f>
        <v>6.9949999999999992</v>
      </c>
      <c r="J106" s="1362">
        <f>Core_Data!O106</f>
        <v>24.4</v>
      </c>
      <c r="K106" s="1362">
        <f>Core_Data!P106</f>
        <v>1.2050000000000001</v>
      </c>
      <c r="L106" s="1362">
        <f>Core_Data!Q106</f>
        <v>0.01</v>
      </c>
      <c r="M106" s="1362">
        <f>Core_Data!R106</f>
        <v>1.585</v>
      </c>
      <c r="N106" s="1380">
        <f t="shared" si="1"/>
        <v>1.56301</v>
      </c>
      <c r="O106" s="1362">
        <f>Core_Data!S106</f>
        <v>0.12000000000000001</v>
      </c>
      <c r="P106" s="1362">
        <f>Core_Data!T106</f>
        <v>6.0000000000000001E-3</v>
      </c>
      <c r="Q106" s="1363">
        <f>Core_Data!U106</f>
        <v>0.54499999999999993</v>
      </c>
      <c r="R106" s="1377"/>
      <c r="S106" s="1377"/>
    </row>
    <row r="107" spans="1:19" s="191" customFormat="1" x14ac:dyDescent="0.3">
      <c r="A107" s="1373" t="str">
        <f>Core_Data!B107</f>
        <v>RS</v>
      </c>
      <c r="B107" s="1374">
        <f>Core_Data!C107</f>
        <v>44391</v>
      </c>
      <c r="C107" s="1346">
        <f>Core_Data!E107</f>
        <v>10.156507312316004</v>
      </c>
      <c r="D107" s="1343">
        <f>Core_Data!G107</f>
        <v>5.0770923094184184</v>
      </c>
      <c r="E107" s="1343">
        <f>Core_Data!I107</f>
        <v>5.1705470772594166</v>
      </c>
      <c r="F107" s="1343">
        <f>Core_Data!K107</f>
        <v>2.5876552633204204</v>
      </c>
      <c r="G107" s="1343">
        <f>Core_Data!M107</f>
        <v>6.0036159549417007</v>
      </c>
      <c r="H107" s="1354">
        <f>Core_Data!W107</f>
        <v>6.1059422960643923</v>
      </c>
      <c r="I107" s="1361">
        <f>Core_Data!N107</f>
        <v>6.9450000000000003</v>
      </c>
      <c r="J107" s="1362">
        <f>Core_Data!O107</f>
        <v>24.2</v>
      </c>
      <c r="K107" s="1362">
        <f>Core_Data!P107</f>
        <v>1.76</v>
      </c>
      <c r="L107" s="1362">
        <f>Core_Data!Q107</f>
        <v>0.01</v>
      </c>
      <c r="M107" s="1362">
        <f>Core_Data!R107</f>
        <v>1.9350000000000001</v>
      </c>
      <c r="N107" s="1380">
        <f t="shared" si="1"/>
        <v>2.2778499999999999</v>
      </c>
      <c r="O107" s="1362">
        <f>Core_Data!S107</f>
        <v>3.5000000000000003E-2</v>
      </c>
      <c r="P107" s="1362">
        <f>Core_Data!T107</f>
        <v>7.0000000000000001E-3</v>
      </c>
      <c r="Q107" s="1363">
        <f>Core_Data!U107</f>
        <v>0.57000000000000006</v>
      </c>
      <c r="R107" s="1377"/>
      <c r="S107" s="1377"/>
    </row>
    <row r="108" spans="1:19" s="191" customFormat="1" x14ac:dyDescent="0.3">
      <c r="A108" s="1373" t="str">
        <f>Core_Data!B108</f>
        <v>RS</v>
      </c>
      <c r="B108" s="1374">
        <f>Core_Data!C108</f>
        <v>44398</v>
      </c>
      <c r="C108" s="1346">
        <f>Core_Data!E108</f>
        <v>7.584325471246947</v>
      </c>
      <c r="D108" s="1343">
        <f>Core_Data!G108</f>
        <v>4.7520237550550277</v>
      </c>
      <c r="E108" s="1343">
        <f>Core_Data!I108</f>
        <v>4.9038888122636424</v>
      </c>
      <c r="F108" s="1343">
        <f>Core_Data!K108</f>
        <v>0</v>
      </c>
      <c r="G108" s="1343">
        <f>Core_Data!M108</f>
        <v>5.4762495826387045</v>
      </c>
      <c r="H108" s="1354">
        <f>Core_Data!W108</f>
        <v>5.6395288670185373</v>
      </c>
      <c r="I108" s="1361">
        <f>Core_Data!N108</f>
        <v>6.9250000000000007</v>
      </c>
      <c r="J108" s="1362">
        <f>Core_Data!O108</f>
        <v>24.299999999999997</v>
      </c>
      <c r="K108" s="1362">
        <f>Core_Data!P108</f>
        <v>1.7349999999999999</v>
      </c>
      <c r="L108" s="1362">
        <f>Core_Data!Q108</f>
        <v>0.01</v>
      </c>
      <c r="M108" s="1362">
        <f>Core_Data!R108</f>
        <v>1.9650000000000001</v>
      </c>
      <c r="N108" s="1380">
        <f t="shared" si="1"/>
        <v>2.2456499999999999</v>
      </c>
      <c r="O108" s="1362">
        <f>Core_Data!S108</f>
        <v>0.02</v>
      </c>
      <c r="P108" s="1362">
        <f>Core_Data!T108</f>
        <v>5.4999999999999997E-3</v>
      </c>
      <c r="Q108" s="1363">
        <f>Core_Data!U108</f>
        <v>0.59</v>
      </c>
      <c r="R108" s="1377"/>
      <c r="S108" s="1377"/>
    </row>
    <row r="109" spans="1:19" s="191" customFormat="1" x14ac:dyDescent="0.3">
      <c r="A109" s="1373" t="str">
        <f>Core_Data!B109</f>
        <v>RS</v>
      </c>
      <c r="B109" s="1374">
        <f>Core_Data!C109</f>
        <v>44405</v>
      </c>
      <c r="C109" s="1346">
        <f>Core_Data!E109</f>
        <v>9.8186939106265623</v>
      </c>
      <c r="D109" s="1343">
        <f>Core_Data!G109</f>
        <v>4.8456448134078149</v>
      </c>
      <c r="E109" s="1343">
        <f>Core_Data!I109</f>
        <v>5.0318819392819867</v>
      </c>
      <c r="F109" s="1343">
        <f>Core_Data!K109</f>
        <v>2.5889955349263674</v>
      </c>
      <c r="G109" s="1343">
        <f>Core_Data!M109</f>
        <v>5.6759040492416206</v>
      </c>
      <c r="H109" s="1354">
        <f>Core_Data!W109</f>
        <v>5.8144013126378464</v>
      </c>
      <c r="I109" s="1361">
        <f>Core_Data!N109</f>
        <v>6.915</v>
      </c>
      <c r="J109" s="1362">
        <f>Core_Data!O109</f>
        <v>24.725000000000001</v>
      </c>
      <c r="K109" s="1362">
        <f>Core_Data!P109</f>
        <v>0.05</v>
      </c>
      <c r="L109" s="1362">
        <f>Core_Data!Q109</f>
        <v>0.60499999999999998</v>
      </c>
      <c r="M109" s="1362">
        <f>Core_Data!R109</f>
        <v>0.70500000000000007</v>
      </c>
      <c r="N109" s="1380">
        <f t="shared" si="1"/>
        <v>0.72808499999999998</v>
      </c>
      <c r="O109" s="1362">
        <f>Core_Data!S109</f>
        <v>0.15000000000000002</v>
      </c>
      <c r="P109" s="1362">
        <f>Core_Data!T109</f>
        <v>8.0000000000000002E-3</v>
      </c>
      <c r="Q109" s="1363">
        <f>Core_Data!U109</f>
        <v>0.57499999999999996</v>
      </c>
      <c r="R109" s="1377"/>
      <c r="S109" s="1377"/>
    </row>
    <row r="110" spans="1:19" s="191" customFormat="1" x14ac:dyDescent="0.3">
      <c r="A110" s="1373" t="str">
        <f>Core_Data!B110</f>
        <v>RS</v>
      </c>
      <c r="B110" s="1374">
        <f>Core_Data!C110</f>
        <v>44412</v>
      </c>
      <c r="C110" s="1346">
        <f>Core_Data!E110</f>
        <v>10.205870606178054</v>
      </c>
      <c r="D110" s="1343">
        <f>Core_Data!G110</f>
        <v>4.5593562477917047</v>
      </c>
      <c r="E110" s="1343">
        <f>Core_Data!I110</f>
        <v>4.8655469897457584</v>
      </c>
      <c r="F110" s="1343">
        <f>Core_Data!K110</f>
        <v>2.6375263627827059</v>
      </c>
      <c r="G110" s="1343">
        <f>Core_Data!M110</f>
        <v>5.2544173108237153</v>
      </c>
      <c r="H110" s="1354">
        <f>Core_Data!W110</f>
        <v>5.4619616475183594</v>
      </c>
      <c r="I110" s="1361">
        <f>Core_Data!N110</f>
        <v>6.875</v>
      </c>
      <c r="J110" s="1362">
        <f>Core_Data!O110</f>
        <v>24.6</v>
      </c>
      <c r="K110" s="1362">
        <f>Core_Data!P110</f>
        <v>7.0000000000000007E-2</v>
      </c>
      <c r="L110" s="1362">
        <f>Core_Data!Q110</f>
        <v>1.02</v>
      </c>
      <c r="M110" s="1362">
        <f>Core_Data!R110</f>
        <v>1.105</v>
      </c>
      <c r="N110" s="1380">
        <f t="shared" si="1"/>
        <v>1.2091000000000001</v>
      </c>
      <c r="O110" s="1362">
        <f>Core_Data!S110</f>
        <v>0.20500000000000002</v>
      </c>
      <c r="P110" s="1362">
        <f>Core_Data!T110</f>
        <v>7.4999999999999997E-3</v>
      </c>
      <c r="Q110" s="1363">
        <f>Core_Data!U110</f>
        <v>0.63</v>
      </c>
      <c r="R110" s="1377"/>
      <c r="S110" s="1377"/>
    </row>
    <row r="111" spans="1:19" s="191" customFormat="1" x14ac:dyDescent="0.3">
      <c r="A111" s="1373" t="str">
        <f>Core_Data!B111</f>
        <v>RS</v>
      </c>
      <c r="B111" s="1374">
        <f>Core_Data!C111</f>
        <v>44419</v>
      </c>
      <c r="C111" s="1346">
        <f>Core_Data!E111</f>
        <v>7.8670507007497612</v>
      </c>
      <c r="D111" s="1343">
        <f>Core_Data!G111</f>
        <v>3.9850449253209592</v>
      </c>
      <c r="E111" s="1343">
        <f>Core_Data!I111</f>
        <v>4.0872672288258176</v>
      </c>
      <c r="F111" s="1343">
        <f>Core_Data!K111</f>
        <v>0</v>
      </c>
      <c r="G111" s="1343">
        <f>Core_Data!M111</f>
        <v>4.8558720298853313</v>
      </c>
      <c r="H111" s="1354">
        <f>Core_Data!W111</f>
        <v>4.9714860158545946</v>
      </c>
      <c r="I111" s="1361">
        <f>Core_Data!N111</f>
        <v>6.87</v>
      </c>
      <c r="J111" s="1362">
        <f>Core_Data!O111</f>
        <v>24.65</v>
      </c>
      <c r="K111" s="1362">
        <f>Core_Data!P111</f>
        <v>6.5000000000000002E-2</v>
      </c>
      <c r="L111" s="1362">
        <f>Core_Data!Q111</f>
        <v>0.76500000000000001</v>
      </c>
      <c r="M111" s="1362">
        <f>Core_Data!R111</f>
        <v>0.67500000000000004</v>
      </c>
      <c r="N111" s="1380">
        <f t="shared" si="1"/>
        <v>0.922925</v>
      </c>
      <c r="O111" s="1362">
        <f>Core_Data!S111</f>
        <v>0.24</v>
      </c>
      <c r="P111" s="1362">
        <f>Core_Data!T111</f>
        <v>7.4999999999999997E-3</v>
      </c>
      <c r="Q111" s="1363">
        <f>Core_Data!U111</f>
        <v>0.61</v>
      </c>
      <c r="R111" s="1377"/>
      <c r="S111" s="1377"/>
    </row>
    <row r="112" spans="1:19" s="191" customFormat="1" x14ac:dyDescent="0.3">
      <c r="A112" s="1373" t="str">
        <f>Core_Data!B112</f>
        <v>RS</v>
      </c>
      <c r="B112" s="1374">
        <f>Core_Data!C112</f>
        <v>44426</v>
      </c>
      <c r="C112" s="1346">
        <f>Core_Data!E112</f>
        <v>10.563056055280478</v>
      </c>
      <c r="D112" s="1343">
        <f>Core_Data!G112</f>
        <v>5.0004072703018387</v>
      </c>
      <c r="E112" s="1343">
        <f>Core_Data!I112</f>
        <v>4.9980740869072635</v>
      </c>
      <c r="F112" s="1343">
        <f>Core_Data!K112</f>
        <v>0</v>
      </c>
      <c r="G112" s="1343">
        <f>Core_Data!M112</f>
        <v>5.2943554319656219</v>
      </c>
      <c r="H112" s="1354">
        <f>Core_Data!W112</f>
        <v>5.5983539084138325</v>
      </c>
      <c r="I112" s="1361">
        <f>Core_Data!N112</f>
        <v>6.8599999999999994</v>
      </c>
      <c r="J112" s="1362">
        <f>Core_Data!O112</f>
        <v>24.9</v>
      </c>
      <c r="K112" s="1362">
        <f>Core_Data!P112</f>
        <v>0.05</v>
      </c>
      <c r="L112" s="1362">
        <f>Core_Data!Q112</f>
        <v>0.92500000000000004</v>
      </c>
      <c r="M112" s="1362">
        <f>Core_Data!R112</f>
        <v>0.95499999999999996</v>
      </c>
      <c r="N112" s="1380">
        <f t="shared" si="1"/>
        <v>1.0791250000000001</v>
      </c>
      <c r="O112" s="1362">
        <f>Core_Data!S112</f>
        <v>0.23499999999999999</v>
      </c>
      <c r="P112" s="1362">
        <f>Core_Data!T112</f>
        <v>7.4999999999999997E-3</v>
      </c>
      <c r="Q112" s="1363">
        <f>Core_Data!U112</f>
        <v>0.59</v>
      </c>
      <c r="R112" s="1377"/>
      <c r="S112" s="1377"/>
    </row>
    <row r="113" spans="1:19" s="191" customFormat="1" ht="16.350000000000001" thickBot="1" x14ac:dyDescent="0.35">
      <c r="A113" s="1375" t="str">
        <f>Core_Data!B113</f>
        <v>RS</v>
      </c>
      <c r="B113" s="1376">
        <f>Core_Data!C113</f>
        <v>44433</v>
      </c>
      <c r="C113" s="773">
        <f>Core_Data!E113</f>
        <v>9.7219864471469641</v>
      </c>
      <c r="D113" s="771">
        <f>Core_Data!G113</f>
        <v>4.5850533943517382</v>
      </c>
      <c r="E113" s="771">
        <f>Core_Data!I113</f>
        <v>4.4858575200063786</v>
      </c>
      <c r="F113" s="771">
        <f>Core_Data!K113</f>
        <v>2.8588070322388779</v>
      </c>
      <c r="G113" s="771">
        <f>Core_Data!M113</f>
        <v>4.7219456201527663</v>
      </c>
      <c r="H113" s="777">
        <f>Core_Data!W113</f>
        <v>5.0881798031463417</v>
      </c>
      <c r="I113" s="1364">
        <f>Core_Data!N113</f>
        <v>7.0049999999999999</v>
      </c>
      <c r="J113" s="1365">
        <f>Core_Data!O113</f>
        <v>24.45</v>
      </c>
      <c r="K113" s="1365">
        <f>Core_Data!P113</f>
        <v>0.08</v>
      </c>
      <c r="L113" s="1365">
        <f>Core_Data!Q113</f>
        <v>1.03</v>
      </c>
      <c r="M113" s="1365">
        <f>Core_Data!R113</f>
        <v>0.89</v>
      </c>
      <c r="N113" s="1381">
        <f t="shared" si="1"/>
        <v>1.23295</v>
      </c>
      <c r="O113" s="1365">
        <f>Core_Data!S113</f>
        <v>0.37</v>
      </c>
      <c r="P113" s="1365">
        <f>Core_Data!T113</f>
        <v>8.5000000000000006E-3</v>
      </c>
      <c r="Q113" s="1366">
        <f>Core_Data!U113</f>
        <v>0.60499999999999998</v>
      </c>
      <c r="R113" s="1377"/>
      <c r="S113" s="1377"/>
    </row>
    <row r="114" spans="1:19" ht="16.350000000000001" thickTop="1" x14ac:dyDescent="0.3"/>
  </sheetData>
  <sheetProtection algorithmName="SHA-512" hashValue="hrfUCQjTSzBydYyFbX9xXIfhp4/TO70cwe3FJj+vYzk/titoYIy4ktwsg1AtQsobE7nS78QqjimsKtehzN0EsQ==" saltValue="DSB08j6SFKMd2b1ypmdO2Q==" spinCount="100000" sheet="1" objects="1" scenarios="1"/>
  <mergeCells count="1">
    <mergeCell ref="I1:Q1"/>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CE3CCB-F9EF-4E73-86CD-0DB2567A9CF2}">
  <dimension ref="A1:T55"/>
  <sheetViews>
    <sheetView workbookViewId="0">
      <selection activeCell="F9" sqref="F9"/>
    </sheetView>
  </sheetViews>
  <sheetFormatPr defaultRowHeight="14.55" x14ac:dyDescent="0.3"/>
  <cols>
    <col min="1" max="1" width="14.77734375" bestFit="1" customWidth="1"/>
    <col min="2" max="2" width="9.77734375" customWidth="1"/>
    <col min="3" max="3" width="23.77734375" bestFit="1" customWidth="1"/>
    <col min="5" max="5" width="18.77734375" bestFit="1" customWidth="1"/>
    <col min="6" max="6" width="21.77734375" bestFit="1" customWidth="1"/>
    <col min="7" max="7" width="15.77734375" bestFit="1" customWidth="1"/>
    <col min="8" max="8" width="18.77734375" bestFit="1" customWidth="1"/>
    <col min="9" max="9" width="16.44140625" bestFit="1" customWidth="1"/>
    <col min="11" max="11" width="18" bestFit="1" customWidth="1"/>
    <col min="12" max="18" width="18" customWidth="1"/>
    <col min="19" max="19" width="15.44140625" bestFit="1" customWidth="1"/>
    <col min="20" max="20" width="38.44140625" bestFit="1" customWidth="1"/>
  </cols>
  <sheetData>
    <row r="1" spans="1:20" x14ac:dyDescent="0.3">
      <c r="D1" s="49"/>
      <c r="E1" s="49"/>
      <c r="F1" s="1739" t="s">
        <v>92</v>
      </c>
      <c r="G1" s="1739"/>
      <c r="H1" s="1739"/>
      <c r="I1" s="1739"/>
      <c r="J1" s="1739"/>
      <c r="K1" s="1739"/>
      <c r="L1" s="1740" t="s">
        <v>93</v>
      </c>
      <c r="M1" s="1740"/>
      <c r="N1" s="1740"/>
      <c r="O1" s="1740"/>
      <c r="P1" s="1741" t="s">
        <v>94</v>
      </c>
      <c r="Q1" s="1741"/>
      <c r="R1" s="1741"/>
      <c r="S1" s="1741"/>
      <c r="T1" s="50"/>
    </row>
    <row r="2" spans="1:20" s="51" customFormat="1" ht="43.6" customHeight="1" x14ac:dyDescent="0.3">
      <c r="A2" s="51" t="s">
        <v>122</v>
      </c>
      <c r="B2" s="51" t="s">
        <v>96</v>
      </c>
      <c r="C2" s="51" t="s">
        <v>13</v>
      </c>
      <c r="D2" s="53" t="s">
        <v>97</v>
      </c>
      <c r="E2" s="53" t="s">
        <v>98</v>
      </c>
      <c r="F2" s="53" t="s">
        <v>99</v>
      </c>
      <c r="G2" s="53" t="s">
        <v>100</v>
      </c>
      <c r="H2" s="53" t="s">
        <v>101</v>
      </c>
      <c r="I2" s="53" t="s">
        <v>102</v>
      </c>
      <c r="J2" s="53" t="s">
        <v>103</v>
      </c>
      <c r="K2" s="53" t="s">
        <v>104</v>
      </c>
      <c r="L2" s="54" t="s">
        <v>105</v>
      </c>
      <c r="M2" s="54" t="s">
        <v>106</v>
      </c>
      <c r="N2" s="54" t="s">
        <v>107</v>
      </c>
      <c r="O2" s="54" t="s">
        <v>108</v>
      </c>
      <c r="P2" s="52" t="s">
        <v>109</v>
      </c>
      <c r="Q2" s="52" t="s">
        <v>110</v>
      </c>
      <c r="R2" s="52" t="s">
        <v>111</v>
      </c>
      <c r="S2" s="52" t="s">
        <v>112</v>
      </c>
      <c r="T2" s="51" t="s">
        <v>113</v>
      </c>
    </row>
    <row r="3" spans="1:20" x14ac:dyDescent="0.3">
      <c r="A3" s="55">
        <v>44293.486111111109</v>
      </c>
      <c r="B3" s="48" t="s">
        <v>88</v>
      </c>
      <c r="C3" s="48" t="s">
        <v>123</v>
      </c>
      <c r="D3" s="48">
        <v>6.86</v>
      </c>
      <c r="E3" s="48">
        <v>22.8</v>
      </c>
      <c r="F3" s="48">
        <v>7.0000000000000007E-2</v>
      </c>
      <c r="G3" s="48">
        <v>1.51</v>
      </c>
      <c r="H3" s="48">
        <v>1.63</v>
      </c>
      <c r="I3" s="48">
        <v>0.36</v>
      </c>
      <c r="J3" s="48">
        <v>5.0000000000000001E-3</v>
      </c>
      <c r="K3" s="48">
        <v>0.62</v>
      </c>
      <c r="L3" s="48"/>
      <c r="M3" s="48"/>
      <c r="N3" s="48"/>
      <c r="O3" s="48"/>
      <c r="P3" s="48"/>
      <c r="Q3" s="48"/>
      <c r="R3" s="48"/>
      <c r="S3" s="48"/>
      <c r="T3" s="48" t="s">
        <v>124</v>
      </c>
    </row>
    <row r="4" spans="1:20" x14ac:dyDescent="0.3">
      <c r="A4" s="55">
        <v>44293.486111111109</v>
      </c>
      <c r="B4" s="48" t="s">
        <v>88</v>
      </c>
      <c r="C4" s="48" t="s">
        <v>125</v>
      </c>
      <c r="D4" s="48">
        <v>6.84</v>
      </c>
      <c r="E4" s="48">
        <v>22.4</v>
      </c>
      <c r="F4" s="48">
        <v>0.08</v>
      </c>
      <c r="G4" s="48">
        <v>3.09</v>
      </c>
      <c r="H4" s="48">
        <v>2.59</v>
      </c>
      <c r="I4" s="48">
        <v>0.19</v>
      </c>
      <c r="J4" s="48">
        <v>5.0000000000000001E-3</v>
      </c>
      <c r="K4" s="48">
        <v>0.35</v>
      </c>
      <c r="L4" s="48"/>
      <c r="M4" s="48"/>
      <c r="N4" s="48"/>
      <c r="O4" s="48"/>
      <c r="P4" s="48"/>
      <c r="Q4" s="48"/>
      <c r="R4" s="48"/>
      <c r="S4" s="48"/>
      <c r="T4" s="48" t="s">
        <v>124</v>
      </c>
    </row>
    <row r="5" spans="1:20" x14ac:dyDescent="0.3">
      <c r="A5" s="55">
        <v>44293.486111111109</v>
      </c>
      <c r="B5" s="48" t="s">
        <v>88</v>
      </c>
      <c r="C5" s="48" t="s">
        <v>125</v>
      </c>
      <c r="D5" s="48">
        <v>6.6</v>
      </c>
      <c r="E5" s="48">
        <v>22</v>
      </c>
      <c r="F5" s="48">
        <v>0.09</v>
      </c>
      <c r="G5" s="48">
        <v>0.67</v>
      </c>
      <c r="H5" s="48">
        <v>0.76</v>
      </c>
      <c r="I5" s="48">
        <v>0.42</v>
      </c>
      <c r="J5" s="48">
        <v>5.0000000000000001E-3</v>
      </c>
      <c r="K5" s="48">
        <v>0.68</v>
      </c>
      <c r="L5" s="48"/>
      <c r="M5" s="48"/>
      <c r="N5" s="48"/>
      <c r="O5" s="48"/>
      <c r="P5" s="48"/>
      <c r="Q5" s="48"/>
      <c r="R5" s="48"/>
      <c r="S5" s="48"/>
      <c r="T5" s="48"/>
    </row>
    <row r="6" spans="1:20" x14ac:dyDescent="0.3">
      <c r="A6" s="56">
        <v>44313.336805555555</v>
      </c>
      <c r="B6" s="48" t="s">
        <v>88</v>
      </c>
      <c r="C6" s="48" t="s">
        <v>123</v>
      </c>
      <c r="D6" s="48">
        <v>6.78</v>
      </c>
      <c r="E6" s="48">
        <v>24.2</v>
      </c>
      <c r="F6" s="48">
        <v>0.14000000000000001</v>
      </c>
      <c r="G6" s="48">
        <v>1.45</v>
      </c>
      <c r="H6" s="48">
        <v>1.49</v>
      </c>
      <c r="I6" s="48">
        <v>0.24</v>
      </c>
      <c r="J6" s="48">
        <v>6.0000000000000001E-3</v>
      </c>
      <c r="K6" s="48">
        <v>0.54</v>
      </c>
      <c r="L6" s="57">
        <v>0.51900000000000002</v>
      </c>
      <c r="M6" s="57">
        <v>0.13700000000000001</v>
      </c>
      <c r="N6" s="48">
        <v>0.45800000000000002</v>
      </c>
      <c r="O6" s="48">
        <v>8.9999999999999993E-3</v>
      </c>
      <c r="P6" s="48"/>
      <c r="Q6" s="48"/>
      <c r="R6" s="48"/>
      <c r="S6" s="48"/>
      <c r="T6" s="48"/>
    </row>
    <row r="7" spans="1:20" x14ac:dyDescent="0.3">
      <c r="A7" s="56">
        <v>44327.336805555555</v>
      </c>
      <c r="B7" s="48" t="s">
        <v>88</v>
      </c>
      <c r="C7" s="48" t="s">
        <v>123</v>
      </c>
      <c r="D7" s="48">
        <v>6.74</v>
      </c>
      <c r="E7" s="48">
        <v>26.7</v>
      </c>
      <c r="F7" s="48">
        <v>0.14000000000000001</v>
      </c>
      <c r="G7" s="48">
        <v>1.39</v>
      </c>
      <c r="H7" s="48">
        <v>1.48</v>
      </c>
      <c r="I7" s="48">
        <v>0.28999999999999998</v>
      </c>
      <c r="J7" s="48">
        <v>7.0000000000000001E-3</v>
      </c>
      <c r="K7" s="48">
        <v>0.53</v>
      </c>
      <c r="L7" s="57">
        <v>0.503</v>
      </c>
      <c r="M7" s="57">
        <v>0.126</v>
      </c>
      <c r="N7" s="48">
        <v>0.58799999999999997</v>
      </c>
      <c r="O7" s="48">
        <v>8.9999999999999993E-3</v>
      </c>
      <c r="P7" s="48"/>
      <c r="Q7" s="48"/>
      <c r="R7" s="48"/>
      <c r="S7" s="48"/>
      <c r="T7" s="48"/>
    </row>
    <row r="8" spans="1:20" x14ac:dyDescent="0.3">
      <c r="A8" s="56">
        <v>44334.336805555555</v>
      </c>
      <c r="B8" s="48" t="s">
        <v>88</v>
      </c>
      <c r="C8" s="48" t="s">
        <v>123</v>
      </c>
      <c r="D8" s="48">
        <v>7.09</v>
      </c>
      <c r="E8" s="48">
        <v>25</v>
      </c>
      <c r="F8" s="48">
        <v>0.06</v>
      </c>
      <c r="G8" s="48">
        <v>1.31</v>
      </c>
      <c r="H8" s="48">
        <v>1.36</v>
      </c>
      <c r="I8" s="48">
        <v>0.28000000000000003</v>
      </c>
      <c r="J8" s="48">
        <v>7.0000000000000001E-3</v>
      </c>
      <c r="K8" s="48">
        <v>0.55000000000000004</v>
      </c>
      <c r="L8" s="57">
        <v>0.49099999999999999</v>
      </c>
      <c r="M8" s="57">
        <v>2E-3</v>
      </c>
      <c r="N8" s="48">
        <v>0.38500000000000001</v>
      </c>
      <c r="O8" s="48">
        <v>1.4999999999999999E-2</v>
      </c>
      <c r="P8" s="48">
        <v>0.20899999999999999</v>
      </c>
      <c r="Q8" s="48">
        <v>0</v>
      </c>
      <c r="R8" s="48">
        <v>0.01</v>
      </c>
      <c r="S8" s="48">
        <v>0.01</v>
      </c>
      <c r="T8" s="48"/>
    </row>
    <row r="9" spans="1:20" x14ac:dyDescent="0.3">
      <c r="A9" s="59">
        <v>44335.336111111108</v>
      </c>
      <c r="B9" s="60" t="s">
        <v>88</v>
      </c>
      <c r="C9" s="60" t="s">
        <v>126</v>
      </c>
      <c r="D9" s="60">
        <v>6.94</v>
      </c>
      <c r="E9" s="60">
        <v>25</v>
      </c>
      <c r="F9" s="60">
        <v>0.09</v>
      </c>
      <c r="G9" s="60">
        <v>1.07</v>
      </c>
      <c r="H9" s="60">
        <v>1.22</v>
      </c>
      <c r="I9" s="60">
        <v>0.43</v>
      </c>
      <c r="J9" s="60">
        <v>6.0000000000000001E-3</v>
      </c>
      <c r="K9" s="60">
        <v>0.54</v>
      </c>
      <c r="L9" s="60"/>
      <c r="M9" s="60"/>
      <c r="N9" s="60"/>
      <c r="O9" s="60"/>
      <c r="P9" s="60"/>
      <c r="Q9" s="60"/>
      <c r="R9" s="60"/>
      <c r="S9" s="60"/>
      <c r="T9" s="60"/>
    </row>
    <row r="10" spans="1:20" x14ac:dyDescent="0.3">
      <c r="A10" s="59">
        <v>44335.336111111108</v>
      </c>
      <c r="B10" s="60" t="s">
        <v>88</v>
      </c>
      <c r="C10" s="60" t="s">
        <v>125</v>
      </c>
      <c r="D10" s="60">
        <v>6.7</v>
      </c>
      <c r="E10" s="60">
        <v>24.6</v>
      </c>
      <c r="F10" s="60">
        <v>0.06</v>
      </c>
      <c r="G10" s="60">
        <v>2.52</v>
      </c>
      <c r="H10" s="60">
        <v>2.14</v>
      </c>
      <c r="I10" s="60">
        <v>0.25</v>
      </c>
      <c r="J10" s="60">
        <v>7.0000000000000001E-3</v>
      </c>
      <c r="K10" s="60">
        <v>0.39</v>
      </c>
      <c r="L10" s="60"/>
      <c r="M10" s="60"/>
      <c r="N10" s="60"/>
      <c r="O10" s="60"/>
      <c r="P10" s="60"/>
      <c r="Q10" s="60"/>
      <c r="R10" s="60"/>
      <c r="S10" s="60"/>
      <c r="T10" s="60"/>
    </row>
    <row r="11" spans="1:20" x14ac:dyDescent="0.3">
      <c r="A11" s="56">
        <v>44341.335416666669</v>
      </c>
      <c r="B11" s="48" t="s">
        <v>88</v>
      </c>
      <c r="C11" s="48" t="s">
        <v>125</v>
      </c>
      <c r="D11" s="48">
        <v>6.95</v>
      </c>
      <c r="E11" s="48">
        <v>25.6</v>
      </c>
      <c r="F11" s="48">
        <v>7.0000000000000007E-2</v>
      </c>
      <c r="G11" s="48">
        <v>1.34</v>
      </c>
      <c r="H11" s="48">
        <v>1.44</v>
      </c>
      <c r="I11" s="48">
        <v>0.28000000000000003</v>
      </c>
      <c r="J11" s="48">
        <v>6.0000000000000001E-3</v>
      </c>
      <c r="K11" s="48">
        <v>0.55000000000000004</v>
      </c>
      <c r="L11" s="57">
        <v>0.55000000000000004</v>
      </c>
      <c r="M11" s="57">
        <v>0.124</v>
      </c>
      <c r="N11" s="48">
        <v>0.41499999999999998</v>
      </c>
      <c r="O11" s="48">
        <v>3.1E-2</v>
      </c>
      <c r="P11" s="48">
        <v>0.153</v>
      </c>
      <c r="Q11" s="48">
        <v>1</v>
      </c>
      <c r="R11" s="48">
        <v>0.63</v>
      </c>
      <c r="S11" s="48">
        <v>0.01</v>
      </c>
      <c r="T11" s="48" t="s">
        <v>127</v>
      </c>
    </row>
    <row r="12" spans="1:20" x14ac:dyDescent="0.3">
      <c r="A12" s="59">
        <v>44342.350694444445</v>
      </c>
      <c r="B12" s="60" t="s">
        <v>88</v>
      </c>
      <c r="C12" s="60" t="s">
        <v>126</v>
      </c>
      <c r="D12" s="60">
        <v>6.82</v>
      </c>
      <c r="E12" s="60">
        <v>25.8</v>
      </c>
      <c r="F12" s="60">
        <v>0.1</v>
      </c>
      <c r="G12" s="60">
        <v>1.3</v>
      </c>
      <c r="H12" s="60">
        <v>1.51</v>
      </c>
      <c r="I12" s="60">
        <v>0.33</v>
      </c>
      <c r="J12" s="60">
        <v>7.0000000000000001E-3</v>
      </c>
      <c r="K12" s="60">
        <v>0.57999999999999996</v>
      </c>
      <c r="L12" s="60"/>
      <c r="M12" s="60"/>
      <c r="N12" s="60"/>
      <c r="O12" s="60"/>
      <c r="P12" s="60"/>
      <c r="Q12" s="60"/>
      <c r="R12" s="60"/>
      <c r="S12" s="60"/>
      <c r="T12" s="60"/>
    </row>
    <row r="13" spans="1:20" x14ac:dyDescent="0.3">
      <c r="A13" s="59">
        <v>44342.364583333336</v>
      </c>
      <c r="B13" s="60" t="s">
        <v>88</v>
      </c>
      <c r="C13" s="60" t="s">
        <v>125</v>
      </c>
      <c r="D13" s="60">
        <v>6.62</v>
      </c>
      <c r="E13" s="60">
        <v>25.5</v>
      </c>
      <c r="F13" s="60">
        <v>0.02</v>
      </c>
      <c r="G13" s="60">
        <v>2.2000000000000002</v>
      </c>
      <c r="H13" s="60">
        <v>1.79</v>
      </c>
      <c r="I13" s="60">
        <v>0.31</v>
      </c>
      <c r="J13" s="60">
        <v>7.0000000000000001E-3</v>
      </c>
      <c r="K13" s="60">
        <v>0.43</v>
      </c>
      <c r="L13" s="60"/>
      <c r="M13" s="60"/>
      <c r="N13" s="60"/>
      <c r="O13" s="60"/>
      <c r="P13" s="60"/>
      <c r="Q13" s="60"/>
      <c r="R13" s="60"/>
      <c r="S13" s="60"/>
      <c r="T13" s="60"/>
    </row>
    <row r="14" spans="1:20" x14ac:dyDescent="0.3">
      <c r="A14" s="56">
        <v>44349.336111111108</v>
      </c>
      <c r="B14" s="48" t="s">
        <v>88</v>
      </c>
      <c r="C14" s="48" t="s">
        <v>125</v>
      </c>
      <c r="D14" s="48">
        <v>6.81</v>
      </c>
      <c r="E14" s="48">
        <v>26.7</v>
      </c>
      <c r="F14" s="48">
        <v>0.09</v>
      </c>
      <c r="G14" s="48">
        <v>1.68</v>
      </c>
      <c r="H14" s="48">
        <v>1.75</v>
      </c>
      <c r="I14" s="48">
        <v>0.34</v>
      </c>
      <c r="J14" s="48">
        <v>7.0000000000000001E-3</v>
      </c>
      <c r="K14" s="48">
        <v>0.56000000000000005</v>
      </c>
      <c r="L14" s="57">
        <v>0.51800000000000002</v>
      </c>
      <c r="M14" s="57">
        <v>0.14099999999999999</v>
      </c>
      <c r="N14" s="48">
        <v>0.39100000000000001</v>
      </c>
      <c r="O14" s="48">
        <v>1E-3</v>
      </c>
      <c r="P14" s="48">
        <v>0.12</v>
      </c>
      <c r="Q14" s="48">
        <v>0</v>
      </c>
      <c r="R14" s="48">
        <v>0.28999999999999998</v>
      </c>
      <c r="S14" s="48">
        <v>0.02</v>
      </c>
      <c r="T14" s="48"/>
    </row>
    <row r="15" spans="1:20" x14ac:dyDescent="0.3">
      <c r="A15" s="59">
        <v>44350.336111111108</v>
      </c>
      <c r="B15" s="60" t="s">
        <v>88</v>
      </c>
      <c r="C15" s="60" t="s">
        <v>123</v>
      </c>
      <c r="D15" s="60">
        <v>6.68</v>
      </c>
      <c r="E15" s="60">
        <v>26.6</v>
      </c>
      <c r="F15" s="60">
        <v>0.08</v>
      </c>
      <c r="G15" s="60">
        <v>0.62</v>
      </c>
      <c r="H15" s="60">
        <v>0.6</v>
      </c>
      <c r="I15" s="60">
        <v>0.4</v>
      </c>
      <c r="J15" s="60">
        <v>5.0000000000000001E-3</v>
      </c>
      <c r="K15" s="60">
        <v>0.8</v>
      </c>
      <c r="L15" s="60"/>
      <c r="M15" s="60"/>
      <c r="N15" s="60"/>
      <c r="O15" s="60"/>
      <c r="P15" s="60"/>
      <c r="Q15" s="60"/>
      <c r="R15" s="60"/>
      <c r="S15" s="60"/>
      <c r="T15" s="60"/>
    </row>
    <row r="16" spans="1:20" x14ac:dyDescent="0.3">
      <c r="A16" s="59">
        <v>44350.336111111108</v>
      </c>
      <c r="B16" s="60" t="s">
        <v>88</v>
      </c>
      <c r="C16" s="60" t="s">
        <v>125</v>
      </c>
      <c r="D16" s="60">
        <v>6.73</v>
      </c>
      <c r="E16" s="60">
        <v>26.1</v>
      </c>
      <c r="F16" s="60">
        <v>0.08</v>
      </c>
      <c r="G16" s="60">
        <v>2.4</v>
      </c>
      <c r="H16" s="60">
        <v>2.04</v>
      </c>
      <c r="I16" s="60">
        <v>0.18</v>
      </c>
      <c r="J16" s="60">
        <v>7.0000000000000001E-3</v>
      </c>
      <c r="K16" s="60">
        <v>0.43</v>
      </c>
      <c r="L16" s="60"/>
      <c r="M16" s="60"/>
      <c r="N16" s="60"/>
      <c r="O16" s="60"/>
      <c r="P16" s="60"/>
      <c r="Q16" s="60"/>
      <c r="R16" s="60"/>
      <c r="S16" s="60"/>
      <c r="T16" s="60"/>
    </row>
    <row r="17" spans="1:20" x14ac:dyDescent="0.3">
      <c r="A17" s="56">
        <v>44355.334722222222</v>
      </c>
      <c r="B17" s="48" t="s">
        <v>88</v>
      </c>
      <c r="C17" s="48" t="s">
        <v>123</v>
      </c>
      <c r="D17" s="48">
        <v>6.75</v>
      </c>
      <c r="E17" s="48">
        <v>27.1</v>
      </c>
      <c r="F17" s="48">
        <v>0.12</v>
      </c>
      <c r="G17" s="48">
        <v>1.46</v>
      </c>
      <c r="H17" s="48">
        <v>1.45</v>
      </c>
      <c r="I17" s="48">
        <v>0.31</v>
      </c>
      <c r="J17" s="48">
        <v>6.0000000000000001E-3</v>
      </c>
      <c r="K17" s="48">
        <v>0.56000000000000005</v>
      </c>
      <c r="L17" s="57">
        <v>0.441</v>
      </c>
      <c r="M17" s="57">
        <v>0.154</v>
      </c>
      <c r="N17" s="48">
        <v>0.85199999999999998</v>
      </c>
      <c r="O17" s="48">
        <v>3.0000000000000001E-3</v>
      </c>
      <c r="P17" s="48" t="e">
        <v>#N/A</v>
      </c>
      <c r="Q17" s="48">
        <v>27</v>
      </c>
      <c r="R17" s="48">
        <v>0.62</v>
      </c>
      <c r="S17" s="48">
        <v>0.02</v>
      </c>
      <c r="T17" s="48"/>
    </row>
    <row r="18" spans="1:20" x14ac:dyDescent="0.3">
      <c r="A18" s="59">
        <v>44356.340277777781</v>
      </c>
      <c r="B18" s="60" t="s">
        <v>88</v>
      </c>
      <c r="C18" s="60" t="s">
        <v>123</v>
      </c>
      <c r="D18" s="60">
        <v>6.64</v>
      </c>
      <c r="E18" s="60">
        <v>27.3</v>
      </c>
      <c r="F18" s="60">
        <v>0.13</v>
      </c>
      <c r="G18" s="60">
        <v>1.04</v>
      </c>
      <c r="H18" s="60">
        <v>1.26</v>
      </c>
      <c r="I18" s="60">
        <v>0.37</v>
      </c>
      <c r="J18" s="60">
        <v>8.0000000000000002E-3</v>
      </c>
      <c r="K18" s="60">
        <v>0.63</v>
      </c>
      <c r="L18" s="60"/>
      <c r="M18" s="60"/>
      <c r="N18" s="60"/>
      <c r="O18" s="60"/>
      <c r="P18" s="60"/>
      <c r="Q18" s="60"/>
      <c r="R18" s="60"/>
      <c r="S18" s="60"/>
      <c r="T18" s="60"/>
    </row>
    <row r="19" spans="1:20" x14ac:dyDescent="0.3">
      <c r="A19" s="59">
        <v>44356.340277777781</v>
      </c>
      <c r="B19" s="60" t="s">
        <v>88</v>
      </c>
      <c r="C19" s="60" t="s">
        <v>125</v>
      </c>
      <c r="D19" s="60">
        <v>6.85</v>
      </c>
      <c r="E19" s="60">
        <v>27.2</v>
      </c>
      <c r="F19" s="60">
        <v>0.14000000000000001</v>
      </c>
      <c r="G19" s="60">
        <v>1.53</v>
      </c>
      <c r="H19" s="60">
        <v>1.47</v>
      </c>
      <c r="I19" s="60">
        <v>0.46</v>
      </c>
      <c r="J19" s="60">
        <v>6.0000000000000001E-3</v>
      </c>
      <c r="K19" s="60">
        <v>0.48</v>
      </c>
      <c r="L19" s="60"/>
      <c r="M19" s="60"/>
      <c r="N19" s="60"/>
      <c r="O19" s="60"/>
      <c r="P19" s="60"/>
      <c r="Q19" s="60"/>
      <c r="R19" s="60"/>
      <c r="S19" s="60"/>
      <c r="T19" s="60"/>
    </row>
    <row r="20" spans="1:20" x14ac:dyDescent="0.3">
      <c r="A20" s="56">
        <v>44362.336805555555</v>
      </c>
      <c r="B20" s="48" t="s">
        <v>88</v>
      </c>
      <c r="C20" s="48" t="s">
        <v>123</v>
      </c>
      <c r="D20" s="48">
        <v>6.76</v>
      </c>
      <c r="E20" s="48">
        <v>28.7</v>
      </c>
      <c r="F20" s="48">
        <v>0.09</v>
      </c>
      <c r="G20" s="48">
        <v>1.1100000000000001</v>
      </c>
      <c r="H20" s="48">
        <v>1.27</v>
      </c>
      <c r="I20" s="48">
        <v>0.49</v>
      </c>
      <c r="J20" s="48">
        <v>6.0000000000000001E-3</v>
      </c>
      <c r="K20" s="48">
        <v>0.7</v>
      </c>
      <c r="L20" s="61">
        <v>0.47799999999999998</v>
      </c>
      <c r="M20" s="61">
        <v>0.47799999999999998</v>
      </c>
      <c r="N20" s="58">
        <v>0.83699999999999997</v>
      </c>
      <c r="O20" s="58">
        <v>1E-3</v>
      </c>
      <c r="P20" s="48">
        <v>0.14199999999999999</v>
      </c>
      <c r="Q20" s="48">
        <v>0</v>
      </c>
      <c r="R20" s="48">
        <v>0.36</v>
      </c>
      <c r="S20" s="48">
        <v>0</v>
      </c>
      <c r="T20" s="48" t="s">
        <v>128</v>
      </c>
    </row>
    <row r="21" spans="1:20" x14ac:dyDescent="0.3">
      <c r="A21" s="59">
        <v>44363.351388888892</v>
      </c>
      <c r="B21" s="60" t="s">
        <v>88</v>
      </c>
      <c r="C21" s="60" t="s">
        <v>123</v>
      </c>
      <c r="D21" s="60">
        <v>6.71</v>
      </c>
      <c r="E21" s="60">
        <v>27.8</v>
      </c>
      <c r="F21" s="60">
        <v>0.78</v>
      </c>
      <c r="G21" s="60">
        <v>0.98</v>
      </c>
      <c r="H21" s="60">
        <v>0.05</v>
      </c>
      <c r="I21" s="60">
        <v>0.06</v>
      </c>
      <c r="J21" s="60">
        <v>5.0000000000000001E-3</v>
      </c>
      <c r="K21" s="60">
        <v>0.59</v>
      </c>
      <c r="L21" s="60"/>
      <c r="M21" s="60"/>
      <c r="N21" s="60"/>
      <c r="O21" s="60"/>
      <c r="P21" s="60"/>
      <c r="Q21" s="60"/>
      <c r="R21" s="60"/>
      <c r="S21" s="60"/>
      <c r="T21" s="60"/>
    </row>
    <row r="22" spans="1:20" x14ac:dyDescent="0.3">
      <c r="A22" s="59">
        <v>44363.351388888892</v>
      </c>
      <c r="B22" s="60" t="s">
        <v>88</v>
      </c>
      <c r="C22" s="60" t="s">
        <v>125</v>
      </c>
      <c r="D22" s="60">
        <v>6.77</v>
      </c>
      <c r="E22" s="60">
        <v>28.2</v>
      </c>
      <c r="F22" s="60">
        <v>0.63</v>
      </c>
      <c r="G22" s="60">
        <v>0.73</v>
      </c>
      <c r="H22" s="60">
        <v>7.0000000000000007E-2</v>
      </c>
      <c r="I22" s="60">
        <v>0.21</v>
      </c>
      <c r="J22" s="60">
        <v>7.0000000000000001E-3</v>
      </c>
      <c r="K22" s="60">
        <v>0.55000000000000004</v>
      </c>
      <c r="L22" s="60"/>
      <c r="M22" s="60"/>
      <c r="N22" s="60"/>
      <c r="O22" s="60"/>
      <c r="P22" s="60"/>
      <c r="Q22" s="60"/>
      <c r="R22" s="60"/>
      <c r="S22" s="60"/>
      <c r="T22" s="60"/>
    </row>
    <row r="23" spans="1:20" x14ac:dyDescent="0.3">
      <c r="A23" s="56">
        <v>44369.338194444441</v>
      </c>
      <c r="B23" s="48" t="s">
        <v>88</v>
      </c>
      <c r="C23" s="48" t="s">
        <v>123</v>
      </c>
      <c r="D23" s="48">
        <v>6.72</v>
      </c>
      <c r="E23" s="48">
        <v>27.3</v>
      </c>
      <c r="F23" s="48">
        <v>0.99</v>
      </c>
      <c r="G23" s="48">
        <v>0.99</v>
      </c>
      <c r="H23" s="48">
        <v>0.04</v>
      </c>
      <c r="I23" s="48">
        <v>0.23</v>
      </c>
      <c r="J23" s="48">
        <v>6.0000000000000001E-3</v>
      </c>
      <c r="K23" s="48">
        <v>0.7</v>
      </c>
      <c r="L23" s="48">
        <v>-1.7999999999999999E-2</v>
      </c>
      <c r="M23" s="48">
        <v>0.16600000000000001</v>
      </c>
      <c r="N23" s="48">
        <v>0.90800000000000003</v>
      </c>
      <c r="O23" s="48">
        <v>1E-3</v>
      </c>
      <c r="P23" s="48">
        <v>0.189</v>
      </c>
      <c r="Q23" s="48">
        <v>0</v>
      </c>
      <c r="R23" s="46">
        <v>0</v>
      </c>
      <c r="S23" s="48">
        <v>0</v>
      </c>
      <c r="T23" s="48"/>
    </row>
    <row r="24" spans="1:20" x14ac:dyDescent="0.3">
      <c r="A24" s="59">
        <v>44370.336805555555</v>
      </c>
      <c r="B24" s="60" t="s">
        <v>88</v>
      </c>
      <c r="C24" s="60" t="s">
        <v>123</v>
      </c>
      <c r="D24" s="60">
        <v>6.76</v>
      </c>
      <c r="E24" s="60">
        <v>27.9</v>
      </c>
      <c r="F24" s="60">
        <v>2.1</v>
      </c>
      <c r="G24" s="60">
        <v>2.21</v>
      </c>
      <c r="H24" s="60">
        <v>7.0000000000000007E-2</v>
      </c>
      <c r="I24" s="60">
        <v>0.02</v>
      </c>
      <c r="J24" s="60">
        <v>6.0000000000000001E-3</v>
      </c>
      <c r="K24" s="60">
        <v>0.6</v>
      </c>
      <c r="L24" s="60"/>
      <c r="M24" s="60"/>
      <c r="N24" s="60"/>
      <c r="O24" s="60"/>
      <c r="P24" s="60"/>
      <c r="Q24" s="60"/>
      <c r="R24" s="60"/>
      <c r="S24" s="60"/>
      <c r="T24" s="60"/>
    </row>
    <row r="25" spans="1:20" x14ac:dyDescent="0.3">
      <c r="A25" s="59">
        <v>44370.336805555555</v>
      </c>
      <c r="B25" s="60" t="s">
        <v>88</v>
      </c>
      <c r="C25" s="60" t="s">
        <v>125</v>
      </c>
      <c r="D25" s="60">
        <v>6.83</v>
      </c>
      <c r="E25" s="60">
        <v>27.6</v>
      </c>
      <c r="F25" s="60">
        <v>2.41</v>
      </c>
      <c r="G25" s="60">
        <v>2.56</v>
      </c>
      <c r="H25" s="60">
        <v>7.0000000000000007E-2</v>
      </c>
      <c r="I25" s="60">
        <v>0.03</v>
      </c>
      <c r="J25" s="60">
        <v>6.0000000000000001E-3</v>
      </c>
      <c r="K25" s="60">
        <v>0.46</v>
      </c>
      <c r="L25" s="60"/>
      <c r="M25" s="60"/>
      <c r="N25" s="60"/>
      <c r="O25" s="60"/>
      <c r="P25" s="60"/>
      <c r="Q25" s="60"/>
      <c r="R25" s="60"/>
      <c r="S25" s="60"/>
      <c r="T25" s="60"/>
    </row>
    <row r="26" spans="1:20" x14ac:dyDescent="0.3">
      <c r="A26" s="56">
        <v>44376.253472222219</v>
      </c>
      <c r="B26" s="48" t="s">
        <v>88</v>
      </c>
      <c r="C26" s="48" t="s">
        <v>123</v>
      </c>
      <c r="D26" s="48">
        <v>6.7</v>
      </c>
      <c r="E26" s="48">
        <v>27.7</v>
      </c>
      <c r="F26" s="48">
        <v>1.06</v>
      </c>
      <c r="G26" s="48">
        <v>1.02</v>
      </c>
      <c r="H26" s="48">
        <v>0.04</v>
      </c>
      <c r="I26" s="48">
        <v>0.09</v>
      </c>
      <c r="J26" s="48">
        <v>7.0000000000000001E-3</v>
      </c>
      <c r="K26" s="48">
        <v>0.74</v>
      </c>
      <c r="L26" s="48">
        <v>-1.2999999999999999E-2</v>
      </c>
      <c r="M26" s="48">
        <v>0.192</v>
      </c>
      <c r="N26" s="48">
        <v>0.63300000000000001</v>
      </c>
      <c r="O26" s="48">
        <v>-1E-3</v>
      </c>
      <c r="P26" s="48">
        <v>8.4000000000000005E-2</v>
      </c>
      <c r="Q26" s="48">
        <v>0</v>
      </c>
      <c r="R26" s="48">
        <v>0.06</v>
      </c>
      <c r="S26" s="48">
        <v>0</v>
      </c>
      <c r="T26" s="48"/>
    </row>
    <row r="27" spans="1:20" x14ac:dyDescent="0.3">
      <c r="A27" s="59">
        <v>44377.340277777781</v>
      </c>
      <c r="B27" s="60" t="s">
        <v>88</v>
      </c>
      <c r="C27" s="60" t="s">
        <v>123</v>
      </c>
      <c r="D27" s="60">
        <v>6.65</v>
      </c>
      <c r="E27" s="60">
        <v>27.8</v>
      </c>
      <c r="F27" s="60">
        <v>2</v>
      </c>
      <c r="G27" s="60">
        <v>1.98</v>
      </c>
      <c r="H27" s="60">
        <v>0.04</v>
      </c>
      <c r="I27" s="60">
        <v>0.06</v>
      </c>
      <c r="J27" s="60">
        <v>8.0000000000000002E-3</v>
      </c>
      <c r="K27" s="60">
        <v>0.62</v>
      </c>
      <c r="L27" s="60"/>
      <c r="M27" s="60"/>
      <c r="N27" s="60"/>
      <c r="O27" s="60"/>
      <c r="P27" s="60"/>
      <c r="Q27" s="60"/>
      <c r="R27" s="60"/>
      <c r="S27" s="60"/>
      <c r="T27" s="60"/>
    </row>
    <row r="28" spans="1:20" x14ac:dyDescent="0.3">
      <c r="A28" s="59">
        <v>44377.340277777781</v>
      </c>
      <c r="B28" s="60" t="s">
        <v>88</v>
      </c>
      <c r="C28" s="60" t="s">
        <v>125</v>
      </c>
      <c r="D28" s="60">
        <v>6.87</v>
      </c>
      <c r="E28" s="60">
        <v>27.6</v>
      </c>
      <c r="F28" s="60">
        <v>1.83</v>
      </c>
      <c r="G28" s="60">
        <v>1.81</v>
      </c>
      <c r="H28" s="60">
        <v>7.0000000000000007E-2</v>
      </c>
      <c r="I28" s="60">
        <v>7.0000000000000007E-2</v>
      </c>
      <c r="J28" s="60">
        <v>7.0000000000000001E-3</v>
      </c>
      <c r="K28" s="60">
        <v>0.47</v>
      </c>
      <c r="L28" s="60"/>
      <c r="M28" s="60"/>
      <c r="N28" s="60"/>
      <c r="O28" s="60"/>
      <c r="P28" s="60"/>
      <c r="Q28" s="60"/>
      <c r="R28" s="60"/>
      <c r="S28" s="60"/>
      <c r="T28" s="60"/>
    </row>
    <row r="29" spans="1:20" x14ac:dyDescent="0.3">
      <c r="A29" s="56">
        <v>44384.336805555555</v>
      </c>
      <c r="B29" s="48" t="s">
        <v>88</v>
      </c>
      <c r="C29" s="48" t="s">
        <v>123</v>
      </c>
      <c r="D29" s="48">
        <v>6.8</v>
      </c>
      <c r="E29" s="48">
        <v>28</v>
      </c>
      <c r="F29" s="48">
        <v>1.19</v>
      </c>
      <c r="G29" s="48">
        <v>1.21</v>
      </c>
      <c r="H29" s="48">
        <v>0.05</v>
      </c>
      <c r="I29" s="48">
        <v>0.05</v>
      </c>
      <c r="J29" s="48">
        <v>6.0000000000000001E-3</v>
      </c>
      <c r="K29" s="48">
        <v>0.67</v>
      </c>
      <c r="L29" s="48">
        <v>0.185</v>
      </c>
      <c r="M29" s="48">
        <v>0.16300000000000001</v>
      </c>
      <c r="N29" s="48">
        <v>0.47199999999999998</v>
      </c>
      <c r="O29" s="48">
        <v>1.4999999999999999E-2</v>
      </c>
      <c r="P29" s="48">
        <v>0.23300000000000001</v>
      </c>
      <c r="Q29" s="48">
        <v>0</v>
      </c>
      <c r="R29" s="48">
        <v>0.79</v>
      </c>
      <c r="S29" s="48">
        <v>0.02</v>
      </c>
      <c r="T29" s="48"/>
    </row>
    <row r="30" spans="1:20" x14ac:dyDescent="0.3">
      <c r="A30" s="59">
        <v>44385.34097222222</v>
      </c>
      <c r="B30" s="60" t="s">
        <v>88</v>
      </c>
      <c r="C30" s="60" t="s">
        <v>123</v>
      </c>
      <c r="D30" s="60">
        <v>6.83</v>
      </c>
      <c r="E30" s="60">
        <v>28.2</v>
      </c>
      <c r="F30" s="60">
        <v>1.26</v>
      </c>
      <c r="G30" s="60">
        <v>1.32</v>
      </c>
      <c r="H30" s="60">
        <v>0.02</v>
      </c>
      <c r="I30" s="60">
        <v>0.05</v>
      </c>
      <c r="J30" s="60">
        <v>7.0000000000000001E-3</v>
      </c>
      <c r="K30" s="60">
        <v>0</v>
      </c>
      <c r="L30" s="60"/>
      <c r="M30" s="60"/>
      <c r="N30" s="60"/>
      <c r="O30" s="60"/>
      <c r="P30" s="60"/>
      <c r="Q30" s="60"/>
      <c r="R30" s="60"/>
      <c r="S30" s="60"/>
      <c r="T30" s="60"/>
    </row>
    <row r="31" spans="1:20" x14ac:dyDescent="0.3">
      <c r="A31" s="59">
        <v>44385.34097222222</v>
      </c>
      <c r="B31" s="60" t="s">
        <v>88</v>
      </c>
      <c r="C31" s="60" t="s">
        <v>125</v>
      </c>
      <c r="D31" s="60">
        <v>6.94</v>
      </c>
      <c r="E31" s="60">
        <v>28.1</v>
      </c>
      <c r="F31" s="60">
        <v>1.99</v>
      </c>
      <c r="G31" s="60">
        <v>2.09</v>
      </c>
      <c r="H31" s="60">
        <v>0.04</v>
      </c>
      <c r="I31" s="60">
        <v>0.02</v>
      </c>
      <c r="J31" s="60">
        <v>5.0000000000000001E-3</v>
      </c>
      <c r="K31" s="60">
        <v>0.51</v>
      </c>
      <c r="L31" s="60"/>
      <c r="M31" s="60"/>
      <c r="N31" s="60"/>
      <c r="O31" s="60"/>
      <c r="P31" s="60"/>
      <c r="Q31" s="60"/>
      <c r="R31" s="60"/>
      <c r="S31" s="60"/>
      <c r="T31" s="60"/>
    </row>
    <row r="32" spans="1:20" x14ac:dyDescent="0.3">
      <c r="A32" s="56">
        <v>44390.333333333336</v>
      </c>
      <c r="B32" s="48" t="s">
        <v>88</v>
      </c>
      <c r="C32" s="48" t="s">
        <v>123</v>
      </c>
      <c r="D32" s="48">
        <v>6.74</v>
      </c>
      <c r="E32" s="48">
        <v>28</v>
      </c>
      <c r="F32" s="48">
        <v>2.14</v>
      </c>
      <c r="G32" s="48">
        <v>2.12</v>
      </c>
      <c r="H32" s="48">
        <v>0.04</v>
      </c>
      <c r="I32" s="48">
        <v>7.0000000000000007E-2</v>
      </c>
      <c r="J32" s="48">
        <v>8.9999999999999993E-3</v>
      </c>
      <c r="K32" s="48">
        <v>0.63</v>
      </c>
      <c r="L32" s="48">
        <v>1.9E-2</v>
      </c>
      <c r="M32" s="48">
        <v>0.155</v>
      </c>
      <c r="N32" s="48">
        <v>0.51200000000000001</v>
      </c>
      <c r="O32" s="48">
        <v>1.4999999999999999E-2</v>
      </c>
      <c r="P32" s="48">
        <v>9.7000000000000003E-2</v>
      </c>
      <c r="Q32" s="48">
        <v>7</v>
      </c>
      <c r="R32" s="48">
        <v>0.44</v>
      </c>
      <c r="S32" s="48">
        <v>0.03</v>
      </c>
      <c r="T32" s="48"/>
    </row>
    <row r="33" spans="1:20" x14ac:dyDescent="0.3">
      <c r="A33" s="59">
        <v>44391.322916666664</v>
      </c>
      <c r="B33" s="60" t="s">
        <v>88</v>
      </c>
      <c r="C33" s="60" t="s">
        <v>123</v>
      </c>
      <c r="D33" s="60">
        <v>6.8</v>
      </c>
      <c r="E33" s="60">
        <v>28</v>
      </c>
      <c r="F33" s="60">
        <v>1.89</v>
      </c>
      <c r="G33" s="60">
        <v>1.85</v>
      </c>
      <c r="H33" s="60">
        <v>0.02</v>
      </c>
      <c r="I33" s="60">
        <v>0.28999999999999998</v>
      </c>
      <c r="J33" s="60">
        <v>6.0000000000000001E-3</v>
      </c>
      <c r="K33" s="60">
        <v>0.67</v>
      </c>
      <c r="L33" s="60"/>
      <c r="M33" s="60"/>
      <c r="N33" s="60"/>
      <c r="O33" s="60"/>
      <c r="P33" s="60"/>
      <c r="Q33" s="60"/>
      <c r="R33" s="60"/>
      <c r="S33" s="60"/>
      <c r="T33" s="60"/>
    </row>
    <row r="34" spans="1:20" x14ac:dyDescent="0.3">
      <c r="A34" s="59">
        <v>44391.322916666664</v>
      </c>
      <c r="B34" s="60" t="s">
        <v>88</v>
      </c>
      <c r="C34" s="60" t="s">
        <v>125</v>
      </c>
      <c r="D34" s="60">
        <v>6.97</v>
      </c>
      <c r="E34" s="60">
        <v>28</v>
      </c>
      <c r="F34" s="60">
        <v>1.83</v>
      </c>
      <c r="G34" s="60">
        <v>1.82</v>
      </c>
      <c r="H34" s="60">
        <v>0.05</v>
      </c>
      <c r="I34" s="60">
        <v>0.06</v>
      </c>
      <c r="J34" s="60">
        <v>7.0000000000000001E-3</v>
      </c>
      <c r="K34" s="60">
        <v>0.55000000000000004</v>
      </c>
      <c r="L34" s="60"/>
      <c r="M34" s="60"/>
      <c r="N34" s="60"/>
      <c r="O34" s="60"/>
      <c r="P34" s="60"/>
      <c r="Q34" s="60"/>
      <c r="R34" s="60"/>
      <c r="S34" s="60"/>
      <c r="T34" s="60"/>
    </row>
    <row r="35" spans="1:20" x14ac:dyDescent="0.3">
      <c r="A35" s="56">
        <v>44397.336805555555</v>
      </c>
      <c r="B35" s="48" t="s">
        <v>88</v>
      </c>
      <c r="C35" s="48" t="s">
        <v>123</v>
      </c>
      <c r="D35" s="48">
        <v>6.78</v>
      </c>
      <c r="E35" s="48">
        <v>23.8</v>
      </c>
      <c r="F35" s="48">
        <v>2.39</v>
      </c>
      <c r="G35" s="48">
        <v>2.39</v>
      </c>
      <c r="H35" s="48">
        <v>0.01</v>
      </c>
      <c r="I35" s="48">
        <v>7.0000000000000007E-2</v>
      </c>
      <c r="J35" s="48">
        <v>5.0000000000000001E-3</v>
      </c>
      <c r="K35" s="48">
        <v>0.57999999999999996</v>
      </c>
      <c r="L35" s="48"/>
      <c r="M35" s="48"/>
      <c r="N35" s="48"/>
      <c r="O35" s="48"/>
      <c r="P35" s="48">
        <v>0.104</v>
      </c>
      <c r="Q35" s="48">
        <v>0</v>
      </c>
      <c r="R35" s="48">
        <v>0.51</v>
      </c>
      <c r="S35" s="48">
        <v>0.06</v>
      </c>
      <c r="T35" s="48"/>
    </row>
    <row r="36" spans="1:20" x14ac:dyDescent="0.3">
      <c r="A36" s="59">
        <v>44398.339583333334</v>
      </c>
      <c r="B36" s="60" t="s">
        <v>88</v>
      </c>
      <c r="C36" s="60" t="s">
        <v>123</v>
      </c>
      <c r="D36" s="60">
        <v>6.78</v>
      </c>
      <c r="E36" s="60">
        <v>24</v>
      </c>
      <c r="F36" s="60">
        <v>1.96</v>
      </c>
      <c r="G36" s="60">
        <v>1.99</v>
      </c>
      <c r="H36" s="60">
        <v>0.02</v>
      </c>
      <c r="I36" s="60">
        <v>0.12</v>
      </c>
      <c r="J36" s="60">
        <v>7.0000000000000001E-3</v>
      </c>
      <c r="K36" s="60">
        <v>0.61</v>
      </c>
      <c r="L36" s="60"/>
      <c r="M36" s="60"/>
      <c r="N36" s="60"/>
      <c r="O36" s="60"/>
      <c r="P36" s="60"/>
      <c r="Q36" s="60"/>
      <c r="R36" s="60"/>
      <c r="S36" s="60"/>
      <c r="T36" s="60"/>
    </row>
    <row r="37" spans="1:20" x14ac:dyDescent="0.3">
      <c r="A37" s="59">
        <v>44398.339583333334</v>
      </c>
      <c r="B37" s="60" t="s">
        <v>88</v>
      </c>
      <c r="C37" s="60" t="s">
        <v>125</v>
      </c>
      <c r="D37" s="60">
        <v>6.91</v>
      </c>
      <c r="E37" s="60">
        <v>22.8</v>
      </c>
      <c r="F37" s="60">
        <v>2.46</v>
      </c>
      <c r="G37" s="60">
        <v>2.41</v>
      </c>
      <c r="H37" s="60">
        <v>0</v>
      </c>
      <c r="I37" s="60">
        <v>0.02</v>
      </c>
      <c r="J37" s="60">
        <v>7.0000000000000001E-3</v>
      </c>
      <c r="K37" s="60">
        <v>0.52</v>
      </c>
      <c r="L37" s="60"/>
      <c r="M37" s="60"/>
      <c r="N37" s="60"/>
      <c r="O37" s="60"/>
      <c r="P37" s="60"/>
      <c r="Q37" s="60"/>
      <c r="R37" s="60"/>
      <c r="S37" s="60"/>
      <c r="T37" s="60"/>
    </row>
    <row r="38" spans="1:20" x14ac:dyDescent="0.3">
      <c r="A38" s="56">
        <v>44404.340277777781</v>
      </c>
      <c r="B38" s="48" t="s">
        <v>88</v>
      </c>
      <c r="C38" s="48" t="s">
        <v>123</v>
      </c>
      <c r="D38" s="48">
        <v>6.74</v>
      </c>
      <c r="E38" s="48">
        <v>24</v>
      </c>
      <c r="F38" s="48">
        <v>1.33</v>
      </c>
      <c r="G38" s="48">
        <v>1.35</v>
      </c>
      <c r="H38" s="48">
        <v>0</v>
      </c>
      <c r="I38" s="48">
        <v>0.06</v>
      </c>
      <c r="J38" s="48">
        <v>6.0000000000000001E-3</v>
      </c>
      <c r="K38" s="48">
        <v>0.68</v>
      </c>
      <c r="L38" s="48"/>
      <c r="M38" s="48"/>
      <c r="N38" s="48"/>
      <c r="O38" s="48"/>
      <c r="P38" s="48"/>
      <c r="Q38" s="48"/>
      <c r="R38" s="48"/>
      <c r="S38" s="48"/>
      <c r="T38" s="48"/>
    </row>
    <row r="39" spans="1:20" x14ac:dyDescent="0.3">
      <c r="A39" s="59">
        <v>44405.336805555555</v>
      </c>
      <c r="B39" s="60" t="s">
        <v>88</v>
      </c>
      <c r="C39" s="60" t="s">
        <v>123</v>
      </c>
      <c r="D39" s="60">
        <v>6.73</v>
      </c>
      <c r="E39" s="60">
        <v>24.1</v>
      </c>
      <c r="F39" s="60">
        <v>0.06</v>
      </c>
      <c r="G39" s="60">
        <v>1.1599999999999999</v>
      </c>
      <c r="H39" s="60">
        <v>1.35</v>
      </c>
      <c r="I39" s="60">
        <v>0.14000000000000001</v>
      </c>
      <c r="J39" s="60">
        <v>6.0000000000000001E-3</v>
      </c>
      <c r="K39" s="60">
        <v>0.62</v>
      </c>
      <c r="L39" s="60"/>
      <c r="M39" s="60"/>
      <c r="N39" s="60"/>
      <c r="O39" s="60"/>
      <c r="P39" s="60"/>
      <c r="Q39" s="60"/>
      <c r="R39" s="60"/>
      <c r="S39" s="60"/>
      <c r="T39" s="60"/>
    </row>
    <row r="40" spans="1:20" x14ac:dyDescent="0.3">
      <c r="A40" s="59">
        <v>44405.336805555555</v>
      </c>
      <c r="B40" s="60" t="s">
        <v>88</v>
      </c>
      <c r="C40" s="60" t="s">
        <v>125</v>
      </c>
      <c r="D40" s="60">
        <v>6.77</v>
      </c>
      <c r="E40" s="60">
        <v>24.3</v>
      </c>
      <c r="F40" s="60">
        <v>0.15</v>
      </c>
      <c r="G40" s="60">
        <v>1.51</v>
      </c>
      <c r="H40" s="60">
        <v>1.29</v>
      </c>
      <c r="I40" s="60">
        <v>0.22</v>
      </c>
      <c r="J40" s="60">
        <v>7.0000000000000001E-3</v>
      </c>
      <c r="K40" s="60">
        <v>0.51</v>
      </c>
      <c r="L40" s="60"/>
      <c r="M40" s="60"/>
      <c r="N40" s="60"/>
      <c r="O40" s="60"/>
      <c r="P40" s="60"/>
      <c r="Q40" s="60"/>
      <c r="R40" s="60"/>
      <c r="S40" s="60"/>
      <c r="T40" s="60"/>
    </row>
    <row r="41" spans="1:20" x14ac:dyDescent="0.3">
      <c r="A41" s="56">
        <v>44411.336805555555</v>
      </c>
      <c r="B41" s="48" t="s">
        <v>88</v>
      </c>
      <c r="C41" s="48" t="s">
        <v>123</v>
      </c>
      <c r="D41" s="48">
        <v>6.81</v>
      </c>
      <c r="E41" s="48">
        <v>24.1</v>
      </c>
      <c r="F41" s="48">
        <v>0.11</v>
      </c>
      <c r="G41" s="48">
        <v>0.84</v>
      </c>
      <c r="H41" s="48">
        <v>1.04</v>
      </c>
      <c r="I41" s="48">
        <v>0.21</v>
      </c>
      <c r="J41" s="48">
        <v>7.0000000000000001E-3</v>
      </c>
      <c r="K41" s="48">
        <v>0.67</v>
      </c>
      <c r="L41" s="48"/>
      <c r="M41" s="48"/>
      <c r="N41" s="48"/>
      <c r="O41" s="48"/>
      <c r="P41" s="48">
        <v>8.4000000000000005E-2</v>
      </c>
      <c r="Q41" s="48">
        <v>0</v>
      </c>
      <c r="R41" s="48">
        <v>0.68</v>
      </c>
      <c r="S41" s="48">
        <v>7.0000000000000007E-2</v>
      </c>
      <c r="T41" s="48"/>
    </row>
    <row r="42" spans="1:20" x14ac:dyDescent="0.3">
      <c r="A42" s="59">
        <v>44412.347222222219</v>
      </c>
      <c r="B42" s="60" t="s">
        <v>88</v>
      </c>
      <c r="C42" s="60" t="s">
        <v>123</v>
      </c>
      <c r="D42" s="60">
        <v>6.72</v>
      </c>
      <c r="E42" s="60">
        <v>23.1</v>
      </c>
      <c r="F42" s="60">
        <v>0.09</v>
      </c>
      <c r="G42" s="60">
        <v>0.51</v>
      </c>
      <c r="H42" s="60">
        <v>0.66</v>
      </c>
      <c r="I42" s="60">
        <v>0.35</v>
      </c>
      <c r="J42" s="60">
        <v>6.0000000000000001E-3</v>
      </c>
      <c r="K42" s="60">
        <v>0.68</v>
      </c>
      <c r="L42" s="60"/>
      <c r="M42" s="60"/>
      <c r="N42" s="60"/>
      <c r="O42" s="60"/>
      <c r="P42" s="60"/>
      <c r="Q42" s="60"/>
      <c r="R42" s="60"/>
      <c r="S42" s="60"/>
      <c r="T42" s="60"/>
    </row>
    <row r="43" spans="1:20" x14ac:dyDescent="0.3">
      <c r="A43" s="59">
        <v>44412.347222222219</v>
      </c>
      <c r="B43" s="60" t="s">
        <v>88</v>
      </c>
      <c r="C43" s="60" t="s">
        <v>125</v>
      </c>
      <c r="D43" s="60">
        <v>6.76</v>
      </c>
      <c r="E43" s="60">
        <v>24.1</v>
      </c>
      <c r="F43" s="60">
        <v>0.1</v>
      </c>
      <c r="G43" s="60">
        <v>1.0900000000000001</v>
      </c>
      <c r="H43" s="60">
        <v>1.1200000000000001</v>
      </c>
      <c r="I43" s="60">
        <v>0.19</v>
      </c>
      <c r="J43" s="60">
        <v>7.0000000000000001E-3</v>
      </c>
      <c r="K43" s="60">
        <v>0.54</v>
      </c>
      <c r="L43" s="60"/>
      <c r="M43" s="60"/>
      <c r="N43" s="60"/>
      <c r="O43" s="60"/>
      <c r="P43" s="60"/>
      <c r="Q43" s="60"/>
      <c r="R43" s="60"/>
      <c r="S43" s="60"/>
      <c r="T43" s="60"/>
    </row>
    <row r="44" spans="1:20" x14ac:dyDescent="0.3">
      <c r="A44" s="56">
        <v>44418.340277777781</v>
      </c>
      <c r="B44" s="48" t="s">
        <v>88</v>
      </c>
      <c r="C44" s="48" t="s">
        <v>123</v>
      </c>
      <c r="D44" s="48">
        <v>6.82</v>
      </c>
      <c r="E44" s="48">
        <v>24</v>
      </c>
      <c r="F44" s="48">
        <v>0.15</v>
      </c>
      <c r="G44" s="48">
        <v>1.26</v>
      </c>
      <c r="H44" s="48">
        <v>1.35</v>
      </c>
      <c r="I44" s="48">
        <v>0.23</v>
      </c>
      <c r="J44" s="48">
        <v>5.0000000000000001E-3</v>
      </c>
      <c r="K44" s="48">
        <v>0.63</v>
      </c>
      <c r="L44" s="48"/>
      <c r="M44" s="48"/>
      <c r="N44" s="48"/>
      <c r="O44" s="48"/>
      <c r="P44" s="48">
        <v>0.73699999999999999</v>
      </c>
      <c r="Q44" s="48">
        <v>3</v>
      </c>
      <c r="R44" s="48">
        <v>0.46</v>
      </c>
      <c r="S44" s="48">
        <v>0.03</v>
      </c>
      <c r="T44" s="48"/>
    </row>
    <row r="45" spans="1:20" x14ac:dyDescent="0.3">
      <c r="A45" s="59">
        <v>44419.343055555553</v>
      </c>
      <c r="B45" s="60" t="s">
        <v>88</v>
      </c>
      <c r="C45" s="60" t="s">
        <v>123</v>
      </c>
      <c r="D45" s="60">
        <v>6.8</v>
      </c>
      <c r="E45" s="60">
        <v>23.1</v>
      </c>
      <c r="F45" s="60">
        <v>0.09</v>
      </c>
      <c r="G45" s="60">
        <v>0.47</v>
      </c>
      <c r="H45" s="60">
        <v>0.6</v>
      </c>
      <c r="I45" s="60">
        <v>0.19</v>
      </c>
      <c r="J45" s="60">
        <v>7.0000000000000001E-3</v>
      </c>
      <c r="K45" s="60">
        <v>0.69</v>
      </c>
      <c r="L45" s="60"/>
      <c r="M45" s="60"/>
      <c r="N45" s="60"/>
      <c r="O45" s="60"/>
      <c r="P45" s="60"/>
      <c r="Q45" s="60"/>
      <c r="R45" s="60"/>
      <c r="S45" s="60"/>
      <c r="T45" s="60"/>
    </row>
    <row r="46" spans="1:20" x14ac:dyDescent="0.3">
      <c r="A46" s="59">
        <v>44419.343055555553</v>
      </c>
      <c r="B46" s="60" t="s">
        <v>88</v>
      </c>
      <c r="C46" s="60" t="s">
        <v>125</v>
      </c>
      <c r="D46" s="60">
        <v>6.84</v>
      </c>
      <c r="E46" s="60">
        <v>23.1</v>
      </c>
      <c r="F46" s="60">
        <v>0.11</v>
      </c>
      <c r="G46" s="60">
        <v>1.72</v>
      </c>
      <c r="H46" s="60">
        <v>1.57</v>
      </c>
      <c r="I46" s="60">
        <v>0.17</v>
      </c>
      <c r="J46" s="60">
        <v>6.0000000000000001E-3</v>
      </c>
      <c r="K46" s="60">
        <v>0.53</v>
      </c>
      <c r="L46" s="60"/>
      <c r="M46" s="60"/>
      <c r="N46" s="60"/>
      <c r="O46" s="60"/>
      <c r="P46" s="60"/>
      <c r="Q46" s="60"/>
      <c r="R46" s="60"/>
      <c r="S46" s="60"/>
      <c r="T46" s="60"/>
    </row>
    <row r="47" spans="1:20" x14ac:dyDescent="0.3">
      <c r="A47" s="56">
        <v>44425.336805555555</v>
      </c>
      <c r="B47" s="48" t="s">
        <v>88</v>
      </c>
      <c r="C47" s="48" t="s">
        <v>123</v>
      </c>
      <c r="D47" s="48">
        <v>6.73</v>
      </c>
      <c r="E47" s="48">
        <v>23.4</v>
      </c>
      <c r="F47" s="48">
        <v>0.03</v>
      </c>
      <c r="G47" s="48">
        <v>0.41</v>
      </c>
      <c r="H47" s="48">
        <v>0.56999999999999995</v>
      </c>
      <c r="I47" s="48">
        <v>0.19</v>
      </c>
      <c r="J47" s="48">
        <v>6.0000000000000001E-3</v>
      </c>
      <c r="K47" s="48">
        <v>0.64</v>
      </c>
      <c r="L47" s="48"/>
      <c r="M47" s="48"/>
      <c r="N47" s="48"/>
      <c r="O47" s="48"/>
      <c r="P47" s="48">
        <v>5.0999999999999997E-2</v>
      </c>
      <c r="Q47" s="48">
        <v>4</v>
      </c>
      <c r="R47" s="48">
        <v>0.65</v>
      </c>
      <c r="S47" s="48">
        <v>0.04</v>
      </c>
      <c r="T47" s="48"/>
    </row>
    <row r="48" spans="1:20" x14ac:dyDescent="0.3">
      <c r="A48" s="59">
        <v>44426.351388888892</v>
      </c>
      <c r="B48" s="60" t="s">
        <v>88</v>
      </c>
      <c r="C48" s="60" t="s">
        <v>123</v>
      </c>
      <c r="D48" s="60">
        <v>7.1</v>
      </c>
      <c r="E48" s="60">
        <v>23.2</v>
      </c>
      <c r="F48" s="60">
        <v>0.08</v>
      </c>
      <c r="G48" s="60">
        <v>1.07</v>
      </c>
      <c r="H48" s="60">
        <v>1.23</v>
      </c>
      <c r="I48" s="60">
        <v>0.23</v>
      </c>
      <c r="J48" s="60">
        <v>8.0000000000000002E-3</v>
      </c>
      <c r="K48" s="60">
        <v>0.61</v>
      </c>
      <c r="L48" s="60"/>
      <c r="M48" s="60"/>
      <c r="N48" s="60"/>
      <c r="O48" s="60"/>
      <c r="P48" s="60"/>
      <c r="Q48" s="60"/>
      <c r="R48" s="60"/>
      <c r="S48" s="60"/>
      <c r="T48" s="60"/>
    </row>
    <row r="49" spans="1:20" x14ac:dyDescent="0.3">
      <c r="A49" s="59">
        <v>44426.351388888892</v>
      </c>
      <c r="B49" s="60" t="s">
        <v>88</v>
      </c>
      <c r="C49" s="60" t="s">
        <v>125</v>
      </c>
      <c r="D49" s="60">
        <v>7.11</v>
      </c>
      <c r="E49" s="60">
        <v>23.4</v>
      </c>
      <c r="F49" s="60">
        <v>0.06</v>
      </c>
      <c r="G49" s="60">
        <v>1.5</v>
      </c>
      <c r="H49" s="60">
        <v>1.28</v>
      </c>
      <c r="I49" s="60">
        <v>0.12</v>
      </c>
      <c r="J49" s="60">
        <v>0.1</v>
      </c>
      <c r="K49" s="60">
        <v>0.73</v>
      </c>
      <c r="L49" s="60"/>
      <c r="M49" s="60"/>
      <c r="N49" s="60"/>
      <c r="O49" s="60"/>
      <c r="P49" s="60"/>
      <c r="Q49" s="60"/>
      <c r="R49" s="60"/>
      <c r="S49" s="60"/>
      <c r="T49" s="60"/>
    </row>
    <row r="50" spans="1:20" x14ac:dyDescent="0.3">
      <c r="A50" s="56">
        <v>44432.338888888888</v>
      </c>
      <c r="B50" s="48" t="s">
        <v>88</v>
      </c>
      <c r="C50" s="48" t="s">
        <v>123</v>
      </c>
      <c r="D50" s="48">
        <v>6.84</v>
      </c>
      <c r="E50" s="48">
        <v>23.4</v>
      </c>
      <c r="F50" s="48">
        <v>7.0000000000000007E-2</v>
      </c>
      <c r="G50" s="48">
        <v>0.55000000000000004</v>
      </c>
      <c r="H50" s="48">
        <v>0.7</v>
      </c>
      <c r="I50" s="48">
        <v>0.12</v>
      </c>
      <c r="J50" s="48">
        <v>8.9999999999999993E-3</v>
      </c>
      <c r="K50" s="48">
        <v>0.6</v>
      </c>
      <c r="L50" s="48"/>
      <c r="M50" s="48"/>
      <c r="N50" s="48"/>
      <c r="O50" s="48"/>
      <c r="P50" s="48">
        <v>8.1000000000000003E-2</v>
      </c>
      <c r="Q50" s="48">
        <v>5</v>
      </c>
      <c r="R50" s="48">
        <v>0.47</v>
      </c>
      <c r="S50" s="48">
        <v>0.03</v>
      </c>
      <c r="T50" s="48"/>
    </row>
    <row r="51" spans="1:20" x14ac:dyDescent="0.3">
      <c r="A51" s="59">
        <v>44433.34097222222</v>
      </c>
      <c r="B51" s="60" t="s">
        <v>88</v>
      </c>
      <c r="C51" s="60" t="s">
        <v>123</v>
      </c>
      <c r="D51" s="60">
        <v>6.86</v>
      </c>
      <c r="E51" s="60">
        <v>23.5</v>
      </c>
      <c r="F51" s="60">
        <v>7.0000000000000007E-2</v>
      </c>
      <c r="G51" s="60">
        <v>0.57999999999999996</v>
      </c>
      <c r="H51" s="60">
        <v>0.73</v>
      </c>
      <c r="I51" s="60">
        <v>0.19</v>
      </c>
      <c r="J51" s="60">
        <v>7.0000000000000001E-3</v>
      </c>
      <c r="K51" s="60">
        <v>0.67</v>
      </c>
      <c r="L51" s="60"/>
      <c r="M51" s="60"/>
      <c r="N51" s="60"/>
      <c r="O51" s="60"/>
      <c r="P51" s="60"/>
      <c r="Q51" s="60"/>
      <c r="R51" s="60"/>
      <c r="S51" s="60"/>
      <c r="T51" s="60"/>
    </row>
    <row r="52" spans="1:20" x14ac:dyDescent="0.3">
      <c r="A52" s="59">
        <v>44433.34097222222</v>
      </c>
      <c r="B52" s="60" t="s">
        <v>88</v>
      </c>
      <c r="C52" s="60" t="s">
        <v>125</v>
      </c>
      <c r="D52" s="60">
        <v>6.97</v>
      </c>
      <c r="E52" s="60">
        <v>24.3</v>
      </c>
      <c r="F52" s="60">
        <v>7.0000000000000007E-2</v>
      </c>
      <c r="G52" s="60">
        <v>0.71</v>
      </c>
      <c r="H52" s="60">
        <v>0.85</v>
      </c>
      <c r="I52" s="60">
        <v>0.28999999999999998</v>
      </c>
      <c r="J52" s="60">
        <v>0.01</v>
      </c>
      <c r="K52" s="60">
        <v>0.56999999999999995</v>
      </c>
      <c r="L52" s="60"/>
      <c r="M52" s="60"/>
      <c r="N52" s="60"/>
      <c r="O52" s="60"/>
      <c r="P52" s="60"/>
      <c r="Q52" s="60"/>
      <c r="R52" s="60"/>
      <c r="S52" s="60"/>
      <c r="T52" s="60"/>
    </row>
    <row r="53" spans="1:20" x14ac:dyDescent="0.3">
      <c r="A53" s="48"/>
      <c r="B53" s="48"/>
      <c r="C53" s="48"/>
      <c r="D53" s="48"/>
      <c r="E53" s="48"/>
      <c r="F53" s="48"/>
      <c r="G53" s="48"/>
      <c r="H53" s="48"/>
      <c r="I53" s="48"/>
      <c r="J53" s="48"/>
      <c r="K53" s="48"/>
      <c r="L53" s="48"/>
      <c r="M53" s="48"/>
      <c r="N53" s="48"/>
      <c r="O53" s="48"/>
      <c r="P53" s="48"/>
      <c r="Q53" s="48"/>
      <c r="R53" s="48"/>
      <c r="S53" s="48"/>
      <c r="T53" s="48"/>
    </row>
    <row r="54" spans="1:20" x14ac:dyDescent="0.3">
      <c r="A54" s="48"/>
      <c r="B54" s="48"/>
      <c r="C54" s="48"/>
      <c r="D54" s="48"/>
      <c r="E54" s="48"/>
      <c r="F54" s="48"/>
      <c r="G54" s="48"/>
      <c r="H54" s="48"/>
      <c r="I54" s="48"/>
      <c r="J54" s="48"/>
      <c r="K54" s="48"/>
      <c r="L54" s="48"/>
      <c r="M54" s="48"/>
      <c r="N54" s="48"/>
      <c r="O54" s="48"/>
      <c r="P54" s="48"/>
      <c r="Q54" s="48"/>
      <c r="R54" s="48"/>
      <c r="S54" s="48"/>
      <c r="T54" s="48"/>
    </row>
    <row r="55" spans="1:20" x14ac:dyDescent="0.3">
      <c r="A55" s="48"/>
      <c r="B55" s="48"/>
      <c r="C55" s="48"/>
      <c r="D55" s="48"/>
      <c r="E55" s="48"/>
      <c r="F55" s="48"/>
      <c r="G55" s="48"/>
      <c r="H55" s="48"/>
      <c r="I55" s="48"/>
      <c r="J55" s="48"/>
      <c r="K55" s="48"/>
      <c r="L55" s="48"/>
      <c r="M55" s="48"/>
      <c r="N55" s="48"/>
      <c r="O55" s="48"/>
      <c r="P55" s="48"/>
      <c r="Q55" s="48"/>
      <c r="R55" s="48"/>
      <c r="S55" s="48"/>
      <c r="T55" s="48"/>
    </row>
  </sheetData>
  <sheetProtection algorithmName="SHA-512" hashValue="nffGhW92poIGIU7DB/n2wPYcMznuP6IDfyWmNVaPtJs2r0zkRWQfPTCdDt9HTG7mJp7ela7elUEv9W9TWQM0lw==" saltValue="F2jU4nvA3tv1rD6//y8e/A==" spinCount="100000" sheet="1" objects="1" scenarios="1"/>
  <mergeCells count="3">
    <mergeCell ref="F1:K1"/>
    <mergeCell ref="L1:O1"/>
    <mergeCell ref="P1:S1"/>
  </mergeCells>
  <pageMargins left="0.7" right="0.7" top="0.75" bottom="0.75" header="0.3" footer="0.3"/>
  <pageSetup orientation="portrait"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1AF3E-0FCE-494E-BF5A-68C65A937FC1}">
  <dimension ref="A1:T55"/>
  <sheetViews>
    <sheetView workbookViewId="0">
      <selection activeCell="G10" sqref="G10"/>
    </sheetView>
  </sheetViews>
  <sheetFormatPr defaultRowHeight="14.55" x14ac:dyDescent="0.3"/>
  <cols>
    <col min="1" max="1" width="14.77734375" bestFit="1" customWidth="1"/>
    <col min="2" max="2" width="9.77734375" customWidth="1"/>
    <col min="3" max="3" width="20.77734375" bestFit="1" customWidth="1"/>
    <col min="5" max="5" width="18.77734375" bestFit="1" customWidth="1"/>
    <col min="6" max="6" width="21.77734375" bestFit="1" customWidth="1"/>
    <col min="7" max="7" width="15.77734375" bestFit="1" customWidth="1"/>
    <col min="8" max="8" width="18.77734375" bestFit="1" customWidth="1"/>
    <col min="9" max="9" width="16.44140625" bestFit="1" customWidth="1"/>
    <col min="11" max="11" width="18" bestFit="1" customWidth="1"/>
    <col min="12" max="19" width="18" customWidth="1"/>
    <col min="20" max="20" width="22" bestFit="1" customWidth="1"/>
  </cols>
  <sheetData>
    <row r="1" spans="1:20" x14ac:dyDescent="0.3">
      <c r="D1" s="49"/>
      <c r="E1" s="49"/>
      <c r="F1" s="1739" t="s">
        <v>92</v>
      </c>
      <c r="G1" s="1739"/>
      <c r="H1" s="1739"/>
      <c r="I1" s="1739"/>
      <c r="J1" s="1739"/>
      <c r="K1" s="1739"/>
      <c r="L1" s="1740" t="s">
        <v>93</v>
      </c>
      <c r="M1" s="1740"/>
      <c r="N1" s="1740"/>
      <c r="O1" s="1740"/>
      <c r="P1" s="1741" t="s">
        <v>94</v>
      </c>
      <c r="Q1" s="1741"/>
      <c r="R1" s="1741"/>
      <c r="S1" s="1741"/>
      <c r="T1" s="50"/>
    </row>
    <row r="2" spans="1:20" s="51" customFormat="1" ht="42.05" customHeight="1" x14ac:dyDescent="0.3">
      <c r="A2" s="51" t="s">
        <v>122</v>
      </c>
      <c r="B2" s="51" t="s">
        <v>96</v>
      </c>
      <c r="C2" s="51" t="s">
        <v>13</v>
      </c>
      <c r="D2" s="53" t="s">
        <v>97</v>
      </c>
      <c r="E2" s="53" t="s">
        <v>98</v>
      </c>
      <c r="F2" s="53" t="s">
        <v>99</v>
      </c>
      <c r="G2" s="53" t="s">
        <v>100</v>
      </c>
      <c r="H2" s="53" t="s">
        <v>101</v>
      </c>
      <c r="I2" s="53" t="s">
        <v>102</v>
      </c>
      <c r="J2" s="53" t="s">
        <v>103</v>
      </c>
      <c r="K2" s="53" t="s">
        <v>104</v>
      </c>
      <c r="L2" s="54" t="s">
        <v>105</v>
      </c>
      <c r="M2" s="54" t="s">
        <v>106</v>
      </c>
      <c r="N2" s="54" t="s">
        <v>107</v>
      </c>
      <c r="O2" s="54" t="s">
        <v>108</v>
      </c>
      <c r="P2" s="52" t="s">
        <v>109</v>
      </c>
      <c r="Q2" s="52" t="s">
        <v>110</v>
      </c>
      <c r="R2" s="52" t="s">
        <v>111</v>
      </c>
      <c r="S2" s="52" t="s">
        <v>112</v>
      </c>
      <c r="T2" s="51" t="s">
        <v>113</v>
      </c>
    </row>
    <row r="3" spans="1:20" x14ac:dyDescent="0.3">
      <c r="A3" s="55">
        <v>44293.486111111109</v>
      </c>
      <c r="B3" s="48" t="s">
        <v>89</v>
      </c>
      <c r="C3" s="48" t="s">
        <v>129</v>
      </c>
      <c r="D3" s="48">
        <v>6.61</v>
      </c>
      <c r="E3" s="48">
        <v>24.2</v>
      </c>
      <c r="F3" s="48">
        <v>7.0000000000000007E-2</v>
      </c>
      <c r="G3" s="48">
        <v>3.05</v>
      </c>
      <c r="H3" s="48">
        <v>2.62</v>
      </c>
      <c r="I3" s="48">
        <v>0.2</v>
      </c>
      <c r="J3" s="48">
        <v>7.0000000000000001E-3</v>
      </c>
      <c r="K3" s="48">
        <v>0.3</v>
      </c>
      <c r="L3" s="48"/>
      <c r="M3" s="48"/>
      <c r="N3" s="48"/>
      <c r="O3" s="48"/>
      <c r="P3" s="48"/>
      <c r="Q3" s="48"/>
      <c r="R3" s="48"/>
      <c r="S3" s="48"/>
      <c r="T3" s="48" t="s">
        <v>124</v>
      </c>
    </row>
    <row r="4" spans="1:20" x14ac:dyDescent="0.3">
      <c r="A4" s="55">
        <v>44293.486111111109</v>
      </c>
      <c r="B4" s="48" t="s">
        <v>89</v>
      </c>
      <c r="C4" s="48" t="s">
        <v>130</v>
      </c>
      <c r="D4" s="48">
        <v>6.67</v>
      </c>
      <c r="E4" s="48">
        <v>22.8</v>
      </c>
      <c r="F4" s="48">
        <v>0.08</v>
      </c>
      <c r="G4" s="48">
        <v>2.85</v>
      </c>
      <c r="H4" s="48">
        <v>2.58</v>
      </c>
      <c r="I4" s="48">
        <v>0.21</v>
      </c>
      <c r="J4" s="48">
        <v>1.4E-2</v>
      </c>
      <c r="K4" s="48">
        <v>0.43</v>
      </c>
      <c r="L4" s="48"/>
      <c r="M4" s="48"/>
      <c r="N4" s="48"/>
      <c r="O4" s="48"/>
      <c r="P4" s="48"/>
      <c r="Q4" s="48"/>
      <c r="R4" s="48"/>
      <c r="S4" s="48"/>
      <c r="T4" s="48" t="s">
        <v>124</v>
      </c>
    </row>
    <row r="5" spans="1:20" x14ac:dyDescent="0.3">
      <c r="A5" s="56">
        <v>44306.25</v>
      </c>
      <c r="B5" s="48" t="s">
        <v>89</v>
      </c>
      <c r="C5" s="48" t="s">
        <v>129</v>
      </c>
      <c r="D5" s="48">
        <v>7.05</v>
      </c>
      <c r="E5" s="48">
        <v>18.899999999999999</v>
      </c>
      <c r="F5" s="48">
        <v>0.15</v>
      </c>
      <c r="G5" s="48">
        <v>2.69</v>
      </c>
      <c r="H5" s="48">
        <v>2.0499999999999998</v>
      </c>
      <c r="I5" s="48">
        <v>0.24</v>
      </c>
      <c r="J5" s="48">
        <v>6.0000000000000001E-3</v>
      </c>
      <c r="K5" s="48">
        <v>0.34</v>
      </c>
      <c r="L5" s="57">
        <v>0.54800000000000004</v>
      </c>
      <c r="M5" s="57">
        <v>0.1</v>
      </c>
      <c r="N5" s="48">
        <v>0.56799999999999995</v>
      </c>
      <c r="O5" s="48">
        <v>6.0000000000000001E-3</v>
      </c>
      <c r="P5" s="48"/>
      <c r="Q5" s="48"/>
      <c r="R5" s="48"/>
      <c r="S5" s="48"/>
      <c r="T5" s="48"/>
    </row>
    <row r="6" spans="1:20" x14ac:dyDescent="0.3">
      <c r="A6" s="56">
        <v>44313.256944444445</v>
      </c>
      <c r="B6" s="48" t="s">
        <v>89</v>
      </c>
      <c r="C6" s="48" t="s">
        <v>131</v>
      </c>
      <c r="D6" s="48">
        <v>6.95</v>
      </c>
      <c r="E6" s="48">
        <v>22.7</v>
      </c>
      <c r="F6" s="48">
        <v>0.09</v>
      </c>
      <c r="G6" s="48">
        <v>2.69</v>
      </c>
      <c r="H6" s="48">
        <v>2.1</v>
      </c>
      <c r="I6" s="48">
        <v>0.15</v>
      </c>
      <c r="J6" s="48">
        <v>7.0000000000000001E-3</v>
      </c>
      <c r="K6" s="48">
        <v>0.3</v>
      </c>
      <c r="L6" s="57">
        <v>0.55500000000000005</v>
      </c>
      <c r="M6" s="57">
        <v>0.108</v>
      </c>
      <c r="N6" s="48">
        <v>0.435</v>
      </c>
      <c r="O6" s="48">
        <v>6.0000000000000001E-3</v>
      </c>
      <c r="P6" s="48"/>
      <c r="Q6" s="48"/>
      <c r="R6" s="48"/>
      <c r="S6" s="48"/>
      <c r="T6" s="48"/>
    </row>
    <row r="7" spans="1:20" x14ac:dyDescent="0.3">
      <c r="A7" s="56">
        <v>44327.25</v>
      </c>
      <c r="B7" s="48" t="s">
        <v>89</v>
      </c>
      <c r="C7" s="48" t="s">
        <v>129</v>
      </c>
      <c r="D7" s="48">
        <v>7.41</v>
      </c>
      <c r="E7" s="48">
        <v>24.8</v>
      </c>
      <c r="F7" s="48">
        <v>0.15</v>
      </c>
      <c r="G7" s="48">
        <v>1.79</v>
      </c>
      <c r="H7" s="48">
        <v>1.48</v>
      </c>
      <c r="I7" s="48">
        <v>0.32</v>
      </c>
      <c r="J7" s="48">
        <v>1.2999999999999999E-2</v>
      </c>
      <c r="K7" s="48">
        <v>0.25</v>
      </c>
      <c r="L7" s="57">
        <v>0.49099999999999999</v>
      </c>
      <c r="M7" s="57">
        <v>0.104</v>
      </c>
      <c r="N7" s="48">
        <v>0.52400000000000002</v>
      </c>
      <c r="O7" s="48">
        <v>5.0000000000000001E-3</v>
      </c>
      <c r="P7" s="48"/>
      <c r="Q7" s="48"/>
      <c r="R7" s="48"/>
      <c r="S7" s="48"/>
      <c r="T7" s="48"/>
    </row>
    <row r="8" spans="1:20" x14ac:dyDescent="0.3">
      <c r="A8" s="56">
        <v>44334.253472222219</v>
      </c>
      <c r="B8" s="48" t="s">
        <v>89</v>
      </c>
      <c r="C8" s="48" t="s">
        <v>129</v>
      </c>
      <c r="D8" s="48">
        <v>7.3</v>
      </c>
      <c r="E8" s="48">
        <v>23.3</v>
      </c>
      <c r="F8" s="48">
        <v>0.13</v>
      </c>
      <c r="G8" s="48">
        <v>1.95</v>
      </c>
      <c r="H8" s="48">
        <v>1.5</v>
      </c>
      <c r="I8" s="48">
        <v>0.43</v>
      </c>
      <c r="J8" s="48">
        <v>2.4E-2</v>
      </c>
      <c r="K8" s="48">
        <v>0.28999999999999998</v>
      </c>
      <c r="L8" s="57">
        <v>0.50600000000000001</v>
      </c>
      <c r="M8" s="57">
        <v>8.9999999999999993E-3</v>
      </c>
      <c r="N8" s="48">
        <v>0.34100000000000003</v>
      </c>
      <c r="O8" s="48">
        <v>1.0999999999999999E-2</v>
      </c>
      <c r="P8" s="48">
        <v>0.16</v>
      </c>
      <c r="Q8" s="48">
        <v>-3</v>
      </c>
      <c r="R8" s="48">
        <v>0</v>
      </c>
      <c r="S8" s="48">
        <v>0.01</v>
      </c>
      <c r="T8" s="48"/>
    </row>
    <row r="9" spans="1:20" x14ac:dyDescent="0.3">
      <c r="A9" s="59">
        <v>44335.25</v>
      </c>
      <c r="B9" s="60" t="s">
        <v>89</v>
      </c>
      <c r="C9" s="60" t="s">
        <v>129</v>
      </c>
      <c r="D9" s="60">
        <v>7.46</v>
      </c>
      <c r="E9" s="60">
        <v>23.8</v>
      </c>
      <c r="F9" s="60">
        <v>0.11</v>
      </c>
      <c r="G9" s="60">
        <v>2.57</v>
      </c>
      <c r="H9" s="60">
        <v>2.12</v>
      </c>
      <c r="I9" s="60">
        <v>0.38</v>
      </c>
      <c r="J9" s="60">
        <v>8.0000000000000002E-3</v>
      </c>
      <c r="K9" s="60">
        <v>0.28000000000000003</v>
      </c>
      <c r="L9" s="60"/>
      <c r="M9" s="60"/>
      <c r="N9" s="60"/>
      <c r="O9" s="60"/>
      <c r="P9" s="60"/>
      <c r="Q9" s="60"/>
      <c r="R9" s="60"/>
      <c r="S9" s="60"/>
      <c r="T9" s="60"/>
    </row>
    <row r="10" spans="1:20" x14ac:dyDescent="0.3">
      <c r="A10" s="59">
        <v>44335.25</v>
      </c>
      <c r="B10" s="60" t="s">
        <v>89</v>
      </c>
      <c r="C10" s="60" t="s">
        <v>131</v>
      </c>
      <c r="D10" s="60">
        <v>7.4</v>
      </c>
      <c r="E10" s="60">
        <v>25.2</v>
      </c>
      <c r="F10" s="60">
        <v>0.06</v>
      </c>
      <c r="G10" s="60">
        <v>3.15</v>
      </c>
      <c r="H10" s="60">
        <v>2.73</v>
      </c>
      <c r="I10" s="60">
        <v>0.19</v>
      </c>
      <c r="J10" s="60">
        <v>8.0000000000000002E-3</v>
      </c>
      <c r="K10" s="60">
        <v>0.28999999999999998</v>
      </c>
      <c r="L10" s="60"/>
      <c r="M10" s="60"/>
      <c r="N10" s="60"/>
      <c r="O10" s="60"/>
      <c r="P10" s="60"/>
      <c r="Q10" s="60"/>
      <c r="R10" s="60"/>
      <c r="S10" s="60"/>
      <c r="T10" s="60"/>
    </row>
    <row r="11" spans="1:20" x14ac:dyDescent="0.3">
      <c r="A11" s="56">
        <v>44341.25</v>
      </c>
      <c r="B11" s="48" t="s">
        <v>89</v>
      </c>
      <c r="C11" s="48" t="s">
        <v>129</v>
      </c>
      <c r="D11" s="48">
        <v>7.35</v>
      </c>
      <c r="E11" s="48">
        <v>23.4</v>
      </c>
      <c r="F11" s="48">
        <v>0.1</v>
      </c>
      <c r="G11" s="48">
        <v>2.85</v>
      </c>
      <c r="H11" s="48">
        <v>2.2000000000000002</v>
      </c>
      <c r="I11" s="48">
        <v>0.21</v>
      </c>
      <c r="J11" s="48">
        <v>7.0000000000000001E-3</v>
      </c>
      <c r="K11" s="48">
        <v>0.28000000000000003</v>
      </c>
      <c r="L11" s="57">
        <v>0.63500000000000001</v>
      </c>
      <c r="M11" s="57">
        <v>9.7000000000000003E-2</v>
      </c>
      <c r="N11" s="48">
        <v>0.375</v>
      </c>
      <c r="O11" s="48">
        <v>2.7E-2</v>
      </c>
      <c r="P11" s="48">
        <v>0.115</v>
      </c>
      <c r="Q11" s="48">
        <v>82</v>
      </c>
      <c r="R11" s="48">
        <v>0.02</v>
      </c>
      <c r="S11" s="48">
        <v>7.0000000000000007E-2</v>
      </c>
      <c r="T11" s="48"/>
    </row>
    <row r="12" spans="1:20" x14ac:dyDescent="0.3">
      <c r="A12" s="59">
        <v>44342.25</v>
      </c>
      <c r="B12" s="60" t="s">
        <v>89</v>
      </c>
      <c r="C12" s="60" t="s">
        <v>129</v>
      </c>
      <c r="D12" s="60">
        <v>7.2</v>
      </c>
      <c r="E12" s="60">
        <v>24.5</v>
      </c>
      <c r="F12" s="60">
        <v>0.16</v>
      </c>
      <c r="G12" s="60">
        <v>2.78</v>
      </c>
      <c r="H12" s="60">
        <v>2.14</v>
      </c>
      <c r="I12" s="60">
        <v>0.24</v>
      </c>
      <c r="J12" s="60">
        <v>7.0000000000000001E-3</v>
      </c>
      <c r="K12" s="60">
        <v>0.28000000000000003</v>
      </c>
      <c r="L12" s="60"/>
      <c r="M12" s="60"/>
      <c r="N12" s="60"/>
      <c r="O12" s="60"/>
      <c r="P12" s="60"/>
      <c r="Q12" s="60"/>
      <c r="R12" s="60"/>
      <c r="S12" s="60"/>
      <c r="T12" s="60"/>
    </row>
    <row r="13" spans="1:20" x14ac:dyDescent="0.3">
      <c r="A13" s="59">
        <v>44342.25</v>
      </c>
      <c r="B13" s="60" t="s">
        <v>89</v>
      </c>
      <c r="C13" s="60" t="s">
        <v>131</v>
      </c>
      <c r="D13" s="60">
        <v>6.56</v>
      </c>
      <c r="E13" s="60">
        <v>25.5</v>
      </c>
      <c r="F13" s="60">
        <v>0.11</v>
      </c>
      <c r="G13" s="60">
        <v>3.21</v>
      </c>
      <c r="H13" s="60">
        <v>2.64</v>
      </c>
      <c r="I13" s="60">
        <v>0.16</v>
      </c>
      <c r="J13" s="60">
        <v>7.0000000000000001E-3</v>
      </c>
      <c r="K13" s="60">
        <v>0.26</v>
      </c>
      <c r="L13" s="60"/>
      <c r="M13" s="60"/>
      <c r="N13" s="60"/>
      <c r="O13" s="60"/>
      <c r="P13" s="60"/>
      <c r="Q13" s="60"/>
      <c r="R13" s="60"/>
      <c r="S13" s="60"/>
      <c r="T13" s="60"/>
    </row>
    <row r="14" spans="1:20" x14ac:dyDescent="0.3">
      <c r="A14" s="56">
        <v>44349.25</v>
      </c>
      <c r="B14" s="48" t="s">
        <v>89</v>
      </c>
      <c r="C14" s="48" t="s">
        <v>129</v>
      </c>
      <c r="D14" s="48">
        <v>7.29</v>
      </c>
      <c r="E14" s="48">
        <v>25</v>
      </c>
      <c r="F14" s="48">
        <v>0.09</v>
      </c>
      <c r="G14" s="48">
        <v>2.4300000000000002</v>
      </c>
      <c r="H14" s="48">
        <v>2.16</v>
      </c>
      <c r="I14" s="48">
        <v>0.25</v>
      </c>
      <c r="J14" s="48">
        <v>5.0000000000000001E-3</v>
      </c>
      <c r="K14" s="48">
        <v>0.41</v>
      </c>
      <c r="L14" s="57">
        <v>0.47</v>
      </c>
      <c r="M14" s="57">
        <v>0.158</v>
      </c>
      <c r="N14" s="48">
        <v>0.40699999999999997</v>
      </c>
      <c r="O14" s="48">
        <v>-1E-3</v>
      </c>
      <c r="P14" s="48">
        <v>0.124</v>
      </c>
      <c r="Q14" s="48">
        <v>0</v>
      </c>
      <c r="R14" s="48">
        <v>0</v>
      </c>
      <c r="S14" s="48">
        <v>0.01</v>
      </c>
      <c r="T14" s="48"/>
    </row>
    <row r="15" spans="1:20" x14ac:dyDescent="0.3">
      <c r="A15" s="59">
        <v>44350.239583333336</v>
      </c>
      <c r="B15" s="60" t="s">
        <v>89</v>
      </c>
      <c r="C15" s="60" t="s">
        <v>129</v>
      </c>
      <c r="D15" s="60">
        <v>7.27</v>
      </c>
      <c r="E15" s="60">
        <v>24.8</v>
      </c>
      <c r="F15" s="60">
        <v>0.12</v>
      </c>
      <c r="G15" s="60">
        <v>2.29</v>
      </c>
      <c r="H15" s="60">
        <v>2.09</v>
      </c>
      <c r="I15" s="60">
        <v>0.34</v>
      </c>
      <c r="J15" s="60">
        <v>8.0000000000000002E-3</v>
      </c>
      <c r="K15" s="60">
        <v>0.38</v>
      </c>
      <c r="L15" s="60"/>
      <c r="M15" s="60"/>
      <c r="N15" s="60"/>
      <c r="O15" s="60"/>
      <c r="P15" s="60"/>
      <c r="Q15" s="60"/>
      <c r="R15" s="60"/>
      <c r="S15" s="60"/>
      <c r="T15" s="60"/>
    </row>
    <row r="16" spans="1:20" x14ac:dyDescent="0.3">
      <c r="A16" s="59">
        <v>44350.239583333336</v>
      </c>
      <c r="B16" s="60" t="s">
        <v>89</v>
      </c>
      <c r="C16" s="60" t="s">
        <v>131</v>
      </c>
      <c r="D16" s="60">
        <v>7.22</v>
      </c>
      <c r="E16" s="60">
        <v>25.3</v>
      </c>
      <c r="F16" s="60">
        <v>0.03</v>
      </c>
      <c r="G16" s="60">
        <v>2.83</v>
      </c>
      <c r="H16" s="60">
        <v>2.59</v>
      </c>
      <c r="I16" s="60">
        <v>0.18</v>
      </c>
      <c r="J16" s="60">
        <v>6.0000000000000001E-3</v>
      </c>
      <c r="K16" s="60">
        <v>0.4</v>
      </c>
      <c r="L16" s="60"/>
      <c r="M16" s="60"/>
      <c r="N16" s="60"/>
      <c r="O16" s="60"/>
      <c r="P16" s="60"/>
      <c r="Q16" s="60"/>
      <c r="R16" s="60"/>
      <c r="S16" s="60"/>
      <c r="T16" s="60"/>
    </row>
    <row r="17" spans="1:20" x14ac:dyDescent="0.3">
      <c r="A17" s="56">
        <v>44355.25</v>
      </c>
      <c r="B17" s="48" t="s">
        <v>89</v>
      </c>
      <c r="C17" s="48" t="s">
        <v>129</v>
      </c>
      <c r="D17" s="48">
        <v>7.45</v>
      </c>
      <c r="E17" s="48">
        <v>25.3</v>
      </c>
      <c r="F17" s="48">
        <v>0.09</v>
      </c>
      <c r="G17" s="48">
        <v>2.52</v>
      </c>
      <c r="H17" s="48">
        <v>2.2200000000000002</v>
      </c>
      <c r="I17" s="48">
        <v>0.34</v>
      </c>
      <c r="J17" s="48">
        <v>7.0000000000000001E-3</v>
      </c>
      <c r="K17" s="48">
        <v>0.36</v>
      </c>
      <c r="L17" s="57">
        <v>0.51800000000000002</v>
      </c>
      <c r="M17" s="57">
        <v>0.111</v>
      </c>
      <c r="N17" s="48">
        <v>0.875</v>
      </c>
      <c r="O17" s="48">
        <v>0</v>
      </c>
      <c r="P17" s="48" t="e">
        <v>#N/A</v>
      </c>
      <c r="Q17" s="48">
        <v>2</v>
      </c>
      <c r="R17" s="48">
        <v>0.03</v>
      </c>
      <c r="S17" s="48">
        <v>0.01</v>
      </c>
      <c r="T17" s="48"/>
    </row>
    <row r="18" spans="1:20" x14ac:dyDescent="0.3">
      <c r="A18" s="59">
        <v>44356.236111111109</v>
      </c>
      <c r="B18" s="60" t="s">
        <v>89</v>
      </c>
      <c r="C18" s="60" t="s">
        <v>129</v>
      </c>
      <c r="D18" s="60">
        <v>7.47</v>
      </c>
      <c r="E18" s="60">
        <v>26.5</v>
      </c>
      <c r="F18" s="60">
        <v>0.11</v>
      </c>
      <c r="G18" s="60">
        <v>2.93</v>
      </c>
      <c r="H18" s="60">
        <v>2.68</v>
      </c>
      <c r="I18" s="60">
        <v>0.15</v>
      </c>
      <c r="J18" s="60">
        <v>7.0000000000000001E-3</v>
      </c>
      <c r="K18" s="60">
        <v>0.33</v>
      </c>
      <c r="L18" s="60"/>
      <c r="M18" s="60"/>
      <c r="N18" s="60"/>
      <c r="O18" s="60"/>
      <c r="P18" s="60"/>
      <c r="Q18" s="60"/>
      <c r="R18" s="60"/>
      <c r="S18" s="60"/>
      <c r="T18" s="60"/>
    </row>
    <row r="19" spans="1:20" x14ac:dyDescent="0.3">
      <c r="A19" s="59">
        <v>44356.236111111109</v>
      </c>
      <c r="B19" s="60" t="s">
        <v>89</v>
      </c>
      <c r="C19" s="60" t="s">
        <v>131</v>
      </c>
      <c r="D19" s="60">
        <v>6.16</v>
      </c>
      <c r="E19" s="60">
        <v>27.4</v>
      </c>
      <c r="F19" s="60">
        <v>0.09</v>
      </c>
      <c r="G19" s="60">
        <v>2.81</v>
      </c>
      <c r="H19" s="60">
        <v>2.54</v>
      </c>
      <c r="I19" s="60">
        <v>0.16</v>
      </c>
      <c r="J19" s="60">
        <v>8.9999999999999993E-3</v>
      </c>
      <c r="K19" s="60">
        <v>0.35</v>
      </c>
      <c r="L19" s="60"/>
      <c r="M19" s="60"/>
      <c r="N19" s="60"/>
      <c r="O19" s="60"/>
      <c r="P19" s="60"/>
      <c r="Q19" s="60"/>
      <c r="R19" s="60"/>
      <c r="S19" s="60"/>
      <c r="T19" s="60"/>
    </row>
    <row r="20" spans="1:20" x14ac:dyDescent="0.3">
      <c r="A20" s="56">
        <v>44362.253472222219</v>
      </c>
      <c r="B20" s="48" t="s">
        <v>89</v>
      </c>
      <c r="C20" s="48" t="s">
        <v>129</v>
      </c>
      <c r="D20" s="48">
        <v>6.92</v>
      </c>
      <c r="E20" s="48">
        <v>24.1</v>
      </c>
      <c r="F20" s="48">
        <v>0.1</v>
      </c>
      <c r="G20" s="48">
        <v>0.39</v>
      </c>
      <c r="H20" s="48">
        <v>0.23</v>
      </c>
      <c r="I20" s="48">
        <v>0.1</v>
      </c>
      <c r="J20" s="48">
        <v>1.0999999999999999E-2</v>
      </c>
      <c r="K20" s="48">
        <v>0.56000000000000005</v>
      </c>
      <c r="L20" s="61">
        <v>-2.1999999999999999E-2</v>
      </c>
      <c r="M20" s="61">
        <v>-2.1999999999999999E-2</v>
      </c>
      <c r="N20" s="58">
        <v>0.96499999999999997</v>
      </c>
      <c r="O20" s="58">
        <v>-2E-3</v>
      </c>
      <c r="P20" s="48">
        <v>0.31</v>
      </c>
      <c r="Q20" s="48">
        <v>0</v>
      </c>
      <c r="R20" s="48">
        <v>-0.22</v>
      </c>
      <c r="S20" s="48">
        <v>0</v>
      </c>
      <c r="T20" s="48"/>
    </row>
    <row r="21" spans="1:20" x14ac:dyDescent="0.3">
      <c r="A21" s="59">
        <v>44363.222222222219</v>
      </c>
      <c r="B21" s="60" t="s">
        <v>89</v>
      </c>
      <c r="C21" s="60" t="s">
        <v>129</v>
      </c>
      <c r="D21" s="60">
        <v>7.12</v>
      </c>
      <c r="E21" s="60">
        <v>28.8</v>
      </c>
      <c r="F21" s="60">
        <v>2.36</v>
      </c>
      <c r="G21" s="60">
        <v>2.41</v>
      </c>
      <c r="H21" s="60">
        <v>0.02</v>
      </c>
      <c r="I21" s="60">
        <v>0.09</v>
      </c>
      <c r="J21" s="60">
        <v>7.0000000000000001E-3</v>
      </c>
      <c r="K21" s="60">
        <v>0.34</v>
      </c>
      <c r="L21" s="60"/>
      <c r="M21" s="60"/>
      <c r="N21" s="60"/>
      <c r="O21" s="60"/>
      <c r="P21" s="60"/>
      <c r="Q21" s="60"/>
      <c r="R21" s="60"/>
      <c r="S21" s="60"/>
      <c r="T21" s="60"/>
    </row>
    <row r="22" spans="1:20" x14ac:dyDescent="0.3">
      <c r="A22" s="59">
        <v>44364.222222164353</v>
      </c>
      <c r="B22" s="60" t="s">
        <v>89</v>
      </c>
      <c r="C22" s="60" t="s">
        <v>131</v>
      </c>
      <c r="D22" s="60">
        <v>7.06</v>
      </c>
      <c r="E22" s="60">
        <v>27</v>
      </c>
      <c r="F22" s="60">
        <v>2.37</v>
      </c>
      <c r="G22" s="60">
        <v>2.4900000000000002</v>
      </c>
      <c r="H22" s="60">
        <v>0.02</v>
      </c>
      <c r="I22" s="60">
        <v>0.19</v>
      </c>
      <c r="J22" s="60">
        <v>7.0000000000000001E-3</v>
      </c>
      <c r="K22" s="60">
        <v>0.41</v>
      </c>
      <c r="L22" s="60"/>
      <c r="M22" s="60"/>
      <c r="N22" s="60"/>
      <c r="O22" s="60"/>
      <c r="P22" s="60"/>
      <c r="Q22" s="60"/>
      <c r="R22" s="60"/>
      <c r="S22" s="60"/>
      <c r="T22" s="60"/>
    </row>
    <row r="23" spans="1:20" x14ac:dyDescent="0.3">
      <c r="A23" s="56">
        <v>44369.25</v>
      </c>
      <c r="B23" s="48" t="s">
        <v>89</v>
      </c>
      <c r="C23" s="48" t="s">
        <v>129</v>
      </c>
      <c r="D23" s="48">
        <v>7.33</v>
      </c>
      <c r="E23" s="48">
        <v>25</v>
      </c>
      <c r="F23" s="48">
        <v>2.72</v>
      </c>
      <c r="G23" s="48">
        <v>2.79</v>
      </c>
      <c r="H23" s="48">
        <v>0.02</v>
      </c>
      <c r="I23" s="48">
        <v>0.1</v>
      </c>
      <c r="J23" s="48">
        <v>8.9999999999999993E-3</v>
      </c>
      <c r="K23" s="48">
        <v>0.34</v>
      </c>
      <c r="L23" s="48">
        <v>-2.7E-2</v>
      </c>
      <c r="M23" s="48">
        <v>0.113</v>
      </c>
      <c r="N23" s="48">
        <v>0.83499999999999996</v>
      </c>
      <c r="O23" s="48">
        <v>-1E-3</v>
      </c>
      <c r="P23" s="48">
        <v>6.9000000000000006E-2</v>
      </c>
      <c r="Q23" s="48">
        <v>0</v>
      </c>
      <c r="R23" s="48">
        <v>0</v>
      </c>
      <c r="S23" s="48">
        <v>0</v>
      </c>
      <c r="T23" s="48"/>
    </row>
    <row r="24" spans="1:20" x14ac:dyDescent="0.3">
      <c r="A24" s="59">
        <v>44370.208333333336</v>
      </c>
      <c r="B24" s="60" t="s">
        <v>89</v>
      </c>
      <c r="C24" s="60" t="s">
        <v>129</v>
      </c>
      <c r="D24" s="60">
        <v>7.15</v>
      </c>
      <c r="E24" s="60">
        <v>27.6</v>
      </c>
      <c r="F24" s="60">
        <v>3.36</v>
      </c>
      <c r="G24" s="60">
        <v>3.39</v>
      </c>
      <c r="H24" s="60">
        <v>0.01</v>
      </c>
      <c r="I24" s="60">
        <v>0.02</v>
      </c>
      <c r="J24" s="60">
        <v>7.0000000000000001E-3</v>
      </c>
      <c r="K24" s="60">
        <v>0.35</v>
      </c>
      <c r="L24" s="60"/>
      <c r="M24" s="60"/>
      <c r="N24" s="60"/>
      <c r="O24" s="60"/>
      <c r="P24" s="60"/>
      <c r="Q24" s="60"/>
      <c r="R24" s="60"/>
      <c r="S24" s="60"/>
      <c r="T24" s="60"/>
    </row>
    <row r="25" spans="1:20" x14ac:dyDescent="0.3">
      <c r="A25" s="59">
        <v>44370.208333333336</v>
      </c>
      <c r="B25" s="60" t="s">
        <v>89</v>
      </c>
      <c r="C25" s="60" t="s">
        <v>131</v>
      </c>
      <c r="D25" s="60">
        <v>7.05</v>
      </c>
      <c r="E25" s="60">
        <v>27.2</v>
      </c>
      <c r="F25" s="60">
        <v>3.16</v>
      </c>
      <c r="G25" s="60">
        <v>3.21</v>
      </c>
      <c r="H25" s="60">
        <v>0.01</v>
      </c>
      <c r="I25" s="60">
        <v>0.01</v>
      </c>
      <c r="J25" s="60">
        <v>6.0000000000000001E-3</v>
      </c>
      <c r="K25" s="60">
        <v>0.31</v>
      </c>
      <c r="L25" s="60"/>
      <c r="M25" s="60"/>
      <c r="N25" s="60"/>
      <c r="O25" s="60"/>
      <c r="P25" s="60"/>
      <c r="Q25" s="60"/>
      <c r="R25" s="60"/>
      <c r="S25" s="60"/>
      <c r="T25" s="60"/>
    </row>
    <row r="26" spans="1:20" x14ac:dyDescent="0.3">
      <c r="A26" s="56">
        <v>44376.256944444445</v>
      </c>
      <c r="B26" s="48" t="s">
        <v>89</v>
      </c>
      <c r="C26" s="48" t="s">
        <v>129</v>
      </c>
      <c r="D26" s="48">
        <v>7.05</v>
      </c>
      <c r="E26" s="48">
        <v>24.4</v>
      </c>
      <c r="F26" s="48">
        <v>2.58</v>
      </c>
      <c r="G26" s="48">
        <v>2.69</v>
      </c>
      <c r="H26" s="48">
        <v>0.02</v>
      </c>
      <c r="I26" s="48">
        <v>0.1</v>
      </c>
      <c r="J26" s="48">
        <v>7.0000000000000001E-3</v>
      </c>
      <c r="K26" s="48">
        <v>0.42</v>
      </c>
      <c r="L26" s="48">
        <v>-1.9E-2</v>
      </c>
      <c r="M26" s="48">
        <v>0.109</v>
      </c>
      <c r="N26" s="48">
        <v>0.63800000000000001</v>
      </c>
      <c r="O26" s="48">
        <v>0</v>
      </c>
      <c r="P26" s="48">
        <v>6.7000000000000004E-2</v>
      </c>
      <c r="Q26" s="48">
        <v>0</v>
      </c>
      <c r="R26" s="48">
        <v>0.03</v>
      </c>
      <c r="S26" s="48">
        <v>0</v>
      </c>
      <c r="T26" s="48"/>
    </row>
    <row r="27" spans="1:20" x14ac:dyDescent="0.3">
      <c r="A27" s="59">
        <v>44377.208333333336</v>
      </c>
      <c r="B27" s="60" t="s">
        <v>89</v>
      </c>
      <c r="C27" s="60" t="s">
        <v>129</v>
      </c>
      <c r="D27" s="60">
        <v>7.15</v>
      </c>
      <c r="E27" s="60">
        <v>27.5</v>
      </c>
      <c r="F27" s="60">
        <v>3.09</v>
      </c>
      <c r="G27" s="60">
        <v>3.02</v>
      </c>
      <c r="H27" s="60">
        <v>0</v>
      </c>
      <c r="I27" s="60">
        <v>0.03</v>
      </c>
      <c r="J27" s="60">
        <v>8.0000000000000002E-3</v>
      </c>
      <c r="K27" s="60">
        <v>0.32</v>
      </c>
      <c r="L27" s="60"/>
      <c r="M27" s="60"/>
      <c r="N27" s="60"/>
      <c r="O27" s="60"/>
      <c r="P27" s="60"/>
      <c r="Q27" s="60"/>
      <c r="R27" s="60"/>
      <c r="S27" s="60"/>
      <c r="T27" s="60"/>
    </row>
    <row r="28" spans="1:20" x14ac:dyDescent="0.3">
      <c r="A28" s="59">
        <v>44377.208333333336</v>
      </c>
      <c r="B28" s="60" t="s">
        <v>89</v>
      </c>
      <c r="C28" s="60" t="s">
        <v>131</v>
      </c>
      <c r="D28" s="60">
        <v>6.82</v>
      </c>
      <c r="E28" s="60">
        <v>25.9</v>
      </c>
      <c r="F28" s="60">
        <v>3.07</v>
      </c>
      <c r="G28" s="60">
        <v>3.11</v>
      </c>
      <c r="H28" s="60">
        <v>0.02</v>
      </c>
      <c r="I28" s="60">
        <v>0.05</v>
      </c>
      <c r="J28" s="60">
        <v>8.0000000000000002E-3</v>
      </c>
      <c r="K28" s="60">
        <v>0.32</v>
      </c>
      <c r="L28" s="60"/>
      <c r="M28" s="60"/>
      <c r="N28" s="60"/>
      <c r="O28" s="60"/>
      <c r="P28" s="60"/>
      <c r="Q28" s="60"/>
      <c r="R28" s="60"/>
      <c r="S28" s="60"/>
      <c r="T28" s="60"/>
    </row>
    <row r="29" spans="1:20" x14ac:dyDescent="0.3">
      <c r="A29" s="56">
        <v>44384.253472222219</v>
      </c>
      <c r="B29" s="48" t="s">
        <v>89</v>
      </c>
      <c r="C29" s="48" t="s">
        <v>129</v>
      </c>
      <c r="D29" s="48">
        <v>6.45</v>
      </c>
      <c r="E29" s="48">
        <v>25</v>
      </c>
      <c r="F29" s="48">
        <v>2.29</v>
      </c>
      <c r="G29" s="48">
        <v>2.42</v>
      </c>
      <c r="H29" s="48">
        <v>0.02</v>
      </c>
      <c r="I29" s="48">
        <v>0.03</v>
      </c>
      <c r="J29" s="48">
        <v>7.0000000000000001E-3</v>
      </c>
      <c r="K29" s="48">
        <v>0.4</v>
      </c>
      <c r="L29" s="48">
        <v>0.01</v>
      </c>
      <c r="M29" s="48">
        <v>0.123</v>
      </c>
      <c r="N29" s="48">
        <v>0.40200000000000002</v>
      </c>
      <c r="O29" s="48">
        <v>1.7000000000000001E-2</v>
      </c>
      <c r="P29" s="48">
        <v>6.5000000000000002E-2</v>
      </c>
      <c r="Q29" s="48">
        <v>23</v>
      </c>
      <c r="R29" s="48">
        <v>0.04</v>
      </c>
      <c r="S29" s="48">
        <v>0.04</v>
      </c>
      <c r="T29" s="48"/>
    </row>
    <row r="30" spans="1:20" x14ac:dyDescent="0.3">
      <c r="A30" s="59">
        <v>44385.208333333336</v>
      </c>
      <c r="B30" s="60" t="s">
        <v>89</v>
      </c>
      <c r="C30" s="60" t="s">
        <v>129</v>
      </c>
      <c r="D30" s="60">
        <v>6.62</v>
      </c>
      <c r="E30" s="60">
        <v>26.7</v>
      </c>
      <c r="F30" s="60">
        <v>2.44</v>
      </c>
      <c r="G30" s="60">
        <v>2.56</v>
      </c>
      <c r="H30" s="60">
        <v>0.01</v>
      </c>
      <c r="I30" s="60">
        <v>7.0000000000000007E-2</v>
      </c>
      <c r="J30" s="60">
        <v>7.0000000000000001E-3</v>
      </c>
      <c r="K30" s="60">
        <v>0.44</v>
      </c>
      <c r="L30" s="60"/>
      <c r="M30" s="60"/>
      <c r="N30" s="60"/>
      <c r="O30" s="60"/>
      <c r="P30" s="60"/>
      <c r="Q30" s="60"/>
      <c r="R30" s="60"/>
      <c r="S30" s="60"/>
      <c r="T30" s="60"/>
    </row>
    <row r="31" spans="1:20" x14ac:dyDescent="0.3">
      <c r="A31" s="59">
        <v>44385.208333333336</v>
      </c>
      <c r="B31" s="60" t="s">
        <v>89</v>
      </c>
      <c r="C31" s="60" t="s">
        <v>131</v>
      </c>
      <c r="D31" s="60">
        <v>6.87</v>
      </c>
      <c r="E31" s="60">
        <v>27.6</v>
      </c>
      <c r="F31" s="60">
        <v>2.87</v>
      </c>
      <c r="G31" s="60">
        <v>2.9</v>
      </c>
      <c r="H31" s="60">
        <v>0</v>
      </c>
      <c r="I31" s="60">
        <v>0.03</v>
      </c>
      <c r="J31" s="60">
        <v>7.0000000000000001E-3</v>
      </c>
      <c r="K31" s="60">
        <v>0.36</v>
      </c>
      <c r="L31" s="60"/>
      <c r="M31" s="60"/>
      <c r="N31" s="60"/>
      <c r="O31" s="60"/>
      <c r="P31" s="60"/>
      <c r="Q31" s="60"/>
      <c r="R31" s="60"/>
      <c r="S31" s="60"/>
      <c r="T31" s="60"/>
    </row>
    <row r="32" spans="1:20" x14ac:dyDescent="0.3">
      <c r="A32" s="56">
        <v>44390.25</v>
      </c>
      <c r="B32" s="48" t="s">
        <v>89</v>
      </c>
      <c r="C32" s="48" t="s">
        <v>129</v>
      </c>
      <c r="D32" s="48">
        <v>6.69</v>
      </c>
      <c r="E32" s="48">
        <v>24.8</v>
      </c>
      <c r="F32" s="48">
        <v>2.0299999999999998</v>
      </c>
      <c r="G32" s="48">
        <v>2.19</v>
      </c>
      <c r="H32" s="48">
        <v>0</v>
      </c>
      <c r="I32" s="48">
        <v>0.04</v>
      </c>
      <c r="J32" s="48">
        <v>6.0000000000000001E-3</v>
      </c>
      <c r="K32" s="48">
        <v>0.41</v>
      </c>
      <c r="L32" s="48">
        <v>1.2999999999999999E-2</v>
      </c>
      <c r="M32" s="48">
        <v>0.115</v>
      </c>
      <c r="N32" s="48">
        <v>0.46100000000000002</v>
      </c>
      <c r="O32" s="48">
        <v>1.7000000000000001E-2</v>
      </c>
      <c r="P32" s="48">
        <v>6.2E-2</v>
      </c>
      <c r="Q32" s="48">
        <v>7</v>
      </c>
      <c r="R32" s="48">
        <v>0.04</v>
      </c>
      <c r="S32" s="48">
        <v>0.01</v>
      </c>
      <c r="T32" s="48"/>
    </row>
    <row r="33" spans="1:20" x14ac:dyDescent="0.3">
      <c r="A33" s="59">
        <v>44391.208333333336</v>
      </c>
      <c r="B33" s="60" t="s">
        <v>89</v>
      </c>
      <c r="C33" s="60" t="s">
        <v>129</v>
      </c>
      <c r="D33" s="60">
        <v>6.76</v>
      </c>
      <c r="E33" s="60">
        <v>27.5</v>
      </c>
      <c r="F33" s="60">
        <v>3.08</v>
      </c>
      <c r="G33" s="60">
        <v>3.1</v>
      </c>
      <c r="H33" s="60">
        <v>0.03</v>
      </c>
      <c r="I33" s="60">
        <v>0.11</v>
      </c>
      <c r="J33" s="60">
        <v>8.0000000000000002E-3</v>
      </c>
      <c r="K33" s="60">
        <v>0.54</v>
      </c>
      <c r="L33" s="60"/>
      <c r="M33" s="60"/>
      <c r="N33" s="60"/>
      <c r="O33" s="60"/>
      <c r="P33" s="60"/>
      <c r="Q33" s="60"/>
      <c r="R33" s="60"/>
      <c r="S33" s="60"/>
      <c r="T33" s="60"/>
    </row>
    <row r="34" spans="1:20" x14ac:dyDescent="0.3">
      <c r="A34" s="59">
        <v>44391.208333333336</v>
      </c>
      <c r="B34" s="60" t="s">
        <v>89</v>
      </c>
      <c r="C34" s="60" t="s">
        <v>131</v>
      </c>
      <c r="D34" s="60">
        <v>6.97</v>
      </c>
      <c r="E34" s="60">
        <v>28.4</v>
      </c>
      <c r="F34" s="60">
        <v>2.95</v>
      </c>
      <c r="G34" s="60">
        <v>2.95</v>
      </c>
      <c r="H34" s="60">
        <v>0.01</v>
      </c>
      <c r="I34" s="60">
        <v>0.08</v>
      </c>
      <c r="J34" s="60">
        <v>8.0000000000000002E-3</v>
      </c>
      <c r="K34" s="60">
        <v>0.38</v>
      </c>
      <c r="L34" s="60"/>
      <c r="M34" s="60"/>
      <c r="N34" s="60"/>
      <c r="O34" s="60"/>
      <c r="P34" s="60"/>
      <c r="Q34" s="60"/>
      <c r="R34" s="60"/>
      <c r="S34" s="60"/>
      <c r="T34" s="60"/>
    </row>
    <row r="35" spans="1:20" x14ac:dyDescent="0.3">
      <c r="A35" s="56">
        <v>44397.25</v>
      </c>
      <c r="B35" s="48" t="s">
        <v>89</v>
      </c>
      <c r="C35" s="48" t="s">
        <v>129</v>
      </c>
      <c r="D35" s="48">
        <v>6.63</v>
      </c>
      <c r="E35" s="48">
        <v>27</v>
      </c>
      <c r="F35" s="48">
        <v>1.87</v>
      </c>
      <c r="G35" s="48">
        <v>2.02</v>
      </c>
      <c r="H35" s="48">
        <v>0.02</v>
      </c>
      <c r="I35" s="48">
        <v>0.05</v>
      </c>
      <c r="J35" s="48">
        <v>7.0000000000000001E-3</v>
      </c>
      <c r="K35" s="48">
        <v>0.4</v>
      </c>
      <c r="L35" s="48"/>
      <c r="M35" s="48"/>
      <c r="N35" s="48"/>
      <c r="O35" s="48"/>
      <c r="P35" s="48">
        <v>0.14799999999999999</v>
      </c>
      <c r="Q35" s="48">
        <v>3</v>
      </c>
      <c r="R35" s="48">
        <v>0</v>
      </c>
      <c r="S35" s="48">
        <v>0.01</v>
      </c>
      <c r="T35" s="48"/>
    </row>
    <row r="36" spans="1:20" x14ac:dyDescent="0.3">
      <c r="A36" s="59">
        <v>44397.71875</v>
      </c>
      <c r="B36" s="60" t="s">
        <v>89</v>
      </c>
      <c r="C36" s="60" t="s">
        <v>129</v>
      </c>
      <c r="D36" s="60">
        <v>6.53</v>
      </c>
      <c r="E36" s="60">
        <v>28.3</v>
      </c>
      <c r="F36" s="60">
        <v>2.15</v>
      </c>
      <c r="G36" s="60">
        <v>2.2400000000000002</v>
      </c>
      <c r="H36" s="60">
        <v>0.01</v>
      </c>
      <c r="I36" s="60">
        <v>0.06</v>
      </c>
      <c r="J36" s="60">
        <v>7.0000000000000001E-3</v>
      </c>
      <c r="K36" s="60">
        <v>0.47</v>
      </c>
      <c r="L36" s="60"/>
      <c r="M36" s="60"/>
      <c r="N36" s="60"/>
      <c r="O36" s="60"/>
      <c r="P36" s="60"/>
      <c r="Q36" s="60"/>
      <c r="R36" s="60"/>
      <c r="S36" s="60"/>
      <c r="T36" s="60"/>
    </row>
    <row r="37" spans="1:20" x14ac:dyDescent="0.3">
      <c r="A37" s="59">
        <v>44397.71875</v>
      </c>
      <c r="B37" s="60" t="s">
        <v>89</v>
      </c>
      <c r="C37" s="60" t="s">
        <v>131</v>
      </c>
      <c r="D37" s="60">
        <v>6.63</v>
      </c>
      <c r="E37" s="60">
        <v>27.2</v>
      </c>
      <c r="F37" s="60">
        <v>2.7</v>
      </c>
      <c r="G37" s="60">
        <v>2.81</v>
      </c>
      <c r="H37" s="60">
        <v>0</v>
      </c>
      <c r="I37" s="60">
        <v>0.03</v>
      </c>
      <c r="J37" s="60">
        <v>7.0000000000000001E-3</v>
      </c>
      <c r="K37" s="60">
        <v>0.35</v>
      </c>
      <c r="L37" s="60"/>
      <c r="M37" s="60"/>
      <c r="N37" s="60"/>
      <c r="O37" s="60"/>
      <c r="P37" s="60"/>
      <c r="Q37" s="60"/>
      <c r="R37" s="60"/>
      <c r="S37" s="60"/>
      <c r="T37" s="60"/>
    </row>
    <row r="38" spans="1:20" x14ac:dyDescent="0.3">
      <c r="A38" s="56">
        <v>44404.25</v>
      </c>
      <c r="B38" s="48" t="s">
        <v>89</v>
      </c>
      <c r="C38" s="48" t="s">
        <v>129</v>
      </c>
      <c r="D38" s="48">
        <v>6.61</v>
      </c>
      <c r="E38" s="48">
        <v>26.9</v>
      </c>
      <c r="F38" s="48">
        <v>0.13</v>
      </c>
      <c r="G38" s="48">
        <v>1.95</v>
      </c>
      <c r="H38" s="48">
        <v>1.77</v>
      </c>
      <c r="I38" s="48">
        <v>0.18</v>
      </c>
      <c r="J38" s="48">
        <v>6.0000000000000001E-3</v>
      </c>
      <c r="K38" s="48">
        <v>0.42</v>
      </c>
      <c r="L38" s="48"/>
      <c r="M38" s="48"/>
      <c r="N38" s="48"/>
      <c r="O38" s="48"/>
      <c r="P38" s="48"/>
      <c r="Q38" s="48"/>
      <c r="R38" s="48"/>
      <c r="S38" s="48"/>
      <c r="T38" s="48"/>
    </row>
    <row r="39" spans="1:20" x14ac:dyDescent="0.3">
      <c r="A39" s="59">
        <v>44405.208333333336</v>
      </c>
      <c r="B39" s="60" t="s">
        <v>89</v>
      </c>
      <c r="C39" s="60" t="s">
        <v>129</v>
      </c>
      <c r="D39" s="60">
        <v>6.73</v>
      </c>
      <c r="E39" s="60">
        <v>27.5</v>
      </c>
      <c r="F39" s="60">
        <v>0.13</v>
      </c>
      <c r="G39" s="60">
        <v>2.0499999999999998</v>
      </c>
      <c r="H39" s="60">
        <v>1.85</v>
      </c>
      <c r="I39" s="60">
        <v>0.17</v>
      </c>
      <c r="J39" s="60">
        <v>6.0000000000000001E-3</v>
      </c>
      <c r="K39" s="60">
        <v>0.44</v>
      </c>
      <c r="L39" s="60"/>
      <c r="M39" s="60"/>
      <c r="N39" s="60"/>
      <c r="O39" s="60"/>
      <c r="P39" s="60"/>
      <c r="Q39" s="60"/>
      <c r="R39" s="60"/>
      <c r="S39" s="60"/>
      <c r="T39" s="60"/>
    </row>
    <row r="40" spans="1:20" x14ac:dyDescent="0.3">
      <c r="A40" s="59">
        <v>44405.208333333336</v>
      </c>
      <c r="B40" s="60" t="s">
        <v>89</v>
      </c>
      <c r="C40" s="60" t="s">
        <v>131</v>
      </c>
      <c r="D40" s="60">
        <v>6.76</v>
      </c>
      <c r="E40" s="60">
        <v>28.8</v>
      </c>
      <c r="F40" s="60">
        <v>7.0000000000000007E-2</v>
      </c>
      <c r="G40" s="60">
        <v>2.46</v>
      </c>
      <c r="H40" s="60">
        <v>2.2400000000000002</v>
      </c>
      <c r="I40" s="60">
        <v>0.11</v>
      </c>
      <c r="J40" s="60">
        <v>6.0000000000000001E-3</v>
      </c>
      <c r="K40" s="60">
        <v>0.44</v>
      </c>
      <c r="L40" s="60"/>
      <c r="M40" s="60"/>
      <c r="N40" s="60"/>
      <c r="O40" s="60"/>
      <c r="P40" s="60"/>
      <c r="Q40" s="60"/>
      <c r="R40" s="60"/>
      <c r="S40" s="60"/>
      <c r="T40" s="60"/>
    </row>
    <row r="41" spans="1:20" x14ac:dyDescent="0.3">
      <c r="A41" s="56">
        <v>44411.25</v>
      </c>
      <c r="B41" s="48" t="s">
        <v>89</v>
      </c>
      <c r="C41" s="48" t="s">
        <v>129</v>
      </c>
      <c r="D41" s="48">
        <v>6.61</v>
      </c>
      <c r="E41" s="48">
        <v>26.7</v>
      </c>
      <c r="F41" s="48">
        <v>0.14000000000000001</v>
      </c>
      <c r="G41" s="48">
        <v>2.62</v>
      </c>
      <c r="H41" s="48">
        <v>2.19</v>
      </c>
      <c r="I41" s="48">
        <v>0.11</v>
      </c>
      <c r="J41" s="48">
        <v>7.0000000000000001E-3</v>
      </c>
      <c r="K41" s="48">
        <v>0.34</v>
      </c>
      <c r="L41" s="48"/>
      <c r="M41" s="48"/>
      <c r="N41" s="48"/>
      <c r="O41" s="48"/>
      <c r="P41" s="48">
        <v>6.2E-2</v>
      </c>
      <c r="Q41" s="48">
        <v>0</v>
      </c>
      <c r="R41" s="48">
        <v>0.08</v>
      </c>
      <c r="S41" s="48">
        <v>0.02</v>
      </c>
      <c r="T41" s="48"/>
    </row>
    <row r="42" spans="1:20" x14ac:dyDescent="0.3">
      <c r="A42" s="59">
        <v>44412.208333333336</v>
      </c>
      <c r="B42" s="60" t="s">
        <v>89</v>
      </c>
      <c r="C42" s="60" t="s">
        <v>129</v>
      </c>
      <c r="D42" s="60">
        <v>6.71</v>
      </c>
      <c r="E42" s="60">
        <v>24.9</v>
      </c>
      <c r="F42" s="60">
        <v>0.02</v>
      </c>
      <c r="G42" s="60">
        <v>2.65</v>
      </c>
      <c r="H42" s="60">
        <v>2.35</v>
      </c>
      <c r="I42" s="60">
        <v>0.13</v>
      </c>
      <c r="J42" s="60">
        <v>6.0000000000000001E-3</v>
      </c>
      <c r="K42" s="60">
        <v>0.39</v>
      </c>
      <c r="L42" s="60"/>
      <c r="M42" s="60"/>
      <c r="N42" s="60"/>
      <c r="O42" s="60"/>
      <c r="P42" s="60"/>
      <c r="Q42" s="60"/>
      <c r="R42" s="60"/>
      <c r="S42" s="60"/>
      <c r="T42" s="60"/>
    </row>
    <row r="43" spans="1:20" x14ac:dyDescent="0.3">
      <c r="A43" s="59">
        <v>44412.208333333336</v>
      </c>
      <c r="B43" s="60" t="s">
        <v>89</v>
      </c>
      <c r="C43" s="60" t="s">
        <v>131</v>
      </c>
      <c r="D43" s="60">
        <v>6.61</v>
      </c>
      <c r="E43" s="60">
        <v>28.7</v>
      </c>
      <c r="F43" s="60">
        <v>0</v>
      </c>
      <c r="G43" s="60">
        <v>2.91</v>
      </c>
      <c r="H43" s="60">
        <v>2.48</v>
      </c>
      <c r="I43" s="60">
        <v>0.1</v>
      </c>
      <c r="J43" s="60">
        <v>7.0000000000000001E-3</v>
      </c>
      <c r="K43" s="60">
        <v>0.32</v>
      </c>
      <c r="L43" s="60"/>
      <c r="M43" s="60"/>
      <c r="N43" s="60"/>
      <c r="O43" s="60"/>
      <c r="P43" s="60"/>
      <c r="Q43" s="60"/>
      <c r="R43" s="60"/>
      <c r="S43" s="60"/>
      <c r="T43" s="60"/>
    </row>
    <row r="44" spans="1:20" x14ac:dyDescent="0.3">
      <c r="A44" s="56">
        <v>44418.25</v>
      </c>
      <c r="B44" s="48" t="s">
        <v>89</v>
      </c>
      <c r="C44" s="48" t="s">
        <v>129</v>
      </c>
      <c r="D44" s="48">
        <v>6.64</v>
      </c>
      <c r="E44" s="48">
        <v>26.1</v>
      </c>
      <c r="F44" s="48">
        <v>0.11</v>
      </c>
      <c r="G44" s="48">
        <v>2.2200000000000002</v>
      </c>
      <c r="H44" s="48">
        <v>1.93</v>
      </c>
      <c r="I44" s="48">
        <v>0.14000000000000001</v>
      </c>
      <c r="J44" s="48">
        <v>8.0000000000000002E-3</v>
      </c>
      <c r="K44" s="48">
        <v>0.43</v>
      </c>
      <c r="L44" s="48"/>
      <c r="M44" s="48"/>
      <c r="N44" s="48"/>
      <c r="O44" s="48"/>
      <c r="P44" s="48">
        <v>1.17</v>
      </c>
      <c r="Q44" s="48">
        <v>16</v>
      </c>
      <c r="R44" s="48">
        <v>0.04</v>
      </c>
      <c r="S44" s="48">
        <v>0.06</v>
      </c>
      <c r="T44" s="48"/>
    </row>
    <row r="45" spans="1:20" x14ac:dyDescent="0.3">
      <c r="A45" s="59">
        <v>44419.208333333336</v>
      </c>
      <c r="B45" s="60" t="s">
        <v>89</v>
      </c>
      <c r="C45" s="60" t="s">
        <v>129</v>
      </c>
      <c r="D45" s="60">
        <v>6.68</v>
      </c>
      <c r="E45" s="60">
        <v>28.1</v>
      </c>
      <c r="F45" s="60">
        <v>7.0000000000000007E-2</v>
      </c>
      <c r="G45" s="60">
        <v>2.79</v>
      </c>
      <c r="H45" s="60">
        <v>2.2400000000000002</v>
      </c>
      <c r="I45" s="60">
        <v>0.18</v>
      </c>
      <c r="J45" s="60">
        <v>7.0000000000000001E-3</v>
      </c>
      <c r="K45" s="60">
        <v>0.38</v>
      </c>
      <c r="L45" s="60"/>
      <c r="M45" s="60"/>
      <c r="N45" s="60"/>
      <c r="O45" s="60"/>
      <c r="P45" s="60"/>
      <c r="Q45" s="60"/>
      <c r="R45" s="60"/>
      <c r="S45" s="60"/>
      <c r="T45" s="60"/>
    </row>
    <row r="46" spans="1:20" x14ac:dyDescent="0.3">
      <c r="A46" s="59">
        <v>44419.208333333336</v>
      </c>
      <c r="B46" s="60" t="s">
        <v>89</v>
      </c>
      <c r="C46" s="60" t="s">
        <v>131</v>
      </c>
      <c r="D46" s="60">
        <v>6.6</v>
      </c>
      <c r="E46" s="60">
        <v>30.9</v>
      </c>
      <c r="F46" s="60">
        <v>0.11</v>
      </c>
      <c r="G46" s="60">
        <v>2.54</v>
      </c>
      <c r="H46" s="60">
        <v>2.15</v>
      </c>
      <c r="I46" s="60">
        <v>0.11</v>
      </c>
      <c r="J46" s="60">
        <v>2E-3</v>
      </c>
      <c r="K46" s="60">
        <v>0.41</v>
      </c>
      <c r="L46" s="60"/>
      <c r="M46" s="60"/>
      <c r="N46" s="60"/>
      <c r="O46" s="60"/>
      <c r="P46" s="60"/>
      <c r="Q46" s="60"/>
      <c r="R46" s="60"/>
      <c r="S46" s="60"/>
      <c r="T46" s="60"/>
    </row>
    <row r="47" spans="1:20" x14ac:dyDescent="0.3">
      <c r="A47" s="56">
        <v>44425.25</v>
      </c>
      <c r="B47" s="48" t="s">
        <v>89</v>
      </c>
      <c r="C47" s="48" t="s">
        <v>129</v>
      </c>
      <c r="D47" s="48">
        <v>6.71</v>
      </c>
      <c r="E47" s="48">
        <v>26.9</v>
      </c>
      <c r="F47" s="48">
        <v>0.1</v>
      </c>
      <c r="G47" s="48">
        <v>1.93</v>
      </c>
      <c r="H47" s="48">
        <v>1.72</v>
      </c>
      <c r="I47" s="48">
        <v>0.19</v>
      </c>
      <c r="J47" s="48">
        <v>8.9999999999999993E-3</v>
      </c>
      <c r="K47" s="48">
        <v>0.4</v>
      </c>
      <c r="L47" s="48"/>
      <c r="M47" s="48"/>
      <c r="N47" s="48"/>
      <c r="O47" s="48"/>
      <c r="P47" s="48">
        <v>0.217</v>
      </c>
      <c r="Q47" s="48">
        <v>21</v>
      </c>
      <c r="R47" s="48">
        <v>0.05</v>
      </c>
      <c r="S47" s="48">
        <v>0.03</v>
      </c>
      <c r="T47" s="48" t="s">
        <v>132</v>
      </c>
    </row>
    <row r="48" spans="1:20" x14ac:dyDescent="0.3">
      <c r="A48" s="59">
        <v>44426.208333333336</v>
      </c>
      <c r="B48" s="60" t="s">
        <v>89</v>
      </c>
      <c r="C48" s="60" t="s">
        <v>129</v>
      </c>
      <c r="D48" s="60">
        <v>6.68</v>
      </c>
      <c r="E48" s="60">
        <v>28</v>
      </c>
      <c r="F48" s="60">
        <v>0.09</v>
      </c>
      <c r="G48" s="60">
        <v>2.7</v>
      </c>
      <c r="H48" s="60">
        <v>2.31</v>
      </c>
      <c r="I48" s="60">
        <v>0.15</v>
      </c>
      <c r="J48" s="60">
        <v>6.0000000000000001E-3</v>
      </c>
      <c r="K48" s="60">
        <v>0.34</v>
      </c>
      <c r="L48" s="60"/>
      <c r="M48" s="60"/>
      <c r="N48" s="60"/>
      <c r="O48" s="60"/>
      <c r="P48" s="60"/>
      <c r="Q48" s="60"/>
      <c r="R48" s="60"/>
      <c r="S48" s="60"/>
      <c r="T48" s="60"/>
    </row>
    <row r="49" spans="1:20" x14ac:dyDescent="0.3">
      <c r="A49" s="59">
        <v>44426.208333333336</v>
      </c>
      <c r="B49" s="60" t="s">
        <v>89</v>
      </c>
      <c r="C49" s="60" t="s">
        <v>131</v>
      </c>
      <c r="D49" s="60">
        <v>6.63</v>
      </c>
      <c r="E49" s="60">
        <v>28.6</v>
      </c>
      <c r="F49" s="60">
        <v>0.13</v>
      </c>
      <c r="G49" s="60">
        <v>2.77</v>
      </c>
      <c r="H49" s="60">
        <v>2.23</v>
      </c>
      <c r="I49" s="60">
        <v>0.12</v>
      </c>
      <c r="J49" s="60">
        <v>7.0000000000000001E-3</v>
      </c>
      <c r="K49" s="60">
        <v>0.34</v>
      </c>
      <c r="L49" s="60"/>
      <c r="M49" s="60"/>
      <c r="N49" s="60"/>
      <c r="O49" s="60"/>
      <c r="P49" s="60"/>
      <c r="Q49" s="60"/>
      <c r="R49" s="60"/>
      <c r="S49" s="60"/>
      <c r="T49" s="60"/>
    </row>
    <row r="50" spans="1:20" x14ac:dyDescent="0.3">
      <c r="A50" s="56">
        <v>44432.25</v>
      </c>
      <c r="B50" s="48" t="s">
        <v>89</v>
      </c>
      <c r="C50" s="48" t="s">
        <v>129</v>
      </c>
      <c r="D50" s="48">
        <v>6.73</v>
      </c>
      <c r="E50" s="48">
        <v>28.5</v>
      </c>
      <c r="F50" s="48">
        <v>0.12</v>
      </c>
      <c r="G50" s="48">
        <v>2.46</v>
      </c>
      <c r="H50" s="48">
        <v>2.35</v>
      </c>
      <c r="I50" s="48">
        <v>0.1</v>
      </c>
      <c r="J50" s="48">
        <v>2E-3</v>
      </c>
      <c r="K50" s="48">
        <v>0.39</v>
      </c>
      <c r="L50" s="48"/>
      <c r="M50" s="48"/>
      <c r="N50" s="48"/>
      <c r="O50" s="48"/>
      <c r="P50" s="48">
        <v>0.13700000000000001</v>
      </c>
      <c r="Q50" s="48">
        <v>0</v>
      </c>
      <c r="R50" s="48">
        <v>0.05</v>
      </c>
      <c r="S50" s="48">
        <v>0.03</v>
      </c>
      <c r="T50" s="48" t="s">
        <v>133</v>
      </c>
    </row>
    <row r="51" spans="1:20" x14ac:dyDescent="0.3">
      <c r="A51" s="59">
        <v>44433.208333333336</v>
      </c>
      <c r="B51" s="60" t="s">
        <v>89</v>
      </c>
      <c r="C51" s="60" t="s">
        <v>129</v>
      </c>
      <c r="D51" s="60">
        <v>6.77</v>
      </c>
      <c r="E51" s="60">
        <v>29</v>
      </c>
      <c r="F51" s="60">
        <v>0.08</v>
      </c>
      <c r="G51" s="60">
        <v>2.37</v>
      </c>
      <c r="H51" s="60">
        <v>2.2400000000000002</v>
      </c>
      <c r="I51" s="60">
        <v>0.33</v>
      </c>
      <c r="J51" s="60">
        <v>1E-3</v>
      </c>
      <c r="K51" s="60">
        <v>0.38</v>
      </c>
      <c r="L51" s="60"/>
      <c r="M51" s="60"/>
      <c r="N51" s="60"/>
      <c r="O51" s="60"/>
      <c r="P51" s="60"/>
      <c r="Q51" s="60"/>
      <c r="R51" s="60"/>
      <c r="S51" s="60"/>
      <c r="T51" s="60"/>
    </row>
    <row r="52" spans="1:20" x14ac:dyDescent="0.3">
      <c r="A52" s="59">
        <v>44433.208333333336</v>
      </c>
      <c r="B52" s="60" t="s">
        <v>89</v>
      </c>
      <c r="C52" s="60" t="s">
        <v>131</v>
      </c>
      <c r="D52" s="60">
        <v>6.95</v>
      </c>
      <c r="E52" s="60">
        <v>29</v>
      </c>
      <c r="F52" s="60">
        <v>0</v>
      </c>
      <c r="G52" s="60">
        <v>2.2000000000000002</v>
      </c>
      <c r="H52" s="60">
        <v>2.0699999999999998</v>
      </c>
      <c r="I52" s="60">
        <v>0.16</v>
      </c>
      <c r="J52" s="60">
        <v>3.0000000000000001E-3</v>
      </c>
      <c r="K52" s="60">
        <v>0.36</v>
      </c>
      <c r="L52" s="60"/>
      <c r="M52" s="60"/>
      <c r="N52" s="60"/>
      <c r="O52" s="60"/>
      <c r="P52" s="60"/>
      <c r="Q52" s="60"/>
      <c r="R52" s="60"/>
      <c r="S52" s="60"/>
      <c r="T52" s="60"/>
    </row>
    <row r="53" spans="1:20" x14ac:dyDescent="0.3">
      <c r="A53" s="48"/>
      <c r="B53" s="48"/>
      <c r="C53" s="48"/>
      <c r="D53" s="48"/>
      <c r="E53" s="48"/>
      <c r="F53" s="48"/>
      <c r="G53" s="48"/>
      <c r="H53" s="48"/>
      <c r="I53" s="48"/>
      <c r="J53" s="48"/>
      <c r="K53" s="48"/>
      <c r="L53" s="48"/>
      <c r="M53" s="48"/>
      <c r="N53" s="48"/>
      <c r="O53" s="48"/>
      <c r="P53" s="48"/>
      <c r="Q53" s="48"/>
      <c r="R53" s="48"/>
      <c r="S53" s="48"/>
      <c r="T53" s="48"/>
    </row>
    <row r="54" spans="1:20" x14ac:dyDescent="0.3">
      <c r="A54" s="48"/>
      <c r="B54" s="48"/>
      <c r="C54" s="48"/>
      <c r="D54" s="48"/>
      <c r="E54" s="48"/>
      <c r="F54" s="48"/>
      <c r="G54" s="48"/>
      <c r="H54" s="48"/>
      <c r="I54" s="48"/>
      <c r="J54" s="48"/>
      <c r="K54" s="48"/>
      <c r="L54" s="48"/>
      <c r="M54" s="48"/>
      <c r="N54" s="48"/>
      <c r="O54" s="48"/>
      <c r="P54" s="48"/>
      <c r="Q54" s="48"/>
      <c r="R54" s="48"/>
      <c r="S54" s="48"/>
      <c r="T54" s="48"/>
    </row>
    <row r="55" spans="1:20" x14ac:dyDescent="0.3">
      <c r="A55" s="48"/>
      <c r="B55" s="48"/>
      <c r="C55" s="48"/>
      <c r="D55" s="48"/>
      <c r="E55" s="48"/>
      <c r="F55" s="48"/>
      <c r="G55" s="48"/>
      <c r="H55" s="48"/>
      <c r="I55" s="48"/>
      <c r="J55" s="48"/>
      <c r="K55" s="48"/>
      <c r="L55" s="48"/>
      <c r="M55" s="48"/>
      <c r="N55" s="48"/>
      <c r="O55" s="48"/>
      <c r="P55" s="48"/>
      <c r="Q55" s="48"/>
      <c r="R55" s="48"/>
      <c r="S55" s="48"/>
      <c r="T55" s="48"/>
    </row>
  </sheetData>
  <sheetProtection algorithmName="SHA-512" hashValue="0M1nDPYkG/IXWzgDt1L2wdZL32WyM78QDbuH+eeYjdy1YprKFyI6l6kgBUxWglGMlBnifSked3HYbx8o1s7Dqg==" saltValue="2nquJhYDu6Z/B4SDzt4kgg==" spinCount="100000" sheet="1" objects="1" scenarios="1"/>
  <mergeCells count="3">
    <mergeCell ref="F1:K1"/>
    <mergeCell ref="L1:O1"/>
    <mergeCell ref="P1:S1"/>
  </mergeCells>
  <pageMargins left="0.7" right="0.7" top="0.75" bottom="0.75" header="0.3" footer="0.3"/>
  <pageSetup orientation="portrait" r:id="rId1"/>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FCD05-ECAA-4139-9466-F4867BDA0AE5}">
  <dimension ref="A1:T55"/>
  <sheetViews>
    <sheetView workbookViewId="0">
      <selection activeCell="G20" sqref="G20"/>
    </sheetView>
  </sheetViews>
  <sheetFormatPr defaultRowHeight="14.55" x14ac:dyDescent="0.3"/>
  <cols>
    <col min="1" max="1" width="14.77734375" bestFit="1" customWidth="1"/>
    <col min="2" max="2" width="9.77734375" customWidth="1"/>
    <col min="3" max="3" width="24.21875" bestFit="1" customWidth="1"/>
    <col min="5" max="5" width="18.77734375" bestFit="1" customWidth="1"/>
    <col min="6" max="6" width="21.77734375" bestFit="1" customWidth="1"/>
    <col min="7" max="7" width="15.77734375" bestFit="1" customWidth="1"/>
    <col min="8" max="8" width="18.77734375" bestFit="1" customWidth="1"/>
    <col min="9" max="9" width="16.44140625" bestFit="1" customWidth="1"/>
    <col min="11" max="11" width="18" bestFit="1" customWidth="1"/>
    <col min="12" max="19" width="18" customWidth="1"/>
    <col min="20" max="20" width="22" bestFit="1" customWidth="1"/>
  </cols>
  <sheetData>
    <row r="1" spans="1:20" x14ac:dyDescent="0.3">
      <c r="D1" s="49"/>
      <c r="E1" s="49"/>
      <c r="F1" s="1739" t="s">
        <v>92</v>
      </c>
      <c r="G1" s="1739"/>
      <c r="H1" s="1739"/>
      <c r="I1" s="1739"/>
      <c r="J1" s="1739"/>
      <c r="K1" s="1739"/>
      <c r="L1" s="1740" t="s">
        <v>93</v>
      </c>
      <c r="M1" s="1740"/>
      <c r="N1" s="1740"/>
      <c r="O1" s="1740"/>
      <c r="P1" s="1741" t="s">
        <v>94</v>
      </c>
      <c r="Q1" s="1741"/>
      <c r="R1" s="1741"/>
      <c r="S1" s="1741"/>
      <c r="T1" s="50"/>
    </row>
    <row r="2" spans="1:20" s="51" customFormat="1" ht="43.6" customHeight="1" x14ac:dyDescent="0.3">
      <c r="A2" s="51" t="s">
        <v>122</v>
      </c>
      <c r="B2" s="51" t="s">
        <v>96</v>
      </c>
      <c r="C2" s="51" t="s">
        <v>13</v>
      </c>
      <c r="D2" s="53" t="s">
        <v>97</v>
      </c>
      <c r="E2" s="53" t="s">
        <v>98</v>
      </c>
      <c r="F2" s="53" t="s">
        <v>99</v>
      </c>
      <c r="G2" s="53" t="s">
        <v>100</v>
      </c>
      <c r="H2" s="53" t="s">
        <v>101</v>
      </c>
      <c r="I2" s="53" t="s">
        <v>102</v>
      </c>
      <c r="J2" s="53" t="s">
        <v>103</v>
      </c>
      <c r="K2" s="53" t="s">
        <v>104</v>
      </c>
      <c r="L2" s="54" t="s">
        <v>105</v>
      </c>
      <c r="M2" s="54" t="s">
        <v>106</v>
      </c>
      <c r="N2" s="54" t="s">
        <v>107</v>
      </c>
      <c r="O2" s="54" t="s">
        <v>108</v>
      </c>
      <c r="P2" s="52" t="s">
        <v>109</v>
      </c>
      <c r="Q2" s="52" t="s">
        <v>110</v>
      </c>
      <c r="R2" s="52" t="s">
        <v>111</v>
      </c>
      <c r="S2" s="52" t="s">
        <v>112</v>
      </c>
      <c r="T2" s="51" t="s">
        <v>113</v>
      </c>
    </row>
    <row r="3" spans="1:20" x14ac:dyDescent="0.3">
      <c r="A3" s="55">
        <v>44293.486111111109</v>
      </c>
      <c r="B3" s="48" t="s">
        <v>90</v>
      </c>
      <c r="C3" s="48" t="s">
        <v>134</v>
      </c>
      <c r="D3" s="48">
        <v>6.43</v>
      </c>
      <c r="E3" s="48">
        <v>20.9</v>
      </c>
      <c r="F3" s="48">
        <v>0.19</v>
      </c>
      <c r="G3" s="48">
        <v>2.5</v>
      </c>
      <c r="H3" s="48">
        <v>2.42</v>
      </c>
      <c r="I3" s="48">
        <v>0.16</v>
      </c>
      <c r="J3" s="48">
        <v>5.0000000000000001E-3</v>
      </c>
      <c r="K3" s="48">
        <v>0.38</v>
      </c>
      <c r="L3" s="48"/>
      <c r="M3" s="48"/>
      <c r="N3" s="48"/>
      <c r="O3" s="48"/>
      <c r="P3" s="48"/>
      <c r="Q3" s="48"/>
      <c r="R3" s="48"/>
      <c r="S3" s="48"/>
      <c r="T3" s="48" t="s">
        <v>124</v>
      </c>
    </row>
    <row r="4" spans="1:20" x14ac:dyDescent="0.3">
      <c r="A4" s="55">
        <v>44293.486111111109</v>
      </c>
      <c r="B4" s="48" t="s">
        <v>90</v>
      </c>
      <c r="C4" s="48" t="s">
        <v>135</v>
      </c>
      <c r="D4" s="48">
        <v>6.54</v>
      </c>
      <c r="E4" s="48">
        <v>20.9</v>
      </c>
      <c r="F4" s="48">
        <v>0.1</v>
      </c>
      <c r="G4" s="48">
        <v>2.57</v>
      </c>
      <c r="H4" s="48">
        <v>2.31</v>
      </c>
      <c r="I4" s="48">
        <v>0.17</v>
      </c>
      <c r="J4" s="48">
        <v>5.0000000000000001E-3</v>
      </c>
      <c r="K4" s="48">
        <v>0.33</v>
      </c>
      <c r="L4" s="48"/>
      <c r="M4" s="48"/>
      <c r="N4" s="48"/>
      <c r="O4" s="48"/>
      <c r="P4" s="48"/>
      <c r="Q4" s="48"/>
      <c r="R4" s="48"/>
      <c r="S4" s="48"/>
      <c r="T4" s="48" t="s">
        <v>124</v>
      </c>
    </row>
    <row r="5" spans="1:20" x14ac:dyDescent="0.3">
      <c r="A5" s="56">
        <v>44306.222222222219</v>
      </c>
      <c r="B5" s="48" t="s">
        <v>90</v>
      </c>
      <c r="C5" s="48" t="s">
        <v>134</v>
      </c>
      <c r="D5" s="48">
        <v>6.86</v>
      </c>
      <c r="E5" s="48">
        <v>20.9</v>
      </c>
      <c r="F5" s="48">
        <v>0.09</v>
      </c>
      <c r="G5" s="48">
        <v>2.4</v>
      </c>
      <c r="H5" s="48">
        <v>1.72</v>
      </c>
      <c r="I5" s="48">
        <v>0.22</v>
      </c>
      <c r="J5" s="48">
        <v>6.0000000000000001E-3</v>
      </c>
      <c r="K5" s="48">
        <v>0.39</v>
      </c>
      <c r="L5" s="57">
        <v>0.55800000000000005</v>
      </c>
      <c r="M5" s="57">
        <v>0.121</v>
      </c>
      <c r="N5" s="48">
        <v>0.624</v>
      </c>
      <c r="O5" s="48">
        <v>5.0000000000000001E-3</v>
      </c>
      <c r="P5" s="48"/>
      <c r="Q5" s="48"/>
      <c r="R5" s="48"/>
      <c r="S5" s="48"/>
      <c r="T5" s="48"/>
    </row>
    <row r="6" spans="1:20" x14ac:dyDescent="0.3">
      <c r="A6" s="56">
        <v>44313.222222222219</v>
      </c>
      <c r="B6" s="48" t="s">
        <v>90</v>
      </c>
      <c r="C6" s="48" t="s">
        <v>135</v>
      </c>
      <c r="D6" s="48">
        <v>7.14</v>
      </c>
      <c r="E6" s="48">
        <v>21.6</v>
      </c>
      <c r="F6" s="48">
        <v>0.05</v>
      </c>
      <c r="G6" s="48">
        <v>2.19</v>
      </c>
      <c r="H6" s="48">
        <v>1.74</v>
      </c>
      <c r="I6" s="48">
        <v>0.18</v>
      </c>
      <c r="J6" s="48">
        <v>6.0000000000000001E-3</v>
      </c>
      <c r="K6" s="48">
        <v>0.36</v>
      </c>
      <c r="L6" s="57">
        <v>0.6</v>
      </c>
      <c r="M6" s="57">
        <v>0.112</v>
      </c>
      <c r="N6" s="48">
        <v>0.53600000000000003</v>
      </c>
      <c r="O6" s="48">
        <v>6.0000000000000001E-3</v>
      </c>
      <c r="P6" s="48"/>
      <c r="Q6" s="48"/>
      <c r="R6" s="48"/>
      <c r="S6" s="48"/>
      <c r="T6" s="48"/>
    </row>
    <row r="7" spans="1:20" x14ac:dyDescent="0.3">
      <c r="A7" s="56">
        <v>44327.232638888891</v>
      </c>
      <c r="B7" s="48" t="s">
        <v>90</v>
      </c>
      <c r="C7" s="48" t="s">
        <v>134</v>
      </c>
      <c r="D7" s="48">
        <v>7.39</v>
      </c>
      <c r="E7" s="48">
        <v>23.2</v>
      </c>
      <c r="F7" s="48">
        <v>0.09</v>
      </c>
      <c r="G7" s="48">
        <v>1.75</v>
      </c>
      <c r="H7" s="48">
        <v>1.55</v>
      </c>
      <c r="I7" s="48">
        <v>0.28999999999999998</v>
      </c>
      <c r="J7" s="48">
        <v>7.0000000000000001E-3</v>
      </c>
      <c r="K7" s="48">
        <v>0.34</v>
      </c>
      <c r="L7" s="57">
        <v>0.54500000000000004</v>
      </c>
      <c r="M7" s="57">
        <v>0.11700000000000001</v>
      </c>
      <c r="N7" s="48">
        <v>0.59499999999999997</v>
      </c>
      <c r="O7" s="48">
        <v>4.0000000000000001E-3</v>
      </c>
      <c r="P7" s="48"/>
      <c r="Q7" s="48"/>
      <c r="R7" s="48"/>
      <c r="S7" s="48"/>
      <c r="T7" s="48"/>
    </row>
    <row r="8" spans="1:20" x14ac:dyDescent="0.3">
      <c r="A8" s="56">
        <v>44334.239583333336</v>
      </c>
      <c r="B8" s="48" t="s">
        <v>90</v>
      </c>
      <c r="C8" s="48" t="s">
        <v>134</v>
      </c>
      <c r="D8" s="48">
        <v>7.15</v>
      </c>
      <c r="E8" s="48">
        <v>23.8</v>
      </c>
      <c r="F8" s="48">
        <v>0.1</v>
      </c>
      <c r="G8" s="48">
        <v>1.79</v>
      </c>
      <c r="H8" s="48">
        <v>1.61</v>
      </c>
      <c r="I8" s="48">
        <v>0.2</v>
      </c>
      <c r="J8" s="48">
        <v>6.0000000000000001E-3</v>
      </c>
      <c r="K8" s="48">
        <v>0.38</v>
      </c>
      <c r="L8" s="57">
        <v>0.56000000000000005</v>
      </c>
      <c r="M8" s="57">
        <v>5.0000000000000001E-3</v>
      </c>
      <c r="N8" s="48">
        <v>0.38800000000000001</v>
      </c>
      <c r="O8" s="48">
        <v>0.01</v>
      </c>
      <c r="P8" s="48">
        <v>0.123</v>
      </c>
      <c r="Q8" s="48">
        <v>-5</v>
      </c>
      <c r="R8" s="48">
        <v>0</v>
      </c>
      <c r="S8" s="48">
        <v>0.02</v>
      </c>
      <c r="T8" s="48"/>
    </row>
    <row r="9" spans="1:20" x14ac:dyDescent="0.3">
      <c r="A9" s="59">
        <v>44335.229166666664</v>
      </c>
      <c r="B9" s="60" t="s">
        <v>90</v>
      </c>
      <c r="C9" s="60" t="s">
        <v>136</v>
      </c>
      <c r="D9" s="60">
        <v>7.24</v>
      </c>
      <c r="E9" s="60">
        <v>22.9</v>
      </c>
      <c r="F9" s="60">
        <v>0.23</v>
      </c>
      <c r="G9" s="60">
        <v>1.76</v>
      </c>
      <c r="H9" s="60">
        <v>1.54</v>
      </c>
      <c r="I9" s="60">
        <v>0.21</v>
      </c>
      <c r="J9" s="60">
        <v>6.0000000000000001E-3</v>
      </c>
      <c r="K9" s="60">
        <v>0.35</v>
      </c>
      <c r="L9" s="60"/>
      <c r="M9" s="60"/>
      <c r="N9" s="60"/>
      <c r="O9" s="60"/>
      <c r="P9" s="60"/>
      <c r="Q9" s="60"/>
      <c r="R9" s="60"/>
      <c r="S9" s="60"/>
      <c r="T9" s="60"/>
    </row>
    <row r="10" spans="1:20" x14ac:dyDescent="0.3">
      <c r="A10" s="59">
        <v>44335.229166666664</v>
      </c>
      <c r="B10" s="60" t="s">
        <v>90</v>
      </c>
      <c r="C10" s="60" t="s">
        <v>137</v>
      </c>
      <c r="D10" s="60">
        <v>6.85</v>
      </c>
      <c r="E10" s="60">
        <v>24.2</v>
      </c>
      <c r="F10" s="60">
        <v>0.15</v>
      </c>
      <c r="G10" s="60">
        <v>1.77</v>
      </c>
      <c r="H10" s="60">
        <v>1.5</v>
      </c>
      <c r="I10" s="60">
        <v>0.33</v>
      </c>
      <c r="J10" s="60">
        <v>7.0000000000000001E-3</v>
      </c>
      <c r="K10" s="60">
        <v>0.41</v>
      </c>
      <c r="L10" s="60"/>
      <c r="M10" s="60"/>
      <c r="N10" s="60"/>
      <c r="O10" s="60"/>
      <c r="P10" s="60"/>
      <c r="Q10" s="60"/>
      <c r="R10" s="60"/>
      <c r="S10" s="60"/>
      <c r="T10" s="60"/>
    </row>
    <row r="11" spans="1:20" x14ac:dyDescent="0.3">
      <c r="A11" s="56">
        <v>44341.229166666664</v>
      </c>
      <c r="B11" s="48" t="s">
        <v>90</v>
      </c>
      <c r="C11" s="48" t="s">
        <v>134</v>
      </c>
      <c r="D11" s="48">
        <v>7.12</v>
      </c>
      <c r="E11" s="48">
        <v>23.5</v>
      </c>
      <c r="F11" s="48">
        <v>0.16</v>
      </c>
      <c r="G11" s="48">
        <v>1.99</v>
      </c>
      <c r="H11" s="48">
        <v>1.1599999999999999</v>
      </c>
      <c r="I11" s="48">
        <v>0.24</v>
      </c>
      <c r="J11" s="48">
        <v>8.0000000000000002E-3</v>
      </c>
      <c r="K11" s="48">
        <v>0.38</v>
      </c>
      <c r="L11" s="57">
        <v>0.55400000000000005</v>
      </c>
      <c r="M11" s="57">
        <v>0.128</v>
      </c>
      <c r="N11" s="48">
        <v>0.439</v>
      </c>
      <c r="O11" s="48">
        <v>2.9000000000000001E-2</v>
      </c>
      <c r="P11" s="48">
        <v>0.16600000000000001</v>
      </c>
      <c r="Q11" s="48">
        <v>2</v>
      </c>
      <c r="R11" s="48">
        <v>0.06</v>
      </c>
      <c r="S11" s="48">
        <v>0.02</v>
      </c>
      <c r="T11" s="48"/>
    </row>
    <row r="12" spans="1:20" x14ac:dyDescent="0.3">
      <c r="A12" s="59">
        <v>44342.229166666664</v>
      </c>
      <c r="B12" s="60" t="s">
        <v>90</v>
      </c>
      <c r="C12" s="60" t="s">
        <v>136</v>
      </c>
      <c r="D12" s="60">
        <v>7.12</v>
      </c>
      <c r="E12" s="60">
        <v>23.8</v>
      </c>
      <c r="F12" s="60">
        <v>0.09</v>
      </c>
      <c r="G12" s="60">
        <v>1.94</v>
      </c>
      <c r="H12" s="60">
        <v>1.59</v>
      </c>
      <c r="I12" s="60">
        <v>0.2</v>
      </c>
      <c r="J12" s="60">
        <v>6.0000000000000001E-3</v>
      </c>
      <c r="K12" s="60">
        <v>0.35</v>
      </c>
      <c r="L12" s="60"/>
      <c r="M12" s="60"/>
      <c r="N12" s="60"/>
      <c r="O12" s="60"/>
      <c r="P12" s="60"/>
      <c r="Q12" s="60"/>
      <c r="R12" s="60"/>
      <c r="S12" s="60"/>
      <c r="T12" s="60"/>
    </row>
    <row r="13" spans="1:20" x14ac:dyDescent="0.3">
      <c r="A13" s="59">
        <v>44342.229166666664</v>
      </c>
      <c r="B13" s="60" t="s">
        <v>90</v>
      </c>
      <c r="C13" s="60" t="s">
        <v>137</v>
      </c>
      <c r="D13" s="60">
        <v>6.62</v>
      </c>
      <c r="E13" s="60">
        <v>23.5</v>
      </c>
      <c r="F13" s="60">
        <v>0.09</v>
      </c>
      <c r="G13" s="60">
        <v>1.83</v>
      </c>
      <c r="H13" s="60">
        <v>1.53</v>
      </c>
      <c r="I13" s="60">
        <v>0.22</v>
      </c>
      <c r="J13" s="60">
        <v>8.0000000000000002E-3</v>
      </c>
      <c r="K13" s="60">
        <v>0.31</v>
      </c>
      <c r="L13" s="60"/>
      <c r="M13" s="60"/>
      <c r="N13" s="60"/>
      <c r="O13" s="60"/>
      <c r="P13" s="60"/>
      <c r="Q13" s="60"/>
      <c r="R13" s="60"/>
      <c r="S13" s="60"/>
      <c r="T13" s="60"/>
    </row>
    <row r="14" spans="1:20" x14ac:dyDescent="0.3">
      <c r="A14" s="56">
        <v>44349.229166666664</v>
      </c>
      <c r="B14" s="48" t="s">
        <v>90</v>
      </c>
      <c r="C14" s="48" t="s">
        <v>136</v>
      </c>
      <c r="D14" s="48">
        <v>7.72</v>
      </c>
      <c r="E14" s="48">
        <v>23.7</v>
      </c>
      <c r="F14" s="48">
        <v>0.1</v>
      </c>
      <c r="G14" s="48">
        <v>1.76</v>
      </c>
      <c r="H14" s="48">
        <v>1.61</v>
      </c>
      <c r="I14" s="48">
        <v>0.18</v>
      </c>
      <c r="J14" s="48">
        <v>6.0000000000000001E-3</v>
      </c>
      <c r="K14" s="48">
        <v>0.35</v>
      </c>
      <c r="L14" s="57">
        <v>0.48799999999999999</v>
      </c>
      <c r="M14" s="57">
        <v>0.14499999999999999</v>
      </c>
      <c r="N14" s="48">
        <v>0.376</v>
      </c>
      <c r="O14" s="48">
        <v>2E-3</v>
      </c>
      <c r="P14" s="48">
        <v>0.26600000000000001</v>
      </c>
      <c r="Q14" s="48">
        <v>2</v>
      </c>
      <c r="R14" s="48">
        <v>0</v>
      </c>
      <c r="S14" s="48">
        <v>0.04</v>
      </c>
      <c r="T14" s="48"/>
    </row>
    <row r="15" spans="1:20" x14ac:dyDescent="0.3">
      <c r="A15" s="59">
        <v>44350.229166666664</v>
      </c>
      <c r="B15" s="60" t="s">
        <v>90</v>
      </c>
      <c r="C15" s="60" t="s">
        <v>136</v>
      </c>
      <c r="D15" s="60">
        <v>7.14</v>
      </c>
      <c r="E15" s="60">
        <v>24.9</v>
      </c>
      <c r="F15" s="60">
        <v>7.0000000000000007E-2</v>
      </c>
      <c r="G15" s="60">
        <v>1.57</v>
      </c>
      <c r="H15" s="60">
        <v>1.49</v>
      </c>
      <c r="I15" s="60">
        <v>0.25</v>
      </c>
      <c r="J15" s="60">
        <v>7.0000000000000001E-3</v>
      </c>
      <c r="K15" s="60">
        <v>0.42</v>
      </c>
      <c r="L15" s="60"/>
      <c r="M15" s="60"/>
      <c r="N15" s="60"/>
      <c r="O15" s="60"/>
      <c r="P15" s="60"/>
      <c r="Q15" s="60"/>
      <c r="R15" s="60"/>
      <c r="S15" s="60"/>
      <c r="T15" s="60"/>
    </row>
    <row r="16" spans="1:20" x14ac:dyDescent="0.3">
      <c r="A16" s="59">
        <v>44350.229166666664</v>
      </c>
      <c r="B16" s="60" t="s">
        <v>90</v>
      </c>
      <c r="C16" s="60" t="s">
        <v>137</v>
      </c>
      <c r="D16" s="60">
        <v>6.91</v>
      </c>
      <c r="E16" s="60">
        <v>23.8</v>
      </c>
      <c r="F16" s="60">
        <v>0.18</v>
      </c>
      <c r="G16" s="60">
        <v>1.6</v>
      </c>
      <c r="H16" s="60">
        <v>1.5</v>
      </c>
      <c r="I16" s="60">
        <v>0.3</v>
      </c>
      <c r="J16" s="60">
        <v>7.0000000000000001E-3</v>
      </c>
      <c r="K16" s="60">
        <v>0.4</v>
      </c>
      <c r="L16" s="60"/>
      <c r="M16" s="60"/>
      <c r="N16" s="60"/>
      <c r="O16" s="60"/>
      <c r="P16" s="60"/>
      <c r="Q16" s="60"/>
      <c r="R16" s="60"/>
      <c r="S16" s="60"/>
      <c r="T16" s="60"/>
    </row>
    <row r="17" spans="1:20" x14ac:dyDescent="0.3">
      <c r="A17" s="56">
        <v>44355.232638888891</v>
      </c>
      <c r="B17" s="48" t="s">
        <v>90</v>
      </c>
      <c r="C17" s="48" t="s">
        <v>136</v>
      </c>
      <c r="D17" s="48">
        <v>7.2</v>
      </c>
      <c r="E17" s="48">
        <v>24.4</v>
      </c>
      <c r="F17" s="48">
        <v>0.14000000000000001</v>
      </c>
      <c r="G17" s="48">
        <v>1.68</v>
      </c>
      <c r="H17" s="48">
        <v>1.65</v>
      </c>
      <c r="I17" s="48">
        <v>0.27</v>
      </c>
      <c r="J17" s="48">
        <v>6.0000000000000001E-3</v>
      </c>
      <c r="K17" s="48">
        <v>0.41</v>
      </c>
      <c r="L17" s="57">
        <v>0.48799999999999999</v>
      </c>
      <c r="M17" s="57">
        <v>0.13900000000000001</v>
      </c>
      <c r="N17" s="48">
        <v>0.78</v>
      </c>
      <c r="O17" s="48">
        <v>0</v>
      </c>
      <c r="P17" s="48" t="e">
        <v>#N/A</v>
      </c>
      <c r="Q17" s="48">
        <v>27</v>
      </c>
      <c r="R17" s="48">
        <v>0.06</v>
      </c>
      <c r="S17" s="48">
        <v>0.03</v>
      </c>
      <c r="T17" s="48"/>
    </row>
    <row r="18" spans="1:20" x14ac:dyDescent="0.3">
      <c r="A18" s="59">
        <v>44356.222222222219</v>
      </c>
      <c r="B18" s="60" t="s">
        <v>90</v>
      </c>
      <c r="C18" s="60" t="s">
        <v>136</v>
      </c>
      <c r="D18" s="60">
        <v>7.17</v>
      </c>
      <c r="E18" s="60">
        <v>24.7</v>
      </c>
      <c r="F18" s="60">
        <v>0.11</v>
      </c>
      <c r="G18" s="60">
        <v>1.65</v>
      </c>
      <c r="H18" s="60">
        <v>1.64</v>
      </c>
      <c r="I18" s="60">
        <v>0.23</v>
      </c>
      <c r="J18" s="60">
        <v>6.0000000000000001E-3</v>
      </c>
      <c r="K18" s="60">
        <v>0.42</v>
      </c>
      <c r="L18" s="60"/>
      <c r="M18" s="60"/>
      <c r="N18" s="60"/>
      <c r="O18" s="60"/>
      <c r="P18" s="60"/>
      <c r="Q18" s="60"/>
      <c r="R18" s="60"/>
      <c r="S18" s="60"/>
      <c r="T18" s="60"/>
    </row>
    <row r="19" spans="1:20" x14ac:dyDescent="0.3">
      <c r="A19" s="59">
        <v>44356.222222222219</v>
      </c>
      <c r="B19" s="60" t="s">
        <v>90</v>
      </c>
      <c r="C19" s="60" t="s">
        <v>137</v>
      </c>
      <c r="D19" s="60">
        <v>6.68</v>
      </c>
      <c r="E19" s="60">
        <v>24.8</v>
      </c>
      <c r="F19" s="60">
        <v>0.06</v>
      </c>
      <c r="G19" s="60">
        <v>1.62</v>
      </c>
      <c r="H19" s="60">
        <v>1.67</v>
      </c>
      <c r="I19" s="60">
        <v>0.2</v>
      </c>
      <c r="J19" s="60">
        <v>6.0000000000000001E-3</v>
      </c>
      <c r="K19" s="60">
        <v>0.36</v>
      </c>
      <c r="L19" s="60"/>
      <c r="M19" s="60"/>
      <c r="N19" s="60"/>
      <c r="O19" s="60"/>
      <c r="P19" s="60"/>
      <c r="Q19" s="60"/>
      <c r="R19" s="60"/>
      <c r="S19" s="60"/>
      <c r="T19" s="60"/>
    </row>
    <row r="20" spans="1:20" x14ac:dyDescent="0.3">
      <c r="A20" s="56">
        <v>44362.25</v>
      </c>
      <c r="B20" s="48" t="s">
        <v>90</v>
      </c>
      <c r="C20" s="48" t="s">
        <v>136</v>
      </c>
      <c r="D20" s="48">
        <v>7.29</v>
      </c>
      <c r="E20" s="48">
        <v>27.4</v>
      </c>
      <c r="F20" s="48">
        <v>0.91</v>
      </c>
      <c r="G20" s="48">
        <v>1.1000000000000001</v>
      </c>
      <c r="H20" s="48">
        <v>0.02</v>
      </c>
      <c r="I20" s="48">
        <v>0.05</v>
      </c>
      <c r="J20" s="48">
        <v>7.0000000000000001E-3</v>
      </c>
      <c r="K20" s="48">
        <v>0.42</v>
      </c>
      <c r="L20" s="61">
        <v>0.14199999999999999</v>
      </c>
      <c r="M20" s="61">
        <v>0.14199999999999999</v>
      </c>
      <c r="N20" s="58">
        <v>0.88200000000000001</v>
      </c>
      <c r="O20" s="58">
        <v>-1E-3</v>
      </c>
      <c r="P20" s="48">
        <v>0.20499999999999999</v>
      </c>
      <c r="Q20" s="48">
        <v>0</v>
      </c>
      <c r="R20" s="48">
        <v>-0.24</v>
      </c>
      <c r="S20" s="48">
        <v>0</v>
      </c>
      <c r="T20" s="48"/>
    </row>
    <row r="21" spans="1:20" x14ac:dyDescent="0.3">
      <c r="A21" s="59">
        <v>44363.229166666664</v>
      </c>
      <c r="B21" s="60" t="s">
        <v>90</v>
      </c>
      <c r="C21" s="60" t="s">
        <v>136</v>
      </c>
      <c r="D21" s="60">
        <v>7.1</v>
      </c>
      <c r="E21" s="60">
        <v>26.1</v>
      </c>
      <c r="F21" s="60">
        <v>1.56</v>
      </c>
      <c r="G21" s="60">
        <v>1.56</v>
      </c>
      <c r="H21" s="60">
        <v>0.01</v>
      </c>
      <c r="I21" s="60">
        <v>0.24</v>
      </c>
      <c r="J21" s="60">
        <v>0</v>
      </c>
      <c r="K21" s="60">
        <v>0.42</v>
      </c>
      <c r="L21" s="60"/>
      <c r="M21" s="60"/>
      <c r="N21" s="60"/>
      <c r="O21" s="60"/>
      <c r="P21" s="60"/>
      <c r="Q21" s="60"/>
      <c r="R21" s="60"/>
      <c r="S21" s="60"/>
      <c r="T21" s="60"/>
    </row>
    <row r="22" spans="1:20" x14ac:dyDescent="0.3">
      <c r="A22" s="59">
        <v>44363.229166666664</v>
      </c>
      <c r="B22" s="60" t="s">
        <v>90</v>
      </c>
      <c r="C22" s="60" t="s">
        <v>137</v>
      </c>
      <c r="D22" s="60">
        <v>6.97</v>
      </c>
      <c r="E22" s="60">
        <v>26.8</v>
      </c>
      <c r="F22" s="60">
        <v>1.41</v>
      </c>
      <c r="G22" s="60">
        <v>1.5</v>
      </c>
      <c r="H22" s="60">
        <v>0.02</v>
      </c>
      <c r="I22" s="60">
        <v>7.0000000000000007E-2</v>
      </c>
      <c r="J22" s="60">
        <v>5.0000000000000001E-3</v>
      </c>
      <c r="K22" s="60">
        <v>0.46</v>
      </c>
      <c r="L22" s="60"/>
      <c r="M22" s="60"/>
      <c r="N22" s="60"/>
      <c r="O22" s="60"/>
      <c r="P22" s="60"/>
      <c r="Q22" s="60"/>
      <c r="R22" s="60"/>
      <c r="S22" s="60"/>
      <c r="T22" s="60"/>
    </row>
    <row r="23" spans="1:20" x14ac:dyDescent="0.3">
      <c r="A23" s="56">
        <v>44369.229166666664</v>
      </c>
      <c r="B23" s="48" t="s">
        <v>90</v>
      </c>
      <c r="C23" s="48" t="s">
        <v>136</v>
      </c>
      <c r="D23" s="48">
        <v>7.18</v>
      </c>
      <c r="E23" s="48">
        <v>25.8</v>
      </c>
      <c r="F23" s="48">
        <v>2.15</v>
      </c>
      <c r="G23" s="48">
        <v>2.04</v>
      </c>
      <c r="H23" s="48">
        <v>0</v>
      </c>
      <c r="I23" s="48">
        <v>0.12</v>
      </c>
      <c r="J23" s="48">
        <v>6.0000000000000001E-3</v>
      </c>
      <c r="K23" s="48">
        <v>0.43</v>
      </c>
      <c r="L23" s="48">
        <v>-2.1000000000000001E-2</v>
      </c>
      <c r="M23" s="48">
        <v>0.159</v>
      </c>
      <c r="N23" s="48">
        <v>0.875</v>
      </c>
      <c r="O23" s="48">
        <v>1E-3</v>
      </c>
      <c r="P23" s="48">
        <v>7.6999999999999999E-2</v>
      </c>
      <c r="Q23" s="48">
        <v>0</v>
      </c>
      <c r="R23" s="48">
        <v>0</v>
      </c>
      <c r="S23" s="48">
        <v>0</v>
      </c>
      <c r="T23" s="48"/>
    </row>
    <row r="24" spans="1:20" x14ac:dyDescent="0.3">
      <c r="A24" s="59">
        <v>44370.239583333336</v>
      </c>
      <c r="B24" s="60" t="s">
        <v>90</v>
      </c>
      <c r="C24" s="60" t="s">
        <v>136</v>
      </c>
      <c r="D24" s="60">
        <v>7.03</v>
      </c>
      <c r="E24" s="60">
        <v>26.2</v>
      </c>
      <c r="F24" s="60">
        <v>2.2400000000000002</v>
      </c>
      <c r="G24" s="60">
        <v>2.17</v>
      </c>
      <c r="H24" s="60">
        <v>0</v>
      </c>
      <c r="I24" s="60">
        <v>0.11</v>
      </c>
      <c r="J24" s="60">
        <v>5.0000000000000001E-3</v>
      </c>
      <c r="K24" s="60">
        <v>0.42</v>
      </c>
      <c r="L24" s="60"/>
      <c r="M24" s="60"/>
      <c r="N24" s="60"/>
      <c r="O24" s="60"/>
      <c r="P24" s="60"/>
      <c r="Q24" s="60"/>
      <c r="R24" s="60"/>
      <c r="S24" s="60"/>
      <c r="T24" s="60"/>
    </row>
    <row r="25" spans="1:20" x14ac:dyDescent="0.3">
      <c r="A25" s="59">
        <v>44370.239583333336</v>
      </c>
      <c r="B25" s="60" t="s">
        <v>90</v>
      </c>
      <c r="C25" s="60" t="s">
        <v>137</v>
      </c>
      <c r="D25" s="60">
        <v>6.94</v>
      </c>
      <c r="E25" s="60">
        <v>26</v>
      </c>
      <c r="F25" s="60">
        <v>2.04</v>
      </c>
      <c r="G25" s="60">
        <v>2.16</v>
      </c>
      <c r="H25" s="60">
        <v>0.01</v>
      </c>
      <c r="I25" s="60">
        <v>0.05</v>
      </c>
      <c r="J25" s="60">
        <v>6.0000000000000001E-3</v>
      </c>
      <c r="K25" s="60">
        <v>0.42</v>
      </c>
      <c r="L25" s="60"/>
      <c r="M25" s="60"/>
      <c r="N25" s="60"/>
      <c r="O25" s="60"/>
      <c r="P25" s="60"/>
      <c r="Q25" s="60"/>
      <c r="R25" s="60"/>
      <c r="S25" s="60"/>
      <c r="T25" s="60"/>
    </row>
    <row r="26" spans="1:20" x14ac:dyDescent="0.3">
      <c r="A26" s="56">
        <v>44384.239583333336</v>
      </c>
      <c r="B26" s="48" t="s">
        <v>90</v>
      </c>
      <c r="C26" s="48" t="s">
        <v>136</v>
      </c>
      <c r="D26" s="48">
        <v>6.98</v>
      </c>
      <c r="E26" s="48">
        <v>26.7</v>
      </c>
      <c r="F26" s="48">
        <v>2.09</v>
      </c>
      <c r="G26" s="48">
        <v>2.27</v>
      </c>
      <c r="H26" s="48">
        <v>0.03</v>
      </c>
      <c r="I26" s="48">
        <v>0.02</v>
      </c>
      <c r="J26" s="48">
        <v>5.0000000000000001E-3</v>
      </c>
      <c r="K26" s="48">
        <v>0.46</v>
      </c>
      <c r="L26" s="48">
        <v>0.01</v>
      </c>
      <c r="M26" s="48">
        <v>0.161</v>
      </c>
      <c r="N26" s="48">
        <v>0.47599999999999998</v>
      </c>
      <c r="O26" s="48">
        <v>1.6E-2</v>
      </c>
      <c r="P26" s="48">
        <v>9.9000000000000005E-2</v>
      </c>
      <c r="Q26" s="48">
        <v>1</v>
      </c>
      <c r="R26" s="48">
        <v>0.11</v>
      </c>
      <c r="S26" s="48">
        <v>0.02</v>
      </c>
      <c r="T26" s="48"/>
    </row>
    <row r="27" spans="1:20" x14ac:dyDescent="0.3">
      <c r="A27" s="59">
        <v>44385.229166666664</v>
      </c>
      <c r="B27" s="60" t="s">
        <v>90</v>
      </c>
      <c r="C27" s="60" t="s">
        <v>136</v>
      </c>
      <c r="D27" s="60">
        <v>6.88</v>
      </c>
      <c r="E27" s="60">
        <v>26.1</v>
      </c>
      <c r="F27" s="60">
        <v>2.0699999999999998</v>
      </c>
      <c r="G27" s="60">
        <v>2.77</v>
      </c>
      <c r="H27" s="60">
        <v>0.01</v>
      </c>
      <c r="I27" s="60">
        <v>0.02</v>
      </c>
      <c r="J27" s="60">
        <v>7.0000000000000001E-3</v>
      </c>
      <c r="K27" s="60">
        <v>0.46</v>
      </c>
      <c r="L27" s="60"/>
      <c r="M27" s="60"/>
      <c r="N27" s="60"/>
      <c r="O27" s="60"/>
      <c r="P27" s="60"/>
      <c r="Q27" s="60"/>
      <c r="R27" s="60"/>
      <c r="S27" s="60"/>
      <c r="T27" s="60"/>
    </row>
    <row r="28" spans="1:20" x14ac:dyDescent="0.3">
      <c r="A28" s="59">
        <v>44385.229166666664</v>
      </c>
      <c r="B28" s="60" t="s">
        <v>90</v>
      </c>
      <c r="C28" s="60" t="s">
        <v>137</v>
      </c>
      <c r="D28" s="60">
        <v>6.95</v>
      </c>
      <c r="E28" s="60">
        <v>27.1</v>
      </c>
      <c r="F28" s="60">
        <v>1.9</v>
      </c>
      <c r="G28" s="60">
        <v>2.13</v>
      </c>
      <c r="H28" s="60">
        <v>0</v>
      </c>
      <c r="I28" s="60">
        <v>0.06</v>
      </c>
      <c r="J28" s="60">
        <v>5.0000000000000001E-3</v>
      </c>
      <c r="K28" s="60">
        <v>0.49</v>
      </c>
      <c r="L28" s="60"/>
      <c r="M28" s="60"/>
      <c r="N28" s="60"/>
      <c r="O28" s="60"/>
      <c r="P28" s="60"/>
      <c r="Q28" s="60"/>
      <c r="R28" s="60"/>
      <c r="S28" s="60"/>
      <c r="T28" s="60"/>
    </row>
    <row r="29" spans="1:20" x14ac:dyDescent="0.3">
      <c r="A29" s="56">
        <v>44390.229166666664</v>
      </c>
      <c r="B29" s="48" t="s">
        <v>90</v>
      </c>
      <c r="C29" s="48" t="s">
        <v>136</v>
      </c>
      <c r="D29" s="48">
        <v>6.81</v>
      </c>
      <c r="E29" s="48">
        <v>25.3</v>
      </c>
      <c r="F29" s="48">
        <v>1.49</v>
      </c>
      <c r="G29" s="48">
        <v>2.38</v>
      </c>
      <c r="H29" s="48">
        <v>0.04</v>
      </c>
      <c r="I29" s="48">
        <v>0.01</v>
      </c>
      <c r="J29" s="48">
        <v>6.0000000000000001E-3</v>
      </c>
      <c r="K29" s="48">
        <v>0.45</v>
      </c>
      <c r="L29" s="48">
        <v>1.0999999999999999E-2</v>
      </c>
      <c r="M29" s="48">
        <v>0.16500000000000001</v>
      </c>
      <c r="N29" s="48">
        <v>0.495</v>
      </c>
      <c r="O29" s="48">
        <v>1.7000000000000001E-2</v>
      </c>
      <c r="P29" s="48">
        <v>0.14699999999999999</v>
      </c>
      <c r="Q29" s="48">
        <v>0</v>
      </c>
      <c r="R29" s="48">
        <v>0.11</v>
      </c>
      <c r="S29" s="48">
        <v>0.05</v>
      </c>
      <c r="T29" s="48"/>
    </row>
    <row r="30" spans="1:20" x14ac:dyDescent="0.3">
      <c r="A30" s="59">
        <v>44391.229166666664</v>
      </c>
      <c r="B30" s="60" t="s">
        <v>90</v>
      </c>
      <c r="C30" s="60" t="s">
        <v>136</v>
      </c>
      <c r="D30" s="60">
        <v>6.9</v>
      </c>
      <c r="E30" s="60">
        <v>26.3</v>
      </c>
      <c r="F30" s="60">
        <v>2.4900000000000002</v>
      </c>
      <c r="G30" s="60">
        <v>2.63</v>
      </c>
      <c r="H30" s="60">
        <v>0.01</v>
      </c>
      <c r="I30" s="60">
        <v>0.02</v>
      </c>
      <c r="J30" s="60">
        <v>6.0000000000000001E-3</v>
      </c>
      <c r="K30" s="60">
        <v>0.48</v>
      </c>
      <c r="L30" s="60"/>
      <c r="M30" s="60"/>
      <c r="N30" s="60"/>
      <c r="O30" s="60"/>
      <c r="P30" s="60"/>
      <c r="Q30" s="60"/>
      <c r="R30" s="60"/>
      <c r="S30" s="60"/>
      <c r="T30" s="60"/>
    </row>
    <row r="31" spans="1:20" x14ac:dyDescent="0.3">
      <c r="A31" s="59">
        <v>44391.229166666664</v>
      </c>
      <c r="B31" s="60" t="s">
        <v>90</v>
      </c>
      <c r="C31" s="60" t="s">
        <v>137</v>
      </c>
      <c r="D31" s="60">
        <v>6.86</v>
      </c>
      <c r="E31" s="60">
        <v>26.8</v>
      </c>
      <c r="F31" s="60">
        <v>2.46</v>
      </c>
      <c r="G31" s="60">
        <v>2.76</v>
      </c>
      <c r="H31" s="60">
        <v>0.03</v>
      </c>
      <c r="I31" s="60">
        <v>0.01</v>
      </c>
      <c r="J31" s="60">
        <v>5.0000000000000001E-3</v>
      </c>
      <c r="K31" s="60">
        <v>0.43</v>
      </c>
      <c r="L31" s="60"/>
      <c r="M31" s="60"/>
      <c r="N31" s="60"/>
      <c r="O31" s="60"/>
      <c r="P31" s="60"/>
      <c r="Q31" s="60"/>
      <c r="R31" s="60"/>
      <c r="S31" s="60"/>
      <c r="T31" s="60"/>
    </row>
    <row r="32" spans="1:20" x14ac:dyDescent="0.3">
      <c r="A32" s="56">
        <v>44397.236111111109</v>
      </c>
      <c r="B32" s="48" t="s">
        <v>90</v>
      </c>
      <c r="C32" s="48" t="s">
        <v>136</v>
      </c>
      <c r="D32" s="48">
        <v>6.85</v>
      </c>
      <c r="E32" s="48">
        <v>25.4</v>
      </c>
      <c r="F32" s="48">
        <v>2.14</v>
      </c>
      <c r="G32" s="48">
        <v>2.14</v>
      </c>
      <c r="H32" s="48">
        <v>0.04</v>
      </c>
      <c r="I32" s="48">
        <v>0.09</v>
      </c>
      <c r="J32" s="48">
        <v>6.0000000000000001E-3</v>
      </c>
      <c r="K32" s="48">
        <v>0.54</v>
      </c>
      <c r="L32" s="48"/>
      <c r="M32" s="48"/>
      <c r="N32" s="48"/>
      <c r="O32" s="48"/>
      <c r="P32" s="48">
        <v>0.107</v>
      </c>
      <c r="Q32" s="48">
        <v>0</v>
      </c>
      <c r="R32" s="48">
        <v>0.05</v>
      </c>
      <c r="S32" s="48">
        <v>0.04</v>
      </c>
      <c r="T32" s="48"/>
    </row>
    <row r="33" spans="1:20" x14ac:dyDescent="0.3">
      <c r="A33" s="59">
        <v>44398.232638888891</v>
      </c>
      <c r="B33" s="60" t="s">
        <v>90</v>
      </c>
      <c r="C33" s="60" t="s">
        <v>136</v>
      </c>
      <c r="D33" s="60">
        <v>6.81</v>
      </c>
      <c r="E33" s="60">
        <v>26.7</v>
      </c>
      <c r="F33" s="60">
        <v>1.55</v>
      </c>
      <c r="G33" s="60">
        <v>2.27</v>
      </c>
      <c r="H33" s="60">
        <v>0</v>
      </c>
      <c r="I33" s="60">
        <v>0.02</v>
      </c>
      <c r="J33" s="60">
        <v>5.0000000000000001E-3</v>
      </c>
      <c r="K33" s="60">
        <v>0.46</v>
      </c>
      <c r="L33" s="60"/>
      <c r="M33" s="60"/>
      <c r="N33" s="60"/>
      <c r="O33" s="60"/>
      <c r="P33" s="60"/>
      <c r="Q33" s="60"/>
      <c r="R33" s="60"/>
      <c r="S33" s="60"/>
      <c r="T33" s="60"/>
    </row>
    <row r="34" spans="1:20" x14ac:dyDescent="0.3">
      <c r="A34" s="59">
        <v>44398.232638888891</v>
      </c>
      <c r="B34" s="60" t="s">
        <v>90</v>
      </c>
      <c r="C34" s="60" t="s">
        <v>137</v>
      </c>
      <c r="D34" s="60">
        <v>6.82</v>
      </c>
      <c r="E34" s="60">
        <v>27</v>
      </c>
      <c r="F34" s="60">
        <v>2.15</v>
      </c>
      <c r="G34" s="60">
        <v>2.2400000000000002</v>
      </c>
      <c r="H34" s="60">
        <v>0.02</v>
      </c>
      <c r="I34" s="60">
        <v>0.02</v>
      </c>
      <c r="J34" s="60">
        <v>6.0000000000000001E-3</v>
      </c>
      <c r="K34" s="60">
        <v>0.52</v>
      </c>
      <c r="L34" s="60"/>
      <c r="M34" s="60"/>
      <c r="N34" s="60"/>
      <c r="O34" s="60"/>
      <c r="P34" s="60"/>
      <c r="Q34" s="60"/>
      <c r="R34" s="60"/>
      <c r="S34" s="60"/>
      <c r="T34" s="60"/>
    </row>
    <row r="35" spans="1:20" x14ac:dyDescent="0.3">
      <c r="A35" s="56">
        <v>44404.229166666664</v>
      </c>
      <c r="B35" s="48" t="s">
        <v>90</v>
      </c>
      <c r="C35" s="48" t="s">
        <v>136</v>
      </c>
      <c r="D35" s="48">
        <v>6.72</v>
      </c>
      <c r="E35" s="48">
        <v>28.3</v>
      </c>
      <c r="F35" s="48">
        <v>0.09</v>
      </c>
      <c r="G35" s="48">
        <v>0.93</v>
      </c>
      <c r="H35" s="48">
        <v>0.74</v>
      </c>
      <c r="I35" s="48">
        <v>0.04</v>
      </c>
      <c r="J35" s="48">
        <v>6.0000000000000001E-3</v>
      </c>
      <c r="K35" s="48">
        <v>0.49</v>
      </c>
      <c r="L35" s="48"/>
      <c r="M35" s="48"/>
      <c r="N35" s="48"/>
      <c r="O35" s="48"/>
      <c r="P35" s="48"/>
      <c r="Q35" s="48"/>
      <c r="R35" s="48"/>
      <c r="S35" s="48"/>
      <c r="T35" s="48"/>
    </row>
    <row r="36" spans="1:20" x14ac:dyDescent="0.3">
      <c r="A36" s="59">
        <v>44405.229166666664</v>
      </c>
      <c r="B36" s="60" t="s">
        <v>90</v>
      </c>
      <c r="C36" s="60" t="s">
        <v>136</v>
      </c>
      <c r="D36" s="60">
        <v>6.57</v>
      </c>
      <c r="E36" s="60">
        <v>27.4</v>
      </c>
      <c r="F36" s="60">
        <v>0.11</v>
      </c>
      <c r="G36" s="60">
        <v>2.23</v>
      </c>
      <c r="H36" s="60">
        <v>1.99</v>
      </c>
      <c r="I36" s="60">
        <v>0.11</v>
      </c>
      <c r="J36" s="60">
        <v>7.0000000000000001E-3</v>
      </c>
      <c r="K36" s="60">
        <v>0.47</v>
      </c>
      <c r="L36" s="60"/>
      <c r="M36" s="60"/>
      <c r="N36" s="60"/>
      <c r="O36" s="60"/>
      <c r="P36" s="60"/>
      <c r="Q36" s="60"/>
      <c r="R36" s="60"/>
      <c r="S36" s="60"/>
      <c r="T36" s="60"/>
    </row>
    <row r="37" spans="1:20" x14ac:dyDescent="0.3">
      <c r="A37" s="59">
        <v>44405.229166666664</v>
      </c>
      <c r="B37" s="60" t="s">
        <v>90</v>
      </c>
      <c r="C37" s="60" t="s">
        <v>137</v>
      </c>
      <c r="D37" s="60">
        <v>6.36</v>
      </c>
      <c r="E37" s="60">
        <v>27.8</v>
      </c>
      <c r="F37" s="60">
        <v>0.08</v>
      </c>
      <c r="G37" s="60">
        <v>2.04</v>
      </c>
      <c r="H37" s="60">
        <v>1.98</v>
      </c>
      <c r="I37" s="60">
        <v>0.19</v>
      </c>
      <c r="J37" s="60">
        <v>7.0000000000000001E-3</v>
      </c>
      <c r="K37" s="60">
        <v>0.43</v>
      </c>
      <c r="L37" s="60"/>
      <c r="M37" s="60"/>
      <c r="N37" s="60"/>
      <c r="O37" s="60"/>
      <c r="P37" s="60"/>
      <c r="Q37" s="60"/>
      <c r="R37" s="60"/>
      <c r="S37" s="60"/>
      <c r="T37" s="60"/>
    </row>
    <row r="38" spans="1:20" x14ac:dyDescent="0.3">
      <c r="A38" s="56">
        <v>44411.236111111109</v>
      </c>
      <c r="B38" s="48" t="s">
        <v>90</v>
      </c>
      <c r="C38" s="48" t="s">
        <v>136</v>
      </c>
      <c r="D38" s="48">
        <v>6.37</v>
      </c>
      <c r="E38" s="48">
        <v>27.3</v>
      </c>
      <c r="F38" s="48">
        <v>0.14000000000000001</v>
      </c>
      <c r="G38" s="48">
        <v>2.06</v>
      </c>
      <c r="H38" s="48">
        <v>1.97</v>
      </c>
      <c r="I38" s="48">
        <v>0.24</v>
      </c>
      <c r="J38" s="48">
        <v>6.0000000000000001E-3</v>
      </c>
      <c r="K38" s="48">
        <v>0.44</v>
      </c>
      <c r="L38" s="48"/>
      <c r="M38" s="48"/>
      <c r="N38" s="48"/>
      <c r="O38" s="48"/>
      <c r="P38" s="48">
        <v>0.128</v>
      </c>
      <c r="Q38" s="48">
        <v>0</v>
      </c>
      <c r="R38" s="48">
        <v>0.09</v>
      </c>
      <c r="S38" s="48">
        <v>0.03</v>
      </c>
      <c r="T38" s="48"/>
    </row>
    <row r="39" spans="1:20" x14ac:dyDescent="0.3">
      <c r="A39" s="59">
        <v>44412.236111111109</v>
      </c>
      <c r="B39" s="60" t="s">
        <v>90</v>
      </c>
      <c r="C39" s="60" t="s">
        <v>136</v>
      </c>
      <c r="D39" s="60">
        <v>6.88</v>
      </c>
      <c r="E39" s="60">
        <v>26.4</v>
      </c>
      <c r="F39" s="60">
        <v>0.1</v>
      </c>
      <c r="G39" s="60">
        <v>2.31</v>
      </c>
      <c r="H39" s="60">
        <v>2.0299999999999998</v>
      </c>
      <c r="I39" s="60">
        <v>0.23</v>
      </c>
      <c r="J39" s="60">
        <v>6.0000000000000001E-3</v>
      </c>
      <c r="K39" s="60">
        <v>0.48</v>
      </c>
      <c r="L39" s="60"/>
      <c r="M39" s="60"/>
      <c r="N39" s="60"/>
      <c r="O39" s="60"/>
      <c r="P39" s="60"/>
      <c r="Q39" s="60"/>
      <c r="R39" s="60"/>
      <c r="S39" s="60"/>
      <c r="T39" s="60"/>
    </row>
    <row r="40" spans="1:20" x14ac:dyDescent="0.3">
      <c r="A40" s="59">
        <v>44412.236111111109</v>
      </c>
      <c r="B40" s="60" t="s">
        <v>90</v>
      </c>
      <c r="C40" s="60" t="s">
        <v>137</v>
      </c>
      <c r="D40" s="60">
        <v>6.93</v>
      </c>
      <c r="E40" s="60">
        <v>28</v>
      </c>
      <c r="F40" s="60">
        <v>0.04</v>
      </c>
      <c r="G40" s="60">
        <v>2.29</v>
      </c>
      <c r="H40" s="60">
        <v>2.0099999999999998</v>
      </c>
      <c r="I40" s="60">
        <v>0.1</v>
      </c>
      <c r="J40" s="60">
        <v>8.0000000000000002E-3</v>
      </c>
      <c r="K40" s="60">
        <v>0.46</v>
      </c>
      <c r="L40" s="60"/>
      <c r="M40" s="60"/>
      <c r="N40" s="60"/>
      <c r="O40" s="60"/>
      <c r="P40" s="60"/>
      <c r="Q40" s="60"/>
      <c r="R40" s="60"/>
      <c r="S40" s="60"/>
      <c r="T40" s="60"/>
    </row>
    <row r="41" spans="1:20" x14ac:dyDescent="0.3">
      <c r="A41" s="56">
        <v>44418.232638888891</v>
      </c>
      <c r="B41" s="48" t="s">
        <v>90</v>
      </c>
      <c r="C41" s="48" t="s">
        <v>136</v>
      </c>
      <c r="D41" s="48">
        <v>6.37</v>
      </c>
      <c r="E41" s="48">
        <v>27.9</v>
      </c>
      <c r="F41" s="48">
        <v>0.12</v>
      </c>
      <c r="G41" s="48">
        <v>2.21</v>
      </c>
      <c r="H41" s="48">
        <v>1.89</v>
      </c>
      <c r="I41" s="48">
        <v>0.1</v>
      </c>
      <c r="J41" s="48">
        <v>6.0000000000000001E-3</v>
      </c>
      <c r="K41" s="48">
        <v>0.48</v>
      </c>
      <c r="L41" s="48"/>
      <c r="M41" s="48"/>
      <c r="N41" s="48"/>
      <c r="O41" s="48"/>
      <c r="P41" s="48">
        <v>1.73</v>
      </c>
      <c r="Q41" s="48">
        <v>2</v>
      </c>
      <c r="R41" s="48">
        <v>0.11</v>
      </c>
      <c r="S41" s="48">
        <v>0.03</v>
      </c>
      <c r="T41" s="48"/>
    </row>
    <row r="42" spans="1:20" x14ac:dyDescent="0.3">
      <c r="A42" s="59">
        <v>44419.229166666664</v>
      </c>
      <c r="B42" s="60" t="s">
        <v>90</v>
      </c>
      <c r="C42" s="60" t="s">
        <v>136</v>
      </c>
      <c r="D42" s="60">
        <v>6.42</v>
      </c>
      <c r="E42" s="60">
        <v>28.8</v>
      </c>
      <c r="F42" s="60">
        <v>0.15</v>
      </c>
      <c r="G42" s="60">
        <v>2.0499999999999998</v>
      </c>
      <c r="H42" s="60">
        <v>1.86</v>
      </c>
      <c r="I42" s="60">
        <v>0.16</v>
      </c>
      <c r="J42" s="60">
        <v>7.0000000000000001E-3</v>
      </c>
      <c r="K42" s="60">
        <v>0.54</v>
      </c>
      <c r="L42" s="60"/>
      <c r="M42" s="60"/>
      <c r="N42" s="60"/>
      <c r="O42" s="60"/>
      <c r="P42" s="60"/>
      <c r="Q42" s="60"/>
      <c r="R42" s="60"/>
      <c r="S42" s="60"/>
      <c r="T42" s="60"/>
    </row>
    <row r="43" spans="1:20" x14ac:dyDescent="0.3">
      <c r="A43" s="59">
        <v>44419.229166666664</v>
      </c>
      <c r="B43" s="60" t="s">
        <v>90</v>
      </c>
      <c r="C43" s="60" t="s">
        <v>137</v>
      </c>
      <c r="D43" s="60">
        <v>6.39</v>
      </c>
      <c r="E43" s="60">
        <v>27.1</v>
      </c>
      <c r="F43" s="60">
        <v>0.1</v>
      </c>
      <c r="G43" s="60">
        <v>2.02</v>
      </c>
      <c r="H43" s="60">
        <v>1.85</v>
      </c>
      <c r="I43" s="60">
        <v>0.14000000000000001</v>
      </c>
      <c r="J43" s="60">
        <v>8.0000000000000002E-3</v>
      </c>
      <c r="K43" s="60">
        <v>0.46</v>
      </c>
      <c r="L43" s="60"/>
      <c r="M43" s="60"/>
      <c r="N43" s="60"/>
      <c r="O43" s="60"/>
      <c r="P43" s="60"/>
      <c r="Q43" s="60"/>
      <c r="R43" s="60"/>
      <c r="S43" s="60"/>
      <c r="T43" s="60"/>
    </row>
    <row r="44" spans="1:20" x14ac:dyDescent="0.3">
      <c r="A44" s="56">
        <v>44425.5</v>
      </c>
      <c r="B44" s="48" t="s">
        <v>90</v>
      </c>
      <c r="C44" s="48" t="s">
        <v>136</v>
      </c>
      <c r="D44" s="48">
        <v>6.48</v>
      </c>
      <c r="E44" s="48">
        <v>26.7</v>
      </c>
      <c r="F44" s="48">
        <v>0.17</v>
      </c>
      <c r="G44" s="48">
        <v>2.0299999999999998</v>
      </c>
      <c r="H44" s="48">
        <v>1.67</v>
      </c>
      <c r="I44" s="48">
        <v>0.16</v>
      </c>
      <c r="J44" s="48">
        <v>1E-3</v>
      </c>
      <c r="K44" s="48">
        <v>0.43</v>
      </c>
      <c r="L44" s="48"/>
      <c r="M44" s="48"/>
      <c r="N44" s="48"/>
      <c r="O44" s="48"/>
      <c r="P44" s="48">
        <v>7.8E-2</v>
      </c>
      <c r="Q44" s="48">
        <v>-1</v>
      </c>
      <c r="R44" s="48">
        <v>0.1</v>
      </c>
      <c r="S44" s="48">
        <v>0.03</v>
      </c>
      <c r="T44" s="48"/>
    </row>
    <row r="45" spans="1:20" x14ac:dyDescent="0.3">
      <c r="A45" s="59">
        <v>44426.236111111109</v>
      </c>
      <c r="B45" s="60" t="s">
        <v>90</v>
      </c>
      <c r="C45" s="60" t="s">
        <v>136</v>
      </c>
      <c r="D45" s="60">
        <v>6.92</v>
      </c>
      <c r="E45" s="60">
        <v>27.4</v>
      </c>
      <c r="F45" s="60">
        <v>7.0000000000000007E-2</v>
      </c>
      <c r="G45" s="60">
        <v>2.2400000000000002</v>
      </c>
      <c r="H45" s="60">
        <v>1.9</v>
      </c>
      <c r="I45" s="60">
        <v>0.12</v>
      </c>
      <c r="J45" s="60">
        <v>2E-3</v>
      </c>
      <c r="K45" s="60">
        <v>0.44</v>
      </c>
      <c r="L45" s="60"/>
      <c r="M45" s="60"/>
      <c r="N45" s="60"/>
      <c r="O45" s="60"/>
      <c r="P45" s="60"/>
      <c r="Q45" s="60"/>
      <c r="R45" s="60"/>
      <c r="S45" s="60"/>
      <c r="T45" s="60"/>
    </row>
    <row r="46" spans="1:20" x14ac:dyDescent="0.3">
      <c r="A46" s="59">
        <v>44426.236111111109</v>
      </c>
      <c r="B46" s="60" t="s">
        <v>90</v>
      </c>
      <c r="C46" s="60" t="s">
        <v>137</v>
      </c>
      <c r="D46" s="60">
        <v>6.85</v>
      </c>
      <c r="E46" s="60">
        <v>27.3</v>
      </c>
      <c r="F46" s="60">
        <v>0.06</v>
      </c>
      <c r="G46" s="60">
        <v>2.16</v>
      </c>
      <c r="H46" s="60">
        <v>1.84</v>
      </c>
      <c r="I46" s="60">
        <v>0.34</v>
      </c>
      <c r="J46" s="60">
        <v>2E-3</v>
      </c>
      <c r="K46" s="60">
        <v>0.31</v>
      </c>
      <c r="L46" s="60"/>
      <c r="M46" s="60"/>
      <c r="N46" s="60"/>
      <c r="O46" s="60"/>
      <c r="P46" s="60"/>
      <c r="Q46" s="60"/>
      <c r="R46" s="60"/>
      <c r="S46" s="60"/>
      <c r="T46" s="60"/>
    </row>
    <row r="47" spans="1:20" x14ac:dyDescent="0.3">
      <c r="A47" s="56">
        <v>44432.243055555555</v>
      </c>
      <c r="B47" s="48" t="s">
        <v>90</v>
      </c>
      <c r="C47" s="48" t="s">
        <v>136</v>
      </c>
      <c r="D47" s="48">
        <v>6.96</v>
      </c>
      <c r="E47" s="48">
        <v>27.9</v>
      </c>
      <c r="F47" s="48">
        <v>0.08</v>
      </c>
      <c r="G47" s="48">
        <v>1.19</v>
      </c>
      <c r="H47" s="48">
        <v>1.18</v>
      </c>
      <c r="I47" s="48">
        <v>0.14000000000000001</v>
      </c>
      <c r="J47" s="48">
        <v>2E-3</v>
      </c>
      <c r="K47" s="48">
        <v>0.5</v>
      </c>
      <c r="L47" s="48"/>
      <c r="M47" s="48"/>
      <c r="N47" s="48"/>
      <c r="O47" s="48"/>
      <c r="P47" s="48">
        <v>0.153</v>
      </c>
      <c r="Q47" s="48">
        <v>1</v>
      </c>
      <c r="R47" s="48">
        <v>0.11</v>
      </c>
      <c r="S47" s="48">
        <v>0.05</v>
      </c>
      <c r="T47" s="48" t="s">
        <v>138</v>
      </c>
    </row>
    <row r="48" spans="1:20" x14ac:dyDescent="0.3">
      <c r="A48" s="59">
        <v>44433.236111111109</v>
      </c>
      <c r="B48" s="60" t="s">
        <v>90</v>
      </c>
      <c r="C48" s="60" t="s">
        <v>136</v>
      </c>
      <c r="D48" s="60">
        <v>6.95</v>
      </c>
      <c r="E48" s="60">
        <v>27.9</v>
      </c>
      <c r="F48" s="60">
        <v>7.0000000000000007E-2</v>
      </c>
      <c r="G48" s="60">
        <v>1.24</v>
      </c>
      <c r="H48" s="60">
        <v>1.32</v>
      </c>
      <c r="I48" s="60">
        <v>0.17</v>
      </c>
      <c r="J48" s="60">
        <v>2E-3</v>
      </c>
      <c r="K48" s="60">
        <v>0.48</v>
      </c>
      <c r="L48" s="60"/>
      <c r="M48" s="60"/>
      <c r="N48" s="60"/>
      <c r="O48" s="60"/>
      <c r="P48" s="60"/>
      <c r="Q48" s="60"/>
      <c r="R48" s="60"/>
      <c r="S48" s="60"/>
      <c r="T48" s="60"/>
    </row>
    <row r="49" spans="1:20" x14ac:dyDescent="0.3">
      <c r="A49" s="59">
        <v>44433.236111111109</v>
      </c>
      <c r="B49" s="60" t="s">
        <v>90</v>
      </c>
      <c r="C49" s="60" t="s">
        <v>137</v>
      </c>
      <c r="D49" s="60">
        <v>7.06</v>
      </c>
      <c r="E49" s="60">
        <v>28</v>
      </c>
      <c r="F49" s="60">
        <v>0.05</v>
      </c>
      <c r="G49" s="60">
        <v>1.37</v>
      </c>
      <c r="H49" s="60">
        <v>1.36</v>
      </c>
      <c r="I49" s="60">
        <v>0.17</v>
      </c>
      <c r="J49" s="60">
        <v>7.0000000000000001E-3</v>
      </c>
      <c r="K49" s="60">
        <v>0.54</v>
      </c>
      <c r="L49" s="60"/>
      <c r="M49" s="60"/>
      <c r="N49" s="60"/>
      <c r="O49" s="60"/>
      <c r="P49" s="60"/>
      <c r="Q49" s="60"/>
      <c r="R49" s="60"/>
      <c r="S49" s="60"/>
      <c r="T49" s="60"/>
    </row>
    <row r="50" spans="1:20" x14ac:dyDescent="0.3">
      <c r="A50" s="48"/>
      <c r="B50" s="48"/>
      <c r="C50" s="48"/>
      <c r="D50" s="48"/>
      <c r="E50" s="48"/>
      <c r="F50" s="48"/>
      <c r="G50" s="48"/>
      <c r="H50" s="48"/>
      <c r="I50" s="48"/>
      <c r="J50" s="48"/>
      <c r="K50" s="48"/>
      <c r="L50" s="48"/>
      <c r="M50" s="48"/>
      <c r="N50" s="48"/>
      <c r="O50" s="48"/>
      <c r="P50" s="48"/>
      <c r="Q50" s="48"/>
      <c r="R50" s="48"/>
      <c r="S50" s="48"/>
      <c r="T50" s="48"/>
    </row>
    <row r="51" spans="1:20" x14ac:dyDescent="0.3">
      <c r="A51" s="48"/>
      <c r="B51" s="48"/>
      <c r="C51" s="48"/>
      <c r="D51" s="48"/>
      <c r="E51" s="48"/>
      <c r="F51" s="48"/>
      <c r="G51" s="48"/>
      <c r="H51" s="48"/>
      <c r="I51" s="48"/>
      <c r="J51" s="48"/>
      <c r="K51" s="48"/>
      <c r="L51" s="48"/>
      <c r="M51" s="48"/>
      <c r="N51" s="48"/>
      <c r="O51" s="48"/>
      <c r="P51" s="48"/>
      <c r="Q51" s="48"/>
      <c r="R51" s="48"/>
      <c r="S51" s="48"/>
      <c r="T51" s="48"/>
    </row>
    <row r="52" spans="1:20" x14ac:dyDescent="0.3">
      <c r="A52" s="48"/>
      <c r="B52" s="48"/>
      <c r="C52" s="48"/>
      <c r="D52" s="48"/>
      <c r="E52" s="48"/>
      <c r="F52" s="48"/>
      <c r="G52" s="48"/>
      <c r="H52" s="48"/>
      <c r="I52" s="48"/>
      <c r="J52" s="48"/>
      <c r="K52" s="48"/>
      <c r="L52" s="48"/>
      <c r="M52" s="48"/>
      <c r="N52" s="48"/>
      <c r="O52" s="48"/>
      <c r="P52" s="48"/>
      <c r="Q52" s="48"/>
      <c r="R52" s="48"/>
      <c r="S52" s="48"/>
      <c r="T52" s="48"/>
    </row>
    <row r="53" spans="1:20" x14ac:dyDescent="0.3">
      <c r="A53" s="48"/>
      <c r="B53" s="48"/>
      <c r="C53" s="48"/>
      <c r="D53" s="48"/>
      <c r="E53" s="48"/>
      <c r="F53" s="48"/>
      <c r="G53" s="48"/>
      <c r="H53" s="48"/>
      <c r="I53" s="48"/>
      <c r="J53" s="48"/>
      <c r="K53" s="48"/>
      <c r="L53" s="48"/>
      <c r="M53" s="48"/>
      <c r="N53" s="48"/>
      <c r="O53" s="48"/>
      <c r="P53" s="48"/>
      <c r="Q53" s="48"/>
      <c r="R53" s="48"/>
      <c r="S53" s="48"/>
      <c r="T53" s="48"/>
    </row>
    <row r="54" spans="1:20" x14ac:dyDescent="0.3">
      <c r="A54" s="48"/>
      <c r="B54" s="48"/>
      <c r="C54" s="48"/>
      <c r="D54" s="48"/>
      <c r="E54" s="48"/>
      <c r="F54" s="48"/>
      <c r="G54" s="48"/>
      <c r="H54" s="48"/>
      <c r="I54" s="48"/>
      <c r="J54" s="48"/>
      <c r="K54" s="48"/>
      <c r="L54" s="48"/>
      <c r="M54" s="48"/>
      <c r="N54" s="48"/>
      <c r="O54" s="48"/>
      <c r="P54" s="48"/>
      <c r="Q54" s="48"/>
      <c r="R54" s="48"/>
      <c r="S54" s="48"/>
      <c r="T54" s="48"/>
    </row>
    <row r="55" spans="1:20" x14ac:dyDescent="0.3">
      <c r="A55" s="48"/>
      <c r="B55" s="48"/>
      <c r="C55" s="48"/>
      <c r="D55" s="48"/>
      <c r="E55" s="48"/>
      <c r="F55" s="48"/>
      <c r="G55" s="48"/>
      <c r="H55" s="48"/>
      <c r="I55" s="48"/>
      <c r="J55" s="48"/>
      <c r="K55" s="48"/>
      <c r="L55" s="48"/>
      <c r="M55" s="48"/>
      <c r="N55" s="48"/>
      <c r="O55" s="48"/>
      <c r="P55" s="48"/>
      <c r="Q55" s="48"/>
      <c r="R55" s="48"/>
      <c r="S55" s="48"/>
      <c r="T55" s="48"/>
    </row>
  </sheetData>
  <sheetProtection algorithmName="SHA-512" hashValue="J84kXtDy/2Pi4zPb26wzJa5txOPYY1tDrbeoXTVLx1QIJ2ARqe6q7UjTitLqdGINVC8k8mdIaEdhWu8bEVBQDQ==" saltValue="vhydmj8mp6EDAWmL8mp5DA==" spinCount="100000" sheet="1" objects="1" scenarios="1"/>
  <mergeCells count="3">
    <mergeCell ref="F1:K1"/>
    <mergeCell ref="L1:O1"/>
    <mergeCell ref="P1:S1"/>
  </mergeCells>
  <pageMargins left="0.7" right="0.7" top="0.75" bottom="0.75" header="0.3" footer="0.3"/>
  <pageSetup orientation="portrait"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7C29CE-79A6-458D-862A-14F1ED2C0E08}">
  <dimension ref="A1:T54"/>
  <sheetViews>
    <sheetView topLeftCell="A31" workbookViewId="0">
      <selection activeCell="E40" sqref="E40"/>
    </sheetView>
  </sheetViews>
  <sheetFormatPr defaultRowHeight="14.55" x14ac:dyDescent="0.3"/>
  <cols>
    <col min="1" max="1" width="14.77734375" bestFit="1" customWidth="1"/>
    <col min="2" max="2" width="9.77734375" customWidth="1"/>
    <col min="3" max="3" width="21.44140625" bestFit="1" customWidth="1"/>
    <col min="5" max="5" width="18.77734375" bestFit="1" customWidth="1"/>
    <col min="6" max="6" width="21.77734375" bestFit="1" customWidth="1"/>
    <col min="7" max="7" width="15.77734375" bestFit="1" customWidth="1"/>
    <col min="8" max="8" width="18.77734375" bestFit="1" customWidth="1"/>
    <col min="9" max="9" width="16.44140625" bestFit="1" customWidth="1"/>
    <col min="11" max="11" width="18" bestFit="1" customWidth="1"/>
    <col min="12" max="19" width="18" customWidth="1"/>
    <col min="20" max="20" width="22" bestFit="1" customWidth="1"/>
  </cols>
  <sheetData>
    <row r="1" spans="1:20" x14ac:dyDescent="0.3">
      <c r="D1" s="49"/>
      <c r="E1" s="49"/>
      <c r="F1" s="1739" t="s">
        <v>92</v>
      </c>
      <c r="G1" s="1739"/>
      <c r="H1" s="1739"/>
      <c r="I1" s="1739"/>
      <c r="J1" s="1739"/>
      <c r="K1" s="1739"/>
      <c r="L1" s="1740" t="s">
        <v>93</v>
      </c>
      <c r="M1" s="1740"/>
      <c r="N1" s="1740"/>
      <c r="O1" s="1740"/>
      <c r="P1" s="1741" t="s">
        <v>94</v>
      </c>
      <c r="Q1" s="1741"/>
      <c r="R1" s="1741"/>
      <c r="S1" s="1741"/>
      <c r="T1" s="50"/>
    </row>
    <row r="2" spans="1:20" s="51" customFormat="1" ht="46" customHeight="1" x14ac:dyDescent="0.3">
      <c r="A2" s="51" t="s">
        <v>122</v>
      </c>
      <c r="B2" s="51" t="s">
        <v>96</v>
      </c>
      <c r="C2" s="51" t="s">
        <v>13</v>
      </c>
      <c r="D2" s="53" t="s">
        <v>97</v>
      </c>
      <c r="E2" s="53" t="s">
        <v>98</v>
      </c>
      <c r="F2" s="53" t="s">
        <v>99</v>
      </c>
      <c r="G2" s="53" t="s">
        <v>100</v>
      </c>
      <c r="H2" s="53" t="s">
        <v>101</v>
      </c>
      <c r="I2" s="53" t="s">
        <v>102</v>
      </c>
      <c r="J2" s="53" t="s">
        <v>103</v>
      </c>
      <c r="K2" s="53" t="s">
        <v>104</v>
      </c>
      <c r="L2" s="54" t="s">
        <v>105</v>
      </c>
      <c r="M2" s="54" t="s">
        <v>106</v>
      </c>
      <c r="N2" s="54" t="s">
        <v>107</v>
      </c>
      <c r="O2" s="54" t="s">
        <v>108</v>
      </c>
      <c r="P2" s="52" t="s">
        <v>109</v>
      </c>
      <c r="Q2" s="52" t="s">
        <v>110</v>
      </c>
      <c r="R2" s="52" t="s">
        <v>111</v>
      </c>
      <c r="S2" s="52" t="s">
        <v>112</v>
      </c>
      <c r="T2" s="51" t="s">
        <v>113</v>
      </c>
    </row>
    <row r="3" spans="1:20" x14ac:dyDescent="0.3">
      <c r="A3" s="55">
        <v>44293.486111111109</v>
      </c>
      <c r="B3" s="48" t="s">
        <v>91</v>
      </c>
      <c r="C3" s="48" t="s">
        <v>139</v>
      </c>
      <c r="D3" s="48">
        <v>6.77</v>
      </c>
      <c r="E3" s="48">
        <v>24.4</v>
      </c>
      <c r="F3" s="48">
        <v>0.05</v>
      </c>
      <c r="G3" s="48">
        <v>2.15</v>
      </c>
      <c r="H3" s="48">
        <v>1.61</v>
      </c>
      <c r="I3" s="48">
        <v>0.22</v>
      </c>
      <c r="J3" s="48">
        <v>6.0000000000000001E-3</v>
      </c>
      <c r="K3" s="48">
        <v>0.46</v>
      </c>
      <c r="L3" s="48"/>
      <c r="M3" s="48"/>
      <c r="N3" s="48"/>
      <c r="O3" s="48"/>
      <c r="P3" s="48"/>
      <c r="Q3" s="48"/>
      <c r="R3" s="48"/>
      <c r="S3" s="48"/>
      <c r="T3" s="48" t="s">
        <v>124</v>
      </c>
    </row>
    <row r="4" spans="1:20" x14ac:dyDescent="0.3">
      <c r="A4" s="55">
        <v>44293.486111111109</v>
      </c>
      <c r="B4" s="48" t="s">
        <v>91</v>
      </c>
      <c r="C4" s="48" t="s">
        <v>140</v>
      </c>
      <c r="D4" s="48">
        <v>6.78</v>
      </c>
      <c r="E4" s="48">
        <v>20.3</v>
      </c>
      <c r="F4" s="48">
        <v>0</v>
      </c>
      <c r="G4" s="48">
        <v>2.1</v>
      </c>
      <c r="H4" s="48">
        <v>1.67</v>
      </c>
      <c r="I4" s="48">
        <v>0.25</v>
      </c>
      <c r="J4" s="48">
        <v>0.02</v>
      </c>
      <c r="K4" s="48">
        <v>0.49</v>
      </c>
      <c r="L4" s="48"/>
      <c r="M4" s="48"/>
      <c r="N4" s="48"/>
      <c r="O4" s="48"/>
      <c r="P4" s="48"/>
      <c r="Q4" s="48"/>
      <c r="R4" s="48"/>
      <c r="S4" s="48"/>
      <c r="T4" s="48" t="s">
        <v>124</v>
      </c>
    </row>
    <row r="5" spans="1:20" x14ac:dyDescent="0.3">
      <c r="A5" s="56">
        <v>44306.25</v>
      </c>
      <c r="B5" s="48" t="s">
        <v>91</v>
      </c>
      <c r="C5" s="48" t="s">
        <v>139</v>
      </c>
      <c r="D5" s="48">
        <v>6.61</v>
      </c>
      <c r="E5" s="48">
        <v>19</v>
      </c>
      <c r="F5" s="48">
        <v>0.09</v>
      </c>
      <c r="G5" s="48">
        <v>1.95</v>
      </c>
      <c r="H5" s="48">
        <v>1.42</v>
      </c>
      <c r="I5" s="48">
        <v>0.27</v>
      </c>
      <c r="J5" s="48">
        <v>7.0000000000000001E-3</v>
      </c>
      <c r="K5" s="48">
        <v>0.49</v>
      </c>
      <c r="L5" s="57">
        <v>0.52400000000000002</v>
      </c>
      <c r="M5" s="57">
        <v>0.156</v>
      </c>
      <c r="N5" s="48">
        <v>0.65300000000000002</v>
      </c>
      <c r="O5" s="48">
        <v>3.0000000000000001E-3</v>
      </c>
      <c r="P5" s="48"/>
      <c r="Q5" s="48"/>
      <c r="R5" s="48"/>
      <c r="S5" s="48"/>
      <c r="T5" s="48"/>
    </row>
    <row r="6" spans="1:20" x14ac:dyDescent="0.3">
      <c r="A6" s="56">
        <v>44313.298611111109</v>
      </c>
      <c r="B6" s="48" t="s">
        <v>91</v>
      </c>
      <c r="C6" s="48" t="s">
        <v>139</v>
      </c>
      <c r="D6" s="48">
        <v>6.74</v>
      </c>
      <c r="E6" s="48">
        <v>22.6</v>
      </c>
      <c r="F6" s="48">
        <v>0.06</v>
      </c>
      <c r="G6" s="48">
        <v>1.35</v>
      </c>
      <c r="H6" s="48">
        <v>1.29</v>
      </c>
      <c r="I6" s="48">
        <v>0.27</v>
      </c>
      <c r="J6" s="48">
        <v>8.0000000000000002E-3</v>
      </c>
      <c r="K6" s="48">
        <v>0.47</v>
      </c>
      <c r="L6" s="57">
        <v>0.57399999999999995</v>
      </c>
      <c r="M6" s="57">
        <v>0.14299999999999999</v>
      </c>
      <c r="N6" s="48">
        <v>0.71099999999999997</v>
      </c>
      <c r="O6" s="48">
        <v>3.0000000000000001E-3</v>
      </c>
      <c r="P6" s="48"/>
      <c r="Q6" s="48"/>
      <c r="R6" s="48"/>
      <c r="S6" s="48"/>
      <c r="T6" s="48"/>
    </row>
    <row r="7" spans="1:20" x14ac:dyDescent="0.3">
      <c r="A7" s="56">
        <v>44327.25</v>
      </c>
      <c r="B7" s="48" t="s">
        <v>91</v>
      </c>
      <c r="C7" s="48" t="s">
        <v>139</v>
      </c>
      <c r="D7" s="48">
        <v>6.79</v>
      </c>
      <c r="E7" s="48">
        <v>24.7</v>
      </c>
      <c r="F7" s="48">
        <v>0.06</v>
      </c>
      <c r="G7" s="48">
        <v>1.08</v>
      </c>
      <c r="H7" s="48">
        <v>1.1599999999999999</v>
      </c>
      <c r="I7" s="48">
        <v>0.22</v>
      </c>
      <c r="J7" s="48">
        <v>6.0000000000000001E-3</v>
      </c>
      <c r="K7" s="48">
        <v>0.41</v>
      </c>
      <c r="L7" s="57">
        <v>0.50900000000000001</v>
      </c>
      <c r="M7" s="57">
        <v>0.14399999999999999</v>
      </c>
      <c r="N7" s="48">
        <v>0.59099999999999997</v>
      </c>
      <c r="O7" s="48">
        <v>3.0000000000000001E-3</v>
      </c>
      <c r="P7" s="48"/>
      <c r="Q7" s="48"/>
      <c r="R7" s="48"/>
      <c r="S7" s="48"/>
      <c r="T7" s="48"/>
    </row>
    <row r="8" spans="1:20" x14ac:dyDescent="0.3">
      <c r="A8" s="56">
        <v>44334.25</v>
      </c>
      <c r="B8" s="48" t="s">
        <v>91</v>
      </c>
      <c r="C8" s="48" t="s">
        <v>139</v>
      </c>
      <c r="D8" s="48">
        <v>6.8</v>
      </c>
      <c r="E8" s="48">
        <v>22.7</v>
      </c>
      <c r="F8" s="48">
        <v>0</v>
      </c>
      <c r="G8" s="48">
        <v>1.42</v>
      </c>
      <c r="H8" s="48">
        <v>1.1499999999999999</v>
      </c>
      <c r="I8" s="48">
        <v>0.25</v>
      </c>
      <c r="J8" s="48">
        <v>6.0000000000000001E-3</v>
      </c>
      <c r="K8" s="48">
        <v>0.4</v>
      </c>
      <c r="L8" s="57">
        <v>0.52200000000000002</v>
      </c>
      <c r="M8" s="57">
        <v>2E-3</v>
      </c>
      <c r="N8" s="48">
        <v>0.41699999999999998</v>
      </c>
      <c r="O8" s="48">
        <v>8.9999999999999993E-3</v>
      </c>
      <c r="P8" s="48">
        <v>0.14599999999999999</v>
      </c>
      <c r="Q8" s="48">
        <v>4</v>
      </c>
      <c r="R8" s="48">
        <v>0.33</v>
      </c>
      <c r="S8" s="48">
        <v>0.03</v>
      </c>
      <c r="T8" s="48"/>
    </row>
    <row r="9" spans="1:20" x14ac:dyDescent="0.3">
      <c r="A9" s="59">
        <v>44335.246527777781</v>
      </c>
      <c r="B9" s="60" t="s">
        <v>91</v>
      </c>
      <c r="C9" s="60" t="s">
        <v>139</v>
      </c>
      <c r="D9" s="60">
        <v>6.78</v>
      </c>
      <c r="E9" s="60">
        <v>23.2</v>
      </c>
      <c r="F9" s="60">
        <v>0.08</v>
      </c>
      <c r="G9" s="60">
        <v>1.1299999999999999</v>
      </c>
      <c r="H9" s="60">
        <v>1.04</v>
      </c>
      <c r="I9" s="60">
        <v>0.24</v>
      </c>
      <c r="J9" s="60">
        <v>7.0000000000000001E-3</v>
      </c>
      <c r="K9" s="60">
        <v>0.44</v>
      </c>
      <c r="L9" s="60"/>
      <c r="M9" s="60"/>
      <c r="N9" s="60"/>
      <c r="O9" s="60"/>
      <c r="P9" s="60"/>
      <c r="Q9" s="60"/>
      <c r="R9" s="60"/>
      <c r="S9" s="60"/>
      <c r="T9" s="60"/>
    </row>
    <row r="10" spans="1:20" x14ac:dyDescent="0.3">
      <c r="A10" s="59">
        <v>44335.246527777781</v>
      </c>
      <c r="B10" s="60" t="s">
        <v>91</v>
      </c>
      <c r="C10" s="60" t="s">
        <v>141</v>
      </c>
      <c r="D10" s="60">
        <v>6.79</v>
      </c>
      <c r="E10" s="60">
        <v>22.5</v>
      </c>
      <c r="F10" s="60">
        <v>0.08</v>
      </c>
      <c r="G10" s="60">
        <v>1</v>
      </c>
      <c r="H10" s="60">
        <v>0.98</v>
      </c>
      <c r="I10" s="60">
        <v>0.26</v>
      </c>
      <c r="J10" s="60">
        <v>8.0000000000000002E-3</v>
      </c>
      <c r="K10" s="60">
        <v>0.43</v>
      </c>
      <c r="L10" s="60"/>
      <c r="M10" s="60"/>
      <c r="N10" s="60"/>
      <c r="O10" s="60"/>
      <c r="P10" s="60"/>
      <c r="Q10" s="60"/>
      <c r="R10" s="60"/>
      <c r="S10" s="60"/>
      <c r="T10" s="60"/>
    </row>
    <row r="11" spans="1:20" x14ac:dyDescent="0.3">
      <c r="A11" s="56">
        <v>44341.25</v>
      </c>
      <c r="B11" s="48" t="s">
        <v>91</v>
      </c>
      <c r="C11" s="48" t="s">
        <v>139</v>
      </c>
      <c r="D11" s="48">
        <v>6.72</v>
      </c>
      <c r="E11" s="48">
        <v>22.2</v>
      </c>
      <c r="F11" s="48">
        <v>0.08</v>
      </c>
      <c r="G11" s="48">
        <v>1.44</v>
      </c>
      <c r="H11" s="48">
        <v>1.05</v>
      </c>
      <c r="I11" s="48">
        <v>0.22</v>
      </c>
      <c r="J11" s="48">
        <v>4.0000000000000001E-3</v>
      </c>
      <c r="K11" s="48">
        <v>0.41</v>
      </c>
      <c r="L11" s="57">
        <v>0.50900000000000001</v>
      </c>
      <c r="M11" s="57">
        <v>0.14799999999999999</v>
      </c>
      <c r="N11" s="48">
        <v>0.51400000000000001</v>
      </c>
      <c r="O11" s="48">
        <v>2.8000000000000001E-2</v>
      </c>
      <c r="P11" s="48">
        <v>0.123</v>
      </c>
      <c r="Q11" s="48">
        <v>2</v>
      </c>
      <c r="R11" s="48">
        <v>0.08</v>
      </c>
      <c r="S11" s="48">
        <v>0.04</v>
      </c>
      <c r="T11" s="48"/>
    </row>
    <row r="12" spans="1:20" x14ac:dyDescent="0.3">
      <c r="A12" s="59">
        <v>44342.246527777781</v>
      </c>
      <c r="B12" s="60" t="s">
        <v>91</v>
      </c>
      <c r="C12" s="60" t="s">
        <v>139</v>
      </c>
      <c r="D12" s="60">
        <v>6.71</v>
      </c>
      <c r="E12" s="60">
        <v>23</v>
      </c>
      <c r="F12" s="60">
        <v>0.05</v>
      </c>
      <c r="G12" s="60">
        <v>1.29</v>
      </c>
      <c r="H12" s="60">
        <v>0.97</v>
      </c>
      <c r="I12" s="60">
        <v>0.22</v>
      </c>
      <c r="J12" s="60">
        <v>3.0000000000000001E-3</v>
      </c>
      <c r="K12" s="60">
        <v>0.52</v>
      </c>
      <c r="L12" s="60"/>
      <c r="M12" s="60"/>
      <c r="N12" s="60"/>
      <c r="O12" s="60"/>
      <c r="P12" s="60"/>
      <c r="Q12" s="60"/>
      <c r="R12" s="60"/>
      <c r="S12" s="60"/>
      <c r="T12" s="60"/>
    </row>
    <row r="13" spans="1:20" x14ac:dyDescent="0.3">
      <c r="A13" s="59">
        <v>44342.253472222219</v>
      </c>
      <c r="B13" s="60" t="s">
        <v>91</v>
      </c>
      <c r="C13" s="60" t="s">
        <v>141</v>
      </c>
      <c r="D13" s="60">
        <v>6.7</v>
      </c>
      <c r="E13" s="60">
        <v>23.3</v>
      </c>
      <c r="F13" s="60">
        <v>0.05</v>
      </c>
      <c r="G13" s="60">
        <v>1.2</v>
      </c>
      <c r="H13" s="60">
        <v>0.84</v>
      </c>
      <c r="I13" s="60">
        <v>0.25</v>
      </c>
      <c r="J13" s="60">
        <v>4.0000000000000001E-3</v>
      </c>
      <c r="K13" s="60">
        <v>0.54</v>
      </c>
      <c r="L13" s="60"/>
      <c r="M13" s="60"/>
      <c r="N13" s="60"/>
      <c r="O13" s="60"/>
      <c r="P13" s="60"/>
      <c r="Q13" s="60"/>
      <c r="R13" s="60"/>
      <c r="S13" s="60"/>
      <c r="T13" s="60"/>
    </row>
    <row r="14" spans="1:20" x14ac:dyDescent="0.3">
      <c r="A14" s="56">
        <v>44349.25</v>
      </c>
      <c r="B14" s="48" t="s">
        <v>91</v>
      </c>
      <c r="C14" s="48" t="s">
        <v>139</v>
      </c>
      <c r="D14" s="48">
        <v>6.76</v>
      </c>
      <c r="E14" s="48">
        <v>24.3</v>
      </c>
      <c r="F14" s="48">
        <v>7.0000000000000007E-2</v>
      </c>
      <c r="G14" s="48">
        <v>1.29</v>
      </c>
      <c r="H14" s="48">
        <v>1.08</v>
      </c>
      <c r="I14" s="48">
        <v>0.24</v>
      </c>
      <c r="J14" s="48">
        <v>8.9999999999999993E-3</v>
      </c>
      <c r="K14" s="48">
        <v>0.49</v>
      </c>
      <c r="L14" s="57">
        <v>0.56100000000000005</v>
      </c>
      <c r="M14" s="57">
        <v>0.112</v>
      </c>
      <c r="N14" s="48">
        <v>0.371</v>
      </c>
      <c r="O14" s="48">
        <v>2E-3</v>
      </c>
      <c r="P14" s="48">
        <v>0.16800000000000001</v>
      </c>
      <c r="Q14" s="48">
        <v>0</v>
      </c>
      <c r="R14" s="48">
        <v>0</v>
      </c>
      <c r="S14" s="48">
        <v>0.03</v>
      </c>
      <c r="T14" s="48"/>
    </row>
    <row r="15" spans="1:20" x14ac:dyDescent="0.3">
      <c r="A15" s="59">
        <v>44350.25</v>
      </c>
      <c r="B15" s="60" t="s">
        <v>91</v>
      </c>
      <c r="C15" s="60" t="s">
        <v>139</v>
      </c>
      <c r="D15" s="60">
        <v>6.75</v>
      </c>
      <c r="E15" s="60">
        <v>23.7</v>
      </c>
      <c r="F15" s="60">
        <v>0.21</v>
      </c>
      <c r="G15" s="60">
        <v>0.73</v>
      </c>
      <c r="H15" s="60">
        <v>0.79</v>
      </c>
      <c r="I15" s="60">
        <v>0.26</v>
      </c>
      <c r="J15" s="60">
        <v>7.0000000000000001E-3</v>
      </c>
      <c r="K15" s="60">
        <v>0.48</v>
      </c>
      <c r="L15" s="60"/>
      <c r="M15" s="60"/>
      <c r="N15" s="60"/>
      <c r="O15" s="60"/>
      <c r="P15" s="60"/>
      <c r="Q15" s="60"/>
      <c r="R15" s="60"/>
      <c r="S15" s="60"/>
      <c r="T15" s="60"/>
    </row>
    <row r="16" spans="1:20" x14ac:dyDescent="0.3">
      <c r="A16" s="59">
        <v>44350.25</v>
      </c>
      <c r="B16" s="60" t="s">
        <v>91</v>
      </c>
      <c r="C16" s="60" t="s">
        <v>141</v>
      </c>
      <c r="D16" s="60">
        <v>6.8</v>
      </c>
      <c r="E16" s="60">
        <v>23.9</v>
      </c>
      <c r="F16" s="60">
        <v>0.05</v>
      </c>
      <c r="G16" s="60">
        <v>0.56000000000000005</v>
      </c>
      <c r="H16" s="60">
        <v>0.59</v>
      </c>
      <c r="I16" s="60">
        <v>0.41</v>
      </c>
      <c r="J16" s="60">
        <v>1.2E-2</v>
      </c>
      <c r="K16" s="60">
        <v>0.48</v>
      </c>
      <c r="L16" s="60"/>
      <c r="M16" s="60"/>
      <c r="N16" s="60"/>
      <c r="O16" s="60"/>
      <c r="P16" s="60"/>
      <c r="Q16" s="60"/>
      <c r="R16" s="60"/>
      <c r="S16" s="60"/>
      <c r="T16" s="60"/>
    </row>
    <row r="17" spans="1:20" x14ac:dyDescent="0.3">
      <c r="A17" s="56">
        <v>44362.239583333336</v>
      </c>
      <c r="B17" s="48" t="s">
        <v>91</v>
      </c>
      <c r="C17" s="48" t="s">
        <v>139</v>
      </c>
      <c r="D17" s="48">
        <v>7.01</v>
      </c>
      <c r="E17" s="48">
        <v>27.9</v>
      </c>
      <c r="F17" s="48">
        <v>0.14000000000000001</v>
      </c>
      <c r="G17" s="48">
        <v>0.15</v>
      </c>
      <c r="H17" s="48">
        <v>0.09</v>
      </c>
      <c r="I17" s="48">
        <v>0.01</v>
      </c>
      <c r="J17" s="48">
        <v>6.0000000000000001E-3</v>
      </c>
      <c r="K17" s="48">
        <v>0.44</v>
      </c>
      <c r="L17" s="61">
        <v>0.39400000000000002</v>
      </c>
      <c r="M17" s="61">
        <v>0.39400000000000002</v>
      </c>
      <c r="N17" s="58">
        <v>0.93899999999999995</v>
      </c>
      <c r="O17" s="58">
        <v>-1E-3</v>
      </c>
      <c r="P17" s="48">
        <v>0.318</v>
      </c>
      <c r="Q17" s="48">
        <v>0</v>
      </c>
      <c r="R17" s="48">
        <v>-0.1</v>
      </c>
      <c r="S17" s="48">
        <v>0</v>
      </c>
      <c r="T17" s="48"/>
    </row>
    <row r="18" spans="1:20" x14ac:dyDescent="0.3">
      <c r="A18" s="59">
        <v>44363.253472222219</v>
      </c>
      <c r="B18" s="60" t="s">
        <v>91</v>
      </c>
      <c r="C18" s="60" t="s">
        <v>139</v>
      </c>
      <c r="D18" s="60">
        <v>6.86</v>
      </c>
      <c r="E18" s="60">
        <v>23.6</v>
      </c>
      <c r="F18" s="60">
        <v>0.02</v>
      </c>
      <c r="G18" s="60">
        <v>0.13</v>
      </c>
      <c r="H18" s="60">
        <v>0.02</v>
      </c>
      <c r="I18" s="60">
        <v>7.0000000000000007E-2</v>
      </c>
      <c r="J18" s="60">
        <v>8.9999999999999993E-3</v>
      </c>
      <c r="K18" s="60">
        <v>0.56000000000000005</v>
      </c>
      <c r="L18" s="60"/>
      <c r="M18" s="60"/>
      <c r="N18" s="60"/>
      <c r="O18" s="60"/>
      <c r="P18" s="60"/>
      <c r="Q18" s="60"/>
      <c r="R18" s="60"/>
      <c r="S18" s="60"/>
      <c r="T18" s="60"/>
    </row>
    <row r="19" spans="1:20" x14ac:dyDescent="0.3">
      <c r="A19" s="59">
        <v>44363.253472222219</v>
      </c>
      <c r="B19" s="60" t="s">
        <v>91</v>
      </c>
      <c r="C19" s="60" t="s">
        <v>141</v>
      </c>
      <c r="D19" s="60">
        <v>6.92</v>
      </c>
      <c r="E19" s="60">
        <v>25.1</v>
      </c>
      <c r="F19" s="60">
        <v>0.02</v>
      </c>
      <c r="G19" s="60">
        <v>0.11</v>
      </c>
      <c r="H19" s="60">
        <v>0.01</v>
      </c>
      <c r="I19" s="60">
        <v>0.06</v>
      </c>
      <c r="J19" s="60">
        <v>1.7999999999999999E-2</v>
      </c>
      <c r="K19" s="60">
        <v>0.57999999999999996</v>
      </c>
      <c r="L19" s="60"/>
      <c r="M19" s="60"/>
      <c r="N19" s="60"/>
      <c r="O19" s="60"/>
      <c r="P19" s="60"/>
      <c r="Q19" s="60"/>
      <c r="R19" s="60"/>
      <c r="S19" s="60"/>
      <c r="T19" s="60"/>
    </row>
    <row r="20" spans="1:20" x14ac:dyDescent="0.3">
      <c r="A20" s="56">
        <v>44369.253472222219</v>
      </c>
      <c r="B20" s="48" t="s">
        <v>91</v>
      </c>
      <c r="C20" s="48" t="s">
        <v>139</v>
      </c>
      <c r="D20" s="48">
        <v>6.94</v>
      </c>
      <c r="E20" s="48">
        <v>23.8</v>
      </c>
      <c r="F20" s="48">
        <v>1.7</v>
      </c>
      <c r="G20" s="48">
        <v>1.94</v>
      </c>
      <c r="H20" s="48">
        <v>0.02</v>
      </c>
      <c r="I20" s="48">
        <v>0.03</v>
      </c>
      <c r="J20" s="48">
        <v>6.0000000000000001E-3</v>
      </c>
      <c r="K20" s="48">
        <v>0.56999999999999995</v>
      </c>
      <c r="L20" s="48">
        <v>-2.8000000000000001E-2</v>
      </c>
      <c r="M20" s="48">
        <v>0.19</v>
      </c>
      <c r="N20" s="48">
        <v>0.83399999999999996</v>
      </c>
      <c r="O20" s="48">
        <v>-1E-3</v>
      </c>
      <c r="P20" s="48">
        <v>6.4000000000000001E-2</v>
      </c>
      <c r="Q20" s="48">
        <v>0</v>
      </c>
      <c r="R20" s="48">
        <v>0</v>
      </c>
      <c r="S20" s="48">
        <v>0</v>
      </c>
      <c r="T20" s="48"/>
    </row>
    <row r="21" spans="1:20" x14ac:dyDescent="0.3">
      <c r="A21" s="59">
        <v>44370.246527777781</v>
      </c>
      <c r="B21" s="60" t="s">
        <v>91</v>
      </c>
      <c r="C21" s="60" t="s">
        <v>139</v>
      </c>
      <c r="D21" s="60">
        <v>7.07</v>
      </c>
      <c r="E21" s="60">
        <v>24.5</v>
      </c>
      <c r="F21" s="60">
        <v>1.55</v>
      </c>
      <c r="G21" s="60">
        <v>1.76</v>
      </c>
      <c r="H21" s="60">
        <v>0.56000000000000005</v>
      </c>
      <c r="I21" s="60">
        <v>0.09</v>
      </c>
      <c r="J21" s="60">
        <v>6.0000000000000001E-3</v>
      </c>
      <c r="K21" s="60">
        <v>0.53</v>
      </c>
      <c r="L21" s="60"/>
      <c r="M21" s="60"/>
      <c r="N21" s="60"/>
      <c r="O21" s="60"/>
      <c r="P21" s="60"/>
      <c r="Q21" s="60"/>
      <c r="R21" s="60"/>
      <c r="S21" s="60"/>
      <c r="T21" s="60"/>
    </row>
    <row r="22" spans="1:20" x14ac:dyDescent="0.3">
      <c r="A22" s="59">
        <v>44370.246527777781</v>
      </c>
      <c r="B22" s="60" t="s">
        <v>91</v>
      </c>
      <c r="C22" s="60" t="s">
        <v>141</v>
      </c>
      <c r="D22" s="60">
        <v>7.05</v>
      </c>
      <c r="E22" s="60">
        <v>24.5</v>
      </c>
      <c r="F22" s="60">
        <v>1.2</v>
      </c>
      <c r="G22" s="60">
        <v>1.3</v>
      </c>
      <c r="H22" s="60">
        <v>0.01</v>
      </c>
      <c r="I22" s="60">
        <v>0.08</v>
      </c>
      <c r="J22" s="60">
        <v>6.0000000000000001E-3</v>
      </c>
      <c r="K22" s="60">
        <v>0.54</v>
      </c>
      <c r="L22" s="60"/>
      <c r="M22" s="60"/>
      <c r="N22" s="60"/>
      <c r="O22" s="60"/>
      <c r="P22" s="60"/>
      <c r="Q22" s="60"/>
      <c r="R22" s="60"/>
      <c r="S22" s="60"/>
      <c r="T22" s="60"/>
    </row>
    <row r="23" spans="1:20" x14ac:dyDescent="0.3">
      <c r="A23" s="56">
        <v>44376.253472222219</v>
      </c>
      <c r="B23" s="48" t="s">
        <v>91</v>
      </c>
      <c r="C23" s="48" t="s">
        <v>139</v>
      </c>
      <c r="D23" s="48">
        <v>7.01</v>
      </c>
      <c r="E23" s="48">
        <v>23.8</v>
      </c>
      <c r="F23" s="48">
        <v>1.37</v>
      </c>
      <c r="G23" s="48">
        <v>1.52</v>
      </c>
      <c r="H23" s="48">
        <v>0.02</v>
      </c>
      <c r="I23" s="48">
        <v>0.02</v>
      </c>
      <c r="J23" s="48">
        <v>6.0000000000000001E-3</v>
      </c>
      <c r="K23" s="48">
        <v>0.54</v>
      </c>
      <c r="L23" s="48">
        <v>-1.9E-2</v>
      </c>
      <c r="M23" s="48">
        <v>0.17100000000000001</v>
      </c>
      <c r="N23" s="48">
        <v>0.66500000000000004</v>
      </c>
      <c r="O23" s="48">
        <v>1E-3</v>
      </c>
      <c r="P23" s="48">
        <v>8.1000000000000003E-2</v>
      </c>
      <c r="Q23" s="48">
        <v>0</v>
      </c>
      <c r="R23" s="48">
        <v>0.87</v>
      </c>
      <c r="S23" s="48">
        <v>0</v>
      </c>
      <c r="T23" s="48"/>
    </row>
    <row r="24" spans="1:20" x14ac:dyDescent="0.3">
      <c r="A24" s="59">
        <v>44377.246527777781</v>
      </c>
      <c r="B24" s="60" t="s">
        <v>91</v>
      </c>
      <c r="C24" s="60" t="s">
        <v>139</v>
      </c>
      <c r="D24" s="60">
        <v>7.02</v>
      </c>
      <c r="E24" s="60">
        <v>23.7</v>
      </c>
      <c r="F24" s="60">
        <v>1.71</v>
      </c>
      <c r="G24" s="60">
        <v>1.9</v>
      </c>
      <c r="H24" s="60">
        <v>0.01</v>
      </c>
      <c r="I24" s="60">
        <v>7.0000000000000007E-2</v>
      </c>
      <c r="J24" s="60">
        <v>6.0000000000000001E-3</v>
      </c>
      <c r="K24" s="60">
        <v>0.57999999999999996</v>
      </c>
      <c r="L24" s="60"/>
      <c r="M24" s="60"/>
      <c r="N24" s="60"/>
      <c r="O24" s="60"/>
      <c r="P24" s="60"/>
      <c r="Q24" s="60"/>
      <c r="R24" s="60"/>
      <c r="S24" s="60"/>
      <c r="T24" s="60"/>
    </row>
    <row r="25" spans="1:20" x14ac:dyDescent="0.3">
      <c r="A25" s="59">
        <v>44377.246527777781</v>
      </c>
      <c r="B25" s="60" t="s">
        <v>91</v>
      </c>
      <c r="C25" s="60" t="s">
        <v>141</v>
      </c>
      <c r="D25" s="60">
        <v>7.02</v>
      </c>
      <c r="E25" s="60">
        <v>24.5</v>
      </c>
      <c r="F25" s="60">
        <v>1.19</v>
      </c>
      <c r="G25" s="60">
        <v>1.33</v>
      </c>
      <c r="H25" s="60">
        <v>0.11</v>
      </c>
      <c r="I25" s="60">
        <v>0.09</v>
      </c>
      <c r="J25" s="60">
        <v>6.0000000000000001E-3</v>
      </c>
      <c r="K25" s="60">
        <v>0.6</v>
      </c>
      <c r="L25" s="60"/>
      <c r="M25" s="60"/>
      <c r="N25" s="60"/>
      <c r="O25" s="60"/>
      <c r="P25" s="60"/>
      <c r="Q25" s="60"/>
      <c r="R25" s="60"/>
      <c r="S25" s="60"/>
      <c r="T25" s="60"/>
    </row>
    <row r="26" spans="1:20" x14ac:dyDescent="0.3">
      <c r="A26" s="56">
        <v>44384.253472222219</v>
      </c>
      <c r="B26" s="48" t="s">
        <v>91</v>
      </c>
      <c r="C26" s="48" t="s">
        <v>139</v>
      </c>
      <c r="D26" s="48">
        <v>7.01</v>
      </c>
      <c r="E26" s="48">
        <v>24.4</v>
      </c>
      <c r="F26" s="48">
        <v>1.74</v>
      </c>
      <c r="G26" s="48">
        <v>1.97</v>
      </c>
      <c r="H26" s="48">
        <v>0</v>
      </c>
      <c r="I26" s="48">
        <v>0.02</v>
      </c>
      <c r="J26" s="48">
        <v>7.0000000000000001E-3</v>
      </c>
      <c r="K26" s="48">
        <v>0.52</v>
      </c>
      <c r="L26" s="48">
        <v>1.0999999999999999E-2</v>
      </c>
      <c r="M26" s="48">
        <v>0.186</v>
      </c>
      <c r="N26" s="48">
        <v>0.46200000000000002</v>
      </c>
      <c r="O26" s="48">
        <v>1.4999999999999999E-2</v>
      </c>
      <c r="P26" s="48">
        <v>7.8E-2</v>
      </c>
      <c r="Q26" s="48">
        <v>9</v>
      </c>
      <c r="R26" s="48">
        <v>0.09</v>
      </c>
      <c r="S26" s="48">
        <v>0.02</v>
      </c>
      <c r="T26" s="48"/>
    </row>
    <row r="27" spans="1:20" x14ac:dyDescent="0.3">
      <c r="A27" s="59">
        <v>44385.246527777781</v>
      </c>
      <c r="B27" s="60" t="s">
        <v>91</v>
      </c>
      <c r="C27" s="60" t="s">
        <v>139</v>
      </c>
      <c r="D27" s="60">
        <v>6.97</v>
      </c>
      <c r="E27" s="60">
        <v>24.2</v>
      </c>
      <c r="F27" s="60">
        <v>1.73</v>
      </c>
      <c r="G27" s="60">
        <v>1.95</v>
      </c>
      <c r="H27" s="60">
        <v>0.02</v>
      </c>
      <c r="I27" s="60">
        <v>0.1</v>
      </c>
      <c r="J27" s="60">
        <v>6.0000000000000001E-3</v>
      </c>
      <c r="K27" s="60">
        <v>0.56999999999999995</v>
      </c>
      <c r="L27" s="60"/>
      <c r="M27" s="60"/>
      <c r="N27" s="60"/>
      <c r="O27" s="60"/>
      <c r="P27" s="60"/>
      <c r="Q27" s="60"/>
      <c r="R27" s="60"/>
      <c r="S27" s="60"/>
      <c r="T27" s="60"/>
    </row>
    <row r="28" spans="1:20" x14ac:dyDescent="0.3">
      <c r="A28" s="59">
        <v>44385.246527777781</v>
      </c>
      <c r="B28" s="60" t="s">
        <v>91</v>
      </c>
      <c r="C28" s="60" t="s">
        <v>141</v>
      </c>
      <c r="D28" s="60">
        <v>7.02</v>
      </c>
      <c r="E28" s="60">
        <v>24.6</v>
      </c>
      <c r="F28" s="60">
        <v>0.68</v>
      </c>
      <c r="G28" s="60">
        <v>1.22</v>
      </c>
      <c r="H28" s="60">
        <v>0</v>
      </c>
      <c r="I28" s="60">
        <v>0.14000000000000001</v>
      </c>
      <c r="J28" s="60">
        <v>6.0000000000000001E-3</v>
      </c>
      <c r="K28" s="60">
        <v>0.52</v>
      </c>
      <c r="L28" s="60"/>
      <c r="M28" s="60"/>
      <c r="N28" s="60"/>
      <c r="O28" s="60"/>
      <c r="P28" s="60"/>
      <c r="Q28" s="60"/>
      <c r="R28" s="60"/>
      <c r="S28" s="60"/>
      <c r="T28" s="60"/>
    </row>
    <row r="29" spans="1:20" x14ac:dyDescent="0.3">
      <c r="A29" s="56">
        <v>44390.25</v>
      </c>
      <c r="B29" s="48" t="s">
        <v>91</v>
      </c>
      <c r="C29" s="48" t="s">
        <v>139</v>
      </c>
      <c r="D29" s="48">
        <v>6.9</v>
      </c>
      <c r="E29" s="48">
        <v>23.7</v>
      </c>
      <c r="F29" s="48">
        <v>1.84</v>
      </c>
      <c r="G29" s="48">
        <v>2.09</v>
      </c>
      <c r="H29" s="48">
        <v>0.02</v>
      </c>
      <c r="I29" s="48">
        <v>0.02</v>
      </c>
      <c r="J29" s="48">
        <v>7.0000000000000001E-3</v>
      </c>
      <c r="K29" s="48">
        <v>0.55000000000000004</v>
      </c>
      <c r="L29" s="48">
        <v>1.2E-2</v>
      </c>
      <c r="M29" s="48">
        <v>0.18</v>
      </c>
      <c r="N29" s="48">
        <v>0.47399999999999998</v>
      </c>
      <c r="O29" s="48">
        <v>1.7000000000000001E-2</v>
      </c>
      <c r="P29" s="48">
        <v>9.1999999999999998E-2</v>
      </c>
      <c r="Q29" s="48">
        <v>60</v>
      </c>
      <c r="R29" s="48">
        <v>0.16</v>
      </c>
      <c r="S29" s="48">
        <v>0.03</v>
      </c>
      <c r="T29" s="48"/>
    </row>
    <row r="30" spans="1:20" x14ac:dyDescent="0.3">
      <c r="A30" s="59">
        <v>44391.246527777781</v>
      </c>
      <c r="B30" s="60" t="s">
        <v>91</v>
      </c>
      <c r="C30" s="60" t="s">
        <v>139</v>
      </c>
      <c r="D30" s="60">
        <v>6.9</v>
      </c>
      <c r="E30" s="60">
        <v>23.9</v>
      </c>
      <c r="F30" s="60">
        <v>1.97</v>
      </c>
      <c r="G30" s="60">
        <v>2.16</v>
      </c>
      <c r="H30" s="60">
        <v>0.02</v>
      </c>
      <c r="I30" s="60">
        <v>0.05</v>
      </c>
      <c r="J30" s="60">
        <v>6.0000000000000001E-3</v>
      </c>
      <c r="K30" s="60">
        <v>0.56000000000000005</v>
      </c>
      <c r="L30" s="60"/>
      <c r="M30" s="60"/>
      <c r="N30" s="60"/>
      <c r="O30" s="60"/>
      <c r="P30" s="60"/>
      <c r="Q30" s="60"/>
      <c r="R30" s="60"/>
      <c r="S30" s="60"/>
      <c r="T30" s="60"/>
    </row>
    <row r="31" spans="1:20" x14ac:dyDescent="0.3">
      <c r="A31" s="59">
        <v>44391.246527777781</v>
      </c>
      <c r="B31" s="60" t="s">
        <v>91</v>
      </c>
      <c r="C31" s="60" t="s">
        <v>141</v>
      </c>
      <c r="D31" s="60">
        <v>6.99</v>
      </c>
      <c r="E31" s="60">
        <v>24.5</v>
      </c>
      <c r="F31" s="60">
        <v>1.55</v>
      </c>
      <c r="G31" s="60">
        <v>1.71</v>
      </c>
      <c r="H31" s="60">
        <v>0</v>
      </c>
      <c r="I31" s="60">
        <v>0.02</v>
      </c>
      <c r="J31" s="60">
        <v>8.0000000000000002E-3</v>
      </c>
      <c r="K31" s="60">
        <v>0.57999999999999996</v>
      </c>
      <c r="L31" s="60"/>
      <c r="M31" s="60"/>
      <c r="N31" s="60"/>
      <c r="O31" s="60"/>
      <c r="P31" s="60"/>
      <c r="Q31" s="60"/>
      <c r="R31" s="60"/>
      <c r="S31" s="60"/>
      <c r="T31" s="60"/>
    </row>
    <row r="32" spans="1:20" x14ac:dyDescent="0.3">
      <c r="A32" s="56">
        <v>44397.246527777781</v>
      </c>
      <c r="B32" s="48" t="s">
        <v>91</v>
      </c>
      <c r="C32" s="48" t="s">
        <v>139</v>
      </c>
      <c r="D32" s="48">
        <v>6.92</v>
      </c>
      <c r="E32" s="48">
        <v>24.4</v>
      </c>
      <c r="F32" s="48">
        <v>1.58</v>
      </c>
      <c r="G32" s="48">
        <v>2.11</v>
      </c>
      <c r="H32" s="48">
        <v>0.01</v>
      </c>
      <c r="I32" s="48">
        <v>0.03</v>
      </c>
      <c r="J32" s="48">
        <v>5.0000000000000001E-3</v>
      </c>
      <c r="K32" s="48">
        <v>0.56000000000000005</v>
      </c>
      <c r="L32" s="48"/>
      <c r="M32" s="48"/>
      <c r="N32" s="48"/>
      <c r="O32" s="48"/>
      <c r="P32" s="48">
        <v>8.2000000000000003E-2</v>
      </c>
      <c r="Q32" s="48">
        <v>34</v>
      </c>
      <c r="R32" s="48">
        <v>0.06</v>
      </c>
      <c r="S32" s="48">
        <v>0.01</v>
      </c>
      <c r="T32" s="48"/>
    </row>
    <row r="33" spans="1:20" x14ac:dyDescent="0.3">
      <c r="A33" s="59">
        <v>44398.246527777781</v>
      </c>
      <c r="B33" s="60" t="s">
        <v>91</v>
      </c>
      <c r="C33" s="60" t="s">
        <v>139</v>
      </c>
      <c r="D33" s="60">
        <v>6.9</v>
      </c>
      <c r="E33" s="60">
        <v>23.9</v>
      </c>
      <c r="F33" s="60">
        <v>1.9</v>
      </c>
      <c r="G33" s="60">
        <v>2.1800000000000002</v>
      </c>
      <c r="H33" s="60">
        <v>0</v>
      </c>
      <c r="I33" s="60">
        <v>0.02</v>
      </c>
      <c r="J33" s="60">
        <v>5.0000000000000001E-3</v>
      </c>
      <c r="K33" s="60">
        <v>0.59</v>
      </c>
      <c r="L33" s="60"/>
      <c r="M33" s="60"/>
      <c r="N33" s="60"/>
      <c r="O33" s="60"/>
      <c r="P33" s="60"/>
      <c r="Q33" s="60"/>
      <c r="R33" s="60"/>
      <c r="S33" s="60"/>
      <c r="T33" s="60"/>
    </row>
    <row r="34" spans="1:20" x14ac:dyDescent="0.3">
      <c r="A34" s="59">
        <v>44398.246527777781</v>
      </c>
      <c r="B34" s="60" t="s">
        <v>91</v>
      </c>
      <c r="C34" s="60" t="s">
        <v>141</v>
      </c>
      <c r="D34" s="60">
        <v>6.95</v>
      </c>
      <c r="E34" s="60">
        <v>24.7</v>
      </c>
      <c r="F34" s="60">
        <v>1.57</v>
      </c>
      <c r="G34" s="60">
        <v>1.75</v>
      </c>
      <c r="H34" s="60">
        <v>0.02</v>
      </c>
      <c r="I34" s="60">
        <v>0.02</v>
      </c>
      <c r="J34" s="60">
        <v>6.0000000000000001E-3</v>
      </c>
      <c r="K34" s="60">
        <v>0.59</v>
      </c>
      <c r="L34" s="60"/>
      <c r="M34" s="60"/>
      <c r="N34" s="60"/>
      <c r="O34" s="60"/>
      <c r="P34" s="60"/>
      <c r="Q34" s="60"/>
      <c r="R34" s="60"/>
      <c r="S34" s="60"/>
      <c r="T34" s="60"/>
    </row>
    <row r="35" spans="1:20" x14ac:dyDescent="0.3">
      <c r="A35" s="56">
        <v>44404.246527777781</v>
      </c>
      <c r="B35" s="48" t="s">
        <v>91</v>
      </c>
      <c r="C35" s="48" t="s">
        <v>139</v>
      </c>
      <c r="D35" s="48">
        <v>6.9</v>
      </c>
      <c r="E35" s="48">
        <v>24</v>
      </c>
      <c r="F35" s="48">
        <v>1.37</v>
      </c>
      <c r="G35" s="48">
        <v>1.54</v>
      </c>
      <c r="H35" s="48">
        <v>0.02</v>
      </c>
      <c r="I35" s="48">
        <v>0.04</v>
      </c>
      <c r="J35" s="48">
        <v>6.0000000000000001E-3</v>
      </c>
      <c r="K35" s="48">
        <v>0.64</v>
      </c>
      <c r="L35" s="48"/>
      <c r="M35" s="48"/>
      <c r="N35" s="48"/>
      <c r="O35" s="48"/>
      <c r="P35" s="48"/>
      <c r="Q35" s="48"/>
      <c r="R35" s="48"/>
      <c r="S35" s="48"/>
      <c r="T35" s="48"/>
    </row>
    <row r="36" spans="1:20" x14ac:dyDescent="0.3">
      <c r="A36" s="59">
        <v>44405.25</v>
      </c>
      <c r="B36" s="60" t="s">
        <v>91</v>
      </c>
      <c r="C36" s="60" t="s">
        <v>139</v>
      </c>
      <c r="D36" s="60">
        <v>6.88</v>
      </c>
      <c r="E36" s="60">
        <v>24.05</v>
      </c>
      <c r="F36" s="60">
        <v>0.06</v>
      </c>
      <c r="G36" s="60">
        <v>0.8</v>
      </c>
      <c r="H36" s="60">
        <v>0.7</v>
      </c>
      <c r="I36" s="60">
        <v>0.1</v>
      </c>
      <c r="J36" s="60">
        <v>7.0000000000000001E-3</v>
      </c>
      <c r="K36" s="60">
        <v>0.52</v>
      </c>
      <c r="L36" s="60"/>
      <c r="M36" s="60"/>
      <c r="N36" s="60"/>
      <c r="O36" s="60"/>
      <c r="P36" s="60"/>
      <c r="Q36" s="60"/>
      <c r="R36" s="60"/>
      <c r="S36" s="60"/>
      <c r="T36" s="60"/>
    </row>
    <row r="37" spans="1:20" x14ac:dyDescent="0.3">
      <c r="A37" s="59">
        <v>44405.25</v>
      </c>
      <c r="B37" s="60" t="s">
        <v>91</v>
      </c>
      <c r="C37" s="60" t="s">
        <v>141</v>
      </c>
      <c r="D37" s="60">
        <v>6.95</v>
      </c>
      <c r="E37" s="60">
        <v>25.4</v>
      </c>
      <c r="F37" s="60">
        <v>0.04</v>
      </c>
      <c r="G37" s="60">
        <v>0.61</v>
      </c>
      <c r="H37" s="60">
        <v>0.51</v>
      </c>
      <c r="I37" s="60">
        <v>0.2</v>
      </c>
      <c r="J37" s="60">
        <v>8.9999999999999993E-3</v>
      </c>
      <c r="K37" s="60">
        <v>0.63</v>
      </c>
      <c r="L37" s="60"/>
      <c r="M37" s="60"/>
      <c r="N37" s="60"/>
      <c r="O37" s="60"/>
      <c r="P37" s="60"/>
      <c r="Q37" s="60"/>
      <c r="R37" s="60"/>
      <c r="S37" s="60"/>
      <c r="T37" s="60"/>
    </row>
    <row r="38" spans="1:20" x14ac:dyDescent="0.3">
      <c r="A38" s="56">
        <v>44411.25</v>
      </c>
      <c r="B38" s="48" t="s">
        <v>91</v>
      </c>
      <c r="C38" s="48" t="s">
        <v>139</v>
      </c>
      <c r="D38" s="48">
        <v>6.85</v>
      </c>
      <c r="E38" s="48">
        <v>24.3</v>
      </c>
      <c r="F38" s="48">
        <v>0</v>
      </c>
      <c r="G38" s="48">
        <v>1.25</v>
      </c>
      <c r="H38" s="48">
        <v>1.1299999999999999</v>
      </c>
      <c r="I38" s="48">
        <v>0.19</v>
      </c>
      <c r="J38" s="48">
        <v>6.0000000000000001E-3</v>
      </c>
      <c r="K38" s="48">
        <v>0.64</v>
      </c>
      <c r="L38" s="48"/>
      <c r="M38" s="48"/>
      <c r="N38" s="48"/>
      <c r="O38" s="48"/>
      <c r="P38" s="48">
        <v>0.05</v>
      </c>
      <c r="Q38" s="48">
        <v>0</v>
      </c>
      <c r="R38" s="48">
        <v>0.09</v>
      </c>
      <c r="S38" s="48">
        <v>0.05</v>
      </c>
      <c r="T38" s="48"/>
    </row>
    <row r="39" spans="1:20" x14ac:dyDescent="0.3">
      <c r="A39" s="59">
        <v>44412.25</v>
      </c>
      <c r="B39" s="60" t="s">
        <v>91</v>
      </c>
      <c r="C39" s="60" t="s">
        <v>139</v>
      </c>
      <c r="D39" s="60">
        <v>24</v>
      </c>
      <c r="E39" s="60">
        <v>6.86</v>
      </c>
      <c r="F39" s="60">
        <v>7.0000000000000007E-2</v>
      </c>
      <c r="G39" s="60">
        <v>1.21</v>
      </c>
      <c r="H39" s="60">
        <v>1.1100000000000001</v>
      </c>
      <c r="I39" s="60">
        <v>0.18</v>
      </c>
      <c r="J39" s="60">
        <v>7.0000000000000001E-3</v>
      </c>
      <c r="K39" s="60">
        <v>0.59</v>
      </c>
      <c r="L39" s="60"/>
      <c r="M39" s="60"/>
      <c r="N39" s="60"/>
      <c r="O39" s="60"/>
      <c r="P39" s="60"/>
      <c r="Q39" s="60"/>
      <c r="R39" s="60"/>
      <c r="S39" s="60"/>
      <c r="T39" s="60"/>
    </row>
    <row r="40" spans="1:20" x14ac:dyDescent="0.3">
      <c r="A40" s="59">
        <v>44412.25</v>
      </c>
      <c r="B40" s="60" t="s">
        <v>91</v>
      </c>
      <c r="C40" s="60" t="s">
        <v>141</v>
      </c>
      <c r="D40" s="60">
        <v>25.2</v>
      </c>
      <c r="E40" s="60">
        <v>6.89</v>
      </c>
      <c r="F40" s="60">
        <v>7.0000000000000007E-2</v>
      </c>
      <c r="G40" s="60">
        <v>1</v>
      </c>
      <c r="H40" s="60">
        <v>0.93</v>
      </c>
      <c r="I40" s="60">
        <v>0.23</v>
      </c>
      <c r="J40" s="60">
        <v>8.0000000000000002E-3</v>
      </c>
      <c r="K40" s="60">
        <v>0.67</v>
      </c>
      <c r="L40" s="60"/>
      <c r="M40" s="60"/>
      <c r="N40" s="60"/>
      <c r="O40" s="60"/>
      <c r="P40" s="60"/>
      <c r="Q40" s="60"/>
      <c r="R40" s="60"/>
      <c r="S40" s="60"/>
      <c r="T40" s="60"/>
    </row>
    <row r="41" spans="1:20" x14ac:dyDescent="0.3">
      <c r="A41" s="56">
        <v>44418.25</v>
      </c>
      <c r="B41" s="48" t="s">
        <v>91</v>
      </c>
      <c r="C41" s="48" t="s">
        <v>139</v>
      </c>
      <c r="D41" s="48">
        <v>6.85</v>
      </c>
      <c r="E41" s="48">
        <v>23.9</v>
      </c>
      <c r="F41" s="48">
        <v>0.11</v>
      </c>
      <c r="G41" s="48">
        <v>0.93</v>
      </c>
      <c r="H41" s="48">
        <v>1.04</v>
      </c>
      <c r="I41" s="48">
        <v>0.21</v>
      </c>
      <c r="J41" s="48">
        <v>6.0000000000000001E-3</v>
      </c>
      <c r="K41" s="48">
        <v>0.59</v>
      </c>
      <c r="L41" s="48"/>
      <c r="M41" s="48"/>
      <c r="N41" s="48"/>
      <c r="O41" s="48"/>
      <c r="P41" s="48">
        <v>0.63</v>
      </c>
      <c r="Q41" s="48">
        <v>14</v>
      </c>
      <c r="R41" s="48">
        <v>0.1</v>
      </c>
      <c r="S41" s="48">
        <v>0.03</v>
      </c>
      <c r="T41" s="48"/>
    </row>
    <row r="42" spans="1:20" x14ac:dyDescent="0.3">
      <c r="A42" s="59">
        <v>44419.246527777781</v>
      </c>
      <c r="B42" s="60" t="s">
        <v>91</v>
      </c>
      <c r="C42" s="60" t="s">
        <v>139</v>
      </c>
      <c r="D42" s="60">
        <v>6.87</v>
      </c>
      <c r="E42" s="60">
        <v>23.7</v>
      </c>
      <c r="F42" s="60">
        <v>7.0000000000000007E-2</v>
      </c>
      <c r="G42" s="60">
        <v>0.74</v>
      </c>
      <c r="H42" s="60">
        <v>0.86</v>
      </c>
      <c r="I42" s="60">
        <v>0.25</v>
      </c>
      <c r="J42" s="60">
        <v>7.0000000000000001E-3</v>
      </c>
      <c r="K42" s="60">
        <v>0.6</v>
      </c>
      <c r="L42" s="60"/>
      <c r="M42" s="60"/>
      <c r="N42" s="60"/>
      <c r="O42" s="60"/>
      <c r="P42" s="60"/>
      <c r="Q42" s="60"/>
      <c r="R42" s="60"/>
      <c r="S42" s="60"/>
      <c r="T42" s="60"/>
    </row>
    <row r="43" spans="1:20" x14ac:dyDescent="0.3">
      <c r="A43" s="59">
        <v>44419.246527777781</v>
      </c>
      <c r="B43" s="60" t="s">
        <v>91</v>
      </c>
      <c r="C43" s="60" t="s">
        <v>141</v>
      </c>
      <c r="D43" s="60">
        <v>6.87</v>
      </c>
      <c r="E43" s="60">
        <v>25.6</v>
      </c>
      <c r="F43" s="60">
        <v>0.06</v>
      </c>
      <c r="G43" s="60">
        <v>0.61</v>
      </c>
      <c r="H43" s="60">
        <v>0.67</v>
      </c>
      <c r="I43" s="60">
        <v>0.23</v>
      </c>
      <c r="J43" s="60">
        <v>8.0000000000000002E-3</v>
      </c>
      <c r="K43" s="60">
        <v>0.62</v>
      </c>
      <c r="L43" s="60"/>
      <c r="M43" s="60"/>
      <c r="N43" s="60"/>
      <c r="O43" s="60"/>
      <c r="P43" s="60"/>
      <c r="Q43" s="60"/>
      <c r="R43" s="60"/>
      <c r="S43" s="60"/>
      <c r="T43" s="60"/>
    </row>
    <row r="44" spans="1:20" x14ac:dyDescent="0.3">
      <c r="A44" s="56">
        <v>44425.25</v>
      </c>
      <c r="B44" s="48" t="s">
        <v>91</v>
      </c>
      <c r="C44" s="48" t="s">
        <v>139</v>
      </c>
      <c r="D44" s="48">
        <v>6.9</v>
      </c>
      <c r="E44" s="48">
        <v>24.4</v>
      </c>
      <c r="F44" s="48">
        <v>0.09</v>
      </c>
      <c r="G44" s="48">
        <v>0.85</v>
      </c>
      <c r="H44" s="48">
        <v>0.95</v>
      </c>
      <c r="I44" s="48">
        <v>0.19</v>
      </c>
      <c r="J44" s="48">
        <v>6.0000000000000001E-3</v>
      </c>
      <c r="K44" s="48">
        <v>0.53</v>
      </c>
      <c r="L44" s="48"/>
      <c r="M44" s="48"/>
      <c r="N44" s="48"/>
      <c r="O44" s="48"/>
      <c r="P44" s="48">
        <v>6.7000000000000004E-2</v>
      </c>
      <c r="Q44" s="48">
        <v>5</v>
      </c>
      <c r="R44" s="48">
        <v>0.09</v>
      </c>
      <c r="S44" s="48">
        <v>0.03</v>
      </c>
      <c r="T44" s="48"/>
    </row>
    <row r="45" spans="1:20" x14ac:dyDescent="0.3">
      <c r="A45" s="59">
        <v>44426.246527777781</v>
      </c>
      <c r="B45" s="60" t="s">
        <v>91</v>
      </c>
      <c r="C45" s="60" t="s">
        <v>139</v>
      </c>
      <c r="D45" s="60">
        <v>6.84</v>
      </c>
      <c r="E45" s="60">
        <v>24.4</v>
      </c>
      <c r="F45" s="60">
        <v>0.04</v>
      </c>
      <c r="G45" s="60">
        <v>0.95</v>
      </c>
      <c r="H45" s="60">
        <v>0.98</v>
      </c>
      <c r="I45" s="60">
        <v>0.24</v>
      </c>
      <c r="J45" s="60">
        <v>7.0000000000000001E-3</v>
      </c>
      <c r="K45" s="60">
        <v>0.57999999999999996</v>
      </c>
      <c r="L45" s="60"/>
      <c r="M45" s="60"/>
      <c r="N45" s="60"/>
      <c r="O45" s="60"/>
      <c r="P45" s="60"/>
      <c r="Q45" s="60"/>
      <c r="R45" s="60"/>
      <c r="S45" s="60"/>
      <c r="T45" s="60"/>
    </row>
    <row r="46" spans="1:20" x14ac:dyDescent="0.3">
      <c r="A46" s="59">
        <v>44426.246527777781</v>
      </c>
      <c r="B46" s="60" t="s">
        <v>91</v>
      </c>
      <c r="C46" s="60" t="s">
        <v>141</v>
      </c>
      <c r="D46" s="60">
        <v>6.88</v>
      </c>
      <c r="E46" s="60">
        <v>25.4</v>
      </c>
      <c r="F46" s="60">
        <v>0.06</v>
      </c>
      <c r="G46" s="60">
        <v>0.96</v>
      </c>
      <c r="H46" s="60">
        <v>0.87</v>
      </c>
      <c r="I46" s="60">
        <v>0.23</v>
      </c>
      <c r="J46" s="60">
        <v>8.0000000000000002E-3</v>
      </c>
      <c r="K46" s="60">
        <v>0.6</v>
      </c>
      <c r="L46" s="60"/>
      <c r="M46" s="60"/>
      <c r="N46" s="60"/>
      <c r="O46" s="60"/>
      <c r="P46" s="60"/>
      <c r="Q46" s="60"/>
      <c r="R46" s="60"/>
      <c r="S46" s="60"/>
      <c r="T46" s="60"/>
    </row>
    <row r="47" spans="1:20" x14ac:dyDescent="0.3">
      <c r="A47" s="56">
        <v>44432.277777777781</v>
      </c>
      <c r="B47" s="48" t="s">
        <v>91</v>
      </c>
      <c r="C47" s="48" t="s">
        <v>139</v>
      </c>
      <c r="D47" s="48">
        <v>6.95</v>
      </c>
      <c r="E47" s="48">
        <v>24.6</v>
      </c>
      <c r="F47" s="48">
        <v>0.04</v>
      </c>
      <c r="G47" s="48">
        <v>0.6</v>
      </c>
      <c r="H47" s="48">
        <v>0.75</v>
      </c>
      <c r="I47" s="48">
        <v>0.24</v>
      </c>
      <c r="J47" s="48">
        <v>7.0000000000000001E-3</v>
      </c>
      <c r="K47" s="48">
        <v>0.68</v>
      </c>
      <c r="L47" s="48"/>
      <c r="M47" s="48"/>
      <c r="N47" s="48"/>
      <c r="O47" s="48"/>
      <c r="P47" s="48">
        <v>0.107</v>
      </c>
      <c r="Q47" s="48">
        <v>0</v>
      </c>
      <c r="R47" s="48">
        <v>0.09</v>
      </c>
      <c r="S47" s="48">
        <v>0.03</v>
      </c>
      <c r="T47" s="48" t="s">
        <v>142</v>
      </c>
    </row>
    <row r="48" spans="1:20" x14ac:dyDescent="0.3">
      <c r="A48" s="59">
        <v>44433.253472222219</v>
      </c>
      <c r="B48" s="60" t="s">
        <v>91</v>
      </c>
      <c r="C48" s="60" t="s">
        <v>139</v>
      </c>
      <c r="D48" s="60">
        <v>6.96</v>
      </c>
      <c r="E48" s="60">
        <v>23.7</v>
      </c>
      <c r="F48" s="60">
        <v>0.08</v>
      </c>
      <c r="G48" s="60">
        <v>1.01</v>
      </c>
      <c r="H48" s="60">
        <v>1.1499999999999999</v>
      </c>
      <c r="I48" s="60">
        <v>0.28000000000000003</v>
      </c>
      <c r="J48" s="60">
        <v>7.0000000000000001E-3</v>
      </c>
      <c r="K48" s="60">
        <v>0.57999999999999996</v>
      </c>
      <c r="L48" s="60"/>
      <c r="M48" s="60"/>
      <c r="N48" s="60"/>
      <c r="O48" s="60"/>
      <c r="P48" s="60"/>
      <c r="Q48" s="60"/>
      <c r="R48" s="60"/>
      <c r="S48" s="60"/>
      <c r="T48" s="60"/>
    </row>
    <row r="49" spans="1:20" x14ac:dyDescent="0.3">
      <c r="A49" s="59">
        <v>44433.253472222219</v>
      </c>
      <c r="B49" s="60" t="s">
        <v>91</v>
      </c>
      <c r="C49" s="60" t="s">
        <v>141</v>
      </c>
      <c r="D49" s="60">
        <v>7.05</v>
      </c>
      <c r="E49" s="60">
        <v>25.2</v>
      </c>
      <c r="F49" s="60">
        <v>0.08</v>
      </c>
      <c r="G49" s="60">
        <v>0.77</v>
      </c>
      <c r="H49" s="60">
        <v>0.91</v>
      </c>
      <c r="I49" s="60">
        <v>0.46</v>
      </c>
      <c r="J49" s="60">
        <v>0.01</v>
      </c>
      <c r="K49" s="60">
        <v>0.63</v>
      </c>
      <c r="L49" s="60"/>
      <c r="M49" s="60"/>
      <c r="N49" s="60"/>
      <c r="O49" s="60"/>
      <c r="P49" s="60"/>
      <c r="Q49" s="60"/>
      <c r="R49" s="60"/>
      <c r="S49" s="60"/>
      <c r="T49" s="60"/>
    </row>
    <row r="50" spans="1:20" x14ac:dyDescent="0.3">
      <c r="A50" s="48"/>
      <c r="B50" s="48"/>
      <c r="C50" s="48"/>
      <c r="D50" s="48"/>
      <c r="E50" s="48"/>
      <c r="F50" s="48"/>
      <c r="G50" s="48"/>
      <c r="H50" s="48"/>
      <c r="I50" s="48"/>
      <c r="J50" s="48"/>
      <c r="K50" s="48"/>
      <c r="L50" s="48"/>
      <c r="M50" s="48"/>
      <c r="N50" s="48"/>
      <c r="O50" s="48"/>
      <c r="P50" s="48"/>
      <c r="Q50" s="48"/>
      <c r="R50" s="48"/>
      <c r="S50" s="48"/>
      <c r="T50" s="48"/>
    </row>
    <row r="51" spans="1:20" x14ac:dyDescent="0.3">
      <c r="A51" s="48"/>
      <c r="B51" s="48"/>
      <c r="C51" s="48"/>
      <c r="D51" s="48"/>
      <c r="E51" s="48"/>
      <c r="F51" s="48"/>
      <c r="G51" s="48"/>
      <c r="H51" s="48"/>
      <c r="I51" s="48"/>
      <c r="J51" s="48"/>
      <c r="K51" s="48"/>
      <c r="L51" s="48"/>
      <c r="M51" s="48"/>
      <c r="N51" s="48"/>
      <c r="O51" s="48"/>
      <c r="P51" s="48"/>
      <c r="Q51" s="48"/>
      <c r="R51" s="48"/>
      <c r="S51" s="48"/>
      <c r="T51" s="48"/>
    </row>
    <row r="52" spans="1:20" x14ac:dyDescent="0.3">
      <c r="A52" s="48"/>
      <c r="B52" s="48"/>
      <c r="C52" s="48"/>
      <c r="D52" s="48"/>
      <c r="E52" s="48"/>
      <c r="F52" s="48"/>
      <c r="G52" s="48"/>
      <c r="H52" s="48"/>
      <c r="I52" s="48"/>
      <c r="J52" s="48"/>
      <c r="K52" s="48"/>
      <c r="L52" s="48"/>
      <c r="M52" s="48"/>
      <c r="N52" s="48"/>
      <c r="O52" s="48"/>
      <c r="P52" s="48"/>
      <c r="Q52" s="48"/>
      <c r="R52" s="48"/>
      <c r="S52" s="48"/>
      <c r="T52" s="48"/>
    </row>
    <row r="53" spans="1:20" x14ac:dyDescent="0.3">
      <c r="A53" s="48"/>
      <c r="B53" s="48"/>
      <c r="C53" s="48"/>
      <c r="D53" s="48"/>
      <c r="E53" s="48"/>
      <c r="F53" s="48"/>
      <c r="G53" s="48"/>
      <c r="H53" s="48"/>
      <c r="I53" s="48"/>
      <c r="J53" s="48"/>
      <c r="K53" s="48"/>
      <c r="L53" s="48"/>
      <c r="M53" s="48"/>
      <c r="N53" s="48"/>
      <c r="O53" s="48"/>
      <c r="P53" s="48"/>
      <c r="Q53" s="48"/>
      <c r="R53" s="48"/>
      <c r="S53" s="48"/>
      <c r="T53" s="48"/>
    </row>
    <row r="54" spans="1:20" x14ac:dyDescent="0.3">
      <c r="A54" s="48"/>
      <c r="B54" s="48"/>
      <c r="C54" s="48"/>
      <c r="D54" s="48"/>
      <c r="E54" s="48"/>
      <c r="F54" s="48"/>
      <c r="G54" s="48"/>
      <c r="H54" s="48"/>
      <c r="I54" s="48"/>
      <c r="J54" s="48"/>
      <c r="K54" s="48"/>
      <c r="L54" s="48"/>
      <c r="M54" s="48"/>
      <c r="N54" s="48"/>
      <c r="O54" s="48"/>
      <c r="P54" s="48"/>
      <c r="Q54" s="48"/>
      <c r="R54" s="48"/>
      <c r="S54" s="48"/>
      <c r="T54" s="48"/>
    </row>
  </sheetData>
  <sheetProtection algorithmName="SHA-512" hashValue="ivnqJp6iVm+Z2YzQ/OYZtwUCd8rRZN6ZZJPfoEXNgYK1S5yhXidcUCvsN1kbtxiU6s/XLBKFoaIjfL3OjirXSQ==" saltValue="k/A1m75613a+AWsppJ08aw==" spinCount="100000" sheet="1" objects="1" scenarios="1"/>
  <mergeCells count="3">
    <mergeCell ref="F1:K1"/>
    <mergeCell ref="L1:O1"/>
    <mergeCell ref="P1:S1"/>
  </mergeCells>
  <pageMargins left="0.7" right="0.7" top="0.75" bottom="0.75" header="0.3" footer="0.3"/>
  <pageSetup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66706-F276-46E4-B8F0-21EE649ED14B}">
  <dimension ref="A1:M113"/>
  <sheetViews>
    <sheetView workbookViewId="0">
      <selection activeCell="O10" sqref="O10"/>
    </sheetView>
  </sheetViews>
  <sheetFormatPr defaultRowHeight="15.75" x14ac:dyDescent="0.3"/>
  <cols>
    <col min="1" max="1" width="12.109375" style="1342" customWidth="1"/>
    <col min="2" max="2" width="9.21875" style="70" customWidth="1"/>
    <col min="3" max="3" width="11.33203125" style="70" customWidth="1"/>
    <col min="4" max="4" width="16.5546875" style="70" customWidth="1"/>
    <col min="5" max="5" width="14.77734375" style="70" customWidth="1"/>
    <col min="6" max="6" width="14.109375" style="70" customWidth="1"/>
    <col min="7" max="7" width="8.88671875" style="70"/>
    <col min="8" max="8" width="8.44140625" style="70" customWidth="1"/>
    <col min="9" max="9" width="9.5546875" style="70" customWidth="1"/>
    <col min="10" max="10" width="17" style="70" customWidth="1"/>
    <col min="11" max="11" width="10.109375" style="70" customWidth="1"/>
    <col min="12" max="12" width="8.88671875" style="70"/>
    <col min="13" max="13" width="17" style="70" customWidth="1"/>
    <col min="14" max="16384" width="8.88671875" style="1342"/>
  </cols>
  <sheetData>
    <row r="1" spans="1:13" ht="33.9" thickTop="1" thickBot="1" x14ac:dyDescent="0.35">
      <c r="A1" s="1387"/>
      <c r="B1" s="1388" t="s">
        <v>8</v>
      </c>
      <c r="C1" s="1389" t="s">
        <v>3</v>
      </c>
      <c r="D1" s="1389" t="s">
        <v>5</v>
      </c>
      <c r="E1" s="1389" t="s">
        <v>6</v>
      </c>
      <c r="F1" s="1390" t="s">
        <v>51</v>
      </c>
      <c r="G1" s="1391" t="s">
        <v>97</v>
      </c>
      <c r="H1" s="1392" t="s">
        <v>307</v>
      </c>
      <c r="I1" s="1392" t="s">
        <v>308</v>
      </c>
      <c r="J1" s="1392" t="s">
        <v>101</v>
      </c>
      <c r="K1" s="1392" t="s">
        <v>309</v>
      </c>
      <c r="L1" s="1392" t="s">
        <v>103</v>
      </c>
      <c r="M1" s="1393" t="s">
        <v>104</v>
      </c>
    </row>
    <row r="2" spans="1:13" x14ac:dyDescent="0.3">
      <c r="A2" s="1386" t="str">
        <f>_xlfn.CONCAT(qPCR_Physicochemical!A3, qPCR_Physicochemical!B3)</f>
        <v>EP44335</v>
      </c>
      <c r="B2" s="1101">
        <f>qPCR_Physicochemical!C3</f>
        <v>7.5073779335749142</v>
      </c>
      <c r="C2" s="1101">
        <f>qPCR_Physicochemical!D3</f>
        <v>4.7229710237808709</v>
      </c>
      <c r="D2" s="1101">
        <f>qPCR_Physicochemical!E3</f>
        <v>3.1797940234756839</v>
      </c>
      <c r="E2" s="1101">
        <f>qPCR_Physicochemical!F3</f>
        <v>0</v>
      </c>
      <c r="F2" s="1101">
        <f>qPCR_Physicochemical!G3</f>
        <v>0</v>
      </c>
      <c r="G2" s="1106">
        <f>qPCR_Physicochemical!I3</f>
        <v>6.72</v>
      </c>
      <c r="H2" s="1106">
        <f>qPCR_Physicochemical!J3</f>
        <v>25.2</v>
      </c>
      <c r="I2" s="1106">
        <f>qPCR_Physicochemical!K3</f>
        <v>0.17</v>
      </c>
      <c r="J2" s="1106">
        <f>qPCR_Physicochemical!L3</f>
        <v>3.6</v>
      </c>
      <c r="K2" s="1106">
        <f>qPCR_Physicochemical!O3</f>
        <v>0.25</v>
      </c>
      <c r="L2" s="1106">
        <f>qPCR_Physicochemical!P3</f>
        <v>8.0000000000000002E-3</v>
      </c>
      <c r="M2" s="1109">
        <f>qPCR_Physicochemical!Q3</f>
        <v>0.24</v>
      </c>
    </row>
    <row r="3" spans="1:13" x14ac:dyDescent="0.3">
      <c r="A3" s="1383" t="str">
        <f>_xlfn.CONCAT(qPCR_Physicochemical!A4, qPCR_Physicochemical!B4)</f>
        <v>EP44342</v>
      </c>
      <c r="B3" s="1099">
        <f>qPCR_Physicochemical!C4</f>
        <v>7.4305880117388243</v>
      </c>
      <c r="C3" s="1099">
        <f>qPCR_Physicochemical!D4</f>
        <v>4.3983402472244153</v>
      </c>
      <c r="D3" s="1099">
        <f>qPCR_Physicochemical!E4</f>
        <v>2.9491774059529887</v>
      </c>
      <c r="E3" s="1099">
        <f>qPCR_Physicochemical!F4</f>
        <v>0</v>
      </c>
      <c r="F3" s="1099">
        <f>qPCR_Physicochemical!G4</f>
        <v>2.1604990068941463</v>
      </c>
      <c r="G3" s="1107">
        <f>qPCR_Physicochemical!I4</f>
        <v>6.66</v>
      </c>
      <c r="H3" s="1107">
        <f>qPCR_Physicochemical!J4</f>
        <v>28.1</v>
      </c>
      <c r="I3" s="1107">
        <f>qPCR_Physicochemical!K4</f>
        <v>0.08</v>
      </c>
      <c r="J3" s="1107">
        <f>qPCR_Physicochemical!L4</f>
        <v>3.5</v>
      </c>
      <c r="K3" s="1107">
        <f>qPCR_Physicochemical!O4</f>
        <v>7.0000000000000007E-2</v>
      </c>
      <c r="L3" s="1107">
        <f>qPCR_Physicochemical!P4</f>
        <v>7.0000000000000001E-3</v>
      </c>
      <c r="M3" s="1110">
        <f>qPCR_Physicochemical!Q4</f>
        <v>0.24</v>
      </c>
    </row>
    <row r="4" spans="1:13" x14ac:dyDescent="0.3">
      <c r="A4" s="1383" t="str">
        <f>_xlfn.CONCAT(qPCR_Physicochemical!A5, qPCR_Physicochemical!B5)</f>
        <v>EP44350</v>
      </c>
      <c r="B4" s="1099">
        <f>qPCR_Physicochemical!C5</f>
        <v>7.2010631024471907</v>
      </c>
      <c r="C4" s="1099">
        <f>qPCR_Physicochemical!D5</f>
        <v>3.9174695393344017</v>
      </c>
      <c r="D4" s="1099">
        <f>qPCR_Physicochemical!E5</f>
        <v>3.2434645556811552</v>
      </c>
      <c r="E4" s="1099">
        <f>qPCR_Physicochemical!F5</f>
        <v>0</v>
      </c>
      <c r="F4" s="1099">
        <f>qPCR_Physicochemical!G5</f>
        <v>2.7440271514333912</v>
      </c>
      <c r="G4" s="1107">
        <f>qPCR_Physicochemical!I5</f>
        <v>6.58</v>
      </c>
      <c r="H4" s="1107">
        <f>qPCR_Physicochemical!J5</f>
        <v>29.6</v>
      </c>
      <c r="I4" s="1107">
        <f>qPCR_Physicochemical!K5</f>
        <v>0.08</v>
      </c>
      <c r="J4" s="1107">
        <f>qPCR_Physicochemical!L5</f>
        <v>3.32</v>
      </c>
      <c r="K4" s="1107">
        <f>qPCR_Physicochemical!O5</f>
        <v>0.56000000000000005</v>
      </c>
      <c r="L4" s="1107">
        <f>qPCR_Physicochemical!P5</f>
        <v>8.0000000000000002E-3</v>
      </c>
      <c r="M4" s="1110">
        <f>qPCR_Physicochemical!Q5</f>
        <v>0.28000000000000003</v>
      </c>
    </row>
    <row r="5" spans="1:13" x14ac:dyDescent="0.3">
      <c r="A5" s="1383" t="str">
        <f>_xlfn.CONCAT(qPCR_Physicochemical!A6, qPCR_Physicochemical!B6)</f>
        <v>EP44356</v>
      </c>
      <c r="B5" s="1099">
        <f>qPCR_Physicochemical!C6</f>
        <v>7.5775594003841169</v>
      </c>
      <c r="C5" s="1099">
        <f>qPCR_Physicochemical!D6</f>
        <v>4.1767319225757706</v>
      </c>
      <c r="D5" s="1099">
        <f>qPCR_Physicochemical!E6</f>
        <v>3.3151970568903897</v>
      </c>
      <c r="E5" s="1099">
        <f>qPCR_Physicochemical!F6</f>
        <v>3.3597301399743871</v>
      </c>
      <c r="F5" s="1099">
        <f>qPCR_Physicochemical!G6</f>
        <v>0</v>
      </c>
      <c r="G5" s="1107">
        <f>qPCR_Physicochemical!I6</f>
        <v>6.69</v>
      </c>
      <c r="H5" s="1107">
        <f>qPCR_Physicochemical!J6</f>
        <v>28.6</v>
      </c>
      <c r="I5" s="1107">
        <f>qPCR_Physicochemical!K6</f>
        <v>0.08</v>
      </c>
      <c r="J5" s="1107">
        <f>qPCR_Physicochemical!L6</f>
        <v>3.91</v>
      </c>
      <c r="K5" s="1107">
        <f>qPCR_Physicochemical!O6</f>
        <v>0.14000000000000001</v>
      </c>
      <c r="L5" s="1107">
        <f>qPCR_Physicochemical!P6</f>
        <v>8.0000000000000002E-3</v>
      </c>
      <c r="M5" s="1110">
        <f>qPCR_Physicochemical!Q6</f>
        <v>0.27</v>
      </c>
    </row>
    <row r="6" spans="1:13" x14ac:dyDescent="0.3">
      <c r="A6" s="1383" t="str">
        <f>_xlfn.CONCAT(qPCR_Physicochemical!A7, qPCR_Physicochemical!B7)</f>
        <v>EP44363</v>
      </c>
      <c r="B6" s="1099">
        <f>qPCR_Physicochemical!C7</f>
        <v>8.9201125773878598</v>
      </c>
      <c r="C6" s="1099">
        <f>qPCR_Physicochemical!D7</f>
        <v>0</v>
      </c>
      <c r="D6" s="1099">
        <f>qPCR_Physicochemical!E7</f>
        <v>2.8252048194210433</v>
      </c>
      <c r="E6" s="1099">
        <f>qPCR_Physicochemical!F7</f>
        <v>7.3148056493421336</v>
      </c>
      <c r="F6" s="1099">
        <f>qPCR_Physicochemical!G7</f>
        <v>2.7622840466805152</v>
      </c>
      <c r="G6" s="1107">
        <f>qPCR_Physicochemical!I7</f>
        <v>6.79</v>
      </c>
      <c r="H6" s="1107">
        <f>qPCR_Physicochemical!J7</f>
        <v>33.9</v>
      </c>
      <c r="I6" s="1107">
        <f>qPCR_Physicochemical!K7</f>
        <v>3.82</v>
      </c>
      <c r="J6" s="1107">
        <f>qPCR_Physicochemical!L7</f>
        <v>0.01</v>
      </c>
      <c r="K6" s="1107">
        <f>qPCR_Physicochemical!O7</f>
        <v>0.08</v>
      </c>
      <c r="L6" s="1107">
        <f>qPCR_Physicochemical!P7</f>
        <v>7.0000000000000001E-3</v>
      </c>
      <c r="M6" s="1110">
        <f>qPCR_Physicochemical!Q7</f>
        <v>0.28000000000000003</v>
      </c>
    </row>
    <row r="7" spans="1:13" x14ac:dyDescent="0.3">
      <c r="A7" s="1383" t="str">
        <f>_xlfn.CONCAT(qPCR_Physicochemical!A8, qPCR_Physicochemical!B8)</f>
        <v>EP44370</v>
      </c>
      <c r="B7" s="1099">
        <f>qPCR_Physicochemical!C8</f>
        <v>7.384134194520211</v>
      </c>
      <c r="C7" s="1099">
        <f>qPCR_Physicochemical!D8</f>
        <v>3.7119183612943583</v>
      </c>
      <c r="D7" s="1099">
        <f>qPCR_Physicochemical!E8</f>
        <v>3.0816381264248243</v>
      </c>
      <c r="E7" s="1099">
        <f>qPCR_Physicochemical!F8</f>
        <v>0</v>
      </c>
      <c r="F7" s="1099">
        <f>qPCR_Physicochemical!G8</f>
        <v>2.831351610048888</v>
      </c>
      <c r="G7" s="1107">
        <f>qPCR_Physicochemical!I8</f>
        <v>6.98</v>
      </c>
      <c r="H7" s="1107">
        <f>qPCR_Physicochemical!J8</f>
        <v>28.3</v>
      </c>
      <c r="I7" s="1107">
        <f>qPCR_Physicochemical!K8</f>
        <v>4.0599999999999996</v>
      </c>
      <c r="J7" s="1107">
        <f>qPCR_Physicochemical!L8</f>
        <v>0</v>
      </c>
      <c r="K7" s="1107">
        <f>qPCR_Physicochemical!O8</f>
        <v>0.03</v>
      </c>
      <c r="L7" s="1107">
        <f>qPCR_Physicochemical!P8</f>
        <v>8.0000000000000002E-3</v>
      </c>
      <c r="M7" s="1110">
        <f>qPCR_Physicochemical!Q8</f>
        <v>0.27</v>
      </c>
    </row>
    <row r="8" spans="1:13" x14ac:dyDescent="0.3">
      <c r="A8" s="1383" t="str">
        <f>_xlfn.CONCAT(qPCR_Physicochemical!A9, qPCR_Physicochemical!B9)</f>
        <v>EP44377</v>
      </c>
      <c r="B8" s="1099">
        <f>qPCR_Physicochemical!C9</f>
        <v>6.6706494925420223</v>
      </c>
      <c r="C8" s="1099">
        <f>qPCR_Physicochemical!D9</f>
        <v>3.4496228998138809</v>
      </c>
      <c r="D8" s="1099">
        <f>qPCR_Physicochemical!E9</f>
        <v>3.0995905834804347</v>
      </c>
      <c r="E8" s="1099">
        <f>qPCR_Physicochemical!F9</f>
        <v>0</v>
      </c>
      <c r="F8" s="1099">
        <f>qPCR_Physicochemical!G9</f>
        <v>2.1553193673056121</v>
      </c>
      <c r="G8" s="1107">
        <f>qPCR_Physicochemical!I9</f>
        <v>6.71</v>
      </c>
      <c r="H8" s="1107">
        <f>qPCR_Physicochemical!J9</f>
        <v>30.2</v>
      </c>
      <c r="I8" s="1107">
        <f>qPCR_Physicochemical!K9</f>
        <v>3.49</v>
      </c>
      <c r="J8" s="1107">
        <f>qPCR_Physicochemical!L9</f>
        <v>0.31</v>
      </c>
      <c r="K8" s="1107">
        <f>qPCR_Physicochemical!O9</f>
        <v>0.26</v>
      </c>
      <c r="L8" s="1107">
        <f>qPCR_Physicochemical!P9</f>
        <v>0</v>
      </c>
      <c r="M8" s="1110">
        <f>qPCR_Physicochemical!Q9</f>
        <v>0.24</v>
      </c>
    </row>
    <row r="9" spans="1:13" x14ac:dyDescent="0.3">
      <c r="A9" s="1383" t="str">
        <f>_xlfn.CONCAT(qPCR_Physicochemical!A10, qPCR_Physicochemical!B10)</f>
        <v>EP44385</v>
      </c>
      <c r="B9" s="1099">
        <f>qPCR_Physicochemical!C10</f>
        <v>7.8312300053910073</v>
      </c>
      <c r="C9" s="1099">
        <f>qPCR_Physicochemical!D10</f>
        <v>3.5173735394078167</v>
      </c>
      <c r="D9" s="1099">
        <f>qPCR_Physicochemical!E10</f>
        <v>3.0227691938237178</v>
      </c>
      <c r="E9" s="1099">
        <f>qPCR_Physicochemical!F10</f>
        <v>2.6702701838332747</v>
      </c>
      <c r="F9" s="1099">
        <f>qPCR_Physicochemical!G10</f>
        <v>0</v>
      </c>
      <c r="G9" s="1107">
        <f>qPCR_Physicochemical!I10</f>
        <v>6.71</v>
      </c>
      <c r="H9" s="1107">
        <f>qPCR_Physicochemical!J10</f>
        <v>31.5</v>
      </c>
      <c r="I9" s="1107">
        <f>qPCR_Physicochemical!K10</f>
        <v>3.67</v>
      </c>
      <c r="J9" s="1107">
        <f>qPCR_Physicochemical!L10</f>
        <v>0</v>
      </c>
      <c r="K9" s="1107">
        <f>qPCR_Physicochemical!O10</f>
        <v>0.06</v>
      </c>
      <c r="L9" s="1107">
        <f>qPCR_Physicochemical!P10</f>
        <v>7.0000000000000001E-3</v>
      </c>
      <c r="M9" s="1110">
        <f>qPCR_Physicochemical!Q10</f>
        <v>0.28999999999999998</v>
      </c>
    </row>
    <row r="10" spans="1:13" x14ac:dyDescent="0.3">
      <c r="A10" s="1383" t="str">
        <f>_xlfn.CONCAT(qPCR_Physicochemical!A11, qPCR_Physicochemical!B11)</f>
        <v>EP44391</v>
      </c>
      <c r="B10" s="1099">
        <f>qPCR_Physicochemical!C11</f>
        <v>6.9792893794204227</v>
      </c>
      <c r="C10" s="1099">
        <f>qPCR_Physicochemical!D11</f>
        <v>3.5031007130453271</v>
      </c>
      <c r="D10" s="1099">
        <f>qPCR_Physicochemical!E11</f>
        <v>3.048371497817886</v>
      </c>
      <c r="E10" s="1099">
        <f>qPCR_Physicochemical!F11</f>
        <v>3.06189652349555</v>
      </c>
      <c r="F10" s="1099">
        <f>qPCR_Physicochemical!G11</f>
        <v>2.3526606607367042</v>
      </c>
      <c r="G10" s="1107">
        <f>qPCR_Physicochemical!I11</f>
        <v>6.11</v>
      </c>
      <c r="H10" s="1107">
        <f>qPCR_Physicochemical!J11</f>
        <v>29.2</v>
      </c>
      <c r="I10" s="1107">
        <f>qPCR_Physicochemical!K11</f>
        <v>3.82</v>
      </c>
      <c r="J10" s="1107">
        <f>qPCR_Physicochemical!L11</f>
        <v>0.02</v>
      </c>
      <c r="K10" s="1107">
        <f>qPCR_Physicochemical!O11</f>
        <v>7.0000000000000007E-2</v>
      </c>
      <c r="L10" s="1107">
        <f>qPCR_Physicochemical!P11</f>
        <v>7.0000000000000001E-3</v>
      </c>
      <c r="M10" s="1110">
        <f>qPCR_Physicochemical!Q11</f>
        <v>0.23</v>
      </c>
    </row>
    <row r="11" spans="1:13" x14ac:dyDescent="0.3">
      <c r="A11" s="1383" t="str">
        <f>_xlfn.CONCAT(qPCR_Physicochemical!A12, qPCR_Physicochemical!B12)</f>
        <v>EP44398</v>
      </c>
      <c r="B11" s="1099">
        <f>qPCR_Physicochemical!C12</f>
        <v>7.1243260630757259</v>
      </c>
      <c r="C11" s="1099">
        <f>qPCR_Physicochemical!D12</f>
        <v>3.903561063124283</v>
      </c>
      <c r="D11" s="1099">
        <f>qPCR_Physicochemical!E12</f>
        <v>2.6437438289589763</v>
      </c>
      <c r="E11" s="1099">
        <f>qPCR_Physicochemical!F12</f>
        <v>4.2802806593803524</v>
      </c>
      <c r="F11" s="1099">
        <f>qPCR_Physicochemical!G12</f>
        <v>0</v>
      </c>
      <c r="G11" s="1107">
        <f>qPCR_Physicochemical!I12</f>
        <v>6.77</v>
      </c>
      <c r="H11" s="1107">
        <f>qPCR_Physicochemical!J12</f>
        <v>27.4</v>
      </c>
      <c r="I11" s="1107">
        <f>qPCR_Physicochemical!K12</f>
        <v>3.92</v>
      </c>
      <c r="J11" s="1107">
        <f>qPCR_Physicochemical!L12</f>
        <v>0.01</v>
      </c>
      <c r="K11" s="1107">
        <f>qPCR_Physicochemical!O12</f>
        <v>0.01</v>
      </c>
      <c r="L11" s="1107">
        <f>qPCR_Physicochemical!P12</f>
        <v>6.0000000000000001E-3</v>
      </c>
      <c r="M11" s="1110">
        <f>qPCR_Physicochemical!Q12</f>
        <v>0.19</v>
      </c>
    </row>
    <row r="12" spans="1:13" x14ac:dyDescent="0.3">
      <c r="A12" s="1383" t="str">
        <f>_xlfn.CONCAT(qPCR_Physicochemical!A13, qPCR_Physicochemical!B13)</f>
        <v>EP44405</v>
      </c>
      <c r="B12" s="1099">
        <f>qPCR_Physicochemical!C13</f>
        <v>7.4432373448654072</v>
      </c>
      <c r="C12" s="1099">
        <f>qPCR_Physicochemical!D13</f>
        <v>4.7632454669389199</v>
      </c>
      <c r="D12" s="1099">
        <f>qPCR_Physicochemical!E13</f>
        <v>2.9565019022298489</v>
      </c>
      <c r="E12" s="1099">
        <f>qPCR_Physicochemical!F13</f>
        <v>3.2648335664820296</v>
      </c>
      <c r="F12" s="1099">
        <f>qPCR_Physicochemical!G13</f>
        <v>3.0906484876986329</v>
      </c>
      <c r="G12" s="1107">
        <f>qPCR_Physicochemical!I13</f>
        <v>6.71</v>
      </c>
      <c r="H12" s="1107">
        <f>qPCR_Physicochemical!J13</f>
        <v>31.9</v>
      </c>
      <c r="I12" s="1107">
        <f>qPCR_Physicochemical!K13</f>
        <v>0.09</v>
      </c>
      <c r="J12" s="1107">
        <f>qPCR_Physicochemical!L13</f>
        <v>3.49</v>
      </c>
      <c r="K12" s="1107">
        <f>qPCR_Physicochemical!O13</f>
        <v>0.04</v>
      </c>
      <c r="L12" s="1107">
        <f>qPCR_Physicochemical!P13</f>
        <v>7.0000000000000001E-3</v>
      </c>
      <c r="M12" s="1110">
        <f>qPCR_Physicochemical!Q13</f>
        <v>0.3</v>
      </c>
    </row>
    <row r="13" spans="1:13" x14ac:dyDescent="0.3">
      <c r="A13" s="1383" t="str">
        <f>_xlfn.CONCAT(qPCR_Physicochemical!A14, qPCR_Physicochemical!B14)</f>
        <v>EP44412</v>
      </c>
      <c r="B13" s="1099">
        <f>qPCR_Physicochemical!C14</f>
        <v>7.548210102201657</v>
      </c>
      <c r="C13" s="1099">
        <f>qPCR_Physicochemical!D14</f>
        <v>3.7099616071987671</v>
      </c>
      <c r="D13" s="1099">
        <f>qPCR_Physicochemical!E14</f>
        <v>3.4315718643235331</v>
      </c>
      <c r="E13" s="1099">
        <f>qPCR_Physicochemical!F14</f>
        <v>2.5078973554355652</v>
      </c>
      <c r="F13" s="1099">
        <f>qPCR_Physicochemical!G14</f>
        <v>0</v>
      </c>
      <c r="G13" s="1107">
        <f>qPCR_Physicochemical!I14</f>
        <v>6.76</v>
      </c>
      <c r="H13" s="1107">
        <f>qPCR_Physicochemical!J14</f>
        <v>29.4</v>
      </c>
      <c r="I13" s="1107">
        <f>qPCR_Physicochemical!K14</f>
        <v>0.15</v>
      </c>
      <c r="J13" s="1107">
        <f>qPCR_Physicochemical!L14</f>
        <v>3.53</v>
      </c>
      <c r="K13" s="1107">
        <f>qPCR_Physicochemical!O14</f>
        <v>0.01</v>
      </c>
      <c r="L13" s="1107">
        <f>qPCR_Physicochemical!P14</f>
        <v>8.0000000000000002E-3</v>
      </c>
      <c r="M13" s="1110">
        <f>qPCR_Physicochemical!Q14</f>
        <v>0.32</v>
      </c>
    </row>
    <row r="14" spans="1:13" x14ac:dyDescent="0.3">
      <c r="A14" s="1383" t="str">
        <f>_xlfn.CONCAT(qPCR_Physicochemical!A15, qPCR_Physicochemical!B15)</f>
        <v>EP44419</v>
      </c>
      <c r="B14" s="1099">
        <f>qPCR_Physicochemical!C15</f>
        <v>7.4768331624978526</v>
      </c>
      <c r="C14" s="1099">
        <f>qPCR_Physicochemical!D15</f>
        <v>3.3165813878647228</v>
      </c>
      <c r="D14" s="1099">
        <f>qPCR_Physicochemical!E15</f>
        <v>3.473547112131016</v>
      </c>
      <c r="E14" s="1099">
        <f>qPCR_Physicochemical!F15</f>
        <v>0</v>
      </c>
      <c r="F14" s="1099">
        <f>qPCR_Physicochemical!G15</f>
        <v>1.8080680376038922</v>
      </c>
      <c r="G14" s="1107">
        <f>qPCR_Physicochemical!I15</f>
        <v>6.67</v>
      </c>
      <c r="H14" s="1107">
        <f>qPCR_Physicochemical!J15</f>
        <v>30.2</v>
      </c>
      <c r="I14" s="1107">
        <f>qPCR_Physicochemical!K15</f>
        <v>0.14000000000000001</v>
      </c>
      <c r="J14" s="1107">
        <f>qPCR_Physicochemical!L15</f>
        <v>3.26</v>
      </c>
      <c r="K14" s="1107">
        <f>qPCR_Physicochemical!O15</f>
        <v>0.36</v>
      </c>
      <c r="L14" s="1107">
        <f>qPCR_Physicochemical!P15</f>
        <v>8.9999999999999993E-3</v>
      </c>
      <c r="M14" s="1110">
        <f>qPCR_Physicochemical!Q15</f>
        <v>0.27</v>
      </c>
    </row>
    <row r="15" spans="1:13" x14ac:dyDescent="0.3">
      <c r="A15" s="1383" t="str">
        <f>_xlfn.CONCAT(qPCR_Physicochemical!A16, qPCR_Physicochemical!B16)</f>
        <v>EP44426</v>
      </c>
      <c r="B15" s="1099">
        <f>qPCR_Physicochemical!C16</f>
        <v>7.4727366054879463</v>
      </c>
      <c r="C15" s="1099">
        <f>qPCR_Physicochemical!D16</f>
        <v>4.9646320399135817</v>
      </c>
      <c r="D15" s="1099">
        <f>qPCR_Physicochemical!E16</f>
        <v>3.1710241715303273</v>
      </c>
      <c r="E15" s="1099">
        <f>qPCR_Physicochemical!F16</f>
        <v>0</v>
      </c>
      <c r="F15" s="1099">
        <f>qPCR_Physicochemical!G16</f>
        <v>2.0048199947937011</v>
      </c>
      <c r="G15" s="1107">
        <f>qPCR_Physicochemical!I16</f>
        <v>6.71</v>
      </c>
      <c r="H15" s="1107">
        <f>qPCR_Physicochemical!J16</f>
        <v>32.799999999999997</v>
      </c>
      <c r="I15" s="1107">
        <f>qPCR_Physicochemical!K16</f>
        <v>0.18</v>
      </c>
      <c r="J15" s="1107">
        <f>qPCR_Physicochemical!L16</f>
        <v>3.66</v>
      </c>
      <c r="K15" s="1107">
        <f>qPCR_Physicochemical!O16</f>
        <v>0.03</v>
      </c>
      <c r="L15" s="1107">
        <f>qPCR_Physicochemical!P16</f>
        <v>8.0000000000000002E-3</v>
      </c>
      <c r="M15" s="1110">
        <f>qPCR_Physicochemical!Q16</f>
        <v>0.28999999999999998</v>
      </c>
    </row>
    <row r="16" spans="1:13" x14ac:dyDescent="0.3">
      <c r="A16" s="1383" t="str">
        <f>_xlfn.CONCAT(qPCR_Physicochemical!A17, qPCR_Physicochemical!B17)</f>
        <v>EP44433</v>
      </c>
      <c r="B16" s="1099">
        <f>qPCR_Physicochemical!C17</f>
        <v>7.1744460476783178</v>
      </c>
      <c r="C16" s="1099">
        <f>qPCR_Physicochemical!D17</f>
        <v>3.1697614258419864</v>
      </c>
      <c r="D16" s="1099">
        <f>qPCR_Physicochemical!E17</f>
        <v>3.2751356342848927</v>
      </c>
      <c r="E16" s="1099">
        <f>qPCR_Physicochemical!F17</f>
        <v>3.0698234944731251</v>
      </c>
      <c r="F16" s="1099">
        <f>qPCR_Physicochemical!G17</f>
        <v>0</v>
      </c>
      <c r="G16" s="1107">
        <f>qPCR_Physicochemical!I17</f>
        <v>6.84</v>
      </c>
      <c r="H16" s="1107">
        <f>qPCR_Physicochemical!J17</f>
        <v>33.5</v>
      </c>
      <c r="I16" s="1107">
        <f>qPCR_Physicochemical!K17</f>
        <v>0.21</v>
      </c>
      <c r="J16" s="1107">
        <f>qPCR_Physicochemical!L17</f>
        <v>3.94</v>
      </c>
      <c r="K16" s="1107">
        <f>qPCR_Physicochemical!O17</f>
        <v>0</v>
      </c>
      <c r="L16" s="1107">
        <f>qPCR_Physicochemical!P17</f>
        <v>7.0000000000000001E-3</v>
      </c>
      <c r="M16" s="1110">
        <f>qPCR_Physicochemical!Q17</f>
        <v>0.28999999999999998</v>
      </c>
    </row>
    <row r="17" spans="1:13" x14ac:dyDescent="0.3">
      <c r="A17" s="1383" t="str">
        <f>_xlfn.CONCAT(qPCR_Physicochemical!A18, qPCR_Physicochemical!B18)</f>
        <v>SPI44335</v>
      </c>
      <c r="B17" s="1099">
        <f>qPCR_Physicochemical!C18</f>
        <v>7.2488480361773453</v>
      </c>
      <c r="C17" s="1099">
        <f>qPCR_Physicochemical!D18</f>
        <v>4.721946009032651</v>
      </c>
      <c r="D17" s="1099">
        <f>qPCR_Physicochemical!E18</f>
        <v>2.5435253467391021</v>
      </c>
      <c r="E17" s="1099">
        <f>qPCR_Physicochemical!F18</f>
        <v>0</v>
      </c>
      <c r="F17" s="1099">
        <f>qPCR_Physicochemical!G18</f>
        <v>2.5274824013348796</v>
      </c>
      <c r="G17" s="1107">
        <f>qPCR_Physicochemical!I18</f>
        <v>6.62</v>
      </c>
      <c r="H17" s="1107">
        <f>qPCR_Physicochemical!J18</f>
        <v>24.4</v>
      </c>
      <c r="I17" s="1107">
        <f>qPCR_Physicochemical!K18</f>
        <v>0.17</v>
      </c>
      <c r="J17" s="1107">
        <f>qPCR_Physicochemical!L18</f>
        <v>1.99</v>
      </c>
      <c r="K17" s="1107">
        <f>qPCR_Physicochemical!O18</f>
        <v>0.2</v>
      </c>
      <c r="L17" s="1107">
        <f>qPCR_Physicochemical!P18</f>
        <v>5.0000000000000001E-3</v>
      </c>
      <c r="M17" s="1110">
        <f>qPCR_Physicochemical!Q18</f>
        <v>0.26</v>
      </c>
    </row>
    <row r="18" spans="1:13" x14ac:dyDescent="0.3">
      <c r="A18" s="1383" t="str">
        <f>_xlfn.CONCAT(qPCR_Physicochemical!A19, qPCR_Physicochemical!B19)</f>
        <v>SPI44342</v>
      </c>
      <c r="B18" s="1099">
        <f>qPCR_Physicochemical!C19</f>
        <v>7.4112603147058156</v>
      </c>
      <c r="C18" s="1099">
        <f>qPCR_Physicochemical!D19</f>
        <v>4.8538832053589882</v>
      </c>
      <c r="D18" s="1099">
        <f>qPCR_Physicochemical!E19</f>
        <v>2.6247939608020308</v>
      </c>
      <c r="E18" s="1099">
        <f>qPCR_Physicochemical!F19</f>
        <v>0</v>
      </c>
      <c r="F18" s="1099">
        <f>qPCR_Physicochemical!G19</f>
        <v>2.4706463928792002</v>
      </c>
      <c r="G18" s="1107">
        <f>qPCR_Physicochemical!I19</f>
        <v>6.56</v>
      </c>
      <c r="H18" s="1107">
        <f>qPCR_Physicochemical!J19</f>
        <v>25.8</v>
      </c>
      <c r="I18" s="1107">
        <f>qPCR_Physicochemical!K19</f>
        <v>0.11</v>
      </c>
      <c r="J18" s="1107">
        <f>qPCR_Physicochemical!L19</f>
        <v>2.2799999999999998</v>
      </c>
      <c r="K18" s="1107">
        <f>qPCR_Physicochemical!O19</f>
        <v>0.27</v>
      </c>
      <c r="L18" s="1107">
        <f>qPCR_Physicochemical!P19</f>
        <v>5.0000000000000001E-3</v>
      </c>
      <c r="M18" s="1110">
        <f>qPCR_Physicochemical!Q19</f>
        <v>0.34</v>
      </c>
    </row>
    <row r="19" spans="1:13" x14ac:dyDescent="0.3">
      <c r="A19" s="1383" t="str">
        <f>_xlfn.CONCAT(qPCR_Physicochemical!A20, qPCR_Physicochemical!B20)</f>
        <v>SPI44356</v>
      </c>
      <c r="B19" s="1099">
        <f>qPCR_Physicochemical!C20</f>
        <v>7.1820159348297006</v>
      </c>
      <c r="C19" s="1099">
        <f>qPCR_Physicochemical!D20</f>
        <v>4.163497354716899</v>
      </c>
      <c r="D19" s="1099">
        <f>qPCR_Physicochemical!E20</f>
        <v>3.1234874552157841</v>
      </c>
      <c r="E19" s="1099">
        <f>qPCR_Physicochemical!F20</f>
        <v>3.8012376756987201</v>
      </c>
      <c r="F19" s="1099">
        <f>qPCR_Physicochemical!G20</f>
        <v>3.0157247208101761</v>
      </c>
      <c r="G19" s="1107">
        <f>qPCR_Physicochemical!I20</f>
        <v>6.87</v>
      </c>
      <c r="H19" s="1107">
        <f>qPCR_Physicochemical!J20</f>
        <v>26.4</v>
      </c>
      <c r="I19" s="1107">
        <f>qPCR_Physicochemical!K20</f>
        <v>0.11</v>
      </c>
      <c r="J19" s="1107">
        <f>qPCR_Physicochemical!L20</f>
        <v>2.2799999999999998</v>
      </c>
      <c r="K19" s="1107">
        <f>qPCR_Physicochemical!O20</f>
        <v>0.25</v>
      </c>
      <c r="L19" s="1107">
        <f>qPCR_Physicochemical!P20</f>
        <v>7.0000000000000001E-3</v>
      </c>
      <c r="M19" s="1110">
        <f>qPCR_Physicochemical!Q20</f>
        <v>0.35</v>
      </c>
    </row>
    <row r="20" spans="1:13" x14ac:dyDescent="0.3">
      <c r="A20" s="1383" t="str">
        <f>_xlfn.CONCAT(qPCR_Physicochemical!A21, qPCR_Physicochemical!B21)</f>
        <v>SPI44370</v>
      </c>
      <c r="B20" s="1099">
        <f>qPCR_Physicochemical!C21</f>
        <v>6.0332986709654914</v>
      </c>
      <c r="C20" s="1099">
        <f>qPCR_Physicochemical!D21</f>
        <v>0</v>
      </c>
      <c r="D20" s="1099">
        <f>qPCR_Physicochemical!E21</f>
        <v>1.8361707979478543</v>
      </c>
      <c r="E20" s="1099">
        <f>qPCR_Physicochemical!F21</f>
        <v>0</v>
      </c>
      <c r="F20" s="1099">
        <f>qPCR_Physicochemical!G21</f>
        <v>2.2615535480783655</v>
      </c>
      <c r="G20" s="1107">
        <f>qPCR_Physicochemical!I21</f>
        <v>6.92</v>
      </c>
      <c r="H20" s="1107">
        <f>qPCR_Physicochemical!J21</f>
        <v>27.6</v>
      </c>
      <c r="I20" s="1107">
        <f>qPCR_Physicochemical!K21</f>
        <v>3</v>
      </c>
      <c r="J20" s="1107">
        <f>qPCR_Physicochemical!L21</f>
        <v>0</v>
      </c>
      <c r="K20" s="1107">
        <f>qPCR_Physicochemical!O21</f>
        <v>0</v>
      </c>
      <c r="L20" s="1107">
        <f>qPCR_Physicochemical!P21</f>
        <v>7.0000000000000001E-3</v>
      </c>
      <c r="M20" s="1110">
        <f>qPCR_Physicochemical!Q21</f>
        <v>0.3</v>
      </c>
    </row>
    <row r="21" spans="1:13" x14ac:dyDescent="0.3">
      <c r="A21" s="1383" t="str">
        <f>_xlfn.CONCAT(qPCR_Physicochemical!A22, qPCR_Physicochemical!B22)</f>
        <v>SPI44377</v>
      </c>
      <c r="B21" s="1099">
        <f>qPCR_Physicochemical!C22</f>
        <v>5.6489012349832528</v>
      </c>
      <c r="C21" s="1099">
        <f>qPCR_Physicochemical!D22</f>
        <v>2.6724300034261792</v>
      </c>
      <c r="D21" s="1099">
        <f>qPCR_Physicochemical!E22</f>
        <v>0</v>
      </c>
      <c r="E21" s="1099">
        <f>qPCR_Physicochemical!F22</f>
        <v>0</v>
      </c>
      <c r="F21" s="1099">
        <f>qPCR_Physicochemical!G22</f>
        <v>0</v>
      </c>
      <c r="G21" s="1107">
        <f>qPCR_Physicochemical!I22</f>
        <v>7</v>
      </c>
      <c r="H21" s="1107">
        <f>qPCR_Physicochemical!J22</f>
        <v>28.1</v>
      </c>
      <c r="I21" s="1107">
        <f>qPCR_Physicochemical!K22</f>
        <v>2.78</v>
      </c>
      <c r="J21" s="1107">
        <f>qPCR_Physicochemical!L22</f>
        <v>0.01</v>
      </c>
      <c r="K21" s="1107">
        <f>qPCR_Physicochemical!O22</f>
        <v>0.25</v>
      </c>
      <c r="L21" s="1107">
        <f>qPCR_Physicochemical!P22</f>
        <v>0.1</v>
      </c>
      <c r="M21" s="1110">
        <f>qPCR_Physicochemical!Q22</f>
        <v>0.37</v>
      </c>
    </row>
    <row r="22" spans="1:13" x14ac:dyDescent="0.3">
      <c r="A22" s="1383" t="str">
        <f>_xlfn.CONCAT(qPCR_Physicochemical!A23, qPCR_Physicochemical!B23)</f>
        <v>SPI44385</v>
      </c>
      <c r="B22" s="1099">
        <f>qPCR_Physicochemical!C23</f>
        <v>5.4593349146911159</v>
      </c>
      <c r="C22" s="1099">
        <f>qPCR_Physicochemical!D23</f>
        <v>2.4792015600758024</v>
      </c>
      <c r="D22" s="1099">
        <f>qPCR_Physicochemical!E23</f>
        <v>0</v>
      </c>
      <c r="E22" s="1099">
        <f>qPCR_Physicochemical!F23</f>
        <v>0</v>
      </c>
      <c r="F22" s="1099">
        <f>qPCR_Physicochemical!G23</f>
        <v>3.6197326464697857</v>
      </c>
      <c r="G22" s="1107">
        <f>qPCR_Physicochemical!I23</f>
        <v>6.88</v>
      </c>
      <c r="H22" s="1107">
        <f>qPCR_Physicochemical!J23</f>
        <v>28.6</v>
      </c>
      <c r="I22" s="1107">
        <f>qPCR_Physicochemical!K23</f>
        <v>2.67</v>
      </c>
      <c r="J22" s="1107">
        <f>qPCR_Physicochemical!L23</f>
        <v>0.03</v>
      </c>
      <c r="K22" s="1107">
        <f>qPCR_Physicochemical!O23</f>
        <v>0.03</v>
      </c>
      <c r="L22" s="1107">
        <f>qPCR_Physicochemical!P23</f>
        <v>5.0000000000000001E-3</v>
      </c>
      <c r="M22" s="1110">
        <f>qPCR_Physicochemical!Q23</f>
        <v>0.35</v>
      </c>
    </row>
    <row r="23" spans="1:13" x14ac:dyDescent="0.3">
      <c r="A23" s="1383" t="str">
        <f>_xlfn.CONCAT(qPCR_Physicochemical!A24, qPCR_Physicochemical!B24)</f>
        <v>SPI44391</v>
      </c>
      <c r="B23" s="1099">
        <f>qPCR_Physicochemical!C24</f>
        <v>5.9118235110714696</v>
      </c>
      <c r="C23" s="1099">
        <f>qPCR_Physicochemical!D24</f>
        <v>3.0981883072865495</v>
      </c>
      <c r="D23" s="1099">
        <f>qPCR_Physicochemical!E24</f>
        <v>0</v>
      </c>
      <c r="E23" s="1099">
        <f>qPCR_Physicochemical!F24</f>
        <v>0</v>
      </c>
      <c r="F23" s="1099">
        <f>qPCR_Physicochemical!G24</f>
        <v>0</v>
      </c>
      <c r="G23" s="1107">
        <f>qPCR_Physicochemical!I24</f>
        <v>6.77</v>
      </c>
      <c r="H23" s="1107">
        <f>qPCR_Physicochemical!J24</f>
        <v>28.6</v>
      </c>
      <c r="I23" s="1107">
        <f>qPCR_Physicochemical!K24</f>
        <v>2.64</v>
      </c>
      <c r="J23" s="1107">
        <f>qPCR_Physicochemical!L24</f>
        <v>0.01</v>
      </c>
      <c r="K23" s="1107">
        <f>qPCR_Physicochemical!O24</f>
        <v>0.03</v>
      </c>
      <c r="L23" s="1107">
        <f>qPCR_Physicochemical!P24</f>
        <v>6.0000000000000001E-3</v>
      </c>
      <c r="M23" s="1110">
        <f>qPCR_Physicochemical!Q24</f>
        <v>0.42</v>
      </c>
    </row>
    <row r="24" spans="1:13" x14ac:dyDescent="0.3">
      <c r="A24" s="1383" t="str">
        <f>_xlfn.CONCAT(qPCR_Physicochemical!A25, qPCR_Physicochemical!B25)</f>
        <v>SPI44398</v>
      </c>
      <c r="B24" s="1099">
        <f>qPCR_Physicochemical!C25</f>
        <v>6.3136663056555458</v>
      </c>
      <c r="C24" s="1099">
        <f>qPCR_Physicochemical!D25</f>
        <v>0</v>
      </c>
      <c r="D24" s="1099">
        <f>qPCR_Physicochemical!E25</f>
        <v>0</v>
      </c>
      <c r="E24" s="1099">
        <f>qPCR_Physicochemical!F25</f>
        <v>4.1051102984023373</v>
      </c>
      <c r="F24" s="1099">
        <f>qPCR_Physicochemical!G25</f>
        <v>0</v>
      </c>
      <c r="G24" s="1107">
        <f>qPCR_Physicochemical!I25</f>
        <v>6.71</v>
      </c>
      <c r="H24" s="1107">
        <f>qPCR_Physicochemical!J25</f>
        <v>28.6</v>
      </c>
      <c r="I24" s="1107">
        <f>qPCR_Physicochemical!K25</f>
        <v>2.78</v>
      </c>
      <c r="J24" s="1107">
        <f>qPCR_Physicochemical!L25</f>
        <v>0.03</v>
      </c>
      <c r="K24" s="1107">
        <f>qPCR_Physicochemical!O25</f>
        <v>0.02</v>
      </c>
      <c r="L24" s="1107">
        <f>qPCR_Physicochemical!P25</f>
        <v>6.0000000000000001E-3</v>
      </c>
      <c r="M24" s="1110">
        <f>qPCR_Physicochemical!Q25</f>
        <v>0.38</v>
      </c>
    </row>
    <row r="25" spans="1:13" x14ac:dyDescent="0.3">
      <c r="A25" s="1383" t="str">
        <f>_xlfn.CONCAT(qPCR_Physicochemical!A26, qPCR_Physicochemical!B26)</f>
        <v>SPI44405</v>
      </c>
      <c r="B25" s="1099">
        <f>qPCR_Physicochemical!C26</f>
        <v>8.6081730970830517</v>
      </c>
      <c r="C25" s="1099">
        <f>qPCR_Physicochemical!D26</f>
        <v>0</v>
      </c>
      <c r="D25" s="1099">
        <f>qPCR_Physicochemical!E26</f>
        <v>0</v>
      </c>
      <c r="E25" s="1099">
        <f>qPCR_Physicochemical!F26</f>
        <v>5.8665072771985223</v>
      </c>
      <c r="F25" s="1099">
        <f>qPCR_Physicochemical!G26</f>
        <v>0</v>
      </c>
      <c r="G25" s="1107">
        <f>qPCR_Physicochemical!I26</f>
        <v>6.74</v>
      </c>
      <c r="H25" s="1107">
        <f>qPCR_Physicochemical!J26</f>
        <v>29.7</v>
      </c>
      <c r="I25" s="1107">
        <f>qPCR_Physicochemical!K26</f>
        <v>0.04</v>
      </c>
      <c r="J25" s="1107">
        <f>qPCR_Physicochemical!L26</f>
        <v>0.02</v>
      </c>
      <c r="K25" s="1107">
        <f>qPCR_Physicochemical!O26</f>
        <v>0.02</v>
      </c>
      <c r="L25" s="1107">
        <f>qPCR_Physicochemical!P26</f>
        <v>7.0000000000000001E-3</v>
      </c>
      <c r="M25" s="1110">
        <f>qPCR_Physicochemical!Q26</f>
        <v>0.48</v>
      </c>
    </row>
    <row r="26" spans="1:13" x14ac:dyDescent="0.3">
      <c r="A26" s="1383" t="str">
        <f>_xlfn.CONCAT(qPCR_Physicochemical!A27, qPCR_Physicochemical!B27)</f>
        <v>SPI44412</v>
      </c>
      <c r="B26" s="1099">
        <f>qPCR_Physicochemical!C27</f>
        <v>7.7628834849747959</v>
      </c>
      <c r="C26" s="1099">
        <f>qPCR_Physicochemical!D27</f>
        <v>3.7621508354431223</v>
      </c>
      <c r="D26" s="1099">
        <f>qPCR_Physicochemical!E27</f>
        <v>2.828397132065815</v>
      </c>
      <c r="E26" s="1099">
        <f>qPCR_Physicochemical!F27</f>
        <v>0</v>
      </c>
      <c r="F26" s="1099">
        <f>qPCR_Physicochemical!G27</f>
        <v>0</v>
      </c>
      <c r="G26" s="1107">
        <f>qPCR_Physicochemical!I27</f>
        <v>6.7</v>
      </c>
      <c r="H26" s="1107">
        <f>qPCR_Physicochemical!J27</f>
        <v>29.7</v>
      </c>
      <c r="I26" s="1107">
        <f>qPCR_Physicochemical!K27</f>
        <v>0.06</v>
      </c>
      <c r="J26" s="1107">
        <f>qPCR_Physicochemical!L27</f>
        <v>2.19</v>
      </c>
      <c r="K26" s="1107">
        <f>qPCR_Physicochemical!O27</f>
        <v>0.19</v>
      </c>
      <c r="L26" s="1107">
        <f>qPCR_Physicochemical!P27</f>
        <v>7.0000000000000001E-3</v>
      </c>
      <c r="M26" s="1110">
        <f>qPCR_Physicochemical!Q27</f>
        <v>0.43</v>
      </c>
    </row>
    <row r="27" spans="1:13" x14ac:dyDescent="0.3">
      <c r="A27" s="1383" t="str">
        <f>_xlfn.CONCAT(qPCR_Physicochemical!A28, qPCR_Physicochemical!B28)</f>
        <v>SPI44419</v>
      </c>
      <c r="B27" s="1099">
        <f>qPCR_Physicochemical!C28</f>
        <v>6.9571425802081057</v>
      </c>
      <c r="C27" s="1099">
        <f>qPCR_Physicochemical!D28</f>
        <v>3.8028826843473644</v>
      </c>
      <c r="D27" s="1099">
        <f>qPCR_Physicochemical!E28</f>
        <v>2.8390480438118804</v>
      </c>
      <c r="E27" s="1099">
        <f>qPCR_Physicochemical!F28</f>
        <v>3.1450774317855172</v>
      </c>
      <c r="F27" s="1099">
        <f>qPCR_Physicochemical!G28</f>
        <v>0</v>
      </c>
      <c r="G27" s="1107">
        <f>qPCR_Physicochemical!I28</f>
        <v>6.68</v>
      </c>
      <c r="H27" s="1107">
        <f>qPCR_Physicochemical!J28</f>
        <v>29.7</v>
      </c>
      <c r="I27" s="1107">
        <f>qPCR_Physicochemical!K28</f>
        <v>0.1</v>
      </c>
      <c r="J27" s="1107">
        <f>qPCR_Physicochemical!L28</f>
        <v>2.0099999999999998</v>
      </c>
      <c r="K27" s="1107">
        <f>qPCR_Physicochemical!O28</f>
        <v>0.18</v>
      </c>
      <c r="L27" s="1107">
        <f>qPCR_Physicochemical!P28</f>
        <v>6.0000000000000001E-3</v>
      </c>
      <c r="M27" s="1110">
        <f>qPCR_Physicochemical!Q28</f>
        <v>0.32</v>
      </c>
    </row>
    <row r="28" spans="1:13" x14ac:dyDescent="0.3">
      <c r="A28" s="1383" t="str">
        <f>_xlfn.CONCAT(qPCR_Physicochemical!A29, qPCR_Physicochemical!B29)</f>
        <v>SPI44426</v>
      </c>
      <c r="B28" s="1099">
        <f>qPCR_Physicochemical!C29</f>
        <v>7.093407807743783</v>
      </c>
      <c r="C28" s="1099">
        <f>qPCR_Physicochemical!D29</f>
        <v>4.5633325917001768</v>
      </c>
      <c r="D28" s="1099">
        <f>qPCR_Physicochemical!E29</f>
        <v>2.0264676710536986</v>
      </c>
      <c r="E28" s="1099">
        <f>qPCR_Physicochemical!F29</f>
        <v>0</v>
      </c>
      <c r="F28" s="1099">
        <f>qPCR_Physicochemical!G29</f>
        <v>0</v>
      </c>
      <c r="G28" s="1107">
        <f>qPCR_Physicochemical!I29</f>
        <v>6.78</v>
      </c>
      <c r="H28" s="1107">
        <f>qPCR_Physicochemical!J29</f>
        <v>29.9</v>
      </c>
      <c r="I28" s="1107">
        <f>qPCR_Physicochemical!K29</f>
        <v>7.0000000000000007E-2</v>
      </c>
      <c r="J28" s="1107">
        <f>qPCR_Physicochemical!L29</f>
        <v>1.96</v>
      </c>
      <c r="K28" s="1107">
        <f>qPCR_Physicochemical!O29</f>
        <v>0.11</v>
      </c>
      <c r="L28" s="1107">
        <f>qPCR_Physicochemical!P29</f>
        <v>2E-3</v>
      </c>
      <c r="M28" s="1110">
        <f>qPCR_Physicochemical!Q29</f>
        <v>0.4</v>
      </c>
    </row>
    <row r="29" spans="1:13" x14ac:dyDescent="0.3">
      <c r="A29" s="1383" t="str">
        <f>_xlfn.CONCAT(qPCR_Physicochemical!A30, qPCR_Physicochemical!B30)</f>
        <v>SPI44433</v>
      </c>
      <c r="B29" s="1099">
        <f>qPCR_Physicochemical!C30</f>
        <v>9.5187224424310894</v>
      </c>
      <c r="C29" s="1099">
        <f>qPCR_Physicochemical!D30</f>
        <v>4.0692002329379919</v>
      </c>
      <c r="D29" s="1099">
        <f>qPCR_Physicochemical!E30</f>
        <v>2.1889560866282487</v>
      </c>
      <c r="E29" s="1099">
        <f>qPCR_Physicochemical!F30</f>
        <v>5.0415213521965967</v>
      </c>
      <c r="F29" s="1099">
        <f>qPCR_Physicochemical!G30</f>
        <v>0</v>
      </c>
      <c r="G29" s="1107">
        <f>qPCR_Physicochemical!I30</f>
        <v>6.85</v>
      </c>
      <c r="H29" s="1107">
        <f>qPCR_Physicochemical!J30</f>
        <v>29.6</v>
      </c>
      <c r="I29" s="1107">
        <f>qPCR_Physicochemical!K30</f>
        <v>0.11</v>
      </c>
      <c r="J29" s="1107">
        <f>qPCR_Physicochemical!L30</f>
        <v>1.24</v>
      </c>
      <c r="K29" s="1107">
        <f>qPCR_Physicochemical!O30</f>
        <v>0.16</v>
      </c>
      <c r="L29" s="1107">
        <f>qPCR_Physicochemical!P30</f>
        <v>1E-3</v>
      </c>
      <c r="M29" s="1110">
        <f>qPCR_Physicochemical!Q30</f>
        <v>0.42</v>
      </c>
    </row>
    <row r="30" spans="1:13" x14ac:dyDescent="0.3">
      <c r="A30" s="1383" t="str">
        <f>_xlfn.CONCAT(qPCR_Physicochemical!A31, qPCR_Physicochemical!B31)</f>
        <v>SPO44335</v>
      </c>
      <c r="B30" s="1099">
        <f>qPCR_Physicochemical!C31</f>
        <v>7.3976328979330424</v>
      </c>
      <c r="C30" s="1099">
        <f>qPCR_Physicochemical!D31</f>
        <v>5.1051171753821354</v>
      </c>
      <c r="D30" s="1099">
        <f>qPCR_Physicochemical!E31</f>
        <v>3.3694614758953745</v>
      </c>
      <c r="E30" s="1099">
        <f>qPCR_Physicochemical!F31</f>
        <v>2.6119711757154414</v>
      </c>
      <c r="F30" s="1099">
        <f>qPCR_Physicochemical!G31</f>
        <v>1.9773829866860844</v>
      </c>
      <c r="G30" s="1107">
        <f>qPCR_Physicochemical!I31</f>
        <v>6.53</v>
      </c>
      <c r="H30" s="1107">
        <f>qPCR_Physicochemical!J31</f>
        <v>24.8</v>
      </c>
      <c r="I30" s="1107">
        <f>qPCR_Physicochemical!K31</f>
        <v>0.11</v>
      </c>
      <c r="J30" s="1107">
        <f>qPCR_Physicochemical!L31</f>
        <v>1.77</v>
      </c>
      <c r="K30" s="1107">
        <f>qPCR_Physicochemical!O31</f>
        <v>0.33</v>
      </c>
      <c r="L30" s="1107">
        <f>qPCR_Physicochemical!P31</f>
        <v>5.0000000000000001E-3</v>
      </c>
      <c r="M30" s="1110">
        <f>qPCR_Physicochemical!Q31</f>
        <v>0.26</v>
      </c>
    </row>
    <row r="31" spans="1:13" x14ac:dyDescent="0.3">
      <c r="A31" s="1383" t="str">
        <f>_xlfn.CONCAT(qPCR_Physicochemical!A32, qPCR_Physicochemical!B32)</f>
        <v>SPO44342</v>
      </c>
      <c r="B31" s="1099">
        <f>qPCR_Physicochemical!C32</f>
        <v>6.9219903352171874</v>
      </c>
      <c r="C31" s="1099">
        <f>qPCR_Physicochemical!D32</f>
        <v>4.3579867486689796</v>
      </c>
      <c r="D31" s="1099">
        <f>qPCR_Physicochemical!E32</f>
        <v>2.4934356195993486</v>
      </c>
      <c r="E31" s="1099">
        <f>qPCR_Physicochemical!F32</f>
        <v>3.9947325075118063</v>
      </c>
      <c r="F31" s="1099">
        <f>qPCR_Physicochemical!G32</f>
        <v>2.397277177665643</v>
      </c>
      <c r="G31" s="1107">
        <f>qPCR_Physicochemical!I32</f>
        <v>6.62</v>
      </c>
      <c r="H31" s="1107">
        <f>qPCR_Physicochemical!J32</f>
        <v>25.3</v>
      </c>
      <c r="I31" s="1107">
        <f>qPCR_Physicochemical!K32</f>
        <v>0.09</v>
      </c>
      <c r="J31" s="1107">
        <f>qPCR_Physicochemical!L32</f>
        <v>1.72</v>
      </c>
      <c r="K31" s="1107">
        <f>qPCR_Physicochemical!O32</f>
        <v>0.25</v>
      </c>
      <c r="L31" s="1107">
        <f>qPCR_Physicochemical!P32</f>
        <v>5.0000000000000001E-3</v>
      </c>
      <c r="M31" s="1110">
        <f>qPCR_Physicochemical!Q32</f>
        <v>0.35</v>
      </c>
    </row>
    <row r="32" spans="1:13" x14ac:dyDescent="0.3">
      <c r="A32" s="1383" t="str">
        <f>_xlfn.CONCAT(qPCR_Physicochemical!A33, qPCR_Physicochemical!B33)</f>
        <v>SPO44356</v>
      </c>
      <c r="B32" s="1099">
        <f>qPCR_Physicochemical!C33</f>
        <v>6.8820149051785551</v>
      </c>
      <c r="C32" s="1099">
        <f>qPCR_Physicochemical!D33</f>
        <v>4.4053095940815297</v>
      </c>
      <c r="D32" s="1099">
        <f>qPCR_Physicochemical!E33</f>
        <v>3.3310670461162957</v>
      </c>
      <c r="E32" s="1099">
        <f>qPCR_Physicochemical!F33</f>
        <v>2.968653156689125</v>
      </c>
      <c r="F32" s="1099">
        <f>qPCR_Physicochemical!G33</f>
        <v>0</v>
      </c>
      <c r="G32" s="1107">
        <f>qPCR_Physicochemical!I33</f>
        <v>7.2</v>
      </c>
      <c r="H32" s="1107">
        <f>qPCR_Physicochemical!J33</f>
        <v>25.2</v>
      </c>
      <c r="I32" s="1107">
        <f>qPCR_Physicochemical!K33</f>
        <v>0.09</v>
      </c>
      <c r="J32" s="1107">
        <f>qPCR_Physicochemical!L33</f>
        <v>1.82</v>
      </c>
      <c r="K32" s="1107">
        <f>qPCR_Physicochemical!O33</f>
        <v>0.14000000000000001</v>
      </c>
      <c r="L32" s="1107">
        <f>qPCR_Physicochemical!P33</f>
        <v>1E-3</v>
      </c>
      <c r="M32" s="1110">
        <f>qPCR_Physicochemical!Q33</f>
        <v>0.36</v>
      </c>
    </row>
    <row r="33" spans="1:13" x14ac:dyDescent="0.3">
      <c r="A33" s="1383" t="str">
        <f>_xlfn.CONCAT(qPCR_Physicochemical!A34, qPCR_Physicochemical!B34)</f>
        <v>SPO44370</v>
      </c>
      <c r="B33" s="1099">
        <f>qPCR_Physicochemical!C34</f>
        <v>5.025982146472221</v>
      </c>
      <c r="C33" s="1099">
        <f>qPCR_Physicochemical!D34</f>
        <v>0</v>
      </c>
      <c r="D33" s="1099">
        <f>qPCR_Physicochemical!E34</f>
        <v>0</v>
      </c>
      <c r="E33" s="1099">
        <f>qPCR_Physicochemical!F34</f>
        <v>0</v>
      </c>
      <c r="F33" s="1099">
        <f>qPCR_Physicochemical!G34</f>
        <v>0</v>
      </c>
      <c r="G33" s="1107">
        <f>qPCR_Physicochemical!I34</f>
        <v>6.97</v>
      </c>
      <c r="H33" s="1107">
        <f>qPCR_Physicochemical!J34</f>
        <v>26.6</v>
      </c>
      <c r="I33" s="1107">
        <f>qPCR_Physicochemical!K34</f>
        <v>2.68</v>
      </c>
      <c r="J33" s="1107">
        <f>qPCR_Physicochemical!L34</f>
        <v>0</v>
      </c>
      <c r="K33" s="1107">
        <f>qPCR_Physicochemical!O34</f>
        <v>0.03</v>
      </c>
      <c r="L33" s="1107">
        <f>qPCR_Physicochemical!P34</f>
        <v>6.0000000000000001E-3</v>
      </c>
      <c r="M33" s="1110">
        <f>qPCR_Physicochemical!Q34</f>
        <v>0.32</v>
      </c>
    </row>
    <row r="34" spans="1:13" x14ac:dyDescent="0.3">
      <c r="A34" s="1383" t="str">
        <f>_xlfn.CONCAT(qPCR_Physicochemical!A35, qPCR_Physicochemical!B35)</f>
        <v>SPO44377</v>
      </c>
      <c r="B34" s="1099">
        <f>qPCR_Physicochemical!C35</f>
        <v>4.682770131298021</v>
      </c>
      <c r="C34" s="1099">
        <f>qPCR_Physicochemical!D35</f>
        <v>0</v>
      </c>
      <c r="D34" s="1099">
        <f>qPCR_Physicochemical!E35</f>
        <v>0</v>
      </c>
      <c r="E34" s="1099">
        <f>qPCR_Physicochemical!F35</f>
        <v>0</v>
      </c>
      <c r="F34" s="1099">
        <f>qPCR_Physicochemical!G35</f>
        <v>0</v>
      </c>
      <c r="G34" s="1107">
        <f>qPCR_Physicochemical!I35</f>
        <v>6.63</v>
      </c>
      <c r="H34" s="1107">
        <f>qPCR_Physicochemical!J35</f>
        <v>27.4</v>
      </c>
      <c r="I34" s="1107">
        <f>qPCR_Physicochemical!K35</f>
        <v>2.52</v>
      </c>
      <c r="J34" s="1107">
        <f>qPCR_Physicochemical!L35</f>
        <v>0.01</v>
      </c>
      <c r="K34" s="1107">
        <f>qPCR_Physicochemical!O35</f>
        <v>0.21</v>
      </c>
      <c r="L34" s="1107">
        <f>qPCR_Physicochemical!P35</f>
        <v>7.0000000000000001E-3</v>
      </c>
      <c r="M34" s="1110">
        <f>qPCR_Physicochemical!Q35</f>
        <v>0.37</v>
      </c>
    </row>
    <row r="35" spans="1:13" x14ac:dyDescent="0.3">
      <c r="A35" s="1383" t="str">
        <f>_xlfn.CONCAT(qPCR_Physicochemical!A36, qPCR_Physicochemical!B36)</f>
        <v>SPO44385</v>
      </c>
      <c r="B35" s="1099">
        <f>qPCR_Physicochemical!C36</f>
        <v>5.0881109626207861</v>
      </c>
      <c r="C35" s="1099">
        <f>qPCR_Physicochemical!D36</f>
        <v>2.8348287037714068</v>
      </c>
      <c r="D35" s="1099">
        <f>qPCR_Physicochemical!E36</f>
        <v>0</v>
      </c>
      <c r="E35" s="1099">
        <f>qPCR_Physicochemical!F36</f>
        <v>0</v>
      </c>
      <c r="F35" s="1099">
        <f>qPCR_Physicochemical!G36</f>
        <v>0</v>
      </c>
      <c r="G35" s="1107">
        <f>qPCR_Physicochemical!I36</f>
        <v>7.09</v>
      </c>
      <c r="H35" s="1107">
        <f>qPCR_Physicochemical!J36</f>
        <v>27.2</v>
      </c>
      <c r="I35" s="1107">
        <f>qPCR_Physicochemical!K36</f>
        <v>2.35</v>
      </c>
      <c r="J35" s="1107">
        <f>qPCR_Physicochemical!L36</f>
        <v>0</v>
      </c>
      <c r="K35" s="1107">
        <f>qPCR_Physicochemical!O36</f>
        <v>0.03</v>
      </c>
      <c r="L35" s="1107">
        <f>qPCR_Physicochemical!P36</f>
        <v>7.0000000000000001E-3</v>
      </c>
      <c r="M35" s="1110">
        <f>qPCR_Physicochemical!Q36</f>
        <v>0.41</v>
      </c>
    </row>
    <row r="36" spans="1:13" x14ac:dyDescent="0.3">
      <c r="A36" s="1383" t="str">
        <f>_xlfn.CONCAT(qPCR_Physicochemical!A37, qPCR_Physicochemical!B37)</f>
        <v>SPO44391</v>
      </c>
      <c r="B36" s="1099">
        <f>qPCR_Physicochemical!C37</f>
        <v>5.4913577477793218</v>
      </c>
      <c r="C36" s="1099">
        <f>qPCR_Physicochemical!D37</f>
        <v>2.8803480784195954</v>
      </c>
      <c r="D36" s="1099">
        <f>qPCR_Physicochemical!E37</f>
        <v>0</v>
      </c>
      <c r="E36" s="1099">
        <f>qPCR_Physicochemical!F37</f>
        <v>0</v>
      </c>
      <c r="F36" s="1099">
        <f>qPCR_Physicochemical!G37</f>
        <v>0</v>
      </c>
      <c r="G36" s="1107">
        <f>qPCR_Physicochemical!I37</f>
        <v>6.67</v>
      </c>
      <c r="H36" s="1107">
        <f>qPCR_Physicochemical!J37</f>
        <v>27.6</v>
      </c>
      <c r="I36" s="1107">
        <f>qPCR_Physicochemical!K37</f>
        <v>2.52</v>
      </c>
      <c r="J36" s="1107">
        <f>qPCR_Physicochemical!L37</f>
        <v>0.02</v>
      </c>
      <c r="K36" s="1107">
        <f>qPCR_Physicochemical!O37</f>
        <v>0.22</v>
      </c>
      <c r="L36" s="1107">
        <f>qPCR_Physicochemical!P37</f>
        <v>6.0000000000000001E-3</v>
      </c>
      <c r="M36" s="1110">
        <f>qPCR_Physicochemical!Q37</f>
        <v>0.38</v>
      </c>
    </row>
    <row r="37" spans="1:13" x14ac:dyDescent="0.3">
      <c r="A37" s="1383" t="str">
        <f>_xlfn.CONCAT(qPCR_Physicochemical!A38, qPCR_Physicochemical!B38)</f>
        <v>SPO44398</v>
      </c>
      <c r="B37" s="1099">
        <f>qPCR_Physicochemical!C38</f>
        <v>5.01187338604002</v>
      </c>
      <c r="C37" s="1099">
        <f>qPCR_Physicochemical!D38</f>
        <v>2.6639377692904969</v>
      </c>
      <c r="D37" s="1099">
        <f>qPCR_Physicochemical!E38</f>
        <v>0</v>
      </c>
      <c r="E37" s="1099">
        <f>qPCR_Physicochemical!F38</f>
        <v>0</v>
      </c>
      <c r="F37" s="1099">
        <f>qPCR_Physicochemical!G38</f>
        <v>0</v>
      </c>
      <c r="G37" s="1107">
        <f>qPCR_Physicochemical!I38</f>
        <v>6.57</v>
      </c>
      <c r="H37" s="1107">
        <f>qPCR_Physicochemical!J38</f>
        <v>27.7</v>
      </c>
      <c r="I37" s="1107">
        <f>qPCR_Physicochemical!K38</f>
        <v>2.39</v>
      </c>
      <c r="J37" s="1107">
        <f>qPCR_Physicochemical!L38</f>
        <v>0</v>
      </c>
      <c r="K37" s="1107">
        <f>qPCR_Physicochemical!O38</f>
        <v>0.03</v>
      </c>
      <c r="L37" s="1107">
        <f>qPCR_Physicochemical!P38</f>
        <v>5.0000000000000001E-3</v>
      </c>
      <c r="M37" s="1110">
        <f>qPCR_Physicochemical!Q38</f>
        <v>0.4</v>
      </c>
    </row>
    <row r="38" spans="1:13" x14ac:dyDescent="0.3">
      <c r="A38" s="1383" t="str">
        <f>_xlfn.CONCAT(qPCR_Physicochemical!A39, qPCR_Physicochemical!B39)</f>
        <v>SPO44405</v>
      </c>
      <c r="B38" s="1099">
        <f>qPCR_Physicochemical!C39</f>
        <v>6.6806695873206543</v>
      </c>
      <c r="C38" s="1099">
        <f>qPCR_Physicochemical!D39</f>
        <v>3.9091048998141136</v>
      </c>
      <c r="D38" s="1099">
        <f>qPCR_Physicochemical!E39</f>
        <v>3.279550348825468</v>
      </c>
      <c r="E38" s="1099">
        <f>qPCR_Physicochemical!F39</f>
        <v>0</v>
      </c>
      <c r="F38" s="1099">
        <f>qPCR_Physicochemical!G39</f>
        <v>0</v>
      </c>
      <c r="G38" s="1107">
        <f>qPCR_Physicochemical!I39</f>
        <v>7</v>
      </c>
      <c r="H38" s="1107">
        <f>qPCR_Physicochemical!J39</f>
        <v>28.6</v>
      </c>
      <c r="I38" s="1107">
        <f>qPCR_Physicochemical!K39</f>
        <v>0.05</v>
      </c>
      <c r="J38" s="1107">
        <f>qPCR_Physicochemical!L39</f>
        <v>0.84</v>
      </c>
      <c r="K38" s="1107">
        <f>qPCR_Physicochemical!O39</f>
        <v>0.16</v>
      </c>
      <c r="L38" s="1107">
        <f>qPCR_Physicochemical!P39</f>
        <v>7.0000000000000001E-3</v>
      </c>
      <c r="M38" s="1110">
        <f>qPCR_Physicochemical!Q39</f>
        <v>0.47</v>
      </c>
    </row>
    <row r="39" spans="1:13" x14ac:dyDescent="0.3">
      <c r="A39" s="1383" t="str">
        <f>_xlfn.CONCAT(qPCR_Physicochemical!A40, qPCR_Physicochemical!B40)</f>
        <v>SPO44412</v>
      </c>
      <c r="B39" s="1099">
        <f>qPCR_Physicochemical!C40</f>
        <v>6.4679144985785593</v>
      </c>
      <c r="C39" s="1099">
        <f>qPCR_Physicochemical!D40</f>
        <v>3.6671601345541878</v>
      </c>
      <c r="D39" s="1099">
        <f>qPCR_Physicochemical!E40</f>
        <v>2.0876180924738739</v>
      </c>
      <c r="E39" s="1099">
        <f>qPCR_Physicochemical!F40</f>
        <v>2.5291065311531939</v>
      </c>
      <c r="F39" s="1099">
        <f>qPCR_Physicochemical!G40</f>
        <v>0</v>
      </c>
      <c r="G39" s="1107">
        <f>qPCR_Physicochemical!I40</f>
        <v>7.07</v>
      </c>
      <c r="H39" s="1107">
        <f>qPCR_Physicochemical!J40</f>
        <v>28.2</v>
      </c>
      <c r="I39" s="1107">
        <f>qPCR_Physicochemical!K40</f>
        <v>0.1</v>
      </c>
      <c r="J39" s="1107">
        <f>qPCR_Physicochemical!L40</f>
        <v>1.69</v>
      </c>
      <c r="K39" s="1107">
        <f>qPCR_Physicochemical!O40</f>
        <v>0.25</v>
      </c>
      <c r="L39" s="1107">
        <f>qPCR_Physicochemical!P40</f>
        <v>5.0000000000000001E-3</v>
      </c>
      <c r="M39" s="1110">
        <f>qPCR_Physicochemical!Q40</f>
        <v>0.4</v>
      </c>
    </row>
    <row r="40" spans="1:13" x14ac:dyDescent="0.3">
      <c r="A40" s="1383" t="str">
        <f>_xlfn.CONCAT(qPCR_Physicochemical!A41, qPCR_Physicochemical!B41)</f>
        <v>SPO44419</v>
      </c>
      <c r="B40" s="1099">
        <f>qPCR_Physicochemical!C41</f>
        <v>7.4763848749940305</v>
      </c>
      <c r="C40" s="1099">
        <f>qPCR_Physicochemical!D41</f>
        <v>4.0247043077357461</v>
      </c>
      <c r="D40" s="1099">
        <f>qPCR_Physicochemical!E41</f>
        <v>3.1257503535272613</v>
      </c>
      <c r="E40" s="1099">
        <f>qPCR_Physicochemical!F41</f>
        <v>0</v>
      </c>
      <c r="F40" s="1099">
        <f>qPCR_Physicochemical!G41</f>
        <v>0</v>
      </c>
      <c r="G40" s="1107">
        <f>qPCR_Physicochemical!I41</f>
        <v>7.09</v>
      </c>
      <c r="H40" s="1107">
        <f>qPCR_Physicochemical!J41</f>
        <v>29.5</v>
      </c>
      <c r="I40" s="1107">
        <f>qPCR_Physicochemical!K41</f>
        <v>0.11</v>
      </c>
      <c r="J40" s="1107">
        <f>qPCR_Physicochemical!L41</f>
        <v>1.59</v>
      </c>
      <c r="K40" s="1107">
        <f>qPCR_Physicochemical!O41</f>
        <v>0.18</v>
      </c>
      <c r="L40" s="1107">
        <f>qPCR_Physicochemical!P41</f>
        <v>6.0000000000000001E-3</v>
      </c>
      <c r="M40" s="1110">
        <f>qPCR_Physicochemical!Q41</f>
        <v>0.44</v>
      </c>
    </row>
    <row r="41" spans="1:13" x14ac:dyDescent="0.3">
      <c r="A41" s="1383" t="str">
        <f>_xlfn.CONCAT(qPCR_Physicochemical!A42, qPCR_Physicochemical!B42)</f>
        <v>SPO44426</v>
      </c>
      <c r="B41" s="1099">
        <f>qPCR_Physicochemical!C42</f>
        <v>8.4148405289647066</v>
      </c>
      <c r="C41" s="1099">
        <f>qPCR_Physicochemical!D42</f>
        <v>4.2469220709916948</v>
      </c>
      <c r="D41" s="1099">
        <f>qPCR_Physicochemical!E42</f>
        <v>0</v>
      </c>
      <c r="E41" s="1099">
        <f>qPCR_Physicochemical!F42</f>
        <v>0</v>
      </c>
      <c r="F41" s="1099">
        <f>qPCR_Physicochemical!G42</f>
        <v>0</v>
      </c>
      <c r="G41" s="1107">
        <f>qPCR_Physicochemical!I42</f>
        <v>6.7</v>
      </c>
      <c r="H41" s="1107">
        <f>qPCR_Physicochemical!J42</f>
        <v>28.6</v>
      </c>
      <c r="I41" s="1107">
        <f>qPCR_Physicochemical!K42</f>
        <v>0.09</v>
      </c>
      <c r="J41" s="1107">
        <f>qPCR_Physicochemical!L42</f>
        <v>1.61</v>
      </c>
      <c r="K41" s="1107">
        <f>qPCR_Physicochemical!O42</f>
        <v>0.18</v>
      </c>
      <c r="L41" s="1107">
        <f>qPCR_Physicochemical!P42</f>
        <v>5.0000000000000001E-3</v>
      </c>
      <c r="M41" s="1110">
        <f>qPCR_Physicochemical!Q42</f>
        <v>0.38</v>
      </c>
    </row>
    <row r="42" spans="1:13" x14ac:dyDescent="0.3">
      <c r="A42" s="1383" t="str">
        <f>_xlfn.CONCAT(qPCR_Physicochemical!A43, qPCR_Physicochemical!B43)</f>
        <v>SPO44433</v>
      </c>
      <c r="B42" s="1099">
        <f>qPCR_Physicochemical!C43</f>
        <v>7.3034935445072406</v>
      </c>
      <c r="C42" s="1099">
        <f>qPCR_Physicochemical!D43</f>
        <v>4.1192138535715888</v>
      </c>
      <c r="D42" s="1099">
        <f>qPCR_Physicochemical!E43</f>
        <v>0</v>
      </c>
      <c r="E42" s="1099">
        <f>qPCR_Physicochemical!F43</f>
        <v>3.2273567906886726</v>
      </c>
      <c r="F42" s="1099">
        <f>qPCR_Physicochemical!G43</f>
        <v>0</v>
      </c>
      <c r="G42" s="1107">
        <f>qPCR_Physicochemical!I43</f>
        <v>6.7</v>
      </c>
      <c r="H42" s="1107">
        <f>qPCR_Physicochemical!J43</f>
        <v>30.4</v>
      </c>
      <c r="I42" s="1107">
        <f>qPCR_Physicochemical!K43</f>
        <v>0.08</v>
      </c>
      <c r="J42" s="1107">
        <f>qPCR_Physicochemical!L43</f>
        <v>1.21</v>
      </c>
      <c r="K42" s="1107">
        <f>qPCR_Physicochemical!O43</f>
        <v>0.21</v>
      </c>
      <c r="L42" s="1107">
        <f>qPCR_Physicochemical!P43</f>
        <v>7.0000000000000001E-3</v>
      </c>
      <c r="M42" s="1110">
        <f>qPCR_Physicochemical!Q43</f>
        <v>0.38</v>
      </c>
    </row>
    <row r="43" spans="1:13" x14ac:dyDescent="0.3">
      <c r="A43" s="1383" t="str">
        <f>_xlfn.CONCAT(qPCR_Physicochemical!A44, qPCR_Physicochemical!B44)</f>
        <v>MRT44335</v>
      </c>
      <c r="B43" s="1099">
        <f>qPCR_Physicochemical!C44</f>
        <v>8.2003369395001009</v>
      </c>
      <c r="C43" s="1099">
        <f>qPCR_Physicochemical!D44</f>
        <v>5.6379441984051732</v>
      </c>
      <c r="D43" s="1099">
        <f>qPCR_Physicochemical!E44</f>
        <v>3.7445155306024982</v>
      </c>
      <c r="E43" s="1099">
        <f>qPCR_Physicochemical!F44</f>
        <v>3.4011381377074636</v>
      </c>
      <c r="F43" s="1099">
        <f>qPCR_Physicochemical!G44</f>
        <v>4.2795797096603305</v>
      </c>
      <c r="G43" s="1107">
        <f>qPCR_Physicochemical!I44</f>
        <v>6.78</v>
      </c>
      <c r="H43" s="1107">
        <f>qPCR_Physicochemical!J44</f>
        <v>23.8</v>
      </c>
      <c r="I43" s="1107">
        <f>qPCR_Physicochemical!K44</f>
        <v>0.15</v>
      </c>
      <c r="J43" s="1107">
        <f>qPCR_Physicochemical!L44</f>
        <v>0.34</v>
      </c>
      <c r="K43" s="1107">
        <f>qPCR_Physicochemical!O44</f>
        <v>0.17</v>
      </c>
      <c r="L43" s="1107">
        <f>qPCR_Physicochemical!P44</f>
        <v>6.3E-2</v>
      </c>
      <c r="M43" s="1110">
        <f>qPCR_Physicochemical!Q44</f>
        <v>0.53</v>
      </c>
    </row>
    <row r="44" spans="1:13" x14ac:dyDescent="0.3">
      <c r="A44" s="1383" t="str">
        <f>_xlfn.CONCAT(qPCR_Physicochemical!A45, qPCR_Physicochemical!B45)</f>
        <v>MRT44342</v>
      </c>
      <c r="B44" s="1099">
        <f>qPCR_Physicochemical!C45</f>
        <v>8.3862630230825239</v>
      </c>
      <c r="C44" s="1099">
        <f>qPCR_Physicochemical!D45</f>
        <v>5.2706816175395286</v>
      </c>
      <c r="D44" s="1099">
        <f>qPCR_Physicochemical!E45</f>
        <v>3.6322593795010154</v>
      </c>
      <c r="E44" s="1099">
        <f>qPCR_Physicochemical!F45</f>
        <v>5.2175838324125881</v>
      </c>
      <c r="F44" s="1099">
        <f>qPCR_Physicochemical!G45</f>
        <v>4.8620221165427324</v>
      </c>
      <c r="G44" s="1107">
        <f>qPCR_Physicochemical!I45</f>
        <v>6.35</v>
      </c>
      <c r="H44" s="1107">
        <f>qPCR_Physicochemical!J45</f>
        <v>24.6</v>
      </c>
      <c r="I44" s="1107">
        <f>qPCR_Physicochemical!K45</f>
        <v>0.04</v>
      </c>
      <c r="J44" s="1107">
        <f>qPCR_Physicochemical!L45</f>
        <v>0.49</v>
      </c>
      <c r="K44" s="1107">
        <f>qPCR_Physicochemical!O45</f>
        <v>0.19</v>
      </c>
      <c r="L44" s="1107">
        <f>qPCR_Physicochemical!P45</f>
        <v>7.6999999999999999E-2</v>
      </c>
      <c r="M44" s="1110">
        <f>qPCR_Physicochemical!Q45</f>
        <v>0.48</v>
      </c>
    </row>
    <row r="45" spans="1:13" x14ac:dyDescent="0.3">
      <c r="A45" s="1383" t="str">
        <f>_xlfn.CONCAT(qPCR_Physicochemical!A46, qPCR_Physicochemical!B46)</f>
        <v>MRT44356</v>
      </c>
      <c r="B45" s="1099">
        <f>qPCR_Physicochemical!C46</f>
        <v>10.071276621177251</v>
      </c>
      <c r="C45" s="1099">
        <f>qPCR_Physicochemical!D46</f>
        <v>4.8995789026498029</v>
      </c>
      <c r="D45" s="1099">
        <f>qPCR_Physicochemical!E46</f>
        <v>4.1163567329406483</v>
      </c>
      <c r="E45" s="1099">
        <f>qPCR_Physicochemical!F46</f>
        <v>5.2153438571610549</v>
      </c>
      <c r="F45" s="1099">
        <f>qPCR_Physicochemical!G46</f>
        <v>4.1933167364170636</v>
      </c>
      <c r="G45" s="1107">
        <f>qPCR_Physicochemical!I46</f>
        <v>6.61</v>
      </c>
      <c r="H45" s="1107">
        <f>qPCR_Physicochemical!J46</f>
        <v>26</v>
      </c>
      <c r="I45" s="1107">
        <f>qPCR_Physicochemical!K46</f>
        <v>7.0000000000000007E-2</v>
      </c>
      <c r="J45" s="1107">
        <f>qPCR_Physicochemical!L46</f>
        <v>0.73</v>
      </c>
      <c r="K45" s="1107">
        <f>qPCR_Physicochemical!O46</f>
        <v>0.2</v>
      </c>
      <c r="L45" s="1107">
        <f>qPCR_Physicochemical!P46</f>
        <v>5.5E-2</v>
      </c>
      <c r="M45" s="1110">
        <f>qPCR_Physicochemical!Q46</f>
        <v>0.51</v>
      </c>
    </row>
    <row r="46" spans="1:13" x14ac:dyDescent="0.3">
      <c r="A46" s="1383" t="str">
        <f>_xlfn.CONCAT(qPCR_Physicochemical!A47, qPCR_Physicochemical!B47)</f>
        <v>MRT44363</v>
      </c>
      <c r="B46" s="1099">
        <f>qPCR_Physicochemical!C47</f>
        <v>7.8383692808696015</v>
      </c>
      <c r="C46" s="1099">
        <f>qPCR_Physicochemical!D47</f>
        <v>4.7795727869078934</v>
      </c>
      <c r="D46" s="1099">
        <f>qPCR_Physicochemical!E47</f>
        <v>3.3866254690921229</v>
      </c>
      <c r="E46" s="1099">
        <f>qPCR_Physicochemical!F47</f>
        <v>6.1462388958032994</v>
      </c>
      <c r="F46" s="1099">
        <f>qPCR_Physicochemical!G47</f>
        <v>3.4723657347419548</v>
      </c>
      <c r="G46" s="1107">
        <f>qPCR_Physicochemical!I47</f>
        <v>6.53</v>
      </c>
      <c r="H46" s="1107">
        <f>qPCR_Physicochemical!J47</f>
        <v>27.1</v>
      </c>
      <c r="I46" s="1107">
        <f>qPCR_Physicochemical!K47</f>
        <v>7.0000000000000007E-2</v>
      </c>
      <c r="J46" s="1107">
        <f>qPCR_Physicochemical!L47</f>
        <v>0.71</v>
      </c>
      <c r="K46" s="1107">
        <f>qPCR_Physicochemical!O47</f>
        <v>0.33</v>
      </c>
      <c r="L46" s="1107">
        <f>qPCR_Physicochemical!P47</f>
        <v>5.0999999999999997E-2</v>
      </c>
      <c r="M46" s="1110">
        <f>qPCR_Physicochemical!Q47</f>
        <v>0.56000000000000005</v>
      </c>
    </row>
    <row r="47" spans="1:13" x14ac:dyDescent="0.3">
      <c r="A47" s="1383" t="str">
        <f>_xlfn.CONCAT(qPCR_Physicochemical!A48, qPCR_Physicochemical!B48)</f>
        <v>MRT44370</v>
      </c>
      <c r="B47" s="1099">
        <f>qPCR_Physicochemical!C48</f>
        <v>6.8420854826283053</v>
      </c>
      <c r="C47" s="1099">
        <f>qPCR_Physicochemical!D48</f>
        <v>0</v>
      </c>
      <c r="D47" s="1099">
        <f>qPCR_Physicochemical!E48</f>
        <v>2.2607593586424297</v>
      </c>
      <c r="E47" s="1099">
        <f>qPCR_Physicochemical!F48</f>
        <v>0</v>
      </c>
      <c r="F47" s="1099">
        <f>qPCR_Physicochemical!G48</f>
        <v>0</v>
      </c>
      <c r="G47" s="1107">
        <f>qPCR_Physicochemical!I48</f>
        <v>6.97</v>
      </c>
      <c r="H47" s="1107">
        <f>qPCR_Physicochemical!J48</f>
        <v>26.5</v>
      </c>
      <c r="I47" s="1107">
        <f>qPCR_Physicochemical!K48</f>
        <v>2.73</v>
      </c>
      <c r="J47" s="1107">
        <f>qPCR_Physicochemical!L48</f>
        <v>0.01</v>
      </c>
      <c r="K47" s="1107">
        <f>qPCR_Physicochemical!O48</f>
        <v>0.19</v>
      </c>
      <c r="L47" s="1107">
        <f>qPCR_Physicochemical!P48</f>
        <v>8.0000000000000002E-3</v>
      </c>
      <c r="M47" s="1110">
        <f>qPCR_Physicochemical!Q48</f>
        <v>0.53</v>
      </c>
    </row>
    <row r="48" spans="1:13" x14ac:dyDescent="0.3">
      <c r="A48" s="1383" t="str">
        <f>_xlfn.CONCAT(qPCR_Physicochemical!A49, qPCR_Physicochemical!B49)</f>
        <v>MRT44377</v>
      </c>
      <c r="B48" s="1099">
        <f>qPCR_Physicochemical!C49</f>
        <v>6.7899646648484158</v>
      </c>
      <c r="C48" s="1099">
        <f>qPCR_Physicochemical!D49</f>
        <v>2.4286434473187644</v>
      </c>
      <c r="D48" s="1099">
        <f>qPCR_Physicochemical!E49</f>
        <v>0</v>
      </c>
      <c r="E48" s="1099">
        <f>qPCR_Physicochemical!F49</f>
        <v>0</v>
      </c>
      <c r="F48" s="1099">
        <f>qPCR_Physicochemical!G49</f>
        <v>2.5084394771307048</v>
      </c>
      <c r="G48" s="1107">
        <f>qPCR_Physicochemical!I49</f>
        <v>6.86</v>
      </c>
      <c r="H48" s="1107">
        <f>qPCR_Physicochemical!J49</f>
        <v>25.9</v>
      </c>
      <c r="I48" s="1107">
        <f>qPCR_Physicochemical!K49</f>
        <v>2.2200000000000002</v>
      </c>
      <c r="J48" s="1107">
        <f>qPCR_Physicochemical!L49</f>
        <v>0.01</v>
      </c>
      <c r="K48" s="1107">
        <f>qPCR_Physicochemical!O49</f>
        <v>0.1</v>
      </c>
      <c r="L48" s="1107">
        <f>qPCR_Physicochemical!P49</f>
        <v>1.2E-2</v>
      </c>
      <c r="M48" s="1110">
        <f>qPCR_Physicochemical!Q49</f>
        <v>0.67</v>
      </c>
    </row>
    <row r="49" spans="1:13" x14ac:dyDescent="0.3">
      <c r="A49" s="1383" t="str">
        <f>_xlfn.CONCAT(qPCR_Physicochemical!A50, qPCR_Physicochemical!B50)</f>
        <v>MRT44385</v>
      </c>
      <c r="B49" s="1099">
        <f>qPCR_Physicochemical!C50</f>
        <v>6.8892170572706553</v>
      </c>
      <c r="C49" s="1099">
        <f>qPCR_Physicochemical!D50</f>
        <v>3.1843703706804534</v>
      </c>
      <c r="D49" s="1099">
        <f>qPCR_Physicochemical!E50</f>
        <v>0</v>
      </c>
      <c r="E49" s="1099">
        <f>qPCR_Physicochemical!F50</f>
        <v>2.6351603567164474</v>
      </c>
      <c r="F49" s="1099">
        <f>qPCR_Physicochemical!G50</f>
        <v>0</v>
      </c>
      <c r="G49" s="1107">
        <f>qPCR_Physicochemical!I50</f>
        <v>6.41</v>
      </c>
      <c r="H49" s="1107">
        <f>qPCR_Physicochemical!J50</f>
        <v>26.9</v>
      </c>
      <c r="I49" s="1107">
        <f>qPCR_Physicochemical!K50</f>
        <v>1.77</v>
      </c>
      <c r="J49" s="1107">
        <f>qPCR_Physicochemical!L50</f>
        <v>0.01</v>
      </c>
      <c r="K49" s="1107">
        <f>qPCR_Physicochemical!O50</f>
        <v>0.05</v>
      </c>
      <c r="L49" s="1107">
        <f>qPCR_Physicochemical!P50</f>
        <v>6.0000000000000001E-3</v>
      </c>
      <c r="M49" s="1110">
        <f>qPCR_Physicochemical!Q50</f>
        <v>0.65</v>
      </c>
    </row>
    <row r="50" spans="1:13" x14ac:dyDescent="0.3">
      <c r="A50" s="1383" t="str">
        <f>_xlfn.CONCAT(qPCR_Physicochemical!A51, qPCR_Physicochemical!B51)</f>
        <v>MRT44391</v>
      </c>
      <c r="B50" s="1099">
        <f>qPCR_Physicochemical!C51</f>
        <v>7.362246912755932</v>
      </c>
      <c r="C50" s="1099">
        <f>qPCR_Physicochemical!D51</f>
        <v>3.1467904477067403</v>
      </c>
      <c r="D50" s="1099">
        <f>qPCR_Physicochemical!E51</f>
        <v>2.0060820399846007</v>
      </c>
      <c r="E50" s="1099">
        <f>qPCR_Physicochemical!F51</f>
        <v>3.36580187358265</v>
      </c>
      <c r="F50" s="1099">
        <f>qPCR_Physicochemical!G51</f>
        <v>0</v>
      </c>
      <c r="G50" s="1107">
        <f>qPCR_Physicochemical!I51</f>
        <v>6.42</v>
      </c>
      <c r="H50" s="1107">
        <f>qPCR_Physicochemical!J51</f>
        <v>27.1</v>
      </c>
      <c r="I50" s="1107">
        <f>qPCR_Physicochemical!K51</f>
        <v>1.35</v>
      </c>
      <c r="J50" s="1107">
        <f>qPCR_Physicochemical!L51</f>
        <v>0.01</v>
      </c>
      <c r="K50" s="1107">
        <f>qPCR_Physicochemical!O51</f>
        <v>0.01</v>
      </c>
      <c r="L50" s="1107">
        <f>qPCR_Physicochemical!P51</f>
        <v>8.9999999999999993E-3</v>
      </c>
      <c r="M50" s="1110">
        <f>qPCR_Physicochemical!Q51</f>
        <v>0.54</v>
      </c>
    </row>
    <row r="51" spans="1:13" x14ac:dyDescent="0.3">
      <c r="A51" s="1383" t="str">
        <f>_xlfn.CONCAT(qPCR_Physicochemical!A52, qPCR_Physicochemical!B52)</f>
        <v>MRT44398</v>
      </c>
      <c r="B51" s="1099">
        <f>qPCR_Physicochemical!C52</f>
        <v>6.6054349674181383</v>
      </c>
      <c r="C51" s="1099">
        <f>qPCR_Physicochemical!D52</f>
        <v>2.6667652053756519</v>
      </c>
      <c r="D51" s="1099">
        <f>qPCR_Physicochemical!E52</f>
        <v>2.2286049992580708</v>
      </c>
      <c r="E51" s="1099">
        <f>qPCR_Physicochemical!F52</f>
        <v>0</v>
      </c>
      <c r="F51" s="1099">
        <f>qPCR_Physicochemical!G52</f>
        <v>0</v>
      </c>
      <c r="G51" s="1107">
        <f>qPCR_Physicochemical!I52</f>
        <v>6.83</v>
      </c>
      <c r="H51" s="1107">
        <f>qPCR_Physicochemical!J52</f>
        <v>26.6</v>
      </c>
      <c r="I51" s="1107">
        <f>qPCR_Physicochemical!K52</f>
        <v>1.89</v>
      </c>
      <c r="J51" s="1107">
        <f>qPCR_Physicochemical!L52</f>
        <v>0</v>
      </c>
      <c r="K51" s="1107">
        <f>qPCR_Physicochemical!O52</f>
        <v>0.24</v>
      </c>
      <c r="L51" s="1107">
        <f>qPCR_Physicochemical!P52</f>
        <v>0.01</v>
      </c>
      <c r="M51" s="1110">
        <f>qPCR_Physicochemical!Q52</f>
        <v>0.69</v>
      </c>
    </row>
    <row r="52" spans="1:13" x14ac:dyDescent="0.3">
      <c r="A52" s="1383" t="str">
        <f>_xlfn.CONCAT(qPCR_Physicochemical!A53, qPCR_Physicochemical!B53)</f>
        <v>MRT44405</v>
      </c>
      <c r="B52" s="1099">
        <f>qPCR_Physicochemical!C53</f>
        <v>6.857961824343902</v>
      </c>
      <c r="C52" s="1099">
        <f>qPCR_Physicochemical!D53</f>
        <v>2.6367344308011669</v>
      </c>
      <c r="D52" s="1099">
        <f>qPCR_Physicochemical!E53</f>
        <v>2.3320288243410854</v>
      </c>
      <c r="E52" s="1099">
        <f>qPCR_Physicochemical!F53</f>
        <v>0</v>
      </c>
      <c r="F52" s="1099">
        <f>qPCR_Physicochemical!G53</f>
        <v>0</v>
      </c>
      <c r="G52" s="1107">
        <f>qPCR_Physicochemical!I53</f>
        <v>6.71</v>
      </c>
      <c r="H52" s="1107">
        <f>qPCR_Physicochemical!J53</f>
        <v>28.8</v>
      </c>
      <c r="I52" s="1107">
        <f>qPCR_Physicochemical!K53</f>
        <v>1.86</v>
      </c>
      <c r="J52" s="1107">
        <f>qPCR_Physicochemical!L53</f>
        <v>0</v>
      </c>
      <c r="K52" s="1107">
        <f>qPCR_Physicochemical!O53</f>
        <v>0.03</v>
      </c>
      <c r="L52" s="1107">
        <f>qPCR_Physicochemical!P53</f>
        <v>7.0000000000000001E-3</v>
      </c>
      <c r="M52" s="1110">
        <f>qPCR_Physicochemical!Q53</f>
        <v>0.65</v>
      </c>
    </row>
    <row r="53" spans="1:13" x14ac:dyDescent="0.3">
      <c r="A53" s="1383" t="str">
        <f>_xlfn.CONCAT(qPCR_Physicochemical!A54, qPCR_Physicochemical!B54)</f>
        <v>MRT44419</v>
      </c>
      <c r="B53" s="1099">
        <f>qPCR_Physicochemical!C54</f>
        <v>7.3491595906222695</v>
      </c>
      <c r="C53" s="1099">
        <f>qPCR_Physicochemical!D54</f>
        <v>3.6833972776381381</v>
      </c>
      <c r="D53" s="1099">
        <f>qPCR_Physicochemical!E54</f>
        <v>0</v>
      </c>
      <c r="E53" s="1099">
        <f>qPCR_Physicochemical!F54</f>
        <v>0</v>
      </c>
      <c r="F53" s="1099">
        <f>qPCR_Physicochemical!G54</f>
        <v>2.5896089250665399</v>
      </c>
      <c r="G53" s="1107">
        <f>qPCR_Physicochemical!I54</f>
        <v>6.8</v>
      </c>
      <c r="H53" s="1107">
        <f>qPCR_Physicochemical!J54</f>
        <v>27.5</v>
      </c>
      <c r="I53" s="1107">
        <f>qPCR_Physicochemical!K54</f>
        <v>0.1</v>
      </c>
      <c r="J53" s="1107">
        <f>qPCR_Physicochemical!L54</f>
        <v>0.84</v>
      </c>
      <c r="K53" s="1107">
        <f>qPCR_Physicochemical!O54</f>
        <v>0.19</v>
      </c>
      <c r="L53" s="1107">
        <f>qPCR_Physicochemical!P54</f>
        <v>7.0000000000000001E-3</v>
      </c>
      <c r="M53" s="1110">
        <f>qPCR_Physicochemical!Q54</f>
        <v>0.7</v>
      </c>
    </row>
    <row r="54" spans="1:13" x14ac:dyDescent="0.3">
      <c r="A54" s="1383" t="str">
        <f>_xlfn.CONCAT(qPCR_Physicochemical!A55, qPCR_Physicochemical!B55)</f>
        <v>MRT44426</v>
      </c>
      <c r="B54" s="1099">
        <f>qPCR_Physicochemical!C55</f>
        <v>8.2912776118587743</v>
      </c>
      <c r="C54" s="1099">
        <f>qPCR_Physicochemical!D55</f>
        <v>4.6753080389039123</v>
      </c>
      <c r="D54" s="1099">
        <f>qPCR_Physicochemical!E55</f>
        <v>2.9406128501018993</v>
      </c>
      <c r="E54" s="1099">
        <f>qPCR_Physicochemical!F55</f>
        <v>4.0156176907627623</v>
      </c>
      <c r="F54" s="1099">
        <f>qPCR_Physicochemical!G55</f>
        <v>3.8292751375319267</v>
      </c>
      <c r="G54" s="1107">
        <f>qPCR_Physicochemical!I55</f>
        <v>6.75</v>
      </c>
      <c r="H54" s="1107">
        <f>qPCR_Physicochemical!J55</f>
        <v>28.1</v>
      </c>
      <c r="I54" s="1107">
        <f>qPCR_Physicochemical!K55</f>
        <v>0.04</v>
      </c>
      <c r="J54" s="1107">
        <f>qPCR_Physicochemical!L55</f>
        <v>0.66</v>
      </c>
      <c r="K54" s="1107">
        <f>qPCR_Physicochemical!O55</f>
        <v>0.24</v>
      </c>
      <c r="L54" s="1107">
        <f>qPCR_Physicochemical!P55</f>
        <v>7.0000000000000001E-3</v>
      </c>
      <c r="M54" s="1110">
        <f>qPCR_Physicochemical!Q55</f>
        <v>0.69</v>
      </c>
    </row>
    <row r="55" spans="1:13" x14ac:dyDescent="0.3">
      <c r="A55" s="1383" t="str">
        <f>_xlfn.CONCAT(qPCR_Physicochemical!A56, qPCR_Physicochemical!B56)</f>
        <v>MRT44433</v>
      </c>
      <c r="B55" s="1099">
        <f>qPCR_Physicochemical!C56</f>
        <v>7.6954268258771572</v>
      </c>
      <c r="C55" s="1099">
        <f>qPCR_Physicochemical!D56</f>
        <v>4.354304301352979</v>
      </c>
      <c r="D55" s="1099">
        <f>qPCR_Physicochemical!E56</f>
        <v>2.048705204442399</v>
      </c>
      <c r="E55" s="1099">
        <f>qPCR_Physicochemical!F56</f>
        <v>4.2170056724908411</v>
      </c>
      <c r="F55" s="1099">
        <f>qPCR_Physicochemical!G56</f>
        <v>2.6977679697637789</v>
      </c>
      <c r="G55" s="1107">
        <f>qPCR_Physicochemical!I56</f>
        <v>6.73</v>
      </c>
      <c r="H55" s="1107">
        <f>qPCR_Physicochemical!J56</f>
        <v>28.6</v>
      </c>
      <c r="I55" s="1107">
        <f>qPCR_Physicochemical!K56</f>
        <v>0.08</v>
      </c>
      <c r="J55" s="1107">
        <f>qPCR_Physicochemical!L56</f>
        <v>0.7</v>
      </c>
      <c r="K55" s="1107">
        <f>qPCR_Physicochemical!O56</f>
        <v>0.7</v>
      </c>
      <c r="L55" s="1107">
        <f>qPCR_Physicochemical!P56</f>
        <v>8.0000000000000002E-3</v>
      </c>
      <c r="M55" s="1110">
        <f>qPCR_Physicochemical!Q56</f>
        <v>0.66</v>
      </c>
    </row>
    <row r="56" spans="1:13" x14ac:dyDescent="0.3">
      <c r="A56" s="1383" t="str">
        <f>_xlfn.CONCAT(qPCR_Physicochemical!A57, qPCR_Physicochemical!B57)</f>
        <v>RN44335</v>
      </c>
      <c r="B56" s="1099">
        <f>qPCR_Physicochemical!C57</f>
        <v>9.0497576396880604</v>
      </c>
      <c r="C56" s="1099">
        <f>qPCR_Physicochemical!D57</f>
        <v>4.8874086588122267</v>
      </c>
      <c r="D56" s="1099">
        <f>qPCR_Physicochemical!E57</f>
        <v>5.7209447811309939</v>
      </c>
      <c r="E56" s="1099">
        <f>qPCR_Physicochemical!F57</f>
        <v>0</v>
      </c>
      <c r="F56" s="1099">
        <f>qPCR_Physicochemical!G57</f>
        <v>7.0792634452056076</v>
      </c>
      <c r="G56" s="1107">
        <f>qPCR_Physicochemical!I57</f>
        <v>6.82</v>
      </c>
      <c r="H56" s="1107">
        <f>qPCR_Physicochemical!J57</f>
        <v>24.8</v>
      </c>
      <c r="I56" s="1107">
        <f>qPCR_Physicochemical!K57</f>
        <v>7.4999999999999997E-2</v>
      </c>
      <c r="J56" s="1107">
        <f>qPCR_Physicochemical!L57</f>
        <v>1.6800000000000002</v>
      </c>
      <c r="K56" s="1107">
        <f>qPCR_Physicochemical!O57</f>
        <v>0.33999999999999997</v>
      </c>
      <c r="L56" s="1107">
        <f>qPCR_Physicochemical!P57</f>
        <v>6.5000000000000006E-3</v>
      </c>
      <c r="M56" s="1110">
        <f>qPCR_Physicochemical!Q57</f>
        <v>0.46500000000000002</v>
      </c>
    </row>
    <row r="57" spans="1:13" x14ac:dyDescent="0.3">
      <c r="A57" s="1383" t="str">
        <f>_xlfn.CONCAT(qPCR_Physicochemical!A58, qPCR_Physicochemical!B58)</f>
        <v>RN44342</v>
      </c>
      <c r="B57" s="1099">
        <f>qPCR_Physicochemical!C58</f>
        <v>8.0739575068438771</v>
      </c>
      <c r="C57" s="1099">
        <f>qPCR_Physicochemical!D58</f>
        <v>4.582345351084574</v>
      </c>
      <c r="D57" s="1099">
        <f>qPCR_Physicochemical!E58</f>
        <v>4.5789234554193214</v>
      </c>
      <c r="E57" s="1099">
        <f>qPCR_Physicochemical!F58</f>
        <v>0</v>
      </c>
      <c r="F57" s="1099">
        <f>qPCR_Physicochemical!G58</f>
        <v>5.9408651947164479</v>
      </c>
      <c r="G57" s="1107">
        <f>qPCR_Physicochemical!I58</f>
        <v>6.7200000000000006</v>
      </c>
      <c r="H57" s="1107">
        <f>qPCR_Physicochemical!J58</f>
        <v>25.65</v>
      </c>
      <c r="I57" s="1107">
        <f>qPCR_Physicochemical!K58</f>
        <v>6.0000000000000005E-2</v>
      </c>
      <c r="J57" s="1107">
        <f>qPCR_Physicochemical!L58</f>
        <v>1.65</v>
      </c>
      <c r="K57" s="1107">
        <f>qPCR_Physicochemical!O58</f>
        <v>0.32</v>
      </c>
      <c r="L57" s="1107">
        <f>qPCR_Physicochemical!P58</f>
        <v>7.0000000000000001E-3</v>
      </c>
      <c r="M57" s="1110">
        <f>qPCR_Physicochemical!Q58</f>
        <v>0.505</v>
      </c>
    </row>
    <row r="58" spans="1:13" x14ac:dyDescent="0.3">
      <c r="A58" s="1383" t="str">
        <f>_xlfn.CONCAT(qPCR_Physicochemical!A59, qPCR_Physicochemical!B59)</f>
        <v>RN44350</v>
      </c>
      <c r="B58" s="1099">
        <f>qPCR_Physicochemical!C59</f>
        <v>9.9736003923149656</v>
      </c>
      <c r="C58" s="1099">
        <f>qPCR_Physicochemical!D59</f>
        <v>5.2120222604884647</v>
      </c>
      <c r="D58" s="1099">
        <f>qPCR_Physicochemical!E59</f>
        <v>5.3808577257032759</v>
      </c>
      <c r="E58" s="1099">
        <f>qPCR_Physicochemical!F59</f>
        <v>2.8671217803632532</v>
      </c>
      <c r="F58" s="1099">
        <f>qPCR_Physicochemical!G59</f>
        <v>6.8914232824001544</v>
      </c>
      <c r="G58" s="1107">
        <f>qPCR_Physicochemical!I59</f>
        <v>6.7050000000000001</v>
      </c>
      <c r="H58" s="1107">
        <f>qPCR_Physicochemical!J59</f>
        <v>26.35</v>
      </c>
      <c r="I58" s="1107">
        <f>qPCR_Physicochemical!K59</f>
        <v>0.08</v>
      </c>
      <c r="J58" s="1107">
        <f>qPCR_Physicochemical!L59</f>
        <v>1.32</v>
      </c>
      <c r="K58" s="1107">
        <f>qPCR_Physicochemical!O59</f>
        <v>0.29000000000000004</v>
      </c>
      <c r="L58" s="1107">
        <f>qPCR_Physicochemical!P59</f>
        <v>6.0000000000000001E-3</v>
      </c>
      <c r="M58" s="1110">
        <f>qPCR_Physicochemical!Q59</f>
        <v>0.61499999999999999</v>
      </c>
    </row>
    <row r="59" spans="1:13" x14ac:dyDescent="0.3">
      <c r="A59" s="1383" t="str">
        <f>_xlfn.CONCAT(qPCR_Physicochemical!A60, qPCR_Physicochemical!B60)</f>
        <v>RN44356</v>
      </c>
      <c r="B59" s="1099">
        <f>qPCR_Physicochemical!C60</f>
        <v>9.0805407894700885</v>
      </c>
      <c r="C59" s="1099">
        <f>qPCR_Physicochemical!D60</f>
        <v>4.5905055775213919</v>
      </c>
      <c r="D59" s="1099">
        <f>qPCR_Physicochemical!E60</f>
        <v>4.3104329272152517</v>
      </c>
      <c r="E59" s="1099">
        <f>qPCR_Physicochemical!F60</f>
        <v>4.2064803213784936</v>
      </c>
      <c r="F59" s="1099">
        <f>qPCR_Physicochemical!G60</f>
        <v>6.5764821103594846</v>
      </c>
      <c r="G59" s="1107">
        <f>qPCR_Physicochemical!I60</f>
        <v>6.7449999999999992</v>
      </c>
      <c r="H59" s="1107">
        <f>qPCR_Physicochemical!J60</f>
        <v>27.25</v>
      </c>
      <c r="I59" s="1107">
        <f>qPCR_Physicochemical!K60</f>
        <v>0.13500000000000001</v>
      </c>
      <c r="J59" s="1107">
        <f>qPCR_Physicochemical!L60</f>
        <v>1.365</v>
      </c>
      <c r="K59" s="1107">
        <f>qPCR_Physicochemical!O60</f>
        <v>0.41500000000000004</v>
      </c>
      <c r="L59" s="1107">
        <f>qPCR_Physicochemical!P60</f>
        <v>7.0000000000000001E-3</v>
      </c>
      <c r="M59" s="1110">
        <f>qPCR_Physicochemical!Q60</f>
        <v>0.55499999999999994</v>
      </c>
    </row>
    <row r="60" spans="1:13" x14ac:dyDescent="0.3">
      <c r="A60" s="1383" t="str">
        <f>_xlfn.CONCAT(qPCR_Physicochemical!A61, qPCR_Physicochemical!B61)</f>
        <v>RN44363</v>
      </c>
      <c r="B60" s="1099">
        <f>qPCR_Physicochemical!C61</f>
        <v>7.5755870095503726</v>
      </c>
      <c r="C60" s="1099">
        <f>qPCR_Physicochemical!D61</f>
        <v>0</v>
      </c>
      <c r="D60" s="1099">
        <f>qPCR_Physicochemical!E61</f>
        <v>4.2106156072800465</v>
      </c>
      <c r="E60" s="1099">
        <f>qPCR_Physicochemical!F61</f>
        <v>0</v>
      </c>
      <c r="F60" s="1099">
        <f>qPCR_Physicochemical!G61</f>
        <v>6.0329542550771391</v>
      </c>
      <c r="G60" s="1107">
        <f>qPCR_Physicochemical!I61</f>
        <v>6.74</v>
      </c>
      <c r="H60" s="1107">
        <f>qPCR_Physicochemical!J61</f>
        <v>28</v>
      </c>
      <c r="I60" s="1107">
        <f>qPCR_Physicochemical!K61</f>
        <v>0.70500000000000007</v>
      </c>
      <c r="J60" s="1107">
        <f>qPCR_Physicochemical!L61</f>
        <v>6.0000000000000005E-2</v>
      </c>
      <c r="K60" s="1107">
        <f>qPCR_Physicochemical!O61</f>
        <v>0.13500000000000001</v>
      </c>
      <c r="L60" s="1107">
        <f>qPCR_Physicochemical!P61</f>
        <v>6.0000000000000001E-3</v>
      </c>
      <c r="M60" s="1110">
        <f>qPCR_Physicochemical!Q61</f>
        <v>0.57000000000000006</v>
      </c>
    </row>
    <row r="61" spans="1:13" x14ac:dyDescent="0.3">
      <c r="A61" s="1383" t="str">
        <f>_xlfn.CONCAT(qPCR_Physicochemical!A62, qPCR_Physicochemical!B62)</f>
        <v>RN44370</v>
      </c>
      <c r="B61" s="1099">
        <f>qPCR_Physicochemical!C62</f>
        <v>8.9481229124964674</v>
      </c>
      <c r="C61" s="1099">
        <f>qPCR_Physicochemical!D62</f>
        <v>0</v>
      </c>
      <c r="D61" s="1099">
        <f>qPCR_Physicochemical!E62</f>
        <v>4.972675217011691</v>
      </c>
      <c r="E61" s="1099">
        <f>qPCR_Physicochemical!F62</f>
        <v>0</v>
      </c>
      <c r="F61" s="1099">
        <f>qPCR_Physicochemical!G62</f>
        <v>6.4238796591750136</v>
      </c>
      <c r="G61" s="1107">
        <f>qPCR_Physicochemical!I62</f>
        <v>6.7949999999999999</v>
      </c>
      <c r="H61" s="1107">
        <f>qPCR_Physicochemical!J62</f>
        <v>27.75</v>
      </c>
      <c r="I61" s="1107">
        <f>qPCR_Physicochemical!K62</f>
        <v>2.2549999999999999</v>
      </c>
      <c r="J61" s="1107">
        <f>qPCR_Physicochemical!L62</f>
        <v>7.0000000000000007E-2</v>
      </c>
      <c r="K61" s="1107">
        <f>qPCR_Physicochemical!O62</f>
        <v>2.5000000000000001E-2</v>
      </c>
      <c r="L61" s="1107">
        <f>qPCR_Physicochemical!P62</f>
        <v>6.0000000000000001E-3</v>
      </c>
      <c r="M61" s="1110">
        <f>qPCR_Physicochemical!Q62</f>
        <v>0.53</v>
      </c>
    </row>
    <row r="62" spans="1:13" x14ac:dyDescent="0.3">
      <c r="A62" s="1383" t="str">
        <f>_xlfn.CONCAT(qPCR_Physicochemical!A63, qPCR_Physicochemical!B63)</f>
        <v>RN44377</v>
      </c>
      <c r="B62" s="1099">
        <f>qPCR_Physicochemical!C63</f>
        <v>8.7893770962330091</v>
      </c>
      <c r="C62" s="1099">
        <f>qPCR_Physicochemical!D63</f>
        <v>0</v>
      </c>
      <c r="D62" s="1099">
        <f>qPCR_Physicochemical!E63</f>
        <v>5.2319408525106175</v>
      </c>
      <c r="E62" s="1099">
        <f>qPCR_Physicochemical!F63</f>
        <v>0</v>
      </c>
      <c r="F62" s="1099">
        <f>qPCR_Physicochemical!G63</f>
        <v>6.7465834779246157</v>
      </c>
      <c r="G62" s="1107">
        <f>qPCR_Physicochemical!I63</f>
        <v>6.76</v>
      </c>
      <c r="H62" s="1107">
        <f>qPCR_Physicochemical!J63</f>
        <v>27.700000000000003</v>
      </c>
      <c r="I62" s="1107">
        <f>qPCR_Physicochemical!K63</f>
        <v>1.915</v>
      </c>
      <c r="J62" s="1107">
        <f>qPCR_Physicochemical!L63</f>
        <v>5.5000000000000007E-2</v>
      </c>
      <c r="K62" s="1107">
        <f>qPCR_Physicochemical!O63</f>
        <v>6.5000000000000002E-2</v>
      </c>
      <c r="L62" s="1107">
        <f>qPCR_Physicochemical!P63</f>
        <v>7.4999999999999997E-3</v>
      </c>
      <c r="M62" s="1110">
        <f>qPCR_Physicochemical!Q63</f>
        <v>0.54499999999999993</v>
      </c>
    </row>
    <row r="63" spans="1:13" x14ac:dyDescent="0.3">
      <c r="A63" s="1383" t="str">
        <f>_xlfn.CONCAT(qPCR_Physicochemical!A64, qPCR_Physicochemical!B64)</f>
        <v>RN44385</v>
      </c>
      <c r="B63" s="1099">
        <f>qPCR_Physicochemical!C64</f>
        <v>8.7422239622644788</v>
      </c>
      <c r="C63" s="1099">
        <f>qPCR_Physicochemical!D64</f>
        <v>2.8426731922953588</v>
      </c>
      <c r="D63" s="1099">
        <f>qPCR_Physicochemical!E64</f>
        <v>4.7025848149247986</v>
      </c>
      <c r="E63" s="1099">
        <f>qPCR_Physicochemical!F64</f>
        <v>0</v>
      </c>
      <c r="F63" s="1099">
        <f>qPCR_Physicochemical!G64</f>
        <v>6.583365509828246</v>
      </c>
      <c r="G63" s="1107">
        <f>qPCR_Physicochemical!I64</f>
        <v>6.8849999999999998</v>
      </c>
      <c r="H63" s="1107">
        <f>qPCR_Physicochemical!J64</f>
        <v>28.15</v>
      </c>
      <c r="I63" s="1107">
        <f>qPCR_Physicochemical!K64</f>
        <v>1.625</v>
      </c>
      <c r="J63" s="1107">
        <f>qPCR_Physicochemical!L64</f>
        <v>0.03</v>
      </c>
      <c r="K63" s="1107">
        <f>qPCR_Physicochemical!O64</f>
        <v>3.5000000000000003E-2</v>
      </c>
      <c r="L63" s="1107">
        <f>qPCR_Physicochemical!P64</f>
        <v>6.0000000000000001E-3</v>
      </c>
      <c r="M63" s="1110">
        <f>qPCR_Physicochemical!Q64</f>
        <v>0.255</v>
      </c>
    </row>
    <row r="64" spans="1:13" x14ac:dyDescent="0.3">
      <c r="A64" s="1383" t="str">
        <f>_xlfn.CONCAT(qPCR_Physicochemical!A65, qPCR_Physicochemical!B65)</f>
        <v>RN44391</v>
      </c>
      <c r="B64" s="1099">
        <f>qPCR_Physicochemical!C65</f>
        <v>9.4968335120305873</v>
      </c>
      <c r="C64" s="1099">
        <f>qPCR_Physicochemical!D65</f>
        <v>0</v>
      </c>
      <c r="D64" s="1099">
        <f>qPCR_Physicochemical!E65</f>
        <v>6.2559757760072374</v>
      </c>
      <c r="E64" s="1099">
        <f>qPCR_Physicochemical!F65</f>
        <v>4.475989658364921</v>
      </c>
      <c r="F64" s="1099">
        <f>qPCR_Physicochemical!G65</f>
        <v>7.7502065365441126</v>
      </c>
      <c r="G64" s="1107">
        <f>qPCR_Physicochemical!I65</f>
        <v>6.8849999999999998</v>
      </c>
      <c r="H64" s="1107">
        <f>qPCR_Physicochemical!J65</f>
        <v>28</v>
      </c>
      <c r="I64" s="1107">
        <f>qPCR_Physicochemical!K65</f>
        <v>1.8599999999999999</v>
      </c>
      <c r="J64" s="1107">
        <f>qPCR_Physicochemical!L65</f>
        <v>3.5000000000000003E-2</v>
      </c>
      <c r="K64" s="1107">
        <f>qPCR_Physicochemical!O65</f>
        <v>0.17499999999999999</v>
      </c>
      <c r="L64" s="1107">
        <f>qPCR_Physicochemical!P65</f>
        <v>6.5000000000000006E-3</v>
      </c>
      <c r="M64" s="1110">
        <f>qPCR_Physicochemical!Q65</f>
        <v>0.6100000000000001</v>
      </c>
    </row>
    <row r="65" spans="1:13" x14ac:dyDescent="0.3">
      <c r="A65" s="1383" t="str">
        <f>_xlfn.CONCAT(qPCR_Physicochemical!A66, qPCR_Physicochemical!B66)</f>
        <v>RN44398</v>
      </c>
      <c r="B65" s="1099">
        <f>qPCR_Physicochemical!C66</f>
        <v>8.4510484637141765</v>
      </c>
      <c r="C65" s="1099">
        <f>qPCR_Physicochemical!D66</f>
        <v>2.5293707608093068</v>
      </c>
      <c r="D65" s="1099">
        <f>qPCR_Physicochemical!E66</f>
        <v>4.5696227545333876</v>
      </c>
      <c r="E65" s="1099">
        <f>qPCR_Physicochemical!F66</f>
        <v>2.9799106746966424</v>
      </c>
      <c r="F65" s="1099">
        <f>qPCR_Physicochemical!G66</f>
        <v>0</v>
      </c>
      <c r="G65" s="1107">
        <f>qPCR_Physicochemical!I66</f>
        <v>6.8450000000000006</v>
      </c>
      <c r="H65" s="1107">
        <f>qPCR_Physicochemical!J66</f>
        <v>23.4</v>
      </c>
      <c r="I65" s="1107">
        <f>qPCR_Physicochemical!K66</f>
        <v>2.21</v>
      </c>
      <c r="J65" s="1107">
        <f>qPCR_Physicochemical!L66</f>
        <v>0.01</v>
      </c>
      <c r="K65" s="1107">
        <f>qPCR_Physicochemical!O66</f>
        <v>6.9999999999999993E-2</v>
      </c>
      <c r="L65" s="1107">
        <f>qPCR_Physicochemical!P66</f>
        <v>7.0000000000000001E-3</v>
      </c>
      <c r="M65" s="1110">
        <f>qPCR_Physicochemical!Q66</f>
        <v>0.56499999999999995</v>
      </c>
    </row>
    <row r="66" spans="1:13" x14ac:dyDescent="0.3">
      <c r="A66" s="1383" t="str">
        <f>_xlfn.CONCAT(qPCR_Physicochemical!A67, qPCR_Physicochemical!B67)</f>
        <v>RN44405</v>
      </c>
      <c r="B66" s="1099">
        <f>qPCR_Physicochemical!C67</f>
        <v>9.8465963824465117</v>
      </c>
      <c r="C66" s="1099">
        <f>qPCR_Physicochemical!D67</f>
        <v>4.0789618308486393</v>
      </c>
      <c r="D66" s="1099">
        <f>qPCR_Physicochemical!E67</f>
        <v>4.966883790581651</v>
      </c>
      <c r="E66" s="1099">
        <f>qPCR_Physicochemical!F67</f>
        <v>0</v>
      </c>
      <c r="F66" s="1099">
        <f>qPCR_Physicochemical!G67</f>
        <v>6.4926071483978385</v>
      </c>
      <c r="G66" s="1107">
        <f>qPCR_Physicochemical!I67</f>
        <v>6.75</v>
      </c>
      <c r="H66" s="1107">
        <f>qPCR_Physicochemical!J67</f>
        <v>24.200000000000003</v>
      </c>
      <c r="I66" s="1107">
        <f>qPCR_Physicochemical!K67</f>
        <v>0.105</v>
      </c>
      <c r="J66" s="1107">
        <f>qPCR_Physicochemical!L67</f>
        <v>1.32</v>
      </c>
      <c r="K66" s="1107">
        <f>qPCR_Physicochemical!O67</f>
        <v>0.18</v>
      </c>
      <c r="L66" s="1107">
        <f>qPCR_Physicochemical!P67</f>
        <v>6.5000000000000006E-3</v>
      </c>
      <c r="M66" s="1110">
        <f>qPCR_Physicochemical!Q67</f>
        <v>0.56499999999999995</v>
      </c>
    </row>
    <row r="67" spans="1:13" x14ac:dyDescent="0.3">
      <c r="A67" s="1383" t="str">
        <f>_xlfn.CONCAT(qPCR_Physicochemical!A68, qPCR_Physicochemical!B68)</f>
        <v>RN44412</v>
      </c>
      <c r="B67" s="1099">
        <f>qPCR_Physicochemical!C68</f>
        <v>8.7619108730210442</v>
      </c>
      <c r="C67" s="1099">
        <f>qPCR_Physicochemical!D68</f>
        <v>3.7724110136143607</v>
      </c>
      <c r="D67" s="1099">
        <f>qPCR_Physicochemical!E68</f>
        <v>4.6391474905137544</v>
      </c>
      <c r="E67" s="1099">
        <f>qPCR_Physicochemical!F68</f>
        <v>3.505192400473788</v>
      </c>
      <c r="F67" s="1099">
        <f>qPCR_Physicochemical!G68</f>
        <v>5.3612590735701922</v>
      </c>
      <c r="G67" s="1107">
        <f>qPCR_Physicochemical!I68</f>
        <v>6.74</v>
      </c>
      <c r="H67" s="1107">
        <f>qPCR_Physicochemical!J68</f>
        <v>23.6</v>
      </c>
      <c r="I67" s="1107">
        <f>qPCR_Physicochemical!K68</f>
        <v>9.5000000000000001E-2</v>
      </c>
      <c r="J67" s="1107">
        <f>qPCR_Physicochemical!L68</f>
        <v>0.89000000000000012</v>
      </c>
      <c r="K67" s="1107">
        <f>qPCR_Physicochemical!O68</f>
        <v>0.27</v>
      </c>
      <c r="L67" s="1107">
        <f>qPCR_Physicochemical!P68</f>
        <v>6.5000000000000006E-3</v>
      </c>
      <c r="M67" s="1110">
        <f>qPCR_Physicochemical!Q68</f>
        <v>0.6100000000000001</v>
      </c>
    </row>
    <row r="68" spans="1:13" x14ac:dyDescent="0.3">
      <c r="A68" s="1383" t="str">
        <f>_xlfn.CONCAT(qPCR_Physicochemical!A69, qPCR_Physicochemical!B69)</f>
        <v>RN44419</v>
      </c>
      <c r="B68" s="1099">
        <f>qPCR_Physicochemical!C69</f>
        <v>8.7956529211205527</v>
      </c>
      <c r="C68" s="1099">
        <f>qPCR_Physicochemical!D69</f>
        <v>4.063005892980124</v>
      </c>
      <c r="D68" s="1099">
        <f>qPCR_Physicochemical!E69</f>
        <v>4.7652346487326867</v>
      </c>
      <c r="E68" s="1099">
        <f>qPCR_Physicochemical!F69</f>
        <v>0</v>
      </c>
      <c r="F68" s="1099">
        <f>qPCR_Physicochemical!G69</f>
        <v>5.9541054675219511</v>
      </c>
      <c r="G68" s="1107">
        <f>qPCR_Physicochemical!I69</f>
        <v>6.82</v>
      </c>
      <c r="H68" s="1107">
        <f>qPCR_Physicochemical!J69</f>
        <v>23.1</v>
      </c>
      <c r="I68" s="1107">
        <f>qPCR_Physicochemical!K69</f>
        <v>0.1</v>
      </c>
      <c r="J68" s="1107">
        <f>qPCR_Physicochemical!L69</f>
        <v>1.085</v>
      </c>
      <c r="K68" s="1107">
        <f>qPCR_Physicochemical!O69</f>
        <v>0.18</v>
      </c>
      <c r="L68" s="1107">
        <f>qPCR_Physicochemical!P69</f>
        <v>6.5000000000000006E-3</v>
      </c>
      <c r="M68" s="1110">
        <f>qPCR_Physicochemical!Q69</f>
        <v>0.61</v>
      </c>
    </row>
    <row r="69" spans="1:13" x14ac:dyDescent="0.3">
      <c r="A69" s="1383" t="str">
        <f>_xlfn.CONCAT(qPCR_Physicochemical!A70, qPCR_Physicochemical!B70)</f>
        <v>RN44426</v>
      </c>
      <c r="B69" s="1099">
        <f>qPCR_Physicochemical!C70</f>
        <v>8.6511149385728281</v>
      </c>
      <c r="C69" s="1099">
        <f>qPCR_Physicochemical!D70</f>
        <v>3.9558924586156925</v>
      </c>
      <c r="D69" s="1099">
        <f>qPCR_Physicochemical!E70</f>
        <v>3.9884828813409765</v>
      </c>
      <c r="E69" s="1099">
        <f>qPCR_Physicochemical!F70</f>
        <v>0</v>
      </c>
      <c r="F69" s="1099">
        <f>qPCR_Physicochemical!G70</f>
        <v>5.8462238907393802</v>
      </c>
      <c r="G69" s="1107">
        <f>qPCR_Physicochemical!I70</f>
        <v>7.1050000000000004</v>
      </c>
      <c r="H69" s="1107">
        <f>qPCR_Physicochemical!J70</f>
        <v>23.299999999999997</v>
      </c>
      <c r="I69" s="1107">
        <f>qPCR_Physicochemical!K70</f>
        <v>7.0000000000000007E-2</v>
      </c>
      <c r="J69" s="1107">
        <f>qPCR_Physicochemical!L70</f>
        <v>1.2549999999999999</v>
      </c>
      <c r="K69" s="1107">
        <f>qPCR_Physicochemical!O70</f>
        <v>0.17499999999999999</v>
      </c>
      <c r="L69" s="1107">
        <f>qPCR_Physicochemical!P70</f>
        <v>5.4000000000000006E-2</v>
      </c>
      <c r="M69" s="1110">
        <f>qPCR_Physicochemical!Q70</f>
        <v>0.66999999999999993</v>
      </c>
    </row>
    <row r="70" spans="1:13" x14ac:dyDescent="0.3">
      <c r="A70" s="1383" t="str">
        <f>_xlfn.CONCAT(qPCR_Physicochemical!A71, qPCR_Physicochemical!B71)</f>
        <v>RN44433</v>
      </c>
      <c r="B70" s="1099">
        <f>qPCR_Physicochemical!C71</f>
        <v>9.1672151154857069</v>
      </c>
      <c r="C70" s="1099">
        <f>qPCR_Physicochemical!D71</f>
        <v>3.3825519858263853</v>
      </c>
      <c r="D70" s="1099">
        <f>qPCR_Physicochemical!E71</f>
        <v>4.0205992861258624</v>
      </c>
      <c r="E70" s="1099">
        <f>qPCR_Physicochemical!F71</f>
        <v>5.9567414178163585</v>
      </c>
      <c r="F70" s="1099">
        <f>qPCR_Physicochemical!G71</f>
        <v>4.6614390992234407</v>
      </c>
      <c r="G70" s="1107">
        <f>qPCR_Physicochemical!I71</f>
        <v>6.915</v>
      </c>
      <c r="H70" s="1107">
        <f>qPCR_Physicochemical!J71</f>
        <v>23.9</v>
      </c>
      <c r="I70" s="1107">
        <f>qPCR_Physicochemical!K71</f>
        <v>7.0000000000000007E-2</v>
      </c>
      <c r="J70" s="1107">
        <f>qPCR_Physicochemical!L71</f>
        <v>0.79</v>
      </c>
      <c r="K70" s="1107">
        <f>qPCR_Physicochemical!O71</f>
        <v>0.24</v>
      </c>
      <c r="L70" s="1107">
        <f>qPCR_Physicochemical!P71</f>
        <v>8.5000000000000006E-3</v>
      </c>
      <c r="M70" s="1110">
        <f>qPCR_Physicochemical!Q71</f>
        <v>0.62</v>
      </c>
    </row>
    <row r="71" spans="1:13" x14ac:dyDescent="0.3">
      <c r="A71" s="1383" t="str">
        <f>_xlfn.CONCAT(qPCR_Physicochemical!A72, qPCR_Physicochemical!B72)</f>
        <v>RU44335</v>
      </c>
      <c r="B71" s="1099">
        <f>qPCR_Physicochemical!C72</f>
        <v>7.4691683721050639</v>
      </c>
      <c r="C71" s="1099">
        <f>qPCR_Physicochemical!D72</f>
        <v>4.7400289986131288</v>
      </c>
      <c r="D71" s="1099">
        <f>qPCR_Physicochemical!E72</f>
        <v>4.4051917282697053</v>
      </c>
      <c r="E71" s="1099">
        <f>qPCR_Physicochemical!F72</f>
        <v>0</v>
      </c>
      <c r="F71" s="1099">
        <f>qPCR_Physicochemical!G72</f>
        <v>2.5204130406954133</v>
      </c>
      <c r="G71" s="1107">
        <f>qPCR_Physicochemical!I72</f>
        <v>7.43</v>
      </c>
      <c r="H71" s="1107">
        <f>qPCR_Physicochemical!J72</f>
        <v>24.5</v>
      </c>
      <c r="I71" s="1107">
        <f>qPCR_Physicochemical!K72</f>
        <v>8.4999999999999992E-2</v>
      </c>
      <c r="J71" s="1107">
        <f>qPCR_Physicochemical!L72</f>
        <v>2.4249999999999998</v>
      </c>
      <c r="K71" s="1107">
        <f>qPCR_Physicochemical!O72</f>
        <v>0.28500000000000003</v>
      </c>
      <c r="L71" s="1107">
        <f>qPCR_Physicochemical!P72</f>
        <v>8.0000000000000002E-3</v>
      </c>
      <c r="M71" s="1110">
        <f>qPCR_Physicochemical!Q72</f>
        <v>0.28500000000000003</v>
      </c>
    </row>
    <row r="72" spans="1:13" x14ac:dyDescent="0.3">
      <c r="A72" s="1383" t="str">
        <f>_xlfn.CONCAT(qPCR_Physicochemical!A73, qPCR_Physicochemical!B73)</f>
        <v>RU44342</v>
      </c>
      <c r="B72" s="1099">
        <f>qPCR_Physicochemical!C73</f>
        <v>7.6870587008862445</v>
      </c>
      <c r="C72" s="1099">
        <f>qPCR_Physicochemical!D73</f>
        <v>4.7211953366507178</v>
      </c>
      <c r="D72" s="1099">
        <f>qPCR_Physicochemical!E73</f>
        <v>4.2034233374593502</v>
      </c>
      <c r="E72" s="1099">
        <f>qPCR_Physicochemical!F73</f>
        <v>0</v>
      </c>
      <c r="F72" s="1099">
        <f>qPCR_Physicochemical!G73</f>
        <v>2.8024360933784962</v>
      </c>
      <c r="G72" s="1107">
        <f>qPCR_Physicochemical!I73</f>
        <v>6.88</v>
      </c>
      <c r="H72" s="1107">
        <f>qPCR_Physicochemical!J73</f>
        <v>25</v>
      </c>
      <c r="I72" s="1107">
        <f>qPCR_Physicochemical!K73</f>
        <v>0.13500000000000001</v>
      </c>
      <c r="J72" s="1107">
        <f>qPCR_Physicochemical!L73</f>
        <v>2.39</v>
      </c>
      <c r="K72" s="1107">
        <f>qPCR_Physicochemical!O73</f>
        <v>0.2</v>
      </c>
      <c r="L72" s="1107">
        <f>qPCR_Physicochemical!P73</f>
        <v>7.0000000000000001E-3</v>
      </c>
      <c r="M72" s="1110">
        <f>qPCR_Physicochemical!Q73</f>
        <v>0.27</v>
      </c>
    </row>
    <row r="73" spans="1:13" x14ac:dyDescent="0.3">
      <c r="A73" s="1383" t="str">
        <f>_xlfn.CONCAT(qPCR_Physicochemical!A74, qPCR_Physicochemical!B74)</f>
        <v>RU44350</v>
      </c>
      <c r="B73" s="1099">
        <f>qPCR_Physicochemical!C74</f>
        <v>7.0970742653226893</v>
      </c>
      <c r="C73" s="1099">
        <f>qPCR_Physicochemical!D74</f>
        <v>4.3537581058361781</v>
      </c>
      <c r="D73" s="1099">
        <f>qPCR_Physicochemical!E74</f>
        <v>3.7638717262823116</v>
      </c>
      <c r="E73" s="1099">
        <f>qPCR_Physicochemical!F74</f>
        <v>0</v>
      </c>
      <c r="F73" s="1099">
        <f>qPCR_Physicochemical!G74</f>
        <v>2.7605127333945005</v>
      </c>
      <c r="G73" s="1107">
        <f>qPCR_Physicochemical!I74</f>
        <v>7.2449999999999992</v>
      </c>
      <c r="H73" s="1107">
        <f>qPCR_Physicochemical!J74</f>
        <v>25.05</v>
      </c>
      <c r="I73" s="1107">
        <f>qPCR_Physicochemical!K74</f>
        <v>7.4999999999999997E-2</v>
      </c>
      <c r="J73" s="1107">
        <f>qPCR_Physicochemical!L74</f>
        <v>2.34</v>
      </c>
      <c r="K73" s="1107">
        <f>qPCR_Physicochemical!O74</f>
        <v>0.26</v>
      </c>
      <c r="L73" s="1107">
        <f>qPCR_Physicochemical!P74</f>
        <v>7.0000000000000001E-3</v>
      </c>
      <c r="M73" s="1110">
        <f>qPCR_Physicochemical!Q74</f>
        <v>0.39</v>
      </c>
    </row>
    <row r="74" spans="1:13" x14ac:dyDescent="0.3">
      <c r="A74" s="1383" t="str">
        <f>_xlfn.CONCAT(qPCR_Physicochemical!A75, qPCR_Physicochemical!B75)</f>
        <v>RU44356</v>
      </c>
      <c r="B74" s="1099">
        <f>qPCR_Physicochemical!C75</f>
        <v>7.7336987531004038</v>
      </c>
      <c r="C74" s="1099">
        <f>qPCR_Physicochemical!D75</f>
        <v>4.3340059600019885</v>
      </c>
      <c r="D74" s="1099">
        <f>qPCR_Physicochemical!E75</f>
        <v>3.7516032075768719</v>
      </c>
      <c r="E74" s="1099">
        <f>qPCR_Physicochemical!F75</f>
        <v>0</v>
      </c>
      <c r="F74" s="1099">
        <f>qPCR_Physicochemical!G75</f>
        <v>0</v>
      </c>
      <c r="G74" s="1107">
        <f>qPCR_Physicochemical!I75</f>
        <v>6.8149999999999995</v>
      </c>
      <c r="H74" s="1107">
        <f>qPCR_Physicochemical!J75</f>
        <v>26.95</v>
      </c>
      <c r="I74" s="1107">
        <f>qPCR_Physicochemical!K75</f>
        <v>0.1</v>
      </c>
      <c r="J74" s="1107">
        <f>qPCR_Physicochemical!L75</f>
        <v>2.6100000000000003</v>
      </c>
      <c r="K74" s="1107">
        <f>qPCR_Physicochemical!O75</f>
        <v>0.155</v>
      </c>
      <c r="L74" s="1107">
        <f>qPCR_Physicochemical!P75</f>
        <v>8.0000000000000002E-3</v>
      </c>
      <c r="M74" s="1110">
        <f>qPCR_Physicochemical!Q75</f>
        <v>0.33999999999999997</v>
      </c>
    </row>
    <row r="75" spans="1:13" x14ac:dyDescent="0.3">
      <c r="A75" s="1383" t="str">
        <f>_xlfn.CONCAT(qPCR_Physicochemical!A76, qPCR_Physicochemical!B76)</f>
        <v>RU44363</v>
      </c>
      <c r="B75" s="1099">
        <f>qPCR_Physicochemical!C76</f>
        <v>6.6956501668543815</v>
      </c>
      <c r="C75" s="1099">
        <f>qPCR_Physicochemical!D76</f>
        <v>0</v>
      </c>
      <c r="D75" s="1099">
        <f>qPCR_Physicochemical!E76</f>
        <v>4.3559487492646749</v>
      </c>
      <c r="E75" s="1099">
        <f>qPCR_Physicochemical!F76</f>
        <v>0</v>
      </c>
      <c r="F75" s="1099">
        <f>qPCR_Physicochemical!G76</f>
        <v>1.8620594843788647</v>
      </c>
      <c r="G75" s="1107">
        <f>qPCR_Physicochemical!I76</f>
        <v>7.12</v>
      </c>
      <c r="H75" s="1107">
        <f>qPCR_Physicochemical!J76</f>
        <v>28.8</v>
      </c>
      <c r="I75" s="1107">
        <f>qPCR_Physicochemical!K76</f>
        <v>2.36</v>
      </c>
      <c r="J75" s="1107">
        <f>qPCR_Physicochemical!L76</f>
        <v>0.02</v>
      </c>
      <c r="K75" s="1107">
        <f>qPCR_Physicochemical!O76</f>
        <v>0.09</v>
      </c>
      <c r="L75" s="1107">
        <f>qPCR_Physicochemical!P76</f>
        <v>7.0000000000000001E-3</v>
      </c>
      <c r="M75" s="1110">
        <f>qPCR_Physicochemical!Q76</f>
        <v>0.34</v>
      </c>
    </row>
    <row r="76" spans="1:13" x14ac:dyDescent="0.3">
      <c r="A76" s="1383" t="str">
        <f>_xlfn.CONCAT(qPCR_Physicochemical!A77, qPCR_Physicochemical!B77)</f>
        <v>RU44370</v>
      </c>
      <c r="B76" s="1099">
        <f>qPCR_Physicochemical!C77</f>
        <v>6.7113774578673802</v>
      </c>
      <c r="C76" s="1099">
        <f>qPCR_Physicochemical!D77</f>
        <v>0</v>
      </c>
      <c r="D76" s="1099">
        <f>qPCR_Physicochemical!E77</f>
        <v>4.528648619786007</v>
      </c>
      <c r="E76" s="1099">
        <f>qPCR_Physicochemical!F77</f>
        <v>0</v>
      </c>
      <c r="F76" s="1099">
        <f>qPCR_Physicochemical!G77</f>
        <v>3.6892668926510406</v>
      </c>
      <c r="G76" s="1107">
        <f>qPCR_Physicochemical!I77</f>
        <v>7.1</v>
      </c>
      <c r="H76" s="1107">
        <f>qPCR_Physicochemical!J77</f>
        <v>27.4</v>
      </c>
      <c r="I76" s="1107">
        <f>qPCR_Physicochemical!K77</f>
        <v>3.26</v>
      </c>
      <c r="J76" s="1107">
        <f>qPCR_Physicochemical!L77</f>
        <v>0.01</v>
      </c>
      <c r="K76" s="1107">
        <f>qPCR_Physicochemical!O77</f>
        <v>1.4999999999999999E-2</v>
      </c>
      <c r="L76" s="1107">
        <f>qPCR_Physicochemical!P77</f>
        <v>6.5000000000000006E-3</v>
      </c>
      <c r="M76" s="1110">
        <f>qPCR_Physicochemical!Q77</f>
        <v>0.32999999999999996</v>
      </c>
    </row>
    <row r="77" spans="1:13" x14ac:dyDescent="0.3">
      <c r="A77" s="1383" t="str">
        <f>_xlfn.CONCAT(qPCR_Physicochemical!A78, qPCR_Physicochemical!B78)</f>
        <v>RU44377</v>
      </c>
      <c r="B77" s="1099">
        <f>qPCR_Physicochemical!C78</f>
        <v>6.5199267632234479</v>
      </c>
      <c r="C77" s="1099">
        <f>qPCR_Physicochemical!D78</f>
        <v>0</v>
      </c>
      <c r="D77" s="1099">
        <f>qPCR_Physicochemical!E78</f>
        <v>4.2412600059771011</v>
      </c>
      <c r="E77" s="1099">
        <f>qPCR_Physicochemical!F78</f>
        <v>0</v>
      </c>
      <c r="F77" s="1099">
        <f>qPCR_Physicochemical!G78</f>
        <v>3.0618000178157891</v>
      </c>
      <c r="G77" s="1107">
        <f>qPCR_Physicochemical!I78</f>
        <v>6.9850000000000003</v>
      </c>
      <c r="H77" s="1107">
        <f>qPCR_Physicochemical!J78</f>
        <v>26.7</v>
      </c>
      <c r="I77" s="1107">
        <f>qPCR_Physicochemical!K78</f>
        <v>3.08</v>
      </c>
      <c r="J77" s="1107">
        <f>qPCR_Physicochemical!L78</f>
        <v>0.01</v>
      </c>
      <c r="K77" s="1107">
        <f>qPCR_Physicochemical!O78</f>
        <v>0.04</v>
      </c>
      <c r="L77" s="1107">
        <f>qPCR_Physicochemical!P78</f>
        <v>8.0000000000000002E-3</v>
      </c>
      <c r="M77" s="1110">
        <f>qPCR_Physicochemical!Q78</f>
        <v>0.32</v>
      </c>
    </row>
    <row r="78" spans="1:13" x14ac:dyDescent="0.3">
      <c r="A78" s="1383" t="str">
        <f>_xlfn.CONCAT(qPCR_Physicochemical!A79, qPCR_Physicochemical!B79)</f>
        <v>RU44385</v>
      </c>
      <c r="B78" s="1099">
        <f>qPCR_Physicochemical!C79</f>
        <v>6.7372543138337742</v>
      </c>
      <c r="C78" s="1099">
        <f>qPCR_Physicochemical!D79</f>
        <v>2.9564632934270887</v>
      </c>
      <c r="D78" s="1099">
        <f>qPCR_Physicochemical!E79</f>
        <v>3.9406198467719626</v>
      </c>
      <c r="E78" s="1099">
        <f>qPCR_Physicochemical!F79</f>
        <v>0</v>
      </c>
      <c r="F78" s="1099">
        <f>qPCR_Physicochemical!G79</f>
        <v>0</v>
      </c>
      <c r="G78" s="1107">
        <f>qPCR_Physicochemical!I79</f>
        <v>6.7450000000000001</v>
      </c>
      <c r="H78" s="1107">
        <f>qPCR_Physicochemical!J79</f>
        <v>27.15</v>
      </c>
      <c r="I78" s="1107">
        <f>qPCR_Physicochemical!K79</f>
        <v>2.6550000000000002</v>
      </c>
      <c r="J78" s="1107">
        <f>qPCR_Physicochemical!L79</f>
        <v>5.0000000000000001E-3</v>
      </c>
      <c r="K78" s="1107">
        <f>qPCR_Physicochemical!O79</f>
        <v>0.05</v>
      </c>
      <c r="L78" s="1107">
        <f>qPCR_Physicochemical!P79</f>
        <v>7.0000000000000001E-3</v>
      </c>
      <c r="M78" s="1110">
        <f>qPCR_Physicochemical!Q79</f>
        <v>0.4</v>
      </c>
    </row>
    <row r="79" spans="1:13" x14ac:dyDescent="0.3">
      <c r="A79" s="1383" t="str">
        <f>_xlfn.CONCAT(qPCR_Physicochemical!A80, qPCR_Physicochemical!B80)</f>
        <v>RU44391</v>
      </c>
      <c r="B79" s="1099">
        <f>qPCR_Physicochemical!C80</f>
        <v>9.8628594775492058</v>
      </c>
      <c r="C79" s="1099">
        <f>qPCR_Physicochemical!D80</f>
        <v>0</v>
      </c>
      <c r="D79" s="1099">
        <f>qPCR_Physicochemical!E80</f>
        <v>3.7432204152120327</v>
      </c>
      <c r="E79" s="1099">
        <f>qPCR_Physicochemical!F80</f>
        <v>4.9408450708457536</v>
      </c>
      <c r="F79" s="1099">
        <f>qPCR_Physicochemical!G80</f>
        <v>0</v>
      </c>
      <c r="G79" s="1107">
        <f>qPCR_Physicochemical!I80</f>
        <v>6.8650000000000002</v>
      </c>
      <c r="H79" s="1107">
        <f>qPCR_Physicochemical!J80</f>
        <v>27.95</v>
      </c>
      <c r="I79" s="1107">
        <f>qPCR_Physicochemical!K80</f>
        <v>3.0150000000000001</v>
      </c>
      <c r="J79" s="1107">
        <f>qPCR_Physicochemical!L80</f>
        <v>0.02</v>
      </c>
      <c r="K79" s="1107">
        <f>qPCR_Physicochemical!O80</f>
        <v>9.5000000000000001E-2</v>
      </c>
      <c r="L79" s="1107">
        <f>qPCR_Physicochemical!P80</f>
        <v>8.0000000000000002E-3</v>
      </c>
      <c r="M79" s="1110">
        <f>qPCR_Physicochemical!Q80</f>
        <v>0.46</v>
      </c>
    </row>
    <row r="80" spans="1:13" x14ac:dyDescent="0.3">
      <c r="A80" s="1383" t="str">
        <f>_xlfn.CONCAT(qPCR_Physicochemical!A81, qPCR_Physicochemical!B81)</f>
        <v>RU44405</v>
      </c>
      <c r="B80" s="1099">
        <f>qPCR_Physicochemical!C81</f>
        <v>8.1333710139331075</v>
      </c>
      <c r="C80" s="1099">
        <f>qPCR_Physicochemical!D81</f>
        <v>4.5326444063254305</v>
      </c>
      <c r="D80" s="1099">
        <f>qPCR_Physicochemical!E81</f>
        <v>3.6371857019862635</v>
      </c>
      <c r="E80" s="1099">
        <f>qPCR_Physicochemical!F81</f>
        <v>0</v>
      </c>
      <c r="F80" s="1099">
        <f>qPCR_Physicochemical!G81</f>
        <v>3.0363742024637514</v>
      </c>
      <c r="G80" s="1107">
        <f>qPCR_Physicochemical!I81</f>
        <v>6.7450000000000001</v>
      </c>
      <c r="H80" s="1107">
        <f>qPCR_Physicochemical!J81</f>
        <v>28.15</v>
      </c>
      <c r="I80" s="1107">
        <f>qPCR_Physicochemical!K81</f>
        <v>0.1</v>
      </c>
      <c r="J80" s="1107">
        <f>qPCR_Physicochemical!L81</f>
        <v>2.0449999999999999</v>
      </c>
      <c r="K80" s="1107">
        <f>qPCR_Physicochemical!O81</f>
        <v>0.14000000000000001</v>
      </c>
      <c r="L80" s="1107">
        <f>qPCR_Physicochemical!P81</f>
        <v>6.0000000000000001E-3</v>
      </c>
      <c r="M80" s="1110">
        <f>qPCR_Physicochemical!Q81</f>
        <v>0.44</v>
      </c>
    </row>
    <row r="81" spans="1:13" x14ac:dyDescent="0.3">
      <c r="A81" s="1383" t="str">
        <f>_xlfn.CONCAT(qPCR_Physicochemical!A82, qPCR_Physicochemical!B82)</f>
        <v>RU44412</v>
      </c>
      <c r="B81" s="1099">
        <f>qPCR_Physicochemical!C82</f>
        <v>7.7970179338660834</v>
      </c>
      <c r="C81" s="1099">
        <f>qPCR_Physicochemical!D82</f>
        <v>3.7303707033332447</v>
      </c>
      <c r="D81" s="1099">
        <f>qPCR_Physicochemical!E82</f>
        <v>4.0131980264403566</v>
      </c>
      <c r="E81" s="1099">
        <f>qPCR_Physicochemical!F82</f>
        <v>0</v>
      </c>
      <c r="F81" s="1099">
        <f>qPCR_Physicochemical!G82</f>
        <v>3.0807511674943671</v>
      </c>
      <c r="G81" s="1107">
        <f>qPCR_Physicochemical!I82</f>
        <v>6.66</v>
      </c>
      <c r="H81" s="1107">
        <f>qPCR_Physicochemical!J82</f>
        <v>26.799999999999997</v>
      </c>
      <c r="I81" s="1107">
        <f>qPCR_Physicochemical!K82</f>
        <v>0.01</v>
      </c>
      <c r="J81" s="1107">
        <f>qPCR_Physicochemical!L82</f>
        <v>2.415</v>
      </c>
      <c r="K81" s="1107">
        <f>qPCR_Physicochemical!O82</f>
        <v>0.115</v>
      </c>
      <c r="L81" s="1107">
        <f>qPCR_Physicochemical!P82</f>
        <v>6.5000000000000006E-3</v>
      </c>
      <c r="M81" s="1110">
        <f>qPCR_Physicochemical!Q82</f>
        <v>0.35499999999999998</v>
      </c>
    </row>
    <row r="82" spans="1:13" x14ac:dyDescent="0.3">
      <c r="A82" s="1383" t="str">
        <f>_xlfn.CONCAT(qPCR_Physicochemical!A83, qPCR_Physicochemical!B83)</f>
        <v>RU44419</v>
      </c>
      <c r="B82" s="1099">
        <f>qPCR_Physicochemical!C83</f>
        <v>8.4672516463565746</v>
      </c>
      <c r="C82" s="1099">
        <f>qPCR_Physicochemical!D83</f>
        <v>4.0851231859017831</v>
      </c>
      <c r="D82" s="1099">
        <f>qPCR_Physicochemical!E83</f>
        <v>4.1279498708001707</v>
      </c>
      <c r="E82" s="1099">
        <f>qPCR_Physicochemical!F83</f>
        <v>4.5219452069362802</v>
      </c>
      <c r="F82" s="1099">
        <f>qPCR_Physicochemical!G83</f>
        <v>0</v>
      </c>
      <c r="G82" s="1107">
        <f>qPCR_Physicochemical!I83</f>
        <v>6.64</v>
      </c>
      <c r="H82" s="1107">
        <f>qPCR_Physicochemical!J83</f>
        <v>29.5</v>
      </c>
      <c r="I82" s="1107">
        <f>qPCR_Physicochemical!K83</f>
        <v>0.09</v>
      </c>
      <c r="J82" s="1107">
        <f>qPCR_Physicochemical!L83</f>
        <v>2.1950000000000003</v>
      </c>
      <c r="K82" s="1107">
        <f>qPCR_Physicochemical!O83</f>
        <v>0.14499999999999999</v>
      </c>
      <c r="L82" s="1107">
        <f>qPCR_Physicochemical!P83</f>
        <v>4.5000000000000005E-3</v>
      </c>
      <c r="M82" s="1110">
        <f>qPCR_Physicochemical!Q83</f>
        <v>0.39500000000000002</v>
      </c>
    </row>
    <row r="83" spans="1:13" x14ac:dyDescent="0.3">
      <c r="A83" s="1383" t="str">
        <f>_xlfn.CONCAT(qPCR_Physicochemical!A84, qPCR_Physicochemical!B84)</f>
        <v>RU44426</v>
      </c>
      <c r="B83" s="1099">
        <f>qPCR_Physicochemical!C84</f>
        <v>7.5735569828090972</v>
      </c>
      <c r="C83" s="1099">
        <f>qPCR_Physicochemical!D84</f>
        <v>4.9425680230912103</v>
      </c>
      <c r="D83" s="1099">
        <f>qPCR_Physicochemical!E84</f>
        <v>3.396386455090723</v>
      </c>
      <c r="E83" s="1099">
        <f>qPCR_Physicochemical!F84</f>
        <v>0</v>
      </c>
      <c r="F83" s="1099">
        <f>qPCR_Physicochemical!G84</f>
        <v>2.572604608472389</v>
      </c>
      <c r="G83" s="1107">
        <f>qPCR_Physicochemical!I84</f>
        <v>6.6549999999999994</v>
      </c>
      <c r="H83" s="1107">
        <f>qPCR_Physicochemical!J84</f>
        <v>28.3</v>
      </c>
      <c r="I83" s="1107">
        <f>qPCR_Physicochemical!K84</f>
        <v>0.11</v>
      </c>
      <c r="J83" s="1107">
        <f>qPCR_Physicochemical!L84</f>
        <v>2.27</v>
      </c>
      <c r="K83" s="1107">
        <f>qPCR_Physicochemical!O84</f>
        <v>0.13500000000000001</v>
      </c>
      <c r="L83" s="1107">
        <f>qPCR_Physicochemical!P84</f>
        <v>6.5000000000000006E-3</v>
      </c>
      <c r="M83" s="1110">
        <f>qPCR_Physicochemical!Q84</f>
        <v>0.34</v>
      </c>
    </row>
    <row r="84" spans="1:13" x14ac:dyDescent="0.3">
      <c r="A84" s="1383" t="str">
        <f>_xlfn.CONCAT(qPCR_Physicochemical!A85, qPCR_Physicochemical!B85)</f>
        <v>RU44433</v>
      </c>
      <c r="B84" s="1099">
        <f>qPCR_Physicochemical!C85</f>
        <v>8.5478362688149758</v>
      </c>
      <c r="C84" s="1099">
        <f>qPCR_Physicochemical!D85</f>
        <v>4.0598281668485159</v>
      </c>
      <c r="D84" s="1099">
        <f>qPCR_Physicochemical!E85</f>
        <v>3.9908586057780417</v>
      </c>
      <c r="E84" s="1099">
        <f>qPCR_Physicochemical!F85</f>
        <v>0</v>
      </c>
      <c r="F84" s="1099">
        <f>qPCR_Physicochemical!G85</f>
        <v>0</v>
      </c>
      <c r="G84" s="1107">
        <f>qPCR_Physicochemical!I85</f>
        <v>6.8599999999999994</v>
      </c>
      <c r="H84" s="1107">
        <f>qPCR_Physicochemical!J85</f>
        <v>29</v>
      </c>
      <c r="I84" s="1107">
        <f>qPCR_Physicochemical!K85</f>
        <v>0.04</v>
      </c>
      <c r="J84" s="1107">
        <f>qPCR_Physicochemical!L85</f>
        <v>2.1550000000000002</v>
      </c>
      <c r="K84" s="1107">
        <f>qPCR_Physicochemical!O85</f>
        <v>0.245</v>
      </c>
      <c r="L84" s="1107">
        <f>qPCR_Physicochemical!P85</f>
        <v>2E-3</v>
      </c>
      <c r="M84" s="1110">
        <f>qPCR_Physicochemical!Q85</f>
        <v>0.37</v>
      </c>
    </row>
    <row r="85" spans="1:13" x14ac:dyDescent="0.3">
      <c r="A85" s="1383" t="str">
        <f>_xlfn.CONCAT(qPCR_Physicochemical!A86, qPCR_Physicochemical!B86)</f>
        <v>RL44335</v>
      </c>
      <c r="B85" s="1099">
        <f>qPCR_Physicochemical!C86</f>
        <v>8.056562054046335</v>
      </c>
      <c r="C85" s="1099">
        <f>qPCR_Physicochemical!D86</f>
        <v>5.2988036670212644</v>
      </c>
      <c r="D85" s="1099">
        <f>qPCR_Physicochemical!E86</f>
        <v>3.2101183280359256</v>
      </c>
      <c r="E85" s="1099">
        <f>qPCR_Physicochemical!F86</f>
        <v>2.8878923350740906</v>
      </c>
      <c r="F85" s="1099">
        <f>qPCR_Physicochemical!G86</f>
        <v>1.9211965312062447</v>
      </c>
      <c r="G85" s="1107">
        <f>qPCR_Physicochemical!I86</f>
        <v>7.0449999999999999</v>
      </c>
      <c r="H85" s="1107">
        <f>qPCR_Physicochemical!J86</f>
        <v>23.549999999999997</v>
      </c>
      <c r="I85" s="1107">
        <f>qPCR_Physicochemical!K86</f>
        <v>0.19</v>
      </c>
      <c r="J85" s="1107">
        <f>qPCR_Physicochemical!L86</f>
        <v>1.52</v>
      </c>
      <c r="K85" s="1107">
        <f>qPCR_Physicochemical!O86</f>
        <v>0.27</v>
      </c>
      <c r="L85" s="1107">
        <f>qPCR_Physicochemical!P86</f>
        <v>6.5000000000000006E-3</v>
      </c>
      <c r="M85" s="1110">
        <f>qPCR_Physicochemical!Q86</f>
        <v>0.38</v>
      </c>
    </row>
    <row r="86" spans="1:13" x14ac:dyDescent="0.3">
      <c r="A86" s="1383" t="str">
        <f>_xlfn.CONCAT(qPCR_Physicochemical!A87, qPCR_Physicochemical!B87)</f>
        <v>RL44342</v>
      </c>
      <c r="B86" s="1099">
        <f>qPCR_Physicochemical!C87</f>
        <v>7.8495615332656898</v>
      </c>
      <c r="C86" s="1099">
        <f>qPCR_Physicochemical!D87</f>
        <v>5.0132062005410614</v>
      </c>
      <c r="D86" s="1099">
        <f>qPCR_Physicochemical!E87</f>
        <v>3.0326118640148327</v>
      </c>
      <c r="E86" s="1099">
        <f>qPCR_Physicochemical!F87</f>
        <v>2.6233181796996914</v>
      </c>
      <c r="F86" s="1099">
        <f>qPCR_Physicochemical!G87</f>
        <v>2.095619415650412</v>
      </c>
      <c r="G86" s="1107">
        <f>qPCR_Physicochemical!I87</f>
        <v>6.87</v>
      </c>
      <c r="H86" s="1107">
        <f>qPCR_Physicochemical!J87</f>
        <v>23.65</v>
      </c>
      <c r="I86" s="1107">
        <f>qPCR_Physicochemical!K87</f>
        <v>0.09</v>
      </c>
      <c r="J86" s="1107">
        <f>qPCR_Physicochemical!L87</f>
        <v>1.56</v>
      </c>
      <c r="K86" s="1107">
        <f>qPCR_Physicochemical!O87</f>
        <v>0.21000000000000002</v>
      </c>
      <c r="L86" s="1107">
        <f>qPCR_Physicochemical!P87</f>
        <v>7.0000000000000001E-3</v>
      </c>
      <c r="M86" s="1110">
        <f>qPCR_Physicochemical!Q87</f>
        <v>0.32999999999999996</v>
      </c>
    </row>
    <row r="87" spans="1:13" x14ac:dyDescent="0.3">
      <c r="A87" s="1383" t="str">
        <f>_xlfn.CONCAT(qPCR_Physicochemical!A88, qPCR_Physicochemical!B88)</f>
        <v>RL44350</v>
      </c>
      <c r="B87" s="1099">
        <f>qPCR_Physicochemical!C88</f>
        <v>7.7578372747518367</v>
      </c>
      <c r="C87" s="1099">
        <f>qPCR_Physicochemical!D88</f>
        <v>5.4341633506233746</v>
      </c>
      <c r="D87" s="1099">
        <f>qPCR_Physicochemical!E88</f>
        <v>2.4377615778005475</v>
      </c>
      <c r="E87" s="1099">
        <f>qPCR_Physicochemical!F88</f>
        <v>0</v>
      </c>
      <c r="F87" s="1099">
        <f>qPCR_Physicochemical!G88</f>
        <v>0</v>
      </c>
      <c r="G87" s="1107">
        <f>qPCR_Physicochemical!I88</f>
        <v>7.0250000000000004</v>
      </c>
      <c r="H87" s="1107">
        <f>qPCR_Physicochemical!J88</f>
        <v>24.35</v>
      </c>
      <c r="I87" s="1107">
        <f>qPCR_Physicochemical!K88</f>
        <v>0.125</v>
      </c>
      <c r="J87" s="1107">
        <f>qPCR_Physicochemical!L88</f>
        <v>1.4950000000000001</v>
      </c>
      <c r="K87" s="1107">
        <f>qPCR_Physicochemical!O88</f>
        <v>0.27500000000000002</v>
      </c>
      <c r="L87" s="1107">
        <f>qPCR_Physicochemical!P88</f>
        <v>7.0000000000000001E-3</v>
      </c>
      <c r="M87" s="1110">
        <f>qPCR_Physicochemical!Q88</f>
        <v>0.41000000000000003</v>
      </c>
    </row>
    <row r="88" spans="1:13" x14ac:dyDescent="0.3">
      <c r="A88" s="1383" t="str">
        <f>_xlfn.CONCAT(qPCR_Physicochemical!A89, qPCR_Physicochemical!B89)</f>
        <v>RL44356</v>
      </c>
      <c r="B88" s="1099">
        <f>qPCR_Physicochemical!C89</f>
        <v>9.5403441257741548</v>
      </c>
      <c r="C88" s="1099">
        <f>qPCR_Physicochemical!D89</f>
        <v>4.6631920852005928</v>
      </c>
      <c r="D88" s="1099">
        <f>qPCR_Physicochemical!E89</f>
        <v>3.1596655425971378</v>
      </c>
      <c r="E88" s="1099">
        <f>qPCR_Physicochemical!F89</f>
        <v>4.1212810154635378</v>
      </c>
      <c r="F88" s="1099">
        <f>qPCR_Physicochemical!G89</f>
        <v>2.8743369449425566</v>
      </c>
      <c r="G88" s="1107">
        <f>qPCR_Physicochemical!I89</f>
        <v>6.9249999999999998</v>
      </c>
      <c r="H88" s="1107">
        <f>qPCR_Physicochemical!J89</f>
        <v>24.75</v>
      </c>
      <c r="I88" s="1107">
        <f>qPCR_Physicochemical!K89</f>
        <v>8.4999999999999992E-2</v>
      </c>
      <c r="J88" s="1107">
        <f>qPCR_Physicochemical!L89</f>
        <v>1.6549999999999998</v>
      </c>
      <c r="K88" s="1107">
        <f>qPCR_Physicochemical!O89</f>
        <v>0.21500000000000002</v>
      </c>
      <c r="L88" s="1107">
        <f>qPCR_Physicochemical!P89</f>
        <v>6.0000000000000001E-3</v>
      </c>
      <c r="M88" s="1110">
        <f>qPCR_Physicochemical!Q89</f>
        <v>0.39</v>
      </c>
    </row>
    <row r="89" spans="1:13" x14ac:dyDescent="0.3">
      <c r="A89" s="1383" t="str">
        <f>_xlfn.CONCAT(qPCR_Physicochemical!A90, qPCR_Physicochemical!B90)</f>
        <v>RL44363</v>
      </c>
      <c r="B89" s="1099">
        <f>qPCR_Physicochemical!C90</f>
        <v>9.0929269019959538</v>
      </c>
      <c r="C89" s="1099">
        <f>qPCR_Physicochemical!D90</f>
        <v>0</v>
      </c>
      <c r="D89" s="1099">
        <f>qPCR_Physicochemical!E90</f>
        <v>0</v>
      </c>
      <c r="E89" s="1099">
        <f>qPCR_Physicochemical!F90</f>
        <v>0</v>
      </c>
      <c r="F89" s="1099">
        <f>qPCR_Physicochemical!G90</f>
        <v>1.7678973697037557</v>
      </c>
      <c r="G89" s="1107">
        <f>qPCR_Physicochemical!I90</f>
        <v>7.0350000000000001</v>
      </c>
      <c r="H89" s="1107">
        <f>qPCR_Physicochemical!J90</f>
        <v>26.450000000000003</v>
      </c>
      <c r="I89" s="1107">
        <f>qPCR_Physicochemical!K90</f>
        <v>1.4849999999999999</v>
      </c>
      <c r="J89" s="1107">
        <f>qPCR_Physicochemical!L90</f>
        <v>1.4999999999999999E-2</v>
      </c>
      <c r="K89" s="1107">
        <f>qPCR_Physicochemical!O90</f>
        <v>0.155</v>
      </c>
      <c r="L89" s="1107">
        <f>qPCR_Physicochemical!P90</f>
        <v>2.5000000000000001E-3</v>
      </c>
      <c r="M89" s="1110">
        <f>qPCR_Physicochemical!Q90</f>
        <v>0.44</v>
      </c>
    </row>
    <row r="90" spans="1:13" x14ac:dyDescent="0.3">
      <c r="A90" s="1383" t="str">
        <f>_xlfn.CONCAT(qPCR_Physicochemical!A91, qPCR_Physicochemical!B91)</f>
        <v>RL44370</v>
      </c>
      <c r="B90" s="1099">
        <f>qPCR_Physicochemical!C91</f>
        <v>8.4755082224747227</v>
      </c>
      <c r="C90" s="1099">
        <f>qPCR_Physicochemical!D91</f>
        <v>0</v>
      </c>
      <c r="D90" s="1099">
        <f>qPCR_Physicochemical!E91</f>
        <v>5.3907912736005485</v>
      </c>
      <c r="E90" s="1099">
        <f>qPCR_Physicochemical!F91</f>
        <v>0</v>
      </c>
      <c r="F90" s="1099">
        <f>qPCR_Physicochemical!G91</f>
        <v>2.9677801196380611</v>
      </c>
      <c r="G90" s="1107">
        <f>qPCR_Physicochemical!I91</f>
        <v>6.9850000000000003</v>
      </c>
      <c r="H90" s="1107">
        <f>qPCR_Physicochemical!J91</f>
        <v>26.1</v>
      </c>
      <c r="I90" s="1107">
        <f>qPCR_Physicochemical!K91</f>
        <v>2.14</v>
      </c>
      <c r="J90" s="1107">
        <f>qPCR_Physicochemical!L91</f>
        <v>5.0000000000000001E-3</v>
      </c>
      <c r="K90" s="1107">
        <f>qPCR_Physicochemical!O91</f>
        <v>0.08</v>
      </c>
      <c r="L90" s="1107">
        <f>qPCR_Physicochemical!P91</f>
        <v>5.4999999999999997E-3</v>
      </c>
      <c r="M90" s="1110">
        <f>qPCR_Physicochemical!Q91</f>
        <v>0.42</v>
      </c>
    </row>
    <row r="91" spans="1:13" x14ac:dyDescent="0.3">
      <c r="A91" s="1383" t="str">
        <f>_xlfn.CONCAT(qPCR_Physicochemical!A92, qPCR_Physicochemical!B92)</f>
        <v>RL44385</v>
      </c>
      <c r="B91" s="1099">
        <f>qPCR_Physicochemical!C92</f>
        <v>7.4380077940147062</v>
      </c>
      <c r="C91" s="1099">
        <f>qPCR_Physicochemical!D92</f>
        <v>3.305476178149656</v>
      </c>
      <c r="D91" s="1099">
        <f>qPCR_Physicochemical!E92</f>
        <v>0</v>
      </c>
      <c r="E91" s="1099">
        <f>qPCR_Physicochemical!F92</f>
        <v>0</v>
      </c>
      <c r="F91" s="1099">
        <f>qPCR_Physicochemical!G92</f>
        <v>0</v>
      </c>
      <c r="G91" s="1107">
        <f>qPCR_Physicochemical!I92</f>
        <v>6.915</v>
      </c>
      <c r="H91" s="1107">
        <f>qPCR_Physicochemical!J92</f>
        <v>26.6</v>
      </c>
      <c r="I91" s="1107">
        <f>qPCR_Physicochemical!K92</f>
        <v>1.9849999999999999</v>
      </c>
      <c r="J91" s="1107">
        <f>qPCR_Physicochemical!L92</f>
        <v>5.0000000000000001E-3</v>
      </c>
      <c r="K91" s="1107">
        <f>qPCR_Physicochemical!O92</f>
        <v>0.04</v>
      </c>
      <c r="L91" s="1107">
        <f>qPCR_Physicochemical!P92</f>
        <v>6.0000000000000001E-3</v>
      </c>
      <c r="M91" s="1110">
        <f>qPCR_Physicochemical!Q92</f>
        <v>0.47499999999999998</v>
      </c>
    </row>
    <row r="92" spans="1:13" x14ac:dyDescent="0.3">
      <c r="A92" s="1383" t="str">
        <f>_xlfn.CONCAT(qPCR_Physicochemical!A93, qPCR_Physicochemical!B93)</f>
        <v>RL44391</v>
      </c>
      <c r="B92" s="1099">
        <f>qPCR_Physicochemical!C93</f>
        <v>8.618436072965924</v>
      </c>
      <c r="C92" s="1099">
        <f>qPCR_Physicochemical!D93</f>
        <v>2.371208054202266</v>
      </c>
      <c r="D92" s="1099">
        <f>qPCR_Physicochemical!E93</f>
        <v>2.3856744524787841</v>
      </c>
      <c r="E92" s="1099">
        <f>qPCR_Physicochemical!F93</f>
        <v>5.9605393604835006</v>
      </c>
      <c r="F92" s="1099">
        <f>qPCR_Physicochemical!G93</f>
        <v>3.4463475421516776</v>
      </c>
      <c r="G92" s="1107">
        <f>qPCR_Physicochemical!I93</f>
        <v>6.8800000000000008</v>
      </c>
      <c r="H92" s="1107">
        <f>qPCR_Physicochemical!J93</f>
        <v>26.55</v>
      </c>
      <c r="I92" s="1107">
        <f>qPCR_Physicochemical!K93</f>
        <v>2.4750000000000001</v>
      </c>
      <c r="J92" s="1107">
        <f>qPCR_Physicochemical!L93</f>
        <v>0.02</v>
      </c>
      <c r="K92" s="1107">
        <f>qPCR_Physicochemical!O93</f>
        <v>1.4999999999999999E-2</v>
      </c>
      <c r="L92" s="1107">
        <f>qPCR_Physicochemical!P93</f>
        <v>5.4999999999999997E-3</v>
      </c>
      <c r="M92" s="1110">
        <f>qPCR_Physicochemical!Q93</f>
        <v>0.45499999999999996</v>
      </c>
    </row>
    <row r="93" spans="1:13" x14ac:dyDescent="0.3">
      <c r="A93" s="1383" t="str">
        <f>_xlfn.CONCAT(qPCR_Physicochemical!A94, qPCR_Physicochemical!B94)</f>
        <v>RL44398</v>
      </c>
      <c r="B93" s="1099">
        <f>qPCR_Physicochemical!C94</f>
        <v>7.8819275026119655</v>
      </c>
      <c r="C93" s="1099">
        <f>qPCR_Physicochemical!D94</f>
        <v>2.4030170419172112</v>
      </c>
      <c r="D93" s="1099">
        <f>qPCR_Physicochemical!E94</f>
        <v>0</v>
      </c>
      <c r="E93" s="1099">
        <f>qPCR_Physicochemical!F94</f>
        <v>0</v>
      </c>
      <c r="F93" s="1099">
        <f>qPCR_Physicochemical!G94</f>
        <v>0</v>
      </c>
      <c r="G93" s="1107">
        <f>qPCR_Physicochemical!I94</f>
        <v>6.8149999999999995</v>
      </c>
      <c r="H93" s="1107">
        <f>qPCR_Physicochemical!J94</f>
        <v>26.85</v>
      </c>
      <c r="I93" s="1107">
        <f>qPCR_Physicochemical!K94</f>
        <v>1.85</v>
      </c>
      <c r="J93" s="1107">
        <f>qPCR_Physicochemical!L94</f>
        <v>0.01</v>
      </c>
      <c r="K93" s="1107">
        <f>qPCR_Physicochemical!O94</f>
        <v>0.02</v>
      </c>
      <c r="L93" s="1107">
        <f>qPCR_Physicochemical!P94</f>
        <v>5.4999999999999997E-3</v>
      </c>
      <c r="M93" s="1110">
        <f>qPCR_Physicochemical!Q94</f>
        <v>0.49</v>
      </c>
    </row>
    <row r="94" spans="1:13" x14ac:dyDescent="0.3">
      <c r="A94" s="1383" t="str">
        <f>_xlfn.CONCAT(qPCR_Physicochemical!A95, qPCR_Physicochemical!B95)</f>
        <v>RL44405</v>
      </c>
      <c r="B94" s="1099">
        <f>qPCR_Physicochemical!C95</f>
        <v>9.5015392476340228</v>
      </c>
      <c r="C94" s="1099">
        <f>qPCR_Physicochemical!D95</f>
        <v>4.3643485262595734</v>
      </c>
      <c r="D94" s="1099">
        <f>qPCR_Physicochemical!E95</f>
        <v>2.7288188780106166</v>
      </c>
      <c r="E94" s="1099">
        <f>qPCR_Physicochemical!F95</f>
        <v>2.5291129364241001</v>
      </c>
      <c r="F94" s="1099">
        <f>qPCR_Physicochemical!G95</f>
        <v>2.0774493804714829</v>
      </c>
      <c r="G94" s="1107">
        <f>qPCR_Physicochemical!I95</f>
        <v>6.4649999999999999</v>
      </c>
      <c r="H94" s="1107">
        <f>qPCR_Physicochemical!J95</f>
        <v>27.6</v>
      </c>
      <c r="I94" s="1107">
        <f>qPCR_Physicochemical!K95</f>
        <v>9.5000000000000001E-2</v>
      </c>
      <c r="J94" s="1107">
        <f>qPCR_Physicochemical!L95</f>
        <v>1.9849999999999999</v>
      </c>
      <c r="K94" s="1107">
        <f>qPCR_Physicochemical!O95</f>
        <v>0.15</v>
      </c>
      <c r="L94" s="1107">
        <f>qPCR_Physicochemical!P95</f>
        <v>7.0000000000000001E-3</v>
      </c>
      <c r="M94" s="1110">
        <f>qPCR_Physicochemical!Q95</f>
        <v>0.44999999999999996</v>
      </c>
    </row>
    <row r="95" spans="1:13" x14ac:dyDescent="0.3">
      <c r="A95" s="1383" t="str">
        <f>_xlfn.CONCAT(qPCR_Physicochemical!A96, qPCR_Physicochemical!B96)</f>
        <v>RL44412</v>
      </c>
      <c r="B95" s="1099">
        <f>qPCR_Physicochemical!C96</f>
        <v>8.889053693948302</v>
      </c>
      <c r="C95" s="1099">
        <f>qPCR_Physicochemical!D96</f>
        <v>4.3702022723114844</v>
      </c>
      <c r="D95" s="1099">
        <f>qPCR_Physicochemical!E96</f>
        <v>3.6123135758582299</v>
      </c>
      <c r="E95" s="1099">
        <f>qPCR_Physicochemical!F96</f>
        <v>2.9269010526001331</v>
      </c>
      <c r="F95" s="1099">
        <f>qPCR_Physicochemical!G96</f>
        <v>2.550474365181763</v>
      </c>
      <c r="G95" s="1107">
        <f>qPCR_Physicochemical!I96</f>
        <v>6.9049999999999994</v>
      </c>
      <c r="H95" s="1107">
        <f>qPCR_Physicochemical!J96</f>
        <v>27.2</v>
      </c>
      <c r="I95" s="1107">
        <f>qPCR_Physicochemical!K96</f>
        <v>7.0000000000000007E-2</v>
      </c>
      <c r="J95" s="1107">
        <f>qPCR_Physicochemical!L96</f>
        <v>2.0199999999999996</v>
      </c>
      <c r="K95" s="1107">
        <f>qPCR_Physicochemical!O96</f>
        <v>0.16500000000000001</v>
      </c>
      <c r="L95" s="1107">
        <f>qPCR_Physicochemical!P96</f>
        <v>7.0000000000000001E-3</v>
      </c>
      <c r="M95" s="1110">
        <f>qPCR_Physicochemical!Q96</f>
        <v>0.47</v>
      </c>
    </row>
    <row r="96" spans="1:13" x14ac:dyDescent="0.3">
      <c r="A96" s="1383" t="str">
        <f>_xlfn.CONCAT(qPCR_Physicochemical!A97, qPCR_Physicochemical!B97)</f>
        <v>RL44419</v>
      </c>
      <c r="B96" s="1099">
        <f>qPCR_Physicochemical!C97</f>
        <v>7.6377944669964597</v>
      </c>
      <c r="C96" s="1099">
        <f>qPCR_Physicochemical!D97</f>
        <v>4.0281339200625865</v>
      </c>
      <c r="D96" s="1099">
        <f>qPCR_Physicochemical!E97</f>
        <v>3.0445447549330433</v>
      </c>
      <c r="E96" s="1099">
        <f>qPCR_Physicochemical!F97</f>
        <v>3.4090402536897542</v>
      </c>
      <c r="F96" s="1099">
        <f>qPCR_Physicochemical!G97</f>
        <v>0</v>
      </c>
      <c r="G96" s="1107">
        <f>qPCR_Physicochemical!I97</f>
        <v>6.4049999999999994</v>
      </c>
      <c r="H96" s="1107">
        <f>qPCR_Physicochemical!J97</f>
        <v>27.950000000000003</v>
      </c>
      <c r="I96" s="1107">
        <f>qPCR_Physicochemical!K97</f>
        <v>0.125</v>
      </c>
      <c r="J96" s="1107">
        <f>qPCR_Physicochemical!L97</f>
        <v>1.855</v>
      </c>
      <c r="K96" s="1107">
        <f>qPCR_Physicochemical!O97</f>
        <v>0.15000000000000002</v>
      </c>
      <c r="L96" s="1107">
        <f>qPCR_Physicochemical!P97</f>
        <v>7.4999999999999997E-3</v>
      </c>
      <c r="M96" s="1110">
        <f>qPCR_Physicochemical!Q97</f>
        <v>0.5</v>
      </c>
    </row>
    <row r="97" spans="1:13" x14ac:dyDescent="0.3">
      <c r="A97" s="1383" t="str">
        <f>_xlfn.CONCAT(qPCR_Physicochemical!A98, qPCR_Physicochemical!B98)</f>
        <v>RL44426</v>
      </c>
      <c r="B97" s="1099">
        <f>qPCR_Physicochemical!C98</f>
        <v>9.1350255918222683</v>
      </c>
      <c r="C97" s="1099">
        <f>qPCR_Physicochemical!D98</f>
        <v>4.8574166910971099</v>
      </c>
      <c r="D97" s="1099">
        <f>qPCR_Physicochemical!E98</f>
        <v>3.4536536059345058</v>
      </c>
      <c r="E97" s="1099">
        <f>qPCR_Physicochemical!F98</f>
        <v>2.5632992050352823</v>
      </c>
      <c r="F97" s="1099">
        <f>qPCR_Physicochemical!G98</f>
        <v>0</v>
      </c>
      <c r="G97" s="1107">
        <f>qPCR_Physicochemical!I98</f>
        <v>6.8849999999999998</v>
      </c>
      <c r="H97" s="1107">
        <f>qPCR_Physicochemical!J98</f>
        <v>27.35</v>
      </c>
      <c r="I97" s="1107">
        <f>qPCR_Physicochemical!K98</f>
        <v>6.5000000000000002E-2</v>
      </c>
      <c r="J97" s="1107">
        <f>qPCR_Physicochemical!L98</f>
        <v>1.87</v>
      </c>
      <c r="K97" s="1107">
        <f>qPCR_Physicochemical!O98</f>
        <v>0.23</v>
      </c>
      <c r="L97" s="1107">
        <f>qPCR_Physicochemical!P98</f>
        <v>2E-3</v>
      </c>
      <c r="M97" s="1110">
        <f>qPCR_Physicochemical!Q98</f>
        <v>0.375</v>
      </c>
    </row>
    <row r="98" spans="1:13" x14ac:dyDescent="0.3">
      <c r="A98" s="1383" t="str">
        <f>_xlfn.CONCAT(qPCR_Physicochemical!A99, qPCR_Physicochemical!B99)</f>
        <v>RL44433</v>
      </c>
      <c r="B98" s="1099">
        <f>qPCR_Physicochemical!C99</f>
        <v>8.7754863458710872</v>
      </c>
      <c r="C98" s="1099">
        <f>qPCR_Physicochemical!D99</f>
        <v>4.1463350032418775</v>
      </c>
      <c r="D98" s="1099">
        <f>qPCR_Physicochemical!E99</f>
        <v>1.8098479644559737</v>
      </c>
      <c r="E98" s="1099">
        <f>qPCR_Physicochemical!F99</f>
        <v>0</v>
      </c>
      <c r="F98" s="1099">
        <f>qPCR_Physicochemical!G99</f>
        <v>0</v>
      </c>
      <c r="G98" s="1107">
        <f>qPCR_Physicochemical!I99</f>
        <v>7.0049999999999999</v>
      </c>
      <c r="H98" s="1107">
        <f>qPCR_Physicochemical!J99</f>
        <v>27.95</v>
      </c>
      <c r="I98" s="1107">
        <f>qPCR_Physicochemical!K99</f>
        <v>6.0000000000000005E-2</v>
      </c>
      <c r="J98" s="1107">
        <f>qPCR_Physicochemical!L99</f>
        <v>1.34</v>
      </c>
      <c r="K98" s="1107">
        <f>qPCR_Physicochemical!O99</f>
        <v>0.17</v>
      </c>
      <c r="L98" s="1107">
        <f>qPCR_Physicochemical!P99</f>
        <v>4.5000000000000005E-3</v>
      </c>
      <c r="M98" s="1110">
        <f>qPCR_Physicochemical!Q99</f>
        <v>0.51</v>
      </c>
    </row>
    <row r="99" spans="1:13" x14ac:dyDescent="0.3">
      <c r="A99" s="1383" t="str">
        <f>_xlfn.CONCAT(qPCR_Physicochemical!A100, qPCR_Physicochemical!B100)</f>
        <v>RS44335</v>
      </c>
      <c r="B99" s="1099">
        <f>qPCR_Physicochemical!C100</f>
        <v>8.1903267843660164</v>
      </c>
      <c r="C99" s="1099">
        <f>qPCR_Physicochemical!D100</f>
        <v>4.8431920405644897</v>
      </c>
      <c r="D99" s="1099">
        <f>qPCR_Physicochemical!E100</f>
        <v>4.3733485927609284</v>
      </c>
      <c r="E99" s="1099">
        <f>qPCR_Physicochemical!F100</f>
        <v>2.5324246445355993</v>
      </c>
      <c r="F99" s="1099">
        <f>qPCR_Physicochemical!G100</f>
        <v>5.0641736514136264</v>
      </c>
      <c r="G99" s="1107">
        <f>qPCR_Physicochemical!I100</f>
        <v>6.7850000000000001</v>
      </c>
      <c r="H99" s="1107">
        <f>qPCR_Physicochemical!J100</f>
        <v>22.85</v>
      </c>
      <c r="I99" s="1107">
        <f>qPCR_Physicochemical!K100</f>
        <v>0.08</v>
      </c>
      <c r="J99" s="1107">
        <f>qPCR_Physicochemical!L100</f>
        <v>1.01</v>
      </c>
      <c r="K99" s="1107">
        <f>qPCR_Physicochemical!O100</f>
        <v>0.25</v>
      </c>
      <c r="L99" s="1107">
        <f>qPCR_Physicochemical!P100</f>
        <v>7.4999999999999997E-3</v>
      </c>
      <c r="M99" s="1110">
        <f>qPCR_Physicochemical!Q100</f>
        <v>0.435</v>
      </c>
    </row>
    <row r="100" spans="1:13" x14ac:dyDescent="0.3">
      <c r="A100" s="1383" t="str">
        <f>_xlfn.CONCAT(qPCR_Physicochemical!A101, qPCR_Physicochemical!B101)</f>
        <v>RS44342</v>
      </c>
      <c r="B100" s="1099">
        <f>qPCR_Physicochemical!C101</f>
        <v>8.8262241930475405</v>
      </c>
      <c r="C100" s="1099">
        <f>qPCR_Physicochemical!D101</f>
        <v>4.9619664954406089</v>
      </c>
      <c r="D100" s="1099">
        <f>qPCR_Physicochemical!E101</f>
        <v>4.6459903147220061</v>
      </c>
      <c r="E100" s="1099">
        <f>qPCR_Physicochemical!F101</f>
        <v>0</v>
      </c>
      <c r="F100" s="1099">
        <f>qPCR_Physicochemical!G101</f>
        <v>5.3641335810490691</v>
      </c>
      <c r="G100" s="1107">
        <f>qPCR_Physicochemical!I101</f>
        <v>6.7050000000000001</v>
      </c>
      <c r="H100" s="1107">
        <f>qPCR_Physicochemical!J101</f>
        <v>23.15</v>
      </c>
      <c r="I100" s="1107">
        <f>qPCR_Physicochemical!K101</f>
        <v>0.05</v>
      </c>
      <c r="J100" s="1107">
        <f>qPCR_Physicochemical!L101</f>
        <v>0.90500000000000003</v>
      </c>
      <c r="K100" s="1107">
        <f>qPCR_Physicochemical!O101</f>
        <v>0.23499999999999999</v>
      </c>
      <c r="L100" s="1107">
        <f>qPCR_Physicochemical!P101</f>
        <v>3.5000000000000001E-3</v>
      </c>
      <c r="M100" s="1110">
        <f>qPCR_Physicochemical!Q101</f>
        <v>0.53</v>
      </c>
    </row>
    <row r="101" spans="1:13" x14ac:dyDescent="0.3">
      <c r="A101" s="1383" t="str">
        <f>_xlfn.CONCAT(qPCR_Physicochemical!A102, qPCR_Physicochemical!B102)</f>
        <v>RS44350</v>
      </c>
      <c r="B101" s="1099">
        <f>qPCR_Physicochemical!C102</f>
        <v>10.227293627798474</v>
      </c>
      <c r="C101" s="1099">
        <f>qPCR_Physicochemical!D102</f>
        <v>5.6172938485331683</v>
      </c>
      <c r="D101" s="1099">
        <f>qPCR_Physicochemical!E102</f>
        <v>4.9461794550287745</v>
      </c>
      <c r="E101" s="1099">
        <f>qPCR_Physicochemical!F102</f>
        <v>0</v>
      </c>
      <c r="F101" s="1099">
        <f>qPCR_Physicochemical!G102</f>
        <v>5.2847122091420431</v>
      </c>
      <c r="G101" s="1107">
        <f>qPCR_Physicochemical!I102</f>
        <v>6.7750000000000004</v>
      </c>
      <c r="H101" s="1107">
        <f>qPCR_Physicochemical!J102</f>
        <v>23.799999999999997</v>
      </c>
      <c r="I101" s="1107">
        <f>qPCR_Physicochemical!K102</f>
        <v>0.13</v>
      </c>
      <c r="J101" s="1107">
        <f>qPCR_Physicochemical!L102</f>
        <v>0.69</v>
      </c>
      <c r="K101" s="1107">
        <f>qPCR_Physicochemical!O102</f>
        <v>0.33499999999999996</v>
      </c>
      <c r="L101" s="1107">
        <f>qPCR_Physicochemical!P102</f>
        <v>9.4999999999999998E-3</v>
      </c>
      <c r="M101" s="1110">
        <f>qPCR_Physicochemical!Q102</f>
        <v>0.48</v>
      </c>
    </row>
    <row r="102" spans="1:13" x14ac:dyDescent="0.3">
      <c r="A102" s="1383" t="str">
        <f>_xlfn.CONCAT(qPCR_Physicochemical!A103, qPCR_Physicochemical!B103)</f>
        <v>RS44363</v>
      </c>
      <c r="B102" s="1099">
        <f>qPCR_Physicochemical!C103</f>
        <v>10.195875834339857</v>
      </c>
      <c r="C102" s="1099">
        <f>qPCR_Physicochemical!D103</f>
        <v>5.0376734799601923</v>
      </c>
      <c r="D102" s="1099">
        <f>qPCR_Physicochemical!E103</f>
        <v>4.8377336835911153</v>
      </c>
      <c r="E102" s="1099">
        <f>qPCR_Physicochemical!F103</f>
        <v>0</v>
      </c>
      <c r="F102" s="1099">
        <f>qPCR_Physicochemical!G103</f>
        <v>5.5078349905749517</v>
      </c>
      <c r="G102" s="1107">
        <f>qPCR_Physicochemical!I103</f>
        <v>6.8900000000000006</v>
      </c>
      <c r="H102" s="1107">
        <f>qPCR_Physicochemical!J103</f>
        <v>24.35</v>
      </c>
      <c r="I102" s="1107">
        <f>qPCR_Physicochemical!K103</f>
        <v>0.02</v>
      </c>
      <c r="J102" s="1107">
        <f>qPCR_Physicochemical!L103</f>
        <v>1.4999999999999999E-2</v>
      </c>
      <c r="K102" s="1107">
        <f>qPCR_Physicochemical!O103</f>
        <v>6.5000000000000002E-2</v>
      </c>
      <c r="L102" s="1107">
        <f>qPCR_Physicochemical!P103</f>
        <v>1.3499999999999998E-2</v>
      </c>
      <c r="M102" s="1110">
        <f>qPCR_Physicochemical!Q103</f>
        <v>0.57000000000000006</v>
      </c>
    </row>
    <row r="103" spans="1:13" x14ac:dyDescent="0.3">
      <c r="A103" s="1383" t="str">
        <f>_xlfn.CONCAT(qPCR_Physicochemical!A104, qPCR_Physicochemical!B104)</f>
        <v>RS44370</v>
      </c>
      <c r="B103" s="1099">
        <f>qPCR_Physicochemical!C104</f>
        <v>9.1068445777294933</v>
      </c>
      <c r="C103" s="1099">
        <f>qPCR_Physicochemical!D104</f>
        <v>4.7339626541513349</v>
      </c>
      <c r="D103" s="1099">
        <f>qPCR_Physicochemical!E104</f>
        <v>4.9042282800518882</v>
      </c>
      <c r="E103" s="1099">
        <f>qPCR_Physicochemical!F104</f>
        <v>2.5799274933094076</v>
      </c>
      <c r="F103" s="1099">
        <f>qPCR_Physicochemical!G104</f>
        <v>5.7885679715571321</v>
      </c>
      <c r="G103" s="1107">
        <f>qPCR_Physicochemical!I104</f>
        <v>7.0600000000000005</v>
      </c>
      <c r="H103" s="1107">
        <f>qPCR_Physicochemical!J104</f>
        <v>24.5</v>
      </c>
      <c r="I103" s="1107">
        <f>qPCR_Physicochemical!K104</f>
        <v>1.375</v>
      </c>
      <c r="J103" s="1107">
        <f>qPCR_Physicochemical!L104</f>
        <v>0.28500000000000003</v>
      </c>
      <c r="K103" s="1107">
        <f>qPCR_Physicochemical!O104</f>
        <v>8.4999999999999992E-2</v>
      </c>
      <c r="L103" s="1107">
        <f>qPCR_Physicochemical!P104</f>
        <v>6.0000000000000001E-3</v>
      </c>
      <c r="M103" s="1110">
        <f>qPCR_Physicochemical!Q104</f>
        <v>0.53500000000000003</v>
      </c>
    </row>
    <row r="104" spans="1:13" x14ac:dyDescent="0.3">
      <c r="A104" s="1383" t="str">
        <f>_xlfn.CONCAT(qPCR_Physicochemical!A105, qPCR_Physicochemical!B105)</f>
        <v>RS44377</v>
      </c>
      <c r="B104" s="1099">
        <f>qPCR_Physicochemical!C105</f>
        <v>8.15647664681115</v>
      </c>
      <c r="C104" s="1099">
        <f>qPCR_Physicochemical!D105</f>
        <v>4.7591690948104999</v>
      </c>
      <c r="D104" s="1099">
        <f>qPCR_Physicochemical!E105</f>
        <v>5.0297924421681817</v>
      </c>
      <c r="E104" s="1099">
        <f>qPCR_Physicochemical!F105</f>
        <v>0</v>
      </c>
      <c r="F104" s="1099">
        <f>qPCR_Physicochemical!G105</f>
        <v>5.9788084898644929</v>
      </c>
      <c r="G104" s="1107">
        <f>qPCR_Physicochemical!I105</f>
        <v>7.02</v>
      </c>
      <c r="H104" s="1107">
        <f>qPCR_Physicochemical!J105</f>
        <v>24.1</v>
      </c>
      <c r="I104" s="1107">
        <f>qPCR_Physicochemical!K105</f>
        <v>1.45</v>
      </c>
      <c r="J104" s="1107">
        <f>qPCR_Physicochemical!L105</f>
        <v>0.06</v>
      </c>
      <c r="K104" s="1107">
        <f>qPCR_Physicochemical!O105</f>
        <v>0.08</v>
      </c>
      <c r="L104" s="1107">
        <f>qPCR_Physicochemical!P105</f>
        <v>6.0000000000000001E-3</v>
      </c>
      <c r="M104" s="1110">
        <f>qPCR_Physicochemical!Q105</f>
        <v>0.59</v>
      </c>
    </row>
    <row r="105" spans="1:13" x14ac:dyDescent="0.3">
      <c r="A105" s="1383" t="str">
        <f>_xlfn.CONCAT(qPCR_Physicochemical!A106, qPCR_Physicochemical!B106)</f>
        <v>RS44385</v>
      </c>
      <c r="B105" s="1099">
        <f>qPCR_Physicochemical!C106</f>
        <v>10.215083438035487</v>
      </c>
      <c r="C105" s="1099">
        <f>qPCR_Physicochemical!D106</f>
        <v>4.8885207964420898</v>
      </c>
      <c r="D105" s="1099">
        <f>qPCR_Physicochemical!E106</f>
        <v>4.8245901417589065</v>
      </c>
      <c r="E105" s="1099">
        <f>qPCR_Physicochemical!F106</f>
        <v>0</v>
      </c>
      <c r="F105" s="1099">
        <f>qPCR_Physicochemical!G106</f>
        <v>6.1084330352946665</v>
      </c>
      <c r="G105" s="1107">
        <f>qPCR_Physicochemical!I106</f>
        <v>6.9949999999999992</v>
      </c>
      <c r="H105" s="1107">
        <f>qPCR_Physicochemical!J106</f>
        <v>24.4</v>
      </c>
      <c r="I105" s="1107">
        <f>qPCR_Physicochemical!K106</f>
        <v>1.2050000000000001</v>
      </c>
      <c r="J105" s="1107">
        <f>qPCR_Physicochemical!L106</f>
        <v>0.01</v>
      </c>
      <c r="K105" s="1107">
        <f>qPCR_Physicochemical!O106</f>
        <v>0.12000000000000001</v>
      </c>
      <c r="L105" s="1107">
        <f>qPCR_Physicochemical!P106</f>
        <v>6.0000000000000001E-3</v>
      </c>
      <c r="M105" s="1110">
        <f>qPCR_Physicochemical!Q106</f>
        <v>0.54499999999999993</v>
      </c>
    </row>
    <row r="106" spans="1:13" x14ac:dyDescent="0.3">
      <c r="A106" s="1383" t="str">
        <f>_xlfn.CONCAT(qPCR_Physicochemical!A107, qPCR_Physicochemical!B107)</f>
        <v>RS44391</v>
      </c>
      <c r="B106" s="1099">
        <f>qPCR_Physicochemical!C107</f>
        <v>10.156507312316004</v>
      </c>
      <c r="C106" s="1099">
        <f>qPCR_Physicochemical!D107</f>
        <v>5.0770923094184184</v>
      </c>
      <c r="D106" s="1099">
        <f>qPCR_Physicochemical!E107</f>
        <v>5.1705470772594166</v>
      </c>
      <c r="E106" s="1099">
        <f>qPCR_Physicochemical!F107</f>
        <v>2.5876552633204204</v>
      </c>
      <c r="F106" s="1099">
        <f>qPCR_Physicochemical!G107</f>
        <v>6.0036159549417007</v>
      </c>
      <c r="G106" s="1107">
        <f>qPCR_Physicochemical!I107</f>
        <v>6.9450000000000003</v>
      </c>
      <c r="H106" s="1107">
        <f>qPCR_Physicochemical!J107</f>
        <v>24.2</v>
      </c>
      <c r="I106" s="1107">
        <f>qPCR_Physicochemical!K107</f>
        <v>1.76</v>
      </c>
      <c r="J106" s="1107">
        <f>qPCR_Physicochemical!L107</f>
        <v>0.01</v>
      </c>
      <c r="K106" s="1107">
        <f>qPCR_Physicochemical!O107</f>
        <v>3.5000000000000003E-2</v>
      </c>
      <c r="L106" s="1107">
        <f>qPCR_Physicochemical!P107</f>
        <v>7.0000000000000001E-3</v>
      </c>
      <c r="M106" s="1110">
        <f>qPCR_Physicochemical!Q107</f>
        <v>0.57000000000000006</v>
      </c>
    </row>
    <row r="107" spans="1:13" x14ac:dyDescent="0.3">
      <c r="A107" s="1383" t="str">
        <f>_xlfn.CONCAT(qPCR_Physicochemical!A108, qPCR_Physicochemical!B108)</f>
        <v>RS44398</v>
      </c>
      <c r="B107" s="1099">
        <f>qPCR_Physicochemical!C108</f>
        <v>7.584325471246947</v>
      </c>
      <c r="C107" s="1099">
        <f>qPCR_Physicochemical!D108</f>
        <v>4.7520237550550277</v>
      </c>
      <c r="D107" s="1099">
        <f>qPCR_Physicochemical!E108</f>
        <v>4.9038888122636424</v>
      </c>
      <c r="E107" s="1099">
        <f>qPCR_Physicochemical!F108</f>
        <v>0</v>
      </c>
      <c r="F107" s="1099">
        <f>qPCR_Physicochemical!G108</f>
        <v>5.4762495826387045</v>
      </c>
      <c r="G107" s="1107">
        <f>qPCR_Physicochemical!I108</f>
        <v>6.9250000000000007</v>
      </c>
      <c r="H107" s="1107">
        <f>qPCR_Physicochemical!J108</f>
        <v>24.299999999999997</v>
      </c>
      <c r="I107" s="1107">
        <f>qPCR_Physicochemical!K108</f>
        <v>1.7349999999999999</v>
      </c>
      <c r="J107" s="1107">
        <f>qPCR_Physicochemical!L108</f>
        <v>0.01</v>
      </c>
      <c r="K107" s="1107">
        <f>qPCR_Physicochemical!O108</f>
        <v>0.02</v>
      </c>
      <c r="L107" s="1107">
        <f>qPCR_Physicochemical!P108</f>
        <v>5.4999999999999997E-3</v>
      </c>
      <c r="M107" s="1110">
        <f>qPCR_Physicochemical!Q108</f>
        <v>0.59</v>
      </c>
    </row>
    <row r="108" spans="1:13" x14ac:dyDescent="0.3">
      <c r="A108" s="1383" t="str">
        <f>_xlfn.CONCAT(qPCR_Physicochemical!A109, qPCR_Physicochemical!B109)</f>
        <v>RS44405</v>
      </c>
      <c r="B108" s="1099">
        <f>qPCR_Physicochemical!C109</f>
        <v>9.8186939106265623</v>
      </c>
      <c r="C108" s="1099">
        <f>qPCR_Physicochemical!D109</f>
        <v>4.8456448134078149</v>
      </c>
      <c r="D108" s="1099">
        <f>qPCR_Physicochemical!E109</f>
        <v>5.0318819392819867</v>
      </c>
      <c r="E108" s="1099">
        <f>qPCR_Physicochemical!F109</f>
        <v>2.5889955349263674</v>
      </c>
      <c r="F108" s="1099">
        <f>qPCR_Physicochemical!G109</f>
        <v>5.6759040492416206</v>
      </c>
      <c r="G108" s="1107">
        <f>qPCR_Physicochemical!I109</f>
        <v>6.915</v>
      </c>
      <c r="H108" s="1107">
        <f>qPCR_Physicochemical!J109</f>
        <v>24.725000000000001</v>
      </c>
      <c r="I108" s="1107">
        <f>qPCR_Physicochemical!K109</f>
        <v>0.05</v>
      </c>
      <c r="J108" s="1107">
        <f>qPCR_Physicochemical!L109</f>
        <v>0.60499999999999998</v>
      </c>
      <c r="K108" s="1107">
        <f>qPCR_Physicochemical!O109</f>
        <v>0.15000000000000002</v>
      </c>
      <c r="L108" s="1107">
        <f>qPCR_Physicochemical!P109</f>
        <v>8.0000000000000002E-3</v>
      </c>
      <c r="M108" s="1110">
        <f>qPCR_Physicochemical!Q109</f>
        <v>0.57499999999999996</v>
      </c>
    </row>
    <row r="109" spans="1:13" x14ac:dyDescent="0.3">
      <c r="A109" s="1383" t="str">
        <f>_xlfn.CONCAT(qPCR_Physicochemical!A110, qPCR_Physicochemical!B110)</f>
        <v>RS44412</v>
      </c>
      <c r="B109" s="1099">
        <f>qPCR_Physicochemical!C110</f>
        <v>10.205870606178054</v>
      </c>
      <c r="C109" s="1099">
        <f>qPCR_Physicochemical!D110</f>
        <v>4.5593562477917047</v>
      </c>
      <c r="D109" s="1099">
        <f>qPCR_Physicochemical!E110</f>
        <v>4.8655469897457584</v>
      </c>
      <c r="E109" s="1099">
        <f>qPCR_Physicochemical!F110</f>
        <v>2.6375263627827059</v>
      </c>
      <c r="F109" s="1099">
        <f>qPCR_Physicochemical!G110</f>
        <v>5.2544173108237153</v>
      </c>
      <c r="G109" s="1107">
        <f>qPCR_Physicochemical!I110</f>
        <v>6.875</v>
      </c>
      <c r="H109" s="1107">
        <f>qPCR_Physicochemical!J110</f>
        <v>24.6</v>
      </c>
      <c r="I109" s="1107">
        <f>qPCR_Physicochemical!K110</f>
        <v>7.0000000000000007E-2</v>
      </c>
      <c r="J109" s="1107">
        <f>qPCR_Physicochemical!L110</f>
        <v>1.02</v>
      </c>
      <c r="K109" s="1107">
        <f>qPCR_Physicochemical!O110</f>
        <v>0.20500000000000002</v>
      </c>
      <c r="L109" s="1107">
        <f>qPCR_Physicochemical!P110</f>
        <v>7.4999999999999997E-3</v>
      </c>
      <c r="M109" s="1110">
        <f>qPCR_Physicochemical!Q110</f>
        <v>0.63</v>
      </c>
    </row>
    <row r="110" spans="1:13" x14ac:dyDescent="0.3">
      <c r="A110" s="1383" t="str">
        <f>_xlfn.CONCAT(qPCR_Physicochemical!A111, qPCR_Physicochemical!B111)</f>
        <v>RS44419</v>
      </c>
      <c r="B110" s="1099">
        <f>qPCR_Physicochemical!C111</f>
        <v>7.8670507007497612</v>
      </c>
      <c r="C110" s="1099">
        <f>qPCR_Physicochemical!D111</f>
        <v>3.9850449253209592</v>
      </c>
      <c r="D110" s="1099">
        <f>qPCR_Physicochemical!E111</f>
        <v>4.0872672288258176</v>
      </c>
      <c r="E110" s="1099">
        <f>qPCR_Physicochemical!F111</f>
        <v>0</v>
      </c>
      <c r="F110" s="1099">
        <f>qPCR_Physicochemical!G111</f>
        <v>4.8558720298853313</v>
      </c>
      <c r="G110" s="1107">
        <f>qPCR_Physicochemical!I111</f>
        <v>6.87</v>
      </c>
      <c r="H110" s="1107">
        <f>qPCR_Physicochemical!J111</f>
        <v>24.65</v>
      </c>
      <c r="I110" s="1107">
        <f>qPCR_Physicochemical!K111</f>
        <v>6.5000000000000002E-2</v>
      </c>
      <c r="J110" s="1107">
        <f>qPCR_Physicochemical!L111</f>
        <v>0.76500000000000001</v>
      </c>
      <c r="K110" s="1107">
        <f>qPCR_Physicochemical!O111</f>
        <v>0.24</v>
      </c>
      <c r="L110" s="1107">
        <f>qPCR_Physicochemical!P111</f>
        <v>7.4999999999999997E-3</v>
      </c>
      <c r="M110" s="1110">
        <f>qPCR_Physicochemical!Q111</f>
        <v>0.61</v>
      </c>
    </row>
    <row r="111" spans="1:13" x14ac:dyDescent="0.3">
      <c r="A111" s="1383" t="str">
        <f>_xlfn.CONCAT(qPCR_Physicochemical!A112, qPCR_Physicochemical!B112)</f>
        <v>RS44426</v>
      </c>
      <c r="B111" s="1099">
        <f>qPCR_Physicochemical!C112</f>
        <v>10.563056055280478</v>
      </c>
      <c r="C111" s="1099">
        <f>qPCR_Physicochemical!D112</f>
        <v>5.0004072703018387</v>
      </c>
      <c r="D111" s="1099">
        <f>qPCR_Physicochemical!E112</f>
        <v>4.9980740869072635</v>
      </c>
      <c r="E111" s="1099">
        <f>qPCR_Physicochemical!F112</f>
        <v>0</v>
      </c>
      <c r="F111" s="1099">
        <f>qPCR_Physicochemical!G112</f>
        <v>5.2943554319656219</v>
      </c>
      <c r="G111" s="1107">
        <f>qPCR_Physicochemical!I112</f>
        <v>6.8599999999999994</v>
      </c>
      <c r="H111" s="1107">
        <f>qPCR_Physicochemical!J112</f>
        <v>24.9</v>
      </c>
      <c r="I111" s="1107">
        <f>qPCR_Physicochemical!K112</f>
        <v>0.05</v>
      </c>
      <c r="J111" s="1107">
        <f>qPCR_Physicochemical!L112</f>
        <v>0.92500000000000004</v>
      </c>
      <c r="K111" s="1107">
        <f>qPCR_Physicochemical!O112</f>
        <v>0.23499999999999999</v>
      </c>
      <c r="L111" s="1107">
        <f>qPCR_Physicochemical!P112</f>
        <v>7.4999999999999997E-3</v>
      </c>
      <c r="M111" s="1110">
        <f>qPCR_Physicochemical!Q112</f>
        <v>0.59</v>
      </c>
    </row>
    <row r="112" spans="1:13" ht="16.350000000000001" thickBot="1" x14ac:dyDescent="0.35">
      <c r="A112" s="1384" t="str">
        <f>_xlfn.CONCAT(qPCR_Physicochemical!A113, qPCR_Physicochemical!B113)</f>
        <v>RS44433</v>
      </c>
      <c r="B112" s="1385">
        <f>qPCR_Physicochemical!C113</f>
        <v>9.7219864471469641</v>
      </c>
      <c r="C112" s="1385">
        <f>qPCR_Physicochemical!D113</f>
        <v>4.5850533943517382</v>
      </c>
      <c r="D112" s="1385">
        <f>qPCR_Physicochemical!E113</f>
        <v>4.4858575200063786</v>
      </c>
      <c r="E112" s="1385">
        <f>qPCR_Physicochemical!F113</f>
        <v>2.8588070322388779</v>
      </c>
      <c r="F112" s="1385">
        <f>qPCR_Physicochemical!G113</f>
        <v>4.7219456201527663</v>
      </c>
      <c r="G112" s="1394">
        <f>qPCR_Physicochemical!I113</f>
        <v>7.0049999999999999</v>
      </c>
      <c r="H112" s="1394">
        <f>qPCR_Physicochemical!J113</f>
        <v>24.45</v>
      </c>
      <c r="I112" s="1394">
        <f>qPCR_Physicochemical!K113</f>
        <v>0.08</v>
      </c>
      <c r="J112" s="1394">
        <f>qPCR_Physicochemical!L113</f>
        <v>1.03</v>
      </c>
      <c r="K112" s="1394">
        <f>qPCR_Physicochemical!O113</f>
        <v>0.37</v>
      </c>
      <c r="L112" s="1394">
        <f>qPCR_Physicochemical!P113</f>
        <v>8.5000000000000006E-3</v>
      </c>
      <c r="M112" s="1395">
        <f>qPCR_Physicochemical!Q113</f>
        <v>0.60499999999999998</v>
      </c>
    </row>
    <row r="113" ht="16.350000000000001" thickTop="1" x14ac:dyDescent="0.3"/>
  </sheetData>
  <sheetProtection algorithmName="SHA-512" hashValue="g2EKi2RsPgoqmtgeCK/a3f8C/uzyPCjnj8rdYeW8FIWNvtXQywKUcHvt7/mEZppB7A0T8hHzUmN/rw0OpHmdLg==" saltValue="uA3WIEED6otQuuNnDGac9w==" spinCount="100000"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27D6D-207B-4934-8A81-E59534A6E168}">
  <dimension ref="A1:H17"/>
  <sheetViews>
    <sheetView topLeftCell="D1" workbookViewId="0">
      <selection activeCell="U9" sqref="U9"/>
    </sheetView>
  </sheetViews>
  <sheetFormatPr defaultRowHeight="15.75" x14ac:dyDescent="0.3"/>
  <cols>
    <col min="1" max="1" width="29.44140625" style="1399" customWidth="1"/>
    <col min="2" max="2" width="9.88671875" style="1399" customWidth="1"/>
    <col min="3" max="3" width="11.33203125" style="1399" customWidth="1"/>
    <col min="4" max="5" width="8.88671875" style="1399"/>
    <col min="6" max="6" width="21.33203125" style="1399" customWidth="1"/>
    <col min="7" max="7" width="8.88671875" style="1399"/>
    <col min="8" max="8" width="15.109375" style="1399" customWidth="1"/>
    <col min="9" max="16384" width="8.88671875" style="1342"/>
  </cols>
  <sheetData>
    <row r="1" spans="1:8" ht="16.350000000000001" thickTop="1" x14ac:dyDescent="0.3">
      <c r="A1" s="1622" t="s">
        <v>311</v>
      </c>
      <c r="B1" s="1623"/>
      <c r="C1" s="1624"/>
      <c r="F1" s="1625" t="s">
        <v>319</v>
      </c>
      <c r="G1" s="1626"/>
      <c r="H1" s="1627"/>
    </row>
    <row r="2" spans="1:8" ht="16.350000000000001" thickBot="1" x14ac:dyDescent="0.35">
      <c r="A2" s="1404"/>
      <c r="B2" s="1405" t="s">
        <v>312</v>
      </c>
      <c r="C2" s="1406" t="s">
        <v>313</v>
      </c>
      <c r="F2" s="1416"/>
      <c r="G2" s="1417" t="s">
        <v>312</v>
      </c>
      <c r="H2" s="1418" t="s">
        <v>313</v>
      </c>
    </row>
    <row r="3" spans="1:8" ht="18.149999999999999" x14ac:dyDescent="0.3">
      <c r="A3" s="1631" t="s">
        <v>97</v>
      </c>
      <c r="B3" s="1402">
        <v>0</v>
      </c>
      <c r="C3" s="1403">
        <v>0</v>
      </c>
      <c r="F3" s="1413" t="s">
        <v>318</v>
      </c>
      <c r="G3" s="1414">
        <v>-5.0904252845738011E-2</v>
      </c>
      <c r="H3" s="1415">
        <v>2.1834292602678287E-2</v>
      </c>
    </row>
    <row r="4" spans="1:8" ht="18.149999999999999" customHeight="1" x14ac:dyDescent="0.3">
      <c r="A4" s="1632"/>
      <c r="B4" s="1400">
        <v>0.56163413015560182</v>
      </c>
      <c r="C4" s="1401">
        <v>-0.13597790558681391</v>
      </c>
      <c r="F4" s="1407" t="s">
        <v>314</v>
      </c>
      <c r="G4" s="1408">
        <v>-1.5523184713882787E-2</v>
      </c>
      <c r="H4" s="1409">
        <v>-0.19041671170184776</v>
      </c>
    </row>
    <row r="5" spans="1:8" ht="18.149999999999999" x14ac:dyDescent="0.3">
      <c r="A5" s="1620" t="s">
        <v>209</v>
      </c>
      <c r="B5" s="1400">
        <v>0</v>
      </c>
      <c r="C5" s="1401">
        <v>0</v>
      </c>
      <c r="F5" s="1407" t="s">
        <v>315</v>
      </c>
      <c r="G5" s="1408">
        <v>9.9122963629280317E-2</v>
      </c>
      <c r="H5" s="1409">
        <v>-8.2914952929871916E-2</v>
      </c>
    </row>
    <row r="6" spans="1:8" ht="18.149999999999999" customHeight="1" x14ac:dyDescent="0.3">
      <c r="A6" s="1620"/>
      <c r="B6" s="1400">
        <v>-0.86576184059887717</v>
      </c>
      <c r="C6" s="1401">
        <v>-6.3295976939848522E-2</v>
      </c>
      <c r="F6" s="1407" t="s">
        <v>316</v>
      </c>
      <c r="G6" s="1408">
        <v>-0.36330771369134168</v>
      </c>
      <c r="H6" s="1409">
        <v>0.1854866146645861</v>
      </c>
    </row>
    <row r="7" spans="1:8" ht="18.8" thickBot="1" x14ac:dyDescent="0.35">
      <c r="A7" s="1620" t="s">
        <v>202</v>
      </c>
      <c r="B7" s="1400">
        <v>0</v>
      </c>
      <c r="C7" s="1401">
        <v>0</v>
      </c>
      <c r="F7" s="1410" t="s">
        <v>317</v>
      </c>
      <c r="G7" s="1411">
        <v>0.29081452698364163</v>
      </c>
      <c r="H7" s="1412">
        <v>0.1802386548756649</v>
      </c>
    </row>
    <row r="8" spans="1:8" ht="18.149999999999999" customHeight="1" thickTop="1" x14ac:dyDescent="0.3">
      <c r="A8" s="1620"/>
      <c r="B8" s="1400">
        <v>-0.11956700647237208</v>
      </c>
      <c r="C8" s="1401">
        <v>0.46026096163739155</v>
      </c>
      <c r="G8" s="1426"/>
      <c r="H8" s="1426"/>
    </row>
    <row r="9" spans="1:8" ht="16.350000000000001" thickBot="1" x14ac:dyDescent="0.35">
      <c r="A9" s="1620" t="s">
        <v>203</v>
      </c>
      <c r="B9" s="1400">
        <v>0</v>
      </c>
      <c r="C9" s="1401">
        <v>0</v>
      </c>
      <c r="G9" s="1426"/>
      <c r="H9" s="1426"/>
    </row>
    <row r="10" spans="1:8" ht="19.399999999999999" customHeight="1" thickTop="1" x14ac:dyDescent="0.3">
      <c r="A10" s="1620"/>
      <c r="B10" s="1400">
        <v>-0.18484798263002969</v>
      </c>
      <c r="C10" s="1401">
        <v>-0.90368954586926653</v>
      </c>
      <c r="F10" s="1628" t="s">
        <v>320</v>
      </c>
      <c r="G10" s="1419">
        <v>-1</v>
      </c>
      <c r="H10" s="1420">
        <v>0</v>
      </c>
    </row>
    <row r="11" spans="1:8" x14ac:dyDescent="0.3">
      <c r="A11" s="1620" t="s">
        <v>205</v>
      </c>
      <c r="B11" s="1400">
        <v>0</v>
      </c>
      <c r="C11" s="1401">
        <v>0</v>
      </c>
      <c r="F11" s="1629"/>
      <c r="G11" s="1398">
        <v>0.8</v>
      </c>
      <c r="H11" s="1421">
        <v>0</v>
      </c>
    </row>
    <row r="12" spans="1:8" ht="19.399999999999999" customHeight="1" x14ac:dyDescent="0.3">
      <c r="A12" s="1620"/>
      <c r="B12" s="1400">
        <v>0.16858114143656336</v>
      </c>
      <c r="C12" s="1401">
        <v>-0.13833340088916599</v>
      </c>
      <c r="F12" s="1629" t="s">
        <v>321</v>
      </c>
      <c r="G12" s="1398">
        <v>0</v>
      </c>
      <c r="H12" s="1421">
        <v>-1</v>
      </c>
    </row>
    <row r="13" spans="1:8" ht="16.350000000000001" thickBot="1" x14ac:dyDescent="0.35">
      <c r="A13" s="1620" t="s">
        <v>206</v>
      </c>
      <c r="B13" s="1400">
        <v>0</v>
      </c>
      <c r="C13" s="1401">
        <v>0</v>
      </c>
      <c r="F13" s="1630"/>
      <c r="G13" s="1422">
        <v>0</v>
      </c>
      <c r="H13" s="1423">
        <v>0.8</v>
      </c>
    </row>
    <row r="14" spans="1:8" ht="16.350000000000001" thickTop="1" x14ac:dyDescent="0.3">
      <c r="A14" s="1620"/>
      <c r="B14" s="1400">
        <v>-0.10154540805618478</v>
      </c>
      <c r="C14" s="1401">
        <v>0.23795021029334737</v>
      </c>
    </row>
    <row r="15" spans="1:8" x14ac:dyDescent="0.3">
      <c r="A15" s="1620" t="s">
        <v>207</v>
      </c>
      <c r="B15" s="1400">
        <v>0</v>
      </c>
      <c r="C15" s="1401">
        <v>0</v>
      </c>
    </row>
    <row r="16" spans="1:8" ht="16.350000000000001" thickBot="1" x14ac:dyDescent="0.35">
      <c r="A16" s="1621"/>
      <c r="B16" s="1424">
        <v>0.47616178029092177</v>
      </c>
      <c r="C16" s="1425">
        <v>0.62600990071668161</v>
      </c>
    </row>
    <row r="17" ht="16.350000000000001" thickTop="1" x14ac:dyDescent="0.3"/>
  </sheetData>
  <sheetProtection algorithmName="SHA-512" hashValue="dsD78x2wKVr8lFjmiggsNKT4F6qu4MiKPJ5CxkKAGeSIiE35BTpZdZKgoov3vzwef+iAy8SFpQ2Y6m9/choKZQ==" saltValue="Pk9zb0pnLbA71Ae5FHQrIA==" spinCount="100000" sheet="1" objects="1" scenarios="1"/>
  <mergeCells count="11">
    <mergeCell ref="A15:A16"/>
    <mergeCell ref="A1:C1"/>
    <mergeCell ref="F1:H1"/>
    <mergeCell ref="F10:F11"/>
    <mergeCell ref="F12:F13"/>
    <mergeCell ref="A3:A4"/>
    <mergeCell ref="A5:A6"/>
    <mergeCell ref="A7:A8"/>
    <mergeCell ref="A9:A10"/>
    <mergeCell ref="A11:A12"/>
    <mergeCell ref="A13:A14"/>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5C13F-69F1-4980-A207-41EBAE386E0A}">
  <dimension ref="A1:M12"/>
  <sheetViews>
    <sheetView zoomScale="115" zoomScaleNormal="115" workbookViewId="0">
      <selection activeCell="I1" sqref="I1"/>
    </sheetView>
  </sheetViews>
  <sheetFormatPr defaultRowHeight="15.75" x14ac:dyDescent="0.3"/>
  <cols>
    <col min="1" max="1" width="7.33203125" style="62" customWidth="1"/>
    <col min="2" max="2" width="17.5546875" style="62" customWidth="1"/>
    <col min="3" max="3" width="8.88671875" style="62"/>
    <col min="4" max="4" width="9.33203125" style="62" customWidth="1"/>
    <col min="5" max="5" width="18.21875" style="62" customWidth="1"/>
    <col min="6" max="6" width="8.88671875" style="62"/>
    <col min="7" max="7" width="10.44140625" style="62" customWidth="1"/>
    <col min="8" max="8" width="17.33203125" style="62" customWidth="1"/>
    <col min="9" max="9" width="8.88671875" style="62"/>
    <col min="10" max="10" width="5.33203125" style="62" customWidth="1"/>
    <col min="11" max="11" width="14.109375" style="62" customWidth="1"/>
    <col min="12" max="12" width="13.21875" style="62" customWidth="1"/>
    <col min="13" max="13" width="27.5546875" style="62" customWidth="1"/>
    <col min="14" max="16384" width="8.88671875" style="62"/>
  </cols>
  <sheetData>
    <row r="1" spans="1:13" x14ac:dyDescent="0.3">
      <c r="A1" s="62" t="s">
        <v>143</v>
      </c>
    </row>
    <row r="2" spans="1:13" x14ac:dyDescent="0.3">
      <c r="A2" s="62" t="s">
        <v>144</v>
      </c>
    </row>
    <row r="3" spans="1:13" ht="15.75" customHeight="1" x14ac:dyDescent="0.3">
      <c r="A3" s="1633" t="s">
        <v>145</v>
      </c>
      <c r="B3" s="1634"/>
      <c r="D3" s="1635" t="s">
        <v>146</v>
      </c>
      <c r="E3" s="1636"/>
      <c r="G3" s="1635" t="s">
        <v>147</v>
      </c>
      <c r="H3" s="1636"/>
      <c r="J3" s="1637" t="s">
        <v>148</v>
      </c>
      <c r="K3" s="1638"/>
    </row>
    <row r="4" spans="1:13" s="64" customFormat="1" x14ac:dyDescent="0.3">
      <c r="A4" s="63" t="s">
        <v>149</v>
      </c>
      <c r="B4" s="63" t="s">
        <v>150</v>
      </c>
      <c r="D4" s="63" t="s">
        <v>149</v>
      </c>
      <c r="E4" s="63" t="s">
        <v>150</v>
      </c>
      <c r="G4" s="63" t="s">
        <v>149</v>
      </c>
      <c r="H4" s="63" t="s">
        <v>150</v>
      </c>
      <c r="J4" s="65" t="s">
        <v>149</v>
      </c>
      <c r="K4" s="65" t="s">
        <v>150</v>
      </c>
      <c r="L4" s="64" t="s">
        <v>151</v>
      </c>
      <c r="M4" s="64" t="s">
        <v>152</v>
      </c>
    </row>
    <row r="5" spans="1:13" x14ac:dyDescent="0.3">
      <c r="A5" s="66" t="s">
        <v>17</v>
      </c>
      <c r="B5" s="67">
        <v>0</v>
      </c>
      <c r="D5" s="66" t="s">
        <v>17</v>
      </c>
      <c r="E5" s="67">
        <v>0</v>
      </c>
      <c r="G5" s="66" t="s">
        <v>17</v>
      </c>
      <c r="H5" s="67">
        <v>0</v>
      </c>
      <c r="J5" s="68" t="s">
        <v>17</v>
      </c>
      <c r="K5" s="69">
        <f>AVERAGE(B5,E5,H5)</f>
        <v>0</v>
      </c>
      <c r="L5" s="70">
        <f>STDEV(B5,E5,H5)</f>
        <v>0</v>
      </c>
      <c r="M5" s="71">
        <v>0</v>
      </c>
    </row>
    <row r="6" spans="1:13" x14ac:dyDescent="0.3">
      <c r="A6" s="66" t="s">
        <v>20</v>
      </c>
      <c r="B6" s="67">
        <f>11.17+12.625</f>
        <v>23.795000000000002</v>
      </c>
      <c r="D6" s="66" t="s">
        <v>20</v>
      </c>
      <c r="E6" s="67">
        <f>11.036+8.908+3.809</f>
        <v>23.753</v>
      </c>
      <c r="G6" s="66" t="s">
        <v>20</v>
      </c>
      <c r="H6" s="67">
        <f>11.128+12.684</f>
        <v>23.811999999999998</v>
      </c>
      <c r="J6" s="68" t="s">
        <v>20</v>
      </c>
      <c r="K6" s="69">
        <f t="shared" ref="K6:K11" si="0">AVERAGE(B6,E6,H6)</f>
        <v>23.786666666666665</v>
      </c>
      <c r="L6" s="70">
        <f t="shared" ref="L6:L12" si="1">STDEV(B6,E6,H6)</f>
        <v>3.0369941279714114E-2</v>
      </c>
      <c r="M6" s="71">
        <f t="shared" ref="M6:M12" si="2">L6/K6*100</f>
        <v>0.12767632264453804</v>
      </c>
    </row>
    <row r="7" spans="1:13" x14ac:dyDescent="0.3">
      <c r="A7" s="66" t="s">
        <v>23</v>
      </c>
      <c r="B7" s="67">
        <f>11.17+12.625</f>
        <v>23.795000000000002</v>
      </c>
      <c r="D7" s="66" t="s">
        <v>23</v>
      </c>
      <c r="E7" s="67">
        <f>11.036+8.908+3.809</f>
        <v>23.753</v>
      </c>
      <c r="G7" s="66" t="s">
        <v>23</v>
      </c>
      <c r="H7" s="67">
        <f>11.128+12.684</f>
        <v>23.811999999999998</v>
      </c>
      <c r="J7" s="68" t="s">
        <v>23</v>
      </c>
      <c r="K7" s="69">
        <f t="shared" si="0"/>
        <v>23.786666666666665</v>
      </c>
      <c r="L7" s="70">
        <f t="shared" si="1"/>
        <v>3.0369941279714114E-2</v>
      </c>
      <c r="M7" s="71">
        <f t="shared" si="2"/>
        <v>0.12767632264453804</v>
      </c>
    </row>
    <row r="8" spans="1:13" x14ac:dyDescent="0.3">
      <c r="A8" s="66" t="s">
        <v>26</v>
      </c>
      <c r="B8" s="67">
        <f>11.71+12.598+11.226+10.395+8.167+7.984+8.117</f>
        <v>70.197000000000003</v>
      </c>
      <c r="D8" s="66" t="s">
        <v>26</v>
      </c>
      <c r="E8" s="67">
        <f>11.036+8.197+5.955+6.318+3.859+6.635+5.216+3.522+3.052+6.145+4.635+3.823</f>
        <v>68.392999999999986</v>
      </c>
      <c r="G8" s="66" t="s">
        <v>26</v>
      </c>
      <c r="H8" s="67">
        <f>11.128+10.22+7.222+9.728+7.204+4.881+6.871+6.252+6.461</f>
        <v>69.967000000000013</v>
      </c>
      <c r="J8" s="68" t="s">
        <v>26</v>
      </c>
      <c r="K8" s="69">
        <f t="shared" si="0"/>
        <v>69.518999999999991</v>
      </c>
      <c r="L8" s="70">
        <f t="shared" si="1"/>
        <v>0.98190223545932664</v>
      </c>
      <c r="M8" s="71">
        <f t="shared" si="2"/>
        <v>1.4124228418983686</v>
      </c>
    </row>
    <row r="9" spans="1:13" x14ac:dyDescent="0.3">
      <c r="A9" s="66" t="s">
        <v>29</v>
      </c>
      <c r="B9" s="67">
        <v>7.3209999999999997</v>
      </c>
      <c r="D9" s="66" t="s">
        <v>29</v>
      </c>
      <c r="E9" s="67">
        <v>7.2249999999999996</v>
      </c>
      <c r="G9" s="66" t="s">
        <v>29</v>
      </c>
      <c r="H9" s="67">
        <v>7.3810000000000002</v>
      </c>
      <c r="J9" s="68" t="s">
        <v>29</v>
      </c>
      <c r="K9" s="69">
        <f t="shared" si="0"/>
        <v>7.3090000000000002</v>
      </c>
      <c r="L9" s="70">
        <f t="shared" si="1"/>
        <v>7.8689262291624276E-2</v>
      </c>
      <c r="M9" s="71">
        <f t="shared" si="2"/>
        <v>1.0766077752308698</v>
      </c>
    </row>
    <row r="10" spans="1:13" x14ac:dyDescent="0.3">
      <c r="A10" s="66" t="s">
        <v>32</v>
      </c>
      <c r="B10" s="67">
        <v>12.791</v>
      </c>
      <c r="D10" s="66" t="s">
        <v>32</v>
      </c>
      <c r="E10" s="67">
        <f>11.036+1.619</f>
        <v>12.654999999999999</v>
      </c>
      <c r="G10" s="66" t="s">
        <v>32</v>
      </c>
      <c r="H10" s="67">
        <f>11.128+1.716</f>
        <v>12.843999999999999</v>
      </c>
      <c r="J10" s="68" t="s">
        <v>32</v>
      </c>
      <c r="K10" s="69">
        <f t="shared" si="0"/>
        <v>12.763333333333334</v>
      </c>
      <c r="L10" s="70">
        <f t="shared" si="1"/>
        <v>9.7490170444683111E-2</v>
      </c>
      <c r="M10" s="71">
        <f t="shared" si="2"/>
        <v>0.76383001131901107</v>
      </c>
    </row>
    <row r="11" spans="1:13" x14ac:dyDescent="0.3">
      <c r="A11" s="66" t="s">
        <v>35</v>
      </c>
      <c r="B11" s="67">
        <f>11.17+3.816</f>
        <v>14.986000000000001</v>
      </c>
      <c r="D11" s="66" t="s">
        <v>35</v>
      </c>
      <c r="E11" s="67">
        <f>11.036+3.87</f>
        <v>14.905999999999999</v>
      </c>
      <c r="G11" s="66" t="s">
        <v>35</v>
      </c>
      <c r="H11" s="67">
        <f>11.128+3.923</f>
        <v>15.051</v>
      </c>
      <c r="J11" s="68" t="s">
        <v>35</v>
      </c>
      <c r="K11" s="69">
        <f t="shared" si="0"/>
        <v>14.981</v>
      </c>
      <c r="L11" s="70">
        <f t="shared" si="1"/>
        <v>7.2629195231670468E-2</v>
      </c>
      <c r="M11" s="71">
        <f t="shared" si="2"/>
        <v>0.48480872593064861</v>
      </c>
    </row>
    <row r="12" spans="1:13" x14ac:dyDescent="0.3">
      <c r="A12" s="66" t="s">
        <v>38</v>
      </c>
      <c r="B12" s="67">
        <f>11.17+9.036</f>
        <v>20.206</v>
      </c>
      <c r="D12" s="66" t="s">
        <v>38</v>
      </c>
      <c r="E12" s="67">
        <f>11.036+8.197+1.388</f>
        <v>20.620999999999995</v>
      </c>
      <c r="G12" s="66" t="s">
        <v>38</v>
      </c>
      <c r="H12" s="67">
        <f>11.128+9.622</f>
        <v>20.75</v>
      </c>
      <c r="J12" s="68" t="s">
        <v>38</v>
      </c>
      <c r="K12" s="69">
        <f>AVERAGE(B12,E12,H12)</f>
        <v>20.525666666666666</v>
      </c>
      <c r="L12" s="70">
        <f t="shared" si="1"/>
        <v>0.28425399440171994</v>
      </c>
      <c r="M12" s="71">
        <f t="shared" si="2"/>
        <v>1.3848709472776521</v>
      </c>
    </row>
  </sheetData>
  <sheetProtection algorithmName="SHA-512" hashValue="kevslX2U+Ka5pMHZZHpwfEwgk/s0kB5RNc3YMB2MJKU5t/yYbKb8PEaQG/B+CKALiDKojg5omzF3T0K6lgDoGw==" saltValue="OF82yKqZoyx25gYaaLMckg==" spinCount="100000" sheet="1" objects="1" scenarios="1"/>
  <mergeCells count="4">
    <mergeCell ref="A3:B3"/>
    <mergeCell ref="D3:E3"/>
    <mergeCell ref="G3:H3"/>
    <mergeCell ref="J3:K3"/>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246D27-D052-4492-BA01-82E2F305F243}">
  <dimension ref="A1:BJ236"/>
  <sheetViews>
    <sheetView zoomScaleNormal="100" workbookViewId="0">
      <pane xSplit="7" ySplit="3" topLeftCell="H221" activePane="bottomRight" state="frozen"/>
      <selection pane="topRight" activeCell="G1" sqref="G1"/>
      <selection pane="bottomLeft" activeCell="A4" sqref="A4"/>
      <selection pane="bottomRight" activeCell="F2" sqref="F2"/>
    </sheetView>
  </sheetViews>
  <sheetFormatPr defaultRowHeight="15.75" x14ac:dyDescent="0.3"/>
  <cols>
    <col min="1" max="1" width="10.109375" style="81" customWidth="1"/>
    <col min="2" max="2" width="10" style="81" customWidth="1"/>
    <col min="3" max="3" width="12" style="139" customWidth="1"/>
    <col min="4" max="4" width="11" style="139" customWidth="1"/>
    <col min="5" max="5" width="7.6640625" style="139" customWidth="1"/>
    <col min="6" max="6" width="8" style="81" customWidth="1"/>
    <col min="7" max="7" width="5.88671875" style="81" customWidth="1"/>
    <col min="8" max="8" width="7.33203125" style="81" customWidth="1"/>
    <col min="9" max="9" width="17.5546875" style="81" customWidth="1"/>
    <col min="10" max="10" width="8.5546875" style="81" customWidth="1"/>
    <col min="11" max="11" width="17.33203125" style="81" customWidth="1"/>
    <col min="12" max="12" width="8" style="81" customWidth="1"/>
    <col min="13" max="13" width="11.33203125" style="81" customWidth="1"/>
    <col min="14" max="14" width="13.5546875" style="81" customWidth="1"/>
    <col min="15" max="15" width="15.44140625" style="81" customWidth="1"/>
    <col min="16" max="16" width="12.88671875" style="81" customWidth="1"/>
    <col min="17" max="17" width="11.5546875" style="81" customWidth="1"/>
    <col min="18" max="18" width="15.21875" style="81" customWidth="1"/>
    <col min="19" max="19" width="8.88671875" style="81"/>
    <col min="20" max="20" width="12.44140625" style="81" customWidth="1"/>
    <col min="21" max="21" width="8.88671875" style="81"/>
    <col min="22" max="22" width="12.33203125" style="81" customWidth="1"/>
    <col min="23" max="23" width="9.44140625" style="81" customWidth="1"/>
    <col min="24" max="24" width="10.6640625" style="81" customWidth="1"/>
    <col min="25" max="25" width="14" style="81" customWidth="1"/>
    <col min="26" max="26" width="15.5546875" style="81" customWidth="1"/>
    <col min="27" max="27" width="12.77734375" style="81" customWidth="1"/>
    <col min="28" max="28" width="11.109375" style="81" customWidth="1"/>
    <col min="29" max="29" width="14.44140625" style="81" customWidth="1"/>
    <col min="30" max="30" width="7.109375" style="81" customWidth="1"/>
    <col min="31" max="31" width="12.21875" style="81" customWidth="1"/>
    <col min="32" max="32" width="7.88671875" style="81" customWidth="1"/>
    <col min="33" max="33" width="12.77734375" style="81" customWidth="1"/>
    <col min="34" max="34" width="7.5546875" style="81" customWidth="1"/>
    <col min="35" max="35" width="10.44140625" style="81" customWidth="1"/>
    <col min="36" max="36" width="13.33203125" style="81" customWidth="1"/>
    <col min="37" max="37" width="15.21875" style="81" customWidth="1"/>
    <col min="38" max="38" width="12.33203125" style="81" customWidth="1"/>
    <col min="39" max="39" width="11.5546875" style="81" customWidth="1"/>
    <col min="40" max="40" width="15.109375" style="81" customWidth="1"/>
    <col min="41" max="41" width="8" style="81" customWidth="1"/>
    <col min="42" max="42" width="12.33203125" style="81" customWidth="1"/>
    <col min="43" max="43" width="7.109375" style="81" customWidth="1"/>
    <col min="44" max="44" width="12.21875" style="81" customWidth="1"/>
    <col min="45" max="45" width="7.6640625" style="81" customWidth="1"/>
    <col min="46" max="46" width="11.21875" style="81" customWidth="1"/>
    <col min="47" max="47" width="13.44140625" style="81" customWidth="1"/>
    <col min="48" max="48" width="16" style="81" customWidth="1"/>
    <col min="49" max="49" width="13.5546875" style="81" customWidth="1"/>
    <col min="50" max="50" width="11.44140625" style="81" customWidth="1"/>
    <col min="51" max="51" width="14.6640625" style="81" customWidth="1"/>
    <col min="52" max="52" width="8.88671875" style="81"/>
    <col min="53" max="53" width="12.21875" style="81" customWidth="1"/>
    <col min="54" max="54" width="9.77734375" style="81" customWidth="1"/>
    <col min="55" max="55" width="12.6640625" style="81" customWidth="1"/>
    <col min="56" max="56" width="9.21875" style="81" customWidth="1"/>
    <col min="57" max="57" width="12.33203125" style="81" customWidth="1"/>
    <col min="58" max="58" width="13.109375" style="81" customWidth="1"/>
    <col min="59" max="59" width="15.6640625" style="81" customWidth="1"/>
    <col min="60" max="60" width="14.44140625" style="81" customWidth="1"/>
    <col min="61" max="61" width="11.5546875" style="81" customWidth="1"/>
    <col min="62" max="62" width="14.77734375" style="81" customWidth="1"/>
    <col min="63" max="16384" width="8.88671875" style="81"/>
  </cols>
  <sheetData>
    <row r="1" spans="1:62" ht="16.95" thickTop="1" x14ac:dyDescent="0.3">
      <c r="A1" s="77"/>
      <c r="B1" s="78"/>
      <c r="C1" s="79"/>
      <c r="D1" s="79"/>
      <c r="E1" s="79"/>
      <c r="F1" s="78"/>
      <c r="G1" s="80"/>
      <c r="H1" s="1639" t="s">
        <v>8</v>
      </c>
      <c r="I1" s="1640"/>
      <c r="J1" s="1640"/>
      <c r="K1" s="1640"/>
      <c r="L1" s="1640"/>
      <c r="M1" s="1640"/>
      <c r="N1" s="1640"/>
      <c r="O1" s="1640"/>
      <c r="P1" s="1640"/>
      <c r="Q1" s="1640"/>
      <c r="R1" s="1641"/>
      <c r="S1" s="1646" t="s">
        <v>3</v>
      </c>
      <c r="T1" s="1647"/>
      <c r="U1" s="1647"/>
      <c r="V1" s="1647"/>
      <c r="W1" s="1647"/>
      <c r="X1" s="1647"/>
      <c r="Y1" s="1647"/>
      <c r="Z1" s="1647"/>
      <c r="AA1" s="1647"/>
      <c r="AB1" s="1647"/>
      <c r="AC1" s="1648"/>
      <c r="AD1" s="1653" t="s">
        <v>5</v>
      </c>
      <c r="AE1" s="1654"/>
      <c r="AF1" s="1654"/>
      <c r="AG1" s="1654"/>
      <c r="AH1" s="1654"/>
      <c r="AI1" s="1654"/>
      <c r="AJ1" s="1654"/>
      <c r="AK1" s="1654"/>
      <c r="AL1" s="1654"/>
      <c r="AM1" s="1654"/>
      <c r="AN1" s="1655"/>
      <c r="AO1" s="1646" t="s">
        <v>6</v>
      </c>
      <c r="AP1" s="1647"/>
      <c r="AQ1" s="1647"/>
      <c r="AR1" s="1647"/>
      <c r="AS1" s="1647"/>
      <c r="AT1" s="1647"/>
      <c r="AU1" s="1647"/>
      <c r="AV1" s="1647"/>
      <c r="AW1" s="1647"/>
      <c r="AX1" s="1647"/>
      <c r="AY1" s="1648"/>
      <c r="AZ1" s="1653" t="s">
        <v>51</v>
      </c>
      <c r="BA1" s="1654"/>
      <c r="BB1" s="1654"/>
      <c r="BC1" s="1654"/>
      <c r="BD1" s="1654"/>
      <c r="BE1" s="1654"/>
      <c r="BF1" s="1654"/>
      <c r="BG1" s="1654"/>
      <c r="BH1" s="1654"/>
      <c r="BI1" s="1654"/>
      <c r="BJ1" s="1655"/>
    </row>
    <row r="2" spans="1:62" ht="33.9" customHeight="1" x14ac:dyDescent="0.3">
      <c r="A2" s="82" t="s">
        <v>158</v>
      </c>
      <c r="B2" s="83" t="s">
        <v>159</v>
      </c>
      <c r="C2" s="84"/>
      <c r="D2" s="85" t="s">
        <v>162</v>
      </c>
      <c r="E2" s="85"/>
      <c r="F2" s="86"/>
      <c r="G2" s="87"/>
      <c r="H2" s="1642" t="s">
        <v>153</v>
      </c>
      <c r="I2" s="1643"/>
      <c r="J2" s="1644" t="s">
        <v>157</v>
      </c>
      <c r="K2" s="1643"/>
      <c r="L2" s="1643" t="s">
        <v>154</v>
      </c>
      <c r="M2" s="1643"/>
      <c r="N2" s="1643"/>
      <c r="O2" s="1643"/>
      <c r="P2" s="1643"/>
      <c r="Q2" s="1643"/>
      <c r="R2" s="1645"/>
      <c r="S2" s="1649" t="s">
        <v>153</v>
      </c>
      <c r="T2" s="1650"/>
      <c r="U2" s="1651" t="s">
        <v>157</v>
      </c>
      <c r="V2" s="1650"/>
      <c r="W2" s="1650" t="s">
        <v>154</v>
      </c>
      <c r="X2" s="1650"/>
      <c r="Y2" s="1650"/>
      <c r="Z2" s="1650"/>
      <c r="AA2" s="1650"/>
      <c r="AB2" s="1650"/>
      <c r="AC2" s="1652"/>
      <c r="AD2" s="1642" t="s">
        <v>153</v>
      </c>
      <c r="AE2" s="1643"/>
      <c r="AF2" s="1644" t="s">
        <v>157</v>
      </c>
      <c r="AG2" s="1643"/>
      <c r="AH2" s="1643" t="s">
        <v>154</v>
      </c>
      <c r="AI2" s="1643"/>
      <c r="AJ2" s="1643"/>
      <c r="AK2" s="1643"/>
      <c r="AL2" s="1643"/>
      <c r="AM2" s="1643"/>
      <c r="AN2" s="1645"/>
      <c r="AO2" s="1649" t="s">
        <v>153</v>
      </c>
      <c r="AP2" s="1650"/>
      <c r="AQ2" s="1651" t="s">
        <v>157</v>
      </c>
      <c r="AR2" s="1650"/>
      <c r="AS2" s="1650" t="s">
        <v>154</v>
      </c>
      <c r="AT2" s="1650"/>
      <c r="AU2" s="1650"/>
      <c r="AV2" s="1650"/>
      <c r="AW2" s="1650"/>
      <c r="AX2" s="1650"/>
      <c r="AY2" s="1652"/>
      <c r="AZ2" s="1642" t="s">
        <v>153</v>
      </c>
      <c r="BA2" s="1643"/>
      <c r="BB2" s="1644" t="s">
        <v>157</v>
      </c>
      <c r="BC2" s="1643"/>
      <c r="BD2" s="1643" t="s">
        <v>154</v>
      </c>
      <c r="BE2" s="1643"/>
      <c r="BF2" s="1643"/>
      <c r="BG2" s="1643"/>
      <c r="BH2" s="1643"/>
      <c r="BI2" s="1643"/>
      <c r="BJ2" s="1645"/>
    </row>
    <row r="3" spans="1:62" s="101" customFormat="1" ht="37.549999999999997" customHeight="1" thickBot="1" x14ac:dyDescent="0.35">
      <c r="A3" s="88" t="s">
        <v>172</v>
      </c>
      <c r="B3" s="89" t="s">
        <v>171</v>
      </c>
      <c r="C3" s="90" t="s">
        <v>175</v>
      </c>
      <c r="D3" s="90" t="s">
        <v>176</v>
      </c>
      <c r="E3" s="90" t="s">
        <v>174</v>
      </c>
      <c r="F3" s="91" t="s">
        <v>167</v>
      </c>
      <c r="G3" s="92" t="s">
        <v>173</v>
      </c>
      <c r="H3" s="93" t="s">
        <v>60</v>
      </c>
      <c r="I3" s="94" t="s">
        <v>180</v>
      </c>
      <c r="J3" s="95" t="s">
        <v>155</v>
      </c>
      <c r="K3" s="94" t="s">
        <v>181</v>
      </c>
      <c r="L3" s="96" t="s">
        <v>156</v>
      </c>
      <c r="M3" s="97" t="s">
        <v>177</v>
      </c>
      <c r="N3" s="98" t="s">
        <v>163</v>
      </c>
      <c r="O3" s="98" t="s">
        <v>164</v>
      </c>
      <c r="P3" s="98" t="s">
        <v>168</v>
      </c>
      <c r="Q3" s="99" t="s">
        <v>169</v>
      </c>
      <c r="R3" s="100" t="s">
        <v>170</v>
      </c>
      <c r="S3" s="140" t="s">
        <v>60</v>
      </c>
      <c r="T3" s="141" t="s">
        <v>178</v>
      </c>
      <c r="U3" s="142" t="s">
        <v>155</v>
      </c>
      <c r="V3" s="141" t="s">
        <v>179</v>
      </c>
      <c r="W3" s="143" t="s">
        <v>156</v>
      </c>
      <c r="X3" s="144" t="s">
        <v>177</v>
      </c>
      <c r="Y3" s="145" t="s">
        <v>163</v>
      </c>
      <c r="Z3" s="145" t="s">
        <v>164</v>
      </c>
      <c r="AA3" s="145" t="s">
        <v>168</v>
      </c>
      <c r="AB3" s="146" t="s">
        <v>169</v>
      </c>
      <c r="AC3" s="147" t="s">
        <v>170</v>
      </c>
      <c r="AD3" s="93" t="s">
        <v>60</v>
      </c>
      <c r="AE3" s="94" t="s">
        <v>178</v>
      </c>
      <c r="AF3" s="95" t="s">
        <v>155</v>
      </c>
      <c r="AG3" s="94" t="s">
        <v>179</v>
      </c>
      <c r="AH3" s="96" t="s">
        <v>156</v>
      </c>
      <c r="AI3" s="97" t="s">
        <v>177</v>
      </c>
      <c r="AJ3" s="98" t="s">
        <v>163</v>
      </c>
      <c r="AK3" s="98" t="s">
        <v>164</v>
      </c>
      <c r="AL3" s="98" t="s">
        <v>168</v>
      </c>
      <c r="AM3" s="99" t="s">
        <v>169</v>
      </c>
      <c r="AN3" s="100" t="s">
        <v>170</v>
      </c>
      <c r="AO3" s="140" t="s">
        <v>60</v>
      </c>
      <c r="AP3" s="141" t="s">
        <v>178</v>
      </c>
      <c r="AQ3" s="142" t="s">
        <v>155</v>
      </c>
      <c r="AR3" s="141" t="s">
        <v>179</v>
      </c>
      <c r="AS3" s="143" t="s">
        <v>156</v>
      </c>
      <c r="AT3" s="144" t="s">
        <v>177</v>
      </c>
      <c r="AU3" s="145" t="s">
        <v>163</v>
      </c>
      <c r="AV3" s="145" t="s">
        <v>164</v>
      </c>
      <c r="AW3" s="145" t="s">
        <v>168</v>
      </c>
      <c r="AX3" s="146" t="s">
        <v>169</v>
      </c>
      <c r="AY3" s="147" t="s">
        <v>170</v>
      </c>
      <c r="AZ3" s="93" t="s">
        <v>60</v>
      </c>
      <c r="BA3" s="94" t="s">
        <v>178</v>
      </c>
      <c r="BB3" s="95" t="s">
        <v>155</v>
      </c>
      <c r="BC3" s="94" t="s">
        <v>179</v>
      </c>
      <c r="BD3" s="96" t="s">
        <v>156</v>
      </c>
      <c r="BE3" s="97" t="s">
        <v>177</v>
      </c>
      <c r="BF3" s="98" t="s">
        <v>163</v>
      </c>
      <c r="BG3" s="98" t="s">
        <v>164</v>
      </c>
      <c r="BH3" s="98" t="s">
        <v>168</v>
      </c>
      <c r="BI3" s="99" t="s">
        <v>169</v>
      </c>
      <c r="BJ3" s="100" t="s">
        <v>170</v>
      </c>
    </row>
    <row r="4" spans="1:62" s="114" customFormat="1" ht="16.350000000000001" thickTop="1" x14ac:dyDescent="0.3">
      <c r="A4" s="102" t="str">
        <f>UPPER(LEFT(SUBSTITUTE(SUBSTITUTE(qPCR_Raw!A4,"-","")," ",""),2))&amp;RIGHT(SUBSTITUTE(SUBSTITUTE(qPCR_Raw!A4,"-","")," ",""),LEN(SUBSTITUTE(SUBSTITUTE(qPCR_Raw!A4,"-","")," ",""))-2)</f>
        <v>EP6</v>
      </c>
      <c r="B4" s="103" t="str" cm="1">
        <f t="array" ref="B4">_xlfn.IFS(LEFT(A4, LEN(A4)-1)="EP", "EP", LEFT(A4, LEN(A4)-1)="STa", "SPI", LEFT(A4, LEN(A4)-1)="STb", "SPO", LEFT(A4, LEN(A4)-1)="MRT", "MRT", LEFT(A4, LEN(A4)-1)="RG", "RN", LEFT(A4, LEN(A4)-1)="RT", "RU", LEFT(A4, LEN(A4)-1)="RW", "RL", LEFT(A4, LEN(A4)-1)="RC", "RS")</f>
        <v>EP</v>
      </c>
      <c r="C4" s="104">
        <f>qPCR_Raw!B4</f>
        <v>44335</v>
      </c>
      <c r="D4" s="104" t="str">
        <f>B4&amp;C4</f>
        <v>EP44335</v>
      </c>
      <c r="E4" s="104" t="str">
        <f>D4&amp;RIGHT(A4,1)</f>
        <v>EP443356</v>
      </c>
      <c r="F4" s="105">
        <f>qPCR_Raw!C4</f>
        <v>900</v>
      </c>
      <c r="G4" s="106">
        <f>qPCR_Raw!F4</f>
        <v>100</v>
      </c>
      <c r="H4" s="107">
        <f>qPCR_Raw!G4</f>
        <v>17.655921936035156</v>
      </c>
      <c r="I4" s="108" cm="1">
        <f t="array" ref="I4">_xlfn.IFS(H4="Undetermined", 0, qPCR_Raw!H4-qPCR_Raw!$H$242&lt;0, 0, qPCR_Raw!H4-qPCR_Raw!$H$242&gt;0, qPCR_Raw!H4-qPCR_Raw!$H$242)</f>
        <v>304835.64269612631</v>
      </c>
      <c r="J4" s="109">
        <f>qPCR_Raw!K4</f>
        <v>20.962043762207031</v>
      </c>
      <c r="K4" s="108" cm="1">
        <f t="array" ref="K4">_xlfn.IFS(J4="Undetermined", 0, qPCR_Raw!L4-qPCR_Raw!$H$242&lt;0, 0, qPCR_Raw!L4-qPCR_Raw!$H$242&gt;0, qPCR_Raw!L4-qPCR_Raw!$H$242)</f>
        <v>23142.994258626302</v>
      </c>
      <c r="L4" s="110" cm="1">
        <f t="array" ref="L4">_xlfn.IFS(AND(H4="Undetermined", J4="Undetermined"), "Undetermined", AND(I4=0, K4=0), "Undetermined", AND(I4=0, K4&gt;0), "Ten-Fold", AND(I4&gt;0, K4=0), "Undiluted", AND(H4&lt;&gt;"Undetermined", J4&lt;&gt;"Undetermined", I4&gt;0, K4&gt;0), 100*(-1+10^(-1/(H4-J4))))</f>
        <v>100.66387415585795</v>
      </c>
      <c r="M4" s="111" cm="1">
        <f t="array" ref="M4">_xlfn.IFS(L4="Undetermined", 0, L4="Undiluted", I4*$G4/$F4*1000, L4="Ten-Fold", K4*$G4/$F4*1000*10, L4&lt;0, K4*$G4/$F4*1000*10, L4&lt;120, I4*$G4/$F4*1000, L4&gt;120, K4*$G4/$F4*1000*10)</f>
        <v>33870626.966236256</v>
      </c>
      <c r="N4" s="108">
        <f>IF($D4&lt;&gt;$D5,"DELETE",AVERAGE(M4:M5))</f>
        <v>32164583.610520542</v>
      </c>
      <c r="O4" s="108">
        <f>IF($D4&lt;&gt;$D5,"DELETE", STDEV(M4:M5))</f>
        <v>2412709.6516496725</v>
      </c>
      <c r="P4" s="108">
        <f>IF(O4&lt;&gt;"DELETE", O4/2^0.5, "DELETE")</f>
        <v>1706043.3557157163</v>
      </c>
      <c r="Q4" s="112" cm="1">
        <f t="array" ref="Q4">_xlfn.IFS(N4="DELETE", "DELETE", N4=0, 0, N4&gt;0,LOG10(N4))</f>
        <v>7.5073779335749142</v>
      </c>
      <c r="R4" s="113" cm="1">
        <f t="array" ref="R4">_xlfn.IFS(N4="DELETE", "DELETE", N4=0, 0, N4&gt;0, P4/N4/LN(10))</f>
        <v>2.3035436250220781E-2</v>
      </c>
      <c r="S4" s="148">
        <f>qPCR_Raw!O4</f>
        <v>28.69841194152832</v>
      </c>
      <c r="T4" s="149" cm="1">
        <f t="array" ref="T4">_xlfn.IFS(S4="Undetermined", 0, qPCR_Raw!P4&lt;=1, 0, qPCR_Raw!P4&gt;1, qPCR_Raw!P4)</f>
        <v>481.86752319335938</v>
      </c>
      <c r="U4" s="150">
        <f>qPCR_Raw!R4</f>
        <v>31.539279937744141</v>
      </c>
      <c r="V4" s="149" cm="1">
        <f t="array" ref="V4">_xlfn.IFS(U4="Undetermined", 0, qPCR_Raw!S4&lt;=1, 0, qPCR_Raw!S4&gt;1, qPCR_Raw!S4)</f>
        <v>63.751411437988281</v>
      </c>
      <c r="W4" s="151" cm="1">
        <f t="array" ref="W4">_xlfn.IFS(AND(S4="Undetermined", U4="Undetermined"), "Undetermined", AND(T4=0, V4=0), "Undetermined", AND(T4=0, V4&gt;0), "Ten-Fold", AND(T4&gt;0, V4=0), "Undiluted", AND(S4&lt;&gt;"Undetermined", U4&lt;&gt;"Undetermined", T4&gt;0, V4&gt;0, S4&lt;&gt;U4), 100*(-1+10^(-1/(S4-U4))), AND(S4&lt;&gt;"Undetermined", U4&lt;&gt;"Undetermined", S4=U4&gt;0), -100)</f>
        <v>124.90809749527752</v>
      </c>
      <c r="X4" s="152" cm="1">
        <f t="array" ref="X4">_xlfn.IFS(W4="Undetermined", 0, W4="Undiluted", T4*$G4/$F4*1000, W4="Ten-Fold", V4*$G4/$F4*1000*10, W4&lt;0, V4*$G4/$F4*1000*10, W4&lt;120, T4*$G4/$F4*1000, W4&gt;120, V4*$G4/$F4*1000*10)</f>
        <v>70834.90159776475</v>
      </c>
      <c r="Y4" s="149">
        <f>IF($D4&lt;&gt;$D5,"DELETE",AVERAGE(X4:X5))</f>
        <v>52840.999497307668</v>
      </c>
      <c r="Z4" s="149">
        <f>IF($D4&lt;&gt;$D5,"DELETE", STDEV(X4:X5))</f>
        <v>25447.220390480124</v>
      </c>
      <c r="AA4" s="149">
        <f>IF(Z4&lt;&gt;"DELETE", Z4/2^0.5, "DELETE")</f>
        <v>17993.902100457079</v>
      </c>
      <c r="AB4" s="153" cm="1">
        <f t="array" ref="AB4">_xlfn.IFS(Y4="DELETE", "DELETE", Y4=0, 0, Y4&gt;0,LOG10(Y4))</f>
        <v>4.7229710237808709</v>
      </c>
      <c r="AC4" s="154" cm="1">
        <f t="array" ref="AC4">_xlfn.IFS(Y4="DELETE", "DELETE", Y4=0, 0, Y4&gt;0, AA4/Y4/LN(10))</f>
        <v>0.14788994274292655</v>
      </c>
      <c r="AD4" s="107">
        <f>qPCR_Raw!U4</f>
        <v>32.052833557128906</v>
      </c>
      <c r="AE4" s="108" cm="1">
        <f t="array" ref="AE4">_xlfn.IFS(AD4="Undetermined", 0, qPCR_Raw!V4&lt;=1, 0, qPCR_Raw!V4&gt;1, qPCR_Raw!V4)</f>
        <v>7.8383822441101074</v>
      </c>
      <c r="AF4" s="109">
        <f>qPCR_Raw!X4</f>
        <v>34.321857452392578</v>
      </c>
      <c r="AG4" s="108" cm="1">
        <f t="array" ref="AG4">_xlfn.IFS(AF4="Undetermined", 0, qPCR_Raw!Y4&lt;=1, 0, qPCR_Raw!Y4&gt;1, qPCR_Raw!Y4)</f>
        <v>1.7845737934112549</v>
      </c>
      <c r="AH4" s="110" cm="1">
        <f t="array" ref="AH4">_xlfn.IFS(AND(AD4="Undetermined", AF4="Undetermined"), "Undetermined", AND(AE4=0, AG4=0), "Undetermined", AND(AE4=0, AG4&gt;0), "Ten-Fold", AND(AE4&gt;0, AG4=0), "Undiluted", AND(AD4&lt;&gt;"Undetermined", AF4&lt;&gt;"Undetermined", AE4&gt;0, AG4&gt;0, AD4&lt;&gt;AF4), 100*(-1+10^(-1/(AD4-AF4))), AND(AD4&lt;&gt;"Undetermined", AF4&lt;&gt;"Undetermined", AD4=AF4&gt;0), -100)</f>
        <v>175.87868300773067</v>
      </c>
      <c r="AI4" s="111" cm="1">
        <f t="array" ref="AI4">_xlfn.IFS(AH4="Undetermined", 0, AH4="Undiluted", AE4*$G4/$F4*1000, AH4="Ten-Fold", AG4*$G4/$F4*1000*10, AH4&lt;0, AG4*$G4/$F4*1000*10, AH4&lt;120, AE4*$G4/$F4*1000, AH4&gt;120, AG4*$G4/$F4*1000*10)</f>
        <v>1982.8597704569497</v>
      </c>
      <c r="AJ4" s="108">
        <f>IF($D4&lt;&gt;$D5,"DELETE",AVERAGE(AI4:AI5))</f>
        <v>1512.8435691197712</v>
      </c>
      <c r="AK4" s="108">
        <f>IF($D4&lt;&gt;$D5,"DELETE", STDEV(AI4:AI5))</f>
        <v>664.70328646612097</v>
      </c>
      <c r="AL4" s="108">
        <f>IF(AK4&lt;&gt;"DELETE", AK4/2^0.5, "DELETE")</f>
        <v>470.01620133717836</v>
      </c>
      <c r="AM4" s="112" cm="1">
        <f t="array" ref="AM4">_xlfn.IFS(AJ4="DELETE", "DELETE", AJ4=0, 0, AJ4&gt;0,LOG10(AJ4))</f>
        <v>3.1797940234756839</v>
      </c>
      <c r="AN4" s="113" cm="1">
        <f t="array" ref="AN4">_xlfn.IFS(AJ4="DELETE", "DELETE", AJ4=0, 0, AJ4&gt;0, AL4/AJ4/LN(10))</f>
        <v>0.13492832095299329</v>
      </c>
      <c r="AO4" s="148">
        <f>qPCR_Raw!AA4</f>
        <v>30.98675537109375</v>
      </c>
      <c r="AP4" s="149" cm="1">
        <f t="array" ref="AP4">_xlfn.IFS(AO4="Undetermined", 0, qPCR_Raw!AB4&lt;=6, 0, qPCR_Raw!AB4&gt;6, qPCR_Raw!AB4)</f>
        <v>0</v>
      </c>
      <c r="AQ4" s="150" t="str">
        <f>qPCR_Raw!AD4</f>
        <v>Undetermined</v>
      </c>
      <c r="AR4" s="149" cm="1">
        <f t="array" ref="AR4">_xlfn.IFS(AQ4="Undetermined", 0, qPCR_Raw!AE4&lt;=6, 0, qPCR_Raw!AE4&gt;6, qPCR_Raw!AE4)</f>
        <v>0</v>
      </c>
      <c r="AS4" s="151" t="str" cm="1">
        <f t="array" ref="AS4">_xlfn.IFS(AND(AO4="Undetermined", AQ4="Undetermined"), "Undetermined", AND(AP4=0, AR4=0), "Undetermined", AND(AP4=0, AR4&gt;0), "Ten-Fold", AND(AP4&gt;0, AR4=0), "Undiluted", AND(AO4&lt;&gt;"Undetermined", AQ4&lt;&gt;"Undetermined", AP4&gt;0, AR4&gt;0, AO4&lt;&gt;AQ4), 100*(-1+10^(-1/(AO4-AQ4))), AND(AO4&lt;&gt;"Undetermined", AQ4&lt;&gt;"Undetermined", AO4=AQ4&gt;0), -100)</f>
        <v>Undetermined</v>
      </c>
      <c r="AT4" s="152" cm="1">
        <f t="array" ref="AT4">_xlfn.IFS(AS4="Undetermined", 0, AS4="Undiluted", AP4*$G4/$F4*1000, AS4="Ten-Fold", AR4*$G4/$F4*1000*10, AS4&lt;0, AR4*$G4/$F4*1000*10, AS4&lt;120, AP4*$G4/$F4*1000, AS4&gt;120, AR4*$G4/$F4*1000*10)</f>
        <v>0</v>
      </c>
      <c r="AU4" s="149">
        <f>IF($D4&lt;&gt;$D5,"DELETE",AVERAGE(AT4:AT5))</f>
        <v>0</v>
      </c>
      <c r="AV4" s="149">
        <f>IF($D4&lt;&gt;$D5,"DELETE", STDEV(AT4:AT5))</f>
        <v>0</v>
      </c>
      <c r="AW4" s="149">
        <f>IF(AV4&lt;&gt;"DELETE", AV4/2^0.5, "DELETE")</f>
        <v>0</v>
      </c>
      <c r="AX4" s="153" cm="1">
        <f t="array" ref="AX4">_xlfn.IFS(AU4="DELETE", "DELETE", AU4=0, 0, AU4&gt;0,LOG10(AU4))</f>
        <v>0</v>
      </c>
      <c r="AY4" s="154" cm="1">
        <f t="array" ref="AY4">_xlfn.IFS(AU4="DELETE", "DELETE", AU4=0, 0, AU4&gt;0, AW4/AU4/LN(10))</f>
        <v>0</v>
      </c>
      <c r="AZ4" s="107" t="str">
        <f>qPCR_Raw!AG4</f>
        <v>Undetermined</v>
      </c>
      <c r="BA4" s="108" cm="1">
        <f t="array" ref="BA4">_xlfn.IFS(AZ4="Undetermined", 0, qPCR_Raw!AH4&lt;=1, 0, qPCR_Raw!AH4&gt;1, qPCR_Raw!AH4)</f>
        <v>0</v>
      </c>
      <c r="BB4" s="109">
        <f>qPCR_Raw!AJ4</f>
        <v>37.526649475097656</v>
      </c>
      <c r="BC4" s="108" cm="1">
        <f t="array" ref="BC4">_xlfn.IFS(BB4="Undetermined", 0, qPCR_Raw!AK4&lt;=1, 0, qPCR_Raw!AK4&gt;1, qPCR_Raw!AK4)</f>
        <v>0</v>
      </c>
      <c r="BD4" s="110" t="str" cm="1">
        <f t="array" ref="BD4">_xlfn.IFS(AND(AZ4="Undetermined", BB4="Undetermined"), "Undetermined", AND(BA4=0, BC4=0), "Undetermined", AND(BA4=0, BC4&gt;0), "Ten-Fold", AND(BA4&gt;0, BC4=0), "Undiluted", AND(AZ4&lt;&gt;"Undetermined", BB4&lt;&gt;"Undetermined", BA4&gt;0, BC4&gt;0, AZ4&lt;&gt;BB4), 100*(-1+10^(-1/(AZ4-BB4))), AND(AZ4&lt;&gt;"Undetermined", BB4&lt;&gt;"Undetermined", AZ4=BB4&gt;0), -100)</f>
        <v>Undetermined</v>
      </c>
      <c r="BE4" s="111" cm="1">
        <f t="array" ref="BE4">_xlfn.IFS(BD4="Undetermined", 0, BD4="Undiluted", BA4*$G4/$F4*1000, BD4="Ten-Fold", BC4*$G4/$F4*1000*10, BD4&lt;0, BC4*$G4/$F4*1000*10, BD4&lt;120, BA4*$G4/$F4*1000, BD4&gt;120, BC4*$G4/$F4*1000*10)</f>
        <v>0</v>
      </c>
      <c r="BF4" s="108">
        <f>IF($D4&lt;&gt;$D5,"DELETE",AVERAGE(BE4:BE5))</f>
        <v>0</v>
      </c>
      <c r="BG4" s="108">
        <f>IF($D4&lt;&gt;$D5,"DELETE", STDEV(BE4:BE5))</f>
        <v>0</v>
      </c>
      <c r="BH4" s="108">
        <f>IF(BG4&lt;&gt;"DELETE", BG4/2^0.5, "DELETE")</f>
        <v>0</v>
      </c>
      <c r="BI4" s="112" cm="1">
        <f t="array" ref="BI4">_xlfn.IFS(BF4="DELETE", "DELETE", BF4=0, 0, BF4&gt;0,LOG10(BF4))</f>
        <v>0</v>
      </c>
      <c r="BJ4" s="113" cm="1">
        <f t="array" ref="BJ4">_xlfn.IFS(BF4="DELETE", "DELETE", BF4=0, 0, BF4&gt;0, BH4/BF4/LN(10))</f>
        <v>0</v>
      </c>
    </row>
    <row r="5" spans="1:62" s="114" customFormat="1" x14ac:dyDescent="0.3">
      <c r="A5" s="115" t="str">
        <f>UPPER(LEFT(SUBSTITUTE(SUBSTITUTE(qPCR_Raw!A5,"-","")," ",""),2))&amp;RIGHT(SUBSTITUTE(SUBSTITUTE(qPCR_Raw!A5,"-","")," ",""),LEN(SUBSTITUTE(SUBSTITUTE(qPCR_Raw!A5,"-","")," ",""))-2)</f>
        <v>EP7</v>
      </c>
      <c r="B5" s="116" t="str" cm="1">
        <f t="array" ref="B5">_xlfn.IFS(LEFT(A5, LEN(A5)-1)="EP", "EP", LEFT(A5, LEN(A5)-1)="STa", "SPI", LEFT(A5, LEN(A5)-1)="STb", "SPO", LEFT(A5, LEN(A5)-1)="MRT", "MRT", LEFT(A5, LEN(A5)-1)="RG", "RN", LEFT(A5, LEN(A5)-1)="RT", "RU", LEFT(A5, LEN(A5)-1)="RW", "RL", LEFT(A5, LEN(A5)-1)="RC", "RS")</f>
        <v>EP</v>
      </c>
      <c r="C5" s="117">
        <f>qPCR_Raw!B5</f>
        <v>44335</v>
      </c>
      <c r="D5" s="117" t="str">
        <f t="shared" ref="D5:D68" si="0">B5&amp;C5</f>
        <v>EP44335</v>
      </c>
      <c r="E5" s="117" t="str">
        <f t="shared" ref="E5:E68" si="1">D5&amp;RIGHT(A5,1)</f>
        <v>EP443357</v>
      </c>
      <c r="F5" s="118">
        <f>qPCR_Raw!C5</f>
        <v>960</v>
      </c>
      <c r="G5" s="119">
        <f>qPCR_Raw!F5</f>
        <v>100</v>
      </c>
      <c r="H5" s="120">
        <f>qPCR_Raw!G5</f>
        <v>17.716598510742188</v>
      </c>
      <c r="I5" s="121" cm="1">
        <f t="array" ref="I5">_xlfn.IFS(H5="Undetermined", 0, qPCR_Raw!H5-qPCR_Raw!$H$242&lt;0, 0, qPCR_Raw!H5-qPCR_Raw!$H$242&gt;0, qPCR_Raw!H5-qPCR_Raw!$H$242)</f>
        <v>292401.98644612631</v>
      </c>
      <c r="J5" s="122">
        <f>qPCR_Raw!K5</f>
        <v>20.899068832397461</v>
      </c>
      <c r="K5" s="121" cm="1">
        <f t="array" ref="K5">_xlfn.IFS(J5="Undetermined", 0, qPCR_Raw!L5-qPCR_Raw!$H$242&lt;0, 0, qPCR_Raw!L5-qPCR_Raw!$H$242&gt;0, qPCR_Raw!L5-qPCR_Raw!$H$242)</f>
        <v>24670.716914876302</v>
      </c>
      <c r="L5" s="123" cm="1">
        <f t="array" ref="L5">_xlfn.IFS(AND(H5="Undetermined", J5="Undetermined"), "Undetermined", AND(I5=0, K5=0), "Undetermined", AND(I5=0, K5&gt;0), "Ten-Fold", AND(I5&gt;0, K5=0), "Undiluted", AND(H5&lt;&gt;"Undetermined", J5&lt;&gt;"Undetermined", I5&gt;0, K5&gt;0), 100*(-1+10^(-1/(H5-J5))))</f>
        <v>106.16802568651735</v>
      </c>
      <c r="M5" s="124" cm="1">
        <f t="array" ref="M5">_xlfn.IFS(L5="Undetermined", 0, L5="Undiluted", I5*$G5/$F5*1000, L5="Ten-Fold", K5*$G5/$F5*1000*10, L5&lt;0, K5*$G5/$F5*1000*10, L5&lt;120, I5*$G5/$F5*1000, L5&gt;120, K5*$G5/$F5*1000*10)</f>
        <v>30458540.254804824</v>
      </c>
      <c r="N5" s="121" t="str">
        <f t="shared" ref="N5:N68" si="2">IF($D5&lt;&gt;$D6,"DELETE",AVERAGE(M5:M6))</f>
        <v>DELETE</v>
      </c>
      <c r="O5" s="121" t="str">
        <f t="shared" ref="O5:O68" si="3">IF($D5&lt;&gt;$D6,"DELETE", STDEV(M5:M6))</f>
        <v>DELETE</v>
      </c>
      <c r="P5" s="121" t="str">
        <f t="shared" ref="P5:P68" si="4">IF(O5&lt;&gt;"DELETE", O5/2^0.5, "DELETE")</f>
        <v>DELETE</v>
      </c>
      <c r="Q5" s="125" t="str" cm="1">
        <f t="array" ref="Q5">_xlfn.IFS(N5="DELETE", "DELETE", N5=0, 0, N5&gt;0,LOG10(N5))</f>
        <v>DELETE</v>
      </c>
      <c r="R5" s="126" t="str" cm="1">
        <f t="array" ref="R5">_xlfn.IFS(N5="DELETE", "DELETE", N5=0, 0, N5&gt;0, P5/N5/LN(10))</f>
        <v>DELETE</v>
      </c>
      <c r="S5" s="155">
        <f>qPCR_Raw!O5</f>
        <v>29.210968017578125</v>
      </c>
      <c r="T5" s="156" cm="1">
        <f t="array" ref="T5">_xlfn.IFS(S5="Undetermined", 0, qPCR_Raw!P5&lt;=1, 0, qPCR_Raw!P5&gt;1, qPCR_Raw!P5)</f>
        <v>334.53213500976563</v>
      </c>
      <c r="U5" s="157">
        <f>qPCR_Raw!R5</f>
        <v>32.620658874511719</v>
      </c>
      <c r="V5" s="156" cm="1">
        <f t="array" ref="V5">_xlfn.IFS(U5="Undetermined", 0, qPCR_Raw!S5&lt;=1, 0, qPCR_Raw!S5&gt;1, qPCR_Raw!S5)</f>
        <v>29.519681930541992</v>
      </c>
      <c r="W5" s="158" cm="1">
        <f t="array" ref="W5">_xlfn.IFS(AND(S5="Undetermined", U5="Undetermined"), "Undetermined", AND(T5=0, V5=0), "Undetermined", AND(T5=0, V5&gt;0), "Ten-Fold", AND(T5&gt;0, V5=0), "Undiluted", AND(S5&lt;&gt;"Undetermined", U5&lt;&gt;"Undetermined", T5&gt;0, V5&gt;0, S5&lt;&gt;U5), 100*(-1+10^(-1/(S5-U5))), AND(S5&lt;&gt;"Undetermined", U5&lt;&gt;"Undetermined", S5=U5&gt;0), -100)</f>
        <v>96.463429201543534</v>
      </c>
      <c r="X5" s="159" cm="1">
        <f t="array" ref="X5">_xlfn.IFS(W5="Undetermined", 0, W5="Undiluted", T5*$G5/$F5*1000, W5="Ten-Fold", V5*$G5/$F5*1000*10, W5&lt;0, V5*$G5/$F5*1000*10, W5&lt;120, T5*$G5/$F5*1000, W5&gt;120, V5*$G5/$F5*1000*10)</f>
        <v>34847.097396850586</v>
      </c>
      <c r="Y5" s="156" t="str">
        <f t="shared" ref="Y5:Y68" si="5">IF($D5&lt;&gt;$D6,"DELETE",AVERAGE(X5:X6))</f>
        <v>DELETE</v>
      </c>
      <c r="Z5" s="156" t="str">
        <f t="shared" ref="Z5:Z68" si="6">IF($D5&lt;&gt;$D6,"DELETE", STDEV(X5:X6))</f>
        <v>DELETE</v>
      </c>
      <c r="AA5" s="156" t="str">
        <f t="shared" ref="AA5:AA68" si="7">IF(Z5&lt;&gt;"DELETE", Z5/2^0.5, "DELETE")</f>
        <v>DELETE</v>
      </c>
      <c r="AB5" s="160" t="str" cm="1">
        <f t="array" ref="AB5">_xlfn.IFS(Y5="DELETE", "DELETE", Y5=0, 0, Y5&gt;0,LOG10(Y5))</f>
        <v>DELETE</v>
      </c>
      <c r="AC5" s="161" t="str" cm="1">
        <f t="array" ref="AC5">_xlfn.IFS(Y5="DELETE", "DELETE", Y5=0, 0, Y5&gt;0, AA5/Y5/LN(10))</f>
        <v>DELETE</v>
      </c>
      <c r="AD5" s="120">
        <f>qPCR_Raw!U5</f>
        <v>31.677692413330078</v>
      </c>
      <c r="AE5" s="121" cm="1">
        <f t="array" ref="AE5">_xlfn.IFS(AD5="Undetermined", 0, qPCR_Raw!V5&lt;=1, 0, qPCR_Raw!V5&gt;1, qPCR_Raw!V5)</f>
        <v>10.011142730712891</v>
      </c>
      <c r="AF5" s="122">
        <f>qPCR_Raw!X5</f>
        <v>34.914299011230469</v>
      </c>
      <c r="AG5" s="121" cm="1">
        <f t="array" ref="AG5">_xlfn.IFS(AF5="Undetermined", 0, qPCR_Raw!Y5&lt;=1, 0, qPCR_Raw!Y5&gt;1, qPCR_Raw!Y5)</f>
        <v>1.2126286029815674</v>
      </c>
      <c r="AH5" s="123" cm="1">
        <f t="array" ref="AH5">_xlfn.IFS(AND(AD5="Undetermined", AF5="Undetermined"), "Undetermined", AND(AE5=0, AG5=0), "Undetermined", AND(AE5=0, AG5&gt;0), "Ten-Fold", AND(AE5&gt;0, AG5=0), "Undiluted", AND(AD5&lt;&gt;"Undetermined", AF5&lt;&gt;"Undetermined", AE5&gt;0, AG5&gt;0, AD5&lt;&gt;AF5), 100*(-1+10^(-1/(AD5-AF5))), AND(AD5&lt;&gt;"Undetermined", AF5&lt;&gt;"Undetermined", AD5=AF5&gt;0), -100)</f>
        <v>103.68805880178638</v>
      </c>
      <c r="AI5" s="124" cm="1">
        <f t="array" ref="AI5">_xlfn.IFS(AH5="Undetermined", 0, AH5="Undiluted", AE5*$G5/$F5*1000, AH5="Ten-Fold", AG5*$G5/$F5*1000*10, AH5&lt;0, AG5*$G5/$F5*1000*10, AH5&lt;120, AE5*$G5/$F5*1000, AH5&gt;120, AG5*$G5/$F5*1000*10)</f>
        <v>1042.8273677825928</v>
      </c>
      <c r="AJ5" s="121" t="str">
        <f t="shared" ref="AJ5:AJ68" si="8">IF($D5&lt;&gt;$D6,"DELETE",AVERAGE(AI5:AI6))</f>
        <v>DELETE</v>
      </c>
      <c r="AK5" s="121" t="str">
        <f t="shared" ref="AK5:AK68" si="9">IF($D5&lt;&gt;$D6,"DELETE", STDEV(AI5:AI6))</f>
        <v>DELETE</v>
      </c>
      <c r="AL5" s="121" t="str">
        <f t="shared" ref="AL5:AL68" si="10">IF(AK5&lt;&gt;"DELETE", AK5/2^0.5, "DELETE")</f>
        <v>DELETE</v>
      </c>
      <c r="AM5" s="125" t="str" cm="1">
        <f t="array" ref="AM5">_xlfn.IFS(AJ5="DELETE", "DELETE", AJ5=0, 0, AJ5&gt;0,LOG10(AJ5))</f>
        <v>DELETE</v>
      </c>
      <c r="AN5" s="126" t="str" cm="1">
        <f t="array" ref="AN5">_xlfn.IFS(AJ5="DELETE", "DELETE", AJ5=0, 0, AJ5&gt;0, AL5/AJ5/LN(10))</f>
        <v>DELETE</v>
      </c>
      <c r="AO5" s="155">
        <f>qPCR_Raw!AA5</f>
        <v>29.860187530517578</v>
      </c>
      <c r="AP5" s="156" cm="1">
        <f t="array" ref="AP5">_xlfn.IFS(AO5="Undetermined", 0, qPCR_Raw!AB5&lt;=6, 0, qPCR_Raw!AB5&gt;6, qPCR_Raw!AB5)</f>
        <v>0</v>
      </c>
      <c r="AQ5" s="157" t="str">
        <f>qPCR_Raw!AD5</f>
        <v>Undetermined</v>
      </c>
      <c r="AR5" s="156" cm="1">
        <f t="array" ref="AR5">_xlfn.IFS(AQ5="Undetermined", 0, qPCR_Raw!AE5&lt;=6, 0, qPCR_Raw!AE5&gt;6, qPCR_Raw!AE5)</f>
        <v>0</v>
      </c>
      <c r="AS5" s="158" t="str" cm="1">
        <f t="array" ref="AS5">_xlfn.IFS(AND(AO5="Undetermined", AQ5="Undetermined"), "Undetermined", AND(AP5=0, AR5=0), "Undetermined", AND(AP5=0, AR5&gt;0), "Ten-Fold", AND(AP5&gt;0, AR5=0), "Undiluted", AND(AO5&lt;&gt;"Undetermined", AQ5&lt;&gt;"Undetermined", AP5&gt;0, AR5&gt;0, AO5&lt;&gt;AQ5), 100*(-1+10^(-1/(AO5-AQ5))), AND(AO5&lt;&gt;"Undetermined", AQ5&lt;&gt;"Undetermined", AO5=AQ5&gt;0), -100)</f>
        <v>Undetermined</v>
      </c>
      <c r="AT5" s="159" cm="1">
        <f t="array" ref="AT5">_xlfn.IFS(AS5="Undetermined", 0, AS5="Undiluted", AP5*$G5/$F5*1000, AS5="Ten-Fold", AR5*$G5/$F5*1000*10, AS5&lt;0, AR5*$G5/$F5*1000*10, AS5&lt;120, AP5*$G5/$F5*1000, AS5&gt;120, AR5*$G5/$F5*1000*10)</f>
        <v>0</v>
      </c>
      <c r="AU5" s="156" t="str">
        <f t="shared" ref="AU5:AU68" si="11">IF($D5&lt;&gt;$D6,"DELETE",AVERAGE(AT5:AT6))</f>
        <v>DELETE</v>
      </c>
      <c r="AV5" s="156" t="str">
        <f t="shared" ref="AV5:AV68" si="12">IF($D5&lt;&gt;$D6,"DELETE", STDEV(AT5:AT6))</f>
        <v>DELETE</v>
      </c>
      <c r="AW5" s="156" t="str">
        <f t="shared" ref="AW5:AW68" si="13">IF(AV5&lt;&gt;"DELETE", AV5/2^0.5, "DELETE")</f>
        <v>DELETE</v>
      </c>
      <c r="AX5" s="160" t="str" cm="1">
        <f t="array" ref="AX5">_xlfn.IFS(AU5="DELETE", "DELETE", AU5=0, 0, AU5&gt;0,LOG10(AU5))</f>
        <v>DELETE</v>
      </c>
      <c r="AY5" s="161" t="str" cm="1">
        <f t="array" ref="AY5">_xlfn.IFS(AU5="DELETE", "DELETE", AU5=0, 0, AU5&gt;0, AW5/AU5/LN(10))</f>
        <v>DELETE</v>
      </c>
      <c r="AZ5" s="120" t="str">
        <f>qPCR_Raw!AG5</f>
        <v>Undetermined</v>
      </c>
      <c r="BA5" s="121" cm="1">
        <f t="array" ref="BA5">_xlfn.IFS(AZ5="Undetermined", 0, qPCR_Raw!AH5&lt;=1, 0, qPCR_Raw!AH5&gt;1, qPCR_Raw!AH5)</f>
        <v>0</v>
      </c>
      <c r="BB5" s="122">
        <f>qPCR_Raw!AJ5</f>
        <v>37.114276885986328</v>
      </c>
      <c r="BC5" s="121" cm="1">
        <f t="array" ref="BC5">_xlfn.IFS(BB5="Undetermined", 0, qPCR_Raw!AK5&lt;=1, 0, qPCR_Raw!AK5&gt;1, qPCR_Raw!AK5)</f>
        <v>0</v>
      </c>
      <c r="BD5" s="123" t="str" cm="1">
        <f t="array" ref="BD5">_xlfn.IFS(AND(AZ5="Undetermined", BB5="Undetermined"), "Undetermined", AND(BA5=0, BC5=0), "Undetermined", AND(BA5=0, BC5&gt;0), "Ten-Fold", AND(BA5&gt;0, BC5=0), "Undiluted", AND(AZ5&lt;&gt;"Undetermined", BB5&lt;&gt;"Undetermined", BA5&gt;0, BC5&gt;0, AZ5&lt;&gt;BB5), 100*(-1+10^(-1/(AZ5-BB5))), AND(AZ5&lt;&gt;"Undetermined", BB5&lt;&gt;"Undetermined", AZ5=BB5&gt;0), -100)</f>
        <v>Undetermined</v>
      </c>
      <c r="BE5" s="124" cm="1">
        <f t="array" ref="BE5">_xlfn.IFS(BD5="Undetermined", 0, BD5="Undiluted", BA5*$G5/$F5*1000, BD5="Ten-Fold", BC5*$G5/$F5*1000*10, BD5&lt;0, BC5*$G5/$F5*1000*10, BD5&lt;120, BA5*$G5/$F5*1000, BD5&gt;120, BC5*$G5/$F5*1000*10)</f>
        <v>0</v>
      </c>
      <c r="BF5" s="121" t="str">
        <f t="shared" ref="BF5:BF68" si="14">IF($D5&lt;&gt;$D6,"DELETE",AVERAGE(BE5:BE6))</f>
        <v>DELETE</v>
      </c>
      <c r="BG5" s="121" t="str">
        <f t="shared" ref="BG5:BG68" si="15">IF($D5&lt;&gt;$D6,"DELETE", STDEV(BE5:BE6))</f>
        <v>DELETE</v>
      </c>
      <c r="BH5" s="121" t="str">
        <f t="shared" ref="BH5:BH68" si="16">IF(BG5&lt;&gt;"DELETE", BG5/2^0.5, "DELETE")</f>
        <v>DELETE</v>
      </c>
      <c r="BI5" s="125" t="str" cm="1">
        <f t="array" ref="BI5">_xlfn.IFS(BF5="DELETE", "DELETE", BF5=0, 0, BF5&gt;0,LOG10(BF5))</f>
        <v>DELETE</v>
      </c>
      <c r="BJ5" s="126" t="str" cm="1">
        <f t="array" ref="BJ5">_xlfn.IFS(BF5="DELETE", "DELETE", BF5=0, 0, BF5&gt;0, BH5/BF5/LN(10))</f>
        <v>DELETE</v>
      </c>
    </row>
    <row r="6" spans="1:62" s="114" customFormat="1" x14ac:dyDescent="0.3">
      <c r="A6" s="115" t="str">
        <f>UPPER(LEFT(SUBSTITUTE(SUBSTITUTE(qPCR_Raw!A6,"-","")," ",""),2))&amp;RIGHT(SUBSTITUTE(SUBSTITUTE(qPCR_Raw!A6,"-","")," ",""),LEN(SUBSTITUTE(SUBSTITUTE(qPCR_Raw!A6,"-","")," ",""))-2)</f>
        <v>RW6</v>
      </c>
      <c r="B6" s="116" t="str" cm="1">
        <f t="array" ref="B6">_xlfn.IFS(LEFT(A6, LEN(A6)-1)="EP", "EP", LEFT(A6, LEN(A6)-1)="STa", "SPI", LEFT(A6, LEN(A6)-1)="STb", "SPO", LEFT(A6, LEN(A6)-1)="MRT", "MRT", LEFT(A6, LEN(A6)-1)="RG", "RN", LEFT(A6, LEN(A6)-1)="RT", "RU", LEFT(A6, LEN(A6)-1)="RW", "RL", LEFT(A6, LEN(A6)-1)="RC", "RS")</f>
        <v>RL</v>
      </c>
      <c r="C6" s="117">
        <f>qPCR_Raw!B6</f>
        <v>44335</v>
      </c>
      <c r="D6" s="117" t="str">
        <f t="shared" si="0"/>
        <v>RL44335</v>
      </c>
      <c r="E6" s="117" t="str">
        <f t="shared" si="1"/>
        <v>RL443356</v>
      </c>
      <c r="F6" s="118">
        <f>qPCR_Raw!C6</f>
        <v>850</v>
      </c>
      <c r="G6" s="119">
        <f>qPCR_Raw!F6</f>
        <v>100</v>
      </c>
      <c r="H6" s="120">
        <f>qPCR_Raw!G6</f>
        <v>17.11353874206543</v>
      </c>
      <c r="I6" s="121" cm="1">
        <f t="array" ref="I6">_xlfn.IFS(H6="Undetermined", 0, qPCR_Raw!H6-qPCR_Raw!$H$242&lt;0, 0, qPCR_Raw!H6-qPCR_Raw!$H$242&gt;0, qPCR_Raw!H6-qPCR_Raw!$H$242)</f>
        <v>441069.45519612631</v>
      </c>
      <c r="J6" s="122">
        <f>qPCR_Raw!K6</f>
        <v>20.087358474731445</v>
      </c>
      <c r="K6" s="121" cm="1">
        <f t="array" ref="K6">_xlfn.IFS(J6="Undetermined", 0, qPCR_Raw!L6-qPCR_Raw!$H$242&lt;0, 0, qPCR_Raw!L6-qPCR_Raw!$H$242&gt;0, qPCR_Raw!L6-qPCR_Raw!$H$242)</f>
        <v>51236.033321126306</v>
      </c>
      <c r="L6" s="123" cm="1">
        <f t="array" ref="L6">_xlfn.IFS(AND(H6="Undetermined", J6="Undetermined"), "Undetermined", AND(I6=0, K6=0), "Undetermined", AND(I6=0, K6&gt;0), "Ten-Fold", AND(I6&gt;0, K6=0), "Undiluted", AND(H6&lt;&gt;"Undetermined", J6&lt;&gt;"Undetermined", I6&gt;0, K6&gt;0), 100*(-1+10^(-1/(H6-J6))))</f>
        <v>116.90414971784126</v>
      </c>
      <c r="M6" s="124" cm="1">
        <f t="array" ref="M6">_xlfn.IFS(L6="Undetermined", 0, L6="Undiluted", I6*$G6/$F6*1000, L6="Ten-Fold", K6*$G6/$F6*1000*10, L6&lt;0, K6*$G6/$F6*1000*10, L6&lt;120, I6*$G6/$F6*1000, L6&gt;120, K6*$G6/$F6*1000*10)</f>
        <v>51890524.14072074</v>
      </c>
      <c r="N6" s="121">
        <f t="shared" si="2"/>
        <v>113910053.0310961</v>
      </c>
      <c r="O6" s="121">
        <f t="shared" si="3"/>
        <v>87708858.888758853</v>
      </c>
      <c r="P6" s="121">
        <f t="shared" si="4"/>
        <v>62019528.890375376</v>
      </c>
      <c r="Q6" s="125" cm="1">
        <f t="array" ref="Q6">_xlfn.IFS(N6="DELETE", "DELETE", N6=0, 0, N6&gt;0,LOG10(N6))</f>
        <v>8.056562054046335</v>
      </c>
      <c r="R6" s="126" cm="1">
        <f t="array" ref="R6">_xlfn.IFS(N6="DELETE", "DELETE", N6=0, 0, N6&gt;0, P6/N6/LN(10))</f>
        <v>0.23645620777629225</v>
      </c>
      <c r="S6" s="155">
        <f>qPCR_Raw!O6</f>
        <v>27.88972282409668</v>
      </c>
      <c r="T6" s="156" cm="1">
        <f t="array" ref="T6">_xlfn.IFS(S6="Undetermined", 0, qPCR_Raw!P6&lt;=1, 0, qPCR_Raw!P6&gt;1, qPCR_Raw!P6)</f>
        <v>857.010498046875</v>
      </c>
      <c r="U6" s="157">
        <f>qPCR_Raw!R6</f>
        <v>30.655202865600586</v>
      </c>
      <c r="V6" s="156" cm="1">
        <f t="array" ref="V6">_xlfn.IFS(U6="Undetermined", 0, qPCR_Raw!S6&lt;=1, 0, qPCR_Raw!S6&gt;1, qPCR_Raw!S6)</f>
        <v>119.63529968261719</v>
      </c>
      <c r="W6" s="158" cm="1">
        <f t="array" ref="W6">_xlfn.IFS(AND(S6="Undetermined", U6="Undetermined"), "Undetermined", AND(T6=0, V6=0), "Undetermined", AND(T6=0, V6&gt;0), "Ten-Fold", AND(T6&gt;0, V6=0), "Undiluted", AND(S6&lt;&gt;"Undetermined", U6&lt;&gt;"Undetermined", T6&gt;0, V6&gt;0, S6&lt;&gt;U6), 100*(-1+10^(-1/(S6-U6))), AND(S6&lt;&gt;"Undetermined", U6&lt;&gt;"Undetermined", S6=U6&gt;0), -100)</f>
        <v>129.93277142486329</v>
      </c>
      <c r="X6" s="159" cm="1">
        <f t="array" ref="X6">_xlfn.IFS(W6="Undetermined", 0, W6="Undiluted", T6*$G6/$F6*1000, W6="Ten-Fold", V6*$G6/$F6*1000*10, W6&lt;0, V6*$G6/$F6*1000*10, W6&lt;120, T6*$G6/$F6*1000, W6&gt;120, V6*$G6/$F6*1000*10)</f>
        <v>140747.41139131432</v>
      </c>
      <c r="Y6" s="156">
        <f t="shared" si="5"/>
        <v>198977.36119289021</v>
      </c>
      <c r="Z6" s="156">
        <f t="shared" si="6"/>
        <v>82349.584745693268</v>
      </c>
      <c r="AA6" s="156">
        <f t="shared" si="7"/>
        <v>58229.949801575975</v>
      </c>
      <c r="AB6" s="160" cm="1">
        <f t="array" ref="AB6">_xlfn.IFS(Y6="DELETE", "DELETE", Y6=0, 0, Y6&gt;0,LOG10(Y6))</f>
        <v>5.2988036670212644</v>
      </c>
      <c r="AC6" s="161" cm="1">
        <f t="array" ref="AC6">_xlfn.IFS(Y6="DELETE", "DELETE", Y6=0, 0, Y6&gt;0, AA6/Y6/LN(10))</f>
        <v>0.12709458869450224</v>
      </c>
      <c r="AD6" s="120">
        <f>qPCR_Raw!U6</f>
        <v>31.491466522216797</v>
      </c>
      <c r="AE6" s="121" cm="1">
        <f t="array" ref="AE6">_xlfn.IFS(AD6="Undetermined", 0, qPCR_Raw!V6&lt;=1, 0, qPCR_Raw!V6&gt;1, qPCR_Raw!V6)</f>
        <v>11.303980827331543</v>
      </c>
      <c r="AF6" s="122">
        <f>qPCR_Raw!X6</f>
        <v>34.990257263183594</v>
      </c>
      <c r="AG6" s="121" cm="1">
        <f t="array" ref="AG6">_xlfn.IFS(AF6="Undetermined", 0, qPCR_Raw!Y6&lt;=1, 0, qPCR_Raw!Y6&gt;1, qPCR_Raw!Y6)</f>
        <v>1.1540188789367676</v>
      </c>
      <c r="AH6" s="123" cm="1">
        <f t="array" ref="AH6">_xlfn.IFS(AND(AD6="Undetermined", AF6="Undetermined"), "Undetermined", AND(AE6=0, AG6=0), "Undetermined", AND(AE6=0, AG6&gt;0), "Ten-Fold", AND(AE6&gt;0, AG6=0), "Undiluted", AND(AD6&lt;&gt;"Undetermined", AF6&lt;&gt;"Undetermined", AE6&gt;0, AG6&gt;0, AD6&lt;&gt;AF6), 100*(-1+10^(-1/(AD6-AF6))), AND(AD6&lt;&gt;"Undetermined", AF6&lt;&gt;"Undetermined", AD6=AF6&gt;0), -100)</f>
        <v>93.11367775647588</v>
      </c>
      <c r="AI6" s="124" cm="1">
        <f t="array" ref="AI6">_xlfn.IFS(AH6="Undetermined", 0, AH6="Undiluted", AE6*$G6/$F6*1000, AH6="Ten-Fold", AG6*$G6/$F6*1000*10, AH6&lt;0, AG6*$G6/$F6*1000*10, AH6&lt;120, AE6*$G6/$F6*1000, AH6&gt;120, AG6*$G6/$F6*1000*10)</f>
        <v>1329.8800973331226</v>
      </c>
      <c r="AJ6" s="121">
        <f t="shared" si="8"/>
        <v>1622.2520365434534</v>
      </c>
      <c r="AK6" s="121">
        <f t="shared" si="9"/>
        <v>413.47636168857167</v>
      </c>
      <c r="AL6" s="121">
        <f t="shared" si="10"/>
        <v>292.37193921033059</v>
      </c>
      <c r="AM6" s="125" cm="1">
        <f t="array" ref="AM6">_xlfn.IFS(AJ6="DELETE", "DELETE", AJ6=0, 0, AJ6&gt;0,LOG10(AJ6))</f>
        <v>3.2101183280359256</v>
      </c>
      <c r="AN6" s="126" cm="1">
        <f t="array" ref="AN6">_xlfn.IFS(AJ6="DELETE", "DELETE", AJ6=0, 0, AJ6&gt;0, AL6/AJ6/LN(10))</f>
        <v>7.8271142215945305E-2</v>
      </c>
      <c r="AO6" s="155">
        <f>qPCR_Raw!AA6</f>
        <v>28.467479705810547</v>
      </c>
      <c r="AP6" s="156" cm="1">
        <f t="array" ref="AP6">_xlfn.IFS(AO6="Undetermined", 0, qPCR_Raw!AB6&lt;=6, 0, qPCR_Raw!AB6&gt;6, qPCR_Raw!AB6)</f>
        <v>7.638059139251709</v>
      </c>
      <c r="AQ6" s="157" t="str">
        <f>qPCR_Raw!AD6</f>
        <v>Undetermined</v>
      </c>
      <c r="AR6" s="156" cm="1">
        <f t="array" ref="AR6">_xlfn.IFS(AQ6="Undetermined", 0, qPCR_Raw!AE6&lt;=6, 0, qPCR_Raw!AE6&gt;6, qPCR_Raw!AE6)</f>
        <v>0</v>
      </c>
      <c r="AS6" s="158" t="str" cm="1">
        <f t="array" ref="AS6">_xlfn.IFS(AND(AO6="Undetermined", AQ6="Undetermined"), "Undetermined", AND(AP6=0, AR6=0), "Undetermined", AND(AP6=0, AR6&gt;0), "Ten-Fold", AND(AP6&gt;0, AR6=0), "Undiluted", AND(AO6&lt;&gt;"Undetermined", AQ6&lt;&gt;"Undetermined", AP6&gt;0, AR6&gt;0, AO6&lt;&gt;AQ6), 100*(-1+10^(-1/(AO6-AQ6))), AND(AO6&lt;&gt;"Undetermined", AQ6&lt;&gt;"Undetermined", AO6=AQ6&gt;0), -100)</f>
        <v>Undiluted</v>
      </c>
      <c r="AT6" s="159" cm="1">
        <f t="array" ref="AT6">_xlfn.IFS(AS6="Undetermined", 0, AS6="Undiluted", AP6*$G6/$F6*1000, AS6="Ten-Fold", AR6*$G6/$F6*1000*10, AS6&lt;0, AR6*$G6/$F6*1000*10, AS6&lt;120, AP6*$G6/$F6*1000, AS6&gt;120, AR6*$G6/$F6*1000*10)</f>
        <v>898.59519285314229</v>
      </c>
      <c r="AU6" s="156">
        <f t="shared" si="11"/>
        <v>772.48905540681358</v>
      </c>
      <c r="AV6" s="156">
        <f t="shared" si="12"/>
        <v>178.34100987508432</v>
      </c>
      <c r="AW6" s="156">
        <f t="shared" si="13"/>
        <v>126.10613744632916</v>
      </c>
      <c r="AX6" s="160" cm="1">
        <f t="array" ref="AX6">_xlfn.IFS(AU6="DELETE", "DELETE", AU6=0, 0, AU6&gt;0,LOG10(AU6))</f>
        <v>2.8878923350740906</v>
      </c>
      <c r="AY6" s="161" cm="1">
        <f t="array" ref="AY6">_xlfn.IFS(AU6="DELETE", "DELETE", AU6=0, 0, AU6&gt;0, AW6/AU6/LN(10))</f>
        <v>7.0897055749523721E-2</v>
      </c>
      <c r="AZ6" s="120">
        <f>qPCR_Raw!AG6</f>
        <v>37.339405059814453</v>
      </c>
      <c r="BA6" s="121" cm="1">
        <f t="array" ref="BA6">_xlfn.IFS(AZ6="Undetermined", 0, qPCR_Raw!AH6&lt;=1, 0, qPCR_Raw!AH6&gt;1, qPCR_Raw!AH6)</f>
        <v>0</v>
      </c>
      <c r="BB6" s="122" t="str">
        <f>qPCR_Raw!AJ6</f>
        <v>Undetermined</v>
      </c>
      <c r="BC6" s="121" cm="1">
        <f t="array" ref="BC6">_xlfn.IFS(BB6="Undetermined", 0, qPCR_Raw!AK6&lt;=1, 0, qPCR_Raw!AK6&gt;1, qPCR_Raw!AK6)</f>
        <v>0</v>
      </c>
      <c r="BD6" s="123" t="str" cm="1">
        <f t="array" ref="BD6">_xlfn.IFS(AND(AZ6="Undetermined", BB6="Undetermined"), "Undetermined", AND(BA6=0, BC6=0), "Undetermined", AND(BA6=0, BC6&gt;0), "Ten-Fold", AND(BA6&gt;0, BC6=0), "Undiluted", AND(AZ6&lt;&gt;"Undetermined", BB6&lt;&gt;"Undetermined", BA6&gt;0, BC6&gt;0, AZ6&lt;&gt;BB6), 100*(-1+10^(-1/(AZ6-BB6))), AND(AZ6&lt;&gt;"Undetermined", BB6&lt;&gt;"Undetermined", AZ6=BB6&gt;0), -100)</f>
        <v>Undetermined</v>
      </c>
      <c r="BE6" s="124" cm="1">
        <f t="array" ref="BE6">_xlfn.IFS(BD6="Undetermined", 0, BD6="Undiluted", BA6*$G6/$F6*1000, BD6="Ten-Fold", BC6*$G6/$F6*1000*10, BD6&lt;0, BC6*$G6/$F6*1000*10, BD6&lt;120, BA6*$G6/$F6*1000, BD6&gt;120, BC6*$G6/$F6*1000*10)</f>
        <v>0</v>
      </c>
      <c r="BF6" s="121">
        <f t="shared" si="14"/>
        <v>83.405853559573487</v>
      </c>
      <c r="BG6" s="121">
        <f t="shared" si="15"/>
        <v>117.95368928525312</v>
      </c>
      <c r="BH6" s="121">
        <f t="shared" si="16"/>
        <v>83.405853559573487</v>
      </c>
      <c r="BI6" s="125" cm="1">
        <f t="array" ref="BI6">_xlfn.IFS(BF6="DELETE", "DELETE", BF6=0, 0, BF6&gt;0,LOG10(BF6))</f>
        <v>1.9211965312062447</v>
      </c>
      <c r="BJ6" s="126" cm="1">
        <f t="array" ref="BJ6">_xlfn.IFS(BF6="DELETE", "DELETE", BF6=0, 0, BF6&gt;0, BH6/BF6/LN(10))</f>
        <v>0.43429448190325176</v>
      </c>
    </row>
    <row r="7" spans="1:62" s="114" customFormat="1" x14ac:dyDescent="0.3">
      <c r="A7" s="115" t="str">
        <f>UPPER(LEFT(SUBSTITUTE(SUBSTITUTE(qPCR_Raw!A7,"-","")," ",""),2))&amp;RIGHT(SUBSTITUTE(SUBSTITUTE(qPCR_Raw!A7,"-","")," ",""),LEN(SUBSTITUTE(SUBSTITUTE(qPCR_Raw!A7,"-","")," ",""))-2)</f>
        <v>RW7</v>
      </c>
      <c r="B7" s="116" t="str" cm="1">
        <f t="array" ref="B7">_xlfn.IFS(LEFT(A7, LEN(A7)-1)="EP", "EP", LEFT(A7, LEN(A7)-1)="STa", "SPI", LEFT(A7, LEN(A7)-1)="STb", "SPO", LEFT(A7, LEN(A7)-1)="MRT", "MRT", LEFT(A7, LEN(A7)-1)="RG", "RN", LEFT(A7, LEN(A7)-1)="RT", "RU", LEFT(A7, LEN(A7)-1)="RW", "RL", LEFT(A7, LEN(A7)-1)="RC", "RS")</f>
        <v>RL</v>
      </c>
      <c r="C7" s="117">
        <f>qPCR_Raw!B7</f>
        <v>44335</v>
      </c>
      <c r="D7" s="117" t="str">
        <f t="shared" si="0"/>
        <v>RL44335</v>
      </c>
      <c r="E7" s="117" t="str">
        <f t="shared" si="1"/>
        <v>RL443357</v>
      </c>
      <c r="F7" s="118">
        <f>qPCR_Raw!C7</f>
        <v>960</v>
      </c>
      <c r="G7" s="119">
        <f>qPCR_Raw!F7</f>
        <v>100</v>
      </c>
      <c r="H7" s="120">
        <f>qPCR_Raw!G7</f>
        <v>15.104617118835449</v>
      </c>
      <c r="I7" s="121" cm="1">
        <f t="array" ref="I7">_xlfn.IFS(H7="Undetermined", 0, qPCR_Raw!H7-qPCR_Raw!$H$242&lt;0, 0, qPCR_Raw!H7-qPCR_Raw!$H$242&gt;0, qPCR_Raw!H7-qPCR_Raw!$H$242)</f>
        <v>1688923.9864461264</v>
      </c>
      <c r="J7" s="122">
        <f>qPCR_Raw!K7</f>
        <v>18.629159927368164</v>
      </c>
      <c r="K7" s="121" cm="1">
        <f t="array" ref="K7">_xlfn.IFS(J7="Undetermined", 0, qPCR_Raw!L7-qPCR_Raw!$H$242&lt;0, 0, qPCR_Raw!L7-qPCR_Raw!$H$242&gt;0, qPCR_Raw!L7-qPCR_Raw!$H$242)</f>
        <v>154582.00207112631</v>
      </c>
      <c r="L7" s="123" cm="1">
        <f t="array" ref="L7">_xlfn.IFS(AND(H7="Undetermined", J7="Undetermined"), "Undetermined", AND(I7=0, K7=0), "Undetermined", AND(I7=0, K7&gt;0), "Ten-Fold", AND(I7&gt;0, K7=0), "Undiluted", AND(H7&lt;&gt;"Undetermined", J7&lt;&gt;"Undetermined", I7&gt;0, K7&gt;0), 100*(-1+10^(-1/(H7-J7))))</f>
        <v>92.187325123097779</v>
      </c>
      <c r="M7" s="124" cm="1">
        <f t="array" ref="M7">_xlfn.IFS(L7="Undetermined", 0, L7="Undiluted", I7*$G7/$F7*1000, L7="Ten-Fold", K7*$G7/$F7*1000*10, L7&lt;0, K7*$G7/$F7*1000*10, L7&lt;120, I7*$G7/$F7*1000, L7&gt;120, K7*$G7/$F7*1000*10)</f>
        <v>175929581.92147148</v>
      </c>
      <c r="N7" s="121" t="str">
        <f t="shared" si="2"/>
        <v>DELETE</v>
      </c>
      <c r="O7" s="121" t="str">
        <f t="shared" si="3"/>
        <v>DELETE</v>
      </c>
      <c r="P7" s="121" t="str">
        <f t="shared" si="4"/>
        <v>DELETE</v>
      </c>
      <c r="Q7" s="125" t="str" cm="1">
        <f t="array" ref="Q7">_xlfn.IFS(N7="DELETE", "DELETE", N7=0, 0, N7&gt;0,LOG10(N7))</f>
        <v>DELETE</v>
      </c>
      <c r="R7" s="126" t="str" cm="1">
        <f t="array" ref="R7">_xlfn.IFS(N7="DELETE", "DELETE", N7=0, 0, N7&gt;0, P7/N7/LN(10))</f>
        <v>DELETE</v>
      </c>
      <c r="S7" s="155">
        <f>qPCR_Raw!O7</f>
        <v>26.403478622436523</v>
      </c>
      <c r="T7" s="156" cm="1">
        <f t="array" ref="T7">_xlfn.IFS(S7="Undetermined", 0, qPCR_Raw!P7&lt;=1, 0, qPCR_Raw!P7&gt;1, qPCR_Raw!P7)</f>
        <v>2469.190185546875</v>
      </c>
      <c r="U7" s="157">
        <f>qPCR_Raw!R7</f>
        <v>29.76582145690918</v>
      </c>
      <c r="V7" s="156" cm="1">
        <f t="array" ref="V7">_xlfn.IFS(U7="Undetermined", 0, qPCR_Raw!S7&lt;=1, 0, qPCR_Raw!S7&gt;1, qPCR_Raw!S7)</f>
        <v>225.35597229003906</v>
      </c>
      <c r="W7" s="158" cm="1">
        <f t="array" ref="W7">_xlfn.IFS(AND(S7="Undetermined", U7="Undetermined"), "Undetermined", AND(T7=0, V7=0), "Undetermined", AND(T7=0, V7&gt;0), "Ten-Fold", AND(T7&gt;0, V7=0), "Undiluted", AND(S7&lt;&gt;"Undetermined", U7&lt;&gt;"Undetermined", T7&gt;0, V7&gt;0, S7&lt;&gt;U7), 100*(-1+10^(-1/(S7-U7))), AND(S7&lt;&gt;"Undetermined", U7&lt;&gt;"Undetermined", S7=U7&gt;0), -100)</f>
        <v>98.340621947153736</v>
      </c>
      <c r="X7" s="159" cm="1">
        <f t="array" ref="X7">_xlfn.IFS(W7="Undetermined", 0, W7="Undiluted", T7*$G7/$F7*1000, W7="Ten-Fold", V7*$G7/$F7*1000*10, W7&lt;0, V7*$G7/$F7*1000*10, W7&lt;120, T7*$G7/$F7*1000, W7&gt;120, V7*$G7/$F7*1000*10)</f>
        <v>257207.31099446613</v>
      </c>
      <c r="Y7" s="156" t="str">
        <f t="shared" si="5"/>
        <v>DELETE</v>
      </c>
      <c r="Z7" s="156" t="str">
        <f t="shared" si="6"/>
        <v>DELETE</v>
      </c>
      <c r="AA7" s="156" t="str">
        <f t="shared" si="7"/>
        <v>DELETE</v>
      </c>
      <c r="AB7" s="160" t="str" cm="1">
        <f t="array" ref="AB7">_xlfn.IFS(Y7="DELETE", "DELETE", Y7=0, 0, Y7&gt;0,LOG10(Y7))</f>
        <v>DELETE</v>
      </c>
      <c r="AC7" s="161" t="str" cm="1">
        <f t="array" ref="AC7">_xlfn.IFS(Y7="DELETE", "DELETE", Y7=0, 0, Y7&gt;0, AA7/Y7/LN(10))</f>
        <v>DELETE</v>
      </c>
      <c r="AD7" s="120">
        <f>qPCR_Raw!U7</f>
        <v>30.746095657348633</v>
      </c>
      <c r="AE7" s="121" cm="1">
        <f t="array" ref="AE7">_xlfn.IFS(AD7="Undetermined", 0, qPCR_Raw!V7&lt;=1, 0, qPCR_Raw!V7&gt;1, qPCR_Raw!V7)</f>
        <v>18.380390167236328</v>
      </c>
      <c r="AF7" s="122">
        <f>qPCR_Raw!X7</f>
        <v>33.676994323730469</v>
      </c>
      <c r="AG7" s="121" cm="1">
        <f t="array" ref="AG7">_xlfn.IFS(AF7="Undetermined", 0, qPCR_Raw!Y7&lt;=1, 0, qPCR_Raw!Y7&gt;1, qPCR_Raw!Y7)</f>
        <v>2.7176241874694824</v>
      </c>
      <c r="AH7" s="123" cm="1">
        <f t="array" ref="AH7">_xlfn.IFS(AND(AD7="Undetermined", AF7="Undetermined"), "Undetermined", AND(AE7=0, AG7=0), "Undetermined", AND(AE7=0, AG7&gt;0), "Ten-Fold", AND(AE7&gt;0, AG7=0), "Undiluted", AND(AD7&lt;&gt;"Undetermined", AF7&lt;&gt;"Undetermined", AE7&gt;0, AG7&gt;0, AD7&lt;&gt;AF7), 100*(-1+10^(-1/(AD7-AF7))), AND(AD7&lt;&gt;"Undetermined", AF7&lt;&gt;"Undetermined", AD7=AF7&gt;0), -100)</f>
        <v>119.37759977865366</v>
      </c>
      <c r="AI7" s="124" cm="1">
        <f t="array" ref="AI7">_xlfn.IFS(AH7="Undetermined", 0, AH7="Undiluted", AE7*$G7/$F7*1000, AH7="Ten-Fold", AG7*$G7/$F7*1000*10, AH7&lt;0, AG7*$G7/$F7*1000*10, AH7&lt;120, AE7*$G7/$F7*1000, AH7&gt;120, AG7*$G7/$F7*1000*10)</f>
        <v>1914.6239757537842</v>
      </c>
      <c r="AJ7" s="121" t="str">
        <f t="shared" si="8"/>
        <v>DELETE</v>
      </c>
      <c r="AK7" s="121" t="str">
        <f t="shared" si="9"/>
        <v>DELETE</v>
      </c>
      <c r="AL7" s="121" t="str">
        <f t="shared" si="10"/>
        <v>DELETE</v>
      </c>
      <c r="AM7" s="125" t="str" cm="1">
        <f t="array" ref="AM7">_xlfn.IFS(AJ7="DELETE", "DELETE", AJ7=0, 0, AJ7&gt;0,LOG10(AJ7))</f>
        <v>DELETE</v>
      </c>
      <c r="AN7" s="126" t="str" cm="1">
        <f t="array" ref="AN7">_xlfn.IFS(AJ7="DELETE", "DELETE", AJ7=0, 0, AJ7&gt;0, AL7/AJ7/LN(10))</f>
        <v>DELETE</v>
      </c>
      <c r="AO7" s="155">
        <f>qPCR_Raw!AA7</f>
        <v>28.782886505126953</v>
      </c>
      <c r="AP7" s="156" cm="1">
        <f t="array" ref="AP7">_xlfn.IFS(AO7="Undetermined", 0, qPCR_Raw!AB7&lt;=6, 0, qPCR_Raw!AB7&gt;6, qPCR_Raw!AB7)</f>
        <v>6.2052760124206543</v>
      </c>
      <c r="AQ7" s="157">
        <f>qPCR_Raw!AD7</f>
        <v>32.11614990234375</v>
      </c>
      <c r="AR7" s="156" cm="1">
        <f t="array" ref="AR7">_xlfn.IFS(AQ7="Undetermined", 0, qPCR_Raw!AE7&lt;=6, 0, qPCR_Raw!AE7&gt;6, qPCR_Raw!AE7)</f>
        <v>0</v>
      </c>
      <c r="AS7" s="158" t="str" cm="1">
        <f t="array" ref="AS7">_xlfn.IFS(AND(AO7="Undetermined", AQ7="Undetermined"), "Undetermined", AND(AP7=0, AR7=0), "Undetermined", AND(AP7=0, AR7&gt;0), "Ten-Fold", AND(AP7&gt;0, AR7=0), "Undiluted", AND(AO7&lt;&gt;"Undetermined", AQ7&lt;&gt;"Undetermined", AP7&gt;0, AR7&gt;0, AO7&lt;&gt;AQ7), 100*(-1+10^(-1/(AO7-AQ7))), AND(AO7&lt;&gt;"Undetermined", AQ7&lt;&gt;"Undetermined", AO7=AQ7&gt;0), -100)</f>
        <v>Undiluted</v>
      </c>
      <c r="AT7" s="159" cm="1">
        <f t="array" ref="AT7">_xlfn.IFS(AS7="Undetermined", 0, AS7="Undiluted", AP7*$G7/$F7*1000, AS7="Ten-Fold", AR7*$G7/$F7*1000*10, AS7&lt;0, AR7*$G7/$F7*1000*10, AS7&lt;120, AP7*$G7/$F7*1000, AS7&gt;120, AR7*$G7/$F7*1000*10)</f>
        <v>646.38291796048486</v>
      </c>
      <c r="AU7" s="156" t="str">
        <f t="shared" si="11"/>
        <v>DELETE</v>
      </c>
      <c r="AV7" s="156" t="str">
        <f t="shared" si="12"/>
        <v>DELETE</v>
      </c>
      <c r="AW7" s="156" t="str">
        <f t="shared" si="13"/>
        <v>DELETE</v>
      </c>
      <c r="AX7" s="160" t="str" cm="1">
        <f t="array" ref="AX7">_xlfn.IFS(AU7="DELETE", "DELETE", AU7=0, 0, AU7&gt;0,LOG10(AU7))</f>
        <v>DELETE</v>
      </c>
      <c r="AY7" s="161" t="str" cm="1">
        <f t="array" ref="AY7">_xlfn.IFS(AU7="DELETE", "DELETE", AU7=0, 0, AU7&gt;0, AW7/AU7/LN(10))</f>
        <v>DELETE</v>
      </c>
      <c r="AZ7" s="120">
        <f>qPCR_Raw!AG7</f>
        <v>36.029151916503906</v>
      </c>
      <c r="BA7" s="121" cm="1">
        <f t="array" ref="BA7">_xlfn.IFS(AZ7="Undetermined", 0, qPCR_Raw!AH7&lt;=1, 0, qPCR_Raw!AH7&gt;1, qPCR_Raw!AH7)</f>
        <v>1.601392388343811</v>
      </c>
      <c r="BB7" s="122" t="str">
        <f>qPCR_Raw!AJ7</f>
        <v>Undetermined</v>
      </c>
      <c r="BC7" s="121" cm="1">
        <f t="array" ref="BC7">_xlfn.IFS(BB7="Undetermined", 0, qPCR_Raw!AK7&lt;=1, 0, qPCR_Raw!AK7&gt;1, qPCR_Raw!AK7)</f>
        <v>0</v>
      </c>
      <c r="BD7" s="123" t="str" cm="1">
        <f t="array" ref="BD7">_xlfn.IFS(AND(AZ7="Undetermined", BB7="Undetermined"), "Undetermined", AND(BA7=0, BC7=0), "Undetermined", AND(BA7=0, BC7&gt;0), "Ten-Fold", AND(BA7&gt;0, BC7=0), "Undiluted", AND(AZ7&lt;&gt;"Undetermined", BB7&lt;&gt;"Undetermined", BA7&gt;0, BC7&gt;0, AZ7&lt;&gt;BB7), 100*(-1+10^(-1/(AZ7-BB7))), AND(AZ7&lt;&gt;"Undetermined", BB7&lt;&gt;"Undetermined", AZ7=BB7&gt;0), -100)</f>
        <v>Undiluted</v>
      </c>
      <c r="BE7" s="124" cm="1">
        <f t="array" ref="BE7">_xlfn.IFS(BD7="Undetermined", 0, BD7="Undiluted", BA7*$G7/$F7*1000, BD7="Ten-Fold", BC7*$G7/$F7*1000*10, BD7&lt;0, BC7*$G7/$F7*1000*10, BD7&lt;120, BA7*$G7/$F7*1000, BD7&gt;120, BC7*$G7/$F7*1000*10)</f>
        <v>166.81170711914697</v>
      </c>
      <c r="BF7" s="121" t="str">
        <f t="shared" si="14"/>
        <v>DELETE</v>
      </c>
      <c r="BG7" s="121" t="str">
        <f t="shared" si="15"/>
        <v>DELETE</v>
      </c>
      <c r="BH7" s="121" t="str">
        <f t="shared" si="16"/>
        <v>DELETE</v>
      </c>
      <c r="BI7" s="125" t="str" cm="1">
        <f t="array" ref="BI7">_xlfn.IFS(BF7="DELETE", "DELETE", BF7=0, 0, BF7&gt;0,LOG10(BF7))</f>
        <v>DELETE</v>
      </c>
      <c r="BJ7" s="126" t="str" cm="1">
        <f t="array" ref="BJ7">_xlfn.IFS(BF7="DELETE", "DELETE", BF7=0, 0, BF7&gt;0, BH7/BF7/LN(10))</f>
        <v>DELETE</v>
      </c>
    </row>
    <row r="8" spans="1:62" s="114" customFormat="1" x14ac:dyDescent="0.3">
      <c r="A8" s="115" t="str">
        <f>UPPER(LEFT(SUBSTITUTE(SUBSTITUTE(qPCR_Raw!A8,"-","")," ",""),2))&amp;RIGHT(SUBSTITUTE(SUBSTITUTE(qPCR_Raw!A8,"-","")," ",""),LEN(SUBSTITUTE(SUBSTITUTE(qPCR_Raw!A8,"-","")," ",""))-2)</f>
        <v>MRT6</v>
      </c>
      <c r="B8" s="116" t="str" cm="1">
        <f t="array" ref="B8">_xlfn.IFS(LEFT(A8, LEN(A8)-1)="EP", "EP", LEFT(A8, LEN(A8)-1)="STa", "SPI", LEFT(A8, LEN(A8)-1)="STb", "SPO", LEFT(A8, LEN(A8)-1)="MRT", "MRT", LEFT(A8, LEN(A8)-1)="RG", "RN", LEFT(A8, LEN(A8)-1)="RT", "RU", LEFT(A8, LEN(A8)-1)="RW", "RL", LEFT(A8, LEN(A8)-1)="RC", "RS")</f>
        <v>MRT</v>
      </c>
      <c r="C8" s="117">
        <f>qPCR_Raw!B8</f>
        <v>44335</v>
      </c>
      <c r="D8" s="117" t="str">
        <f t="shared" si="0"/>
        <v>MRT44335</v>
      </c>
      <c r="E8" s="117" t="str">
        <f t="shared" si="1"/>
        <v>MRT443356</v>
      </c>
      <c r="F8" s="118">
        <f>qPCR_Raw!C8</f>
        <v>980</v>
      </c>
      <c r="G8" s="119">
        <f>qPCR_Raw!F8</f>
        <v>100</v>
      </c>
      <c r="H8" s="120">
        <f>qPCR_Raw!G8</f>
        <v>15.26304817199707</v>
      </c>
      <c r="I8" s="121" cm="1">
        <f t="array" ref="I8">_xlfn.IFS(H8="Undetermined", 0, qPCR_Raw!H8-qPCR_Raw!$H$242&lt;0, 0, qPCR_Raw!H8-qPCR_Raw!$H$242&gt;0, qPCR_Raw!H8-qPCR_Raw!$H$242)</f>
        <v>1520508.7364461264</v>
      </c>
      <c r="J8" s="122">
        <f>qPCR_Raw!K8</f>
        <v>18.568704605102539</v>
      </c>
      <c r="K8" s="121" cm="1">
        <f t="array" ref="K8">_xlfn.IFS(J8="Undetermined", 0, qPCR_Raw!L8-qPCR_Raw!$H$242&lt;0, 0, qPCR_Raw!L8-qPCR_Raw!$H$242&gt;0, qPCR_Raw!L8-qPCR_Raw!$H$242)</f>
        <v>161378.97082112631</v>
      </c>
      <c r="L8" s="123" cm="1">
        <f t="array" ref="L8">_xlfn.IFS(AND(H8="Undetermined", J8="Undetermined"), "Undetermined", AND(I8=0, K8=0), "Undetermined", AND(I8=0, K8&gt;0), "Ten-Fold", AND(I8&gt;0, K8=0), "Undiluted", AND(H8&lt;&gt;"Undetermined", J8&lt;&gt;"Undetermined", I8&gt;0, K8&gt;0), 100*(-1+10^(-1/(H8-J8))))</f>
        <v>100.68355073132071</v>
      </c>
      <c r="M8" s="124" cm="1">
        <f t="array" ref="M8">_xlfn.IFS(L8="Undetermined", 0, L8="Undiluted", I8*$G8/$F8*1000, L8="Ten-Fold", K8*$G8/$F8*1000*10, L8&lt;0, K8*$G8/$F8*1000*10, L8&lt;120, I8*$G8/$F8*1000, L8&gt;120, K8*$G8/$F8*1000*10)</f>
        <v>155153952.69858432</v>
      </c>
      <c r="N8" s="121">
        <f t="shared" si="2"/>
        <v>158612328.02195847</v>
      </c>
      <c r="O8" s="121">
        <f t="shared" si="3"/>
        <v>4890881.2860921435</v>
      </c>
      <c r="P8" s="121">
        <f t="shared" si="4"/>
        <v>3458375.3233741373</v>
      </c>
      <c r="Q8" s="125" cm="1">
        <f t="array" ref="Q8">_xlfn.IFS(N8="DELETE", "DELETE", N8=0, 0, N8&gt;0,LOG10(N8))</f>
        <v>8.2003369395001009</v>
      </c>
      <c r="R8" s="126" cm="1">
        <f t="array" ref="R8">_xlfn.IFS(N8="DELETE", "DELETE", N8=0, 0, N8&gt;0, P8/N8/LN(10))</f>
        <v>9.4693353160028634E-3</v>
      </c>
      <c r="S8" s="155">
        <f>qPCR_Raw!O8</f>
        <v>25.819942474365234</v>
      </c>
      <c r="T8" s="156" cm="1">
        <f t="array" ref="T8">_xlfn.IFS(S8="Undetermined", 0, qPCR_Raw!P8&lt;=1, 0, qPCR_Raw!P8&gt;1, qPCR_Raw!P8)</f>
        <v>3741.040771484375</v>
      </c>
      <c r="U8" s="157">
        <f>qPCR_Raw!R8</f>
        <v>28.937826156616211</v>
      </c>
      <c r="V8" s="156" cm="1">
        <f t="array" ref="V8">_xlfn.IFS(U8="Undetermined", 0, qPCR_Raw!S8&lt;=1, 0, qPCR_Raw!S8&gt;1, qPCR_Raw!S8)</f>
        <v>406.34722900390625</v>
      </c>
      <c r="W8" s="158" cm="1">
        <f t="array" ref="W8">_xlfn.IFS(AND(S8="Undetermined", U8="Undetermined"), "Undetermined", AND(T8=0, V8=0), "Undetermined", AND(T8=0, V8&gt;0), "Ten-Fold", AND(T8&gt;0, V8=0), "Undiluted", AND(S8&lt;&gt;"Undetermined", U8&lt;&gt;"Undetermined", T8&gt;0, V8&gt;0, S8&lt;&gt;U8), 100*(-1+10^(-1/(S8-U8))), AND(S8&lt;&gt;"Undetermined", U8&lt;&gt;"Undetermined", S8=U8&gt;0), -100)</f>
        <v>109.28127580273718</v>
      </c>
      <c r="X8" s="159" cm="1">
        <f t="array" ref="X8">_xlfn.IFS(W8="Undetermined", 0, W8="Undiluted", T8*$G8/$F8*1000, W8="Ten-Fold", V8*$G8/$F8*1000*10, W8&lt;0, V8*$G8/$F8*1000*10, W8&lt;120, T8*$G8/$F8*1000, W8&gt;120, V8*$G8/$F8*1000*10)</f>
        <v>381738.8542330995</v>
      </c>
      <c r="Y8" s="156">
        <f t="shared" si="5"/>
        <v>434454.3984430125</v>
      </c>
      <c r="Z8" s="156">
        <f t="shared" si="6"/>
        <v>74551.037569537832</v>
      </c>
      <c r="AA8" s="156">
        <f t="shared" si="7"/>
        <v>52715.544209913271</v>
      </c>
      <c r="AB8" s="160" cm="1">
        <f t="array" ref="AB8">_xlfn.IFS(Y8="DELETE", "DELETE", Y8=0, 0, Y8&gt;0,LOG10(Y8))</f>
        <v>5.6379441984051732</v>
      </c>
      <c r="AC8" s="161" cm="1">
        <f t="array" ref="AC8">_xlfn.IFS(Y8="DELETE", "DELETE", Y8=0, 0, Y8&gt;0, AA8/Y8/LN(10))</f>
        <v>5.2696140361196665E-2</v>
      </c>
      <c r="AD8" s="120">
        <f>qPCR_Raw!U8</f>
        <v>28.981958389282227</v>
      </c>
      <c r="AE8" s="121" cm="1">
        <f t="array" ref="AE8">_xlfn.IFS(AD8="Undetermined", 0, qPCR_Raw!V8&lt;=1, 0, qPCR_Raw!V8&gt;1, qPCR_Raw!V8)</f>
        <v>58.081729888916016</v>
      </c>
      <c r="AF8" s="122">
        <f>qPCR_Raw!X8</f>
        <v>32.553752899169922</v>
      </c>
      <c r="AG8" s="121" cm="1">
        <f t="array" ref="AG8">_xlfn.IFS(AF8="Undetermined", 0, qPCR_Raw!Y8&lt;=1, 0, qPCR_Raw!Y8&gt;1, qPCR_Raw!Y8)</f>
        <v>5.6538338661193848</v>
      </c>
      <c r="AH8" s="123" cm="1">
        <f t="array" ref="AH8">_xlfn.IFS(AND(AD8="Undetermined", AF8="Undetermined"), "Undetermined", AND(AE8=0, AG8=0), "Undetermined", AND(AE8=0, AG8&gt;0), "Ten-Fold", AND(AE8&gt;0, AG8=0), "Undiluted", AND(AD8&lt;&gt;"Undetermined", AF8&lt;&gt;"Undetermined", AE8&gt;0, AG8&gt;0, AD8&lt;&gt;AF8), 100*(-1+10^(-1/(AD8-AF8))), AND(AD8&lt;&gt;"Undetermined", AF8&lt;&gt;"Undetermined", AD8=AF8&gt;0), -100)</f>
        <v>90.533485992258193</v>
      </c>
      <c r="AI8" s="124" cm="1">
        <f t="array" ref="AI8">_xlfn.IFS(AH8="Undetermined", 0, AH8="Undiluted", AE8*$G8/$F8*1000, AH8="Ten-Fold", AG8*$G8/$F8*1000*10, AH8&lt;0, AG8*$G8/$F8*1000*10, AH8&lt;120, AE8*$G8/$F8*1000, AH8&gt;120, AG8*$G8/$F8*1000*10)</f>
        <v>5926.7071315220428</v>
      </c>
      <c r="AJ8" s="121">
        <f t="shared" si="8"/>
        <v>5552.844740337152</v>
      </c>
      <c r="AK8" s="121">
        <f t="shared" si="9"/>
        <v>528.72126407490873</v>
      </c>
      <c r="AL8" s="121">
        <f t="shared" si="10"/>
        <v>373.86239118489129</v>
      </c>
      <c r="AM8" s="125" cm="1">
        <f t="array" ref="AM8">_xlfn.IFS(AJ8="DELETE", "DELETE", AJ8=0, 0, AJ8&gt;0,LOG10(AJ8))</f>
        <v>3.7445155306024982</v>
      </c>
      <c r="AN8" s="126" cm="1">
        <f t="array" ref="AN8">_xlfn.IFS(AJ8="DELETE", "DELETE", AJ8=0, 0, AJ8&gt;0, AL8/AJ8/LN(10))</f>
        <v>2.9240214894410105E-2</v>
      </c>
      <c r="AO8" s="155">
        <f>qPCR_Raw!AA8</f>
        <v>26.791070938110352</v>
      </c>
      <c r="AP8" s="156" cm="1">
        <f t="array" ref="AP8">_xlfn.IFS(AO8="Undetermined", 0, qPCR_Raw!AB8&lt;=6, 0, qPCR_Raw!AB8&gt;6, qPCR_Raw!AB8)</f>
        <v>23.041921615600586</v>
      </c>
      <c r="AQ8" s="157">
        <f>qPCR_Raw!AD8</f>
        <v>29.12013053894043</v>
      </c>
      <c r="AR8" s="156" cm="1">
        <f t="array" ref="AR8">_xlfn.IFS(AQ8="Undetermined", 0, qPCR_Raw!AE8&lt;=6, 0, qPCR_Raw!AE8&gt;6, qPCR_Raw!AE8)</f>
        <v>0</v>
      </c>
      <c r="AS8" s="158" t="str" cm="1">
        <f t="array" ref="AS8">_xlfn.IFS(AND(AO8="Undetermined", AQ8="Undetermined"), "Undetermined", AND(AP8=0, AR8=0), "Undetermined", AND(AP8=0, AR8&gt;0), "Ten-Fold", AND(AP8&gt;0, AR8=0), "Undiluted", AND(AO8&lt;&gt;"Undetermined", AQ8&lt;&gt;"Undetermined", AP8&gt;0, AR8&gt;0, AO8&lt;&gt;AQ8), 100*(-1+10^(-1/(AO8-AQ8))), AND(AO8&lt;&gt;"Undetermined", AQ8&lt;&gt;"Undetermined", AO8=AQ8&gt;0), -100)</f>
        <v>Undiluted</v>
      </c>
      <c r="AT8" s="159" cm="1">
        <f t="array" ref="AT8">_xlfn.IFS(AS8="Undetermined", 0, AS8="Undiluted", AP8*$G8/$F8*1000, AS8="Ten-Fold", AR8*$G8/$F8*1000*10, AS8&lt;0, AR8*$G8/$F8*1000*10, AS8&lt;120, AP8*$G8/$F8*1000, AS8&gt;120, AR8*$G8/$F8*1000*10)</f>
        <v>2351.216491387815</v>
      </c>
      <c r="AU8" s="156">
        <f t="shared" si="11"/>
        <v>2518.4778622632643</v>
      </c>
      <c r="AV8" s="156">
        <f t="shared" si="12"/>
        <v>236.5432991531766</v>
      </c>
      <c r="AW8" s="156">
        <f t="shared" si="13"/>
        <v>167.2613708754493</v>
      </c>
      <c r="AX8" s="160" cm="1">
        <f t="array" ref="AX8">_xlfn.IFS(AU8="DELETE", "DELETE", AU8=0, 0, AU8&gt;0,LOG10(AU8))</f>
        <v>3.4011381377074636</v>
      </c>
      <c r="AY8" s="161" cm="1">
        <f t="array" ref="AY8">_xlfn.IFS(AU8="DELETE", "DELETE", AU8=0, 0, AU8&gt;0, AW8/AU8/LN(10))</f>
        <v>2.8843092685159187E-2</v>
      </c>
      <c r="AZ8" s="120">
        <f>qPCR_Raw!AG8</f>
        <v>28.006856918334961</v>
      </c>
      <c r="BA8" s="121" cm="1">
        <f t="array" ref="BA8">_xlfn.IFS(AZ8="Undetermined", 0, qPCR_Raw!AH8&lt;=1, 0, qPCR_Raw!AH8&gt;1, qPCR_Raw!AH8)</f>
        <v>232.63047790527344</v>
      </c>
      <c r="BB8" s="122">
        <f>qPCR_Raw!AJ8</f>
        <v>31.145301818847656</v>
      </c>
      <c r="BC8" s="121" cm="1">
        <f t="array" ref="BC8">_xlfn.IFS(BB8="Undetermined", 0, qPCR_Raw!AK8&lt;=1, 0, qPCR_Raw!AK8&gt;1, qPCR_Raw!AK8)</f>
        <v>33.173629760742188</v>
      </c>
      <c r="BD8" s="123" cm="1">
        <f t="array" ref="BD8">_xlfn.IFS(AND(AZ8="Undetermined", BB8="Undetermined"), "Undetermined", AND(BA8=0, BC8=0), "Undetermined", AND(BA8=0, BC8&gt;0), "Ten-Fold", AND(BA8&gt;0, BC8=0), "Undiluted", AND(AZ8&lt;&gt;"Undetermined", BB8&lt;&gt;"Undetermined", BA8&gt;0, BC8&gt;0, AZ8&lt;&gt;BB8), 100*(-1+10^(-1/(AZ8-BB8))), AND(AZ8&lt;&gt;"Undetermined", BB8&lt;&gt;"Undetermined", AZ8=BB8&gt;0), -100)</f>
        <v>108.27116202428368</v>
      </c>
      <c r="BE8" s="124" cm="1">
        <f t="array" ref="BE8">_xlfn.IFS(BD8="Undetermined", 0, BD8="Undiluted", BA8*$G8/$F8*1000, BD8="Ten-Fold", BC8*$G8/$F8*1000*10, BD8&lt;0, BC8*$G8/$F8*1000*10, BD8&lt;120, BA8*$G8/$F8*1000, BD8&gt;120, BC8*$G8/$F8*1000*10)</f>
        <v>23737.803867885046</v>
      </c>
      <c r="BF8" s="121">
        <f t="shared" si="14"/>
        <v>19036.175922057551</v>
      </c>
      <c r="BG8" s="121">
        <f t="shared" si="15"/>
        <v>6649.1060062215993</v>
      </c>
      <c r="BH8" s="121">
        <f t="shared" si="16"/>
        <v>4701.6279458274948</v>
      </c>
      <c r="BI8" s="125" cm="1">
        <f t="array" ref="BI8">_xlfn.IFS(BF8="DELETE", "DELETE", BF8=0, 0, BF8&gt;0,LOG10(BF8))</f>
        <v>4.2795797096603305</v>
      </c>
      <c r="BJ8" s="126" cm="1">
        <f t="array" ref="BJ8">_xlfn.IFS(BF8="DELETE", "DELETE", BF8=0, 0, BF8&gt;0, BH8/BF8/LN(10))</f>
        <v>0.10726372151609645</v>
      </c>
    </row>
    <row r="9" spans="1:62" s="114" customFormat="1" x14ac:dyDescent="0.3">
      <c r="A9" s="115" t="str">
        <f>UPPER(LEFT(SUBSTITUTE(SUBSTITUTE(qPCR_Raw!A9,"-","")," ",""),2))&amp;RIGHT(SUBSTITUTE(SUBSTITUTE(qPCR_Raw!A9,"-","")," ",""),LEN(SUBSTITUTE(SUBSTITUTE(qPCR_Raw!A9,"-","")," ",""))-2)</f>
        <v>MRT7</v>
      </c>
      <c r="B9" s="116" t="str" cm="1">
        <f t="array" ref="B9">_xlfn.IFS(LEFT(A9, LEN(A9)-1)="EP", "EP", LEFT(A9, LEN(A9)-1)="STa", "SPI", LEFT(A9, LEN(A9)-1)="STb", "SPO", LEFT(A9, LEN(A9)-1)="MRT", "MRT", LEFT(A9, LEN(A9)-1)="RG", "RN", LEFT(A9, LEN(A9)-1)="RT", "RU", LEFT(A9, LEN(A9)-1)="RW", "RL", LEFT(A9, LEN(A9)-1)="RC", "RS")</f>
        <v>MRT</v>
      </c>
      <c r="C9" s="117">
        <f>qPCR_Raw!B9</f>
        <v>44335</v>
      </c>
      <c r="D9" s="117" t="str">
        <f t="shared" si="0"/>
        <v>MRT44335</v>
      </c>
      <c r="E9" s="117" t="str">
        <f t="shared" si="1"/>
        <v>MRT443357</v>
      </c>
      <c r="F9" s="118">
        <f>qPCR_Raw!C9</f>
        <v>940</v>
      </c>
      <c r="G9" s="119">
        <f>qPCR_Raw!F9</f>
        <v>100</v>
      </c>
      <c r="H9" s="120">
        <f>qPCR_Raw!G9</f>
        <v>15.260120391845703</v>
      </c>
      <c r="I9" s="121" cm="1">
        <f t="array" ref="I9">_xlfn.IFS(H9="Undetermined", 0, qPCR_Raw!H9-qPCR_Raw!$H$242&lt;0, 0, qPCR_Raw!H9-qPCR_Raw!$H$242&gt;0, qPCR_Raw!H9-qPCR_Raw!$H$242)</f>
        <v>1523464.6114461264</v>
      </c>
      <c r="J9" s="122">
        <f>qPCR_Raw!K9</f>
        <v>18.457422256469727</v>
      </c>
      <c r="K9" s="121" cm="1">
        <f t="array" ref="K9">_xlfn.IFS(J9="Undetermined", 0, qPCR_Raw!L9-qPCR_Raw!$H$242&lt;0, 0, qPCR_Raw!L9-qPCR_Raw!$H$242&gt;0, qPCR_Raw!L9-qPCR_Raw!$H$242)</f>
        <v>174619.45519612631</v>
      </c>
      <c r="L9" s="123" cm="1">
        <f t="array" ref="L9">_xlfn.IFS(AND(H9="Undetermined", J9="Undetermined"), "Undetermined", AND(I9=0, K9=0), "Undetermined", AND(I9=0, K9&gt;0), "Ten-Fold", AND(I9&gt;0, K9=0), "Undiluted", AND(H9&lt;&gt;"Undetermined", J9&lt;&gt;"Undetermined", I9&gt;0, K9&gt;0), 100*(-1+10^(-1/(H9-J9))))</f>
        <v>105.47723458317861</v>
      </c>
      <c r="M9" s="124" cm="1">
        <f t="array" ref="M9">_xlfn.IFS(L9="Undetermined", 0, L9="Undiluted", I9*$G9/$F9*1000, L9="Ten-Fold", K9*$G9/$F9*1000*10, L9&lt;0, K9*$G9/$F9*1000*10, L9&lt;120, I9*$G9/$F9*1000, L9&gt;120, K9*$G9/$F9*1000*10)</f>
        <v>162070703.34533259</v>
      </c>
      <c r="N9" s="121" t="str">
        <f t="shared" si="2"/>
        <v>DELETE</v>
      </c>
      <c r="O9" s="121" t="str">
        <f t="shared" si="3"/>
        <v>DELETE</v>
      </c>
      <c r="P9" s="121" t="str">
        <f t="shared" si="4"/>
        <v>DELETE</v>
      </c>
      <c r="Q9" s="125" t="str" cm="1">
        <f t="array" ref="Q9">_xlfn.IFS(N9="DELETE", "DELETE", N9=0, 0, N9&gt;0,LOG10(N9))</f>
        <v>DELETE</v>
      </c>
      <c r="R9" s="126" t="str" cm="1">
        <f t="array" ref="R9">_xlfn.IFS(N9="DELETE", "DELETE", N9=0, 0, N9&gt;0, P9/N9/LN(10))</f>
        <v>DELETE</v>
      </c>
      <c r="S9" s="155">
        <f>qPCR_Raw!O9</f>
        <v>25.535945892333984</v>
      </c>
      <c r="T9" s="156" cm="1">
        <f t="array" ref="T9">_xlfn.IFS(S9="Undetermined", 0, qPCR_Raw!P9&lt;=1, 0, qPCR_Raw!P9&gt;1, qPCR_Raw!P9)</f>
        <v>4579.3974609375</v>
      </c>
      <c r="U9" s="157">
        <f>qPCR_Raw!R9</f>
        <v>28.801225662231445</v>
      </c>
      <c r="V9" s="156" cm="1">
        <f t="array" ref="V9">_xlfn.IFS(U9="Undetermined", 0, qPCR_Raw!S9&lt;=1, 0, qPCR_Raw!S9&gt;1, qPCR_Raw!S9)</f>
        <v>447.85369873046875</v>
      </c>
      <c r="W9" s="158" cm="1">
        <f t="array" ref="W9">_xlfn.IFS(AND(S9="Undetermined", U9="Undetermined"), "Undetermined", AND(T9=0, V9=0), "Undetermined", AND(T9=0, V9&gt;0), "Ten-Fold", AND(T9&gt;0, V9=0), "Undiluted", AND(S9&lt;&gt;"Undetermined", U9&lt;&gt;"Undetermined", T9&gt;0, V9&gt;0, S9&lt;&gt;U9), 100*(-1+10^(-1/(S9-U9))), AND(S9&lt;&gt;"Undetermined", U9&lt;&gt;"Undetermined", S9=U9&gt;0), -100)</f>
        <v>102.41955771855066</v>
      </c>
      <c r="X9" s="159" cm="1">
        <f t="array" ref="X9">_xlfn.IFS(W9="Undetermined", 0, W9="Undiluted", T9*$G9/$F9*1000, W9="Ten-Fold", V9*$G9/$F9*1000*10, W9&lt;0, V9*$G9/$F9*1000*10, W9&lt;120, T9*$G9/$F9*1000, W9&gt;120, V9*$G9/$F9*1000*10)</f>
        <v>487169.94265292556</v>
      </c>
      <c r="Y9" s="156" t="str">
        <f t="shared" si="5"/>
        <v>DELETE</v>
      </c>
      <c r="Z9" s="156" t="str">
        <f t="shared" si="6"/>
        <v>DELETE</v>
      </c>
      <c r="AA9" s="156" t="str">
        <f t="shared" si="7"/>
        <v>DELETE</v>
      </c>
      <c r="AB9" s="160" t="str" cm="1">
        <f t="array" ref="AB9">_xlfn.IFS(Y9="DELETE", "DELETE", Y9=0, 0, Y9&gt;0,LOG10(Y9))</f>
        <v>DELETE</v>
      </c>
      <c r="AC9" s="161" t="str" cm="1">
        <f t="array" ref="AC9">_xlfn.IFS(Y9="DELETE", "DELETE", Y9=0, 0, Y9&gt;0, AA9/Y9/LN(10))</f>
        <v>DELETE</v>
      </c>
      <c r="AD9" s="120">
        <f>qPCR_Raw!U9</f>
        <v>29.252632141113281</v>
      </c>
      <c r="AE9" s="121" cm="1">
        <f t="array" ref="AE9">_xlfn.IFS(AD9="Undetermined", 0, qPCR_Raw!V9&lt;=1, 0, qPCR_Raw!V9&gt;1, qPCR_Raw!V9)</f>
        <v>48.68243408203125</v>
      </c>
      <c r="AF9" s="122">
        <f>qPCR_Raw!X9</f>
        <v>32.720916748046875</v>
      </c>
      <c r="AG9" s="121" cm="1">
        <f t="array" ref="AG9">_xlfn.IFS(AF9="Undetermined", 0, qPCR_Raw!Y9&lt;=1, 0, qPCR_Raw!Y9&gt;1, qPCR_Raw!Y9)</f>
        <v>5.0698432922363281</v>
      </c>
      <c r="AH9" s="123" cm="1">
        <f t="array" ref="AH9">_xlfn.IFS(AND(AD9="Undetermined", AF9="Undetermined"), "Undetermined", AND(AE9=0, AG9=0), "Undetermined", AND(AE9=0, AG9&gt;0), "Ten-Fold", AND(AE9&gt;0, AG9=0), "Undiluted", AND(AD9&lt;&gt;"Undetermined", AF9&lt;&gt;"Undetermined", AE9&gt;0, AG9&gt;0, AD9&lt;&gt;AF9), 100*(-1+10^(-1/(AD9-AF9))), AND(AD9&lt;&gt;"Undetermined", AF9&lt;&gt;"Undetermined", AD9=AF9&gt;0), -100)</f>
        <v>94.234768523189146</v>
      </c>
      <c r="AI9" s="124" cm="1">
        <f t="array" ref="AI9">_xlfn.IFS(AH9="Undetermined", 0, AH9="Undiluted", AE9*$G9/$F9*1000, AH9="Ten-Fold", AG9*$G9/$F9*1000*10, AH9&lt;0, AG9*$G9/$F9*1000*10, AH9&lt;120, AE9*$G9/$F9*1000, AH9&gt;120, AG9*$G9/$F9*1000*10)</f>
        <v>5178.9823491522602</v>
      </c>
      <c r="AJ9" s="121" t="str">
        <f t="shared" si="8"/>
        <v>DELETE</v>
      </c>
      <c r="AK9" s="121" t="str">
        <f t="shared" si="9"/>
        <v>DELETE</v>
      </c>
      <c r="AL9" s="121" t="str">
        <f t="shared" si="10"/>
        <v>DELETE</v>
      </c>
      <c r="AM9" s="125" t="str" cm="1">
        <f t="array" ref="AM9">_xlfn.IFS(AJ9="DELETE", "DELETE", AJ9=0, 0, AJ9&gt;0,LOG10(AJ9))</f>
        <v>DELETE</v>
      </c>
      <c r="AN9" s="126" t="str" cm="1">
        <f t="array" ref="AN9">_xlfn.IFS(AJ9="DELETE", "DELETE", AJ9=0, 0, AJ9&gt;0, AL9/AJ9/LN(10))</f>
        <v>DELETE</v>
      </c>
      <c r="AO9" s="155">
        <f>qPCR_Raw!AA9</f>
        <v>26.652378082275391</v>
      </c>
      <c r="AP9" s="156" cm="1">
        <f t="array" ref="AP9">_xlfn.IFS(AO9="Undetermined", 0, qPCR_Raw!AB9&lt;=6, 0, qPCR_Raw!AB9&gt;6, qPCR_Raw!AB9)</f>
        <v>25.245948791503906</v>
      </c>
      <c r="AQ9" s="157">
        <f>qPCR_Raw!AD9</f>
        <v>29.28449821472168</v>
      </c>
      <c r="AR9" s="156" cm="1">
        <f t="array" ref="AR9">_xlfn.IFS(AQ9="Undetermined", 0, qPCR_Raw!AE9&lt;=6, 0, qPCR_Raw!AE9&gt;6, qPCR_Raw!AE9)</f>
        <v>0</v>
      </c>
      <c r="AS9" s="158" t="str" cm="1">
        <f t="array" ref="AS9">_xlfn.IFS(AND(AO9="Undetermined", AQ9="Undetermined"), "Undetermined", AND(AP9=0, AR9=0), "Undetermined", AND(AP9=0, AR9&gt;0), "Ten-Fold", AND(AP9&gt;0, AR9=0), "Undiluted", AND(AO9&lt;&gt;"Undetermined", AQ9&lt;&gt;"Undetermined", AP9&gt;0, AR9&gt;0, AO9&lt;&gt;AQ9), 100*(-1+10^(-1/(AO9-AQ9))), AND(AO9&lt;&gt;"Undetermined", AQ9&lt;&gt;"Undetermined", AO9=AQ9&gt;0), -100)</f>
        <v>Undiluted</v>
      </c>
      <c r="AT9" s="159" cm="1">
        <f t="array" ref="AT9">_xlfn.IFS(AS9="Undetermined", 0, AS9="Undiluted", AP9*$G9/$F9*1000, AS9="Ten-Fold", AR9*$G9/$F9*1000*10, AS9&lt;0, AR9*$G9/$F9*1000*10, AS9&lt;120, AP9*$G9/$F9*1000, AS9&gt;120, AR9*$G9/$F9*1000*10)</f>
        <v>2685.7392331387136</v>
      </c>
      <c r="AU9" s="156" t="str">
        <f t="shared" si="11"/>
        <v>DELETE</v>
      </c>
      <c r="AV9" s="156" t="str">
        <f t="shared" si="12"/>
        <v>DELETE</v>
      </c>
      <c r="AW9" s="156" t="str">
        <f t="shared" si="13"/>
        <v>DELETE</v>
      </c>
      <c r="AX9" s="160" t="str" cm="1">
        <f t="array" ref="AX9">_xlfn.IFS(AU9="DELETE", "DELETE", AU9=0, 0, AU9&gt;0,LOG10(AU9))</f>
        <v>DELETE</v>
      </c>
      <c r="AY9" s="161" t="str" cm="1">
        <f t="array" ref="AY9">_xlfn.IFS(AU9="DELETE", "DELETE", AU9=0, 0, AU9&gt;0, AW9/AU9/LN(10))</f>
        <v>DELETE</v>
      </c>
      <c r="AZ9" s="120">
        <f>qPCR_Raw!AG9</f>
        <v>28.886772155761719</v>
      </c>
      <c r="BA9" s="121" cm="1">
        <f t="array" ref="BA9">_xlfn.IFS(AZ9="Undetermined", 0, qPCR_Raw!AH9&lt;=1, 0, qPCR_Raw!AH9&gt;1, qPCR_Raw!AH9)</f>
        <v>134.7447509765625</v>
      </c>
      <c r="BB9" s="122">
        <f>qPCR_Raw!AJ9</f>
        <v>32.823112487792969</v>
      </c>
      <c r="BC9" s="121" cm="1">
        <f t="array" ref="BC9">_xlfn.IFS(BB9="Undetermined", 0, qPCR_Raw!AK9&lt;=1, 0, qPCR_Raw!AK9&gt;1, qPCR_Raw!AK9)</f>
        <v>11.710878372192383</v>
      </c>
      <c r="BD9" s="123" cm="1">
        <f t="array" ref="BD9">_xlfn.IFS(AND(AZ9="Undetermined", BB9="Undetermined"), "Undetermined", AND(BA9=0, BC9=0), "Undetermined", AND(BA9=0, BC9&gt;0), "Ten-Fold", AND(BA9&gt;0, BC9=0), "Undiluted", AND(AZ9&lt;&gt;"Undetermined", BB9&lt;&gt;"Undetermined", BA9&gt;0, BC9&gt;0, AZ9&lt;&gt;BB9), 100*(-1+10^(-1/(AZ9-BB9))), AND(AZ9&lt;&gt;"Undetermined", BB9&lt;&gt;"Undetermined", AZ9=BB9&gt;0), -100)</f>
        <v>79.491164195120788</v>
      </c>
      <c r="BE9" s="124" cm="1">
        <f t="array" ref="BE9">_xlfn.IFS(BD9="Undetermined", 0, BD9="Undiluted", BA9*$G9/$F9*1000, BD9="Ten-Fold", BC9*$G9/$F9*1000*10, BD9&lt;0, BC9*$G9/$F9*1000*10, BD9&lt;120, BA9*$G9/$F9*1000, BD9&gt;120, BC9*$G9/$F9*1000*10)</f>
        <v>14334.547976230055</v>
      </c>
      <c r="BF9" s="121" t="str">
        <f t="shared" si="14"/>
        <v>DELETE</v>
      </c>
      <c r="BG9" s="121" t="str">
        <f t="shared" si="15"/>
        <v>DELETE</v>
      </c>
      <c r="BH9" s="121" t="str">
        <f t="shared" si="16"/>
        <v>DELETE</v>
      </c>
      <c r="BI9" s="125" t="str" cm="1">
        <f t="array" ref="BI9">_xlfn.IFS(BF9="DELETE", "DELETE", BF9=0, 0, BF9&gt;0,LOG10(BF9))</f>
        <v>DELETE</v>
      </c>
      <c r="BJ9" s="126" t="str" cm="1">
        <f t="array" ref="BJ9">_xlfn.IFS(BF9="DELETE", "DELETE", BF9=0, 0, BF9&gt;0, BH9/BF9/LN(10))</f>
        <v>DELETE</v>
      </c>
    </row>
    <row r="10" spans="1:62" s="114" customFormat="1" x14ac:dyDescent="0.3">
      <c r="A10" s="115" t="str">
        <f>UPPER(LEFT(SUBSTITUTE(SUBSTITUTE(qPCR_Raw!A10,"-","")," ",""),2))&amp;RIGHT(SUBSTITUTE(SUBSTITUTE(qPCR_Raw!A10,"-","")," ",""),LEN(SUBSTITUTE(SUBSTITUTE(qPCR_Raw!A10,"-","")," ",""))-2)</f>
        <v>RT6</v>
      </c>
      <c r="B10" s="116" t="str" cm="1">
        <f t="array" ref="B10">_xlfn.IFS(LEFT(A10, LEN(A10)-1)="EP", "EP", LEFT(A10, LEN(A10)-1)="STa", "SPI", LEFT(A10, LEN(A10)-1)="STb", "SPO", LEFT(A10, LEN(A10)-1)="MRT", "MRT", LEFT(A10, LEN(A10)-1)="RG", "RN", LEFT(A10, LEN(A10)-1)="RT", "RU", LEFT(A10, LEN(A10)-1)="RW", "RL", LEFT(A10, LEN(A10)-1)="RC", "RS")</f>
        <v>RU</v>
      </c>
      <c r="C10" s="117">
        <f>qPCR_Raw!B10</f>
        <v>44335</v>
      </c>
      <c r="D10" s="117" t="str">
        <f t="shared" si="0"/>
        <v>RU44335</v>
      </c>
      <c r="E10" s="117" t="str">
        <f t="shared" si="1"/>
        <v>RU443356</v>
      </c>
      <c r="F10" s="118">
        <f>qPCR_Raw!C10</f>
        <v>900</v>
      </c>
      <c r="G10" s="119">
        <f>qPCR_Raw!F10</f>
        <v>100</v>
      </c>
      <c r="H10" s="120">
        <f>qPCR_Raw!G10</f>
        <v>18.155811309814453</v>
      </c>
      <c r="I10" s="121" cm="1">
        <f t="array" ref="I10">_xlfn.IFS(H10="Undetermined", 0, qPCR_Raw!H10-qPCR_Raw!$H$242&lt;0, 0, qPCR_Raw!H10-qPCR_Raw!$H$242&gt;0, qPCR_Raw!H10-qPCR_Raw!$H$242)</f>
        <v>215782.61144612631</v>
      </c>
      <c r="J10" s="122">
        <f>qPCR_Raw!K10</f>
        <v>20.973480224609375</v>
      </c>
      <c r="K10" s="121" cm="1">
        <f t="array" ref="K10">_xlfn.IFS(J10="Undetermined", 0, qPCR_Raw!L10-qPCR_Raw!$H$242&lt;0, 0, qPCR_Raw!L10-qPCR_Raw!$H$242&gt;0, qPCR_Raw!L10-qPCR_Raw!$H$242)</f>
        <v>22872.283321126302</v>
      </c>
      <c r="L10" s="123" cm="1">
        <f t="array" ref="L10">_xlfn.IFS(AND(H10="Undetermined", J10="Undetermined"), "Undetermined", AND(I10=0, K10=0), "Undetermined", AND(I10=0, K10&gt;0), "Ten-Fold", AND(I10&gt;0, K10=0), "Undiluted", AND(H10&lt;&gt;"Undetermined", J10&lt;&gt;"Undetermined", I10&gt;0, K10&gt;0), 100*(-1+10^(-1/(H10-J10))))</f>
        <v>126.41401251636175</v>
      </c>
      <c r="M10" s="124" cm="1">
        <f t="array" ref="M10">_xlfn.IFS(L10="Undetermined", 0, L10="Undiluted", I10*$G10/$F10*1000, L10="Ten-Fold", K10*$G10/$F10*1000*10, L10&lt;0, K10*$G10/$F10*1000*10, L10&lt;120, I10*$G10/$F10*1000, L10&gt;120, K10*$G10/$F10*1000*10)</f>
        <v>25413648.134584781</v>
      </c>
      <c r="N10" s="121">
        <f t="shared" si="2"/>
        <v>29455633.811668113</v>
      </c>
      <c r="O10" s="121">
        <f t="shared" si="3"/>
        <v>5716230.9634490367</v>
      </c>
      <c r="P10" s="121">
        <f t="shared" si="4"/>
        <v>4041985.6770833256</v>
      </c>
      <c r="Q10" s="125" cm="1">
        <f t="array" ref="Q10">_xlfn.IFS(N10="DELETE", "DELETE", N10=0, 0, N10&gt;0,LOG10(N10))</f>
        <v>7.4691683721050639</v>
      </c>
      <c r="R10" s="126" cm="1">
        <f t="array" ref="R10">_xlfn.IFS(N10="DELETE", "DELETE", N10=0, 0, N10&gt;0, P10/N10/LN(10))</f>
        <v>5.9595121487214596E-2</v>
      </c>
      <c r="S10" s="155">
        <f>qPCR_Raw!O10</f>
        <v>28.558364868164063</v>
      </c>
      <c r="T10" s="156" cm="1">
        <f t="array" ref="T10">_xlfn.IFS(S10="Undetermined", 0, qPCR_Raw!P10&lt;=1, 0, qPCR_Raw!P10&gt;1, qPCR_Raw!P10)</f>
        <v>532.39288330078125</v>
      </c>
      <c r="U10" s="157">
        <f>qPCR_Raw!R10</f>
        <v>31.714502334594727</v>
      </c>
      <c r="V10" s="156" cm="1">
        <f t="array" ref="V10">_xlfn.IFS(U10="Undetermined", 0, qPCR_Raw!S10&lt;=1, 0, qPCR_Raw!S10&gt;1, qPCR_Raw!S10)</f>
        <v>56.274089813232422</v>
      </c>
      <c r="W10" s="158" cm="1">
        <f t="array" ref="W10">_xlfn.IFS(AND(S10="Undetermined", U10="Undetermined"), "Undetermined", AND(T10=0, V10=0), "Undetermined", AND(T10=0, V10&gt;0), "Ten-Fold", AND(T10&gt;0, V10=0), "Undiluted", AND(S10&lt;&gt;"Undetermined", U10&lt;&gt;"Undetermined", T10&gt;0, V10&gt;0, S10&lt;&gt;U10), 100*(-1+10^(-1/(S10-U10))), AND(S10&lt;&gt;"Undetermined", U10&lt;&gt;"Undetermined", S10=U10&gt;0), -100)</f>
        <v>107.41634638743265</v>
      </c>
      <c r="X10" s="159" cm="1">
        <f t="array" ref="X10">_xlfn.IFS(W10="Undetermined", 0, W10="Undiluted", T10*$G10/$F10*1000, W10="Ten-Fold", V10*$G10/$F10*1000*10, W10&lt;0, V10*$G10/$F10*1000*10, W10&lt;120, T10*$G10/$F10*1000, W10&gt;120, V10*$G10/$F10*1000*10)</f>
        <v>59154.764811197914</v>
      </c>
      <c r="Y10" s="156">
        <f t="shared" si="5"/>
        <v>54957.756890190969</v>
      </c>
      <c r="Z10" s="156">
        <f t="shared" si="6"/>
        <v>5935.4655232753239</v>
      </c>
      <c r="AA10" s="156">
        <f t="shared" si="7"/>
        <v>4197.0079210069407</v>
      </c>
      <c r="AB10" s="160" cm="1">
        <f t="array" ref="AB10">_xlfn.IFS(Y10="DELETE", "DELETE", Y10=0, 0, Y10&gt;0,LOG10(Y10))</f>
        <v>4.7400289986131288</v>
      </c>
      <c r="AC10" s="161" cm="1">
        <f t="array" ref="AC10">_xlfn.IFS(Y10="DELETE", "DELETE", Y10=0, 0, Y10&gt;0, AA10/Y10/LN(10))</f>
        <v>3.3166153128110672E-2</v>
      </c>
      <c r="AD10" s="120">
        <f>qPCR_Raw!U10</f>
        <v>26.087747573852539</v>
      </c>
      <c r="AE10" s="121" cm="1">
        <f t="array" ref="AE10">_xlfn.IFS(AD10="Undetermined", 0, qPCR_Raw!V10&lt;=1, 0, qPCR_Raw!V10&gt;1, qPCR_Raw!V10)</f>
        <v>383.54220581054688</v>
      </c>
      <c r="AF10" s="122">
        <f>qPCR_Raw!X10</f>
        <v>29.136268615722656</v>
      </c>
      <c r="AG10" s="121" cm="1">
        <f t="array" ref="AG10">_xlfn.IFS(AF10="Undetermined", 0, qPCR_Raw!Y10&lt;=1, 0, qPCR_Raw!Y10&gt;1, qPCR_Raw!Y10)</f>
        <v>52.520854949951172</v>
      </c>
      <c r="AH10" s="123" cm="1">
        <f t="array" ref="AH10">_xlfn.IFS(AND(AD10="Undetermined", AF10="Undetermined"), "Undetermined", AND(AE10=0, AG10=0), "Undetermined", AND(AE10=0, AG10&gt;0), "Ten-Fold", AND(AE10&gt;0, AG10=0), "Undiluted", AND(AD10&lt;&gt;"Undetermined", AF10&lt;&gt;"Undetermined", AE10&gt;0, AG10&gt;0, AD10&lt;&gt;AF10), 100*(-1+10^(-1/(AD10-AF10))), AND(AD10&lt;&gt;"Undetermined", AF10&lt;&gt;"Undetermined", AD10=AF10&gt;0), -100)</f>
        <v>112.82758381287454</v>
      </c>
      <c r="AI10" s="124" cm="1">
        <f t="array" ref="AI10">_xlfn.IFS(AH10="Undetermined", 0, AH10="Undiluted", AE10*$G10/$F10*1000, AH10="Ten-Fold", AG10*$G10/$F10*1000*10, AH10&lt;0, AG10*$G10/$F10*1000*10, AH10&lt;120, AE10*$G10/$F10*1000, AH10&gt;120, AG10*$G10/$F10*1000*10)</f>
        <v>42615.80064561632</v>
      </c>
      <c r="AJ10" s="121">
        <f t="shared" si="8"/>
        <v>25420.947180853949</v>
      </c>
      <c r="AK10" s="121">
        <f t="shared" si="9"/>
        <v>24317.194972884947</v>
      </c>
      <c r="AL10" s="121">
        <f t="shared" si="10"/>
        <v>17194.853464762367</v>
      </c>
      <c r="AM10" s="125" cm="1">
        <f t="array" ref="AM10">_xlfn.IFS(AJ10="DELETE", "DELETE", AJ10=0, 0, AJ10&gt;0,LOG10(AJ10))</f>
        <v>4.4051917282697053</v>
      </c>
      <c r="AN10" s="126" cm="1">
        <f t="array" ref="AN10">_xlfn.IFS(AJ10="DELETE", "DELETE", AJ10=0, 0, AJ10&gt;0, AL10/AJ10/LN(10))</f>
        <v>0.29375891951444005</v>
      </c>
      <c r="AO10" s="155">
        <f>qPCR_Raw!AA10</f>
        <v>28.928619384765625</v>
      </c>
      <c r="AP10" s="156" cm="1">
        <f t="array" ref="AP10">_xlfn.IFS(AO10="Undetermined", 0, qPCR_Raw!AB10&lt;=6, 0, qPCR_Raw!AB10&gt;6, qPCR_Raw!AB10)</f>
        <v>0</v>
      </c>
      <c r="AQ10" s="157">
        <f>qPCR_Raw!AD10</f>
        <v>31.634092330932617</v>
      </c>
      <c r="AR10" s="156" cm="1">
        <f t="array" ref="AR10">_xlfn.IFS(AQ10="Undetermined", 0, qPCR_Raw!AE10&lt;=6, 0, qPCR_Raw!AE10&gt;6, qPCR_Raw!AE10)</f>
        <v>0</v>
      </c>
      <c r="AS10" s="158" t="str" cm="1">
        <f t="array" ref="AS10">_xlfn.IFS(AND(AO10="Undetermined", AQ10="Undetermined"), "Undetermined", AND(AP10=0, AR10=0), "Undetermined", AND(AP10=0, AR10&gt;0), "Ten-Fold", AND(AP10&gt;0, AR10=0), "Undiluted", AND(AO10&lt;&gt;"Undetermined", AQ10&lt;&gt;"Undetermined", AP10&gt;0, AR10&gt;0, AO10&lt;&gt;AQ10), 100*(-1+10^(-1/(AO10-AQ10))), AND(AO10&lt;&gt;"Undetermined", AQ10&lt;&gt;"Undetermined", AO10=AQ10&gt;0), -100)</f>
        <v>Undetermined</v>
      </c>
      <c r="AT10" s="159" cm="1">
        <f t="array" ref="AT10">_xlfn.IFS(AS10="Undetermined", 0, AS10="Undiluted", AP10*$G10/$F10*1000, AS10="Ten-Fold", AR10*$G10/$F10*1000*10, AS10&lt;0, AR10*$G10/$F10*1000*10, AS10&lt;120, AP10*$G10/$F10*1000, AS10&gt;120, AR10*$G10/$F10*1000*10)</f>
        <v>0</v>
      </c>
      <c r="AU10" s="156">
        <f t="shared" si="11"/>
        <v>0</v>
      </c>
      <c r="AV10" s="156">
        <f t="shared" si="12"/>
        <v>0</v>
      </c>
      <c r="AW10" s="156">
        <f t="shared" si="13"/>
        <v>0</v>
      </c>
      <c r="AX10" s="160" cm="1">
        <f t="array" ref="AX10">_xlfn.IFS(AU10="DELETE", "DELETE", AU10=0, 0, AU10&gt;0,LOG10(AU10))</f>
        <v>0</v>
      </c>
      <c r="AY10" s="161" cm="1">
        <f t="array" ref="AY10">_xlfn.IFS(AU10="DELETE", "DELETE", AU10=0, 0, AU10&gt;0, AW10/AU10/LN(10))</f>
        <v>0</v>
      </c>
      <c r="AZ10" s="120">
        <f>qPCR_Raw!AG10</f>
        <v>33.909873962402344</v>
      </c>
      <c r="BA10" s="121" cm="1">
        <f t="array" ref="BA10">_xlfn.IFS(AZ10="Undetermined", 0, qPCR_Raw!AH10&lt;=1, 0, qPCR_Raw!AH10&gt;1, qPCR_Raw!AH10)</f>
        <v>5.966031551361084</v>
      </c>
      <c r="BB10" s="122" t="str">
        <f>qPCR_Raw!AJ10</f>
        <v>Undetermined</v>
      </c>
      <c r="BC10" s="121" cm="1">
        <f t="array" ref="BC10">_xlfn.IFS(BB10="Undetermined", 0, qPCR_Raw!AK10&lt;=1, 0, qPCR_Raw!AK10&gt;1, qPCR_Raw!AK10)</f>
        <v>0</v>
      </c>
      <c r="BD10" s="123" t="str" cm="1">
        <f t="array" ref="BD10">_xlfn.IFS(AND(AZ10="Undetermined", BB10="Undetermined"), "Undetermined", AND(BA10=0, BC10=0), "Undetermined", AND(BA10=0, BC10&gt;0), "Ten-Fold", AND(BA10&gt;0, BC10=0), "Undiluted", AND(AZ10&lt;&gt;"Undetermined", BB10&lt;&gt;"Undetermined", BA10&gt;0, BC10&gt;0, AZ10&lt;&gt;BB10), 100*(-1+10^(-1/(AZ10-BB10))), AND(AZ10&lt;&gt;"Undetermined", BB10&lt;&gt;"Undetermined", AZ10=BB10&gt;0), -100)</f>
        <v>Undiluted</v>
      </c>
      <c r="BE10" s="124" cm="1">
        <f t="array" ref="BE10">_xlfn.IFS(BD10="Undetermined", 0, BD10="Undiluted", BA10*$G10/$F10*1000, BD10="Ten-Fold", BC10*$G10/$F10*1000*10, BD10&lt;0, BC10*$G10/$F10*1000*10, BD10&lt;120, BA10*$G10/$F10*1000, BD10&gt;120, BC10*$G10/$F10*1000*10)</f>
        <v>662.89239459567591</v>
      </c>
      <c r="BF10" s="121">
        <f t="shared" si="14"/>
        <v>331.44619729783795</v>
      </c>
      <c r="BG10" s="121">
        <f t="shared" si="15"/>
        <v>468.73570741559115</v>
      </c>
      <c r="BH10" s="121">
        <f t="shared" si="16"/>
        <v>331.44619729783795</v>
      </c>
      <c r="BI10" s="125" cm="1">
        <f t="array" ref="BI10">_xlfn.IFS(BF10="DELETE", "DELETE", BF10=0, 0, BF10&gt;0,LOG10(BF10))</f>
        <v>2.5204130406954133</v>
      </c>
      <c r="BJ10" s="126" cm="1">
        <f t="array" ref="BJ10">_xlfn.IFS(BF10="DELETE", "DELETE", BF10=0, 0, BF10&gt;0, BH10/BF10/LN(10))</f>
        <v>0.43429448190325176</v>
      </c>
    </row>
    <row r="11" spans="1:62" s="114" customFormat="1" x14ac:dyDescent="0.3">
      <c r="A11" s="115" t="str">
        <f>UPPER(LEFT(SUBSTITUTE(SUBSTITUTE(qPCR_Raw!A11,"-","")," ",""),2))&amp;RIGHT(SUBSTITUTE(SUBSTITUTE(qPCR_Raw!A11,"-","")," ",""),LEN(SUBSTITUTE(SUBSTITUTE(qPCR_Raw!A11,"-","")," ",""))-2)</f>
        <v>RT7</v>
      </c>
      <c r="B11" s="116" t="str" cm="1">
        <f t="array" ref="B11">_xlfn.IFS(LEFT(A11, LEN(A11)-1)="EP", "EP", LEFT(A11, LEN(A11)-1)="STa", "SPI", LEFT(A11, LEN(A11)-1)="STb", "SPO", LEFT(A11, LEN(A11)-1)="MRT", "MRT", LEFT(A11, LEN(A11)-1)="RG", "RN", LEFT(A11, LEN(A11)-1)="RT", "RU", LEFT(A11, LEN(A11)-1)="RW", "RL", LEFT(A11, LEN(A11)-1)="RC", "RS")</f>
        <v>RU</v>
      </c>
      <c r="C11" s="117">
        <f>qPCR_Raw!B11</f>
        <v>44335</v>
      </c>
      <c r="D11" s="117" t="str">
        <f t="shared" si="0"/>
        <v>RU44335</v>
      </c>
      <c r="E11" s="117" t="str">
        <f t="shared" si="1"/>
        <v>RU443357</v>
      </c>
      <c r="F11" s="118">
        <f>qPCR_Raw!C11</f>
        <v>900</v>
      </c>
      <c r="G11" s="119">
        <f>qPCR_Raw!F11</f>
        <v>100</v>
      </c>
      <c r="H11" s="120">
        <f>qPCR_Raw!G11</f>
        <v>18.191873550415039</v>
      </c>
      <c r="I11" s="121" cm="1">
        <f t="array" ref="I11">_xlfn.IFS(H11="Undetermined", 0, qPCR_Raw!H11-qPCR_Raw!$H$242&lt;0, 0, qPCR_Raw!H11-qPCR_Raw!$H$242&gt;0, qPCR_Raw!H11-qPCR_Raw!$H$242)</f>
        <v>210420.47082112631</v>
      </c>
      <c r="J11" s="122">
        <f>qPCR_Raw!K11</f>
        <v>20.692583084106445</v>
      </c>
      <c r="K11" s="121" cm="1">
        <f t="array" ref="K11">_xlfn.IFS(J11="Undetermined", 0, qPCR_Raw!L11-qPCR_Raw!$H$242&lt;0, 0, qPCR_Raw!L11-qPCR_Raw!$H$242&gt;0, qPCR_Raw!L11-qPCR_Raw!$H$242)</f>
        <v>30147.857539876302</v>
      </c>
      <c r="L11" s="123" cm="1">
        <f t="array" ref="L11">_xlfn.IFS(AND(H11="Undetermined", J11="Undetermined"), "Undetermined", AND(I11=0, K11=0), "Undetermined", AND(I11=0, K11&gt;0), "Ten-Fold", AND(I11&gt;0, K11=0), "Undiluted", AND(H11&lt;&gt;"Undetermined", J11&lt;&gt;"Undetermined", I11&gt;0, K11&gt;0), 100*(-1+10^(-1/(H11-J11))))</f>
        <v>151.1230091759829</v>
      </c>
      <c r="M11" s="124" cm="1">
        <f t="array" ref="M11">_xlfn.IFS(L11="Undetermined", 0, L11="Undiluted", I11*$G11/$F11*1000, L11="Ten-Fold", K11*$G11/$F11*1000*10, L11&lt;0, K11*$G11/$F11*1000*10, L11&lt;120, I11*$G11/$F11*1000, L11&gt;120, K11*$G11/$F11*1000*10)</f>
        <v>33497619.488751445</v>
      </c>
      <c r="N11" s="121" t="str">
        <f t="shared" si="2"/>
        <v>DELETE</v>
      </c>
      <c r="O11" s="121" t="str">
        <f t="shared" si="3"/>
        <v>DELETE</v>
      </c>
      <c r="P11" s="121" t="str">
        <f t="shared" si="4"/>
        <v>DELETE</v>
      </c>
      <c r="Q11" s="125" t="str" cm="1">
        <f t="array" ref="Q11">_xlfn.IFS(N11="DELETE", "DELETE", N11=0, 0, N11&gt;0,LOG10(N11))</f>
        <v>DELETE</v>
      </c>
      <c r="R11" s="126" t="str" cm="1">
        <f t="array" ref="R11">_xlfn.IFS(N11="DELETE", "DELETE", N11=0, 0, N11&gt;0, P11/N11/LN(10))</f>
        <v>DELETE</v>
      </c>
      <c r="S11" s="155">
        <f>qPCR_Raw!O11</f>
        <v>28.77330207824707</v>
      </c>
      <c r="T11" s="156" cm="1">
        <f t="array" ref="T11">_xlfn.IFS(S11="Undetermined", 0, qPCR_Raw!P11&lt;=1, 0, qPCR_Raw!P11&gt;1, qPCR_Raw!P11)</f>
        <v>456.84674072265625</v>
      </c>
      <c r="U11" s="157">
        <f>qPCR_Raw!R11</f>
        <v>31.725141525268555</v>
      </c>
      <c r="V11" s="156" cm="1">
        <f t="array" ref="V11">_xlfn.IFS(U11="Undetermined", 0, qPCR_Raw!S11&lt;=1, 0, qPCR_Raw!S11&gt;1, qPCR_Raw!S11)</f>
        <v>55.849422454833984</v>
      </c>
      <c r="W11" s="158" cm="1">
        <f t="array" ref="W11">_xlfn.IFS(AND(S11="Undetermined", U11="Undetermined"), "Undetermined", AND(T11=0, V11=0), "Undetermined", AND(T11=0, V11&gt;0), "Ten-Fold", AND(T11&gt;0, V11=0), "Undiluted", AND(S11&lt;&gt;"Undetermined", U11&lt;&gt;"Undetermined", T11&gt;0, V11&gt;0, S11&lt;&gt;U11), 100*(-1+10^(-1/(S11-U11))), AND(S11&lt;&gt;"Undetermined", U11&lt;&gt;"Undetermined", S11=U11&gt;0), -100)</f>
        <v>118.15833612014063</v>
      </c>
      <c r="X11" s="159" cm="1">
        <f t="array" ref="X11">_xlfn.IFS(W11="Undetermined", 0, W11="Undiluted", T11*$G11/$F11*1000, W11="Ten-Fold", V11*$G11/$F11*1000*10, W11&lt;0, V11*$G11/$F11*1000*10, W11&lt;120, T11*$G11/$F11*1000, W11&gt;120, V11*$G11/$F11*1000*10)</f>
        <v>50760.748969184031</v>
      </c>
      <c r="Y11" s="156" t="str">
        <f t="shared" si="5"/>
        <v>DELETE</v>
      </c>
      <c r="Z11" s="156" t="str">
        <f t="shared" si="6"/>
        <v>DELETE</v>
      </c>
      <c r="AA11" s="156" t="str">
        <f t="shared" si="7"/>
        <v>DELETE</v>
      </c>
      <c r="AB11" s="160" t="str" cm="1">
        <f t="array" ref="AB11">_xlfn.IFS(Y11="DELETE", "DELETE", Y11=0, 0, Y11&gt;0,LOG10(Y11))</f>
        <v>DELETE</v>
      </c>
      <c r="AC11" s="161" t="str" cm="1">
        <f t="array" ref="AC11">_xlfn.IFS(Y11="DELETE", "DELETE", Y11=0, 0, Y11&gt;0, AA11/Y11/LN(10))</f>
        <v>DELETE</v>
      </c>
      <c r="AD11" s="120">
        <f>qPCR_Raw!U11</f>
        <v>28.609855651855469</v>
      </c>
      <c r="AE11" s="121" cm="1">
        <f t="array" ref="AE11">_xlfn.IFS(AD11="Undetermined", 0, qPCR_Raw!V11&lt;=1, 0, qPCR_Raw!V11&gt;1, qPCR_Raw!V11)</f>
        <v>74.034843444824219</v>
      </c>
      <c r="AF11" s="122">
        <f>qPCR_Raw!X11</f>
        <v>32.062442779541016</v>
      </c>
      <c r="AG11" s="121" cm="1">
        <f t="array" ref="AG11">_xlfn.IFS(AF11="Undetermined", 0, qPCR_Raw!Y11&lt;=1, 0, qPCR_Raw!Y11&gt;1, qPCR_Raw!Y11)</f>
        <v>7.7894120216369629</v>
      </c>
      <c r="AH11" s="123" cm="1">
        <f t="array" ref="AH11">_xlfn.IFS(AND(AD11="Undetermined", AF11="Undetermined"), "Undetermined", AND(AE11=0, AG11=0), "Undetermined", AND(AE11=0, AG11&gt;0), "Ten-Fold", AND(AE11&gt;0, AG11=0), "Undiluted", AND(AD11&lt;&gt;"Undetermined", AF11&lt;&gt;"Undetermined", AE11&gt;0, AG11&gt;0, AD11&lt;&gt;AF11), 100*(-1+10^(-1/(AD11-AF11))), AND(AD11&lt;&gt;"Undetermined", AF11&lt;&gt;"Undetermined", AD11=AF11&gt;0), -100)</f>
        <v>94.82194523095788</v>
      </c>
      <c r="AI11" s="124" cm="1">
        <f t="array" ref="AI11">_xlfn.IFS(AH11="Undetermined", 0, AH11="Undiluted", AE11*$G11/$F11*1000, AH11="Ten-Fold", AG11*$G11/$F11*1000*10, AH11&lt;0, AG11*$G11/$F11*1000*10, AH11&lt;120, AE11*$G11/$F11*1000, AH11&gt;120, AG11*$G11/$F11*1000*10)</f>
        <v>8226.0937160915801</v>
      </c>
      <c r="AJ11" s="121" t="str">
        <f t="shared" si="8"/>
        <v>DELETE</v>
      </c>
      <c r="AK11" s="121" t="str">
        <f t="shared" si="9"/>
        <v>DELETE</v>
      </c>
      <c r="AL11" s="121" t="str">
        <f t="shared" si="10"/>
        <v>DELETE</v>
      </c>
      <c r="AM11" s="125" t="str" cm="1">
        <f t="array" ref="AM11">_xlfn.IFS(AJ11="DELETE", "DELETE", AJ11=0, 0, AJ11&gt;0,LOG10(AJ11))</f>
        <v>DELETE</v>
      </c>
      <c r="AN11" s="126" t="str" cm="1">
        <f t="array" ref="AN11">_xlfn.IFS(AJ11="DELETE", "DELETE", AJ11=0, 0, AJ11&gt;0, AL11/AJ11/LN(10))</f>
        <v>DELETE</v>
      </c>
      <c r="AO11" s="155">
        <f>qPCR_Raw!AA11</f>
        <v>29.303291320800781</v>
      </c>
      <c r="AP11" s="156" cm="1">
        <f t="array" ref="AP11">_xlfn.IFS(AO11="Undetermined", 0, qPCR_Raw!AB11&lt;=6, 0, qPCR_Raw!AB11&gt;6, qPCR_Raw!AB11)</f>
        <v>0</v>
      </c>
      <c r="AQ11" s="157">
        <f>qPCR_Raw!AD11</f>
        <v>31.95135498046875</v>
      </c>
      <c r="AR11" s="156" cm="1">
        <f t="array" ref="AR11">_xlfn.IFS(AQ11="Undetermined", 0, qPCR_Raw!AE11&lt;=6, 0, qPCR_Raw!AE11&gt;6, qPCR_Raw!AE11)</f>
        <v>0</v>
      </c>
      <c r="AS11" s="158" t="str" cm="1">
        <f t="array" ref="AS11">_xlfn.IFS(AND(AO11="Undetermined", AQ11="Undetermined"), "Undetermined", AND(AP11=0, AR11=0), "Undetermined", AND(AP11=0, AR11&gt;0), "Ten-Fold", AND(AP11&gt;0, AR11=0), "Undiluted", AND(AO11&lt;&gt;"Undetermined", AQ11&lt;&gt;"Undetermined", AP11&gt;0, AR11&gt;0, AO11&lt;&gt;AQ11), 100*(-1+10^(-1/(AO11-AQ11))), AND(AO11&lt;&gt;"Undetermined", AQ11&lt;&gt;"Undetermined", AO11=AQ11&gt;0), -100)</f>
        <v>Undetermined</v>
      </c>
      <c r="AT11" s="159" cm="1">
        <f t="array" ref="AT11">_xlfn.IFS(AS11="Undetermined", 0, AS11="Undiluted", AP11*$G11/$F11*1000, AS11="Ten-Fold", AR11*$G11/$F11*1000*10, AS11&lt;0, AR11*$G11/$F11*1000*10, AS11&lt;120, AP11*$G11/$F11*1000, AS11&gt;120, AR11*$G11/$F11*1000*10)</f>
        <v>0</v>
      </c>
      <c r="AU11" s="156" t="str">
        <f t="shared" si="11"/>
        <v>DELETE</v>
      </c>
      <c r="AV11" s="156" t="str">
        <f t="shared" si="12"/>
        <v>DELETE</v>
      </c>
      <c r="AW11" s="156" t="str">
        <f t="shared" si="13"/>
        <v>DELETE</v>
      </c>
      <c r="AX11" s="160" t="str" cm="1">
        <f t="array" ref="AX11">_xlfn.IFS(AU11="DELETE", "DELETE", AU11=0, 0, AU11&gt;0,LOG10(AU11))</f>
        <v>DELETE</v>
      </c>
      <c r="AY11" s="161" t="str" cm="1">
        <f t="array" ref="AY11">_xlfn.IFS(AU11="DELETE", "DELETE", AU11=0, 0, AU11&gt;0, AW11/AU11/LN(10))</f>
        <v>DELETE</v>
      </c>
      <c r="AZ11" s="120">
        <f>qPCR_Raw!AG11</f>
        <v>37.901760101318359</v>
      </c>
      <c r="BA11" s="121" cm="1">
        <f t="array" ref="BA11">_xlfn.IFS(AZ11="Undetermined", 0, qPCR_Raw!AH11&lt;=1, 0, qPCR_Raw!AH11&gt;1, qPCR_Raw!AH11)</f>
        <v>0</v>
      </c>
      <c r="BB11" s="122" t="str">
        <f>qPCR_Raw!AJ11</f>
        <v>Undetermined</v>
      </c>
      <c r="BC11" s="121" cm="1">
        <f t="array" ref="BC11">_xlfn.IFS(BB11="Undetermined", 0, qPCR_Raw!AK11&lt;=1, 0, qPCR_Raw!AK11&gt;1, qPCR_Raw!AK11)</f>
        <v>0</v>
      </c>
      <c r="BD11" s="123" t="str" cm="1">
        <f t="array" ref="BD11">_xlfn.IFS(AND(AZ11="Undetermined", BB11="Undetermined"), "Undetermined", AND(BA11=0, BC11=0), "Undetermined", AND(BA11=0, BC11&gt;0), "Ten-Fold", AND(BA11&gt;0, BC11=0), "Undiluted", AND(AZ11&lt;&gt;"Undetermined", BB11&lt;&gt;"Undetermined", BA11&gt;0, BC11&gt;0, AZ11&lt;&gt;BB11), 100*(-1+10^(-1/(AZ11-BB11))), AND(AZ11&lt;&gt;"Undetermined", BB11&lt;&gt;"Undetermined", AZ11=BB11&gt;0), -100)</f>
        <v>Undetermined</v>
      </c>
      <c r="BE11" s="124" cm="1">
        <f t="array" ref="BE11">_xlfn.IFS(BD11="Undetermined", 0, BD11="Undiluted", BA11*$G11/$F11*1000, BD11="Ten-Fold", BC11*$G11/$F11*1000*10, BD11&lt;0, BC11*$G11/$F11*1000*10, BD11&lt;120, BA11*$G11/$F11*1000, BD11&gt;120, BC11*$G11/$F11*1000*10)</f>
        <v>0</v>
      </c>
      <c r="BF11" s="121" t="str">
        <f t="shared" si="14"/>
        <v>DELETE</v>
      </c>
      <c r="BG11" s="121" t="str">
        <f t="shared" si="15"/>
        <v>DELETE</v>
      </c>
      <c r="BH11" s="121" t="str">
        <f t="shared" si="16"/>
        <v>DELETE</v>
      </c>
      <c r="BI11" s="125" t="str" cm="1">
        <f t="array" ref="BI11">_xlfn.IFS(BF11="DELETE", "DELETE", BF11=0, 0, BF11&gt;0,LOG10(BF11))</f>
        <v>DELETE</v>
      </c>
      <c r="BJ11" s="126" t="str" cm="1">
        <f t="array" ref="BJ11">_xlfn.IFS(BF11="DELETE", "DELETE", BF11=0, 0, BF11&gt;0, BH11/BF11/LN(10))</f>
        <v>DELETE</v>
      </c>
    </row>
    <row r="12" spans="1:62" s="114" customFormat="1" x14ac:dyDescent="0.3">
      <c r="A12" s="115" t="str">
        <f>UPPER(LEFT(SUBSTITUTE(SUBSTITUTE(qPCR_Raw!A12,"-","")," ",""),2))&amp;RIGHT(SUBSTITUTE(SUBSTITUTE(qPCR_Raw!A12,"-","")," ",""),LEN(SUBSTITUTE(SUBSTITUTE(qPCR_Raw!A12,"-","")," ",""))-2)</f>
        <v>STb6</v>
      </c>
      <c r="B12" s="116" t="str" cm="1">
        <f t="array" ref="B12">_xlfn.IFS(LEFT(A12, LEN(A12)-1)="EP", "EP", LEFT(A12, LEN(A12)-1)="STa", "SPI", LEFT(A12, LEN(A12)-1)="STb", "SPO", LEFT(A12, LEN(A12)-1)="MRT", "MRT", LEFT(A12, LEN(A12)-1)="RG", "RN", LEFT(A12, LEN(A12)-1)="RT", "RU", LEFT(A12, LEN(A12)-1)="RW", "RL", LEFT(A12, LEN(A12)-1)="RC", "RS")</f>
        <v>SPO</v>
      </c>
      <c r="C12" s="117">
        <f>qPCR_Raw!B12</f>
        <v>44335</v>
      </c>
      <c r="D12" s="117" t="str">
        <f t="shared" si="0"/>
        <v>SPO44335</v>
      </c>
      <c r="E12" s="117" t="str">
        <f t="shared" si="1"/>
        <v>SPO443356</v>
      </c>
      <c r="F12" s="118">
        <f>qPCR_Raw!C12</f>
        <v>820</v>
      </c>
      <c r="G12" s="119">
        <f>qPCR_Raw!F12</f>
        <v>100</v>
      </c>
      <c r="H12" s="120">
        <f>qPCR_Raw!G12</f>
        <v>18.217311859130859</v>
      </c>
      <c r="I12" s="121" cm="1">
        <f t="array" ref="I12">_xlfn.IFS(H12="Undetermined", 0, qPCR_Raw!H12-qPCR_Raw!$H$242&lt;0, 0, qPCR_Raw!H12-qPCR_Raw!$H$242&gt;0, qPCR_Raw!H12-qPCR_Raw!$H$242)</f>
        <v>206713.79894612631</v>
      </c>
      <c r="J12" s="122">
        <f>qPCR_Raw!K12</f>
        <v>21.312290191650391</v>
      </c>
      <c r="K12" s="121" cm="1">
        <f t="array" ref="K12">_xlfn.IFS(J12="Undetermined", 0, qPCR_Raw!L12-qPCR_Raw!$H$242&lt;0, 0, qPCR_Raw!L12-qPCR_Raw!$H$242&gt;0, qPCR_Raw!L12-qPCR_Raw!$H$242)</f>
        <v>15710.021602376302</v>
      </c>
      <c r="L12" s="123" cm="1">
        <f t="array" ref="L12">_xlfn.IFS(AND(H12="Undetermined", J12="Undetermined"), "Undetermined", AND(I12=0, K12=0), "Undetermined", AND(I12=0, K12&gt;0), "Ten-Fold", AND(I12&gt;0, K12=0), "Undiluted", AND(H12&lt;&gt;"Undetermined", J12&lt;&gt;"Undetermined", I12&gt;0, K12&gt;0), 100*(-1+10^(-1/(H12-J12))))</f>
        <v>110.42824786891541</v>
      </c>
      <c r="M12" s="124" cm="1">
        <f t="array" ref="M12">_xlfn.IFS(L12="Undetermined", 0, L12="Undiluted", I12*$G12/$F12*1000, L12="Ten-Fold", K12*$G12/$F12*1000*10, L12&lt;0, K12*$G12/$F12*1000*10, L12&lt;120, I12*$G12/$F12*1000, L12&gt;120, K12*$G12/$F12*1000*10)</f>
        <v>25208999.871478815</v>
      </c>
      <c r="N12" s="121">
        <f t="shared" si="2"/>
        <v>24982327.534028612</v>
      </c>
      <c r="O12" s="121">
        <f t="shared" si="3"/>
        <v>320563.09383688465</v>
      </c>
      <c r="P12" s="121">
        <f t="shared" si="4"/>
        <v>226672.33745020069</v>
      </c>
      <c r="Q12" s="125" cm="1">
        <f t="array" ref="Q12">_xlfn.IFS(N12="DELETE", "DELETE", N12=0, 0, N12&gt;0,LOG10(N12))</f>
        <v>7.3976328979330424</v>
      </c>
      <c r="R12" s="126" cm="1">
        <f t="array" ref="R12">_xlfn.IFS(N12="DELETE", "DELETE", N12=0, 0, N12&gt;0, P12/N12/LN(10))</f>
        <v>3.9404873393259557E-3</v>
      </c>
      <c r="S12" s="155">
        <f>qPCR_Raw!O12</f>
        <v>27.574007034301758</v>
      </c>
      <c r="T12" s="156" cm="1">
        <f t="array" ref="T12">_xlfn.IFS(S12="Undetermined", 0, qPCR_Raw!P12&lt;=1, 0, qPCR_Raw!P12&gt;1, qPCR_Raw!P12)</f>
        <v>1073.0255126953125</v>
      </c>
      <c r="U12" s="157">
        <f>qPCR_Raw!R12</f>
        <v>30.853111267089844</v>
      </c>
      <c r="V12" s="156" cm="1">
        <f t="array" ref="V12">_xlfn.IFS(U12="Undetermined", 0, qPCR_Raw!S12&lt;=1, 0, qPCR_Raw!S12&gt;1, qPCR_Raw!S12)</f>
        <v>103.91139984130859</v>
      </c>
      <c r="W12" s="158" cm="1">
        <f t="array" ref="W12">_xlfn.IFS(AND(S12="Undetermined", U12="Undetermined"), "Undetermined", AND(T12=0, V12=0), "Undetermined", AND(T12=0, V12&gt;0), "Ten-Fold", AND(T12&gt;0, V12=0), "Undiluted", AND(S12&lt;&gt;"Undetermined", U12&lt;&gt;"Undetermined", T12&gt;0, V12&gt;0, S12&lt;&gt;U12), 100*(-1+10^(-1/(S12-U12))), AND(S12&lt;&gt;"Undetermined", U12&lt;&gt;"Undetermined", S12=U12&gt;0), -100)</f>
        <v>101.8186671342371</v>
      </c>
      <c r="X12" s="159" cm="1">
        <f t="array" ref="X12">_xlfn.IFS(W12="Undetermined", 0, W12="Undiluted", T12*$G12/$F12*1000, W12="Ten-Fold", V12*$G12/$F12*1000*10, W12&lt;0, V12*$G12/$F12*1000*10, W12&lt;120, T12*$G12/$F12*1000, W12&gt;120, V12*$G12/$F12*1000*10)</f>
        <v>130856.76984089176</v>
      </c>
      <c r="Y12" s="156">
        <f t="shared" si="5"/>
        <v>127384.67265126975</v>
      </c>
      <c r="Z12" s="156">
        <f t="shared" si="6"/>
        <v>4910.2869354409604</v>
      </c>
      <c r="AA12" s="156">
        <f t="shared" si="7"/>
        <v>3472.097189622014</v>
      </c>
      <c r="AB12" s="160" cm="1">
        <f t="array" ref="AB12">_xlfn.IFS(Y12="DELETE", "DELETE", Y12=0, 0, Y12&gt;0,LOG10(Y12))</f>
        <v>5.1051171753821354</v>
      </c>
      <c r="AC12" s="161" cm="1">
        <f t="array" ref="AC12">_xlfn.IFS(Y12="DELETE", "DELETE", Y12=0, 0, Y12&gt;0, AA12/Y12/LN(10))</f>
        <v>1.183747321165329E-2</v>
      </c>
      <c r="AD12" s="120">
        <f>qPCR_Raw!U12</f>
        <v>31.511152267456055</v>
      </c>
      <c r="AE12" s="121" cm="1">
        <f t="array" ref="AE12">_xlfn.IFS(AD12="Undetermined", 0, qPCR_Raw!V12&lt;=1, 0, qPCR_Raw!V12&gt;1, qPCR_Raw!V12)</f>
        <v>11.15977668762207</v>
      </c>
      <c r="AF12" s="122">
        <f>qPCR_Raw!X12</f>
        <v>36.401603698730469</v>
      </c>
      <c r="AG12" s="121" cm="1">
        <f t="array" ref="AG12">_xlfn.IFS(AF12="Undetermined", 0, qPCR_Raw!Y12&lt;=1, 0, qPCR_Raw!Y12&gt;1, qPCR_Raw!Y12)</f>
        <v>0</v>
      </c>
      <c r="AH12" s="123" t="str" cm="1">
        <f t="array" ref="AH12">_xlfn.IFS(AND(AD12="Undetermined", AF12="Undetermined"), "Undetermined", AND(AE12=0, AG12=0), "Undetermined", AND(AE12=0, AG12&gt;0), "Ten-Fold", AND(AE12&gt;0, AG12=0), "Undiluted", AND(AD12&lt;&gt;"Undetermined", AF12&lt;&gt;"Undetermined", AE12&gt;0, AG12&gt;0, AD12&lt;&gt;AF12), 100*(-1+10^(-1/(AD12-AF12))), AND(AD12&lt;&gt;"Undetermined", AF12&lt;&gt;"Undetermined", AD12=AF12&gt;0), -100)</f>
        <v>Undiluted</v>
      </c>
      <c r="AI12" s="124" cm="1">
        <f t="array" ref="AI12">_xlfn.IFS(AH12="Undetermined", 0, AH12="Undiluted", AE12*$G12/$F12*1000, AH12="Ten-Fold", AG12*$G12/$F12*1000*10, AH12&lt;0, AG12*$G12/$F12*1000*10, AH12&lt;120, AE12*$G12/$F12*1000, AH12&gt;120, AG12*$G12/$F12*1000*10)</f>
        <v>1360.948376539277</v>
      </c>
      <c r="AJ12" s="121">
        <f t="shared" si="8"/>
        <v>2341.3237787638136</v>
      </c>
      <c r="AK12" s="121">
        <f t="shared" si="9"/>
        <v>1386.4601900429182</v>
      </c>
      <c r="AL12" s="121">
        <f t="shared" si="10"/>
        <v>980.37540222453674</v>
      </c>
      <c r="AM12" s="125" cm="1">
        <f t="array" ref="AM12">_xlfn.IFS(AJ12="DELETE", "DELETE", AJ12=0, 0, AJ12&gt;0,LOG10(AJ12))</f>
        <v>3.3694614758953745</v>
      </c>
      <c r="AN12" s="126" cm="1">
        <f t="array" ref="AN12">_xlfn.IFS(AJ12="DELETE", "DELETE", AJ12=0, 0, AJ12&gt;0, AL12/AJ12/LN(10))</f>
        <v>0.18185081074288614</v>
      </c>
      <c r="AO12" s="155">
        <f>qPCR_Raw!AA12</f>
        <v>28.978330612182617</v>
      </c>
      <c r="AP12" s="156" cm="1">
        <f t="array" ref="AP12">_xlfn.IFS(AO12="Undetermined", 0, qPCR_Raw!AB12&lt;=6, 0, qPCR_Raw!AB12&gt;6, qPCR_Raw!AB12)</f>
        <v>0</v>
      </c>
      <c r="AQ12" s="157" t="str">
        <f>qPCR_Raw!AD12</f>
        <v>Undetermined</v>
      </c>
      <c r="AR12" s="156" cm="1">
        <f t="array" ref="AR12">_xlfn.IFS(AQ12="Undetermined", 0, qPCR_Raw!AE12&lt;=6, 0, qPCR_Raw!AE12&gt;6, qPCR_Raw!AE12)</f>
        <v>0</v>
      </c>
      <c r="AS12" s="158" t="str" cm="1">
        <f t="array" ref="AS12">_xlfn.IFS(AND(AO12="Undetermined", AQ12="Undetermined"), "Undetermined", AND(AP12=0, AR12=0), "Undetermined", AND(AP12=0, AR12&gt;0), "Ten-Fold", AND(AP12&gt;0, AR12=0), "Undiluted", AND(AO12&lt;&gt;"Undetermined", AQ12&lt;&gt;"Undetermined", AP12&gt;0, AR12&gt;0, AO12&lt;&gt;AQ12), 100*(-1+10^(-1/(AO12-AQ12))), AND(AO12&lt;&gt;"Undetermined", AQ12&lt;&gt;"Undetermined", AO12=AQ12&gt;0), -100)</f>
        <v>Undetermined</v>
      </c>
      <c r="AT12" s="159" cm="1">
        <f t="array" ref="AT12">_xlfn.IFS(AS12="Undetermined", 0, AS12="Undiluted", AP12*$G12/$F12*1000, AS12="Ten-Fold", AR12*$G12/$F12*1000*10, AS12&lt;0, AR12*$G12/$F12*1000*10, AS12&lt;120, AP12*$G12/$F12*1000, AS12&gt;120, AR12*$G12/$F12*1000*10)</f>
        <v>0</v>
      </c>
      <c r="AU12" s="156">
        <f t="shared" si="11"/>
        <v>409.23349785082269</v>
      </c>
      <c r="AV12" s="156">
        <f t="shared" si="12"/>
        <v>578.74356283801433</v>
      </c>
      <c r="AW12" s="156">
        <f t="shared" si="13"/>
        <v>409.23349785082269</v>
      </c>
      <c r="AX12" s="160" cm="1">
        <f t="array" ref="AX12">_xlfn.IFS(AU12="DELETE", "DELETE", AU12=0, 0, AU12&gt;0,LOG10(AU12))</f>
        <v>2.6119711757154414</v>
      </c>
      <c r="AY12" s="161" cm="1">
        <f t="array" ref="AY12">_xlfn.IFS(AU12="DELETE", "DELETE", AU12=0, 0, AU12&gt;0, AW12/AU12/LN(10))</f>
        <v>0.43429448190325176</v>
      </c>
      <c r="AZ12" s="120" t="str">
        <f>qPCR_Raw!AG12</f>
        <v>Undetermined</v>
      </c>
      <c r="BA12" s="121" cm="1">
        <f t="array" ref="BA12">_xlfn.IFS(AZ12="Undetermined", 0, qPCR_Raw!AH12&lt;=1, 0, qPCR_Raw!AH12&gt;1, qPCR_Raw!AH12)</f>
        <v>0</v>
      </c>
      <c r="BB12" s="122">
        <f>qPCR_Raw!AJ12</f>
        <v>39.055450439453125</v>
      </c>
      <c r="BC12" s="121" cm="1">
        <f t="array" ref="BC12">_xlfn.IFS(BB12="Undetermined", 0, qPCR_Raw!AK12&lt;=1, 0, qPCR_Raw!AK12&gt;1, qPCR_Raw!AK12)</f>
        <v>0</v>
      </c>
      <c r="BD12" s="123" t="str" cm="1">
        <f t="array" ref="BD12">_xlfn.IFS(AND(AZ12="Undetermined", BB12="Undetermined"), "Undetermined", AND(BA12=0, BC12=0), "Undetermined", AND(BA12=0, BC12&gt;0), "Ten-Fold", AND(BA12&gt;0, BC12=0), "Undiluted", AND(AZ12&lt;&gt;"Undetermined", BB12&lt;&gt;"Undetermined", BA12&gt;0, BC12&gt;0, AZ12&lt;&gt;BB12), 100*(-1+10^(-1/(AZ12-BB12))), AND(AZ12&lt;&gt;"Undetermined", BB12&lt;&gt;"Undetermined", AZ12=BB12&gt;0), -100)</f>
        <v>Undetermined</v>
      </c>
      <c r="BE12" s="124" cm="1">
        <f t="array" ref="BE12">_xlfn.IFS(BD12="Undetermined", 0, BD12="Undiluted", BA12*$G12/$F12*1000, BD12="Ten-Fold", BC12*$G12/$F12*1000*10, BD12&lt;0, BC12*$G12/$F12*1000*10, BD12&lt;120, BA12*$G12/$F12*1000, BD12&gt;120, BC12*$G12/$F12*1000*10)</f>
        <v>0</v>
      </c>
      <c r="BF12" s="121">
        <f t="shared" si="14"/>
        <v>94.925520395991782</v>
      </c>
      <c r="BG12" s="121">
        <f t="shared" si="15"/>
        <v>134.24495835933541</v>
      </c>
      <c r="BH12" s="121">
        <f t="shared" si="16"/>
        <v>94.925520395991768</v>
      </c>
      <c r="BI12" s="125" cm="1">
        <f t="array" ref="BI12">_xlfn.IFS(BF12="DELETE", "DELETE", BF12=0, 0, BF12&gt;0,LOG10(BF12))</f>
        <v>1.9773829866860844</v>
      </c>
      <c r="BJ12" s="126" cm="1">
        <f t="array" ref="BJ12">_xlfn.IFS(BF12="DELETE", "DELETE", BF12=0, 0, BF12&gt;0, BH12/BF12/LN(10))</f>
        <v>0.43429448190325176</v>
      </c>
    </row>
    <row r="13" spans="1:62" s="114" customFormat="1" x14ac:dyDescent="0.3">
      <c r="A13" s="115" t="str">
        <f>UPPER(LEFT(SUBSTITUTE(SUBSTITUTE(qPCR_Raw!A13,"-","")," ",""),2))&amp;RIGHT(SUBSTITUTE(SUBSTITUTE(qPCR_Raw!A13,"-","")," ",""),LEN(SUBSTITUTE(SUBSTITUTE(qPCR_Raw!A13,"-","")," ",""))-2)</f>
        <v>STb7</v>
      </c>
      <c r="B13" s="116" t="str" cm="1">
        <f t="array" ref="B13">_xlfn.IFS(LEFT(A13, LEN(A13)-1)="EP", "EP", LEFT(A13, LEN(A13)-1)="STa", "SPI", LEFT(A13, LEN(A13)-1)="STb", "SPO", LEFT(A13, LEN(A13)-1)="MRT", "MRT", LEFT(A13, LEN(A13)-1)="RG", "RN", LEFT(A13, LEN(A13)-1)="RT", "RU", LEFT(A13, LEN(A13)-1)="RW", "RL", LEFT(A13, LEN(A13)-1)="RC", "RS")</f>
        <v>SPO</v>
      </c>
      <c r="C13" s="117">
        <f>qPCR_Raw!B13</f>
        <v>44335</v>
      </c>
      <c r="D13" s="117" t="str">
        <f t="shared" si="0"/>
        <v>SPO44335</v>
      </c>
      <c r="E13" s="117" t="str">
        <f t="shared" si="1"/>
        <v>SPO443357</v>
      </c>
      <c r="F13" s="118">
        <f>qPCR_Raw!C13</f>
        <v>990</v>
      </c>
      <c r="G13" s="119">
        <f>qPCR_Raw!F13</f>
        <v>100</v>
      </c>
      <c r="H13" s="120">
        <f>qPCR_Raw!G13</f>
        <v>17.972585678100586</v>
      </c>
      <c r="I13" s="121" cm="1">
        <f t="array" ref="I13">_xlfn.IFS(H13="Undetermined", 0, qPCR_Raw!H13-qPCR_Raw!$H$242&lt;0, 0, qPCR_Raw!H13-qPCR_Raw!$H$242&gt;0, qPCR_Raw!H13-qPCR_Raw!$H$242)</f>
        <v>245080.98644612631</v>
      </c>
      <c r="J13" s="122">
        <f>qPCR_Raw!K13</f>
        <v>21.048732757568359</v>
      </c>
      <c r="K13" s="121" cm="1">
        <f t="array" ref="K13">_xlfn.IFS(J13="Undetermined", 0, qPCR_Raw!L13-qPCR_Raw!$H$242&lt;0, 0, qPCR_Raw!L13-qPCR_Raw!$H$242&gt;0, qPCR_Raw!L13-qPCR_Raw!$H$242)</f>
        <v>21140.861446126302</v>
      </c>
      <c r="L13" s="123" cm="1">
        <f t="array" ref="L13">_xlfn.IFS(AND(H13="Undetermined", J13="Undetermined"), "Undetermined", AND(I13=0, K13=0), "Undetermined", AND(I13=0, K13&gt;0), "Ten-Fold", AND(I13&gt;0, K13=0), "Undiluted", AND(H13&lt;&gt;"Undetermined", J13&lt;&gt;"Undetermined", I13&gt;0, K13&gt;0), 100*(-1+10^(-1/(H13-J13))))</f>
        <v>111.3888058531376</v>
      </c>
      <c r="M13" s="124" cm="1">
        <f t="array" ref="M13">_xlfn.IFS(L13="Undetermined", 0, L13="Undiluted", I13*$G13/$F13*1000, L13="Ten-Fold", K13*$G13/$F13*1000*10, L13&lt;0, K13*$G13/$F13*1000*10, L13&lt;120, I13*$G13/$F13*1000, L13&gt;120, K13*$G13/$F13*1000*10)</f>
        <v>24755655.196578413</v>
      </c>
      <c r="N13" s="121" t="str">
        <f t="shared" si="2"/>
        <v>DELETE</v>
      </c>
      <c r="O13" s="121" t="str">
        <f t="shared" si="3"/>
        <v>DELETE</v>
      </c>
      <c r="P13" s="121" t="str">
        <f t="shared" si="4"/>
        <v>DELETE</v>
      </c>
      <c r="Q13" s="125" t="str" cm="1">
        <f t="array" ref="Q13">_xlfn.IFS(N13="DELETE", "DELETE", N13=0, 0, N13&gt;0,LOG10(N13))</f>
        <v>DELETE</v>
      </c>
      <c r="R13" s="126" t="str" cm="1">
        <f t="array" ref="R13">_xlfn.IFS(N13="DELETE", "DELETE", N13=0, 0, N13&gt;0, P13/N13/LN(10))</f>
        <v>DELETE</v>
      </c>
      <c r="S13" s="155">
        <f>qPCR_Raw!O13</f>
        <v>27.385980606079102</v>
      </c>
      <c r="T13" s="156" cm="1">
        <f t="array" ref="T13">_xlfn.IFS(S13="Undetermined", 0, qPCR_Raw!P13&lt;=1, 0, qPCR_Raw!P13&gt;1, qPCR_Raw!P13)</f>
        <v>1226.7344970703125</v>
      </c>
      <c r="U13" s="157">
        <f>qPCR_Raw!R13</f>
        <v>30.394567489624023</v>
      </c>
      <c r="V13" s="156" cm="1">
        <f t="array" ref="V13">_xlfn.IFS(U13="Undetermined", 0, qPCR_Raw!S13&lt;=1, 0, qPCR_Raw!S13&gt;1, qPCR_Raw!S13)</f>
        <v>144.02955627441406</v>
      </c>
      <c r="W13" s="158" cm="1">
        <f t="array" ref="W13">_xlfn.IFS(AND(S13="Undetermined", U13="Undetermined"), "Undetermined", AND(T13=0, V13=0), "Undetermined", AND(T13=0, V13&gt;0), "Ten-Fold", AND(T13&gt;0, V13=0), "Undiluted", AND(S13&lt;&gt;"Undetermined", U13&lt;&gt;"Undetermined", T13&gt;0, V13&gt;0, S13&lt;&gt;U13), 100*(-1+10^(-1/(S13-U13))), AND(S13&lt;&gt;"Undetermined", U13&lt;&gt;"Undetermined", S13=U13&gt;0), -100)</f>
        <v>114.97203035598282</v>
      </c>
      <c r="X13" s="159" cm="1">
        <f t="array" ref="X13">_xlfn.IFS(W13="Undetermined", 0, W13="Undiluted", T13*$G13/$F13*1000, W13="Ten-Fold", V13*$G13/$F13*1000*10, W13&lt;0, V13*$G13/$F13*1000*10, W13&lt;120, T13*$G13/$F13*1000, W13&gt;120, V13*$G13/$F13*1000*10)</f>
        <v>123912.57546164774</v>
      </c>
      <c r="Y13" s="156" t="str">
        <f t="shared" si="5"/>
        <v>DELETE</v>
      </c>
      <c r="Z13" s="156" t="str">
        <f t="shared" si="6"/>
        <v>DELETE</v>
      </c>
      <c r="AA13" s="156" t="str">
        <f t="shared" si="7"/>
        <v>DELETE</v>
      </c>
      <c r="AB13" s="160" t="str" cm="1">
        <f t="array" ref="AB13">_xlfn.IFS(Y13="DELETE", "DELETE", Y13=0, 0, Y13&gt;0,LOG10(Y13))</f>
        <v>DELETE</v>
      </c>
      <c r="AC13" s="161" t="str" cm="1">
        <f t="array" ref="AC13">_xlfn.IFS(Y13="DELETE", "DELETE", Y13=0, 0, Y13&gt;0, AA13/Y13/LN(10))</f>
        <v>DELETE</v>
      </c>
      <c r="AD13" s="120">
        <f>qPCR_Raw!U13</f>
        <v>31.801950454711914</v>
      </c>
      <c r="AE13" s="121" cm="1">
        <f t="array" ref="AE13">_xlfn.IFS(AD13="Undetermined", 0, qPCR_Raw!V13&lt;=1, 0, qPCR_Raw!V13&gt;1, qPCR_Raw!V13)</f>
        <v>9.2318363189697266</v>
      </c>
      <c r="AF13" s="122">
        <f>qPCR_Raw!X13</f>
        <v>33.384647369384766</v>
      </c>
      <c r="AG13" s="121" cm="1">
        <f t="array" ref="AG13">_xlfn.IFS(AF13="Undetermined", 0, qPCR_Raw!Y13&lt;=1, 0, qPCR_Raw!Y13&gt;1, qPCR_Raw!Y13)</f>
        <v>3.2884821891784668</v>
      </c>
      <c r="AH13" s="123" cm="1">
        <f t="array" ref="AH13">_xlfn.IFS(AND(AD13="Undetermined", AF13="Undetermined"), "Undetermined", AND(AE13=0, AG13=0), "Undetermined", AND(AE13=0, AG13&gt;0), "Ten-Fold", AND(AE13&gt;0, AG13=0), "Undiluted", AND(AD13&lt;&gt;"Undetermined", AF13&lt;&gt;"Undetermined", AE13&gt;0, AG13&gt;0, AD13&lt;&gt;AF13), 100*(-1+10^(-1/(AD13-AF13))), AND(AD13&lt;&gt;"Undetermined", AF13&lt;&gt;"Undetermined", AD13=AF13&gt;0), -100)</f>
        <v>328.38367452280329</v>
      </c>
      <c r="AI13" s="124" cm="1">
        <f t="array" ref="AI13">_xlfn.IFS(AH13="Undetermined", 0, AH13="Undiluted", AE13*$G13/$F13*1000, AH13="Ten-Fold", AG13*$G13/$F13*1000*10, AH13&lt;0, AG13*$G13/$F13*1000*10, AH13&lt;120, AE13*$G13/$F13*1000, AH13&gt;120, AG13*$G13/$F13*1000*10)</f>
        <v>3321.6991809883502</v>
      </c>
      <c r="AJ13" s="121" t="str">
        <f t="shared" si="8"/>
        <v>DELETE</v>
      </c>
      <c r="AK13" s="121" t="str">
        <f t="shared" si="9"/>
        <v>DELETE</v>
      </c>
      <c r="AL13" s="121" t="str">
        <f t="shared" si="10"/>
        <v>DELETE</v>
      </c>
      <c r="AM13" s="125" t="str" cm="1">
        <f t="array" ref="AM13">_xlfn.IFS(AJ13="DELETE", "DELETE", AJ13=0, 0, AJ13&gt;0,LOG10(AJ13))</f>
        <v>DELETE</v>
      </c>
      <c r="AN13" s="126" t="str" cm="1">
        <f t="array" ref="AN13">_xlfn.IFS(AJ13="DELETE", "DELETE", AJ13=0, 0, AJ13&gt;0, AL13/AJ13/LN(10))</f>
        <v>DELETE</v>
      </c>
      <c r="AO13" s="155">
        <f>qPCR_Raw!AA13</f>
        <v>28.377798080444336</v>
      </c>
      <c r="AP13" s="156" cm="1">
        <f t="array" ref="AP13">_xlfn.IFS(AO13="Undetermined", 0, qPCR_Raw!AB13&lt;=6, 0, qPCR_Raw!AB13&gt;6, qPCR_Raw!AB13)</f>
        <v>8.1028232574462891</v>
      </c>
      <c r="AQ13" s="157" t="str">
        <f>qPCR_Raw!AD13</f>
        <v>Undetermined</v>
      </c>
      <c r="AR13" s="156" cm="1">
        <f t="array" ref="AR13">_xlfn.IFS(AQ13="Undetermined", 0, qPCR_Raw!AE13&lt;=6, 0, qPCR_Raw!AE13&gt;6, qPCR_Raw!AE13)</f>
        <v>0</v>
      </c>
      <c r="AS13" s="158" t="str" cm="1">
        <f t="array" ref="AS13">_xlfn.IFS(AND(AO13="Undetermined", AQ13="Undetermined"), "Undetermined", AND(AP13=0, AR13=0), "Undetermined", AND(AP13=0, AR13&gt;0), "Ten-Fold", AND(AP13&gt;0, AR13=0), "Undiluted", AND(AO13&lt;&gt;"Undetermined", AQ13&lt;&gt;"Undetermined", AP13&gt;0, AR13&gt;0, AO13&lt;&gt;AQ13), 100*(-1+10^(-1/(AO13-AQ13))), AND(AO13&lt;&gt;"Undetermined", AQ13&lt;&gt;"Undetermined", AO13=AQ13&gt;0), -100)</f>
        <v>Undiluted</v>
      </c>
      <c r="AT13" s="159" cm="1">
        <f t="array" ref="AT13">_xlfn.IFS(AS13="Undetermined", 0, AS13="Undiluted", AP13*$G13/$F13*1000, AS13="Ten-Fold", AR13*$G13/$F13*1000*10, AS13&lt;0, AR13*$G13/$F13*1000*10, AS13&lt;120, AP13*$G13/$F13*1000, AS13&gt;120, AR13*$G13/$F13*1000*10)</f>
        <v>818.46699570164537</v>
      </c>
      <c r="AU13" s="156" t="str">
        <f t="shared" si="11"/>
        <v>DELETE</v>
      </c>
      <c r="AV13" s="156" t="str">
        <f t="shared" si="12"/>
        <v>DELETE</v>
      </c>
      <c r="AW13" s="156" t="str">
        <f t="shared" si="13"/>
        <v>DELETE</v>
      </c>
      <c r="AX13" s="160" t="str" cm="1">
        <f t="array" ref="AX13">_xlfn.IFS(AU13="DELETE", "DELETE", AU13=0, 0, AU13&gt;0,LOG10(AU13))</f>
        <v>DELETE</v>
      </c>
      <c r="AY13" s="161" t="str" cm="1">
        <f t="array" ref="AY13">_xlfn.IFS(AU13="DELETE", "DELETE", AU13=0, 0, AU13&gt;0, AW13/AU13/LN(10))</f>
        <v>DELETE</v>
      </c>
      <c r="AZ13" s="120">
        <f>qPCR_Raw!AG13</f>
        <v>35.771099090576172</v>
      </c>
      <c r="BA13" s="121" cm="1">
        <f t="array" ref="BA13">_xlfn.IFS(AZ13="Undetermined", 0, qPCR_Raw!AH13&lt;=1, 0, qPCR_Raw!AH13&gt;1, qPCR_Raw!AH13)</f>
        <v>1.8795253038406372</v>
      </c>
      <c r="BB13" s="122" t="str">
        <f>qPCR_Raw!AJ13</f>
        <v>Undetermined</v>
      </c>
      <c r="BC13" s="121" cm="1">
        <f t="array" ref="BC13">_xlfn.IFS(BB13="Undetermined", 0, qPCR_Raw!AK13&lt;=1, 0, qPCR_Raw!AK13&gt;1, qPCR_Raw!AK13)</f>
        <v>0</v>
      </c>
      <c r="BD13" s="123" t="str" cm="1">
        <f t="array" ref="BD13">_xlfn.IFS(AND(AZ13="Undetermined", BB13="Undetermined"), "Undetermined", AND(BA13=0, BC13=0), "Undetermined", AND(BA13=0, BC13&gt;0), "Ten-Fold", AND(BA13&gt;0, BC13=0), "Undiluted", AND(AZ13&lt;&gt;"Undetermined", BB13&lt;&gt;"Undetermined", BA13&gt;0, BC13&gt;0, AZ13&lt;&gt;BB13), 100*(-1+10^(-1/(AZ13-BB13))), AND(AZ13&lt;&gt;"Undetermined", BB13&lt;&gt;"Undetermined", AZ13=BB13&gt;0), -100)</f>
        <v>Undiluted</v>
      </c>
      <c r="BE13" s="124" cm="1">
        <f t="array" ref="BE13">_xlfn.IFS(BD13="Undetermined", 0, BD13="Undiluted", BA13*$G13/$F13*1000, BD13="Ten-Fold", BC13*$G13/$F13*1000*10, BD13&lt;0, BC13*$G13/$F13*1000*10, BD13&lt;120, BA13*$G13/$F13*1000, BD13&gt;120, BC13*$G13/$F13*1000*10)</f>
        <v>189.85104079198356</v>
      </c>
      <c r="BF13" s="121" t="str">
        <f t="shared" si="14"/>
        <v>DELETE</v>
      </c>
      <c r="BG13" s="121" t="str">
        <f t="shared" si="15"/>
        <v>DELETE</v>
      </c>
      <c r="BH13" s="121" t="str">
        <f t="shared" si="16"/>
        <v>DELETE</v>
      </c>
      <c r="BI13" s="125" t="str" cm="1">
        <f t="array" ref="BI13">_xlfn.IFS(BF13="DELETE", "DELETE", BF13=0, 0, BF13&gt;0,LOG10(BF13))</f>
        <v>DELETE</v>
      </c>
      <c r="BJ13" s="126" t="str" cm="1">
        <f t="array" ref="BJ13">_xlfn.IFS(BF13="DELETE", "DELETE", BF13=0, 0, BF13&gt;0, BH13/BF13/LN(10))</f>
        <v>DELETE</v>
      </c>
    </row>
    <row r="14" spans="1:62" s="114" customFormat="1" x14ac:dyDescent="0.3">
      <c r="A14" s="115" t="str">
        <f>UPPER(LEFT(SUBSTITUTE(SUBSTITUTE(qPCR_Raw!A14,"-","")," ",""),2))&amp;RIGHT(SUBSTITUTE(SUBSTITUTE(qPCR_Raw!A14,"-","")," ",""),LEN(SUBSTITUTE(SUBSTITUTE(qPCR_Raw!A14,"-","")," ",""))-2)</f>
        <v>RC6</v>
      </c>
      <c r="B14" s="116" t="str" cm="1">
        <f t="array" ref="B14">_xlfn.IFS(LEFT(A14, LEN(A14)-1)="EP", "EP", LEFT(A14, LEN(A14)-1)="STa", "SPI", LEFT(A14, LEN(A14)-1)="STb", "SPO", LEFT(A14, LEN(A14)-1)="MRT", "MRT", LEFT(A14, LEN(A14)-1)="RG", "RN", LEFT(A14, LEN(A14)-1)="RT", "RU", LEFT(A14, LEN(A14)-1)="RW", "RL", LEFT(A14, LEN(A14)-1)="RC", "RS")</f>
        <v>RS</v>
      </c>
      <c r="C14" s="117">
        <f>qPCR_Raw!B14</f>
        <v>44335</v>
      </c>
      <c r="D14" s="117" t="str">
        <f t="shared" si="0"/>
        <v>RS44335</v>
      </c>
      <c r="E14" s="117" t="str">
        <f t="shared" si="1"/>
        <v>RS443356</v>
      </c>
      <c r="F14" s="118">
        <f>qPCR_Raw!C14</f>
        <v>970</v>
      </c>
      <c r="G14" s="119">
        <f>qPCR_Raw!F14</f>
        <v>100</v>
      </c>
      <c r="H14" s="120">
        <f>qPCR_Raw!G14</f>
        <v>14.414107322692871</v>
      </c>
      <c r="I14" s="121" cm="1">
        <f t="array" ref="I14">_xlfn.IFS(H14="Undetermined", 0, qPCR_Raw!H14-qPCR_Raw!$H$242&lt;0, 0, qPCR_Raw!H14-qPCR_Raw!$H$242&gt;0, qPCR_Raw!H14-qPCR_Raw!$H$242)</f>
        <v>2667256.3614461264</v>
      </c>
      <c r="J14" s="122">
        <f>qPCR_Raw!K14</f>
        <v>17.566396713256836</v>
      </c>
      <c r="K14" s="121" cm="1">
        <f t="array" ref="K14">_xlfn.IFS(J14="Undetermined", 0, qPCR_Raw!L14-qPCR_Raw!$H$242&lt;0, 0, qPCR_Raw!L14-qPCR_Raw!$H$242&gt;0, qPCR_Raw!L14-qPCR_Raw!$H$242)</f>
        <v>324111.29894612631</v>
      </c>
      <c r="L14" s="123" cm="1">
        <f t="array" ref="L14">_xlfn.IFS(AND(H14="Undetermined", J14="Undetermined"), "Undetermined", AND(I14=0, K14=0), "Undetermined", AND(I14=0, K14&gt;0), "Ten-Fold", AND(I14&gt;0, K14=0), "Undiluted", AND(H14&lt;&gt;"Undetermined", J14&lt;&gt;"Undetermined", I14&gt;0, K14&gt;0), 100*(-1+10^(-1/(H14-J14))))</f>
        <v>107.60115138297719</v>
      </c>
      <c r="M14" s="124" cm="1">
        <f t="array" ref="M14">_xlfn.IFS(L14="Undetermined", 0, L14="Undiluted", I14*$G14/$F14*1000, L14="Ten-Fold", K14*$G14/$F14*1000*10, L14&lt;0, K14*$G14/$F14*1000*10, L14&lt;120, I14*$G14/$F14*1000, L14&gt;120, K14*$G14/$F14*1000*10)</f>
        <v>274974882.623312</v>
      </c>
      <c r="N14" s="121">
        <f t="shared" si="2"/>
        <v>154998246.26978758</v>
      </c>
      <c r="O14" s="121">
        <f t="shared" si="3"/>
        <v>169672586.29905912</v>
      </c>
      <c r="P14" s="121">
        <f t="shared" si="4"/>
        <v>119976636.35352439</v>
      </c>
      <c r="Q14" s="125" cm="1">
        <f t="array" ref="Q14">_xlfn.IFS(N14="DELETE", "DELETE", N14=0, 0, N14&gt;0,LOG10(N14))</f>
        <v>8.1903267843660164</v>
      </c>
      <c r="R14" s="126" cm="1">
        <f t="array" ref="R14">_xlfn.IFS(N14="DELETE", "DELETE", N14=0, 0, N14&gt;0, P14/N14/LN(10))</f>
        <v>0.33616632690769432</v>
      </c>
      <c r="S14" s="155">
        <f>qPCR_Raw!O14</f>
        <v>28.506610870361328</v>
      </c>
      <c r="T14" s="156" cm="1">
        <f t="array" ref="T14">_xlfn.IFS(S14="Undetermined", 0, qPCR_Raw!P14&lt;=1, 0, qPCR_Raw!P14&gt;1, qPCR_Raw!P14)</f>
        <v>552.376708984375</v>
      </c>
      <c r="U14" s="157">
        <f>qPCR_Raw!R14</f>
        <v>31.641054153442383</v>
      </c>
      <c r="V14" s="156" cm="1">
        <f t="array" ref="V14">_xlfn.IFS(U14="Undetermined", 0, qPCR_Raw!S14&lt;=1, 0, qPCR_Raw!S14&gt;1, qPCR_Raw!S14)</f>
        <v>59.29522705078125</v>
      </c>
      <c r="W14" s="158" cm="1">
        <f t="array" ref="W14">_xlfn.IFS(AND(S14="Undetermined", U14="Undetermined"), "Undetermined", AND(T14=0, V14=0), "Undetermined", AND(T14=0, V14&gt;0), "Ten-Fold", AND(T14&gt;0, V14=0), "Undiluted", AND(S14&lt;&gt;"Undetermined", U14&lt;&gt;"Undetermined", T14&gt;0, V14&gt;0, S14&lt;&gt;U14), 100*(-1+10^(-1/(S14-U14))), AND(S14&lt;&gt;"Undetermined", U14&lt;&gt;"Undetermined", S14=U14&gt;0), -100)</f>
        <v>108.46633014360201</v>
      </c>
      <c r="X14" s="159" cm="1">
        <f t="array" ref="X14">_xlfn.IFS(W14="Undetermined", 0, W14="Undiluted", T14*$G14/$F14*1000, W14="Ten-Fold", V14*$G14/$F14*1000*10, W14&lt;0, V14*$G14/$F14*1000*10, W14&lt;120, T14*$G14/$F14*1000, W14&gt;120, V14*$G14/$F14*1000*10)</f>
        <v>56946.052472615978</v>
      </c>
      <c r="Y14" s="156">
        <f t="shared" si="5"/>
        <v>69693.462332499388</v>
      </c>
      <c r="Z14" s="156">
        <f t="shared" si="6"/>
        <v>18027.559908975687</v>
      </c>
      <c r="AA14" s="156">
        <f t="shared" si="7"/>
        <v>12747.409859883446</v>
      </c>
      <c r="AB14" s="160" cm="1">
        <f t="array" ref="AB14">_xlfn.IFS(Y14="DELETE", "DELETE", Y14=0, 0, Y14&gt;0,LOG10(Y14))</f>
        <v>4.8431920405644897</v>
      </c>
      <c r="AC14" s="161" cm="1">
        <f t="array" ref="AC14">_xlfn.IFS(Y14="DELETE", "DELETE", Y14=0, 0, Y14&gt;0, AA14/Y14/LN(10))</f>
        <v>7.9435424434708884E-2</v>
      </c>
      <c r="AD14" s="120">
        <f>qPCR_Raw!U14</f>
        <v>26.11491584777832</v>
      </c>
      <c r="AE14" s="121" cm="1">
        <f t="array" ref="AE14">_xlfn.IFS(AD14="Undetermined", 0, qPCR_Raw!V14&lt;=1, 0, qPCR_Raw!V14&gt;1, qPCR_Raw!V14)</f>
        <v>376.80606079101563</v>
      </c>
      <c r="AF14" s="122">
        <f>qPCR_Raw!X14</f>
        <v>29.289247512817383</v>
      </c>
      <c r="AG14" s="121" cm="1">
        <f t="array" ref="AG14">_xlfn.IFS(AF14="Undetermined", 0, qPCR_Raw!Y14&lt;=1, 0, qPCR_Raw!Y14&gt;1, qPCR_Raw!Y14)</f>
        <v>47.533645629882813</v>
      </c>
      <c r="AH14" s="123" cm="1">
        <f t="array" ref="AH14">_xlfn.IFS(AND(AD14="Undetermined", AF14="Undetermined"), "Undetermined", AND(AE14=0, AG14=0), "Undetermined", AND(AE14=0, AG14&gt;0), "Ten-Fold", AND(AE14&gt;0, AG14=0), "Undiluted", AND(AD14&lt;&gt;"Undetermined", AF14&lt;&gt;"Undetermined", AE14&gt;0, AG14&gt;0, AD14&lt;&gt;AF14), 100*(-1+10^(-1/(AD14-AF14))), AND(AD14&lt;&gt;"Undetermined", AF14&lt;&gt;"Undetermined", AD14=AF14&gt;0), -100)</f>
        <v>106.55082922184471</v>
      </c>
      <c r="AI14" s="124" cm="1">
        <f t="array" ref="AI14">_xlfn.IFS(AH14="Undetermined", 0, AH14="Undiluted", AE14*$G14/$F14*1000, AH14="Ten-Fold", AG14*$G14/$F14*1000*10, AH14&lt;0, AG14*$G14/$F14*1000*10, AH14&lt;120, AE14*$G14/$F14*1000, AH14&gt;120, AG14*$G14/$F14*1000*10)</f>
        <v>38845.985648558315</v>
      </c>
      <c r="AJ14" s="121">
        <f t="shared" si="8"/>
        <v>23623.736658456812</v>
      </c>
      <c r="AK14" s="121">
        <f t="shared" si="9"/>
        <v>21527.510971621694</v>
      </c>
      <c r="AL14" s="121">
        <f t="shared" si="10"/>
        <v>15222.248990101501</v>
      </c>
      <c r="AM14" s="125" cm="1">
        <f t="array" ref="AM14">_xlfn.IFS(AJ14="DELETE", "DELETE", AJ14=0, 0, AJ14&gt;0,LOG10(AJ14))</f>
        <v>4.3733485927609284</v>
      </c>
      <c r="AN14" s="126" cm="1">
        <f t="array" ref="AN14">_xlfn.IFS(AJ14="DELETE", "DELETE", AJ14=0, 0, AJ14&gt;0, AL14/AJ14/LN(10))</f>
        <v>0.2798430592982355</v>
      </c>
      <c r="AO14" s="155">
        <f>qPCR_Raw!AA14</f>
        <v>28.686870574951172</v>
      </c>
      <c r="AP14" s="156" cm="1">
        <f t="array" ref="AP14">_xlfn.IFS(AO14="Undetermined", 0, qPCR_Raw!AB14&lt;=6, 0, qPCR_Raw!AB14&gt;6, qPCR_Raw!AB14)</f>
        <v>6.6103792190551758</v>
      </c>
      <c r="AQ14" s="157" t="str">
        <f>qPCR_Raw!AD14</f>
        <v>Undetermined</v>
      </c>
      <c r="AR14" s="156" cm="1">
        <f t="array" ref="AR14">_xlfn.IFS(AQ14="Undetermined", 0, qPCR_Raw!AE14&lt;=6, 0, qPCR_Raw!AE14&gt;6, qPCR_Raw!AE14)</f>
        <v>0</v>
      </c>
      <c r="AS14" s="158" t="str" cm="1">
        <f t="array" ref="AS14">_xlfn.IFS(AND(AO14="Undetermined", AQ14="Undetermined"), "Undetermined", AND(AP14=0, AR14=0), "Undetermined", AND(AP14=0, AR14&gt;0), "Ten-Fold", AND(AP14&gt;0, AR14=0), "Undiluted", AND(AO14&lt;&gt;"Undetermined", AQ14&lt;&gt;"Undetermined", AP14&gt;0, AR14&gt;0, AO14&lt;&gt;AQ14), 100*(-1+10^(-1/(AO14-AQ14))), AND(AO14&lt;&gt;"Undetermined", AQ14&lt;&gt;"Undetermined", AO14=AQ14&gt;0), -100)</f>
        <v>Undiluted</v>
      </c>
      <c r="AT14" s="159" cm="1">
        <f t="array" ref="AT14">_xlfn.IFS(AS14="Undetermined", 0, AS14="Undiluted", AP14*$G14/$F14*1000, AS14="Ten-Fold", AR14*$G14/$F14*1000*10, AS14&lt;0, AR14*$G14/$F14*1000*10, AS14&lt;120, AP14*$G14/$F14*1000, AS14&gt;120, AR14*$G14/$F14*1000*10)</f>
        <v>681.48239371702846</v>
      </c>
      <c r="AU14" s="156">
        <f t="shared" si="11"/>
        <v>340.74119685851423</v>
      </c>
      <c r="AV14" s="156">
        <f t="shared" si="12"/>
        <v>481.88082185655151</v>
      </c>
      <c r="AW14" s="156">
        <f t="shared" si="13"/>
        <v>340.74119685851423</v>
      </c>
      <c r="AX14" s="160" cm="1">
        <f t="array" ref="AX14">_xlfn.IFS(AU14="DELETE", "DELETE", AU14=0, 0, AU14&gt;0,LOG10(AU14))</f>
        <v>2.5324246445355993</v>
      </c>
      <c r="AY14" s="161" cm="1">
        <f t="array" ref="AY14">_xlfn.IFS(AU14="DELETE", "DELETE", AU14=0, 0, AU14&gt;0, AW14/AU14/LN(10))</f>
        <v>0.43429448190325176</v>
      </c>
      <c r="AZ14" s="120">
        <f>qPCR_Raw!AG14</f>
        <v>24.872049331665039</v>
      </c>
      <c r="BA14" s="121" cm="1">
        <f t="array" ref="BA14">_xlfn.IFS(AZ14="Undetermined", 0, qPCR_Raw!AH14&lt;=1, 0, qPCR_Raw!AH14&gt;1, qPCR_Raw!AH14)</f>
        <v>1627.645751953125</v>
      </c>
      <c r="BB14" s="122">
        <f>qPCR_Raw!AJ14</f>
        <v>28.7601318359375</v>
      </c>
      <c r="BC14" s="121" cm="1">
        <f t="array" ref="BC14">_xlfn.IFS(BB14="Undetermined", 0, qPCR_Raw!AK14&lt;=1, 0, qPCR_Raw!AK14&gt;1, qPCR_Raw!AK14)</f>
        <v>145.76187133789063</v>
      </c>
      <c r="BD14" s="123" cm="1">
        <f t="array" ref="BD14">_xlfn.IFS(AND(AZ14="Undetermined", BB14="Undetermined"), "Undetermined", AND(BA14=0, BC14=0), "Undetermined", AND(BA14=0, BC14&gt;0), "Ten-Fold", AND(BA14&gt;0, BC14=0), "Undiluted", AND(AZ14&lt;&gt;"Undetermined", BB14&lt;&gt;"Undetermined", BA14&gt;0, BC14&gt;0, AZ14&lt;&gt;BB14), 100*(-1+10^(-1/(AZ14-BB14))), AND(AZ14&lt;&gt;"Undetermined", BB14&lt;&gt;"Undetermined", AZ14=BB14&gt;0), -100)</f>
        <v>80.799068384619588</v>
      </c>
      <c r="BE14" s="124" cm="1">
        <f t="array" ref="BE14">_xlfn.IFS(BD14="Undetermined", 0, BD14="Undiluted", BA14*$G14/$F14*1000, BD14="Ten-Fold", BC14*$G14/$F14*1000*10, BD14&lt;0, BC14*$G14/$F14*1000*10, BD14&lt;120, BA14*$G14/$F14*1000, BD14&gt;120, BC14*$G14/$F14*1000*10)</f>
        <v>167798.53112918814</v>
      </c>
      <c r="BF14" s="121">
        <f t="shared" si="14"/>
        <v>115924.07826295833</v>
      </c>
      <c r="BG14" s="121">
        <f t="shared" si="15"/>
        <v>73361.554784106076</v>
      </c>
      <c r="BH14" s="121">
        <f t="shared" si="16"/>
        <v>51874.452866229811</v>
      </c>
      <c r="BI14" s="125" cm="1">
        <f t="array" ref="BI14">_xlfn.IFS(BF14="DELETE", "DELETE", BF14=0, 0, BF14&gt;0,LOG10(BF14))</f>
        <v>5.0641736514136264</v>
      </c>
      <c r="BJ14" s="126" cm="1">
        <f t="array" ref="BJ14">_xlfn.IFS(BF14="DELETE", "DELETE", BF14=0, 0, BF14&gt;0, BH14/BF14/LN(10))</f>
        <v>0.19434089077206526</v>
      </c>
    </row>
    <row r="15" spans="1:62" s="114" customFormat="1" x14ac:dyDescent="0.3">
      <c r="A15" s="115" t="str">
        <f>UPPER(LEFT(SUBSTITUTE(SUBSTITUTE(qPCR_Raw!A15,"-","")," ",""),2))&amp;RIGHT(SUBSTITUTE(SUBSTITUTE(qPCR_Raw!A15,"-","")," ",""),LEN(SUBSTITUTE(SUBSTITUTE(qPCR_Raw!A15,"-","")," ",""))-2)</f>
        <v>RC7</v>
      </c>
      <c r="B15" s="116" t="str" cm="1">
        <f t="array" ref="B15">_xlfn.IFS(LEFT(A15, LEN(A15)-1)="EP", "EP", LEFT(A15, LEN(A15)-1)="STa", "SPI", LEFT(A15, LEN(A15)-1)="STb", "SPO", LEFT(A15, LEN(A15)-1)="MRT", "MRT", LEFT(A15, LEN(A15)-1)="RG", "RN", LEFT(A15, LEN(A15)-1)="RT", "RU", LEFT(A15, LEN(A15)-1)="RW", "RL", LEFT(A15, LEN(A15)-1)="RC", "RS")</f>
        <v>RS</v>
      </c>
      <c r="C15" s="117">
        <f>qPCR_Raw!B15</f>
        <v>44335</v>
      </c>
      <c r="D15" s="117" t="str">
        <f t="shared" si="0"/>
        <v>RS44335</v>
      </c>
      <c r="E15" s="117" t="str">
        <f t="shared" si="1"/>
        <v>RS443357</v>
      </c>
      <c r="F15" s="118">
        <f>qPCR_Raw!C15</f>
        <v>960</v>
      </c>
      <c r="G15" s="119">
        <f>qPCR_Raw!F15</f>
        <v>100</v>
      </c>
      <c r="H15" s="120">
        <f>qPCR_Raw!G15</f>
        <v>17.512794494628906</v>
      </c>
      <c r="I15" s="121" cm="1">
        <f t="array" ref="I15">_xlfn.IFS(H15="Undetermined", 0, qPCR_Raw!H15-qPCR_Raw!$H$242&lt;0, 0, qPCR_Raw!H15-qPCR_Raw!$H$242&gt;0, qPCR_Raw!H15-qPCR_Raw!$H$242)</f>
        <v>336207.45519612631</v>
      </c>
      <c r="J15" s="122">
        <f>qPCR_Raw!K15</f>
        <v>20.725961685180664</v>
      </c>
      <c r="K15" s="121" cm="1">
        <f t="array" ref="K15">_xlfn.IFS(J15="Undetermined", 0, qPCR_Raw!L15-qPCR_Raw!$H$242&lt;0, 0, qPCR_Raw!L15-qPCR_Raw!$H$242&gt;0, qPCR_Raw!L15-qPCR_Raw!$H$242)</f>
        <v>29211.310664876302</v>
      </c>
      <c r="L15" s="123" cm="1">
        <f t="array" ref="L15">_xlfn.IFS(AND(H15="Undetermined", J15="Undetermined"), "Undetermined", AND(I15=0, K15=0), "Undetermined", AND(I15=0, K15&gt;0), "Ten-Fold", AND(I15&gt;0, K15=0), "Undiluted", AND(H15&lt;&gt;"Undetermined", J15&lt;&gt;"Undetermined", I15&gt;0, K15&gt;0), 100*(-1+10^(-1/(H15-J15))))</f>
        <v>104.7478786626118</v>
      </c>
      <c r="M15" s="124" cm="1">
        <f t="array" ref="M15">_xlfn.IFS(L15="Undetermined", 0, L15="Undiluted", I15*$G15/$F15*1000, L15="Ten-Fold", K15*$G15/$F15*1000*10, L15&lt;0, K15*$G15/$F15*1000*10, L15&lt;120, I15*$G15/$F15*1000, L15&gt;120, K15*$G15/$F15*1000*10)</f>
        <v>35021609.916263156</v>
      </c>
      <c r="N15" s="121" t="str">
        <f t="shared" si="2"/>
        <v>DELETE</v>
      </c>
      <c r="O15" s="121" t="str">
        <f t="shared" si="3"/>
        <v>DELETE</v>
      </c>
      <c r="P15" s="121" t="str">
        <f t="shared" si="4"/>
        <v>DELETE</v>
      </c>
      <c r="Q15" s="125" t="str" cm="1">
        <f t="array" ref="Q15">_xlfn.IFS(N15="DELETE", "DELETE", N15=0, 0, N15&gt;0,LOG10(N15))</f>
        <v>DELETE</v>
      </c>
      <c r="R15" s="126" t="str" cm="1">
        <f t="array" ref="R15">_xlfn.IFS(N15="DELETE", "DELETE", N15=0, 0, N15&gt;0, P15/N15/LN(10))</f>
        <v>DELETE</v>
      </c>
      <c r="S15" s="155">
        <f>qPCR_Raw!O15</f>
        <v>28.001529693603516</v>
      </c>
      <c r="T15" s="156" cm="1">
        <f t="array" ref="T15">_xlfn.IFS(S15="Undetermined", 0, qPCR_Raw!P15&lt;=1, 0, qPCR_Raw!P15&gt;1, qPCR_Raw!P15)</f>
        <v>791.432373046875</v>
      </c>
      <c r="U15" s="157">
        <f>qPCR_Raw!R15</f>
        <v>31.140905380249023</v>
      </c>
      <c r="V15" s="156" cm="1">
        <f t="array" ref="V15">_xlfn.IFS(U15="Undetermined", 0, qPCR_Raw!S15&lt;=1, 0, qPCR_Raw!S15&gt;1, qPCR_Raw!S15)</f>
        <v>84.658981323242188</v>
      </c>
      <c r="W15" s="158" cm="1">
        <f t="array" ref="W15">_xlfn.IFS(AND(S15="Undetermined", U15="Undetermined"), "Undetermined", AND(T15=0, V15=0), "Undetermined", AND(T15=0, V15&gt;0), "Ten-Fold", AND(T15&gt;0, V15=0), "Undiluted", AND(S15&lt;&gt;"Undetermined", U15&lt;&gt;"Undetermined", T15&gt;0, V15&gt;0, S15&lt;&gt;U15), 100*(-1+10^(-1/(S15-U15))), AND(S15&lt;&gt;"Undetermined", U15&lt;&gt;"Undetermined", S15=U15&gt;0), -100)</f>
        <v>108.22586291106097</v>
      </c>
      <c r="X15" s="159" cm="1">
        <f t="array" ref="X15">_xlfn.IFS(W15="Undetermined", 0, W15="Undiluted", T15*$G15/$F15*1000, W15="Ten-Fold", V15*$G15/$F15*1000*10, W15&lt;0, V15*$G15/$F15*1000*10, W15&lt;120, T15*$G15/$F15*1000, W15&gt;120, V15*$G15/$F15*1000*10)</f>
        <v>82440.872192382813</v>
      </c>
      <c r="Y15" s="156" t="str">
        <f t="shared" si="5"/>
        <v>DELETE</v>
      </c>
      <c r="Z15" s="156" t="str">
        <f t="shared" si="6"/>
        <v>DELETE</v>
      </c>
      <c r="AA15" s="156" t="str">
        <f t="shared" si="7"/>
        <v>DELETE</v>
      </c>
      <c r="AB15" s="160" t="str" cm="1">
        <f t="array" ref="AB15">_xlfn.IFS(Y15="DELETE", "DELETE", Y15=0, 0, Y15&gt;0,LOG10(Y15))</f>
        <v>DELETE</v>
      </c>
      <c r="AC15" s="161" t="str" cm="1">
        <f t="array" ref="AC15">_xlfn.IFS(Y15="DELETE", "DELETE", Y15=0, 0, Y15&gt;0, AA15/Y15/LN(10))</f>
        <v>DELETE</v>
      </c>
      <c r="AD15" s="120">
        <f>qPCR_Raw!U15</f>
        <v>28.478551864624023</v>
      </c>
      <c r="AE15" s="121" cm="1">
        <f t="array" ref="AE15">_xlfn.IFS(AD15="Undetermined", 0, qPCR_Raw!V15&lt;=1, 0, qPCR_Raw!V15&gt;1, qPCR_Raw!V15)</f>
        <v>80.654281616210938</v>
      </c>
      <c r="AF15" s="122">
        <f>qPCR_Raw!X15</f>
        <v>31.408246994018555</v>
      </c>
      <c r="AG15" s="121" cm="1">
        <f t="array" ref="AG15">_xlfn.IFS(AF15="Undetermined", 0, qPCR_Raw!Y15&lt;=1, 0, qPCR_Raw!Y15&gt;1, qPCR_Raw!Y15)</f>
        <v>11.934466361999512</v>
      </c>
      <c r="AH15" s="123" cm="1">
        <f t="array" ref="AH15">_xlfn.IFS(AND(AD15="Undetermined", AF15="Undetermined"), "Undetermined", AND(AE15=0, AG15=0), "Undetermined", AND(AE15=0, AG15&gt;0), "Ten-Fold", AND(AE15&gt;0, AG15=0), "Undiluted", AND(AD15&lt;&gt;"Undetermined", AF15&lt;&gt;"Undetermined", AE15&gt;0, AG15&gt;0, AD15&lt;&gt;AF15), 100*(-1+10^(-1/(AD15-AF15))), AND(AD15&lt;&gt;"Undetermined", AF15&lt;&gt;"Undetermined", AD15=AF15&gt;0), -100)</f>
        <v>119.44841298551121</v>
      </c>
      <c r="AI15" s="124" cm="1">
        <f t="array" ref="AI15">_xlfn.IFS(AH15="Undetermined", 0, AH15="Undiluted", AE15*$G15/$F15*1000, AH15="Ten-Fold", AG15*$G15/$F15*1000*10, AH15&lt;0, AG15*$G15/$F15*1000*10, AH15&lt;120, AE15*$G15/$F15*1000, AH15&gt;120, AG15*$G15/$F15*1000*10)</f>
        <v>8401.4876683553066</v>
      </c>
      <c r="AJ15" s="121" t="str">
        <f t="shared" si="8"/>
        <v>DELETE</v>
      </c>
      <c r="AK15" s="121" t="str">
        <f t="shared" si="9"/>
        <v>DELETE</v>
      </c>
      <c r="AL15" s="121" t="str">
        <f t="shared" si="10"/>
        <v>DELETE</v>
      </c>
      <c r="AM15" s="125" t="str" cm="1">
        <f t="array" ref="AM15">_xlfn.IFS(AJ15="DELETE", "DELETE", AJ15=0, 0, AJ15&gt;0,LOG10(AJ15))</f>
        <v>DELETE</v>
      </c>
      <c r="AN15" s="126" t="str" cm="1">
        <f t="array" ref="AN15">_xlfn.IFS(AJ15="DELETE", "DELETE", AJ15=0, 0, AJ15&gt;0, AL15/AJ15/LN(10))</f>
        <v>DELETE</v>
      </c>
      <c r="AO15" s="155">
        <f>qPCR_Raw!AA15</f>
        <v>28.879434585571289</v>
      </c>
      <c r="AP15" s="156" cm="1">
        <f t="array" ref="AP15">_xlfn.IFS(AO15="Undetermined", 0, qPCR_Raw!AB15&lt;=6, 0, qPCR_Raw!AB15&gt;6, qPCR_Raw!AB15)</f>
        <v>0</v>
      </c>
      <c r="AQ15" s="157">
        <f>qPCR_Raw!AD15</f>
        <v>30.566520690917969</v>
      </c>
      <c r="AR15" s="156" cm="1">
        <f t="array" ref="AR15">_xlfn.IFS(AQ15="Undetermined", 0, qPCR_Raw!AE15&lt;=6, 0, qPCR_Raw!AE15&gt;6, qPCR_Raw!AE15)</f>
        <v>0</v>
      </c>
      <c r="AS15" s="158" t="str" cm="1">
        <f t="array" ref="AS15">_xlfn.IFS(AND(AO15="Undetermined", AQ15="Undetermined"), "Undetermined", AND(AP15=0, AR15=0), "Undetermined", AND(AP15=0, AR15&gt;0), "Ten-Fold", AND(AP15&gt;0, AR15=0), "Undiluted", AND(AO15&lt;&gt;"Undetermined", AQ15&lt;&gt;"Undetermined", AP15&gt;0, AR15&gt;0, AO15&lt;&gt;AQ15), 100*(-1+10^(-1/(AO15-AQ15))), AND(AO15&lt;&gt;"Undetermined", AQ15&lt;&gt;"Undetermined", AO15=AQ15&gt;0), -100)</f>
        <v>Undetermined</v>
      </c>
      <c r="AT15" s="159" cm="1">
        <f t="array" ref="AT15">_xlfn.IFS(AS15="Undetermined", 0, AS15="Undiluted", AP15*$G15/$F15*1000, AS15="Ten-Fold", AR15*$G15/$F15*1000*10, AS15&lt;0, AR15*$G15/$F15*1000*10, AS15&lt;120, AP15*$G15/$F15*1000, AS15&gt;120, AR15*$G15/$F15*1000*10)</f>
        <v>0</v>
      </c>
      <c r="AU15" s="156" t="str">
        <f t="shared" si="11"/>
        <v>DELETE</v>
      </c>
      <c r="AV15" s="156" t="str">
        <f t="shared" si="12"/>
        <v>DELETE</v>
      </c>
      <c r="AW15" s="156" t="str">
        <f t="shared" si="13"/>
        <v>DELETE</v>
      </c>
      <c r="AX15" s="160" t="str" cm="1">
        <f t="array" ref="AX15">_xlfn.IFS(AU15="DELETE", "DELETE", AU15=0, 0, AU15&gt;0,LOG10(AU15))</f>
        <v>DELETE</v>
      </c>
      <c r="AY15" s="161" t="str" cm="1">
        <f t="array" ref="AY15">_xlfn.IFS(AU15="DELETE", "DELETE", AU15=0, 0, AU15&gt;0, AW15/AU15/LN(10))</f>
        <v>DELETE</v>
      </c>
      <c r="AZ15" s="120">
        <f>qPCR_Raw!AG15</f>
        <v>26.44066047668457</v>
      </c>
      <c r="BA15" s="121" cm="1">
        <f t="array" ref="BA15">_xlfn.IFS(AZ15="Undetermined", 0, qPCR_Raw!AH15&lt;=1, 0, qPCR_Raw!AH15&gt;1, qPCR_Raw!AH15)</f>
        <v>614.87640380859375</v>
      </c>
      <c r="BB15" s="122">
        <f>qPCR_Raw!AJ15</f>
        <v>31.744434356689453</v>
      </c>
      <c r="BC15" s="121" cm="1">
        <f t="array" ref="BC15">_xlfn.IFS(BB15="Undetermined", 0, qPCR_Raw!AK15&lt;=1, 0, qPCR_Raw!AK15&gt;1, qPCR_Raw!AK15)</f>
        <v>22.872560501098633</v>
      </c>
      <c r="BD15" s="123" cm="1">
        <f t="array" ref="BD15">_xlfn.IFS(AND(AZ15="Undetermined", BB15="Undetermined"), "Undetermined", AND(BA15=0, BC15=0), "Undetermined", AND(BA15=0, BC15&gt;0), "Ten-Fold", AND(BA15&gt;0, BC15=0), "Undiluted", AND(AZ15&lt;&gt;"Undetermined", BB15&lt;&gt;"Undetermined", BA15&gt;0, BC15&gt;0, AZ15&lt;&gt;BB15), 100*(-1+10^(-1/(AZ15-BB15))), AND(AZ15&lt;&gt;"Undetermined", BB15&lt;&gt;"Undetermined", AZ15=BB15&gt;0), -100)</f>
        <v>54.363633000674213</v>
      </c>
      <c r="BE15" s="124" cm="1">
        <f t="array" ref="BE15">_xlfn.IFS(BD15="Undetermined", 0, BD15="Undiluted", BA15*$G15/$F15*1000, BD15="Ten-Fold", BC15*$G15/$F15*1000*10, BD15&lt;0, BC15*$G15/$F15*1000*10, BD15&lt;120, BA15*$G15/$F15*1000, BD15&gt;120, BC15*$G15/$F15*1000*10)</f>
        <v>64049.625396728516</v>
      </c>
      <c r="BF15" s="121" t="str">
        <f t="shared" si="14"/>
        <v>DELETE</v>
      </c>
      <c r="BG15" s="121" t="str">
        <f t="shared" si="15"/>
        <v>DELETE</v>
      </c>
      <c r="BH15" s="121" t="str">
        <f t="shared" si="16"/>
        <v>DELETE</v>
      </c>
      <c r="BI15" s="125" t="str" cm="1">
        <f t="array" ref="BI15">_xlfn.IFS(BF15="DELETE", "DELETE", BF15=0, 0, BF15&gt;0,LOG10(BF15))</f>
        <v>DELETE</v>
      </c>
      <c r="BJ15" s="126" t="str" cm="1">
        <f t="array" ref="BJ15">_xlfn.IFS(BF15="DELETE", "DELETE", BF15=0, 0, BF15&gt;0, BH15/BF15/LN(10))</f>
        <v>DELETE</v>
      </c>
    </row>
    <row r="16" spans="1:62" s="114" customFormat="1" x14ac:dyDescent="0.3">
      <c r="A16" s="115" t="str">
        <f>UPPER(LEFT(SUBSTITUTE(SUBSTITUTE(qPCR_Raw!A16,"-","")," ",""),2))&amp;RIGHT(SUBSTITUTE(SUBSTITUTE(qPCR_Raw!A16,"-","")," ",""),LEN(SUBSTITUTE(SUBSTITUTE(qPCR_Raw!A16,"-","")," ",""))-2)</f>
        <v>RG6</v>
      </c>
      <c r="B16" s="116" t="str" cm="1">
        <f t="array" ref="B16">_xlfn.IFS(LEFT(A16, LEN(A16)-1)="EP", "EP", LEFT(A16, LEN(A16)-1)="STa", "SPI", LEFT(A16, LEN(A16)-1)="STb", "SPO", LEFT(A16, LEN(A16)-1)="MRT", "MRT", LEFT(A16, LEN(A16)-1)="RG", "RN", LEFT(A16, LEN(A16)-1)="RT", "RU", LEFT(A16, LEN(A16)-1)="RW", "RL", LEFT(A16, LEN(A16)-1)="RC", "RS")</f>
        <v>RN</v>
      </c>
      <c r="C16" s="117">
        <f>qPCR_Raw!B16</f>
        <v>44335</v>
      </c>
      <c r="D16" s="117" t="str">
        <f t="shared" si="0"/>
        <v>RN44335</v>
      </c>
      <c r="E16" s="117" t="str">
        <f t="shared" si="1"/>
        <v>RN443356</v>
      </c>
      <c r="F16" s="118">
        <f>qPCR_Raw!C16</f>
        <v>900</v>
      </c>
      <c r="G16" s="119">
        <f>qPCR_Raw!F16</f>
        <v>100</v>
      </c>
      <c r="H16" s="120">
        <f>qPCR_Raw!G16</f>
        <v>13.095625877380371</v>
      </c>
      <c r="I16" s="121" cm="1">
        <f t="array" ref="I16">_xlfn.IFS(H16="Undetermined", 0, qPCR_Raw!H16-qPCR_Raw!$H$242&lt;0, 0, qPCR_Raw!H16-qPCR_Raw!$H$242&gt;0, qPCR_Raw!H16-qPCR_Raw!$H$242)</f>
        <v>6366502.8614461264</v>
      </c>
      <c r="J16" s="122">
        <f>qPCR_Raw!K16</f>
        <v>15.347894668579102</v>
      </c>
      <c r="K16" s="121" cm="1">
        <f t="array" ref="K16">_xlfn.IFS(J16="Undetermined", 0, qPCR_Raw!L16-qPCR_Raw!$H$242&lt;0, 0, qPCR_Raw!L16-qPCR_Raw!$H$242&gt;0, qPCR_Raw!L16-qPCR_Raw!$H$242)</f>
        <v>1437276.8614461264</v>
      </c>
      <c r="L16" s="123" cm="1">
        <f t="array" ref="L16">_xlfn.IFS(AND(H16="Undetermined", J16="Undetermined"), "Undetermined", AND(I16=0, K16=0), "Undetermined", AND(I16=0, K16&gt;0), "Ten-Fold", AND(I16&gt;0, K16=0), "Undiluted", AND(H16&lt;&gt;"Undetermined", J16&lt;&gt;"Undetermined", I16&gt;0, K16&gt;0), 100*(-1+10^(-1/(H16-J16))))</f>
        <v>177.96923995755759</v>
      </c>
      <c r="M16" s="124" cm="1">
        <f t="array" ref="M16">_xlfn.IFS(L16="Undetermined", 0, L16="Undiluted", I16*$G16/$F16*1000, L16="Ten-Fold", K16*$G16/$F16*1000*10, L16&lt;0, K16*$G16/$F16*1000*10, L16&lt;120, I16*$G16/$F16*1000, L16&gt;120, K16*$G16/$F16*1000*10)</f>
        <v>1596974290.4956958</v>
      </c>
      <c r="N16" s="121">
        <f t="shared" si="2"/>
        <v>1121392480.7027545</v>
      </c>
      <c r="O16" s="121">
        <f t="shared" si="3"/>
        <v>672574245.4271189</v>
      </c>
      <c r="P16" s="121">
        <f t="shared" si="4"/>
        <v>475581809.79294103</v>
      </c>
      <c r="Q16" s="125" cm="1">
        <f t="array" ref="Q16">_xlfn.IFS(N16="DELETE", "DELETE", N16=0, 0, N16&gt;0,LOG10(N16))</f>
        <v>9.0497576396880604</v>
      </c>
      <c r="R16" s="126" cm="1">
        <f t="array" ref="R16">_xlfn.IFS(N16="DELETE", "DELETE", N16=0, 0, N16&gt;0, P16/N16/LN(10))</f>
        <v>0.18418400269386506</v>
      </c>
      <c r="S16" s="155">
        <f>qPCR_Raw!O16</f>
        <v>27.699651718139648</v>
      </c>
      <c r="T16" s="156" cm="1">
        <f t="array" ref="T16">_xlfn.IFS(S16="Undetermined", 0, qPCR_Raw!P16&lt;=1, 0, qPCR_Raw!P16&gt;1, qPCR_Raw!P16)</f>
        <v>981.20306396484375</v>
      </c>
      <c r="U16" s="157">
        <f>qPCR_Raw!R16</f>
        <v>30.816370010375977</v>
      </c>
      <c r="V16" s="156" cm="1">
        <f t="array" ref="V16">_xlfn.IFS(U16="Undetermined", 0, qPCR_Raw!S16&lt;=1, 0, qPCR_Raw!S16&gt;1, qPCR_Raw!S16)</f>
        <v>106.66553497314453</v>
      </c>
      <c r="W16" s="158" cm="1">
        <f t="array" ref="W16">_xlfn.IFS(AND(S16="Undetermined", U16="Undetermined"), "Undetermined", AND(T16=0, V16=0), "Undetermined", AND(T16=0, V16&gt;0), "Ten-Fold", AND(T16&gt;0, V16=0), "Undiluted", AND(S16&lt;&gt;"Undetermined", U16&lt;&gt;"Undetermined", T16&gt;0, V16&gt;0, S16&lt;&gt;U16), 100*(-1+10^(-1/(S16-U16))), AND(S16&lt;&gt;"Undetermined", U16&lt;&gt;"Undetermined", S16=U16&gt;0), -100)</f>
        <v>109.33907474102931</v>
      </c>
      <c r="X16" s="159" cm="1">
        <f t="array" ref="X16">_xlfn.IFS(W16="Undetermined", 0, W16="Undiluted", T16*$G16/$F16*1000, W16="Ten-Fold", V16*$G16/$F16*1000*10, W16&lt;0, V16*$G16/$F16*1000*10, W16&lt;120, T16*$G16/$F16*1000, W16&gt;120, V16*$G16/$F16*1000*10)</f>
        <v>109022.56266276042</v>
      </c>
      <c r="Y16" s="156">
        <f t="shared" si="5"/>
        <v>77162.920880061327</v>
      </c>
      <c r="Z16" s="156">
        <f t="shared" si="6"/>
        <v>45056.337501441587</v>
      </c>
      <c r="AA16" s="156">
        <f t="shared" si="7"/>
        <v>31859.641782699091</v>
      </c>
      <c r="AB16" s="160" cm="1">
        <f t="array" ref="AB16">_xlfn.IFS(Y16="DELETE", "DELETE", Y16=0, 0, Y16&gt;0,LOG10(Y16))</f>
        <v>4.8874086588122267</v>
      </c>
      <c r="AC16" s="161" cm="1">
        <f t="array" ref="AC16">_xlfn.IFS(Y16="DELETE", "DELETE", Y16=0, 0, Y16&gt;0, AA16/Y16/LN(10))</f>
        <v>0.17931496713489234</v>
      </c>
      <c r="AD16" s="120">
        <f>qPCR_Raw!U16</f>
        <v>22.613681793212891</v>
      </c>
      <c r="AE16" s="121" cm="1">
        <f t="array" ref="AE16">_xlfn.IFS(AD16="Undetermined", 0, qPCR_Raw!V16&lt;=1, 0, qPCR_Raw!V16&gt;1, qPCR_Raw!V16)</f>
        <v>3696.82080078125</v>
      </c>
      <c r="AF16" s="122">
        <f>qPCR_Raw!X16</f>
        <v>25.518779754638672</v>
      </c>
      <c r="AG16" s="121" cm="1">
        <f t="array" ref="AG16">_xlfn.IFS(AF16="Undetermined", 0, qPCR_Raw!Y16&lt;=1, 0, qPCR_Raw!Y16&gt;1, qPCR_Raw!Y16)</f>
        <v>555.8671875</v>
      </c>
      <c r="AH16" s="123" cm="1">
        <f t="array" ref="AH16">_xlfn.IFS(AND(AD16="Undetermined", AF16="Undetermined"), "Undetermined", AND(AE16=0, AG16=0), "Undetermined", AND(AE16=0, AG16&gt;0), "Ten-Fold", AND(AE16&gt;0, AG16=0), "Undiluted", AND(AD16&lt;&gt;"Undetermined", AF16&lt;&gt;"Undetermined", AE16&gt;0, AG16&gt;0, AD16&lt;&gt;AF16), 100*(-1+10^(-1/(AD16-AF16))), AND(AD16&lt;&gt;"Undetermined", AF16&lt;&gt;"Undetermined", AD16=AF16&gt;0), -100)</f>
        <v>120.91360938959087</v>
      </c>
      <c r="AI16" s="124" cm="1">
        <f t="array" ref="AI16">_xlfn.IFS(AH16="Undetermined", 0, AH16="Undiluted", AE16*$G16/$F16*1000, AH16="Ten-Fold", AG16*$G16/$F16*1000*10, AH16&lt;0, AG16*$G16/$F16*1000*10, AH16&lt;120, AE16*$G16/$F16*1000, AH16&gt;120, AG16*$G16/$F16*1000*10)</f>
        <v>617630.20833333337</v>
      </c>
      <c r="AJ16" s="121">
        <f t="shared" si="8"/>
        <v>525950.38957493287</v>
      </c>
      <c r="AK16" s="121">
        <f t="shared" si="9"/>
        <v>129654.84308403694</v>
      </c>
      <c r="AL16" s="121">
        <f t="shared" si="10"/>
        <v>91679.818758400259</v>
      </c>
      <c r="AM16" s="125" cm="1">
        <f t="array" ref="AM16">_xlfn.IFS(AJ16="DELETE", "DELETE", AJ16=0, 0, AJ16&gt;0,LOG10(AJ16))</f>
        <v>5.7209447811309939</v>
      </c>
      <c r="AN16" s="126" cm="1">
        <f t="array" ref="AN16">_xlfn.IFS(AJ16="DELETE", "DELETE", AJ16=0, 0, AJ16&gt;0, AL16/AJ16/LN(10))</f>
        <v>7.5703032411179191E-2</v>
      </c>
      <c r="AO16" s="155">
        <f>qPCR_Raw!AA16</f>
        <v>30.699953079223633</v>
      </c>
      <c r="AP16" s="156" cm="1">
        <f t="array" ref="AP16">_xlfn.IFS(AO16="Undetermined", 0, qPCR_Raw!AB16&lt;=6, 0, qPCR_Raw!AB16&gt;6, qPCR_Raw!AB16)</f>
        <v>0</v>
      </c>
      <c r="AQ16" s="157">
        <f>qPCR_Raw!AD16</f>
        <v>31.885061264038086</v>
      </c>
      <c r="AR16" s="156" cm="1">
        <f t="array" ref="AR16">_xlfn.IFS(AQ16="Undetermined", 0, qPCR_Raw!AE16&lt;=6, 0, qPCR_Raw!AE16&gt;6, qPCR_Raw!AE16)</f>
        <v>0</v>
      </c>
      <c r="AS16" s="158" t="str" cm="1">
        <f t="array" ref="AS16">_xlfn.IFS(AND(AO16="Undetermined", AQ16="Undetermined"), "Undetermined", AND(AP16=0, AR16=0), "Undetermined", AND(AP16=0, AR16&gt;0), "Ten-Fold", AND(AP16&gt;0, AR16=0), "Undiluted", AND(AO16&lt;&gt;"Undetermined", AQ16&lt;&gt;"Undetermined", AP16&gt;0, AR16&gt;0, AO16&lt;&gt;AQ16), 100*(-1+10^(-1/(AO16-AQ16))), AND(AO16&lt;&gt;"Undetermined", AQ16&lt;&gt;"Undetermined", AO16=AQ16&gt;0), -100)</f>
        <v>Undetermined</v>
      </c>
      <c r="AT16" s="159" cm="1">
        <f t="array" ref="AT16">_xlfn.IFS(AS16="Undetermined", 0, AS16="Undiluted", AP16*$G16/$F16*1000, AS16="Ten-Fold", AR16*$G16/$F16*1000*10, AS16&lt;0, AR16*$G16/$F16*1000*10, AS16&lt;120, AP16*$G16/$F16*1000, AS16&gt;120, AR16*$G16/$F16*1000*10)</f>
        <v>0</v>
      </c>
      <c r="AU16" s="156">
        <f t="shared" si="11"/>
        <v>0</v>
      </c>
      <c r="AV16" s="156">
        <f t="shared" si="12"/>
        <v>0</v>
      </c>
      <c r="AW16" s="156">
        <f t="shared" si="13"/>
        <v>0</v>
      </c>
      <c r="AX16" s="160" cm="1">
        <f t="array" ref="AX16">_xlfn.IFS(AU16="DELETE", "DELETE", AU16=0, 0, AU16&gt;0,LOG10(AU16))</f>
        <v>0</v>
      </c>
      <c r="AY16" s="161" cm="1">
        <f t="array" ref="AY16">_xlfn.IFS(AU16="DELETE", "DELETE", AU16=0, 0, AU16&gt;0, AW16/AU16/LN(10))</f>
        <v>0</v>
      </c>
      <c r="AZ16" s="120">
        <f>qPCR_Raw!AG16</f>
        <v>18.709680557250977</v>
      </c>
      <c r="BA16" s="121" cm="1">
        <f t="array" ref="BA16">_xlfn.IFS(AZ16="Undetermined", 0, qPCR_Raw!AH16&lt;=1, 0, qPCR_Raw!AH16&gt;1, qPCR_Raw!AH16)</f>
        <v>74548.9296875</v>
      </c>
      <c r="BB16" s="122">
        <f>qPCR_Raw!AJ16</f>
        <v>21.012155532836914</v>
      </c>
      <c r="BC16" s="121" cm="1">
        <f t="array" ref="BC16">_xlfn.IFS(BB16="Undetermined", 0, qPCR_Raw!AK16&lt;=1, 0, qPCR_Raw!AK16&gt;1, qPCR_Raw!AK16)</f>
        <v>17859.875</v>
      </c>
      <c r="BD16" s="123" cm="1">
        <f t="array" ref="BD16">_xlfn.IFS(AND(AZ16="Undetermined", BB16="Undetermined"), "Undetermined", AND(BA16=0, BC16=0), "Undetermined", AND(BA16=0, BC16&gt;0), "Ten-Fold", AND(BA16&gt;0, BC16=0), "Undiluted", AND(AZ16&lt;&gt;"Undetermined", BB16&lt;&gt;"Undetermined", BA16&gt;0, BC16&gt;0, AZ16&lt;&gt;BB16), 100*(-1+10^(-1/(AZ16-BB16))), AND(AZ16&lt;&gt;"Undetermined", BB16&lt;&gt;"Undetermined", AZ16=BB16&gt;0), -100)</f>
        <v>171.84118352172413</v>
      </c>
      <c r="BE16" s="124" cm="1">
        <f t="array" ref="BE16">_xlfn.IFS(BD16="Undetermined", 0, BD16="Undiluted", BA16*$G16/$F16*1000, BD16="Ten-Fold", BC16*$G16/$F16*1000*10, BD16&lt;0, BC16*$G16/$F16*1000*10, BD16&lt;120, BA16*$G16/$F16*1000, BD16&gt;120, BC16*$G16/$F16*1000*10)</f>
        <v>19844305.555555556</v>
      </c>
      <c r="BF16" s="121">
        <f t="shared" si="14"/>
        <v>12002271.461623544</v>
      </c>
      <c r="BG16" s="121">
        <f t="shared" si="15"/>
        <v>11090310.972230859</v>
      </c>
      <c r="BH16" s="121">
        <f t="shared" si="16"/>
        <v>7842034.093932013</v>
      </c>
      <c r="BI16" s="125" cm="1">
        <f t="array" ref="BI16">_xlfn.IFS(BF16="DELETE", "DELETE", BF16=0, 0, BF16&gt;0,LOG10(BF16))</f>
        <v>7.0792634452056076</v>
      </c>
      <c r="BJ16" s="126" cm="1">
        <f t="array" ref="BJ16">_xlfn.IFS(BF16="DELETE", "DELETE", BF16=0, 0, BF16&gt;0, BH16/BF16/LN(10))</f>
        <v>0.28375896552427626</v>
      </c>
    </row>
    <row r="17" spans="1:62" s="114" customFormat="1" x14ac:dyDescent="0.3">
      <c r="A17" s="115" t="str">
        <f>UPPER(LEFT(SUBSTITUTE(SUBSTITUTE(qPCR_Raw!A17,"-","")," ",""),2))&amp;RIGHT(SUBSTITUTE(SUBSTITUTE(qPCR_Raw!A17,"-","")," ",""),LEN(SUBSTITUTE(SUBSTITUTE(qPCR_Raw!A17,"-","")," ",""))-2)</f>
        <v>RG7</v>
      </c>
      <c r="B17" s="116" t="str" cm="1">
        <f t="array" ref="B17">_xlfn.IFS(LEFT(A17, LEN(A17)-1)="EP", "EP", LEFT(A17, LEN(A17)-1)="STa", "SPI", LEFT(A17, LEN(A17)-1)="STb", "SPO", LEFT(A17, LEN(A17)-1)="MRT", "MRT", LEFT(A17, LEN(A17)-1)="RG", "RN", LEFT(A17, LEN(A17)-1)="RT", "RU", LEFT(A17, LEN(A17)-1)="RW", "RL", LEFT(A17, LEN(A17)-1)="RC", "RS")</f>
        <v>RN</v>
      </c>
      <c r="C17" s="117">
        <f>qPCR_Raw!B17</f>
        <v>44335</v>
      </c>
      <c r="D17" s="117" t="str">
        <f t="shared" si="0"/>
        <v>RN44335</v>
      </c>
      <c r="E17" s="117" t="str">
        <f t="shared" si="1"/>
        <v>RN443357</v>
      </c>
      <c r="F17" s="118">
        <f>qPCR_Raw!C17</f>
        <v>930</v>
      </c>
      <c r="G17" s="119">
        <f>qPCR_Raw!F17</f>
        <v>100</v>
      </c>
      <c r="H17" s="120">
        <f>qPCR_Raw!G17</f>
        <v>14.033653259277344</v>
      </c>
      <c r="I17" s="121" cm="1">
        <f t="array" ref="I17">_xlfn.IFS(H17="Undetermined", 0, qPCR_Raw!H17-qPCR_Raw!$H$242&lt;0, 0, qPCR_Raw!H17-qPCR_Raw!$H$242&gt;0, qPCR_Raw!H17-qPCR_Raw!$H$242)</f>
        <v>3429301.6114461264</v>
      </c>
      <c r="J17" s="122">
        <f>qPCR_Raw!K17</f>
        <v>16.655725479125977</v>
      </c>
      <c r="K17" s="121" cm="1">
        <f t="array" ref="K17">_xlfn.IFS(J17="Undetermined", 0, qPCR_Raw!L17-qPCR_Raw!$H$242&lt;0, 0, qPCR_Raw!L17-qPCR_Raw!$H$242&gt;0, qPCR_Raw!L17-qPCR_Raw!$H$242)</f>
        <v>600603.92394612625</v>
      </c>
      <c r="L17" s="123" cm="1">
        <f t="array" ref="L17">_xlfn.IFS(AND(H17="Undetermined", J17="Undetermined"), "Undetermined", AND(I17=0, K17=0), "Undetermined", AND(I17=0, K17&gt;0), "Ten-Fold", AND(I17&gt;0, K17=0), "Undiluted", AND(H17&lt;&gt;"Undetermined", J17&lt;&gt;"Undetermined", I17&gt;0, K17&gt;0), 100*(-1+10^(-1/(H17-J17))))</f>
        <v>140.64550207140334</v>
      </c>
      <c r="M17" s="124" cm="1">
        <f t="array" ref="M17">_xlfn.IFS(L17="Undetermined", 0, L17="Undiluted", I17*$G17/$F17*1000, L17="Ten-Fold", K17*$G17/$F17*1000*10, L17&lt;0, K17*$G17/$F17*1000*10, L17&lt;120, I17*$G17/$F17*1000, L17&gt;120, K17*$G17/$F17*1000*10)</f>
        <v>645810670.90981317</v>
      </c>
      <c r="N17" s="121" t="str">
        <f t="shared" si="2"/>
        <v>DELETE</v>
      </c>
      <c r="O17" s="121" t="str">
        <f t="shared" si="3"/>
        <v>DELETE</v>
      </c>
      <c r="P17" s="121" t="str">
        <f t="shared" si="4"/>
        <v>DELETE</v>
      </c>
      <c r="Q17" s="125" t="str" cm="1">
        <f t="array" ref="Q17">_xlfn.IFS(N17="DELETE", "DELETE", N17=0, 0, N17&gt;0,LOG10(N17))</f>
        <v>DELETE</v>
      </c>
      <c r="R17" s="126" t="str" cm="1">
        <f t="array" ref="R17">_xlfn.IFS(N17="DELETE", "DELETE", N17=0, 0, N17&gt;0, P17/N17/LN(10))</f>
        <v>DELETE</v>
      </c>
      <c r="S17" s="155">
        <f>qPCR_Raw!O17</f>
        <v>28.887002944946289</v>
      </c>
      <c r="T17" s="156" cm="1">
        <f t="array" ref="T17">_xlfn.IFS(S17="Undetermined", 0, qPCR_Raw!P17&lt;=1, 0, qPCR_Raw!P17&gt;1, qPCR_Raw!P17)</f>
        <v>421.32049560546875</v>
      </c>
      <c r="U17" s="157">
        <f>qPCR_Raw!R17</f>
        <v>32.094371795654297</v>
      </c>
      <c r="V17" s="156" cm="1">
        <f t="array" ref="V17">_xlfn.IFS(U17="Undetermined", 0, qPCR_Raw!S17&lt;=1, 0, qPCR_Raw!S17&gt;1, qPCR_Raw!S17)</f>
        <v>42.938545227050781</v>
      </c>
      <c r="W17" s="158" cm="1">
        <f t="array" ref="W17">_xlfn.IFS(AND(S17="Undetermined", U17="Undetermined"), "Undetermined", AND(T17=0, V17=0), "Undetermined", AND(T17=0, V17&gt;0), "Ten-Fold", AND(T17&gt;0, V17=0), "Undiluted", AND(S17&lt;&gt;"Undetermined", U17&lt;&gt;"Undetermined", T17&gt;0, V17&gt;0, S17&lt;&gt;U17), 100*(-1+10^(-1/(S17-U17))), AND(S17&lt;&gt;"Undetermined", U17&lt;&gt;"Undetermined", S17=U17&gt;0), -100)</f>
        <v>105.01330125040286</v>
      </c>
      <c r="X17" s="159" cm="1">
        <f t="array" ref="X17">_xlfn.IFS(W17="Undetermined", 0, W17="Undiluted", T17*$G17/$F17*1000, W17="Ten-Fold", V17*$G17/$F17*1000*10, W17&lt;0, V17*$G17/$F17*1000*10, W17&lt;120, T17*$G17/$F17*1000, W17&gt;120, V17*$G17/$F17*1000*10)</f>
        <v>45303.279097362225</v>
      </c>
      <c r="Y17" s="156" t="str">
        <f t="shared" si="5"/>
        <v>DELETE</v>
      </c>
      <c r="Z17" s="156" t="str">
        <f t="shared" si="6"/>
        <v>DELETE</v>
      </c>
      <c r="AA17" s="156" t="str">
        <f t="shared" si="7"/>
        <v>DELETE</v>
      </c>
      <c r="AB17" s="160" t="str" cm="1">
        <f t="array" ref="AB17">_xlfn.IFS(Y17="DELETE", "DELETE", Y17=0, 0, Y17&gt;0,LOG10(Y17))</f>
        <v>DELETE</v>
      </c>
      <c r="AC17" s="161" t="str" cm="1">
        <f t="array" ref="AC17">_xlfn.IFS(Y17="DELETE", "DELETE", Y17=0, 0, Y17&gt;0, AA17/Y17/LN(10))</f>
        <v>DELETE</v>
      </c>
      <c r="AD17" s="120">
        <f>qPCR_Raw!U17</f>
        <v>22.478057861328125</v>
      </c>
      <c r="AE17" s="121" cm="1">
        <f t="array" ref="AE17">_xlfn.IFS(AD17="Undetermined", 0, qPCR_Raw!V17&lt;=1, 0, qPCR_Raw!V17&gt;1, qPCR_Raw!V17)</f>
        <v>4038.71630859375</v>
      </c>
      <c r="AF17" s="122">
        <f>qPCR_Raw!X17</f>
        <v>25.783369064331055</v>
      </c>
      <c r="AG17" s="121" cm="1">
        <f t="array" ref="AG17">_xlfn.IFS(AF17="Undetermined", 0, qPCR_Raw!Y17&lt;=1, 0, qPCR_Raw!Y17&gt;1, qPCR_Raw!Y17)</f>
        <v>467.764404296875</v>
      </c>
      <c r="AH17" s="123" cm="1">
        <f t="array" ref="AH17">_xlfn.IFS(AND(AD17="Undetermined", AF17="Undetermined"), "Undetermined", AND(AE17=0, AG17=0), "Undetermined", AND(AE17=0, AG17&gt;0), "Ten-Fold", AND(AE17&gt;0, AG17=0), "Undiluted", AND(AD17&lt;&gt;"Undetermined", AF17&lt;&gt;"Undetermined", AE17&gt;0, AG17&gt;0, AD17&lt;&gt;AF17), 100*(-1+10^(-1/(AD17-AF17))), AND(AD17&lt;&gt;"Undetermined", AF17&lt;&gt;"Undetermined", AD17=AF17&gt;0), -100)</f>
        <v>100.69815170611048</v>
      </c>
      <c r="AI17" s="124" cm="1">
        <f t="array" ref="AI17">_xlfn.IFS(AH17="Undetermined", 0, AH17="Undiluted", AE17*$G17/$F17*1000, AH17="Ten-Fold", AG17*$G17/$F17*1000*10, AH17&lt;0, AG17*$G17/$F17*1000*10, AH17&lt;120, AE17*$G17/$F17*1000, AH17&gt;120, AG17*$G17/$F17*1000*10)</f>
        <v>434270.57081653224</v>
      </c>
      <c r="AJ17" s="121" t="str">
        <f t="shared" si="8"/>
        <v>DELETE</v>
      </c>
      <c r="AK17" s="121" t="str">
        <f t="shared" si="9"/>
        <v>DELETE</v>
      </c>
      <c r="AL17" s="121" t="str">
        <f t="shared" si="10"/>
        <v>DELETE</v>
      </c>
      <c r="AM17" s="125" t="str" cm="1">
        <f t="array" ref="AM17">_xlfn.IFS(AJ17="DELETE", "DELETE", AJ17=0, 0, AJ17&gt;0,LOG10(AJ17))</f>
        <v>DELETE</v>
      </c>
      <c r="AN17" s="126" t="str" cm="1">
        <f t="array" ref="AN17">_xlfn.IFS(AJ17="DELETE", "DELETE", AJ17=0, 0, AJ17&gt;0, AL17/AJ17/LN(10))</f>
        <v>DELETE</v>
      </c>
      <c r="AO17" s="155">
        <f>qPCR_Raw!AA17</f>
        <v>31.274370193481445</v>
      </c>
      <c r="AP17" s="156" cm="1">
        <f t="array" ref="AP17">_xlfn.IFS(AO17="Undetermined", 0, qPCR_Raw!AB17&lt;=6, 0, qPCR_Raw!AB17&gt;6, qPCR_Raw!AB17)</f>
        <v>0</v>
      </c>
      <c r="AQ17" s="157" t="str">
        <f>qPCR_Raw!AD17</f>
        <v>Undetermined</v>
      </c>
      <c r="AR17" s="156" cm="1">
        <f t="array" ref="AR17">_xlfn.IFS(AQ17="Undetermined", 0, qPCR_Raw!AE17&lt;=6, 0, qPCR_Raw!AE17&gt;6, qPCR_Raw!AE17)</f>
        <v>0</v>
      </c>
      <c r="AS17" s="158" t="str" cm="1">
        <f t="array" ref="AS17">_xlfn.IFS(AND(AO17="Undetermined", AQ17="Undetermined"), "Undetermined", AND(AP17=0, AR17=0), "Undetermined", AND(AP17=0, AR17&gt;0), "Ten-Fold", AND(AP17&gt;0, AR17=0), "Undiluted", AND(AO17&lt;&gt;"Undetermined", AQ17&lt;&gt;"Undetermined", AP17&gt;0, AR17&gt;0, AO17&lt;&gt;AQ17), 100*(-1+10^(-1/(AO17-AQ17))), AND(AO17&lt;&gt;"Undetermined", AQ17&lt;&gt;"Undetermined", AO17=AQ17&gt;0), -100)</f>
        <v>Undetermined</v>
      </c>
      <c r="AT17" s="159" cm="1">
        <f t="array" ref="AT17">_xlfn.IFS(AS17="Undetermined", 0, AS17="Undiluted", AP17*$G17/$F17*1000, AS17="Ten-Fold", AR17*$G17/$F17*1000*10, AS17&lt;0, AR17*$G17/$F17*1000*10, AS17&lt;120, AP17*$G17/$F17*1000, AS17&gt;120, AR17*$G17/$F17*1000*10)</f>
        <v>0</v>
      </c>
      <c r="AU17" s="156" t="str">
        <f t="shared" si="11"/>
        <v>DELETE</v>
      </c>
      <c r="AV17" s="156" t="str">
        <f t="shared" si="12"/>
        <v>DELETE</v>
      </c>
      <c r="AW17" s="156" t="str">
        <f t="shared" si="13"/>
        <v>DELETE</v>
      </c>
      <c r="AX17" s="160" t="str" cm="1">
        <f t="array" ref="AX17">_xlfn.IFS(AU17="DELETE", "DELETE", AU17=0, 0, AU17&gt;0,LOG10(AU17))</f>
        <v>DELETE</v>
      </c>
      <c r="AY17" s="161" t="str" cm="1">
        <f t="array" ref="AY17">_xlfn.IFS(AU17="DELETE", "DELETE", AU17=0, 0, AU17&gt;0, AW17/AU17/LN(10))</f>
        <v>DELETE</v>
      </c>
      <c r="AZ17" s="120">
        <f>qPCR_Raw!AG17</f>
        <v>20.656650543212891</v>
      </c>
      <c r="BA17" s="121" cm="1">
        <f t="array" ref="BA17">_xlfn.IFS(AZ17="Undetermined", 0, qPCR_Raw!AH17&lt;=1, 0, qPCR_Raw!AH17&gt;1, qPCR_Raw!AH17)</f>
        <v>22268.662109375</v>
      </c>
      <c r="BB17" s="122">
        <f>qPCR_Raw!AJ17</f>
        <v>23.476823806762695</v>
      </c>
      <c r="BC17" s="121" cm="1">
        <f t="array" ref="BC17">_xlfn.IFS(BB17="Undetermined", 0, qPCR_Raw!AK17&lt;=1, 0, qPCR_Raw!AK17&gt;1, qPCR_Raw!AK17)</f>
        <v>3869.020751953125</v>
      </c>
      <c r="BD17" s="123" cm="1">
        <f t="array" ref="BD17">_xlfn.IFS(AND(AZ17="Undetermined", BB17="Undetermined"), "Undetermined", AND(BA17=0, BC17=0), "Undetermined", AND(BA17=0, BC17&gt;0), "Ten-Fold", AND(BA17&gt;0, BC17=0), "Undiluted", AND(AZ17&lt;&gt;"Undetermined", BB17&lt;&gt;"Undetermined", BA17&gt;0, BC17&gt;0, AZ17&lt;&gt;BB17), 100*(-1+10^(-1/(AZ17-BB17))), AND(AZ17&lt;&gt;"Undetermined", BB17&lt;&gt;"Undetermined", AZ17=BB17&gt;0), -100)</f>
        <v>126.24976815188269</v>
      </c>
      <c r="BE17" s="124" cm="1">
        <f t="array" ref="BE17">_xlfn.IFS(BD17="Undetermined", 0, BD17="Undiluted", BA17*$G17/$F17*1000, BD17="Ten-Fold", BC17*$G17/$F17*1000*10, BD17&lt;0, BC17*$G17/$F17*1000*10, BD17&lt;120, BA17*$G17/$F17*1000, BD17&gt;120, BC17*$G17/$F17*1000*10)</f>
        <v>4160237.3676915322</v>
      </c>
      <c r="BF17" s="121" t="str">
        <f t="shared" si="14"/>
        <v>DELETE</v>
      </c>
      <c r="BG17" s="121" t="str">
        <f t="shared" si="15"/>
        <v>DELETE</v>
      </c>
      <c r="BH17" s="121" t="str">
        <f t="shared" si="16"/>
        <v>DELETE</v>
      </c>
      <c r="BI17" s="125" t="str" cm="1">
        <f t="array" ref="BI17">_xlfn.IFS(BF17="DELETE", "DELETE", BF17=0, 0, BF17&gt;0,LOG10(BF17))</f>
        <v>DELETE</v>
      </c>
      <c r="BJ17" s="126" t="str" cm="1">
        <f t="array" ref="BJ17">_xlfn.IFS(BF17="DELETE", "DELETE", BF17=0, 0, BF17&gt;0, BH17/BF17/LN(10))</f>
        <v>DELETE</v>
      </c>
    </row>
    <row r="18" spans="1:62" s="114" customFormat="1" x14ac:dyDescent="0.3">
      <c r="A18" s="115" t="str">
        <f>UPPER(LEFT(SUBSTITUTE(SUBSTITUTE(qPCR_Raw!A18,"-","")," ",""),2))&amp;RIGHT(SUBSTITUTE(SUBSTITUTE(qPCR_Raw!A18,"-","")," ",""),LEN(SUBSTITUTE(SUBSTITUTE(qPCR_Raw!A18,"-","")," ",""))-2)</f>
        <v>STa6</v>
      </c>
      <c r="B18" s="116" t="str" cm="1">
        <f t="array" ref="B18">_xlfn.IFS(LEFT(A18, LEN(A18)-1)="EP", "EP", LEFT(A18, LEN(A18)-1)="STa", "SPI", LEFT(A18, LEN(A18)-1)="STb", "SPO", LEFT(A18, LEN(A18)-1)="MRT", "MRT", LEFT(A18, LEN(A18)-1)="RG", "RN", LEFT(A18, LEN(A18)-1)="RT", "RU", LEFT(A18, LEN(A18)-1)="RW", "RL", LEFT(A18, LEN(A18)-1)="RC", "RS")</f>
        <v>SPI</v>
      </c>
      <c r="C18" s="117">
        <f>qPCR_Raw!B18</f>
        <v>44335</v>
      </c>
      <c r="D18" s="117" t="str">
        <f t="shared" si="0"/>
        <v>SPI44335</v>
      </c>
      <c r="E18" s="117" t="str">
        <f t="shared" si="1"/>
        <v>SPI443356</v>
      </c>
      <c r="F18" s="118">
        <f>qPCR_Raw!C18</f>
        <v>1000</v>
      </c>
      <c r="G18" s="119">
        <f>qPCR_Raw!F18</f>
        <v>100</v>
      </c>
      <c r="H18" s="120">
        <f>qPCR_Raw!G18</f>
        <v>18.736507415771484</v>
      </c>
      <c r="I18" s="121" cm="1">
        <f t="array" ref="I18">_xlfn.IFS(H18="Undetermined", 0, qPCR_Raw!H18-qPCR_Raw!$H$242&lt;0, 0, qPCR_Raw!H18-qPCR_Raw!$H$242&gt;0, qPCR_Raw!H18-qPCR_Raw!$H$242)</f>
        <v>143159.29894612631</v>
      </c>
      <c r="J18" s="122">
        <f>qPCR_Raw!K18</f>
        <v>22.218088150024414</v>
      </c>
      <c r="K18" s="121" cm="1">
        <f t="array" ref="K18">_xlfn.IFS(J18="Undetermined", 0, qPCR_Raw!L18-qPCR_Raw!$H$242&lt;0, 0, qPCR_Raw!L18-qPCR_Raw!$H$242&gt;0, qPCR_Raw!L18-qPCR_Raw!$H$242)</f>
        <v>2831.2227742513023</v>
      </c>
      <c r="L18" s="123" cm="1">
        <f t="array" ref="L18">_xlfn.IFS(AND(H18="Undetermined", J18="Undetermined"), "Undetermined", AND(I18=0, K18=0), "Undetermined", AND(I18=0, K18&gt;0), "Ten-Fold", AND(I18&gt;0, K18=0), "Undiluted", AND(H18&lt;&gt;"Undetermined", J18&lt;&gt;"Undetermined", I18&gt;0, K18&gt;0), 100*(-1+10^(-1/(H18-J18))))</f>
        <v>93.742925874622472</v>
      </c>
      <c r="M18" s="124" cm="1">
        <f t="array" ref="M18">_xlfn.IFS(L18="Undetermined", 0, L18="Undiluted", I18*$G18/$F18*1000, L18="Ten-Fold", K18*$G18/$F18*1000*10, L18&lt;0, K18*$G18/$F18*1000*10, L18&lt;120, I18*$G18/$F18*1000, L18&gt;120, K18*$G18/$F18*1000*10)</f>
        <v>14315929.894612631</v>
      </c>
      <c r="N18" s="121">
        <f t="shared" si="2"/>
        <v>17735687.835008629</v>
      </c>
      <c r="O18" s="121">
        <f t="shared" si="3"/>
        <v>4836268.0593410945</v>
      </c>
      <c r="P18" s="121">
        <f t="shared" si="4"/>
        <v>3419757.9403959918</v>
      </c>
      <c r="Q18" s="125" cm="1">
        <f t="array" ref="Q18">_xlfn.IFS(N18="DELETE", "DELETE", N18=0, 0, N18&gt;0,LOG10(N18))</f>
        <v>7.2488480361773453</v>
      </c>
      <c r="R18" s="126" cm="1">
        <f t="array" ref="R18">_xlfn.IFS(N18="DELETE", "DELETE", N18=0, 0, N18&gt;0, P18/N18/LN(10))</f>
        <v>8.3739746480381488E-2</v>
      </c>
      <c r="S18" s="155">
        <f>qPCR_Raw!O18</f>
        <v>28.67108154296875</v>
      </c>
      <c r="T18" s="156" cm="1">
        <f t="array" ref="T18">_xlfn.IFS(S18="Undetermined", 0, qPCR_Raw!P18&lt;=1, 0, qPCR_Raw!P18&gt;1, qPCR_Raw!P18)</f>
        <v>491.33602905273438</v>
      </c>
      <c r="U18" s="157">
        <f>qPCR_Raw!R18</f>
        <v>32.215251922607422</v>
      </c>
      <c r="V18" s="156" cm="1">
        <f t="array" ref="V18">_xlfn.IFS(U18="Undetermined", 0, qPCR_Raw!S18&lt;=1, 0, qPCR_Raw!S18&gt;1, qPCR_Raw!S18)</f>
        <v>39.397567749023438</v>
      </c>
      <c r="W18" s="158" cm="1">
        <f t="array" ref="W18">_xlfn.IFS(AND(S18="Undetermined", U18="Undetermined"), "Undetermined", AND(T18=0, V18=0), "Undetermined", AND(T18=0, V18&gt;0), "Ten-Fold", AND(T18&gt;0, V18=0), "Undiluted", AND(S18&lt;&gt;"Undetermined", U18&lt;&gt;"Undetermined", T18&gt;0, V18&gt;0, S18&lt;&gt;U18), 100*(-1+10^(-1/(S18-U18))), AND(S18&lt;&gt;"Undetermined", U18&lt;&gt;"Undetermined", S18=U18&gt;0), -100)</f>
        <v>91.493253619914583</v>
      </c>
      <c r="X18" s="159" cm="1">
        <f t="array" ref="X18">_xlfn.IFS(W18="Undetermined", 0, W18="Undiluted", T18*$G18/$F18*1000, W18="Ten-Fold", V18*$G18/$F18*1000*10, W18&lt;0, V18*$G18/$F18*1000*10, W18&lt;120, T18*$G18/$F18*1000, W18&gt;120, V18*$G18/$F18*1000*10)</f>
        <v>49133.602905273438</v>
      </c>
      <c r="Y18" s="156">
        <f t="shared" si="5"/>
        <v>52716.432091497605</v>
      </c>
      <c r="Z18" s="156">
        <f t="shared" si="6"/>
        <v>5066.8856268243771</v>
      </c>
      <c r="AA18" s="156">
        <f t="shared" si="7"/>
        <v>3582.8291862241672</v>
      </c>
      <c r="AB18" s="160" cm="1">
        <f t="array" ref="AB18">_xlfn.IFS(Y18="DELETE", "DELETE", Y18=0, 0, Y18&gt;0,LOG10(Y18))</f>
        <v>4.721946009032651</v>
      </c>
      <c r="AC18" s="161" cm="1">
        <f t="array" ref="AC18">_xlfn.IFS(Y18="DELETE", "DELETE", Y18=0, 0, Y18&gt;0, AA18/Y18/LN(10))</f>
        <v>2.9516469219282287E-2</v>
      </c>
      <c r="AD18" s="120">
        <f>qPCR_Raw!U18</f>
        <v>32.866687774658203</v>
      </c>
      <c r="AE18" s="121" cm="1">
        <f t="array" ref="AE18">_xlfn.IFS(AD18="Undetermined", 0, qPCR_Raw!V18&lt;=1, 0, qPCR_Raw!V18&gt;1, qPCR_Raw!V18)</f>
        <v>4.6100482940673828</v>
      </c>
      <c r="AF18" s="122">
        <f>qPCR_Raw!X18</f>
        <v>36.549530029296875</v>
      </c>
      <c r="AG18" s="121" cm="1">
        <f t="array" ref="AG18">_xlfn.IFS(AF18="Undetermined", 0, qPCR_Raw!Y18&lt;=1, 0, qPCR_Raw!Y18&gt;1, qPCR_Raw!Y18)</f>
        <v>0</v>
      </c>
      <c r="AH18" s="123" t="str" cm="1">
        <f t="array" ref="AH18">_xlfn.IFS(AND(AD18="Undetermined", AF18="Undetermined"), "Undetermined", AND(AE18=0, AG18=0), "Undetermined", AND(AE18=0, AG18&gt;0), "Ten-Fold", AND(AE18&gt;0, AG18=0), "Undiluted", AND(AD18&lt;&gt;"Undetermined", AF18&lt;&gt;"Undetermined", AE18&gt;0, AG18&gt;0, AD18&lt;&gt;AF18), 100*(-1+10^(-1/(AD18-AF18))), AND(AD18&lt;&gt;"Undetermined", AF18&lt;&gt;"Undetermined", AD18=AF18&gt;0), -100)</f>
        <v>Undiluted</v>
      </c>
      <c r="AI18" s="124" cm="1">
        <f t="array" ref="AI18">_xlfn.IFS(AH18="Undetermined", 0, AH18="Undiluted", AE18*$G18/$F18*1000, AH18="Ten-Fold", AG18*$G18/$F18*1000*10, AH18&lt;0, AG18*$G18/$F18*1000*10, AH18&lt;120, AE18*$G18/$F18*1000, AH18&gt;120, AG18*$G18/$F18*1000*10)</f>
        <v>461.00482940673828</v>
      </c>
      <c r="AJ18" s="121">
        <f t="shared" si="8"/>
        <v>349.56291055166594</v>
      </c>
      <c r="AK18" s="121">
        <f t="shared" si="9"/>
        <v>157.60267306172531</v>
      </c>
      <c r="AL18" s="121">
        <f t="shared" si="10"/>
        <v>111.44191885507239</v>
      </c>
      <c r="AM18" s="125" cm="1">
        <f t="array" ref="AM18">_xlfn.IFS(AJ18="DELETE", "DELETE", AJ18=0, 0, AJ18&gt;0,LOG10(AJ18))</f>
        <v>2.5435253467391021</v>
      </c>
      <c r="AN18" s="126" cm="1">
        <f t="array" ref="AN18">_xlfn.IFS(AJ18="DELETE", "DELETE", AJ18=0, 0, AJ18&gt;0, AL18/AJ18/LN(10))</f>
        <v>0.13845464993722353</v>
      </c>
      <c r="AO18" s="155">
        <f>qPCR_Raw!AA18</f>
        <v>29.467681884765625</v>
      </c>
      <c r="AP18" s="156" cm="1">
        <f t="array" ref="AP18">_xlfn.IFS(AO18="Undetermined", 0, qPCR_Raw!AB18&lt;=6, 0, qPCR_Raw!AB18&gt;6, qPCR_Raw!AB18)</f>
        <v>0</v>
      </c>
      <c r="AQ18" s="157" t="str">
        <f>qPCR_Raw!AD18</f>
        <v>Undetermined</v>
      </c>
      <c r="AR18" s="156" cm="1">
        <f t="array" ref="AR18">_xlfn.IFS(AQ18="Undetermined", 0, qPCR_Raw!AE18&lt;=6, 0, qPCR_Raw!AE18&gt;6, qPCR_Raw!AE18)</f>
        <v>0</v>
      </c>
      <c r="AS18" s="158" t="str" cm="1">
        <f t="array" ref="AS18">_xlfn.IFS(AND(AO18="Undetermined", AQ18="Undetermined"), "Undetermined", AND(AP18=0, AR18=0), "Undetermined", AND(AP18=0, AR18&gt;0), "Ten-Fold", AND(AP18&gt;0, AR18=0), "Undiluted", AND(AO18&lt;&gt;"Undetermined", AQ18&lt;&gt;"Undetermined", AP18&gt;0, AR18&gt;0, AO18&lt;&gt;AQ18), 100*(-1+10^(-1/(AO18-AQ18))), AND(AO18&lt;&gt;"Undetermined", AQ18&lt;&gt;"Undetermined", AO18=AQ18&gt;0), -100)</f>
        <v>Undetermined</v>
      </c>
      <c r="AT18" s="159" cm="1">
        <f t="array" ref="AT18">_xlfn.IFS(AS18="Undetermined", 0, AS18="Undiluted", AP18*$G18/$F18*1000, AS18="Ten-Fold", AR18*$G18/$F18*1000*10, AS18&lt;0, AR18*$G18/$F18*1000*10, AS18&lt;120, AP18*$G18/$F18*1000, AS18&gt;120, AR18*$G18/$F18*1000*10)</f>
        <v>0</v>
      </c>
      <c r="AU18" s="156">
        <f t="shared" si="11"/>
        <v>0</v>
      </c>
      <c r="AV18" s="156">
        <f t="shared" si="12"/>
        <v>0</v>
      </c>
      <c r="AW18" s="156">
        <f t="shared" si="13"/>
        <v>0</v>
      </c>
      <c r="AX18" s="160" cm="1">
        <f t="array" ref="AX18">_xlfn.IFS(AU18="DELETE", "DELETE", AU18=0, 0, AU18&gt;0,LOG10(AU18))</f>
        <v>0</v>
      </c>
      <c r="AY18" s="161" cm="1">
        <f t="array" ref="AY18">_xlfn.IFS(AU18="DELETE", "DELETE", AU18=0, 0, AU18&gt;0, AW18/AU18/LN(10))</f>
        <v>0</v>
      </c>
      <c r="AZ18" s="120">
        <f>qPCR_Raw!AG18</f>
        <v>34.7330322265625</v>
      </c>
      <c r="BA18" s="121" cm="1">
        <f t="array" ref="BA18">_xlfn.IFS(AZ18="Undetermined", 0, qPCR_Raw!AH18&lt;=1, 0, qPCR_Raw!AH18&gt;1, qPCR_Raw!AH18)</f>
        <v>3.5795459747314453</v>
      </c>
      <c r="BB18" s="122" t="str">
        <f>qPCR_Raw!AJ18</f>
        <v>Undetermined</v>
      </c>
      <c r="BC18" s="121" cm="1">
        <f t="array" ref="BC18">_xlfn.IFS(BB18="Undetermined", 0, qPCR_Raw!AK18&lt;=1, 0, qPCR_Raw!AK18&gt;1, qPCR_Raw!AK18)</f>
        <v>0</v>
      </c>
      <c r="BD18" s="123" t="str" cm="1">
        <f t="array" ref="BD18">_xlfn.IFS(AND(AZ18="Undetermined", BB18="Undetermined"), "Undetermined", AND(BA18=0, BC18=0), "Undetermined", AND(BA18=0, BC18&gt;0), "Ten-Fold", AND(BA18&gt;0, BC18=0), "Undiluted", AND(AZ18&lt;&gt;"Undetermined", BB18&lt;&gt;"Undetermined", BA18&gt;0, BC18&gt;0, AZ18&lt;&gt;BB18), 100*(-1+10^(-1/(AZ18-BB18))), AND(AZ18&lt;&gt;"Undetermined", BB18&lt;&gt;"Undetermined", AZ18=BB18&gt;0), -100)</f>
        <v>Undiluted</v>
      </c>
      <c r="BE18" s="124" cm="1">
        <f t="array" ref="BE18">_xlfn.IFS(BD18="Undetermined", 0, BD18="Undiluted", BA18*$G18/$F18*1000, BD18="Ten-Fold", BC18*$G18/$F18*1000*10, BD18&lt;0, BC18*$G18/$F18*1000*10, BD18&lt;120, BA18*$G18/$F18*1000, BD18&gt;120, BC18*$G18/$F18*1000*10)</f>
        <v>357.95459747314453</v>
      </c>
      <c r="BF18" s="121">
        <f t="shared" si="14"/>
        <v>336.88556404523951</v>
      </c>
      <c r="BG18" s="121">
        <f t="shared" si="15"/>
        <v>29.79611281983539</v>
      </c>
      <c r="BH18" s="121">
        <f t="shared" si="16"/>
        <v>21.069033427905026</v>
      </c>
      <c r="BI18" s="125" cm="1">
        <f t="array" ref="BI18">_xlfn.IFS(BF18="DELETE", "DELETE", BF18=0, 0, BF18&gt;0,LOG10(BF18))</f>
        <v>2.5274824013348796</v>
      </c>
      <c r="BJ18" s="126" cm="1">
        <f t="array" ref="BJ18">_xlfn.IFS(BF18="DELETE", "DELETE", BF18=0, 0, BF18&gt;0, BH18/BF18/LN(10))</f>
        <v>2.7161047944297051E-2</v>
      </c>
    </row>
    <row r="19" spans="1:62" s="114" customFormat="1" x14ac:dyDescent="0.3">
      <c r="A19" s="115" t="str">
        <f>UPPER(LEFT(SUBSTITUTE(SUBSTITUTE(qPCR_Raw!A19,"-","")," ",""),2))&amp;RIGHT(SUBSTITUTE(SUBSTITUTE(qPCR_Raw!A19,"-","")," ",""),LEN(SUBSTITUTE(SUBSTITUTE(qPCR_Raw!A19,"-","")," ",""))-2)</f>
        <v>STa7</v>
      </c>
      <c r="B19" s="116" t="str" cm="1">
        <f t="array" ref="B19">_xlfn.IFS(LEFT(A19, LEN(A19)-1)="EP", "EP", LEFT(A19, LEN(A19)-1)="STa", "SPI", LEFT(A19, LEN(A19)-1)="STb", "SPO", LEFT(A19, LEN(A19)-1)="MRT", "MRT", LEFT(A19, LEN(A19)-1)="RG", "RN", LEFT(A19, LEN(A19)-1)="RT", "RU", LEFT(A19, LEN(A19)-1)="RW", "RL", LEFT(A19, LEN(A19)-1)="RC", "RS")</f>
        <v>SPI</v>
      </c>
      <c r="C19" s="117">
        <f>qPCR_Raw!B19</f>
        <v>44335</v>
      </c>
      <c r="D19" s="117" t="str">
        <f t="shared" si="0"/>
        <v>SPI44335</v>
      </c>
      <c r="E19" s="117" t="str">
        <f t="shared" si="1"/>
        <v>SPI443357</v>
      </c>
      <c r="F19" s="118">
        <f>qPCR_Raw!C19</f>
        <v>930</v>
      </c>
      <c r="G19" s="119">
        <f>qPCR_Raw!F19</f>
        <v>100</v>
      </c>
      <c r="H19" s="120">
        <f>qPCR_Raw!G19</f>
        <v>18.578975677490234</v>
      </c>
      <c r="I19" s="121" cm="1">
        <f t="array" ref="I19">_xlfn.IFS(H19="Undetermined", 0, qPCR_Raw!H19-qPCR_Raw!$H$242&lt;0, 0, qPCR_Raw!H19-qPCR_Raw!$H$242&gt;0, qPCR_Raw!H19-qPCR_Raw!$H$242)</f>
        <v>160205.06457112631</v>
      </c>
      <c r="J19" s="122">
        <f>qPCR_Raw!K19</f>
        <v>21.115510940551758</v>
      </c>
      <c r="K19" s="121" cm="1">
        <f t="array" ref="K19">_xlfn.IFS(J19="Undetermined", 0, qPCR_Raw!L19-qPCR_Raw!$H$242&lt;0, 0, qPCR_Raw!L19-qPCR_Raw!$H$242&gt;0, qPCR_Raw!L19-qPCR_Raw!$H$242)</f>
        <v>19674.564571126302</v>
      </c>
      <c r="L19" s="123" cm="1">
        <f t="array" ref="L19">_xlfn.IFS(AND(H19="Undetermined", J19="Undetermined"), "Undetermined", AND(I19=0, K19=0), "Undetermined", AND(I19=0, K19&gt;0), "Ten-Fold", AND(I19&gt;0, K19=0), "Undiluted", AND(H19&lt;&gt;"Undetermined", J19&lt;&gt;"Undetermined", I19&gt;0, K19&gt;0), 100*(-1+10^(-1/(H19-J19))))</f>
        <v>147.87832696712627</v>
      </c>
      <c r="M19" s="124" cm="1">
        <f t="array" ref="M19">_xlfn.IFS(L19="Undetermined", 0, L19="Undiluted", I19*$G19/$F19*1000, L19="Ten-Fold", K19*$G19/$F19*1000*10, L19&lt;0, K19*$G19/$F19*1000*10, L19&lt;120, I19*$G19/$F19*1000, L19&gt;120, K19*$G19/$F19*1000*10)</f>
        <v>21155445.775404625</v>
      </c>
      <c r="N19" s="121" t="str">
        <f t="shared" si="2"/>
        <v>DELETE</v>
      </c>
      <c r="O19" s="121" t="str">
        <f t="shared" si="3"/>
        <v>DELETE</v>
      </c>
      <c r="P19" s="121" t="str">
        <f t="shared" si="4"/>
        <v>DELETE</v>
      </c>
      <c r="Q19" s="125" t="str" cm="1">
        <f t="array" ref="Q19">_xlfn.IFS(N19="DELETE", "DELETE", N19=0, 0, N19&gt;0,LOG10(N19))</f>
        <v>DELETE</v>
      </c>
      <c r="R19" s="126" t="str" cm="1">
        <f t="array" ref="R19">_xlfn.IFS(N19="DELETE", "DELETE", N19=0, 0, N19&gt;0, P19/N19/LN(10))</f>
        <v>DELETE</v>
      </c>
      <c r="S19" s="155">
        <f>qPCR_Raw!O19</f>
        <v>28.58180046081543</v>
      </c>
      <c r="T19" s="156" cm="1">
        <f t="array" ref="T19">_xlfn.IFS(S19="Undetermined", 0, qPCR_Raw!P19&lt;=1, 0, qPCR_Raw!P19&gt;1, qPCR_Raw!P19)</f>
        <v>523.5831298828125</v>
      </c>
      <c r="U19" s="157">
        <f>qPCR_Raw!R19</f>
        <v>31.610774993896484</v>
      </c>
      <c r="V19" s="156" cm="1">
        <f t="array" ref="V19">_xlfn.IFS(U19="Undetermined", 0, qPCR_Raw!S19&lt;=1, 0, qPCR_Raw!S19&gt;1, qPCR_Raw!S19)</f>
        <v>60.587425231933594</v>
      </c>
      <c r="W19" s="158" cm="1">
        <f t="array" ref="W19">_xlfn.IFS(AND(S19="Undetermined", U19="Undetermined"), "Undetermined", AND(T19=0, V19=0), "Undetermined", AND(T19=0, V19&gt;0), "Ten-Fold", AND(T19&gt;0, V19=0), "Undiluted", AND(S19&lt;&gt;"Undetermined", U19&lt;&gt;"Undetermined", T19&gt;0, V19&gt;0, S19&lt;&gt;U19), 100*(-1+10^(-1/(S19-U19))), AND(S19&lt;&gt;"Undetermined", U19&lt;&gt;"Undetermined", S19=U19&gt;0), -100)</f>
        <v>113.86747243043698</v>
      </c>
      <c r="X19" s="159" cm="1">
        <f t="array" ref="X19">_xlfn.IFS(W19="Undetermined", 0, W19="Undiluted", T19*$G19/$F19*1000, W19="Ten-Fold", V19*$G19/$F19*1000*10, W19&lt;0, V19*$G19/$F19*1000*10, W19&lt;120, T19*$G19/$F19*1000, W19&gt;120, V19*$G19/$F19*1000*10)</f>
        <v>56299.261277721773</v>
      </c>
      <c r="Y19" s="156" t="str">
        <f t="shared" si="5"/>
        <v>DELETE</v>
      </c>
      <c r="Z19" s="156" t="str">
        <f t="shared" si="6"/>
        <v>DELETE</v>
      </c>
      <c r="AA19" s="156" t="str">
        <f t="shared" si="7"/>
        <v>DELETE</v>
      </c>
      <c r="AB19" s="160" t="str" cm="1">
        <f t="array" ref="AB19">_xlfn.IFS(Y19="DELETE", "DELETE", Y19=0, 0, Y19&gt;0,LOG10(Y19))</f>
        <v>DELETE</v>
      </c>
      <c r="AC19" s="161" t="str" cm="1">
        <f t="array" ref="AC19">_xlfn.IFS(Y19="DELETE", "DELETE", Y19=0, 0, Y19&gt;0, AA19/Y19/LN(10))</f>
        <v>DELETE</v>
      </c>
      <c r="AD19" s="120">
        <f>qPCR_Raw!U19</f>
        <v>33.990886688232422</v>
      </c>
      <c r="AE19" s="121" cm="1">
        <f t="array" ref="AE19">_xlfn.IFS(AD19="Undetermined", 0, qPCR_Raw!V19&lt;=1, 0, qPCR_Raw!V19&gt;1, qPCR_Raw!V19)</f>
        <v>2.2145252227783203</v>
      </c>
      <c r="AF19" s="122" t="str">
        <f>qPCR_Raw!X19</f>
        <v>Undetermined</v>
      </c>
      <c r="AG19" s="121" cm="1">
        <f t="array" ref="AG19">_xlfn.IFS(AF19="Undetermined", 0, qPCR_Raw!Y19&lt;=1, 0, qPCR_Raw!Y19&gt;1, qPCR_Raw!Y19)</f>
        <v>0</v>
      </c>
      <c r="AH19" s="123" t="str" cm="1">
        <f t="array" ref="AH19">_xlfn.IFS(AND(AD19="Undetermined", AF19="Undetermined"), "Undetermined", AND(AE19=0, AG19=0), "Undetermined", AND(AE19=0, AG19&gt;0), "Ten-Fold", AND(AE19&gt;0, AG19=0), "Undiluted", AND(AD19&lt;&gt;"Undetermined", AF19&lt;&gt;"Undetermined", AE19&gt;0, AG19&gt;0, AD19&lt;&gt;AF19), 100*(-1+10^(-1/(AD19-AF19))), AND(AD19&lt;&gt;"Undetermined", AF19&lt;&gt;"Undetermined", AD19=AF19&gt;0), -100)</f>
        <v>Undiluted</v>
      </c>
      <c r="AI19" s="124" cm="1">
        <f t="array" ref="AI19">_xlfn.IFS(AH19="Undetermined", 0, AH19="Undiluted", AE19*$G19/$F19*1000, AH19="Ten-Fold", AG19*$G19/$F19*1000*10, AH19&lt;0, AG19*$G19/$F19*1000*10, AH19&lt;120, AE19*$G19/$F19*1000, AH19&gt;120, AG19*$G19/$F19*1000*10)</f>
        <v>238.12099169659359</v>
      </c>
      <c r="AJ19" s="121" t="str">
        <f t="shared" si="8"/>
        <v>DELETE</v>
      </c>
      <c r="AK19" s="121" t="str">
        <f t="shared" si="9"/>
        <v>DELETE</v>
      </c>
      <c r="AL19" s="121" t="str">
        <f t="shared" si="10"/>
        <v>DELETE</v>
      </c>
      <c r="AM19" s="125" t="str" cm="1">
        <f t="array" ref="AM19">_xlfn.IFS(AJ19="DELETE", "DELETE", AJ19=0, 0, AJ19&gt;0,LOG10(AJ19))</f>
        <v>DELETE</v>
      </c>
      <c r="AN19" s="126" t="str" cm="1">
        <f t="array" ref="AN19">_xlfn.IFS(AJ19="DELETE", "DELETE", AJ19=0, 0, AJ19&gt;0, AL19/AJ19/LN(10))</f>
        <v>DELETE</v>
      </c>
      <c r="AO19" s="155">
        <f>qPCR_Raw!AA19</f>
        <v>29.574459075927734</v>
      </c>
      <c r="AP19" s="156" cm="1">
        <f t="array" ref="AP19">_xlfn.IFS(AO19="Undetermined", 0, qPCR_Raw!AB19&lt;=6, 0, qPCR_Raw!AB19&gt;6, qPCR_Raw!AB19)</f>
        <v>0</v>
      </c>
      <c r="AQ19" s="157" t="str">
        <f>qPCR_Raw!AD19</f>
        <v>Undetermined</v>
      </c>
      <c r="AR19" s="156" cm="1">
        <f t="array" ref="AR19">_xlfn.IFS(AQ19="Undetermined", 0, qPCR_Raw!AE19&lt;=6, 0, qPCR_Raw!AE19&gt;6, qPCR_Raw!AE19)</f>
        <v>0</v>
      </c>
      <c r="AS19" s="158" t="str" cm="1">
        <f t="array" ref="AS19">_xlfn.IFS(AND(AO19="Undetermined", AQ19="Undetermined"), "Undetermined", AND(AP19=0, AR19=0), "Undetermined", AND(AP19=0, AR19&gt;0), "Ten-Fold", AND(AP19&gt;0, AR19=0), "Undiluted", AND(AO19&lt;&gt;"Undetermined", AQ19&lt;&gt;"Undetermined", AP19&gt;0, AR19&gt;0, AO19&lt;&gt;AQ19), 100*(-1+10^(-1/(AO19-AQ19))), AND(AO19&lt;&gt;"Undetermined", AQ19&lt;&gt;"Undetermined", AO19=AQ19&gt;0), -100)</f>
        <v>Undetermined</v>
      </c>
      <c r="AT19" s="159" cm="1">
        <f t="array" ref="AT19">_xlfn.IFS(AS19="Undetermined", 0, AS19="Undiluted", AP19*$G19/$F19*1000, AS19="Ten-Fold", AR19*$G19/$F19*1000*10, AS19&lt;0, AR19*$G19/$F19*1000*10, AS19&lt;120, AP19*$G19/$F19*1000, AS19&gt;120, AR19*$G19/$F19*1000*10)</f>
        <v>0</v>
      </c>
      <c r="AU19" s="156" t="str">
        <f t="shared" si="11"/>
        <v>DELETE</v>
      </c>
      <c r="AV19" s="156" t="str">
        <f t="shared" si="12"/>
        <v>DELETE</v>
      </c>
      <c r="AW19" s="156" t="str">
        <f t="shared" si="13"/>
        <v>DELETE</v>
      </c>
      <c r="AX19" s="160" t="str" cm="1">
        <f t="array" ref="AX19">_xlfn.IFS(AU19="DELETE", "DELETE", AU19=0, 0, AU19&gt;0,LOG10(AU19))</f>
        <v>DELETE</v>
      </c>
      <c r="AY19" s="161" t="str" cm="1">
        <f t="array" ref="AY19">_xlfn.IFS(AU19="DELETE", "DELETE", AU19=0, 0, AU19&gt;0, AW19/AU19/LN(10))</f>
        <v>DELETE</v>
      </c>
      <c r="AZ19" s="120">
        <f>qPCR_Raw!AG19</f>
        <v>35.051784515380859</v>
      </c>
      <c r="BA19" s="121" cm="1">
        <f t="array" ref="BA19">_xlfn.IFS(AZ19="Undetermined", 0, qPCR_Raw!AH19&lt;=1, 0, qPCR_Raw!AH19&gt;1, qPCR_Raw!AH19)</f>
        <v>2.9370937347412109</v>
      </c>
      <c r="BB19" s="122" t="str">
        <f>qPCR_Raw!AJ19</f>
        <v>Undetermined</v>
      </c>
      <c r="BC19" s="121" cm="1">
        <f t="array" ref="BC19">_xlfn.IFS(BB19="Undetermined", 0, qPCR_Raw!AK19&lt;=1, 0, qPCR_Raw!AK19&gt;1, qPCR_Raw!AK19)</f>
        <v>0</v>
      </c>
      <c r="BD19" s="123" t="str" cm="1">
        <f t="array" ref="BD19">_xlfn.IFS(AND(AZ19="Undetermined", BB19="Undetermined"), "Undetermined", AND(BA19=0, BC19=0), "Undetermined", AND(BA19=0, BC19&gt;0), "Ten-Fold", AND(BA19&gt;0, BC19=0), "Undiluted", AND(AZ19&lt;&gt;"Undetermined", BB19&lt;&gt;"Undetermined", BA19&gt;0, BC19&gt;0, AZ19&lt;&gt;BB19), 100*(-1+10^(-1/(AZ19-BB19))), AND(AZ19&lt;&gt;"Undetermined", BB19&lt;&gt;"Undetermined", AZ19=BB19&gt;0), -100)</f>
        <v>Undiluted</v>
      </c>
      <c r="BE19" s="124" cm="1">
        <f t="array" ref="BE19">_xlfn.IFS(BD19="Undetermined", 0, BD19="Undiluted", BA19*$G19/$F19*1000, BD19="Ten-Fold", BC19*$G19/$F19*1000*10, BD19&lt;0, BC19*$G19/$F19*1000*10, BD19&lt;120, BA19*$G19/$F19*1000, BD19&gt;120, BC19*$G19/$F19*1000*10)</f>
        <v>315.81653061733448</v>
      </c>
      <c r="BF19" s="121" t="str">
        <f t="shared" si="14"/>
        <v>DELETE</v>
      </c>
      <c r="BG19" s="121" t="str">
        <f t="shared" si="15"/>
        <v>DELETE</v>
      </c>
      <c r="BH19" s="121" t="str">
        <f t="shared" si="16"/>
        <v>DELETE</v>
      </c>
      <c r="BI19" s="125" t="str" cm="1">
        <f t="array" ref="BI19">_xlfn.IFS(BF19="DELETE", "DELETE", BF19=0, 0, BF19&gt;0,LOG10(BF19))</f>
        <v>DELETE</v>
      </c>
      <c r="BJ19" s="126" t="str" cm="1">
        <f t="array" ref="BJ19">_xlfn.IFS(BF19="DELETE", "DELETE", BF19=0, 0, BF19&gt;0, BH19/BF19/LN(10))</f>
        <v>DELETE</v>
      </c>
    </row>
    <row r="20" spans="1:62" s="114" customFormat="1" x14ac:dyDescent="0.3">
      <c r="A20" s="115" t="str">
        <f>UPPER(LEFT(SUBSTITUTE(SUBSTITUTE(qPCR_Raw!A20,"-","")," ",""),2))&amp;RIGHT(SUBSTITUTE(SUBSTITUTE(qPCR_Raw!A20,"-","")," ",""),LEN(SUBSTITUTE(SUBSTITUTE(qPCR_Raw!A20,"-","")," ",""))-2)</f>
        <v>EP6</v>
      </c>
      <c r="B20" s="116" t="str" cm="1">
        <f t="array" ref="B20">_xlfn.IFS(LEFT(A20, LEN(A20)-1)="EP", "EP", LEFT(A20, LEN(A20)-1)="STa", "SPI", LEFT(A20, LEN(A20)-1)="STb", "SPO", LEFT(A20, LEN(A20)-1)="MRT", "MRT", LEFT(A20, LEN(A20)-1)="RG", "RN", LEFT(A20, LEN(A20)-1)="RT", "RU", LEFT(A20, LEN(A20)-1)="RW", "RL", LEFT(A20, LEN(A20)-1)="RC", "RS")</f>
        <v>EP</v>
      </c>
      <c r="C20" s="117">
        <f>qPCR_Raw!B20</f>
        <v>44342</v>
      </c>
      <c r="D20" s="117" t="str">
        <f t="shared" si="0"/>
        <v>EP44342</v>
      </c>
      <c r="E20" s="117" t="str">
        <f t="shared" si="1"/>
        <v>EP443426</v>
      </c>
      <c r="F20" s="118">
        <f>qPCR_Raw!C20</f>
        <v>955</v>
      </c>
      <c r="G20" s="119">
        <f>qPCR_Raw!F20</f>
        <v>100</v>
      </c>
      <c r="H20" s="120">
        <f>qPCR_Raw!G20</f>
        <v>17.81602668762207</v>
      </c>
      <c r="I20" s="121" cm="1">
        <f t="array" ref="I20">_xlfn.IFS(H20="Undetermined", 0, qPCR_Raw!H20-qPCR_Raw!$H$242&lt;0, 0, qPCR_Raw!H20-qPCR_Raw!$H$242&gt;0, qPCR_Raw!H20-qPCR_Raw!$H$242)</f>
        <v>273070.29894612631</v>
      </c>
      <c r="J20" s="122">
        <f>qPCR_Raw!K20</f>
        <v>20.738927841186523</v>
      </c>
      <c r="K20" s="121" cm="1">
        <f t="array" ref="K20">_xlfn.IFS(J20="Undetermined", 0, qPCR_Raw!L20-qPCR_Raw!$H$242&lt;0, 0, qPCR_Raw!L20-qPCR_Raw!$H$242&gt;0, qPCR_Raw!L20-qPCR_Raw!$H$242)</f>
        <v>28853.009883626302</v>
      </c>
      <c r="L20" s="123" cm="1">
        <f t="array" ref="L20">_xlfn.IFS(AND(H20="Undetermined", J20="Undetermined"), "Undetermined", AND(I20=0, K20=0), "Undetermined", AND(I20=0, K20&gt;0), "Ten-Fold", AND(I20&gt;0, K20=0), "Undiluted", AND(H20&lt;&gt;"Undetermined", J20&lt;&gt;"Undetermined", I20&gt;0, K20&gt;0), 100*(-1+10^(-1/(H20-J20))))</f>
        <v>119.8496789543301</v>
      </c>
      <c r="M20" s="124" cm="1">
        <f t="array" ref="M20">_xlfn.IFS(L20="Undetermined", 0, L20="Undiluted", I20*$G20/$F20*1000, L20="Ten-Fold", K20*$G20/$F20*1000*10, L20&lt;0, K20*$G20/$F20*1000*10, L20&lt;120, I20*$G20/$F20*1000, L20&gt;120, K20*$G20/$F20*1000*10)</f>
        <v>28593748.580746207</v>
      </c>
      <c r="N20" s="121">
        <f t="shared" si="2"/>
        <v>26951814.677109942</v>
      </c>
      <c r="O20" s="121">
        <f t="shared" si="3"/>
        <v>2322045.1950426078</v>
      </c>
      <c r="P20" s="121">
        <f t="shared" si="4"/>
        <v>1641933.9036362672</v>
      </c>
      <c r="Q20" s="125" cm="1">
        <f t="array" ref="Q20">_xlfn.IFS(N20="DELETE", "DELETE", N20=0, 0, N20&gt;0,LOG10(N20))</f>
        <v>7.4305880117388243</v>
      </c>
      <c r="R20" s="126" cm="1">
        <f t="array" ref="R20">_xlfn.IFS(N20="DELETE", "DELETE", N20=0, 0, N20&gt;0, P20/N20/LN(10))</f>
        <v>2.6457692832264634E-2</v>
      </c>
      <c r="S20" s="155">
        <f>qPCR_Raw!O20</f>
        <v>29.521736145019531</v>
      </c>
      <c r="T20" s="156" cm="1">
        <f t="array" ref="T20">_xlfn.IFS(S20="Undetermined", 0, qPCR_Raw!P20&lt;=1, 0, qPCR_Raw!P20&gt;1, qPCR_Raw!P20)</f>
        <v>268.12899780273438</v>
      </c>
      <c r="U20" s="157">
        <f>qPCR_Raw!R20</f>
        <v>32.684024810791016</v>
      </c>
      <c r="V20" s="156" cm="1">
        <f t="array" ref="V20">_xlfn.IFS(U20="Undetermined", 0, qPCR_Raw!S20&lt;=1, 0, qPCR_Raw!S20&gt;1, qPCR_Raw!S20)</f>
        <v>28.217464447021484</v>
      </c>
      <c r="W20" s="158" cm="1">
        <f t="array" ref="W20">_xlfn.IFS(AND(S20="Undetermined", U20="Undetermined"), "Undetermined", AND(T20=0, V20=0), "Undetermined", AND(T20=0, V20&gt;0), "Ten-Fold", AND(T20&gt;0, V20=0), "Undiluted", AND(S20&lt;&gt;"Undetermined", U20&lt;&gt;"Undetermined", T20&gt;0, V20&gt;0, S20&lt;&gt;U20), 100*(-1+10^(-1/(S20-U20))), AND(S20&lt;&gt;"Undetermined", U20&lt;&gt;"Undetermined", S20=U20&gt;0), -100)</f>
        <v>107.12220717382928</v>
      </c>
      <c r="X20" s="159" cm="1">
        <f t="array" ref="X20">_xlfn.IFS(W20="Undetermined", 0, W20="Undiluted", T20*$G20/$F20*1000, W20="Ten-Fold", V20*$G20/$F20*1000*10, W20&lt;0, V20*$G20/$F20*1000*10, W20&lt;120, T20*$G20/$F20*1000, W20&gt;120, V20*$G20/$F20*1000*10)</f>
        <v>28076.334848453862</v>
      </c>
      <c r="Y20" s="156">
        <f t="shared" si="5"/>
        <v>25023.050202818511</v>
      </c>
      <c r="Z20" s="156">
        <f t="shared" si="6"/>
        <v>4317.9965556430461</v>
      </c>
      <c r="AA20" s="156">
        <f t="shared" si="7"/>
        <v>3053.2846456353532</v>
      </c>
      <c r="AB20" s="160" cm="1">
        <f t="array" ref="AB20">_xlfn.IFS(Y20="DELETE", "DELETE", Y20=0, 0, Y20&gt;0,LOG10(Y20))</f>
        <v>4.3983402472244153</v>
      </c>
      <c r="AC20" s="161" cm="1">
        <f t="array" ref="AC20">_xlfn.IFS(Y20="DELETE", "DELETE", Y20=0, 0, Y20&gt;0, AA20/Y20/LN(10))</f>
        <v>5.2992127759468773E-2</v>
      </c>
      <c r="AD20" s="120">
        <f>qPCR_Raw!U20</f>
        <v>32.179813385009766</v>
      </c>
      <c r="AE20" s="121" cm="1">
        <f t="array" ref="AE20">_xlfn.IFS(AD20="Undetermined", 0, qPCR_Raw!V20&lt;=1, 0, qPCR_Raw!V20&gt;1, qPCR_Raw!V20)</f>
        <v>7.2153916358947754</v>
      </c>
      <c r="AF20" s="122">
        <f>qPCR_Raw!X20</f>
        <v>34.733993530273438</v>
      </c>
      <c r="AG20" s="121" cm="1">
        <f t="array" ref="AG20">_xlfn.IFS(AF20="Undetermined", 0, qPCR_Raw!Y20&lt;=1, 0, qPCR_Raw!Y20&gt;1, qPCR_Raw!Y20)</f>
        <v>1.3639504909515381</v>
      </c>
      <c r="AH20" s="123" cm="1">
        <f t="array" ref="AH20">_xlfn.IFS(AND(AD20="Undetermined", AF20="Undetermined"), "Undetermined", AND(AE20=0, AG20=0), "Undetermined", AND(AE20=0, AG20&gt;0), "Ten-Fold", AND(AE20&gt;0, AG20=0), "Undiluted", AND(AD20&lt;&gt;"Undetermined", AF20&lt;&gt;"Undetermined", AE20&gt;0, AG20&gt;0, AD20&lt;&gt;AF20), 100*(-1+10^(-1/(AD20-AF20))), AND(AD20&lt;&gt;"Undetermined", AF20&lt;&gt;"Undetermined", AD20=AF20&gt;0), -100)</f>
        <v>146.32872719335617</v>
      </c>
      <c r="AI20" s="124" cm="1">
        <f t="array" ref="AI20">_xlfn.IFS(AH20="Undetermined", 0, AH20="Undiluted", AE20*$G20/$F20*1000, AH20="Ten-Fold", AG20*$G20/$F20*1000*10, AH20&lt;0, AG20*$G20/$F20*1000*10, AH20&lt;120, AE20*$G20/$F20*1000, AH20&gt;120, AG20*$G20/$F20*1000*10)</f>
        <v>1428.2204093733385</v>
      </c>
      <c r="AJ20" s="121">
        <f t="shared" si="8"/>
        <v>889.56442386900164</v>
      </c>
      <c r="AK20" s="121">
        <f t="shared" si="9"/>
        <v>761.77460015367842</v>
      </c>
      <c r="AL20" s="121">
        <f t="shared" si="10"/>
        <v>538.65598550433674</v>
      </c>
      <c r="AM20" s="125" cm="1">
        <f t="array" ref="AM20">_xlfn.IFS(AJ20="DELETE", "DELETE", AJ20=0, 0, AJ20&gt;0,LOG10(AJ20))</f>
        <v>2.9491774059529887</v>
      </c>
      <c r="AN20" s="126" cm="1">
        <f t="array" ref="AN20">_xlfn.IFS(AJ20="DELETE", "DELETE", AJ20=0, 0, AJ20&gt;0, AL20/AJ20/LN(10))</f>
        <v>0.26297738069518506</v>
      </c>
      <c r="AO20" s="155">
        <f>qPCR_Raw!AA20</f>
        <v>29.740377426147461</v>
      </c>
      <c r="AP20" s="156" cm="1">
        <f t="array" ref="AP20">_xlfn.IFS(AO20="Undetermined", 0, qPCR_Raw!AB20&lt;=6, 0, qPCR_Raw!AB20&gt;6, qPCR_Raw!AB20)</f>
        <v>0</v>
      </c>
      <c r="AQ20" s="157" t="str">
        <f>qPCR_Raw!AD20</f>
        <v>Undetermined</v>
      </c>
      <c r="AR20" s="156" cm="1">
        <f t="array" ref="AR20">_xlfn.IFS(AQ20="Undetermined", 0, qPCR_Raw!AE20&lt;=6, 0, qPCR_Raw!AE20&gt;6, qPCR_Raw!AE20)</f>
        <v>0</v>
      </c>
      <c r="AS20" s="158" t="str" cm="1">
        <f t="array" ref="AS20">_xlfn.IFS(AND(AO20="Undetermined", AQ20="Undetermined"), "Undetermined", AND(AP20=0, AR20=0), "Undetermined", AND(AP20=0, AR20&gt;0), "Ten-Fold", AND(AP20&gt;0, AR20=0), "Undiluted", AND(AO20&lt;&gt;"Undetermined", AQ20&lt;&gt;"Undetermined", AP20&gt;0, AR20&gt;0, AO20&lt;&gt;AQ20), 100*(-1+10^(-1/(AO20-AQ20))), AND(AO20&lt;&gt;"Undetermined", AQ20&lt;&gt;"Undetermined", AO20=AQ20&gt;0), -100)</f>
        <v>Undetermined</v>
      </c>
      <c r="AT20" s="159" cm="1">
        <f t="array" ref="AT20">_xlfn.IFS(AS20="Undetermined", 0, AS20="Undiluted", AP20*$G20/$F20*1000, AS20="Ten-Fold", AR20*$G20/$F20*1000*10, AS20&lt;0, AR20*$G20/$F20*1000*10, AS20&lt;120, AP20*$G20/$F20*1000, AS20&gt;120, AR20*$G20/$F20*1000*10)</f>
        <v>0</v>
      </c>
      <c r="AU20" s="156">
        <f t="shared" si="11"/>
        <v>0</v>
      </c>
      <c r="AV20" s="156">
        <f t="shared" si="12"/>
        <v>0</v>
      </c>
      <c r="AW20" s="156">
        <f t="shared" si="13"/>
        <v>0</v>
      </c>
      <c r="AX20" s="160" cm="1">
        <f t="array" ref="AX20">_xlfn.IFS(AU20="DELETE", "DELETE", AU20=0, 0, AU20&gt;0,LOG10(AU20))</f>
        <v>0</v>
      </c>
      <c r="AY20" s="161" cm="1">
        <f t="array" ref="AY20">_xlfn.IFS(AU20="DELETE", "DELETE", AU20=0, 0, AU20&gt;0, AW20/AU20/LN(10))</f>
        <v>0</v>
      </c>
      <c r="AZ20" s="120">
        <f>qPCR_Raw!AG20</f>
        <v>36.769481658935547</v>
      </c>
      <c r="BA20" s="121" cm="1">
        <f t="array" ref="BA20">_xlfn.IFS(AZ20="Undetermined", 0, qPCR_Raw!AH20&lt;=1, 0, qPCR_Raw!AH20&gt;1, qPCR_Raw!AH20)</f>
        <v>1.01149582862854</v>
      </c>
      <c r="BB20" s="122" t="str">
        <f>qPCR_Raw!AJ20</f>
        <v>Undetermined</v>
      </c>
      <c r="BC20" s="121" cm="1">
        <f t="array" ref="BC20">_xlfn.IFS(BB20="Undetermined", 0, qPCR_Raw!AK20&lt;=1, 0, qPCR_Raw!AK20&gt;1, qPCR_Raw!AK20)</f>
        <v>0</v>
      </c>
      <c r="BD20" s="123" t="str" cm="1">
        <f t="array" ref="BD20">_xlfn.IFS(AND(AZ20="Undetermined", BB20="Undetermined"), "Undetermined", AND(BA20=0, BC20=0), "Undetermined", AND(BA20=0, BC20&gt;0), "Ten-Fold", AND(BA20&gt;0, BC20=0), "Undiluted", AND(AZ20&lt;&gt;"Undetermined", BB20&lt;&gt;"Undetermined", BA20&gt;0, BC20&gt;0, AZ20&lt;&gt;BB20), 100*(-1+10^(-1/(AZ20-BB20))), AND(AZ20&lt;&gt;"Undetermined", BB20&lt;&gt;"Undetermined", AZ20=BB20&gt;0), -100)</f>
        <v>Undiluted</v>
      </c>
      <c r="BE20" s="124" cm="1">
        <f t="array" ref="BE20">_xlfn.IFS(BD20="Undetermined", 0, BD20="Undiluted", BA20*$G20/$F20*1000, BD20="Ten-Fold", BC20*$G20/$F20*1000*10, BD20&lt;0, BC20*$G20/$F20*1000*10, BD20&lt;120, BA20*$G20/$F20*1000, BD20&gt;120, BC20*$G20/$F20*1000*10)</f>
        <v>105.91579357366912</v>
      </c>
      <c r="BF20" s="121">
        <f t="shared" si="14"/>
        <v>144.71015439885102</v>
      </c>
      <c r="BG20" s="121">
        <f t="shared" si="15"/>
        <v>54.86351122256773</v>
      </c>
      <c r="BH20" s="121">
        <f t="shared" si="16"/>
        <v>38.79436082518189</v>
      </c>
      <c r="BI20" s="125" cm="1">
        <f t="array" ref="BI20">_xlfn.IFS(BF20="DELETE", "DELETE", BF20=0, 0, BF20&gt;0,LOG10(BF20))</f>
        <v>2.1604990068941463</v>
      </c>
      <c r="BJ20" s="126" cm="1">
        <f t="array" ref="BJ20">_xlfn.IFS(BF20="DELETE", "DELETE", BF20=0, 0, BF20&gt;0, BH20/BF20/LN(10))</f>
        <v>0.11642705313480027</v>
      </c>
    </row>
    <row r="21" spans="1:62" s="114" customFormat="1" x14ac:dyDescent="0.3">
      <c r="A21" s="115" t="str">
        <f>UPPER(LEFT(SUBSTITUTE(SUBSTITUTE(qPCR_Raw!A21,"-","")," ",""),2))&amp;RIGHT(SUBSTITUTE(SUBSTITUTE(qPCR_Raw!A21,"-","")," ",""),LEN(SUBSTITUTE(SUBSTITUTE(qPCR_Raw!A21,"-","")," ",""))-2)</f>
        <v>EP7</v>
      </c>
      <c r="B21" s="116" t="str" cm="1">
        <f t="array" ref="B21">_xlfn.IFS(LEFT(A21, LEN(A21)-1)="EP", "EP", LEFT(A21, LEN(A21)-1)="STa", "SPI", LEFT(A21, LEN(A21)-1)="STb", "SPO", LEFT(A21, LEN(A21)-1)="MRT", "MRT", LEFT(A21, LEN(A21)-1)="RG", "RN", LEFT(A21, LEN(A21)-1)="RT", "RU", LEFT(A21, LEN(A21)-1)="RW", "RL", LEFT(A21, LEN(A21)-1)="RC", "RS")</f>
        <v>EP</v>
      </c>
      <c r="C21" s="117">
        <f>qPCR_Raw!B21</f>
        <v>44342</v>
      </c>
      <c r="D21" s="117" t="str">
        <f t="shared" si="0"/>
        <v>EP44342</v>
      </c>
      <c r="E21" s="117" t="str">
        <f t="shared" si="1"/>
        <v>EP443427</v>
      </c>
      <c r="F21" s="118">
        <f>qPCR_Raw!C21</f>
        <v>900</v>
      </c>
      <c r="G21" s="119">
        <f>qPCR_Raw!F21</f>
        <v>100</v>
      </c>
      <c r="H21" s="120">
        <f>qPCR_Raw!G21</f>
        <v>18.989603042602539</v>
      </c>
      <c r="I21" s="121" cm="1">
        <f t="array" ref="I21">_xlfn.IFS(H21="Undetermined", 0, qPCR_Raw!H21-qPCR_Raw!$H$242&lt;0, 0, qPCR_Raw!H21-qPCR_Raw!$H$242&gt;0, qPCR_Raw!H21-qPCR_Raw!$H$242)</f>
        <v>119215.42394612631</v>
      </c>
      <c r="J21" s="122">
        <f>qPCR_Raw!K21</f>
        <v>20.977445602416992</v>
      </c>
      <c r="K21" s="121" cm="1">
        <f t="array" ref="K21">_xlfn.IFS(J21="Undetermined", 0, qPCR_Raw!L21-qPCR_Raw!$H$242&lt;0, 0, qPCR_Raw!L21-qPCR_Raw!$H$242&gt;0, qPCR_Raw!L21-qPCR_Raw!$H$242)</f>
        <v>22778.892696126302</v>
      </c>
      <c r="L21" s="123" cm="1">
        <f t="array" ref="L21">_xlfn.IFS(AND(H21="Undetermined", J21="Undetermined"), "Undetermined", AND(I21=0, K21=0), "Undetermined", AND(I21=0, K21&gt;0), "Ten-Fold", AND(I21&gt;0, K21=0), "Undiluted", AND(H21&lt;&gt;"Undetermined", J21&lt;&gt;"Undetermined", I21&gt;0, K21&gt;0), 100*(-1+10^(-1/(H21-J21))))</f>
        <v>218.4622421554476</v>
      </c>
      <c r="M21" s="124" cm="1">
        <f t="array" ref="M21">_xlfn.IFS(L21="Undetermined", 0, L21="Undiluted", I21*$G21/$F21*1000, L21="Ten-Fold", K21*$G21/$F21*1000*10, L21&lt;0, K21*$G21/$F21*1000*10, L21&lt;120, I21*$G21/$F21*1000, L21&gt;120, K21*$G21/$F21*1000*10)</f>
        <v>25309880.773473673</v>
      </c>
      <c r="N21" s="121" t="str">
        <f t="shared" si="2"/>
        <v>DELETE</v>
      </c>
      <c r="O21" s="121" t="str">
        <f t="shared" si="3"/>
        <v>DELETE</v>
      </c>
      <c r="P21" s="121" t="str">
        <f t="shared" si="4"/>
        <v>DELETE</v>
      </c>
      <c r="Q21" s="125" t="str" cm="1">
        <f t="array" ref="Q21">_xlfn.IFS(N21="DELETE", "DELETE", N21=0, 0, N21&gt;0,LOG10(N21))</f>
        <v>DELETE</v>
      </c>
      <c r="R21" s="126" t="str" cm="1">
        <f t="array" ref="R21">_xlfn.IFS(N21="DELETE", "DELETE", N21=0, 0, N21&gt;0, P21/N21/LN(10))</f>
        <v>DELETE</v>
      </c>
      <c r="S21" s="155">
        <f>qPCR_Raw!O21</f>
        <v>29.949516296386719</v>
      </c>
      <c r="T21" s="156" cm="1">
        <f t="array" ref="T21">_xlfn.IFS(S21="Undetermined", 0, qPCR_Raw!P21&lt;=1, 0, qPCR_Raw!P21&gt;1, qPCR_Raw!P21)</f>
        <v>197.72789001464844</v>
      </c>
      <c r="U21" s="157">
        <f>qPCR_Raw!R21</f>
        <v>33.489158630371094</v>
      </c>
      <c r="V21" s="156" cm="1">
        <f t="array" ref="V21">_xlfn.IFS(U21="Undetermined", 0, qPCR_Raw!S21&lt;=1, 0, qPCR_Raw!S21&gt;1, qPCR_Raw!S21)</f>
        <v>15.905922889709473</v>
      </c>
      <c r="W21" s="158" cm="1">
        <f t="array" ref="W21">_xlfn.IFS(AND(S21="Undetermined", U21="Undetermined"), "Undetermined", AND(T21=0, V21=0), "Undetermined", AND(T21=0, V21&gt;0), "Ten-Fold", AND(T21&gt;0, V21=0), "Undiluted", AND(S21&lt;&gt;"Undetermined", U21&lt;&gt;"Undetermined", T21&gt;0, V21&gt;0, S21&lt;&gt;U21), 100*(-1+10^(-1/(S21-U21))), AND(S21&lt;&gt;"Undetermined", U21&lt;&gt;"Undetermined", S21=U21&gt;0), -100)</f>
        <v>91.652469534136031</v>
      </c>
      <c r="X21" s="159" cm="1">
        <f t="array" ref="X21">_xlfn.IFS(W21="Undetermined", 0, W21="Undiluted", T21*$G21/$F21*1000, W21="Ten-Fold", V21*$G21/$F21*1000*10, W21&lt;0, V21*$G21/$F21*1000*10, W21&lt;120, T21*$G21/$F21*1000, W21&gt;120, V21*$G21/$F21*1000*10)</f>
        <v>21969.76555718316</v>
      </c>
      <c r="Y21" s="156" t="str">
        <f t="shared" si="5"/>
        <v>DELETE</v>
      </c>
      <c r="Z21" s="156" t="str">
        <f t="shared" si="6"/>
        <v>DELETE</v>
      </c>
      <c r="AA21" s="156" t="str">
        <f t="shared" si="7"/>
        <v>DELETE</v>
      </c>
      <c r="AB21" s="160" t="str" cm="1">
        <f t="array" ref="AB21">_xlfn.IFS(Y21="DELETE", "DELETE", Y21=0, 0, Y21&gt;0,LOG10(Y21))</f>
        <v>DELETE</v>
      </c>
      <c r="AC21" s="161" t="str" cm="1">
        <f t="array" ref="AC21">_xlfn.IFS(Y21="DELETE", "DELETE", Y21=0, 0, Y21&gt;0, AA21/Y21/LN(10))</f>
        <v>DELETE</v>
      </c>
      <c r="AD21" s="120">
        <f>qPCR_Raw!U21</f>
        <v>33.446640014648438</v>
      </c>
      <c r="AE21" s="121" cm="1">
        <f t="array" ref="AE21">_xlfn.IFS(AD21="Undetermined", 0, qPCR_Raw!V21&lt;=1, 0, qPCR_Raw!V21&gt;1, qPCR_Raw!V21)</f>
        <v>3.1581759452819824</v>
      </c>
      <c r="AF21" s="122">
        <f>qPCR_Raw!X21</f>
        <v>36.739494323730469</v>
      </c>
      <c r="AG21" s="121" cm="1">
        <f t="array" ref="AG21">_xlfn.IFS(AF21="Undetermined", 0, qPCR_Raw!Y21&lt;=1, 0, qPCR_Raw!Y21&gt;1, qPCR_Raw!Y21)</f>
        <v>0</v>
      </c>
      <c r="AH21" s="123" t="str" cm="1">
        <f t="array" ref="AH21">_xlfn.IFS(AND(AD21="Undetermined", AF21="Undetermined"), "Undetermined", AND(AE21=0, AG21=0), "Undetermined", AND(AE21=0, AG21&gt;0), "Ten-Fold", AND(AE21&gt;0, AG21=0), "Undiluted", AND(AD21&lt;&gt;"Undetermined", AF21&lt;&gt;"Undetermined", AE21&gt;0, AG21&gt;0, AD21&lt;&gt;AF21), 100*(-1+10^(-1/(AD21-AF21))), AND(AD21&lt;&gt;"Undetermined", AF21&lt;&gt;"Undetermined", AD21=AF21&gt;0), -100)</f>
        <v>Undiluted</v>
      </c>
      <c r="AI21" s="124" cm="1">
        <f t="array" ref="AI21">_xlfn.IFS(AH21="Undetermined", 0, AH21="Undiluted", AE21*$G21/$F21*1000, AH21="Ten-Fold", AG21*$G21/$F21*1000*10, AH21&lt;0, AG21*$G21/$F21*1000*10, AH21&lt;120, AE21*$G21/$F21*1000, AH21&gt;120, AG21*$G21/$F21*1000*10)</f>
        <v>350.90843836466473</v>
      </c>
      <c r="AJ21" s="121" t="str">
        <f t="shared" si="8"/>
        <v>DELETE</v>
      </c>
      <c r="AK21" s="121" t="str">
        <f t="shared" si="9"/>
        <v>DELETE</v>
      </c>
      <c r="AL21" s="121" t="str">
        <f t="shared" si="10"/>
        <v>DELETE</v>
      </c>
      <c r="AM21" s="125" t="str" cm="1">
        <f t="array" ref="AM21">_xlfn.IFS(AJ21="DELETE", "DELETE", AJ21=0, 0, AJ21&gt;0,LOG10(AJ21))</f>
        <v>DELETE</v>
      </c>
      <c r="AN21" s="126" t="str" cm="1">
        <f t="array" ref="AN21">_xlfn.IFS(AJ21="DELETE", "DELETE", AJ21=0, 0, AJ21&gt;0, AL21/AJ21/LN(10))</f>
        <v>DELETE</v>
      </c>
      <c r="AO21" s="155">
        <f>qPCR_Raw!AA21</f>
        <v>31.050165176391602</v>
      </c>
      <c r="AP21" s="156" cm="1">
        <f t="array" ref="AP21">_xlfn.IFS(AO21="Undetermined", 0, qPCR_Raw!AB21&lt;=6, 0, qPCR_Raw!AB21&gt;6, qPCR_Raw!AB21)</f>
        <v>0</v>
      </c>
      <c r="AQ21" s="157">
        <f>qPCR_Raw!AD21</f>
        <v>31.932271957397461</v>
      </c>
      <c r="AR21" s="156" cm="1">
        <f t="array" ref="AR21">_xlfn.IFS(AQ21="Undetermined", 0, qPCR_Raw!AE21&lt;=6, 0, qPCR_Raw!AE21&gt;6, qPCR_Raw!AE21)</f>
        <v>0</v>
      </c>
      <c r="AS21" s="158" t="str" cm="1">
        <f t="array" ref="AS21">_xlfn.IFS(AND(AO21="Undetermined", AQ21="Undetermined"), "Undetermined", AND(AP21=0, AR21=0), "Undetermined", AND(AP21=0, AR21&gt;0), "Ten-Fold", AND(AP21&gt;0, AR21=0), "Undiluted", AND(AO21&lt;&gt;"Undetermined", AQ21&lt;&gt;"Undetermined", AP21&gt;0, AR21&gt;0, AO21&lt;&gt;AQ21), 100*(-1+10^(-1/(AO21-AQ21))), AND(AO21&lt;&gt;"Undetermined", AQ21&lt;&gt;"Undetermined", AO21=AQ21&gt;0), -100)</f>
        <v>Undetermined</v>
      </c>
      <c r="AT21" s="159" cm="1">
        <f t="array" ref="AT21">_xlfn.IFS(AS21="Undetermined", 0, AS21="Undiluted", AP21*$G21/$F21*1000, AS21="Ten-Fold", AR21*$G21/$F21*1000*10, AS21&lt;0, AR21*$G21/$F21*1000*10, AS21&lt;120, AP21*$G21/$F21*1000, AS21&gt;120, AR21*$G21/$F21*1000*10)</f>
        <v>0</v>
      </c>
      <c r="AU21" s="156" t="str">
        <f t="shared" si="11"/>
        <v>DELETE</v>
      </c>
      <c r="AV21" s="156" t="str">
        <f t="shared" si="12"/>
        <v>DELETE</v>
      </c>
      <c r="AW21" s="156" t="str">
        <f t="shared" si="13"/>
        <v>DELETE</v>
      </c>
      <c r="AX21" s="160" t="str" cm="1">
        <f t="array" ref="AX21">_xlfn.IFS(AU21="DELETE", "DELETE", AU21=0, 0, AU21&gt;0,LOG10(AU21))</f>
        <v>DELETE</v>
      </c>
      <c r="AY21" s="161" t="str" cm="1">
        <f t="array" ref="AY21">_xlfn.IFS(AU21="DELETE", "DELETE", AU21=0, 0, AU21&gt;0, AW21/AU21/LN(10))</f>
        <v>DELETE</v>
      </c>
      <c r="AZ21" s="120">
        <f>qPCR_Raw!AG21</f>
        <v>35.979465484619141</v>
      </c>
      <c r="BA21" s="121" cm="1">
        <f t="array" ref="BA21">_xlfn.IFS(AZ21="Undetermined", 0, qPCR_Raw!AH21&lt;=1, 0, qPCR_Raw!AH21&gt;1, qPCR_Raw!AH21)</f>
        <v>1.6515406370162964</v>
      </c>
      <c r="BB21" s="122" t="str">
        <f>qPCR_Raw!AJ21</f>
        <v>Undetermined</v>
      </c>
      <c r="BC21" s="121" cm="1">
        <f t="array" ref="BC21">_xlfn.IFS(BB21="Undetermined", 0, qPCR_Raw!AK21&lt;=1, 0, qPCR_Raw!AK21&gt;1, qPCR_Raw!AK21)</f>
        <v>0</v>
      </c>
      <c r="BD21" s="123" t="str" cm="1">
        <f t="array" ref="BD21">_xlfn.IFS(AND(AZ21="Undetermined", BB21="Undetermined"), "Undetermined", AND(BA21=0, BC21=0), "Undetermined", AND(BA21=0, BC21&gt;0), "Ten-Fold", AND(BA21&gt;0, BC21=0), "Undiluted", AND(AZ21&lt;&gt;"Undetermined", BB21&lt;&gt;"Undetermined", BA21&gt;0, BC21&gt;0, AZ21&lt;&gt;BB21), 100*(-1+10^(-1/(AZ21-BB21))), AND(AZ21&lt;&gt;"Undetermined", BB21&lt;&gt;"Undetermined", AZ21=BB21&gt;0), -100)</f>
        <v>Undiluted</v>
      </c>
      <c r="BE21" s="124" cm="1">
        <f t="array" ref="BE21">_xlfn.IFS(BD21="Undetermined", 0, BD21="Undiluted", BA21*$G21/$F21*1000, BD21="Ten-Fold", BC21*$G21/$F21*1000*10, BD21&lt;0, BC21*$G21/$F21*1000*10, BD21&lt;120, BA21*$G21/$F21*1000, BD21&gt;120, BC21*$G21/$F21*1000*10)</f>
        <v>183.50451522403293</v>
      </c>
      <c r="BF21" s="121" t="str">
        <f t="shared" si="14"/>
        <v>DELETE</v>
      </c>
      <c r="BG21" s="121" t="str">
        <f t="shared" si="15"/>
        <v>DELETE</v>
      </c>
      <c r="BH21" s="121" t="str">
        <f t="shared" si="16"/>
        <v>DELETE</v>
      </c>
      <c r="BI21" s="125" t="str" cm="1">
        <f t="array" ref="BI21">_xlfn.IFS(BF21="DELETE", "DELETE", BF21=0, 0, BF21&gt;0,LOG10(BF21))</f>
        <v>DELETE</v>
      </c>
      <c r="BJ21" s="126" t="str" cm="1">
        <f t="array" ref="BJ21">_xlfn.IFS(BF21="DELETE", "DELETE", BF21=0, 0, BF21&gt;0, BH21/BF21/LN(10))</f>
        <v>DELETE</v>
      </c>
    </row>
    <row r="22" spans="1:62" s="114" customFormat="1" x14ac:dyDescent="0.3">
      <c r="A22" s="115" t="str">
        <f>UPPER(LEFT(SUBSTITUTE(SUBSTITUTE(qPCR_Raw!A22,"-","")," ",""),2))&amp;RIGHT(SUBSTITUTE(SUBSTITUTE(qPCR_Raw!A22,"-","")," ",""),LEN(SUBSTITUTE(SUBSTITUTE(qPCR_Raw!A22,"-","")," ",""))-2)</f>
        <v>RW6</v>
      </c>
      <c r="B22" s="116" t="str" cm="1">
        <f t="array" ref="B22">_xlfn.IFS(LEFT(A22, LEN(A22)-1)="EP", "EP", LEFT(A22, LEN(A22)-1)="STa", "SPI", LEFT(A22, LEN(A22)-1)="STb", "SPO", LEFT(A22, LEN(A22)-1)="MRT", "MRT", LEFT(A22, LEN(A22)-1)="RG", "RN", LEFT(A22, LEN(A22)-1)="RT", "RU", LEFT(A22, LEN(A22)-1)="RW", "RL", LEFT(A22, LEN(A22)-1)="RC", "RS")</f>
        <v>RL</v>
      </c>
      <c r="C22" s="117">
        <f>qPCR_Raw!B22</f>
        <v>44342</v>
      </c>
      <c r="D22" s="117" t="str">
        <f t="shared" si="0"/>
        <v>RL44342</v>
      </c>
      <c r="E22" s="117" t="str">
        <f t="shared" si="1"/>
        <v>RL443426</v>
      </c>
      <c r="F22" s="118">
        <f>qPCR_Raw!C22</f>
        <v>968</v>
      </c>
      <c r="G22" s="119">
        <f>qPCR_Raw!F22</f>
        <v>100</v>
      </c>
      <c r="H22" s="120">
        <f>qPCR_Raw!G22</f>
        <v>16.272127151489258</v>
      </c>
      <c r="I22" s="121" cm="1">
        <f t="array" ref="I22">_xlfn.IFS(H22="Undetermined", 0, qPCR_Raw!H22-qPCR_Raw!$H$242&lt;0, 0, qPCR_Raw!H22-qPCR_Raw!$H$242&gt;0, qPCR_Raw!H22-qPCR_Raw!$H$242)</f>
        <v>776690.17394612625</v>
      </c>
      <c r="J22" s="122">
        <f>qPCR_Raw!K22</f>
        <v>19.710145950317383</v>
      </c>
      <c r="K22" s="121" cm="1">
        <f t="array" ref="K22">_xlfn.IFS(J22="Undetermined", 0, qPCR_Raw!L22-qPCR_Raw!$H$242&lt;0, 0, qPCR_Raw!L22-qPCR_Raw!$H$242&gt;0, qPCR_Raw!L22-qPCR_Raw!$H$242)</f>
        <v>69319.025508626306</v>
      </c>
      <c r="L22" s="123" cm="1">
        <f t="array" ref="L22">_xlfn.IFS(AND(H22="Undetermined", J22="Undetermined"), "Undetermined", AND(I22=0, K22=0), "Undetermined", AND(I22=0, K22&gt;0), "Ten-Fold", AND(I22&gt;0, K22=0), "Undiluted", AND(H22&lt;&gt;"Undetermined", J22&lt;&gt;"Undetermined", I22&gt;0, K22&gt;0), 100*(-1+10^(-1/(H22-J22))))</f>
        <v>95.37329120733304</v>
      </c>
      <c r="M22" s="124" cm="1">
        <f t="array" ref="M22">_xlfn.IFS(L22="Undetermined", 0, L22="Undiluted", I22*$G22/$F22*1000, L22="Ten-Fold", K22*$G22/$F22*1000*10, L22&lt;0, K22*$G22/$F22*1000*10, L22&lt;120, I22*$G22/$F22*1000, L22&gt;120, K22*$G22/$F22*1000*10)</f>
        <v>80236588.217575029</v>
      </c>
      <c r="N22" s="121">
        <f t="shared" si="2"/>
        <v>70723139.80739139</v>
      </c>
      <c r="O22" s="121">
        <f t="shared" si="3"/>
        <v>13454047.76661849</v>
      </c>
      <c r="P22" s="121">
        <f t="shared" si="4"/>
        <v>9513448.4101836588</v>
      </c>
      <c r="Q22" s="125" cm="1">
        <f t="array" ref="Q22">_xlfn.IFS(N22="DELETE", "DELETE", N22=0, 0, N22&gt;0,LOG10(N22))</f>
        <v>7.8495615332656898</v>
      </c>
      <c r="R22" s="126" cm="1">
        <f t="array" ref="R22">_xlfn.IFS(N22="DELETE", "DELETE", N22=0, 0, N22&gt;0, P22/N22/LN(10))</f>
        <v>5.8419891419784258E-2</v>
      </c>
      <c r="S22" s="155">
        <f>qPCR_Raw!O22</f>
        <v>27.564682006835938</v>
      </c>
      <c r="T22" s="156" cm="1">
        <f t="array" ref="T22">_xlfn.IFS(S22="Undetermined", 0, qPCR_Raw!P22&lt;=1, 0, qPCR_Raw!P22&gt;1, qPCR_Raw!P22)</f>
        <v>1080.1734619140625</v>
      </c>
      <c r="U22" s="157">
        <f>qPCR_Raw!R22</f>
        <v>31.141513824462891</v>
      </c>
      <c r="V22" s="156" cm="1">
        <f t="array" ref="V22">_xlfn.IFS(U22="Undetermined", 0, qPCR_Raw!S22&lt;=1, 0, qPCR_Raw!S22&gt;1, qPCR_Raw!S22)</f>
        <v>84.622314453125</v>
      </c>
      <c r="W22" s="158" cm="1">
        <f t="array" ref="W22">_xlfn.IFS(AND(S22="Undetermined", U22="Undetermined"), "Undetermined", AND(T22=0, V22=0), "Undetermined", AND(T22=0, V22&gt;0), "Ten-Fold", AND(T22&gt;0, V22=0), "Undiluted", AND(S22&lt;&gt;"Undetermined", U22&lt;&gt;"Undetermined", T22&gt;0, V22&gt;0, S22&lt;&gt;U22), 100*(-1+10^(-1/(S22-U22))), AND(S22&lt;&gt;"Undetermined", U22&lt;&gt;"Undetermined", S22=U22&gt;0), -100)</f>
        <v>90.360582656882869</v>
      </c>
      <c r="X22" s="159" cm="1">
        <f t="array" ref="X22">_xlfn.IFS(W22="Undetermined", 0, W22="Undiluted", T22*$G22/$F22*1000, W22="Ten-Fold", V22*$G22/$F22*1000*10, W22&lt;0, V22*$G22/$F22*1000*10, W22&lt;120, T22*$G22/$F22*1000, W22&gt;120, V22*$G22/$F22*1000*10)</f>
        <v>111588.16755310564</v>
      </c>
      <c r="Y22" s="156">
        <f t="shared" si="5"/>
        <v>103087.54580483315</v>
      </c>
      <c r="Z22" s="156">
        <f t="shared" si="6"/>
        <v>12021.694565010635</v>
      </c>
      <c r="AA22" s="156">
        <f t="shared" si="7"/>
        <v>8500.6217482724824</v>
      </c>
      <c r="AB22" s="160" cm="1">
        <f t="array" ref="AB22">_xlfn.IFS(Y22="DELETE", "DELETE", Y22=0, 0, Y22&gt;0,LOG10(Y22))</f>
        <v>5.0132062005410614</v>
      </c>
      <c r="AC22" s="161" cm="1">
        <f t="array" ref="AC22">_xlfn.IFS(Y22="DELETE", "DELETE", Y22=0, 0, Y22&gt;0, AA22/Y22/LN(10))</f>
        <v>3.5812018699240653E-2</v>
      </c>
      <c r="AD22" s="120">
        <f>qPCR_Raw!U22</f>
        <v>32.355331420898438</v>
      </c>
      <c r="AE22" s="121" cm="1">
        <f t="array" ref="AE22">_xlfn.IFS(AD22="Undetermined", 0, qPCR_Raw!V22&lt;=1, 0, qPCR_Raw!V22&gt;1, qPCR_Raw!V22)</f>
        <v>6.4349493980407715</v>
      </c>
      <c r="AF22" s="122">
        <f>qPCR_Raw!X22</f>
        <v>34.744651794433594</v>
      </c>
      <c r="AG22" s="121" cm="1">
        <f t="array" ref="AG22">_xlfn.IFS(AF22="Undetermined", 0, qPCR_Raw!Y22&lt;=1, 0, qPCR_Raw!Y22&gt;1, qPCR_Raw!Y22)</f>
        <v>1.3545020818710327</v>
      </c>
      <c r="AH22" s="123" cm="1">
        <f t="array" ref="AH22">_xlfn.IFS(AND(AD22="Undetermined", AF22="Undetermined"), "Undetermined", AND(AE22=0, AG22=0), "Undetermined", AND(AE22=0, AG22&gt;0), "Ten-Fold", AND(AE22&gt;0, AG22=0), "Undiluted", AND(AD22&lt;&gt;"Undetermined", AF22&lt;&gt;"Undetermined", AE22&gt;0, AG22&gt;0, AD22&lt;&gt;AF22), 100*(-1+10^(-1/(AD22-AF22))), AND(AD22&lt;&gt;"Undetermined", AF22&lt;&gt;"Undetermined", AD22=AF22&gt;0), -100)</f>
        <v>162.13744119187902</v>
      </c>
      <c r="AI22" s="124" cm="1">
        <f t="array" ref="AI22">_xlfn.IFS(AH22="Undetermined", 0, AH22="Undiluted", AE22*$G22/$F22*1000, AH22="Ten-Fold", AG22*$G22/$F22*1000*10, AH22&lt;0, AG22*$G22/$F22*1000*10, AH22&lt;120, AE22*$G22/$F22*1000, AH22&gt;120, AG22*$G22/$F22*1000*10)</f>
        <v>1399.279010197348</v>
      </c>
      <c r="AJ22" s="121">
        <f t="shared" si="8"/>
        <v>1077.9828809014111</v>
      </c>
      <c r="AK22" s="121">
        <f t="shared" si="9"/>
        <v>454.38134358829393</v>
      </c>
      <c r="AL22" s="121">
        <f t="shared" si="10"/>
        <v>321.29612929593719</v>
      </c>
      <c r="AM22" s="125" cm="1">
        <f t="array" ref="AM22">_xlfn.IFS(AJ22="DELETE", "DELETE", AJ22=0, 0, AJ22&gt;0,LOG10(AJ22))</f>
        <v>3.0326118640148327</v>
      </c>
      <c r="AN22" s="126" cm="1">
        <f t="array" ref="AN22">_xlfn.IFS(AJ22="DELETE", "DELETE", AJ22=0, 0, AJ22&gt;0, AL22/AJ22/LN(10))</f>
        <v>0.12944281257362644</v>
      </c>
      <c r="AO22" s="155">
        <f>qPCR_Raw!AA22</f>
        <v>28.890764236450195</v>
      </c>
      <c r="AP22" s="156" cm="1">
        <f t="array" ref="AP22">_xlfn.IFS(AO22="Undetermined", 0, qPCR_Raw!AB22&lt;=6, 0, qPCR_Raw!AB22&gt;6, qPCR_Raw!AB22)</f>
        <v>0</v>
      </c>
      <c r="AQ22" s="157">
        <f>qPCR_Raw!AD22</f>
        <v>30.552532196044922</v>
      </c>
      <c r="AR22" s="156" cm="1">
        <f t="array" ref="AR22">_xlfn.IFS(AQ22="Undetermined", 0, qPCR_Raw!AE22&lt;=6, 0, qPCR_Raw!AE22&gt;6, qPCR_Raw!AE22)</f>
        <v>0</v>
      </c>
      <c r="AS22" s="158" t="str" cm="1">
        <f t="array" ref="AS22">_xlfn.IFS(AND(AO22="Undetermined", AQ22="Undetermined"), "Undetermined", AND(AP22=0, AR22=0), "Undetermined", AND(AP22=0, AR22&gt;0), "Ten-Fold", AND(AP22&gt;0, AR22=0), "Undiluted", AND(AO22&lt;&gt;"Undetermined", AQ22&lt;&gt;"Undetermined", AP22&gt;0, AR22&gt;0, AO22&lt;&gt;AQ22), 100*(-1+10^(-1/(AO22-AQ22))), AND(AO22&lt;&gt;"Undetermined", AQ22&lt;&gt;"Undetermined", AO22=AQ22&gt;0), -100)</f>
        <v>Undetermined</v>
      </c>
      <c r="AT22" s="159" cm="1">
        <f t="array" ref="AT22">_xlfn.IFS(AS22="Undetermined", 0, AS22="Undiluted", AP22*$G22/$F22*1000, AS22="Ten-Fold", AR22*$G22/$F22*1000*10, AS22&lt;0, AR22*$G22/$F22*1000*10, AS22&lt;120, AP22*$G22/$F22*1000, AS22&gt;120, AR22*$G22/$F22*1000*10)</f>
        <v>0</v>
      </c>
      <c r="AU22" s="156">
        <f t="shared" si="11"/>
        <v>420.06662714551067</v>
      </c>
      <c r="AV22" s="156">
        <f t="shared" si="12"/>
        <v>594.06392120950329</v>
      </c>
      <c r="AW22" s="156">
        <f t="shared" si="13"/>
        <v>420.06662714551061</v>
      </c>
      <c r="AX22" s="160" cm="1">
        <f t="array" ref="AX22">_xlfn.IFS(AU22="DELETE", "DELETE", AU22=0, 0, AU22&gt;0,LOG10(AU22))</f>
        <v>2.6233181796996914</v>
      </c>
      <c r="AY22" s="161" cm="1">
        <f t="array" ref="AY22">_xlfn.IFS(AU22="DELETE", "DELETE", AU22=0, 0, AU22&gt;0, AW22/AU22/LN(10))</f>
        <v>0.43429448190325176</v>
      </c>
      <c r="AZ22" s="120" t="str">
        <f>qPCR_Raw!AG22</f>
        <v>Undetermined</v>
      </c>
      <c r="BA22" s="121" cm="1">
        <f t="array" ref="BA22">_xlfn.IFS(AZ22="Undetermined", 0, qPCR_Raw!AH22&lt;=1, 0, qPCR_Raw!AH22&gt;1, qPCR_Raw!AH22)</f>
        <v>0</v>
      </c>
      <c r="BB22" s="122" t="str">
        <f>qPCR_Raw!AJ22</f>
        <v>Undetermined</v>
      </c>
      <c r="BC22" s="121" cm="1">
        <f t="array" ref="BC22">_xlfn.IFS(BB22="Undetermined", 0, qPCR_Raw!AK22&lt;=1, 0, qPCR_Raw!AK22&gt;1, qPCR_Raw!AK22)</f>
        <v>0</v>
      </c>
      <c r="BD22" s="123" t="str" cm="1">
        <f t="array" ref="BD22">_xlfn.IFS(AND(AZ22="Undetermined", BB22="Undetermined"), "Undetermined", AND(BA22=0, BC22=0), "Undetermined", AND(BA22=0, BC22&gt;0), "Ten-Fold", AND(BA22&gt;0, BC22=0), "Undiluted", AND(AZ22&lt;&gt;"Undetermined", BB22&lt;&gt;"Undetermined", BA22&gt;0, BC22&gt;0, AZ22&lt;&gt;BB22), 100*(-1+10^(-1/(AZ22-BB22))), AND(AZ22&lt;&gt;"Undetermined", BB22&lt;&gt;"Undetermined", AZ22=BB22&gt;0), -100)</f>
        <v>Undetermined</v>
      </c>
      <c r="BE22" s="124" cm="1">
        <f t="array" ref="BE22">_xlfn.IFS(BD22="Undetermined", 0, BD22="Undiluted", BA22*$G22/$F22*1000, BD22="Ten-Fold", BC22*$G22/$F22*1000*10, BD22&lt;0, BC22*$G22/$F22*1000*10, BD22&lt;120, BA22*$G22/$F22*1000, BD22&gt;120, BC22*$G22/$F22*1000*10)</f>
        <v>0</v>
      </c>
      <c r="BF22" s="121">
        <f t="shared" si="14"/>
        <v>124.6290876154314</v>
      </c>
      <c r="BG22" s="121">
        <f t="shared" si="15"/>
        <v>176.25214597192783</v>
      </c>
      <c r="BH22" s="121">
        <f t="shared" si="16"/>
        <v>124.6290876154314</v>
      </c>
      <c r="BI22" s="125" cm="1">
        <f t="array" ref="BI22">_xlfn.IFS(BF22="DELETE", "DELETE", BF22=0, 0, BF22&gt;0,LOG10(BF22))</f>
        <v>2.095619415650412</v>
      </c>
      <c r="BJ22" s="126" cm="1">
        <f t="array" ref="BJ22">_xlfn.IFS(BF22="DELETE", "DELETE", BF22=0, 0, BF22&gt;0, BH22/BF22/LN(10))</f>
        <v>0.43429448190325176</v>
      </c>
    </row>
    <row r="23" spans="1:62" s="114" customFormat="1" x14ac:dyDescent="0.3">
      <c r="A23" s="115" t="str">
        <f>UPPER(LEFT(SUBSTITUTE(SUBSTITUTE(qPCR_Raw!A23,"-","")," ",""),2))&amp;RIGHT(SUBSTITUTE(SUBSTITUTE(qPCR_Raw!A23,"-","")," ",""),LEN(SUBSTITUTE(SUBSTITUTE(qPCR_Raw!A23,"-","")," ",""))-2)</f>
        <v>RW7</v>
      </c>
      <c r="B23" s="116" t="str" cm="1">
        <f t="array" ref="B23">_xlfn.IFS(LEFT(A23, LEN(A23)-1)="EP", "EP", LEFT(A23, LEN(A23)-1)="STa", "SPI", LEFT(A23, LEN(A23)-1)="STb", "SPO", LEFT(A23, LEN(A23)-1)="MRT", "MRT", LEFT(A23, LEN(A23)-1)="RG", "RN", LEFT(A23, LEN(A23)-1)="RT", "RU", LEFT(A23, LEN(A23)-1)="RW", "RL", LEFT(A23, LEN(A23)-1)="RC", "RS")</f>
        <v>RL</v>
      </c>
      <c r="C23" s="117">
        <f>qPCR_Raw!B23</f>
        <v>44342</v>
      </c>
      <c r="D23" s="117" t="str">
        <f t="shared" si="0"/>
        <v>RL44342</v>
      </c>
      <c r="E23" s="117" t="str">
        <f t="shared" si="1"/>
        <v>RL443427</v>
      </c>
      <c r="F23" s="118">
        <f>qPCR_Raw!C23</f>
        <v>855</v>
      </c>
      <c r="G23" s="119">
        <f>qPCR_Raw!F23</f>
        <v>100</v>
      </c>
      <c r="H23" s="120">
        <f>qPCR_Raw!G23</f>
        <v>16.860343933105469</v>
      </c>
      <c r="I23" s="121" cm="1">
        <f t="array" ref="I23">_xlfn.IFS(H23="Undetermined", 0, qPCR_Raw!H23-qPCR_Raw!$H$242&lt;0, 0, qPCR_Raw!H23-qPCR_Raw!$H$242&gt;0, qPCR_Raw!H23-qPCR_Raw!$H$242)</f>
        <v>523342.86144612631</v>
      </c>
      <c r="J23" s="122">
        <f>qPCR_Raw!K23</f>
        <v>19.942461013793945</v>
      </c>
      <c r="K23" s="121" cm="1">
        <f t="array" ref="K23">_xlfn.IFS(J23="Undetermined", 0, qPCR_Raw!L23-qPCR_Raw!$H$242&lt;0, 0, qPCR_Raw!L23-qPCR_Raw!$H$242&gt;0, qPCR_Raw!L23-qPCR_Raw!$H$242)</f>
        <v>57657.244258626306</v>
      </c>
      <c r="L23" s="123" cm="1">
        <f t="array" ref="L23">_xlfn.IFS(AND(H23="Undetermined", J23="Undetermined"), "Undetermined", AND(I23=0, K23=0), "Undetermined", AND(I23=0, K23&gt;0), "Ten-Fold", AND(I23&gt;0, K23=0), "Undiluted", AND(H23&lt;&gt;"Undetermined", J23&lt;&gt;"Undetermined", I23&gt;0, K23&gt;0), 100*(-1+10^(-1/(H23-J23))))</f>
        <v>111.08253824662042</v>
      </c>
      <c r="M23" s="124" cm="1">
        <f t="array" ref="M23">_xlfn.IFS(L23="Undetermined", 0, L23="Undiluted", I23*$G23/$F23*1000, L23="Ten-Fold", K23*$G23/$F23*1000*10, L23&lt;0, K23*$G23/$F23*1000*10, L23&lt;120, I23*$G23/$F23*1000, L23&gt;120, K23*$G23/$F23*1000*10)</f>
        <v>61209691.397207759</v>
      </c>
      <c r="N23" s="121" t="str">
        <f t="shared" si="2"/>
        <v>DELETE</v>
      </c>
      <c r="O23" s="121" t="str">
        <f t="shared" si="3"/>
        <v>DELETE</v>
      </c>
      <c r="P23" s="121" t="str">
        <f t="shared" si="4"/>
        <v>DELETE</v>
      </c>
      <c r="Q23" s="125" t="str" cm="1">
        <f t="array" ref="Q23">_xlfn.IFS(N23="DELETE", "DELETE", N23=0, 0, N23&gt;0,LOG10(N23))</f>
        <v>DELETE</v>
      </c>
      <c r="R23" s="126" t="str" cm="1">
        <f t="array" ref="R23">_xlfn.IFS(N23="DELETE", "DELETE", N23=0, 0, N23&gt;0, P23/N23/LN(10))</f>
        <v>DELETE</v>
      </c>
      <c r="S23" s="155">
        <f>qPCR_Raw!O23</f>
        <v>27.971183776855469</v>
      </c>
      <c r="T23" s="156" cm="1">
        <f t="array" ref="T23">_xlfn.IFS(S23="Undetermined", 0, qPCR_Raw!P23&lt;=1, 0, qPCR_Raw!P23&gt;1, qPCR_Raw!P23)</f>
        <v>808.71820068359375</v>
      </c>
      <c r="U23" s="157">
        <f>qPCR_Raw!R23</f>
        <v>31.14605712890625</v>
      </c>
      <c r="V23" s="156" cm="1">
        <f t="array" ref="V23">_xlfn.IFS(U23="Undetermined", 0, qPCR_Raw!S23&lt;=1, 0, qPCR_Raw!S23&gt;1, qPCR_Raw!S23)</f>
        <v>84.349021911621094</v>
      </c>
      <c r="W23" s="158" cm="1">
        <f t="array" ref="W23">_xlfn.IFS(AND(S23="Undetermined", U23="Undetermined"), "Undetermined", AND(T23=0, V23=0), "Undetermined", AND(T23=0, V23&gt;0), "Ten-Fold", AND(T23&gt;0, V23=0), "Undiluted", AND(S23&lt;&gt;"Undetermined", U23&lt;&gt;"Undetermined", T23&gt;0, V23&gt;0, S23&lt;&gt;U23), 100*(-1+10^(-1/(S23-U23))), AND(S23&lt;&gt;"Undetermined", U23&lt;&gt;"Undetermined", S23=U23&gt;0), -100)</f>
        <v>106.52526777262317</v>
      </c>
      <c r="X23" s="159" cm="1">
        <f t="array" ref="X23">_xlfn.IFS(W23="Undetermined", 0, W23="Undiluted", T23*$G23/$F23*1000, W23="Ten-Fold", V23*$G23/$F23*1000*10, W23&lt;0, V23*$G23/$F23*1000*10, W23&lt;120, T23*$G23/$F23*1000, W23&gt;120, V23*$G23/$F23*1000*10)</f>
        <v>94586.924056560674</v>
      </c>
      <c r="Y23" s="156" t="str">
        <f t="shared" si="5"/>
        <v>DELETE</v>
      </c>
      <c r="Z23" s="156" t="str">
        <f t="shared" si="6"/>
        <v>DELETE</v>
      </c>
      <c r="AA23" s="156" t="str">
        <f t="shared" si="7"/>
        <v>DELETE</v>
      </c>
      <c r="AB23" s="160" t="str" cm="1">
        <f t="array" ref="AB23">_xlfn.IFS(Y23="DELETE", "DELETE", Y23=0, 0, Y23&gt;0,LOG10(Y23))</f>
        <v>DELETE</v>
      </c>
      <c r="AC23" s="161" t="str" cm="1">
        <f t="array" ref="AC23">_xlfn.IFS(Y23="DELETE", "DELETE", Y23=0, 0, Y23&gt;0, AA23/Y23/LN(10))</f>
        <v>DELETE</v>
      </c>
      <c r="AD23" s="120">
        <f>qPCR_Raw!U23</f>
        <v>32.347080230712891</v>
      </c>
      <c r="AE23" s="121" cm="1">
        <f t="array" ref="AE23">_xlfn.IFS(AD23="Undetermined", 0, qPCR_Raw!V23&lt;=1, 0, qPCR_Raw!V23&gt;1, qPCR_Raw!V23)</f>
        <v>6.4696717262268066</v>
      </c>
      <c r="AF23" s="122">
        <f>qPCR_Raw!X23</f>
        <v>35.994430541992188</v>
      </c>
      <c r="AG23" s="121" cm="1">
        <f t="array" ref="AG23">_xlfn.IFS(AF23="Undetermined", 0, qPCR_Raw!Y23&lt;=1, 0, qPCR_Raw!Y23&gt;1, qPCR_Raw!Y23)</f>
        <v>0</v>
      </c>
      <c r="AH23" s="123" t="str" cm="1">
        <f t="array" ref="AH23">_xlfn.IFS(AND(AD23="Undetermined", AF23="Undetermined"), "Undetermined", AND(AE23=0, AG23=0), "Undetermined", AND(AE23=0, AG23&gt;0), "Ten-Fold", AND(AE23&gt;0, AG23=0), "Undiluted", AND(AD23&lt;&gt;"Undetermined", AF23&lt;&gt;"Undetermined", AE23&gt;0, AG23&gt;0, AD23&lt;&gt;AF23), 100*(-1+10^(-1/(AD23-AF23))), AND(AD23&lt;&gt;"Undetermined", AF23&lt;&gt;"Undetermined", AD23=AF23&gt;0), -100)</f>
        <v>Undiluted</v>
      </c>
      <c r="AI23" s="124" cm="1">
        <f t="array" ref="AI23">_xlfn.IFS(AH23="Undetermined", 0, AH23="Undiluted", AE23*$G23/$F23*1000, AH23="Ten-Fold", AG23*$G23/$F23*1000*10, AH23&lt;0, AG23*$G23/$F23*1000*10, AH23&lt;120, AE23*$G23/$F23*1000, AH23&gt;120, AG23*$G23/$F23*1000*10)</f>
        <v>756.68675160547446</v>
      </c>
      <c r="AJ23" s="121" t="str">
        <f t="shared" si="8"/>
        <v>DELETE</v>
      </c>
      <c r="AK23" s="121" t="str">
        <f t="shared" si="9"/>
        <v>DELETE</v>
      </c>
      <c r="AL23" s="121" t="str">
        <f t="shared" si="10"/>
        <v>DELETE</v>
      </c>
      <c r="AM23" s="125" t="str" cm="1">
        <f t="array" ref="AM23">_xlfn.IFS(AJ23="DELETE", "DELETE", AJ23=0, 0, AJ23&gt;0,LOG10(AJ23))</f>
        <v>DELETE</v>
      </c>
      <c r="AN23" s="126" t="str" cm="1">
        <f t="array" ref="AN23">_xlfn.IFS(AJ23="DELETE", "DELETE", AJ23=0, 0, AJ23&gt;0, AL23/AJ23/LN(10))</f>
        <v>DELETE</v>
      </c>
      <c r="AO23" s="155">
        <f>qPCR_Raw!AA23</f>
        <v>28.560710906982422</v>
      </c>
      <c r="AP23" s="156" cm="1">
        <f t="array" ref="AP23">_xlfn.IFS(AO23="Undetermined", 0, qPCR_Raw!AB23&lt;=6, 0, qPCR_Raw!AB23&gt;6, qPCR_Raw!AB23)</f>
        <v>7.1831393241882324</v>
      </c>
      <c r="AQ23" s="157">
        <f>qPCR_Raw!AD23</f>
        <v>31.485540390014648</v>
      </c>
      <c r="AR23" s="156" cm="1">
        <f t="array" ref="AR23">_xlfn.IFS(AQ23="Undetermined", 0, qPCR_Raw!AE23&lt;=6, 0, qPCR_Raw!AE23&gt;6, qPCR_Raw!AE23)</f>
        <v>0</v>
      </c>
      <c r="AS23" s="158" t="str" cm="1">
        <f t="array" ref="AS23">_xlfn.IFS(AND(AO23="Undetermined", AQ23="Undetermined"), "Undetermined", AND(AP23=0, AR23=0), "Undetermined", AND(AP23=0, AR23&gt;0), "Ten-Fold", AND(AP23&gt;0, AR23=0), "Undiluted", AND(AO23&lt;&gt;"Undetermined", AQ23&lt;&gt;"Undetermined", AP23&gt;0, AR23&gt;0, AO23&lt;&gt;AQ23), 100*(-1+10^(-1/(AO23-AQ23))), AND(AO23&lt;&gt;"Undetermined", AQ23&lt;&gt;"Undetermined", AO23=AQ23&gt;0), -100)</f>
        <v>Undiluted</v>
      </c>
      <c r="AT23" s="159" cm="1">
        <f t="array" ref="AT23">_xlfn.IFS(AS23="Undetermined", 0, AS23="Undiluted", AP23*$G23/$F23*1000, AS23="Ten-Fold", AR23*$G23/$F23*1000*10, AS23&lt;0, AR23*$G23/$F23*1000*10, AS23&lt;120, AP23*$G23/$F23*1000, AS23&gt;120, AR23*$G23/$F23*1000*10)</f>
        <v>840.13325429102133</v>
      </c>
      <c r="AU23" s="156" t="str">
        <f t="shared" si="11"/>
        <v>DELETE</v>
      </c>
      <c r="AV23" s="156" t="str">
        <f t="shared" si="12"/>
        <v>DELETE</v>
      </c>
      <c r="AW23" s="156" t="str">
        <f t="shared" si="13"/>
        <v>DELETE</v>
      </c>
      <c r="AX23" s="160" t="str" cm="1">
        <f t="array" ref="AX23">_xlfn.IFS(AU23="DELETE", "DELETE", AU23=0, 0, AU23&gt;0,LOG10(AU23))</f>
        <v>DELETE</v>
      </c>
      <c r="AY23" s="161" t="str" cm="1">
        <f t="array" ref="AY23">_xlfn.IFS(AU23="DELETE", "DELETE", AU23=0, 0, AU23&gt;0, AW23/AU23/LN(10))</f>
        <v>DELETE</v>
      </c>
      <c r="AZ23" s="120">
        <f>qPCR_Raw!AG23</f>
        <v>35.568637847900391</v>
      </c>
      <c r="BA23" s="121" cm="1">
        <f t="array" ref="BA23">_xlfn.IFS(AZ23="Undetermined", 0, qPCR_Raw!AH23&lt;=1, 0, qPCR_Raw!AH23&gt;1, qPCR_Raw!AH23)</f>
        <v>2.131157398223877</v>
      </c>
      <c r="BB23" s="122" t="str">
        <f>qPCR_Raw!AJ23</f>
        <v>Undetermined</v>
      </c>
      <c r="BC23" s="121" cm="1">
        <f t="array" ref="BC23">_xlfn.IFS(BB23="Undetermined", 0, qPCR_Raw!AK23&lt;=1, 0, qPCR_Raw!AK23&gt;1, qPCR_Raw!AK23)</f>
        <v>0</v>
      </c>
      <c r="BD23" s="123" t="str" cm="1">
        <f t="array" ref="BD23">_xlfn.IFS(AND(AZ23="Undetermined", BB23="Undetermined"), "Undetermined", AND(BA23=0, BC23=0), "Undetermined", AND(BA23=0, BC23&gt;0), "Ten-Fold", AND(BA23&gt;0, BC23=0), "Undiluted", AND(AZ23&lt;&gt;"Undetermined", BB23&lt;&gt;"Undetermined", BA23&gt;0, BC23&gt;0, AZ23&lt;&gt;BB23), 100*(-1+10^(-1/(AZ23-BB23))), AND(AZ23&lt;&gt;"Undetermined", BB23&lt;&gt;"Undetermined", AZ23=BB23&gt;0), -100)</f>
        <v>Undiluted</v>
      </c>
      <c r="BE23" s="124" cm="1">
        <f t="array" ref="BE23">_xlfn.IFS(BD23="Undetermined", 0, BD23="Undiluted", BA23*$G23/$F23*1000, BD23="Ten-Fold", BC23*$G23/$F23*1000*10, BD23&lt;0, BC23*$G23/$F23*1000*10, BD23&lt;120, BA23*$G23/$F23*1000, BD23&gt;120, BC23*$G23/$F23*1000*10)</f>
        <v>249.2581752308628</v>
      </c>
      <c r="BF23" s="121" t="str">
        <f t="shared" si="14"/>
        <v>DELETE</v>
      </c>
      <c r="BG23" s="121" t="str">
        <f t="shared" si="15"/>
        <v>DELETE</v>
      </c>
      <c r="BH23" s="121" t="str">
        <f t="shared" si="16"/>
        <v>DELETE</v>
      </c>
      <c r="BI23" s="125" t="str" cm="1">
        <f t="array" ref="BI23">_xlfn.IFS(BF23="DELETE", "DELETE", BF23=0, 0, BF23&gt;0,LOG10(BF23))</f>
        <v>DELETE</v>
      </c>
      <c r="BJ23" s="126" t="str" cm="1">
        <f t="array" ref="BJ23">_xlfn.IFS(BF23="DELETE", "DELETE", BF23=0, 0, BF23&gt;0, BH23/BF23/LN(10))</f>
        <v>DELETE</v>
      </c>
    </row>
    <row r="24" spans="1:62" s="114" customFormat="1" x14ac:dyDescent="0.3">
      <c r="A24" s="115" t="str">
        <f>UPPER(LEFT(SUBSTITUTE(SUBSTITUTE(qPCR_Raw!A24,"-","")," ",""),2))&amp;RIGHT(SUBSTITUTE(SUBSTITUTE(qPCR_Raw!A24,"-","")," ",""),LEN(SUBSTITUTE(SUBSTITUTE(qPCR_Raw!A24,"-","")," ",""))-2)</f>
        <v>MRT6</v>
      </c>
      <c r="B24" s="116" t="str" cm="1">
        <f t="array" ref="B24">_xlfn.IFS(LEFT(A24, LEN(A24)-1)="EP", "EP", LEFT(A24, LEN(A24)-1)="STa", "SPI", LEFT(A24, LEN(A24)-1)="STb", "SPO", LEFT(A24, LEN(A24)-1)="MRT", "MRT", LEFT(A24, LEN(A24)-1)="RG", "RN", LEFT(A24, LEN(A24)-1)="RT", "RU", LEFT(A24, LEN(A24)-1)="RW", "RL", LEFT(A24, LEN(A24)-1)="RC", "RS")</f>
        <v>MRT</v>
      </c>
      <c r="C24" s="117">
        <f>qPCR_Raw!B24</f>
        <v>44342</v>
      </c>
      <c r="D24" s="117" t="str">
        <f t="shared" si="0"/>
        <v>MRT44342</v>
      </c>
      <c r="E24" s="117" t="str">
        <f t="shared" si="1"/>
        <v>MRT443426</v>
      </c>
      <c r="F24" s="118">
        <f>qPCR_Raw!C24</f>
        <v>960</v>
      </c>
      <c r="G24" s="119">
        <f>qPCR_Raw!F24</f>
        <v>100</v>
      </c>
      <c r="H24" s="120">
        <f>qPCR_Raw!G24</f>
        <v>15.545906066894531</v>
      </c>
      <c r="I24" s="121" cm="1">
        <f t="array" ref="I24">_xlfn.IFS(H24="Undetermined", 0, qPCR_Raw!H24-qPCR_Raw!$H$242&lt;0, 0, qPCR_Raw!H24-qPCR_Raw!$H$242&gt;0, qPCR_Raw!H24-qPCR_Raw!$H$242)</f>
        <v>1260184.9864461264</v>
      </c>
      <c r="J24" s="122">
        <f>qPCR_Raw!K24</f>
        <v>18.243335723876953</v>
      </c>
      <c r="K24" s="121" cm="1">
        <f t="array" ref="K24">_xlfn.IFS(J24="Undetermined", 0, qPCR_Raw!L24-qPCR_Raw!$H$242&lt;0, 0, qPCR_Raw!L24-qPCR_Raw!$H$242&gt;0, qPCR_Raw!L24-qPCR_Raw!$H$242)</f>
        <v>202985.42394612631</v>
      </c>
      <c r="L24" s="123" cm="1">
        <f t="array" ref="L24">_xlfn.IFS(AND(H24="Undetermined", J24="Undetermined"), "Undetermined", AND(I24=0, K24=0), "Undetermined", AND(I24=0, K24&gt;0), "Ten-Fold", AND(I24&gt;0, K24=0), "Undiluted", AND(H24&lt;&gt;"Undetermined", J24&lt;&gt;"Undetermined", I24&gt;0, K24&gt;0), 100*(-1+10^(-1/(H24-J24))))</f>
        <v>134.81362391193295</v>
      </c>
      <c r="M24" s="124" cm="1">
        <f t="array" ref="M24">_xlfn.IFS(L24="Undetermined", 0, L24="Undiluted", I24*$G24/$F24*1000, L24="Ten-Fold", K24*$G24/$F24*1000*10, L24&lt;0, K24*$G24/$F24*1000*10, L24&lt;120, I24*$G24/$F24*1000, L24&gt;120, K24*$G24/$F24*1000*10)</f>
        <v>211443149.94388157</v>
      </c>
      <c r="N24" s="121">
        <f t="shared" si="2"/>
        <v>243367747.83005893</v>
      </c>
      <c r="O24" s="121">
        <f t="shared" si="3"/>
        <v>45148199.303939462</v>
      </c>
      <c r="P24" s="121">
        <f t="shared" si="4"/>
        <v>31924597.886177357</v>
      </c>
      <c r="Q24" s="125" cm="1">
        <f t="array" ref="Q24">_xlfn.IFS(N24="DELETE", "DELETE", N24=0, 0, N24&gt;0,LOG10(N24))</f>
        <v>8.3862630230825239</v>
      </c>
      <c r="R24" s="126" cm="1">
        <f t="array" ref="R24">_xlfn.IFS(N24="DELETE", "DELETE", N24=0, 0, N24&gt;0, P24/N24/LN(10))</f>
        <v>5.697006617585415E-2</v>
      </c>
      <c r="S24" s="155">
        <f>qPCR_Raw!O24</f>
        <v>29.57066535949707</v>
      </c>
      <c r="T24" s="156" cm="1">
        <f t="array" ref="T24">_xlfn.IFS(S24="Undetermined", 0, qPCR_Raw!P24&lt;=1, 0, qPCR_Raw!P24&gt;1, qPCR_Raw!P24)</f>
        <v>258.948974609375</v>
      </c>
      <c r="U24" s="157">
        <f>qPCR_Raw!R24</f>
        <v>32.768085479736328</v>
      </c>
      <c r="V24" s="156" cm="1">
        <f t="array" ref="V24">_xlfn.IFS(U24="Undetermined", 0, qPCR_Raw!S24&lt;=1, 0, qPCR_Raw!S24&gt;1, qPCR_Raw!S24)</f>
        <v>26.578178405761719</v>
      </c>
      <c r="W24" s="158" cm="1">
        <f t="array" ref="W24">_xlfn.IFS(AND(S24="Undetermined", U24="Undetermined"), "Undetermined", AND(T24=0, V24=0), "Undetermined", AND(T24=0, V24&gt;0), "Ten-Fold", AND(T24&gt;0, V24=0), "Undiluted", AND(S24&lt;&gt;"Undetermined", U24&lt;&gt;"Undetermined", T24&gt;0, V24&gt;0, S24&lt;&gt;U24), 100*(-1+10^(-1/(S24-U24))), AND(S24&lt;&gt;"Undetermined", U24&lt;&gt;"Undetermined", S24=U24&gt;0), -100)</f>
        <v>105.47176175208874</v>
      </c>
      <c r="X24" s="159" cm="1">
        <f t="array" ref="X24">_xlfn.IFS(W24="Undetermined", 0, W24="Undiluted", T24*$G24/$F24*1000, W24="Ten-Fold", V24*$G24/$F24*1000*10, W24&lt;0, V24*$G24/$F24*1000*10, W24&lt;120, T24*$G24/$F24*1000, W24&gt;120, V24*$G24/$F24*1000*10)</f>
        <v>26973.851521809895</v>
      </c>
      <c r="Y24" s="156">
        <f t="shared" si="5"/>
        <v>186501.19442409941</v>
      </c>
      <c r="Z24" s="156">
        <f t="shared" si="6"/>
        <v>225605.73190176114</v>
      </c>
      <c r="AA24" s="156">
        <f t="shared" si="7"/>
        <v>159527.3429022895</v>
      </c>
      <c r="AB24" s="160" cm="1">
        <f t="array" ref="AB24">_xlfn.IFS(Y24="DELETE", "DELETE", Y24=0, 0, Y24&gt;0,LOG10(Y24))</f>
        <v>5.2706816175395286</v>
      </c>
      <c r="AC24" s="161" cm="1">
        <f t="array" ref="AC24">_xlfn.IFS(Y24="DELETE", "DELETE", Y24=0, 0, Y24&gt;0, AA24/Y24/LN(10))</f>
        <v>0.3714820430458311</v>
      </c>
      <c r="AD24" s="120">
        <f>qPCR_Raw!U24</f>
        <v>31.372381210327148</v>
      </c>
      <c r="AE24" s="121" cm="1">
        <f t="array" ref="AE24">_xlfn.IFS(AD24="Undetermined", 0, qPCR_Raw!V24&lt;=1, 0, qPCR_Raw!V24&gt;1, qPCR_Raw!V24)</f>
        <v>12.216922760009766</v>
      </c>
      <c r="AF24" s="122">
        <f>qPCR_Raw!X24</f>
        <v>34.413257598876953</v>
      </c>
      <c r="AG24" s="121" cm="1">
        <f t="array" ref="AG24">_xlfn.IFS(AF24="Undetermined", 0, qPCR_Raw!Y24&lt;=1, 0, qPCR_Raw!Y24&gt;1, qPCR_Raw!Y24)</f>
        <v>1.6813021898269653</v>
      </c>
      <c r="AH24" s="123" cm="1">
        <f t="array" ref="AH24">_xlfn.IFS(AND(AD24="Undetermined", AF24="Undetermined"), "Undetermined", AND(AE24=0, AG24=0), "Undetermined", AND(AE24=0, AG24&gt;0), "Ten-Fold", AND(AE24&gt;0, AG24=0), "Undiluted", AND(AD24&lt;&gt;"Undetermined", AF24&lt;&gt;"Undetermined", AE24&gt;0, AG24&gt;0, AD24&lt;&gt;AF24), 100*(-1+10^(-1/(AD24-AF24))), AND(AD24&lt;&gt;"Undetermined", AF24&lt;&gt;"Undetermined", AD24=AF24&gt;0), -100)</f>
        <v>113.23209061169237</v>
      </c>
      <c r="AI24" s="124" cm="1">
        <f t="array" ref="AI24">_xlfn.IFS(AH24="Undetermined", 0, AH24="Undiluted", AE24*$G24/$F24*1000, AH24="Ten-Fold", AG24*$G24/$F24*1000*10, AH24&lt;0, AG24*$G24/$F24*1000*10, AH24&lt;120, AE24*$G24/$F24*1000, AH24&gt;120, AG24*$G24/$F24*1000*10)</f>
        <v>1272.5961208343506</v>
      </c>
      <c r="AJ24" s="121">
        <f t="shared" si="8"/>
        <v>4288.045446077982</v>
      </c>
      <c r="AK24" s="121">
        <f t="shared" si="9"/>
        <v>4264.4893324083432</v>
      </c>
      <c r="AL24" s="121">
        <f t="shared" si="10"/>
        <v>3015.4493252436323</v>
      </c>
      <c r="AM24" s="125" cm="1">
        <f t="array" ref="AM24">_xlfn.IFS(AJ24="DELETE", "DELETE", AJ24=0, 0, AJ24&gt;0,LOG10(AJ24))</f>
        <v>3.6322593795010154</v>
      </c>
      <c r="AN24" s="126" cm="1">
        <f t="array" ref="AN24">_xlfn.IFS(AJ24="DELETE", "DELETE", AJ24=0, 0, AJ24&gt;0, AL24/AJ24/LN(10))</f>
        <v>0.30540557904067916</v>
      </c>
      <c r="AO24" s="155">
        <f>qPCR_Raw!AA24</f>
        <v>19.918720245361328</v>
      </c>
      <c r="AP24" s="156" cm="1">
        <f t="array" ref="AP24">_xlfn.IFS(AO24="Undetermined", 0, qPCR_Raw!AB24&lt;=6, 0, qPCR_Raw!AB24&gt;6, qPCR_Raw!AB24)</f>
        <v>2129.856201171875</v>
      </c>
      <c r="AQ24" s="157">
        <f>qPCR_Raw!AD24</f>
        <v>22.990161895751953</v>
      </c>
      <c r="AR24" s="156" cm="1">
        <f t="array" ref="AR24">_xlfn.IFS(AQ24="Undetermined", 0, qPCR_Raw!AE24&lt;=6, 0, qPCR_Raw!AE24&gt;6, qPCR_Raw!AE24)</f>
        <v>281.68667602539063</v>
      </c>
      <c r="AS24" s="158" cm="1">
        <f t="array" ref="AS24">_xlfn.IFS(AND(AO24="Undetermined", AQ24="Undetermined"), "Undetermined", AND(AP24=0, AR24=0), "Undetermined", AND(AP24=0, AR24&gt;0), "Ten-Fold", AND(AP24&gt;0, AR24=0), "Undiluted", AND(AO24&lt;&gt;"Undetermined", AQ24&lt;&gt;"Undetermined", AP24&gt;0, AR24&gt;0, AO24&lt;&gt;AQ24), 100*(-1+10^(-1/(AO24-AQ24))), AND(AO24&lt;&gt;"Undetermined", AQ24&lt;&gt;"Undetermined", AO24=AQ24&gt;0), -100)</f>
        <v>111.63135322647753</v>
      </c>
      <c r="AT24" s="159" cm="1">
        <f t="array" ref="AT24">_xlfn.IFS(AS24="Undetermined", 0, AS24="Undiluted", AP24*$G24/$F24*1000, AS24="Ten-Fold", AR24*$G24/$F24*1000*10, AS24&lt;0, AR24*$G24/$F24*1000*10, AS24&lt;120, AP24*$G24/$F24*1000, AS24&gt;120, AR24*$G24/$F24*1000*10)</f>
        <v>221860.02095540366</v>
      </c>
      <c r="AU24" s="156">
        <f t="shared" si="11"/>
        <v>165037.95454237197</v>
      </c>
      <c r="AV24" s="156">
        <f t="shared" si="12"/>
        <v>80358.536963374077</v>
      </c>
      <c r="AW24" s="156">
        <f t="shared" si="13"/>
        <v>56822.066413031644</v>
      </c>
      <c r="AX24" s="160" cm="1">
        <f t="array" ref="AX24">_xlfn.IFS(AU24="DELETE", "DELETE", AU24=0, 0, AU24&gt;0,LOG10(AU24))</f>
        <v>5.2175838324125881</v>
      </c>
      <c r="AY24" s="161" cm="1">
        <f t="array" ref="AY24">_xlfn.IFS(AU24="DELETE", "DELETE", AU24=0, 0, AU24&gt;0, AW24/AU24/LN(10))</f>
        <v>0.14952627086264583</v>
      </c>
      <c r="AZ24" s="120">
        <f>qPCR_Raw!AG24</f>
        <v>26.427623748779297</v>
      </c>
      <c r="BA24" s="121" cm="1">
        <f t="array" ref="BA24">_xlfn.IFS(AZ24="Undetermined", 0, qPCR_Raw!AH24&lt;=1, 0, qPCR_Raw!AH24&gt;1, qPCR_Raw!AH24)</f>
        <v>619.87127685546875</v>
      </c>
      <c r="BB24" s="122">
        <f>qPCR_Raw!AJ24</f>
        <v>29.804416656494141</v>
      </c>
      <c r="BC24" s="121" cm="1">
        <f t="array" ref="BC24">_xlfn.IFS(BB24="Undetermined", 0, qPCR_Raw!AK24&lt;=1, 0, qPCR_Raw!AK24&gt;1, qPCR_Raw!AK24)</f>
        <v>76.240951538085938</v>
      </c>
      <c r="BD24" s="123" cm="1">
        <f t="array" ref="BD24">_xlfn.IFS(AND(AZ24="Undetermined", BB24="Undetermined"), "Undetermined", AND(BA24=0, BC24=0), "Undetermined", AND(BA24=0, BC24&gt;0), "Ten-Fold", AND(BA24&gt;0, BC24=0), "Undiluted", AND(AZ24&lt;&gt;"Undetermined", BB24&lt;&gt;"Undetermined", BA24&gt;0, BC24&gt;0, AZ24&lt;&gt;BB24), 100*(-1+10^(-1/(AZ24-BB24))), AND(AZ24&lt;&gt;"Undetermined", BB24&lt;&gt;"Undetermined", AZ24=BB24&gt;0), -100)</f>
        <v>97.760238795591619</v>
      </c>
      <c r="BE24" s="124" cm="1">
        <f t="array" ref="BE24">_xlfn.IFS(BD24="Undetermined", 0, BD24="Undiluted", BA24*$G24/$F24*1000, BD24="Ten-Fold", BC24*$G24/$F24*1000*10, BD24&lt;0, BC24*$G24/$F24*1000*10, BD24&lt;120, BA24*$G24/$F24*1000, BD24&gt;120, BC24*$G24/$F24*1000*10)</f>
        <v>64569.924672444657</v>
      </c>
      <c r="BF24" s="121">
        <f t="shared" si="14"/>
        <v>72781.686782836914</v>
      </c>
      <c r="BG24" s="121">
        <f t="shared" si="15"/>
        <v>11613.185347498167</v>
      </c>
      <c r="BH24" s="121">
        <f t="shared" si="16"/>
        <v>8211.7621103922065</v>
      </c>
      <c r="BI24" s="125" cm="1">
        <f t="array" ref="BI24">_xlfn.IFS(BF24="DELETE", "DELETE", BF24=0, 0, BF24&gt;0,LOG10(BF24))</f>
        <v>4.8620221165427324</v>
      </c>
      <c r="BJ24" s="126" cm="1">
        <f t="array" ref="BJ24">_xlfn.IFS(BF24="DELETE", "DELETE", BF24=0, 0, BF24&gt;0, BH24/BF24/LN(10))</f>
        <v>4.9000279175812296E-2</v>
      </c>
    </row>
    <row r="25" spans="1:62" s="114" customFormat="1" x14ac:dyDescent="0.3">
      <c r="A25" s="115" t="str">
        <f>UPPER(LEFT(SUBSTITUTE(SUBSTITUTE(qPCR_Raw!A25,"-","")," ",""),2))&amp;RIGHT(SUBSTITUTE(SUBSTITUTE(qPCR_Raw!A25,"-","")," ",""),LEN(SUBSTITUTE(SUBSTITUTE(qPCR_Raw!A25,"-","")," ",""))-2)</f>
        <v>MRT7</v>
      </c>
      <c r="B25" s="116" t="str" cm="1">
        <f t="array" ref="B25">_xlfn.IFS(LEFT(A25, LEN(A25)-1)="EP", "EP", LEFT(A25, LEN(A25)-1)="STa", "SPI", LEFT(A25, LEN(A25)-1)="STb", "SPO", LEFT(A25, LEN(A25)-1)="MRT", "MRT", LEFT(A25, LEN(A25)-1)="RG", "RN", LEFT(A25, LEN(A25)-1)="RT", "RU", LEFT(A25, LEN(A25)-1)="RW", "RL", LEFT(A25, LEN(A25)-1)="RC", "RS")</f>
        <v>MRT</v>
      </c>
      <c r="C25" s="117">
        <f>qPCR_Raw!B25</f>
        <v>44342</v>
      </c>
      <c r="D25" s="117" t="str">
        <f t="shared" si="0"/>
        <v>MRT44342</v>
      </c>
      <c r="E25" s="117" t="str">
        <f t="shared" si="1"/>
        <v>MRT443427</v>
      </c>
      <c r="F25" s="118">
        <f>qPCR_Raw!C25</f>
        <v>900</v>
      </c>
      <c r="G25" s="119">
        <f>qPCR_Raw!F25</f>
        <v>100</v>
      </c>
      <c r="H25" s="120">
        <f>qPCR_Raw!G25</f>
        <v>14.525671005249023</v>
      </c>
      <c r="I25" s="121" cm="1">
        <f t="array" ref="I25">_xlfn.IFS(H25="Undetermined", 0, qPCR_Raw!H25-qPCR_Raw!$H$242&lt;0, 0, qPCR_Raw!H25-qPCR_Raw!$H$242&gt;0, qPCR_Raw!H25-qPCR_Raw!$H$242)</f>
        <v>2477631.1114461264</v>
      </c>
      <c r="J25" s="122">
        <f>qPCR_Raw!K25</f>
        <v>20.286899566650391</v>
      </c>
      <c r="K25" s="121" cm="1">
        <f t="array" ref="K25">_xlfn.IFS(J25="Undetermined", 0, qPCR_Raw!L25-qPCR_Raw!$H$242&lt;0, 0, qPCR_Raw!L25-qPCR_Raw!$H$242&gt;0, qPCR_Raw!L25-qPCR_Raw!$H$242)</f>
        <v>43337.568477376306</v>
      </c>
      <c r="L25" s="123" cm="1">
        <f t="array" ref="L25">_xlfn.IFS(AND(H25="Undetermined", J25="Undetermined"), "Undetermined", AND(I25=0, K25=0), "Undetermined", AND(I25=0, K25&gt;0), "Ten-Fold", AND(I25&gt;0, K25=0), "Undiluted", AND(H25&lt;&gt;"Undetermined", J25&lt;&gt;"Undetermined", I25&gt;0, K25&gt;0), 100*(-1+10^(-1/(H25-J25))))</f>
        <v>49.133114977667617</v>
      </c>
      <c r="M25" s="124" cm="1">
        <f t="array" ref="M25">_xlfn.IFS(L25="Undetermined", 0, L25="Undiluted", I25*$G25/$F25*1000, L25="Ten-Fold", K25*$G25/$F25*1000*10, L25&lt;0, K25*$G25/$F25*1000*10, L25&lt;120, I25*$G25/$F25*1000, L25&gt;120, K25*$G25/$F25*1000*10)</f>
        <v>275292345.71623629</v>
      </c>
      <c r="N25" s="121" t="str">
        <f t="shared" si="2"/>
        <v>DELETE</v>
      </c>
      <c r="O25" s="121" t="str">
        <f t="shared" si="3"/>
        <v>DELETE</v>
      </c>
      <c r="P25" s="121" t="str">
        <f t="shared" si="4"/>
        <v>DELETE</v>
      </c>
      <c r="Q25" s="125" t="str" cm="1">
        <f t="array" ref="Q25">_xlfn.IFS(N25="DELETE", "DELETE", N25=0, 0, N25&gt;0,LOG10(N25))</f>
        <v>DELETE</v>
      </c>
      <c r="R25" s="126" t="str" cm="1">
        <f t="array" ref="R25">_xlfn.IFS(N25="DELETE", "DELETE", N25=0, 0, N25&gt;0, P25/N25/LN(10))</f>
        <v>DELETE</v>
      </c>
      <c r="S25" s="155">
        <f>qPCR_Raw!O25</f>
        <v>26.077491760253906</v>
      </c>
      <c r="T25" s="156" cm="1">
        <f t="array" ref="T25">_xlfn.IFS(S25="Undetermined", 0, qPCR_Raw!P25&lt;=1, 0, qPCR_Raw!P25&gt;1, qPCR_Raw!P25)</f>
        <v>3114.2568359375</v>
      </c>
      <c r="U25" s="157">
        <f>qPCR_Raw!R25</f>
        <v>31.952810287475586</v>
      </c>
      <c r="V25" s="156" cm="1">
        <f t="array" ref="V25">_xlfn.IFS(U25="Undetermined", 0, qPCR_Raw!S25&lt;=1, 0, qPCR_Raw!S25&gt;1, qPCR_Raw!S25)</f>
        <v>47.491970062255859</v>
      </c>
      <c r="W25" s="158" cm="1">
        <f t="array" ref="W25">_xlfn.IFS(AND(S25="Undetermined", U25="Undetermined"), "Undetermined", AND(T25=0, V25=0), "Undetermined", AND(T25=0, V25&gt;0), "Ten-Fold", AND(T25&gt;0, V25=0), "Undiluted", AND(S25&lt;&gt;"Undetermined", U25&lt;&gt;"Undetermined", T25&gt;0, V25&gt;0, S25&lt;&gt;U25), 100*(-1+10^(-1/(S25-U25))), AND(S25&lt;&gt;"Undetermined", U25&lt;&gt;"Undetermined", S25=U25&gt;0), -100)</f>
        <v>47.980175472124451</v>
      </c>
      <c r="X25" s="159" cm="1">
        <f t="array" ref="X25">_xlfn.IFS(W25="Undetermined", 0, W25="Undiluted", T25*$G25/$F25*1000, W25="Ten-Fold", V25*$G25/$F25*1000*10, W25&lt;0, V25*$G25/$F25*1000*10, W25&lt;120, T25*$G25/$F25*1000, W25&gt;120, V25*$G25/$F25*1000*10)</f>
        <v>346028.53732638893</v>
      </c>
      <c r="Y25" s="156" t="str">
        <f t="shared" si="5"/>
        <v>DELETE</v>
      </c>
      <c r="Z25" s="156" t="str">
        <f t="shared" si="6"/>
        <v>DELETE</v>
      </c>
      <c r="AA25" s="156" t="str">
        <f t="shared" si="7"/>
        <v>DELETE</v>
      </c>
      <c r="AB25" s="160" t="str" cm="1">
        <f t="array" ref="AB25">_xlfn.IFS(Y25="DELETE", "DELETE", Y25=0, 0, Y25&gt;0,LOG10(Y25))</f>
        <v>DELETE</v>
      </c>
      <c r="AC25" s="161" t="str" cm="1">
        <f t="array" ref="AC25">_xlfn.IFS(Y25="DELETE", "DELETE", Y25=0, 0, Y25&gt;0, AA25/Y25/LN(10))</f>
        <v>DELETE</v>
      </c>
      <c r="AD25" s="120">
        <f>qPCR_Raw!U25</f>
        <v>28.792251586914063</v>
      </c>
      <c r="AE25" s="121" cm="1">
        <f t="array" ref="AE25">_xlfn.IFS(AD25="Undetermined", 0, qPCR_Raw!V25&lt;=1, 0, qPCR_Raw!V25&gt;1, qPCR_Raw!V25)</f>
        <v>65.731452941894531</v>
      </c>
      <c r="AF25" s="122">
        <f>qPCR_Raw!X25</f>
        <v>34.541511535644531</v>
      </c>
      <c r="AG25" s="121" cm="1">
        <f t="array" ref="AG25">_xlfn.IFS(AF25="Undetermined", 0, qPCR_Raw!Y25&lt;=1, 0, qPCR_Raw!Y25&gt;1, qPCR_Raw!Y25)</f>
        <v>1.5463875532150269</v>
      </c>
      <c r="AH25" s="123" cm="1">
        <f t="array" ref="AH25">_xlfn.IFS(AND(AD25="Undetermined", AF25="Undetermined"), "Undetermined", AND(AE25=0, AG25=0), "Undetermined", AND(AE25=0, AG25&gt;0), "Ten-Fold", AND(AE25&gt;0, AG25=0), "Undiluted", AND(AD25&lt;&gt;"Undetermined", AF25&lt;&gt;"Undetermined", AE25&gt;0, AG25&gt;0, AD25&lt;&gt;AF25), 100*(-1+10^(-1/(AD25-AF25))), AND(AD25&lt;&gt;"Undetermined", AF25&lt;&gt;"Undetermined", AD25=AF25&gt;0), -100)</f>
        <v>49.25724796948969</v>
      </c>
      <c r="AI25" s="124" cm="1">
        <f t="array" ref="AI25">_xlfn.IFS(AH25="Undetermined", 0, AH25="Undiluted", AE25*$G25/$F25*1000, AH25="Ten-Fold", AG25*$G25/$F25*1000*10, AH25&lt;0, AG25*$G25/$F25*1000*10, AH25&lt;120, AE25*$G25/$F25*1000, AH25&gt;120, AG25*$G25/$F25*1000*10)</f>
        <v>7303.4947713216143</v>
      </c>
      <c r="AJ25" s="121" t="str">
        <f t="shared" si="8"/>
        <v>DELETE</v>
      </c>
      <c r="AK25" s="121" t="str">
        <f t="shared" si="9"/>
        <v>DELETE</v>
      </c>
      <c r="AL25" s="121" t="str">
        <f t="shared" si="10"/>
        <v>DELETE</v>
      </c>
      <c r="AM25" s="125" t="str" cm="1">
        <f t="array" ref="AM25">_xlfn.IFS(AJ25="DELETE", "DELETE", AJ25=0, 0, AJ25&gt;0,LOG10(AJ25))</f>
        <v>DELETE</v>
      </c>
      <c r="AN25" s="126" t="str" cm="1">
        <f t="array" ref="AN25">_xlfn.IFS(AJ25="DELETE", "DELETE", AJ25=0, 0, AJ25&gt;0, AL25/AJ25/LN(10))</f>
        <v>DELETE</v>
      </c>
      <c r="AO25" s="155">
        <f>qPCR_Raw!AA25</f>
        <v>21.106685638427734</v>
      </c>
      <c r="AP25" s="156" cm="1">
        <f t="array" ref="AP25">_xlfn.IFS(AO25="Undetermined", 0, qPCR_Raw!AB25&lt;=6, 0, qPCR_Raw!AB25&gt;6, qPCR_Raw!AB25)</f>
        <v>973.9429931640625</v>
      </c>
      <c r="AQ25" s="157">
        <f>qPCR_Raw!AD25</f>
        <v>27.277856826782227</v>
      </c>
      <c r="AR25" s="156" cm="1">
        <f t="array" ref="AR25">_xlfn.IFS(AQ25="Undetermined", 0, qPCR_Raw!AE25&lt;=6, 0, qPCR_Raw!AE25&gt;6, qPCR_Raw!AE25)</f>
        <v>16.72144889831543</v>
      </c>
      <c r="AS25" s="158" cm="1">
        <f t="array" ref="AS25">_xlfn.IFS(AND(AO25="Undetermined", AQ25="Undetermined"), "Undetermined", AND(AP25=0, AR25=0), "Undetermined", AND(AP25=0, AR25&gt;0), "Ten-Fold", AND(AP25&gt;0, AR25=0), "Undiluted", AND(AO25&lt;&gt;"Undetermined", AQ25&lt;&gt;"Undetermined", AP25&gt;0, AR25&gt;0, AO25&lt;&gt;AQ25), 100*(-1+10^(-1/(AO25-AQ25))), AND(AO25&lt;&gt;"Undetermined", AQ25&lt;&gt;"Undetermined", AO25=AQ25&gt;0), -100)</f>
        <v>45.225805896185364</v>
      </c>
      <c r="AT25" s="159" cm="1">
        <f t="array" ref="AT25">_xlfn.IFS(AS25="Undetermined", 0, AS25="Undiluted", AP25*$G25/$F25*1000, AS25="Ten-Fold", AR25*$G25/$F25*1000*10, AS25&lt;0, AR25*$G25/$F25*1000*10, AS25&lt;120, AP25*$G25/$F25*1000, AS25&gt;120, AR25*$G25/$F25*1000*10)</f>
        <v>108215.88812934027</v>
      </c>
      <c r="AU25" s="156" t="str">
        <f t="shared" si="11"/>
        <v>DELETE</v>
      </c>
      <c r="AV25" s="156" t="str">
        <f t="shared" si="12"/>
        <v>DELETE</v>
      </c>
      <c r="AW25" s="156" t="str">
        <f t="shared" si="13"/>
        <v>DELETE</v>
      </c>
      <c r="AX25" s="160" t="str" cm="1">
        <f t="array" ref="AX25">_xlfn.IFS(AU25="DELETE", "DELETE", AU25=0, 0, AU25&gt;0,LOG10(AU25))</f>
        <v>DELETE</v>
      </c>
      <c r="AY25" s="161" t="str" cm="1">
        <f t="array" ref="AY25">_xlfn.IFS(AU25="DELETE", "DELETE", AU25=0, 0, AU25&gt;0, AW25/AU25/LN(10))</f>
        <v>DELETE</v>
      </c>
      <c r="AZ25" s="120">
        <f>qPCR_Raw!AG25</f>
        <v>26.166452407836914</v>
      </c>
      <c r="BA25" s="121" cm="1">
        <f t="array" ref="BA25">_xlfn.IFS(AZ25="Undetermined", 0, qPCR_Raw!AH25&lt;=1, 0, qPCR_Raw!AH25&gt;1, qPCR_Raw!AH25)</f>
        <v>728.9410400390625</v>
      </c>
      <c r="BB25" s="122">
        <f>qPCR_Raw!AJ25</f>
        <v>32.478065490722656</v>
      </c>
      <c r="BC25" s="121" cm="1">
        <f t="array" ref="BC25">_xlfn.IFS(BB25="Undetermined", 0, qPCR_Raw!AK25&lt;=1, 0, qPCR_Raw!AK25&gt;1, qPCR_Raw!AK25)</f>
        <v>14.507297515869141</v>
      </c>
      <c r="BD25" s="123" cm="1">
        <f t="array" ref="BD25">_xlfn.IFS(AND(AZ25="Undetermined", BB25="Undetermined"), "Undetermined", AND(BA25=0, BC25=0), "Undetermined", AND(BA25=0, BC25&gt;0), "Ten-Fold", AND(BA25&gt;0, BC25=0), "Undiluted", AND(AZ25&lt;&gt;"Undetermined", BB25&lt;&gt;"Undetermined", BA25&gt;0, BC25&gt;0, AZ25&lt;&gt;BB25), 100*(-1+10^(-1/(AZ25-BB25))), AND(AZ25&lt;&gt;"Undetermined", BB25&lt;&gt;"Undetermined", AZ25=BB25&gt;0), -100)</f>
        <v>44.025072465002246</v>
      </c>
      <c r="BE25" s="124" cm="1">
        <f t="array" ref="BE25">_xlfn.IFS(BD25="Undetermined", 0, BD25="Undiluted", BA25*$G25/$F25*1000, BD25="Ten-Fold", BC25*$G25/$F25*1000*10, BD25&lt;0, BC25*$G25/$F25*1000*10, BD25&lt;120, BA25*$G25/$F25*1000, BD25&gt;120, BC25*$G25/$F25*1000*10)</f>
        <v>80993.448893229172</v>
      </c>
      <c r="BF25" s="121" t="str">
        <f t="shared" si="14"/>
        <v>DELETE</v>
      </c>
      <c r="BG25" s="121" t="str">
        <f t="shared" si="15"/>
        <v>DELETE</v>
      </c>
      <c r="BH25" s="121" t="str">
        <f t="shared" si="16"/>
        <v>DELETE</v>
      </c>
      <c r="BI25" s="125" t="str" cm="1">
        <f t="array" ref="BI25">_xlfn.IFS(BF25="DELETE", "DELETE", BF25=0, 0, BF25&gt;0,LOG10(BF25))</f>
        <v>DELETE</v>
      </c>
      <c r="BJ25" s="126" t="str" cm="1">
        <f t="array" ref="BJ25">_xlfn.IFS(BF25="DELETE", "DELETE", BF25=0, 0, BF25&gt;0, BH25/BF25/LN(10))</f>
        <v>DELETE</v>
      </c>
    </row>
    <row r="26" spans="1:62" s="114" customFormat="1" x14ac:dyDescent="0.3">
      <c r="A26" s="115" t="str">
        <f>UPPER(LEFT(SUBSTITUTE(SUBSTITUTE(qPCR_Raw!A26,"-","")," ",""),2))&amp;RIGHT(SUBSTITUTE(SUBSTITUTE(qPCR_Raw!A26,"-","")," ",""),LEN(SUBSTITUTE(SUBSTITUTE(qPCR_Raw!A26,"-","")," ",""))-2)</f>
        <v>RT6</v>
      </c>
      <c r="B26" s="116" t="str" cm="1">
        <f t="array" ref="B26">_xlfn.IFS(LEFT(A26, LEN(A26)-1)="EP", "EP", LEFT(A26, LEN(A26)-1)="STa", "SPI", LEFT(A26, LEN(A26)-1)="STb", "SPO", LEFT(A26, LEN(A26)-1)="MRT", "MRT", LEFT(A26, LEN(A26)-1)="RG", "RN", LEFT(A26, LEN(A26)-1)="RT", "RU", LEFT(A26, LEN(A26)-1)="RW", "RL", LEFT(A26, LEN(A26)-1)="RC", "RS")</f>
        <v>RU</v>
      </c>
      <c r="C26" s="117">
        <f>qPCR_Raw!B26</f>
        <v>44342</v>
      </c>
      <c r="D26" s="117" t="str">
        <f t="shared" si="0"/>
        <v>RU44342</v>
      </c>
      <c r="E26" s="117" t="str">
        <f t="shared" si="1"/>
        <v>RU443426</v>
      </c>
      <c r="F26" s="118">
        <f>qPCR_Raw!C26</f>
        <v>920</v>
      </c>
      <c r="G26" s="119">
        <f>qPCR_Raw!F26</f>
        <v>100</v>
      </c>
      <c r="H26" s="120">
        <f>qPCR_Raw!G26</f>
        <v>17.25306510925293</v>
      </c>
      <c r="I26" s="121" cm="1">
        <f t="array" ref="I26">_xlfn.IFS(H26="Undetermined", 0, qPCR_Raw!H26-qPCR_Raw!$H$242&lt;0, 0, qPCR_Raw!H26-qPCR_Raw!$H$242&gt;0, qPCR_Raw!H26-qPCR_Raw!$H$242)</f>
        <v>401256.61144612631</v>
      </c>
      <c r="J26" s="122">
        <f>qPCR_Raw!K26</f>
        <v>20.232528686523438</v>
      </c>
      <c r="K26" s="121" cm="1">
        <f t="array" ref="K26">_xlfn.IFS(J26="Undetermined", 0, qPCR_Raw!L26-qPCR_Raw!$H$242&lt;0, 0, qPCR_Raw!L26-qPCR_Raw!$H$242&gt;0, qPCR_Raw!L26-qPCR_Raw!$H$242)</f>
        <v>45388.045039876306</v>
      </c>
      <c r="L26" s="123" cm="1">
        <f t="array" ref="L26">_xlfn.IFS(AND(H26="Undetermined", J26="Undetermined"), "Undetermined", AND(I26=0, K26=0), "Undetermined", AND(I26=0, K26&gt;0), "Ten-Fold", AND(I26&gt;0, K26=0), "Undiluted", AND(H26&lt;&gt;"Undetermined", J26&lt;&gt;"Undetermined", I26&gt;0, K26&gt;0), 100*(-1+10^(-1/(H26-J26))))</f>
        <v>116.58625198624786</v>
      </c>
      <c r="M26" s="124" cm="1">
        <f t="array" ref="M26">_xlfn.IFS(L26="Undetermined", 0, L26="Undiluted", I26*$G26/$F26*1000, L26="Ten-Fold", K26*$G26/$F26*1000*10, L26&lt;0, K26*$G26/$F26*1000*10, L26&lt;120, I26*$G26/$F26*1000, L26&gt;120, K26*$G26/$F26*1000*10)</f>
        <v>43614849.070231125</v>
      </c>
      <c r="N26" s="121">
        <f t="shared" si="2"/>
        <v>48647295.477407962</v>
      </c>
      <c r="O26" s="121">
        <f t="shared" si="3"/>
        <v>7116953.96094523</v>
      </c>
      <c r="P26" s="121">
        <f t="shared" si="4"/>
        <v>5032446.4071768308</v>
      </c>
      <c r="Q26" s="125" cm="1">
        <f t="array" ref="Q26">_xlfn.IFS(N26="DELETE", "DELETE", N26=0, 0, N26&gt;0,LOG10(N26))</f>
        <v>7.6870587008862445</v>
      </c>
      <c r="R26" s="126" cm="1">
        <f t="array" ref="R26">_xlfn.IFS(N26="DELETE", "DELETE", N26=0, 0, N26&gt;0, P26/N26/LN(10))</f>
        <v>4.492672580587196E-2</v>
      </c>
      <c r="S26" s="155">
        <f>qPCR_Raw!O26</f>
        <v>28.893238067626953</v>
      </c>
      <c r="T26" s="156" cm="1">
        <f t="array" ref="T26">_xlfn.IFS(S26="Undetermined", 0, qPCR_Raw!P26&lt;=1, 0, qPCR_Raw!P26&gt;1, qPCR_Raw!P26)</f>
        <v>419.4542236328125</v>
      </c>
      <c r="U26" s="157">
        <f>qPCR_Raw!R26</f>
        <v>31.905580520629883</v>
      </c>
      <c r="V26" s="156" cm="1">
        <f t="array" ref="V26">_xlfn.IFS(U26="Undetermined", 0, qPCR_Raw!S26&lt;=1, 0, qPCR_Raw!S26&gt;1, qPCR_Raw!S26)</f>
        <v>49.11614990234375</v>
      </c>
      <c r="W26" s="158" cm="1">
        <f t="array" ref="W26">_xlfn.IFS(AND(S26="Undetermined", U26="Undetermined"), "Undetermined", AND(T26=0, V26=0), "Undetermined", AND(T26=0, V26&gt;0), "Ten-Fold", AND(T26&gt;0, V26=0), "Undiluted", AND(S26&lt;&gt;"Undetermined", U26&lt;&gt;"Undetermined", T26&gt;0, V26&gt;0, S26&lt;&gt;U26), 100*(-1+10^(-1/(S26-U26))), AND(S26&lt;&gt;"Undetermined", U26&lt;&gt;"Undetermined", S26=U26&gt;0), -100)</f>
        <v>114.76700887469065</v>
      </c>
      <c r="X26" s="159" cm="1">
        <f t="array" ref="X26">_xlfn.IFS(W26="Undetermined", 0, W26="Undiluted", T26*$G26/$F26*1000, W26="Ten-Fold", V26*$G26/$F26*1000*10, W26&lt;0, V26*$G26/$F26*1000*10, W26&lt;120, T26*$G26/$F26*1000, W26&gt;120, V26*$G26/$F26*1000*10)</f>
        <v>45592.850394870919</v>
      </c>
      <c r="Y26" s="156">
        <f t="shared" si="5"/>
        <v>52625.391126254901</v>
      </c>
      <c r="Z26" s="156">
        <f t="shared" si="6"/>
        <v>9945.5144802644172</v>
      </c>
      <c r="AA26" s="156">
        <f t="shared" si="7"/>
        <v>7032.5407313839705</v>
      </c>
      <c r="AB26" s="160" cm="1">
        <f t="array" ref="AB26">_xlfn.IFS(Y26="DELETE", "DELETE", Y26=0, 0, Y26&gt;0,LOG10(Y26))</f>
        <v>4.7211953366507178</v>
      </c>
      <c r="AC26" s="161" cm="1">
        <f t="array" ref="AC26">_xlfn.IFS(Y26="DELETE", "DELETE", Y26=0, 0, Y26&gt;0, AA26/Y26/LN(10))</f>
        <v>5.803650230499046E-2</v>
      </c>
      <c r="AD26" s="120">
        <f>qPCR_Raw!U26</f>
        <v>26.860437393188477</v>
      </c>
      <c r="AE26" s="121" cm="1">
        <f t="array" ref="AE26">_xlfn.IFS(AD26="Undetermined", 0, qPCR_Raw!V26&lt;=1, 0, qPCR_Raw!V26&gt;1, qPCR_Raw!V26)</f>
        <v>231.71379089355469</v>
      </c>
      <c r="AF26" s="122">
        <f>qPCR_Raw!X26</f>
        <v>30.463125228881836</v>
      </c>
      <c r="AG26" s="121" cm="1">
        <f t="array" ref="AG26">_xlfn.IFS(AF26="Undetermined", 0, qPCR_Raw!Y26&lt;=1, 0, qPCR_Raw!Y26&gt;1, qPCR_Raw!Y26)</f>
        <v>22.105735778808594</v>
      </c>
      <c r="AH26" s="123" cm="1">
        <f t="array" ref="AH26">_xlfn.IFS(AND(AD26="Undetermined", AF26="Undetermined"), "Undetermined", AND(AE26=0, AG26=0), "Undetermined", AND(AE26=0, AG26&gt;0), "Ten-Fold", AND(AE26&gt;0, AG26=0), "Undiluted", AND(AD26&lt;&gt;"Undetermined", AF26&lt;&gt;"Undetermined", AE26&gt;0, AG26&gt;0, AD26&lt;&gt;AF26), 100*(-1+10^(-1/(AD26-AF26))), AND(AD26&lt;&gt;"Undetermined", AF26&lt;&gt;"Undetermined", AD26=AF26&gt;0), -100)</f>
        <v>89.483124640912919</v>
      </c>
      <c r="AI26" s="124" cm="1">
        <f t="array" ref="AI26">_xlfn.IFS(AH26="Undetermined", 0, AH26="Undiluted", AE26*$G26/$F26*1000, AH26="Ten-Fold", AG26*$G26/$F26*1000*10, AH26&lt;0, AG26*$G26/$F26*1000*10, AH26&lt;120, AE26*$G26/$F26*1000, AH26&gt;120, AG26*$G26/$F26*1000*10)</f>
        <v>25186.281618864639</v>
      </c>
      <c r="AJ26" s="121">
        <f t="shared" si="8"/>
        <v>15974.355216187554</v>
      </c>
      <c r="AK26" s="121">
        <f t="shared" si="9"/>
        <v>13027.631254248729</v>
      </c>
      <c r="AL26" s="121">
        <f t="shared" si="10"/>
        <v>9211.9264026770834</v>
      </c>
      <c r="AM26" s="125" cm="1">
        <f t="array" ref="AM26">_xlfn.IFS(AJ26="DELETE", "DELETE", AJ26=0, 0, AJ26&gt;0,LOG10(AJ26))</f>
        <v>4.2034233374593502</v>
      </c>
      <c r="AN26" s="126" cm="1">
        <f t="array" ref="AN26">_xlfn.IFS(AJ26="DELETE", "DELETE", AJ26=0, 0, AJ26&gt;0, AL26/AJ26/LN(10))</f>
        <v>0.25044446240480783</v>
      </c>
      <c r="AO26" s="155">
        <f>qPCR_Raw!AA26</f>
        <v>28.940828323364258</v>
      </c>
      <c r="AP26" s="156" cm="1">
        <f t="array" ref="AP26">_xlfn.IFS(AO26="Undetermined", 0, qPCR_Raw!AB26&lt;=6, 0, qPCR_Raw!AB26&gt;6, qPCR_Raw!AB26)</f>
        <v>0</v>
      </c>
      <c r="AQ26" s="157" t="str">
        <f>qPCR_Raw!AD26</f>
        <v>Undetermined</v>
      </c>
      <c r="AR26" s="156" cm="1">
        <f t="array" ref="AR26">_xlfn.IFS(AQ26="Undetermined", 0, qPCR_Raw!AE26&lt;=6, 0, qPCR_Raw!AE26&gt;6, qPCR_Raw!AE26)</f>
        <v>0</v>
      </c>
      <c r="AS26" s="158" t="str" cm="1">
        <f t="array" ref="AS26">_xlfn.IFS(AND(AO26="Undetermined", AQ26="Undetermined"), "Undetermined", AND(AP26=0, AR26=0), "Undetermined", AND(AP26=0, AR26&gt;0), "Ten-Fold", AND(AP26&gt;0, AR26=0), "Undiluted", AND(AO26&lt;&gt;"Undetermined", AQ26&lt;&gt;"Undetermined", AP26&gt;0, AR26&gt;0, AO26&lt;&gt;AQ26), 100*(-1+10^(-1/(AO26-AQ26))), AND(AO26&lt;&gt;"Undetermined", AQ26&lt;&gt;"Undetermined", AO26=AQ26&gt;0), -100)</f>
        <v>Undetermined</v>
      </c>
      <c r="AT26" s="159" cm="1">
        <f t="array" ref="AT26">_xlfn.IFS(AS26="Undetermined", 0, AS26="Undiluted", AP26*$G26/$F26*1000, AS26="Ten-Fold", AR26*$G26/$F26*1000*10, AS26&lt;0, AR26*$G26/$F26*1000*10, AS26&lt;120, AP26*$G26/$F26*1000, AS26&gt;120, AR26*$G26/$F26*1000*10)</f>
        <v>0</v>
      </c>
      <c r="AU26" s="156">
        <f t="shared" si="11"/>
        <v>0</v>
      </c>
      <c r="AV26" s="156">
        <f t="shared" si="12"/>
        <v>0</v>
      </c>
      <c r="AW26" s="156">
        <f t="shared" si="13"/>
        <v>0</v>
      </c>
      <c r="AX26" s="160" cm="1">
        <f t="array" ref="AX26">_xlfn.IFS(AU26="DELETE", "DELETE", AU26=0, 0, AU26&gt;0,LOG10(AU26))</f>
        <v>0</v>
      </c>
      <c r="AY26" s="161" cm="1">
        <f t="array" ref="AY26">_xlfn.IFS(AU26="DELETE", "DELETE", AU26=0, 0, AU26&gt;0, AW26/AU26/LN(10))</f>
        <v>0</v>
      </c>
      <c r="AZ26" s="120">
        <f>qPCR_Raw!AG26</f>
        <v>32.828067779541016</v>
      </c>
      <c r="BA26" s="121" cm="1">
        <f t="array" ref="BA26">_xlfn.IFS(AZ26="Undetermined", 0, qPCR_Raw!AH26&lt;=1, 0, qPCR_Raw!AH26&gt;1, qPCR_Raw!AH26)</f>
        <v>11.674920082092285</v>
      </c>
      <c r="BB26" s="122" t="str">
        <f>qPCR_Raw!AJ26</f>
        <v>Undetermined</v>
      </c>
      <c r="BC26" s="121" cm="1">
        <f t="array" ref="BC26">_xlfn.IFS(BB26="Undetermined", 0, qPCR_Raw!AK26&lt;=1, 0, qPCR_Raw!AK26&gt;1, qPCR_Raw!AK26)</f>
        <v>0</v>
      </c>
      <c r="BD26" s="123" t="str" cm="1">
        <f t="array" ref="BD26">_xlfn.IFS(AND(AZ26="Undetermined", BB26="Undetermined"), "Undetermined", AND(BA26=0, BC26=0), "Undetermined", AND(BA26=0, BC26&gt;0), "Ten-Fold", AND(BA26&gt;0, BC26=0), "Undiluted", AND(AZ26&lt;&gt;"Undetermined", BB26&lt;&gt;"Undetermined", BA26&gt;0, BC26&gt;0, AZ26&lt;&gt;BB26), 100*(-1+10^(-1/(AZ26-BB26))), AND(AZ26&lt;&gt;"Undetermined", BB26&lt;&gt;"Undetermined", AZ26=BB26&gt;0), -100)</f>
        <v>Undiluted</v>
      </c>
      <c r="BE26" s="124" cm="1">
        <f t="array" ref="BE26">_xlfn.IFS(BD26="Undetermined", 0, BD26="Undiluted", BA26*$G26/$F26*1000, BD26="Ten-Fold", BC26*$G26/$F26*1000*10, BD26&lt;0, BC26*$G26/$F26*1000*10, BD26&lt;120, BA26*$G26/$F26*1000, BD26&gt;120, BC26*$G26/$F26*1000*10)</f>
        <v>1269.0130524013355</v>
      </c>
      <c r="BF26" s="121">
        <f t="shared" si="14"/>
        <v>634.50652620066774</v>
      </c>
      <c r="BG26" s="121">
        <f t="shared" si="15"/>
        <v>897.32773476722389</v>
      </c>
      <c r="BH26" s="121">
        <f t="shared" si="16"/>
        <v>634.50652620066774</v>
      </c>
      <c r="BI26" s="125" cm="1">
        <f t="array" ref="BI26">_xlfn.IFS(BF26="DELETE", "DELETE", BF26=0, 0, BF26&gt;0,LOG10(BF26))</f>
        <v>2.8024360933784962</v>
      </c>
      <c r="BJ26" s="126" cm="1">
        <f t="array" ref="BJ26">_xlfn.IFS(BF26="DELETE", "DELETE", BF26=0, 0, BF26&gt;0, BH26/BF26/LN(10))</f>
        <v>0.43429448190325176</v>
      </c>
    </row>
    <row r="27" spans="1:62" s="114" customFormat="1" x14ac:dyDescent="0.3">
      <c r="A27" s="115" t="str">
        <f>UPPER(LEFT(SUBSTITUTE(SUBSTITUTE(qPCR_Raw!A27,"-","")," ",""),2))&amp;RIGHT(SUBSTITUTE(SUBSTITUTE(qPCR_Raw!A27,"-","")," ",""),LEN(SUBSTITUTE(SUBSTITUTE(qPCR_Raw!A27,"-","")," ",""))-2)</f>
        <v>RT7</v>
      </c>
      <c r="B27" s="116" t="str" cm="1">
        <f t="array" ref="B27">_xlfn.IFS(LEFT(A27, LEN(A27)-1)="EP", "EP", LEFT(A27, LEN(A27)-1)="STa", "SPI", LEFT(A27, LEN(A27)-1)="STb", "SPO", LEFT(A27, LEN(A27)-1)="MRT", "MRT", LEFT(A27, LEN(A27)-1)="RG", "RN", LEFT(A27, LEN(A27)-1)="RT", "RU", LEFT(A27, LEN(A27)-1)="RW", "RL", LEFT(A27, LEN(A27)-1)="RC", "RS")</f>
        <v>RU</v>
      </c>
      <c r="C27" s="117">
        <f>qPCR_Raw!B27</f>
        <v>44342</v>
      </c>
      <c r="D27" s="117" t="str">
        <f t="shared" si="0"/>
        <v>RU44342</v>
      </c>
      <c r="E27" s="117" t="str">
        <f t="shared" si="1"/>
        <v>RU443427</v>
      </c>
      <c r="F27" s="118">
        <f>qPCR_Raw!C27</f>
        <v>900</v>
      </c>
      <c r="G27" s="119">
        <f>qPCR_Raw!F27</f>
        <v>100</v>
      </c>
      <c r="H27" s="120">
        <f>qPCR_Raw!G27</f>
        <v>17.541952133178711</v>
      </c>
      <c r="I27" s="121" cm="1">
        <f t="array" ref="I27">_xlfn.IFS(H27="Undetermined", 0, qPCR_Raw!H27-qPCR_Raw!$H$242&lt;0, 0, qPCR_Raw!H27-qPCR_Raw!$H$242&gt;0, qPCR_Raw!H27-qPCR_Raw!$H$242)</f>
        <v>329574.73644612631</v>
      </c>
      <c r="J27" s="122">
        <f>qPCR_Raw!K27</f>
        <v>20.158218383789063</v>
      </c>
      <c r="K27" s="121" cm="1">
        <f t="array" ref="K27">_xlfn.IFS(J27="Undetermined", 0, qPCR_Raw!L27-qPCR_Raw!$H$242&lt;0, 0, qPCR_Raw!L27-qPCR_Raw!$H$242&gt;0, qPCR_Raw!L27-qPCR_Raw!$H$242)</f>
        <v>48311.767696126306</v>
      </c>
      <c r="L27" s="123" cm="1">
        <f t="array" ref="L27">_xlfn.IFS(AND(H27="Undetermined", J27="Undetermined"), "Undetermined", AND(I27=0, K27=0), "Undetermined", AND(I27=0, K27&gt;0), "Ten-Fold", AND(I27&gt;0, K27=0), "Undiluted", AND(H27&lt;&gt;"Undetermined", J27&lt;&gt;"Undetermined", I27&gt;0, K27&gt;0), 100*(-1+10^(-1/(H27-J27))))</f>
        <v>141.11492556525823</v>
      </c>
      <c r="M27" s="124" cm="1">
        <f t="array" ref="M27">_xlfn.IFS(L27="Undetermined", 0, L27="Undiluted", I27*$G27/$F27*1000, L27="Ten-Fold", K27*$G27/$F27*1000*10, L27&lt;0, K27*$G27/$F27*1000*10, L27&lt;120, I27*$G27/$F27*1000, L27&gt;120, K27*$G27/$F27*1000*10)</f>
        <v>53679741.884584792</v>
      </c>
      <c r="N27" s="121" t="str">
        <f t="shared" si="2"/>
        <v>DELETE</v>
      </c>
      <c r="O27" s="121" t="str">
        <f t="shared" si="3"/>
        <v>DELETE</v>
      </c>
      <c r="P27" s="121" t="str">
        <f t="shared" si="4"/>
        <v>DELETE</v>
      </c>
      <c r="Q27" s="125" t="str" cm="1">
        <f t="array" ref="Q27">_xlfn.IFS(N27="DELETE", "DELETE", N27=0, 0, N27&gt;0,LOG10(N27))</f>
        <v>DELETE</v>
      </c>
      <c r="R27" s="126" t="str" cm="1">
        <f t="array" ref="R27">_xlfn.IFS(N27="DELETE", "DELETE", N27=0, 0, N27&gt;0, P27/N27/LN(10))</f>
        <v>DELETE</v>
      </c>
      <c r="S27" s="155">
        <f>qPCR_Raw!O27</f>
        <v>28.546468734741211</v>
      </c>
      <c r="T27" s="156" cm="1">
        <f t="array" ref="T27">_xlfn.IFS(S27="Undetermined", 0, qPCR_Raw!P27&lt;=1, 0, qPCR_Raw!P27&gt;1, qPCR_Raw!P27)</f>
        <v>536.92138671875</v>
      </c>
      <c r="U27" s="157">
        <f>qPCR_Raw!R27</f>
        <v>32.184478759765625</v>
      </c>
      <c r="V27" s="156" cm="1">
        <f t="array" ref="V27">_xlfn.IFS(U27="Undetermined", 0, qPCR_Raw!S27&lt;=1, 0, qPCR_Raw!S27&gt;1, qPCR_Raw!S27)</f>
        <v>40.270305633544922</v>
      </c>
      <c r="W27" s="158" cm="1">
        <f t="array" ref="W27">_xlfn.IFS(AND(S27="Undetermined", U27="Undetermined"), "Undetermined", AND(T27=0, V27=0), "Undetermined", AND(T27=0, V27&gt;0), "Ten-Fold", AND(T27&gt;0, V27=0), "Undiluted", AND(S27&lt;&gt;"Undetermined", U27&lt;&gt;"Undetermined", T27&gt;0, V27&gt;0, S27&lt;&gt;U27), 100*(-1+10^(-1/(S27-U27))), AND(S27&lt;&gt;"Undetermined", U27&lt;&gt;"Undetermined", S27=U27&gt;0), -100)</f>
        <v>88.310938673736828</v>
      </c>
      <c r="X27" s="159" cm="1">
        <f t="array" ref="X27">_xlfn.IFS(W27="Undetermined", 0, W27="Undiluted", T27*$G27/$F27*1000, W27="Ten-Fold", V27*$G27/$F27*1000*10, W27&lt;0, V27*$G27/$F27*1000*10, W27&lt;120, T27*$G27/$F27*1000, W27&gt;120, V27*$G27/$F27*1000*10)</f>
        <v>59657.931857638883</v>
      </c>
      <c r="Y27" s="156" t="str">
        <f t="shared" si="5"/>
        <v>DELETE</v>
      </c>
      <c r="Z27" s="156" t="str">
        <f t="shared" si="6"/>
        <v>DELETE</v>
      </c>
      <c r="AA27" s="156" t="str">
        <f t="shared" si="7"/>
        <v>DELETE</v>
      </c>
      <c r="AB27" s="160" t="str" cm="1">
        <f t="array" ref="AB27">_xlfn.IFS(Y27="DELETE", "DELETE", Y27=0, 0, Y27&gt;0,LOG10(Y27))</f>
        <v>DELETE</v>
      </c>
      <c r="AC27" s="161" t="str" cm="1">
        <f t="array" ref="AC27">_xlfn.IFS(Y27="DELETE", "DELETE", Y27=0, 0, Y27&gt;0, AA27/Y27/LN(10))</f>
        <v>DELETE</v>
      </c>
      <c r="AD27" s="120">
        <f>qPCR_Raw!U27</f>
        <v>29.686433792114258</v>
      </c>
      <c r="AE27" s="121" cm="1">
        <f t="array" ref="AE27">_xlfn.IFS(AD27="Undetermined", 0, qPCR_Raw!V27&lt;=1, 0, qPCR_Raw!V27&gt;1, qPCR_Raw!V27)</f>
        <v>36.685943603515625</v>
      </c>
      <c r="AF27" s="122">
        <f>qPCR_Raw!X27</f>
        <v>32.440769195556641</v>
      </c>
      <c r="AG27" s="121" cm="1">
        <f t="array" ref="AG27">_xlfn.IFS(AF27="Undetermined", 0, qPCR_Raw!Y27&lt;=1, 0, qPCR_Raw!Y27&gt;1, qPCR_Raw!Y27)</f>
        <v>6.0861859321594238</v>
      </c>
      <c r="AH27" s="123" cm="1">
        <f t="array" ref="AH27">_xlfn.IFS(AND(AD27="Undetermined", AF27="Undetermined"), "Undetermined", AND(AE27=0, AG27=0), "Undetermined", AND(AE27=0, AG27&gt;0), "Ten-Fold", AND(AE27&gt;0, AG27=0), "Undiluted", AND(AD27&lt;&gt;"Undetermined", AF27&lt;&gt;"Undetermined", AE27&gt;0, AG27&gt;0, AD27&lt;&gt;AF27), 100*(-1+10^(-1/(AD27-AF27))), AND(AD27&lt;&gt;"Undetermined", AF27&lt;&gt;"Undetermined", AD27=AF27&gt;0), -100)</f>
        <v>130.70870928278785</v>
      </c>
      <c r="AI27" s="124" cm="1">
        <f t="array" ref="AI27">_xlfn.IFS(AH27="Undetermined", 0, AH27="Undiluted", AE27*$G27/$F27*1000, AH27="Ten-Fold", AG27*$G27/$F27*1000*10, AH27&lt;0, AG27*$G27/$F27*1000*10, AH27&lt;120, AE27*$G27/$F27*1000, AH27&gt;120, AG27*$G27/$F27*1000*10)</f>
        <v>6762.4288135104698</v>
      </c>
      <c r="AJ27" s="121" t="str">
        <f t="shared" si="8"/>
        <v>DELETE</v>
      </c>
      <c r="AK27" s="121" t="str">
        <f t="shared" si="9"/>
        <v>DELETE</v>
      </c>
      <c r="AL27" s="121" t="str">
        <f t="shared" si="10"/>
        <v>DELETE</v>
      </c>
      <c r="AM27" s="125" t="str" cm="1">
        <f t="array" ref="AM27">_xlfn.IFS(AJ27="DELETE", "DELETE", AJ27=0, 0, AJ27&gt;0,LOG10(AJ27))</f>
        <v>DELETE</v>
      </c>
      <c r="AN27" s="126" t="str" cm="1">
        <f t="array" ref="AN27">_xlfn.IFS(AJ27="DELETE", "DELETE", AJ27=0, 0, AJ27&gt;0, AL27/AJ27/LN(10))</f>
        <v>DELETE</v>
      </c>
      <c r="AO27" s="155">
        <f>qPCR_Raw!AA27</f>
        <v>29.834819793701172</v>
      </c>
      <c r="AP27" s="156" cm="1">
        <f t="array" ref="AP27">_xlfn.IFS(AO27="Undetermined", 0, qPCR_Raw!AB27&lt;=6, 0, qPCR_Raw!AB27&gt;6, qPCR_Raw!AB27)</f>
        <v>0</v>
      </c>
      <c r="AQ27" s="157">
        <f>qPCR_Raw!AD27</f>
        <v>30.742263793945313</v>
      </c>
      <c r="AR27" s="156" cm="1">
        <f t="array" ref="AR27">_xlfn.IFS(AQ27="Undetermined", 0, qPCR_Raw!AE27&lt;=6, 0, qPCR_Raw!AE27&gt;6, qPCR_Raw!AE27)</f>
        <v>0</v>
      </c>
      <c r="AS27" s="158" t="str" cm="1">
        <f t="array" ref="AS27">_xlfn.IFS(AND(AO27="Undetermined", AQ27="Undetermined"), "Undetermined", AND(AP27=0, AR27=0), "Undetermined", AND(AP27=0, AR27&gt;0), "Ten-Fold", AND(AP27&gt;0, AR27=0), "Undiluted", AND(AO27&lt;&gt;"Undetermined", AQ27&lt;&gt;"Undetermined", AP27&gt;0, AR27&gt;0, AO27&lt;&gt;AQ27), 100*(-1+10^(-1/(AO27-AQ27))), AND(AO27&lt;&gt;"Undetermined", AQ27&lt;&gt;"Undetermined", AO27=AQ27&gt;0), -100)</f>
        <v>Undetermined</v>
      </c>
      <c r="AT27" s="159" cm="1">
        <f t="array" ref="AT27">_xlfn.IFS(AS27="Undetermined", 0, AS27="Undiluted", AP27*$G27/$F27*1000, AS27="Ten-Fold", AR27*$G27/$F27*1000*10, AS27&lt;0, AR27*$G27/$F27*1000*10, AS27&lt;120, AP27*$G27/$F27*1000, AS27&gt;120, AR27*$G27/$F27*1000*10)</f>
        <v>0</v>
      </c>
      <c r="AU27" s="156" t="str">
        <f t="shared" si="11"/>
        <v>DELETE</v>
      </c>
      <c r="AV27" s="156" t="str">
        <f t="shared" si="12"/>
        <v>DELETE</v>
      </c>
      <c r="AW27" s="156" t="str">
        <f t="shared" si="13"/>
        <v>DELETE</v>
      </c>
      <c r="AX27" s="160" t="str" cm="1">
        <f t="array" ref="AX27">_xlfn.IFS(AU27="DELETE", "DELETE", AU27=0, 0, AU27&gt;0,LOG10(AU27))</f>
        <v>DELETE</v>
      </c>
      <c r="AY27" s="161" t="str" cm="1">
        <f t="array" ref="AY27">_xlfn.IFS(AU27="DELETE", "DELETE", AU27=0, 0, AU27&gt;0, AW27/AU27/LN(10))</f>
        <v>DELETE</v>
      </c>
      <c r="AZ27" s="120">
        <f>qPCR_Raw!AG27</f>
        <v>37.655689239501953</v>
      </c>
      <c r="BA27" s="121" cm="1">
        <f t="array" ref="BA27">_xlfn.IFS(AZ27="Undetermined", 0, qPCR_Raw!AH27&lt;=1, 0, qPCR_Raw!AH27&gt;1, qPCR_Raw!AH27)</f>
        <v>0</v>
      </c>
      <c r="BB27" s="122" t="str">
        <f>qPCR_Raw!AJ27</f>
        <v>Undetermined</v>
      </c>
      <c r="BC27" s="121" cm="1">
        <f t="array" ref="BC27">_xlfn.IFS(BB27="Undetermined", 0, qPCR_Raw!AK27&lt;=1, 0, qPCR_Raw!AK27&gt;1, qPCR_Raw!AK27)</f>
        <v>0</v>
      </c>
      <c r="BD27" s="123" t="str" cm="1">
        <f t="array" ref="BD27">_xlfn.IFS(AND(AZ27="Undetermined", BB27="Undetermined"), "Undetermined", AND(BA27=0, BC27=0), "Undetermined", AND(BA27=0, BC27&gt;0), "Ten-Fold", AND(BA27&gt;0, BC27=0), "Undiluted", AND(AZ27&lt;&gt;"Undetermined", BB27&lt;&gt;"Undetermined", BA27&gt;0, BC27&gt;0, AZ27&lt;&gt;BB27), 100*(-1+10^(-1/(AZ27-BB27))), AND(AZ27&lt;&gt;"Undetermined", BB27&lt;&gt;"Undetermined", AZ27=BB27&gt;0), -100)</f>
        <v>Undetermined</v>
      </c>
      <c r="BE27" s="124" cm="1">
        <f t="array" ref="BE27">_xlfn.IFS(BD27="Undetermined", 0, BD27="Undiluted", BA27*$G27/$F27*1000, BD27="Ten-Fold", BC27*$G27/$F27*1000*10, BD27&lt;0, BC27*$G27/$F27*1000*10, BD27&lt;120, BA27*$G27/$F27*1000, BD27&gt;120, BC27*$G27/$F27*1000*10)</f>
        <v>0</v>
      </c>
      <c r="BF27" s="121" t="str">
        <f t="shared" si="14"/>
        <v>DELETE</v>
      </c>
      <c r="BG27" s="121" t="str">
        <f t="shared" si="15"/>
        <v>DELETE</v>
      </c>
      <c r="BH27" s="121" t="str">
        <f t="shared" si="16"/>
        <v>DELETE</v>
      </c>
      <c r="BI27" s="125" t="str" cm="1">
        <f t="array" ref="BI27">_xlfn.IFS(BF27="DELETE", "DELETE", BF27=0, 0, BF27&gt;0,LOG10(BF27))</f>
        <v>DELETE</v>
      </c>
      <c r="BJ27" s="126" t="str" cm="1">
        <f t="array" ref="BJ27">_xlfn.IFS(BF27="DELETE", "DELETE", BF27=0, 0, BF27&gt;0, BH27/BF27/LN(10))</f>
        <v>DELETE</v>
      </c>
    </row>
    <row r="28" spans="1:62" s="114" customFormat="1" x14ac:dyDescent="0.3">
      <c r="A28" s="115" t="str">
        <f>UPPER(LEFT(SUBSTITUTE(SUBSTITUTE(qPCR_Raw!A28,"-","")," ",""),2))&amp;RIGHT(SUBSTITUTE(SUBSTITUTE(qPCR_Raw!A28,"-","")," ",""),LEN(SUBSTITUTE(SUBSTITUTE(qPCR_Raw!A28,"-","")," ",""))-2)</f>
        <v>STb6</v>
      </c>
      <c r="B28" s="116" t="str" cm="1">
        <f t="array" ref="B28">_xlfn.IFS(LEFT(A28, LEN(A28)-1)="EP", "EP", LEFT(A28, LEN(A28)-1)="STa", "SPI", LEFT(A28, LEN(A28)-1)="STb", "SPO", LEFT(A28, LEN(A28)-1)="MRT", "MRT", LEFT(A28, LEN(A28)-1)="RG", "RN", LEFT(A28, LEN(A28)-1)="RT", "RU", LEFT(A28, LEN(A28)-1)="RW", "RL", LEFT(A28, LEN(A28)-1)="RC", "RS")</f>
        <v>SPO</v>
      </c>
      <c r="C28" s="117">
        <f>qPCR_Raw!B28</f>
        <v>44342</v>
      </c>
      <c r="D28" s="117" t="str">
        <f t="shared" si="0"/>
        <v>SPO44342</v>
      </c>
      <c r="E28" s="117" t="str">
        <f t="shared" si="1"/>
        <v>SPO443426</v>
      </c>
      <c r="F28" s="118">
        <f>qPCR_Raw!C28</f>
        <v>980</v>
      </c>
      <c r="G28" s="119">
        <f>qPCR_Raw!F28</f>
        <v>100</v>
      </c>
      <c r="H28" s="120">
        <f>qPCR_Raw!G28</f>
        <v>18.673473358154297</v>
      </c>
      <c r="I28" s="121" cm="1">
        <f t="array" ref="I28">_xlfn.IFS(H28="Undetermined", 0, qPCR_Raw!H28-qPCR_Raw!$H$242&lt;0, 0, qPCR_Raw!H28-qPCR_Raw!$H$242&gt;0, qPCR_Raw!H28-qPCR_Raw!$H$242)</f>
        <v>149768.73644612631</v>
      </c>
      <c r="J28" s="122">
        <f>qPCR_Raw!K28</f>
        <v>21.591501235961914</v>
      </c>
      <c r="K28" s="121" cm="1">
        <f t="array" ref="K28">_xlfn.IFS(J28="Undetermined", 0, qPCR_Raw!L28-qPCR_Raw!$H$242&lt;0, 0, qPCR_Raw!L28-qPCR_Raw!$H$242&gt;0, qPCR_Raw!L28-qPCR_Raw!$H$242)</f>
        <v>10896.394649251302</v>
      </c>
      <c r="L28" s="123" cm="1">
        <f t="array" ref="L28">_xlfn.IFS(AND(H28="Undetermined", J28="Undetermined"), "Undetermined", AND(I28=0, K28=0), "Undetermined", AND(I28=0, K28&gt;0), "Ten-Fold", AND(I28&gt;0, K28=0), "Undiluted", AND(H28&lt;&gt;"Undetermined", J28&lt;&gt;"Undetermined", I28&gt;0, K28&gt;0), 100*(-1+10^(-1/(H28-J28))))</f>
        <v>120.13910969918906</v>
      </c>
      <c r="M28" s="124" cm="1">
        <f t="array" ref="M28">_xlfn.IFS(L28="Undetermined", 0, L28="Undiluted", I28*$G28/$F28*1000, L28="Ten-Fold", K28*$G28/$F28*1000*10, L28&lt;0, K28*$G28/$F28*1000*10, L28&lt;120, I28*$G28/$F28*1000, L28&gt;120, K28*$G28/$F28*1000*10)</f>
        <v>11118770.050256429</v>
      </c>
      <c r="N28" s="121">
        <f t="shared" si="2"/>
        <v>8355844.2294126544</v>
      </c>
      <c r="O28" s="121">
        <f t="shared" si="3"/>
        <v>3907367.1676680814</v>
      </c>
      <c r="P28" s="121">
        <f t="shared" si="4"/>
        <v>2762925.8208437739</v>
      </c>
      <c r="Q28" s="125" cm="1">
        <f t="array" ref="Q28">_xlfn.IFS(N28="DELETE", "DELETE", N28=0, 0, N28&gt;0,LOG10(N28))</f>
        <v>6.9219903352171874</v>
      </c>
      <c r="R28" s="126" cm="1">
        <f t="array" ref="R28">_xlfn.IFS(N28="DELETE", "DELETE", N28=0, 0, N28&gt;0, P28/N28/LN(10))</f>
        <v>0.14360289696123357</v>
      </c>
      <c r="S28" s="155">
        <f>qPCR_Raw!O28</f>
        <v>29.833858489990234</v>
      </c>
      <c r="T28" s="156" cm="1">
        <f t="array" ref="T28">_xlfn.IFS(S28="Undetermined", 0, qPCR_Raw!P28&lt;=1, 0, qPCR_Raw!P28&gt;1, qPCR_Raw!P28)</f>
        <v>214.69949340820313</v>
      </c>
      <c r="U28" s="157">
        <f>qPCR_Raw!R28</f>
        <v>33.416912078857422</v>
      </c>
      <c r="V28" s="156" cm="1">
        <f t="array" ref="V28">_xlfn.IFS(U28="Undetermined", 0, qPCR_Raw!S28&lt;=1, 0, qPCR_Raw!S28&gt;1, qPCR_Raw!S28)</f>
        <v>16.745515823364258</v>
      </c>
      <c r="W28" s="158" cm="1">
        <f t="array" ref="W28">_xlfn.IFS(AND(S28="Undetermined", U28="Undetermined"), "Undetermined", AND(T28=0, V28=0), "Undetermined", AND(T28=0, V28&gt;0), "Ten-Fold", AND(T28&gt;0, V28=0), "Undiluted", AND(S28&lt;&gt;"Undetermined", U28&lt;&gt;"Undetermined", T28&gt;0, V28&gt;0, S28&lt;&gt;U28), 100*(-1+10^(-1/(S28-U28))), AND(S28&lt;&gt;"Undetermined", U28&lt;&gt;"Undetermined", S28=U28&gt;0), -100)</f>
        <v>90.147909725521913</v>
      </c>
      <c r="X28" s="159" cm="1">
        <f t="array" ref="X28">_xlfn.IFS(W28="Undetermined", 0, W28="Undiluted", T28*$G28/$F28*1000, W28="Ten-Fold", V28*$G28/$F28*1000*10, W28&lt;0, V28*$G28/$F28*1000*10, W28&lt;120, T28*$G28/$F28*1000, W28&gt;120, V28*$G28/$F28*1000*10)</f>
        <v>21908.111572265625</v>
      </c>
      <c r="Y28" s="156">
        <f t="shared" si="5"/>
        <v>22802.724945411253</v>
      </c>
      <c r="Z28" s="156">
        <f t="shared" si="6"/>
        <v>1265.1743653828903</v>
      </c>
      <c r="AA28" s="156">
        <f t="shared" si="7"/>
        <v>894.61337314562843</v>
      </c>
      <c r="AB28" s="160" cm="1">
        <f t="array" ref="AB28">_xlfn.IFS(Y28="DELETE", "DELETE", Y28=0, 0, Y28&gt;0,LOG10(Y28))</f>
        <v>4.3579867486689796</v>
      </c>
      <c r="AC28" s="161" cm="1">
        <f t="array" ref="AC28">_xlfn.IFS(Y28="DELETE", "DELETE", Y28=0, 0, Y28&gt;0, AA28/Y28/LN(10))</f>
        <v>1.7038562379018952E-2</v>
      </c>
      <c r="AD28" s="120">
        <f>qPCR_Raw!U28</f>
        <v>33.242584228515625</v>
      </c>
      <c r="AE28" s="121" cm="1">
        <f t="array" ref="AE28">_xlfn.IFS(AD28="Undetermined", 0, qPCR_Raw!V28&lt;=1, 0, qPCR_Raw!V28&gt;1, qPCR_Raw!V28)</f>
        <v>3.6077325344085693</v>
      </c>
      <c r="AF28" s="122">
        <f>qPCR_Raw!X28</f>
        <v>37.086246490478516</v>
      </c>
      <c r="AG28" s="121" cm="1">
        <f t="array" ref="AG28">_xlfn.IFS(AF28="Undetermined", 0, qPCR_Raw!Y28&lt;=1, 0, qPCR_Raw!Y28&gt;1, qPCR_Raw!Y28)</f>
        <v>0</v>
      </c>
      <c r="AH28" s="123" t="str" cm="1">
        <f t="array" ref="AH28">_xlfn.IFS(AND(AD28="Undetermined", AF28="Undetermined"), "Undetermined", AND(AE28=0, AG28=0), "Undetermined", AND(AE28=0, AG28&gt;0), "Ten-Fold", AND(AE28&gt;0, AG28=0), "Undiluted", AND(AD28&lt;&gt;"Undetermined", AF28&lt;&gt;"Undetermined", AE28&gt;0, AG28&gt;0, AD28&lt;&gt;AF28), 100*(-1+10^(-1/(AD28-AF28))), AND(AD28&lt;&gt;"Undetermined", AF28&lt;&gt;"Undetermined", AD28=AF28&gt;0), -100)</f>
        <v>Undiluted</v>
      </c>
      <c r="AI28" s="124" cm="1">
        <f t="array" ref="AI28">_xlfn.IFS(AH28="Undetermined", 0, AH28="Undiluted", AE28*$G28/$F28*1000, AH28="Ten-Fold", AG28*$G28/$F28*1000*10, AH28&lt;0, AG28*$G28/$F28*1000*10, AH28&lt;120, AE28*$G28/$F28*1000, AH28&gt;120, AG28*$G28/$F28*1000*10)</f>
        <v>368.13597289883359</v>
      </c>
      <c r="AJ28" s="121">
        <f t="shared" si="8"/>
        <v>311.48391137891775</v>
      </c>
      <c r="AK28" s="121">
        <f t="shared" si="9"/>
        <v>80.118113737859815</v>
      </c>
      <c r="AL28" s="121">
        <f t="shared" si="10"/>
        <v>56.652061519915762</v>
      </c>
      <c r="AM28" s="125" cm="1">
        <f t="array" ref="AM28">_xlfn.IFS(AJ28="DELETE", "DELETE", AJ28=0, 0, AJ28&gt;0,LOG10(AJ28))</f>
        <v>2.4934356195993486</v>
      </c>
      <c r="AN28" s="126" cm="1">
        <f t="array" ref="AN28">_xlfn.IFS(AJ28="DELETE", "DELETE", AJ28=0, 0, AJ28&gt;0, AL28/AJ28/LN(10))</f>
        <v>7.8988598793511305E-2</v>
      </c>
      <c r="AO28" s="155">
        <f>qPCR_Raw!AA28</f>
        <v>24.757678985595703</v>
      </c>
      <c r="AP28" s="156" cm="1">
        <f t="array" ref="AP28">_xlfn.IFS(AO28="Undetermined", 0, qPCR_Raw!AB28&lt;=6, 0, qPCR_Raw!AB28&gt;6, qPCR_Raw!AB28)</f>
        <v>87.936500549316406</v>
      </c>
      <c r="AQ28" s="157">
        <f>qPCR_Raw!AD28</f>
        <v>27.055116653442383</v>
      </c>
      <c r="AR28" s="156" cm="1">
        <f t="array" ref="AR28">_xlfn.IFS(AQ28="Undetermined", 0, qPCR_Raw!AE28&lt;=6, 0, qPCR_Raw!AE28&gt;6, qPCR_Raw!AE28)</f>
        <v>19.363710403442383</v>
      </c>
      <c r="AS28" s="158" cm="1">
        <f t="array" ref="AS28">_xlfn.IFS(AND(AO28="Undetermined", AQ28="Undetermined"), "Undetermined", AND(AP28=0, AR28=0), "Undetermined", AND(AP28=0, AR28&gt;0), "Ten-Fold", AND(AP28&gt;0, AR28=0), "Undiluted", AND(AO28&lt;&gt;"Undetermined", AQ28&lt;&gt;"Undetermined", AP28&gt;0, AR28&gt;0, AO28&lt;&gt;AQ28), 100*(-1+10^(-1/(AO28-AQ28))), AND(AO28&lt;&gt;"Undetermined", AQ28&lt;&gt;"Undetermined", AO28=AQ28&gt;0), -100)</f>
        <v>172.43789856998885</v>
      </c>
      <c r="AT28" s="159" cm="1">
        <f t="array" ref="AT28">_xlfn.IFS(AS28="Undetermined", 0, AS28="Undiluted", AP28*$G28/$F28*1000, AS28="Ten-Fold", AR28*$G28/$F28*1000*10, AS28&lt;0, AR28*$G28/$F28*1000*10, AS28&lt;120, AP28*$G28/$F28*1000, AS28&gt;120, AR28*$G28/$F28*1000*10)</f>
        <v>19758.888166777942</v>
      </c>
      <c r="AU28" s="156">
        <f t="shared" si="11"/>
        <v>9879.4440833889712</v>
      </c>
      <c r="AV28" s="156">
        <f t="shared" si="12"/>
        <v>13971.643811435313</v>
      </c>
      <c r="AW28" s="156">
        <f t="shared" si="13"/>
        <v>9879.4440833889694</v>
      </c>
      <c r="AX28" s="160" cm="1">
        <f t="array" ref="AX28">_xlfn.IFS(AU28="DELETE", "DELETE", AU28=0, 0, AU28&gt;0,LOG10(AU28))</f>
        <v>3.9947325075118063</v>
      </c>
      <c r="AY28" s="161" cm="1">
        <f t="array" ref="AY28">_xlfn.IFS(AU28="DELETE", "DELETE", AU28=0, 0, AU28&gt;0, AW28/AU28/LN(10))</f>
        <v>0.43429448190325171</v>
      </c>
      <c r="AZ28" s="120">
        <f>qPCR_Raw!AG28</f>
        <v>35.221958160400391</v>
      </c>
      <c r="BA28" s="121" cm="1">
        <f t="array" ref="BA28">_xlfn.IFS(AZ28="Undetermined", 0, qPCR_Raw!AH28&lt;=1, 0, qPCR_Raw!AH28&gt;1, qPCR_Raw!AH28)</f>
        <v>2.6427290439605713</v>
      </c>
      <c r="BB28" s="122">
        <f>qPCR_Raw!AJ28</f>
        <v>38.353443145751953</v>
      </c>
      <c r="BC28" s="121" cm="1">
        <f t="array" ref="BC28">_xlfn.IFS(BB28="Undetermined", 0, qPCR_Raw!AK28&lt;=1, 0, qPCR_Raw!AK28&gt;1, qPCR_Raw!AK28)</f>
        <v>0</v>
      </c>
      <c r="BD28" s="123" t="str" cm="1">
        <f t="array" ref="BD28">_xlfn.IFS(AND(AZ28="Undetermined", BB28="Undetermined"), "Undetermined", AND(BA28=0, BC28=0), "Undetermined", AND(BA28=0, BC28&gt;0), "Ten-Fold", AND(BA28&gt;0, BC28=0), "Undiluted", AND(AZ28&lt;&gt;"Undetermined", BB28&lt;&gt;"Undetermined", BA28&gt;0, BC28&gt;0, AZ28&lt;&gt;BB28), 100*(-1+10^(-1/(AZ28-BB28))), AND(AZ28&lt;&gt;"Undetermined", BB28&lt;&gt;"Undetermined", AZ28=BB28&gt;0), -100)</f>
        <v>Undiluted</v>
      </c>
      <c r="BE28" s="124" cm="1">
        <f t="array" ref="BE28">_xlfn.IFS(BD28="Undetermined", 0, BD28="Undiluted", BA28*$G28/$F28*1000, BD28="Ten-Fold", BC28*$G28/$F28*1000*10, BD28&lt;0, BC28*$G28/$F28*1000*10, BD28&lt;120, BA28*$G28/$F28*1000, BD28&gt;120, BC28*$G28/$F28*1000*10)</f>
        <v>269.66622897556852</v>
      </c>
      <c r="BF28" s="121">
        <f t="shared" si="14"/>
        <v>249.61873482356677</v>
      </c>
      <c r="BG28" s="121">
        <f t="shared" si="15"/>
        <v>28.351438121356178</v>
      </c>
      <c r="BH28" s="121">
        <f t="shared" si="16"/>
        <v>20.047494152001743</v>
      </c>
      <c r="BI28" s="125" cm="1">
        <f t="array" ref="BI28">_xlfn.IFS(BF28="DELETE", "DELETE", BF28=0, 0, BF28&gt;0,LOG10(BF28))</f>
        <v>2.397277177665643</v>
      </c>
      <c r="BJ28" s="126" cm="1">
        <f t="array" ref="BJ28">_xlfn.IFS(BF28="DELETE", "DELETE", BF28=0, 0, BF28&gt;0, BH28/BF28/LN(10))</f>
        <v>3.4879257329606804E-2</v>
      </c>
    </row>
    <row r="29" spans="1:62" s="114" customFormat="1" x14ac:dyDescent="0.3">
      <c r="A29" s="115" t="str">
        <f>UPPER(LEFT(SUBSTITUTE(SUBSTITUTE(qPCR_Raw!A29,"-","")," ",""),2))&amp;RIGHT(SUBSTITUTE(SUBSTITUTE(qPCR_Raw!A29,"-","")," ",""),LEN(SUBSTITUTE(SUBSTITUTE(qPCR_Raw!A29,"-","")," ",""))-2)</f>
        <v>STb7</v>
      </c>
      <c r="B29" s="116" t="str" cm="1">
        <f t="array" ref="B29">_xlfn.IFS(LEFT(A29, LEN(A29)-1)="EP", "EP", LEFT(A29, LEN(A29)-1)="STa", "SPI", LEFT(A29, LEN(A29)-1)="STb", "SPO", LEFT(A29, LEN(A29)-1)="MRT", "MRT", LEFT(A29, LEN(A29)-1)="RG", "RN", LEFT(A29, LEN(A29)-1)="RT", "RU", LEFT(A29, LEN(A29)-1)="RW", "RL", LEFT(A29, LEN(A29)-1)="RC", "RS")</f>
        <v>SPO</v>
      </c>
      <c r="C29" s="117">
        <f>qPCR_Raw!B29</f>
        <v>44342</v>
      </c>
      <c r="D29" s="117" t="str">
        <f t="shared" si="0"/>
        <v>SPO44342</v>
      </c>
      <c r="E29" s="117" t="str">
        <f t="shared" si="1"/>
        <v>SPO443427</v>
      </c>
      <c r="F29" s="118">
        <f>qPCR_Raw!C29</f>
        <v>890</v>
      </c>
      <c r="G29" s="119">
        <f>qPCR_Raw!F29</f>
        <v>100</v>
      </c>
      <c r="H29" s="120">
        <f>qPCR_Raw!G29</f>
        <v>19.281597137451172</v>
      </c>
      <c r="I29" s="121" cm="1">
        <f t="array" ref="I29">_xlfn.IFS(H29="Undetermined", 0, qPCR_Raw!H29-qPCR_Raw!$H$242&lt;0, 0, qPCR_Raw!H29-qPCR_Raw!$H$242&gt;0, qPCR_Raw!H29-qPCR_Raw!$H$242)</f>
        <v>96116.080196126306</v>
      </c>
      <c r="J29" s="122">
        <f>qPCR_Raw!K29</f>
        <v>22.024570465087891</v>
      </c>
      <c r="K29" s="121" cm="1">
        <f t="array" ref="K29">_xlfn.IFS(J29="Undetermined", 0, qPCR_Raw!L29-qPCR_Raw!$H$242&lt;0, 0, qPCR_Raw!L29-qPCR_Raw!$H$242&gt;0, qPCR_Raw!L29-qPCR_Raw!$H$242)</f>
        <v>4977.6973836263023</v>
      </c>
      <c r="L29" s="123" cm="1">
        <f t="array" ref="L29">_xlfn.IFS(AND(H29="Undetermined", J29="Undetermined"), "Undetermined", AND(I29=0, K29=0), "Undetermined", AND(I29=0, K29&gt;0), "Ten-Fold", AND(I29&gt;0, K29=0), "Undiluted", AND(H29&lt;&gt;"Undetermined", J29&lt;&gt;"Undetermined", I29&gt;0, K29&gt;0), 100*(-1+10^(-1/(H29-J29))))</f>
        <v>131.50900615431777</v>
      </c>
      <c r="M29" s="124" cm="1">
        <f t="array" ref="M29">_xlfn.IFS(L29="Undetermined", 0, L29="Undiluted", I29*$G29/$F29*1000, L29="Ten-Fold", K29*$G29/$F29*1000*10, L29&lt;0, K29*$G29/$F29*1000*10, L29&lt;120, I29*$G29/$F29*1000, L29&gt;120, K29*$G29/$F29*1000*10)</f>
        <v>5592918.4085688787</v>
      </c>
      <c r="N29" s="121" t="str">
        <f t="shared" si="2"/>
        <v>DELETE</v>
      </c>
      <c r="O29" s="121" t="str">
        <f t="shared" si="3"/>
        <v>DELETE</v>
      </c>
      <c r="P29" s="121" t="str">
        <f t="shared" si="4"/>
        <v>DELETE</v>
      </c>
      <c r="Q29" s="125" t="str" cm="1">
        <f t="array" ref="Q29">_xlfn.IFS(N29="DELETE", "DELETE", N29=0, 0, N29&gt;0,LOG10(N29))</f>
        <v>DELETE</v>
      </c>
      <c r="R29" s="126" t="str" cm="1">
        <f t="array" ref="R29">_xlfn.IFS(N29="DELETE", "DELETE", N29=0, 0, N29&gt;0, P29/N29/LN(10))</f>
        <v>DELETE</v>
      </c>
      <c r="S29" s="155">
        <f>qPCR_Raw!O29</f>
        <v>29.858894348144531</v>
      </c>
      <c r="T29" s="156" cm="1">
        <f t="array" ref="T29">_xlfn.IFS(S29="Undetermined", 0, qPCR_Raw!P29&lt;=1, 0, qPCR_Raw!P29&gt;1, qPCR_Raw!P29)</f>
        <v>210.90631103515625</v>
      </c>
      <c r="U29" s="157">
        <f>qPCR_Raw!R29</f>
        <v>32.933940887451172</v>
      </c>
      <c r="V29" s="156" cm="1">
        <f t="array" ref="V29">_xlfn.IFS(U29="Undetermined", 0, qPCR_Raw!S29&lt;=1, 0, qPCR_Raw!S29&gt;1, qPCR_Raw!S29)</f>
        <v>23.61784553527832</v>
      </c>
      <c r="W29" s="158" cm="1">
        <f t="array" ref="W29">_xlfn.IFS(AND(S29="Undetermined", U29="Undetermined"), "Undetermined", AND(T29=0, V29=0), "Undetermined", AND(T29=0, V29&gt;0), "Ten-Fold", AND(T29&gt;0, V29=0), "Undiluted", AND(S29&lt;&gt;"Undetermined", U29&lt;&gt;"Undetermined", T29&gt;0, V29&gt;0, S29&lt;&gt;U29), 100*(-1+10^(-1/(S29-U29))), AND(S29&lt;&gt;"Undetermined", U29&lt;&gt;"Undetermined", S29=U29&gt;0), -100)</f>
        <v>111.44544320690413</v>
      </c>
      <c r="X29" s="159" cm="1">
        <f t="array" ref="X29">_xlfn.IFS(W29="Undetermined", 0, W29="Undiluted", T29*$G29/$F29*1000, W29="Ten-Fold", V29*$G29/$F29*1000*10, W29&lt;0, V29*$G29/$F29*1000*10, W29&lt;120, T29*$G29/$F29*1000, W29&gt;120, V29*$G29/$F29*1000*10)</f>
        <v>23697.338318556882</v>
      </c>
      <c r="Y29" s="156" t="str">
        <f t="shared" si="5"/>
        <v>DELETE</v>
      </c>
      <c r="Z29" s="156" t="str">
        <f t="shared" si="6"/>
        <v>DELETE</v>
      </c>
      <c r="AA29" s="156" t="str">
        <f t="shared" si="7"/>
        <v>DELETE</v>
      </c>
      <c r="AB29" s="160" t="str" cm="1">
        <f t="array" ref="AB29">_xlfn.IFS(Y29="DELETE", "DELETE", Y29=0, 0, Y29&gt;0,LOG10(Y29))</f>
        <v>DELETE</v>
      </c>
      <c r="AC29" s="161" t="str" cm="1">
        <f t="array" ref="AC29">_xlfn.IFS(Y29="DELETE", "DELETE", Y29=0, 0, Y29&gt;0, AA29/Y29/LN(10))</f>
        <v>DELETE</v>
      </c>
      <c r="AD29" s="120">
        <f>qPCR_Raw!U29</f>
        <v>33.954299926757813</v>
      </c>
      <c r="AE29" s="121" cm="1">
        <f t="array" ref="AE29">_xlfn.IFS(AD29="Undetermined", 0, qPCR_Raw!V29&lt;=1, 0, qPCR_Raw!V29&gt;1, qPCR_Raw!V29)</f>
        <v>2.2680034637451172</v>
      </c>
      <c r="AF29" s="122">
        <f>qPCR_Raw!X29</f>
        <v>37.844036102294922</v>
      </c>
      <c r="AG29" s="121" cm="1">
        <f t="array" ref="AG29">_xlfn.IFS(AF29="Undetermined", 0, qPCR_Raw!Y29&lt;=1, 0, qPCR_Raw!Y29&gt;1, qPCR_Raw!Y29)</f>
        <v>0</v>
      </c>
      <c r="AH29" s="123" t="str" cm="1">
        <f t="array" ref="AH29">_xlfn.IFS(AND(AD29="Undetermined", AF29="Undetermined"), "Undetermined", AND(AE29=0, AG29=0), "Undetermined", AND(AE29=0, AG29&gt;0), "Ten-Fold", AND(AE29&gt;0, AG29=0), "Undiluted", AND(AD29&lt;&gt;"Undetermined", AF29&lt;&gt;"Undetermined", AE29&gt;0, AG29&gt;0, AD29&lt;&gt;AF29), 100*(-1+10^(-1/(AD29-AF29))), AND(AD29&lt;&gt;"Undetermined", AF29&lt;&gt;"Undetermined", AD29=AF29&gt;0), -100)</f>
        <v>Undiluted</v>
      </c>
      <c r="AI29" s="124" cm="1">
        <f t="array" ref="AI29">_xlfn.IFS(AH29="Undetermined", 0, AH29="Undiluted", AE29*$G29/$F29*1000, AH29="Ten-Fold", AG29*$G29/$F29*1000*10, AH29&lt;0, AG29*$G29/$F29*1000*10, AH29&lt;120, AE29*$G29/$F29*1000, AH29&gt;120, AG29*$G29/$F29*1000*10)</f>
        <v>254.83184985900192</v>
      </c>
      <c r="AJ29" s="121" t="str">
        <f t="shared" si="8"/>
        <v>DELETE</v>
      </c>
      <c r="AK29" s="121" t="str">
        <f t="shared" si="9"/>
        <v>DELETE</v>
      </c>
      <c r="AL29" s="121" t="str">
        <f t="shared" si="10"/>
        <v>DELETE</v>
      </c>
      <c r="AM29" s="125" t="str" cm="1">
        <f t="array" ref="AM29">_xlfn.IFS(AJ29="DELETE", "DELETE", AJ29=0, 0, AJ29&gt;0,LOG10(AJ29))</f>
        <v>DELETE</v>
      </c>
      <c r="AN29" s="126" t="str" cm="1">
        <f t="array" ref="AN29">_xlfn.IFS(AJ29="DELETE", "DELETE", AJ29=0, 0, AJ29&gt;0, AL29/AJ29/LN(10))</f>
        <v>DELETE</v>
      </c>
      <c r="AO29" s="155">
        <f>qPCR_Raw!AA29</f>
        <v>29.390039443969727</v>
      </c>
      <c r="AP29" s="156" cm="1">
        <f t="array" ref="AP29">_xlfn.IFS(AO29="Undetermined", 0, qPCR_Raw!AB29&lt;=6, 0, qPCR_Raw!AB29&gt;6, qPCR_Raw!AB29)</f>
        <v>0</v>
      </c>
      <c r="AQ29" s="157" t="str">
        <f>qPCR_Raw!AD29</f>
        <v>Undetermined</v>
      </c>
      <c r="AR29" s="156" cm="1">
        <f t="array" ref="AR29">_xlfn.IFS(AQ29="Undetermined", 0, qPCR_Raw!AE29&lt;=6, 0, qPCR_Raw!AE29&gt;6, qPCR_Raw!AE29)</f>
        <v>0</v>
      </c>
      <c r="AS29" s="158" t="str" cm="1">
        <f t="array" ref="AS29">_xlfn.IFS(AND(AO29="Undetermined", AQ29="Undetermined"), "Undetermined", AND(AP29=0, AR29=0), "Undetermined", AND(AP29=0, AR29&gt;0), "Ten-Fold", AND(AP29&gt;0, AR29=0), "Undiluted", AND(AO29&lt;&gt;"Undetermined", AQ29&lt;&gt;"Undetermined", AP29&gt;0, AR29&gt;0, AO29&lt;&gt;AQ29), 100*(-1+10^(-1/(AO29-AQ29))), AND(AO29&lt;&gt;"Undetermined", AQ29&lt;&gt;"Undetermined", AO29=AQ29&gt;0), -100)</f>
        <v>Undetermined</v>
      </c>
      <c r="AT29" s="159" cm="1">
        <f t="array" ref="AT29">_xlfn.IFS(AS29="Undetermined", 0, AS29="Undiluted", AP29*$G29/$F29*1000, AS29="Ten-Fold", AR29*$G29/$F29*1000*10, AS29&lt;0, AR29*$G29/$F29*1000*10, AS29&lt;120, AP29*$G29/$F29*1000, AS29&gt;120, AR29*$G29/$F29*1000*10)</f>
        <v>0</v>
      </c>
      <c r="AU29" s="156" t="str">
        <f t="shared" si="11"/>
        <v>DELETE</v>
      </c>
      <c r="AV29" s="156" t="str">
        <f t="shared" si="12"/>
        <v>DELETE</v>
      </c>
      <c r="AW29" s="156" t="str">
        <f t="shared" si="13"/>
        <v>DELETE</v>
      </c>
      <c r="AX29" s="160" t="str" cm="1">
        <f t="array" ref="AX29">_xlfn.IFS(AU29="DELETE", "DELETE", AU29=0, 0, AU29&gt;0,LOG10(AU29))</f>
        <v>DELETE</v>
      </c>
      <c r="AY29" s="161" t="str" cm="1">
        <f t="array" ref="AY29">_xlfn.IFS(AU29="DELETE", "DELETE", AU29=0, 0, AU29&gt;0, AW29/AU29/LN(10))</f>
        <v>DELETE</v>
      </c>
      <c r="AZ29" s="120">
        <f>qPCR_Raw!AG29</f>
        <v>35.636566162109375</v>
      </c>
      <c r="BA29" s="121" cm="1">
        <f t="array" ref="BA29">_xlfn.IFS(AZ29="Undetermined", 0, qPCR_Raw!AH29&lt;=1, 0, qPCR_Raw!AH29&gt;1, qPCR_Raw!AH29)</f>
        <v>2.0431840419769287</v>
      </c>
      <c r="BB29" s="122">
        <f>qPCR_Raw!AJ29</f>
        <v>39.878173828125</v>
      </c>
      <c r="BC29" s="121" cm="1">
        <f t="array" ref="BC29">_xlfn.IFS(BB29="Undetermined", 0, qPCR_Raw!AK29&lt;=1, 0, qPCR_Raw!AK29&gt;1, qPCR_Raw!AK29)</f>
        <v>0</v>
      </c>
      <c r="BD29" s="123" t="str" cm="1">
        <f t="array" ref="BD29">_xlfn.IFS(AND(AZ29="Undetermined", BB29="Undetermined"), "Undetermined", AND(BA29=0, BC29=0), "Undetermined", AND(BA29=0, BC29&gt;0), "Ten-Fold", AND(BA29&gt;0, BC29=0), "Undiluted", AND(AZ29&lt;&gt;"Undetermined", BB29&lt;&gt;"Undetermined", BA29&gt;0, BC29&gt;0, AZ29&lt;&gt;BB29), 100*(-1+10^(-1/(AZ29-BB29))), AND(AZ29&lt;&gt;"Undetermined", BB29&lt;&gt;"Undetermined", AZ29=BB29&gt;0), -100)</f>
        <v>Undiluted</v>
      </c>
      <c r="BE29" s="124" cm="1">
        <f t="array" ref="BE29">_xlfn.IFS(BD29="Undetermined", 0, BD29="Undiluted", BA29*$G29/$F29*1000, BD29="Ten-Fold", BC29*$G29/$F29*1000*10, BD29&lt;0, BC29*$G29/$F29*1000*10, BD29&lt;120, BA29*$G29/$F29*1000, BD29&gt;120, BC29*$G29/$F29*1000*10)</f>
        <v>229.57124067156502</v>
      </c>
      <c r="BF29" s="121" t="str">
        <f t="shared" si="14"/>
        <v>DELETE</v>
      </c>
      <c r="BG29" s="121" t="str">
        <f t="shared" si="15"/>
        <v>DELETE</v>
      </c>
      <c r="BH29" s="121" t="str">
        <f t="shared" si="16"/>
        <v>DELETE</v>
      </c>
      <c r="BI29" s="125" t="str" cm="1">
        <f t="array" ref="BI29">_xlfn.IFS(BF29="DELETE", "DELETE", BF29=0, 0, BF29&gt;0,LOG10(BF29))</f>
        <v>DELETE</v>
      </c>
      <c r="BJ29" s="126" t="str" cm="1">
        <f t="array" ref="BJ29">_xlfn.IFS(BF29="DELETE", "DELETE", BF29=0, 0, BF29&gt;0, BH29/BF29/LN(10))</f>
        <v>DELETE</v>
      </c>
    </row>
    <row r="30" spans="1:62" s="114" customFormat="1" x14ac:dyDescent="0.3">
      <c r="A30" s="115" t="str">
        <f>UPPER(LEFT(SUBSTITUTE(SUBSTITUTE(qPCR_Raw!A30,"-","")," ",""),2))&amp;RIGHT(SUBSTITUTE(SUBSTITUTE(qPCR_Raw!A30,"-","")," ",""),LEN(SUBSTITUTE(SUBSTITUTE(qPCR_Raw!A30,"-","")," ",""))-2)</f>
        <v>RC6</v>
      </c>
      <c r="B30" s="116" t="str" cm="1">
        <f t="array" ref="B30">_xlfn.IFS(LEFT(A30, LEN(A30)-1)="EP", "EP", LEFT(A30, LEN(A30)-1)="STa", "SPI", LEFT(A30, LEN(A30)-1)="STb", "SPO", LEFT(A30, LEN(A30)-1)="MRT", "MRT", LEFT(A30, LEN(A30)-1)="RG", "RN", LEFT(A30, LEN(A30)-1)="RT", "RU", LEFT(A30, LEN(A30)-1)="RW", "RL", LEFT(A30, LEN(A30)-1)="RC", "RS")</f>
        <v>RS</v>
      </c>
      <c r="C30" s="117">
        <f>qPCR_Raw!B30</f>
        <v>44342</v>
      </c>
      <c r="D30" s="117" t="str">
        <f t="shared" si="0"/>
        <v>RS44342</v>
      </c>
      <c r="E30" s="117" t="str">
        <f t="shared" si="1"/>
        <v>RS443426</v>
      </c>
      <c r="F30" s="118">
        <f>qPCR_Raw!C30</f>
        <v>1000</v>
      </c>
      <c r="G30" s="119">
        <f>qPCR_Raw!F30</f>
        <v>100</v>
      </c>
      <c r="H30" s="120">
        <f>qPCR_Raw!G30</f>
        <v>13.40313720703125</v>
      </c>
      <c r="I30" s="121" cm="1">
        <f t="array" ref="I30">_xlfn.IFS(H30="Undetermined", 0, qPCR_Raw!H30-qPCR_Raw!$H$242&lt;0, 0, qPCR_Raw!H30-qPCR_Raw!$H$242&gt;0, qPCR_Raw!H30-qPCR_Raw!$H$242)</f>
        <v>5198338.8614461264</v>
      </c>
      <c r="J30" s="122">
        <f>qPCR_Raw!K30</f>
        <v>15.466180801391602</v>
      </c>
      <c r="K30" s="121" cm="1">
        <f t="array" ref="K30">_xlfn.IFS(J30="Undetermined", 0, qPCR_Raw!L30-qPCR_Raw!$H$242&lt;0, 0, qPCR_Raw!L30-qPCR_Raw!$H$242&gt;0, qPCR_Raw!L30-qPCR_Raw!$H$242)</f>
        <v>1328726.4864461264</v>
      </c>
      <c r="L30" s="123" cm="1">
        <f t="array" ref="L30">_xlfn.IFS(AND(H30="Undetermined", J30="Undetermined"), "Undetermined", AND(I30=0, K30=0), "Undetermined", AND(I30=0, K30&gt;0), "Ten-Fold", AND(I30&gt;0, K30=0), "Undiluted", AND(H30&lt;&gt;"Undetermined", J30&lt;&gt;"Undetermined", I30&gt;0, K30&gt;0), 100*(-1+10^(-1/(H30-J30))))</f>
        <v>205.29573091898556</v>
      </c>
      <c r="M30" s="124" cm="1">
        <f t="array" ref="M30">_xlfn.IFS(L30="Undetermined", 0, L30="Undiluted", I30*$G30/$F30*1000, L30="Ten-Fold", K30*$G30/$F30*1000*10, L30&lt;0, K30*$G30/$F30*1000*10, L30&lt;120, I30*$G30/$F30*1000, L30&gt;120, K30*$G30/$F30*1000*10)</f>
        <v>1328726486.4461265</v>
      </c>
      <c r="N30" s="121">
        <f t="shared" si="2"/>
        <v>670230508.91361952</v>
      </c>
      <c r="O30" s="121">
        <f t="shared" si="3"/>
        <v>931253942.19460022</v>
      </c>
      <c r="P30" s="121">
        <f t="shared" si="4"/>
        <v>658495977.53250694</v>
      </c>
      <c r="Q30" s="125" cm="1">
        <f t="array" ref="Q30">_xlfn.IFS(N30="DELETE", "DELETE", N30=0, 0, N30&gt;0,LOG10(N30))</f>
        <v>8.8262241930475405</v>
      </c>
      <c r="R30" s="126" cm="1">
        <f t="array" ref="R30">_xlfn.IFS(N30="DELETE", "DELETE", N30=0, 0, N30&gt;0, P30/N30/LN(10))</f>
        <v>0.42669076622818014</v>
      </c>
      <c r="S30" s="155">
        <f>qPCR_Raw!O30</f>
        <v>27.716707229614258</v>
      </c>
      <c r="T30" s="156" cm="1">
        <f t="array" ref="T30">_xlfn.IFS(S30="Undetermined", 0, qPCR_Raw!P30&lt;=1, 0, qPCR_Raw!P30&gt;1, qPCR_Raw!P30)</f>
        <v>969.3599853515625</v>
      </c>
      <c r="U30" s="157">
        <f>qPCR_Raw!R30</f>
        <v>30.546394348144531</v>
      </c>
      <c r="V30" s="156" cm="1">
        <f t="array" ref="V30">_xlfn.IFS(U30="Undetermined", 0, qPCR_Raw!S30&lt;=1, 0, qPCR_Raw!S30&gt;1, qPCR_Raw!S30)</f>
        <v>129.27201843261719</v>
      </c>
      <c r="W30" s="158" cm="1">
        <f t="array" ref="W30">_xlfn.IFS(AND(S30="Undetermined", U30="Undetermined"), "Undetermined", AND(T30=0, V30=0), "Undetermined", AND(T30=0, V30&gt;0), "Ten-Fold", AND(T30&gt;0, V30=0), "Undiluted", AND(S30&lt;&gt;"Undetermined", U30&lt;&gt;"Undetermined", T30&gt;0, V30&gt;0, S30&lt;&gt;U30), 100*(-1+10^(-1/(S30-U30))), AND(S30&lt;&gt;"Undetermined", U30&lt;&gt;"Undetermined", S30=U30&gt;0), -100)</f>
        <v>125.6295418267491</v>
      </c>
      <c r="X30" s="159" cm="1">
        <f t="array" ref="X30">_xlfn.IFS(W30="Undetermined", 0, W30="Undiluted", T30*$G30/$F30*1000, W30="Ten-Fold", V30*$G30/$F30*1000*10, W30&lt;0, V30*$G30/$F30*1000*10, W30&lt;120, T30*$G30/$F30*1000, W30&gt;120, V30*$G30/$F30*1000*10)</f>
        <v>129272.01843261719</v>
      </c>
      <c r="Y30" s="156">
        <f t="shared" si="5"/>
        <v>91614.980909559454</v>
      </c>
      <c r="Z30" s="156">
        <f t="shared" si="6"/>
        <v>53255.093183900812</v>
      </c>
      <c r="AA30" s="156">
        <f t="shared" si="7"/>
        <v>37657.037523057748</v>
      </c>
      <c r="AB30" s="160" cm="1">
        <f t="array" ref="AB30">_xlfn.IFS(Y30="DELETE", "DELETE", Y30=0, 0, Y30&gt;0,LOG10(Y30))</f>
        <v>4.9619664954406089</v>
      </c>
      <c r="AC30" s="161" cm="1">
        <f t="array" ref="AC30">_xlfn.IFS(Y30="DELETE", "DELETE", Y30=0, 0, Y30&gt;0, AA30/Y30/LN(10))</f>
        <v>0.17851058242573092</v>
      </c>
      <c r="AD30" s="120">
        <f>qPCR_Raw!U30</f>
        <v>25.770021438598633</v>
      </c>
      <c r="AE30" s="121" cm="1">
        <f t="array" ref="AE30">_xlfn.IFS(AD30="Undetermined", 0, qPCR_Raw!V30&lt;=1, 0, qPCR_Raw!V30&gt;1, qPCR_Raw!V30)</f>
        <v>471.85421752929688</v>
      </c>
      <c r="AF30" s="122">
        <f>qPCR_Raw!X30</f>
        <v>28.489137649536133</v>
      </c>
      <c r="AG30" s="121" cm="1">
        <f t="array" ref="AG30">_xlfn.IFS(AF30="Undetermined", 0, qPCR_Raw!Y30&lt;=1, 0, qPCR_Raw!Y30&gt;1, qPCR_Raw!Y30)</f>
        <v>80.099357604980469</v>
      </c>
      <c r="AH30" s="123" cm="1">
        <f t="array" ref="AH30">_xlfn.IFS(AND(AD30="Undetermined", AF30="Undetermined"), "Undetermined", AND(AE30=0, AG30=0), "Undetermined", AND(AE30=0, AG30&gt;0), "Ten-Fold", AND(AE30&gt;0, AG30=0), "Undiluted", AND(AD30&lt;&gt;"Undetermined", AF30&lt;&gt;"Undetermined", AE30&gt;0, AG30&gt;0, AD30&lt;&gt;AF30), 100*(-1+10^(-1/(AD30-AF30))), AND(AD30&lt;&gt;"Undetermined", AF30&lt;&gt;"Undetermined", AD30=AF30&gt;0), -100)</f>
        <v>133.22040996278429</v>
      </c>
      <c r="AI30" s="124" cm="1">
        <f t="array" ref="AI30">_xlfn.IFS(AH30="Undetermined", 0, AH30="Undiluted", AE30*$G30/$F30*1000, AH30="Ten-Fold", AG30*$G30/$F30*1000*10, AH30&lt;0, AG30*$G30/$F30*1000*10, AH30&lt;120, AE30*$G30/$F30*1000, AH30&gt;120, AG30*$G30/$F30*1000*10)</f>
        <v>80099.357604980469</v>
      </c>
      <c r="AJ30" s="121">
        <f t="shared" si="8"/>
        <v>44257.850223117406</v>
      </c>
      <c r="AK30" s="121">
        <f t="shared" si="9"/>
        <v>50687.545835326142</v>
      </c>
      <c r="AL30" s="121">
        <f t="shared" si="10"/>
        <v>35841.507381863055</v>
      </c>
      <c r="AM30" s="125" cm="1">
        <f t="array" ref="AM30">_xlfn.IFS(AJ30="DELETE", "DELETE", AJ30=0, 0, AJ30&gt;0,LOG10(AJ30))</f>
        <v>4.6459903147220061</v>
      </c>
      <c r="AN30" s="126" cm="1">
        <f t="array" ref="AN30">_xlfn.IFS(AJ30="DELETE", "DELETE", AJ30=0, 0, AJ30&gt;0, AL30/AJ30/LN(10))</f>
        <v>0.35170639334188109</v>
      </c>
      <c r="AO30" s="155">
        <f>qPCR_Raw!AA30</f>
        <v>29.535678863525391</v>
      </c>
      <c r="AP30" s="156" cm="1">
        <f t="array" ref="AP30">_xlfn.IFS(AO30="Undetermined", 0, qPCR_Raw!AB30&lt;=6, 0, qPCR_Raw!AB30&gt;6, qPCR_Raw!AB30)</f>
        <v>0</v>
      </c>
      <c r="AQ30" s="157" t="str">
        <f>qPCR_Raw!AD30</f>
        <v>Undetermined</v>
      </c>
      <c r="AR30" s="156" cm="1">
        <f t="array" ref="AR30">_xlfn.IFS(AQ30="Undetermined", 0, qPCR_Raw!AE30&lt;=6, 0, qPCR_Raw!AE30&gt;6, qPCR_Raw!AE30)</f>
        <v>0</v>
      </c>
      <c r="AS30" s="158" t="str" cm="1">
        <f t="array" ref="AS30">_xlfn.IFS(AND(AO30="Undetermined", AQ30="Undetermined"), "Undetermined", AND(AP30=0, AR30=0), "Undetermined", AND(AP30=0, AR30&gt;0), "Ten-Fold", AND(AP30&gt;0, AR30=0), "Undiluted", AND(AO30&lt;&gt;"Undetermined", AQ30&lt;&gt;"Undetermined", AP30&gt;0, AR30&gt;0, AO30&lt;&gt;AQ30), 100*(-1+10^(-1/(AO30-AQ30))), AND(AO30&lt;&gt;"Undetermined", AQ30&lt;&gt;"Undetermined", AO30=AQ30&gt;0), -100)</f>
        <v>Undetermined</v>
      </c>
      <c r="AT30" s="159" cm="1">
        <f t="array" ref="AT30">_xlfn.IFS(AS30="Undetermined", 0, AS30="Undiluted", AP30*$G30/$F30*1000, AS30="Ten-Fold", AR30*$G30/$F30*1000*10, AS30&lt;0, AR30*$G30/$F30*1000*10, AS30&lt;120, AP30*$G30/$F30*1000, AS30&gt;120, AR30*$G30/$F30*1000*10)</f>
        <v>0</v>
      </c>
      <c r="AU30" s="156">
        <f t="shared" si="11"/>
        <v>0</v>
      </c>
      <c r="AV30" s="156">
        <f t="shared" si="12"/>
        <v>0</v>
      </c>
      <c r="AW30" s="156">
        <f t="shared" si="13"/>
        <v>0</v>
      </c>
      <c r="AX30" s="160" cm="1">
        <f t="array" ref="AX30">_xlfn.IFS(AU30="DELETE", "DELETE", AU30=0, 0, AU30&gt;0,LOG10(AU30))</f>
        <v>0</v>
      </c>
      <c r="AY30" s="161" cm="1">
        <f t="array" ref="AY30">_xlfn.IFS(AU30="DELETE", "DELETE", AU30=0, 0, AU30&gt;0, AW30/AU30/LN(10))</f>
        <v>0</v>
      </c>
      <c r="AZ30" s="120">
        <f>qPCR_Raw!AG30</f>
        <v>23.499765396118164</v>
      </c>
      <c r="BA30" s="121" cm="1">
        <f t="array" ref="BA30">_xlfn.IFS(AZ30="Undetermined", 0, qPCR_Raw!AH30&lt;=1, 0, qPCR_Raw!AH30&gt;1, qPCR_Raw!AH30)</f>
        <v>3814.326171875</v>
      </c>
      <c r="BB30" s="122">
        <f>qPCR_Raw!AJ30</f>
        <v>26.966920852661133</v>
      </c>
      <c r="BC30" s="121" cm="1">
        <f t="array" ref="BC30">_xlfn.IFS(BB30="Undetermined", 0, qPCR_Raw!AK30&lt;=1, 0, qPCR_Raw!AK30&gt;1, qPCR_Raw!AK30)</f>
        <v>443.5577392578125</v>
      </c>
      <c r="BD30" s="123" cm="1">
        <f t="array" ref="BD30">_xlfn.IFS(AND(AZ30="Undetermined", BB30="Undetermined"), "Undetermined", AND(BA30=0, BC30=0), "Undetermined", AND(BA30=0, BC30&gt;0), "Ten-Fold", AND(BA30&gt;0, BC30=0), "Undiluted", AND(AZ30&lt;&gt;"Undetermined", BB30&lt;&gt;"Undetermined", BA30&gt;0, BC30&gt;0, AZ30&lt;&gt;BB30), 100*(-1+10^(-1/(AZ30-BB30))), AND(AZ30&lt;&gt;"Undetermined", BB30&lt;&gt;"Undetermined", AZ30=BB30&gt;0), -100)</f>
        <v>94.276768916552143</v>
      </c>
      <c r="BE30" s="124" cm="1">
        <f t="array" ref="BE30">_xlfn.IFS(BD30="Undetermined", 0, BD30="Undiluted", BA30*$G30/$F30*1000, BD30="Ten-Fold", BC30*$G30/$F30*1000*10, BD30&lt;0, BC30*$G30/$F30*1000*10, BD30&lt;120, BA30*$G30/$F30*1000, BD30&gt;120, BC30*$G30/$F30*1000*10)</f>
        <v>381432.6171875</v>
      </c>
      <c r="BF30" s="121">
        <f t="shared" si="14"/>
        <v>231277.60484483506</v>
      </c>
      <c r="BG30" s="121">
        <f t="shared" si="15"/>
        <v>212351.25491329629</v>
      </c>
      <c r="BH30" s="121">
        <f t="shared" si="16"/>
        <v>150155.01234266497</v>
      </c>
      <c r="BI30" s="125" cm="1">
        <f t="array" ref="BI30">_xlfn.IFS(BF30="DELETE", "DELETE", BF30=0, 0, BF30&gt;0,LOG10(BF30))</f>
        <v>5.3641335810490691</v>
      </c>
      <c r="BJ30" s="126" cm="1">
        <f t="array" ref="BJ30">_xlfn.IFS(BF30="DELETE", "DELETE", BF30=0, 0, BF30&gt;0, BH30/BF30/LN(10))</f>
        <v>0.28196198821016277</v>
      </c>
    </row>
    <row r="31" spans="1:62" s="114" customFormat="1" x14ac:dyDescent="0.3">
      <c r="A31" s="115" t="str">
        <f>UPPER(LEFT(SUBSTITUTE(SUBSTITUTE(qPCR_Raw!A31,"-","")," ",""),2))&amp;RIGHT(SUBSTITUTE(SUBSTITUTE(qPCR_Raw!A31,"-","")," ",""),LEN(SUBSTITUTE(SUBSTITUTE(qPCR_Raw!A31,"-","")," ",""))-2)</f>
        <v>RC7</v>
      </c>
      <c r="B31" s="116" t="str" cm="1">
        <f t="array" ref="B31">_xlfn.IFS(LEFT(A31, LEN(A31)-1)="EP", "EP", LEFT(A31, LEN(A31)-1)="STa", "SPI", LEFT(A31, LEN(A31)-1)="STb", "SPO", LEFT(A31, LEN(A31)-1)="MRT", "MRT", LEFT(A31, LEN(A31)-1)="RG", "RN", LEFT(A31, LEN(A31)-1)="RT", "RU", LEFT(A31, LEN(A31)-1)="RW", "RL", LEFT(A31, LEN(A31)-1)="RC", "RS")</f>
        <v>RS</v>
      </c>
      <c r="C31" s="117">
        <f>qPCR_Raw!B31</f>
        <v>44342</v>
      </c>
      <c r="D31" s="117" t="str">
        <f t="shared" si="0"/>
        <v>RS44342</v>
      </c>
      <c r="E31" s="117" t="str">
        <f t="shared" si="1"/>
        <v>RS443427</v>
      </c>
      <c r="F31" s="118">
        <f>qPCR_Raw!C31</f>
        <v>900</v>
      </c>
      <c r="G31" s="119">
        <f>qPCR_Raw!F31</f>
        <v>100</v>
      </c>
      <c r="H31" s="120">
        <f>qPCR_Raw!G31</f>
        <v>19.547101974487305</v>
      </c>
      <c r="I31" s="121" cm="1">
        <f t="array" ref="I31">_xlfn.IFS(H31="Undetermined", 0, qPCR_Raw!H31-qPCR_Raw!$H$242&lt;0, 0, qPCR_Raw!H31-qPCR_Raw!$H$242&gt;0, qPCR_Raw!H31-qPCR_Raw!$H$242)</f>
        <v>78635.330196126306</v>
      </c>
      <c r="J31" s="122">
        <f>qPCR_Raw!K31</f>
        <v>21.613002777099609</v>
      </c>
      <c r="K31" s="121" cm="1">
        <f t="array" ref="K31">_xlfn.IFS(J31="Undetermined", 0, qPCR_Raw!L31-qPCR_Raw!$H$242&lt;0, 0, qPCR_Raw!L31-qPCR_Raw!$H$242&gt;0, qPCR_Raw!L31-qPCR_Raw!$H$242)</f>
        <v>10561.078243001302</v>
      </c>
      <c r="L31" s="123" cm="1">
        <f t="array" ref="L31">_xlfn.IFS(AND(H31="Undetermined", J31="Undetermined"), "Undetermined", AND(I31=0, K31=0), "Undetermined", AND(I31=0, K31&gt;0), "Ten-Fold", AND(I31&gt;0, K31=0), "Undiluted", AND(H31&lt;&gt;"Undetermined", J31&lt;&gt;"Undetermined", I31&gt;0, K31&gt;0), 100*(-1+10^(-1/(H31-J31))))</f>
        <v>204.82483459830152</v>
      </c>
      <c r="M31" s="124" cm="1">
        <f t="array" ref="M31">_xlfn.IFS(L31="Undetermined", 0, L31="Undiluted", I31*$G31/$F31*1000, L31="Ten-Fold", K31*$G31/$F31*1000*10, L31&lt;0, K31*$G31/$F31*1000*10, L31&lt;120, I31*$G31/$F31*1000, L31&gt;120, K31*$G31/$F31*1000*10)</f>
        <v>11734531.381112557</v>
      </c>
      <c r="N31" s="121" t="str">
        <f t="shared" si="2"/>
        <v>DELETE</v>
      </c>
      <c r="O31" s="121" t="str">
        <f t="shared" si="3"/>
        <v>DELETE</v>
      </c>
      <c r="P31" s="121" t="str">
        <f t="shared" si="4"/>
        <v>DELETE</v>
      </c>
      <c r="Q31" s="125" t="str" cm="1">
        <f t="array" ref="Q31">_xlfn.IFS(N31="DELETE", "DELETE", N31=0, 0, N31&gt;0,LOG10(N31))</f>
        <v>DELETE</v>
      </c>
      <c r="R31" s="126" t="str" cm="1">
        <f t="array" ref="R31">_xlfn.IFS(N31="DELETE", "DELETE", N31=0, 0, N31&gt;0, P31/N31/LN(10))</f>
        <v>DELETE</v>
      </c>
      <c r="S31" s="155">
        <f>qPCR_Raw!O31</f>
        <v>29.043899536132813</v>
      </c>
      <c r="T31" s="156" cm="1">
        <f t="array" ref="T31">_xlfn.IFS(S31="Undetermined", 0, qPCR_Raw!P31&lt;=1, 0, qPCR_Raw!P31&gt;1, qPCR_Raw!P31)</f>
        <v>376.7886962890625</v>
      </c>
      <c r="U31" s="157">
        <f>qPCR_Raw!R31</f>
        <v>31.921512603759766</v>
      </c>
      <c r="V31" s="156" cm="1">
        <f t="array" ref="V31">_xlfn.IFS(U31="Undetermined", 0, qPCR_Raw!S31&lt;=1, 0, qPCR_Raw!S31&gt;1, qPCR_Raw!S31)</f>
        <v>48.562149047851563</v>
      </c>
      <c r="W31" s="158" cm="1">
        <f t="array" ref="W31">_xlfn.IFS(AND(S31="Undetermined", U31="Undetermined"), "Undetermined", AND(T31=0, V31=0), "Undetermined", AND(T31=0, V31&gt;0), "Ten-Fold", AND(T31&gt;0, V31=0), "Undiluted", AND(S31&lt;&gt;"Undetermined", U31&lt;&gt;"Undetermined", T31&gt;0, V31&gt;0, S31&lt;&gt;U31), 100*(-1+10^(-1/(S31-U31))), AND(S31&lt;&gt;"Undetermined", U31&lt;&gt;"Undetermined", S31=U31&gt;0), -100)</f>
        <v>122.59235142301451</v>
      </c>
      <c r="X31" s="159" cm="1">
        <f t="array" ref="X31">_xlfn.IFS(W31="Undetermined", 0, W31="Undiluted", T31*$G31/$F31*1000, W31="Ten-Fold", V31*$G31/$F31*1000*10, W31&lt;0, V31*$G31/$F31*1000*10, W31&lt;120, T31*$G31/$F31*1000, W31&gt;120, V31*$G31/$F31*1000*10)</f>
        <v>53957.943386501727</v>
      </c>
      <c r="Y31" s="156" t="str">
        <f t="shared" si="5"/>
        <v>DELETE</v>
      </c>
      <c r="Z31" s="156" t="str">
        <f t="shared" si="6"/>
        <v>DELETE</v>
      </c>
      <c r="AA31" s="156" t="str">
        <f t="shared" si="7"/>
        <v>DELETE</v>
      </c>
      <c r="AB31" s="160" t="str" cm="1">
        <f t="array" ref="AB31">_xlfn.IFS(Y31="DELETE", "DELETE", Y31=0, 0, Y31&gt;0,LOG10(Y31))</f>
        <v>DELETE</v>
      </c>
      <c r="AC31" s="161" t="str" cm="1">
        <f t="array" ref="AC31">_xlfn.IFS(Y31="DELETE", "DELETE", Y31=0, 0, Y31&gt;0, AA31/Y31/LN(10))</f>
        <v>DELETE</v>
      </c>
      <c r="AD31" s="120">
        <f>qPCR_Raw!U31</f>
        <v>28.574798583984375</v>
      </c>
      <c r="AE31" s="121" cm="1">
        <f t="array" ref="AE31">_xlfn.IFS(AD31="Undetermined", 0, qPCR_Raw!V31&lt;=1, 0, qPCR_Raw!V31&gt;1, qPCR_Raw!V31)</f>
        <v>75.747085571289063</v>
      </c>
      <c r="AF31" s="122">
        <f>qPCR_Raw!X31</f>
        <v>31.740114212036133</v>
      </c>
      <c r="AG31" s="121" cm="1">
        <f t="array" ref="AG31">_xlfn.IFS(AF31="Undetermined", 0, qPCR_Raw!Y31&lt;=1, 0, qPCR_Raw!Y31&gt;1, qPCR_Raw!Y31)</f>
        <v>9.611760139465332</v>
      </c>
      <c r="AH31" s="123" cm="1">
        <f t="array" ref="AH31">_xlfn.IFS(AND(AD31="Undetermined", AF31="Undetermined"), "Undetermined", AND(AE31=0, AG31=0), "Undetermined", AND(AE31=0, AG31&gt;0), "Ten-Fold", AND(AE31&gt;0, AG31=0), "Undiluted", AND(AD31&lt;&gt;"Undetermined", AF31&lt;&gt;"Undetermined", AE31&gt;0, AG31&gt;0, AD31&lt;&gt;AF31), 100*(-1+10^(-1/(AD31-AF31))), AND(AD31&lt;&gt;"Undetermined", AF31&lt;&gt;"Undetermined", AD31=AF31&gt;0), -100)</f>
        <v>106.97803560103316</v>
      </c>
      <c r="AI31" s="124" cm="1">
        <f t="array" ref="AI31">_xlfn.IFS(AH31="Undetermined", 0, AH31="Undiluted", AE31*$G31/$F31*1000, AH31="Ten-Fold", AG31*$G31/$F31*1000*10, AH31&lt;0, AG31*$G31/$F31*1000*10, AH31&lt;120, AE31*$G31/$F31*1000, AH31&gt;120, AG31*$G31/$F31*1000*10)</f>
        <v>8416.3428412543417</v>
      </c>
      <c r="AJ31" s="121" t="str">
        <f t="shared" si="8"/>
        <v>DELETE</v>
      </c>
      <c r="AK31" s="121" t="str">
        <f t="shared" si="9"/>
        <v>DELETE</v>
      </c>
      <c r="AL31" s="121" t="str">
        <f t="shared" si="10"/>
        <v>DELETE</v>
      </c>
      <c r="AM31" s="125" t="str" cm="1">
        <f t="array" ref="AM31">_xlfn.IFS(AJ31="DELETE", "DELETE", AJ31=0, 0, AJ31&gt;0,LOG10(AJ31))</f>
        <v>DELETE</v>
      </c>
      <c r="AN31" s="126" t="str" cm="1">
        <f t="array" ref="AN31">_xlfn.IFS(AJ31="DELETE", "DELETE", AJ31=0, 0, AJ31&gt;0, AL31/AJ31/LN(10))</f>
        <v>DELETE</v>
      </c>
      <c r="AO31" s="155">
        <f>qPCR_Raw!AA31</f>
        <v>29.193613052368164</v>
      </c>
      <c r="AP31" s="156" cm="1">
        <f t="array" ref="AP31">_xlfn.IFS(AO31="Undetermined", 0, qPCR_Raw!AB31&lt;=6, 0, qPCR_Raw!AB31&gt;6, qPCR_Raw!AB31)</f>
        <v>0</v>
      </c>
      <c r="AQ31" s="157">
        <f>qPCR_Raw!AD31</f>
        <v>31.795022964477539</v>
      </c>
      <c r="AR31" s="156" cm="1">
        <f t="array" ref="AR31">_xlfn.IFS(AQ31="Undetermined", 0, qPCR_Raw!AE31&lt;=6, 0, qPCR_Raw!AE31&gt;6, qPCR_Raw!AE31)</f>
        <v>0</v>
      </c>
      <c r="AS31" s="158" t="str" cm="1">
        <f t="array" ref="AS31">_xlfn.IFS(AND(AO31="Undetermined", AQ31="Undetermined"), "Undetermined", AND(AP31=0, AR31=0), "Undetermined", AND(AP31=0, AR31&gt;0), "Ten-Fold", AND(AP31&gt;0, AR31=0), "Undiluted", AND(AO31&lt;&gt;"Undetermined", AQ31&lt;&gt;"Undetermined", AP31&gt;0, AR31&gt;0, AO31&lt;&gt;AQ31), 100*(-1+10^(-1/(AO31-AQ31))), AND(AO31&lt;&gt;"Undetermined", AQ31&lt;&gt;"Undetermined", AO31=AQ31&gt;0), -100)</f>
        <v>Undetermined</v>
      </c>
      <c r="AT31" s="159" cm="1">
        <f t="array" ref="AT31">_xlfn.IFS(AS31="Undetermined", 0, AS31="Undiluted", AP31*$G31/$F31*1000, AS31="Ten-Fold", AR31*$G31/$F31*1000*10, AS31&lt;0, AR31*$G31/$F31*1000*10, AS31&lt;120, AP31*$G31/$F31*1000, AS31&gt;120, AR31*$G31/$F31*1000*10)</f>
        <v>0</v>
      </c>
      <c r="AU31" s="156" t="str">
        <f t="shared" si="11"/>
        <v>DELETE</v>
      </c>
      <c r="AV31" s="156" t="str">
        <f t="shared" si="12"/>
        <v>DELETE</v>
      </c>
      <c r="AW31" s="156" t="str">
        <f t="shared" si="13"/>
        <v>DELETE</v>
      </c>
      <c r="AX31" s="160" t="str" cm="1">
        <f t="array" ref="AX31">_xlfn.IFS(AU31="DELETE", "DELETE", AU31=0, 0, AU31&gt;0,LOG10(AU31))</f>
        <v>DELETE</v>
      </c>
      <c r="AY31" s="161" t="str" cm="1">
        <f t="array" ref="AY31">_xlfn.IFS(AU31="DELETE", "DELETE", AU31=0, 0, AU31&gt;0, AW31/AU31/LN(10))</f>
        <v>DELETE</v>
      </c>
      <c r="AZ31" s="120">
        <f>qPCR_Raw!AG31</f>
        <v>26.163885116577148</v>
      </c>
      <c r="BA31" s="121" cm="1">
        <f t="array" ref="BA31">_xlfn.IFS(AZ31="Undetermined", 0, qPCR_Raw!AH31&lt;=1, 0, qPCR_Raw!AH31&gt;1, qPCR_Raw!AH31)</f>
        <v>730.10333251953125</v>
      </c>
      <c r="BB31" s="122">
        <f>qPCR_Raw!AJ31</f>
        <v>30.192428588867188</v>
      </c>
      <c r="BC31" s="121" cm="1">
        <f t="array" ref="BC31">_xlfn.IFS(BB31="Undetermined", 0, qPCR_Raw!AK31&lt;=1, 0, qPCR_Raw!AK31&gt;1, qPCR_Raw!AK31)</f>
        <v>59.925457000732422</v>
      </c>
      <c r="BD31" s="123" cm="1">
        <f t="array" ref="BD31">_xlfn.IFS(AND(AZ31="Undetermined", BB31="Undetermined"), "Undetermined", AND(BA31=0, BC31=0), "Undetermined", AND(BA31=0, BC31&gt;0), "Ten-Fold", AND(BA31&gt;0, BC31=0), "Undiluted", AND(AZ31&lt;&gt;"Undetermined", BB31&lt;&gt;"Undetermined", BA31&gt;0, BC31&gt;0, AZ31&lt;&gt;BB31), 100*(-1+10^(-1/(AZ31-BB31))), AND(AZ31&lt;&gt;"Undetermined", BB31&lt;&gt;"Undetermined", AZ31=BB31&gt;0), -100)</f>
        <v>77.104123495686935</v>
      </c>
      <c r="BE31" s="124" cm="1">
        <f t="array" ref="BE31">_xlfn.IFS(BD31="Undetermined", 0, BD31="Undiluted", BA31*$G31/$F31*1000, BD31="Ten-Fold", BC31*$G31/$F31*1000*10, BD31&lt;0, BC31*$G31/$F31*1000*10, BD31&lt;120, BA31*$G31/$F31*1000, BD31&gt;120, BC31*$G31/$F31*1000*10)</f>
        <v>81122.592502170141</v>
      </c>
      <c r="BF31" s="121" t="str">
        <f t="shared" si="14"/>
        <v>DELETE</v>
      </c>
      <c r="BG31" s="121" t="str">
        <f t="shared" si="15"/>
        <v>DELETE</v>
      </c>
      <c r="BH31" s="121" t="str">
        <f t="shared" si="16"/>
        <v>DELETE</v>
      </c>
      <c r="BI31" s="125" t="str" cm="1">
        <f t="array" ref="BI31">_xlfn.IFS(BF31="DELETE", "DELETE", BF31=0, 0, BF31&gt;0,LOG10(BF31))</f>
        <v>DELETE</v>
      </c>
      <c r="BJ31" s="126" t="str" cm="1">
        <f t="array" ref="BJ31">_xlfn.IFS(BF31="DELETE", "DELETE", BF31=0, 0, BF31&gt;0, BH31/BF31/LN(10))</f>
        <v>DELETE</v>
      </c>
    </row>
    <row r="32" spans="1:62" s="114" customFormat="1" x14ac:dyDescent="0.3">
      <c r="A32" s="115" t="str">
        <f>UPPER(LEFT(SUBSTITUTE(SUBSTITUTE(qPCR_Raw!A32,"-","")," ",""),2))&amp;RIGHT(SUBSTITUTE(SUBSTITUTE(qPCR_Raw!A32,"-","")," ",""),LEN(SUBSTITUTE(SUBSTITUTE(qPCR_Raw!A32,"-","")," ",""))-2)</f>
        <v>RG6</v>
      </c>
      <c r="B32" s="116" t="str" cm="1">
        <f t="array" ref="B32">_xlfn.IFS(LEFT(A32, LEN(A32)-1)="EP", "EP", LEFT(A32, LEN(A32)-1)="STa", "SPI", LEFT(A32, LEN(A32)-1)="STb", "SPO", LEFT(A32, LEN(A32)-1)="MRT", "MRT", LEFT(A32, LEN(A32)-1)="RG", "RN", LEFT(A32, LEN(A32)-1)="RT", "RU", LEFT(A32, LEN(A32)-1)="RW", "RL", LEFT(A32, LEN(A32)-1)="RC", "RS")</f>
        <v>RN</v>
      </c>
      <c r="C32" s="117">
        <f>qPCR_Raw!B32</f>
        <v>44342</v>
      </c>
      <c r="D32" s="117" t="str">
        <f t="shared" si="0"/>
        <v>RN44342</v>
      </c>
      <c r="E32" s="117" t="str">
        <f t="shared" si="1"/>
        <v>RN443426</v>
      </c>
      <c r="F32" s="118">
        <f>qPCR_Raw!C32</f>
        <v>938</v>
      </c>
      <c r="G32" s="119">
        <f>qPCR_Raw!F32</f>
        <v>100</v>
      </c>
      <c r="H32" s="120">
        <f>qPCR_Raw!G32</f>
        <v>15.33519458770752</v>
      </c>
      <c r="I32" s="121" cm="1">
        <f t="array" ref="I32">_xlfn.IFS(H32="Undetermined", 0, qPCR_Raw!H32-qPCR_Raw!$H$242&lt;0, 0, qPCR_Raw!H32-qPCR_Raw!$H$242&gt;0, qPCR_Raw!H32-qPCR_Raw!$H$242)</f>
        <v>1449441.6114461264</v>
      </c>
      <c r="J32" s="122">
        <f>qPCR_Raw!K32</f>
        <v>18.14677619934082</v>
      </c>
      <c r="K32" s="121" cm="1">
        <f t="array" ref="K32">_xlfn.IFS(J32="Undetermined", 0, qPCR_Raw!L32-qPCR_Raw!$H$242&lt;0, 0, qPCR_Raw!L32-qPCR_Raw!$H$242&gt;0, qPCR_Raw!L32-qPCR_Raw!$H$242)</f>
        <v>217146.11144612631</v>
      </c>
      <c r="L32" s="123" cm="1">
        <f t="array" ref="L32">_xlfn.IFS(AND(H32="Undetermined", J32="Undetermined"), "Undetermined", AND(I32=0, K32=0), "Undetermined", AND(I32=0, K32&gt;0), "Ten-Fold", AND(I32&gt;0, K32=0), "Undiluted", AND(H32&lt;&gt;"Undetermined", J32&lt;&gt;"Undetermined", I32&gt;0, K32&gt;0), 100*(-1+10^(-1/(H32-J32))))</f>
        <v>126.81496002577775</v>
      </c>
      <c r="M32" s="124" cm="1">
        <f t="array" ref="M32">_xlfn.IFS(L32="Undetermined", 0, L32="Undiluted", I32*$G32/$F32*1000, L32="Ten-Fold", K32*$G32/$F32*1000*10, L32&lt;0, K32*$G32/$F32*1000*10, L32&lt;120, I32*$G32/$F32*1000, L32&gt;120, K32*$G32/$F32*1000*10)</f>
        <v>231499052.71442038</v>
      </c>
      <c r="N32" s="121">
        <f t="shared" si="2"/>
        <v>118565273.33576651</v>
      </c>
      <c r="O32" s="121">
        <f t="shared" si="3"/>
        <v>159712482.44734329</v>
      </c>
      <c r="P32" s="121">
        <f t="shared" si="4"/>
        <v>112933779.37865387</v>
      </c>
      <c r="Q32" s="125" cm="1">
        <f t="array" ref="Q32">_xlfn.IFS(N32="DELETE", "DELETE", N32=0, 0, N32&gt;0,LOG10(N32))</f>
        <v>8.0739575068438771</v>
      </c>
      <c r="R32" s="126" cm="1">
        <f t="array" ref="R32">_xlfn.IFS(N32="DELETE", "DELETE", N32=0, 0, N32&gt;0, P32/N32/LN(10))</f>
        <v>0.41366679993840327</v>
      </c>
      <c r="S32" s="155">
        <f>qPCR_Raw!O32</f>
        <v>28.489921569824219</v>
      </c>
      <c r="T32" s="156" cm="1">
        <f t="array" ref="T32">_xlfn.IFS(S32="Undetermined", 0, qPCR_Raw!P32&lt;=1, 0, qPCR_Raw!P32&gt;1, qPCR_Raw!P32)</f>
        <v>558.97955322265625</v>
      </c>
      <c r="U32" s="157">
        <f>qPCR_Raw!R32</f>
        <v>31.900190353393555</v>
      </c>
      <c r="V32" s="156" cm="1">
        <f t="array" ref="V32">_xlfn.IFS(U32="Undetermined", 0, qPCR_Raw!S32&lt;=1, 0, qPCR_Raw!S32&gt;1, qPCR_Raw!S32)</f>
        <v>49.305007934570313</v>
      </c>
      <c r="W32" s="158" cm="1">
        <f t="array" ref="W32">_xlfn.IFS(AND(S32="Undetermined", U32="Undetermined"), "Undetermined", AND(T32=0, V32=0), "Undetermined", AND(T32=0, V32&gt;0), "Ten-Fold", AND(T32&gt;0, V32=0), "Undiluted", AND(S32&lt;&gt;"Undetermined", U32&lt;&gt;"Undetermined", T32&gt;0, V32&gt;0, S32&lt;&gt;U32), 100*(-1+10^(-1/(S32-U32))), AND(S32&lt;&gt;"Undetermined", U32&lt;&gt;"Undetermined", S32=U32&gt;0), -100)</f>
        <v>96.440946854126423</v>
      </c>
      <c r="X32" s="159" cm="1">
        <f t="array" ref="X32">_xlfn.IFS(W32="Undetermined", 0, W32="Undiluted", T32*$G32/$F32*1000, W32="Ten-Fold", V32*$G32/$F32*1000*10, W32&lt;0, V32*$G32/$F32*1000*10, W32&lt;120, T32*$G32/$F32*1000, W32&gt;120, V32*$G32/$F32*1000*10)</f>
        <v>59592.702902202152</v>
      </c>
      <c r="Y32" s="156">
        <f t="shared" si="5"/>
        <v>38224.811381520994</v>
      </c>
      <c r="Z32" s="156">
        <f t="shared" si="6"/>
        <v>30218.761987864353</v>
      </c>
      <c r="AA32" s="156">
        <f t="shared" si="7"/>
        <v>21367.891520681158</v>
      </c>
      <c r="AB32" s="160" cm="1">
        <f t="array" ref="AB32">_xlfn.IFS(Y32="DELETE", "DELETE", Y32=0, 0, Y32&gt;0,LOG10(Y32))</f>
        <v>4.582345351084574</v>
      </c>
      <c r="AC32" s="161" cm="1">
        <f t="array" ref="AC32">_xlfn.IFS(Y32="DELETE", "DELETE", Y32=0, 0, Y32&gt;0, AA32/Y32/LN(10))</f>
        <v>0.24277313718349219</v>
      </c>
      <c r="AD32" s="120">
        <f>qPCR_Raw!U32</f>
        <v>25.413457870483398</v>
      </c>
      <c r="AE32" s="121" cm="1">
        <f t="array" ref="AE32">_xlfn.IFS(AD32="Undetermined", 0, qPCR_Raw!V32&lt;=1, 0, qPCR_Raw!V32&gt;1, qPCR_Raw!V32)</f>
        <v>595.39208984375</v>
      </c>
      <c r="AF32" s="122">
        <f>qPCR_Raw!X32</f>
        <v>28.820205688476563</v>
      </c>
      <c r="AG32" s="121" cm="1">
        <f t="array" ref="AG32">_xlfn.IFS(AF32="Undetermined", 0, qPCR_Raw!Y32&lt;=1, 0, qPCR_Raw!Y32&gt;1, qPCR_Raw!Y32)</f>
        <v>64.543922424316406</v>
      </c>
      <c r="AH32" s="123" cm="1">
        <f t="array" ref="AH32">_xlfn.IFS(AND(AD32="Undetermined", AF32="Undetermined"), "Undetermined", AND(AE32=0, AG32=0), "Undetermined", AND(AE32=0, AG32&gt;0), "Ten-Fold", AND(AE32&gt;0, AG32=0), "Undiluted", AND(AD32&lt;&gt;"Undetermined", AF32&lt;&gt;"Undetermined", AE32&gt;0, AG32&gt;0, AD32&lt;&gt;AF32), 100*(-1+10^(-1/(AD32-AF32))), AND(AD32&lt;&gt;"Undetermined", AF32&lt;&gt;"Undetermined", AD32=AF32&gt;0), -100)</f>
        <v>96.578076839870803</v>
      </c>
      <c r="AI32" s="124" cm="1">
        <f t="array" ref="AI32">_xlfn.IFS(AH32="Undetermined", 0, AH32="Undiluted", AE32*$G32/$F32*1000, AH32="Ten-Fold", AG32*$G32/$F32*1000*10, AH32&lt;0, AG32*$G32/$F32*1000*10, AH32&lt;120, AE32*$G32/$F32*1000, AH32&gt;120, AG32*$G32/$F32*1000*10)</f>
        <v>63474.636443896583</v>
      </c>
      <c r="AJ32" s="121">
        <f t="shared" si="8"/>
        <v>37924.813644311573</v>
      </c>
      <c r="AK32" s="121">
        <f t="shared" si="9"/>
        <v>36132.905919402438</v>
      </c>
      <c r="AL32" s="121">
        <f t="shared" si="10"/>
        <v>25549.822799585007</v>
      </c>
      <c r="AM32" s="125" cm="1">
        <f t="array" ref="AM32">_xlfn.IFS(AJ32="DELETE", "DELETE", AJ32=0, 0, AJ32&gt;0,LOG10(AJ32))</f>
        <v>4.5789234554193214</v>
      </c>
      <c r="AN32" s="126" cm="1">
        <f t="array" ref="AN32">_xlfn.IFS(AJ32="DELETE", "DELETE", AJ32=0, 0, AJ32&gt;0, AL32/AJ32/LN(10))</f>
        <v>0.29258277072984373</v>
      </c>
      <c r="AO32" s="155">
        <f>qPCR_Raw!AA32</f>
        <v>29.142656326293945</v>
      </c>
      <c r="AP32" s="156" cm="1">
        <f t="array" ref="AP32">_xlfn.IFS(AO32="Undetermined", 0, qPCR_Raw!AB32&lt;=6, 0, qPCR_Raw!AB32&gt;6, qPCR_Raw!AB32)</f>
        <v>0</v>
      </c>
      <c r="AQ32" s="157">
        <f>qPCR_Raw!AD32</f>
        <v>30.586751937866211</v>
      </c>
      <c r="AR32" s="156" cm="1">
        <f t="array" ref="AR32">_xlfn.IFS(AQ32="Undetermined", 0, qPCR_Raw!AE32&lt;=6, 0, qPCR_Raw!AE32&gt;6, qPCR_Raw!AE32)</f>
        <v>0</v>
      </c>
      <c r="AS32" s="158" t="str" cm="1">
        <f t="array" ref="AS32">_xlfn.IFS(AND(AO32="Undetermined", AQ32="Undetermined"), "Undetermined", AND(AP32=0, AR32=0), "Undetermined", AND(AP32=0, AR32&gt;0), "Ten-Fold", AND(AP32&gt;0, AR32=0), "Undiluted", AND(AO32&lt;&gt;"Undetermined", AQ32&lt;&gt;"Undetermined", AP32&gt;0, AR32&gt;0, AO32&lt;&gt;AQ32), 100*(-1+10^(-1/(AO32-AQ32))), AND(AO32&lt;&gt;"Undetermined", AQ32&lt;&gt;"Undetermined", AO32=AQ32&gt;0), -100)</f>
        <v>Undetermined</v>
      </c>
      <c r="AT32" s="159" cm="1">
        <f t="array" ref="AT32">_xlfn.IFS(AS32="Undetermined", 0, AS32="Undiluted", AP32*$G32/$F32*1000, AS32="Ten-Fold", AR32*$G32/$F32*1000*10, AS32&lt;0, AR32*$G32/$F32*1000*10, AS32&lt;120, AP32*$G32/$F32*1000, AS32&gt;120, AR32*$G32/$F32*1000*10)</f>
        <v>0</v>
      </c>
      <c r="AU32" s="156">
        <f t="shared" si="11"/>
        <v>0</v>
      </c>
      <c r="AV32" s="156">
        <f t="shared" si="12"/>
        <v>0</v>
      </c>
      <c r="AW32" s="156">
        <f t="shared" si="13"/>
        <v>0</v>
      </c>
      <c r="AX32" s="160" cm="1">
        <f t="array" ref="AX32">_xlfn.IFS(AU32="DELETE", "DELETE", AU32=0, 0, AU32&gt;0,LOG10(AU32))</f>
        <v>0</v>
      </c>
      <c r="AY32" s="161" cm="1">
        <f t="array" ref="AY32">_xlfn.IFS(AU32="DELETE", "DELETE", AU32=0, 0, AU32&gt;0, AW32/AU32/LN(10))</f>
        <v>0</v>
      </c>
      <c r="AZ32" s="120">
        <f>qPCR_Raw!AG32</f>
        <v>21.241935729980469</v>
      </c>
      <c r="BA32" s="121" cm="1">
        <f t="array" ref="BA32">_xlfn.IFS(AZ32="Undetermined", 0, qPCR_Raw!AH32&lt;=1, 0, qPCR_Raw!AH32&gt;1, qPCR_Raw!AH32)</f>
        <v>15486.3134765625</v>
      </c>
      <c r="BB32" s="122">
        <f>qPCR_Raw!AJ32</f>
        <v>24.444784164428711</v>
      </c>
      <c r="BC32" s="121" cm="1">
        <f t="array" ref="BC32">_xlfn.IFS(BB32="Undetermined", 0, qPCR_Raw!AK32&lt;=1, 0, qPCR_Raw!AK32&gt;1, qPCR_Raw!AK32)</f>
        <v>2121.8583984375</v>
      </c>
      <c r="BD32" s="123" cm="1">
        <f t="array" ref="BD32">_xlfn.IFS(AND(AZ32="Undetermined", BB32="Undetermined"), "Undetermined", AND(BA32=0, BC32=0), "Undetermined", AND(BA32=0, BC32&gt;0), "Ten-Fold", AND(BA32&gt;0, BC32=0), "Undiluted", AND(AZ32&lt;&gt;"Undetermined", BB32&lt;&gt;"Undetermined", BA32&gt;0, BC32&gt;0, AZ32&lt;&gt;BB32), 100*(-1+10^(-1/(AZ32-BB32))), AND(AZ32&lt;&gt;"Undetermined", BB32&lt;&gt;"Undetermined", AZ32=BB32&gt;0), -100)</f>
        <v>105.22113252477379</v>
      </c>
      <c r="BE32" s="124" cm="1">
        <f t="array" ref="BE32">_xlfn.IFS(BD32="Undetermined", 0, BD32="Undiluted", BA32*$G32/$F32*1000, BD32="Ten-Fold", BC32*$G32/$F32*1000*10, BD32&lt;0, BC32*$G32/$F32*1000*10, BD32&lt;120, BA32*$G32/$F32*1000, BD32&gt;120, BC32*$G32/$F32*1000*10)</f>
        <v>1650992.9079490937</v>
      </c>
      <c r="BF32" s="121">
        <f t="shared" si="14"/>
        <v>872700.43957024999</v>
      </c>
      <c r="BG32" s="121">
        <f t="shared" si="15"/>
        <v>1100671.7642741941</v>
      </c>
      <c r="BH32" s="121">
        <f t="shared" si="16"/>
        <v>778292.46837884374</v>
      </c>
      <c r="BI32" s="125" cm="1">
        <f t="array" ref="BI32">_xlfn.IFS(BF32="DELETE", "DELETE", BF32=0, 0, BF32&gt;0,LOG10(BF32))</f>
        <v>5.9408651947164479</v>
      </c>
      <c r="BJ32" s="126" cm="1">
        <f t="array" ref="BJ32">_xlfn.IFS(BF32="DELETE", "DELETE", BF32=0, 0, BF32&gt;0, BH32/BF32/LN(10))</f>
        <v>0.3873128842357873</v>
      </c>
    </row>
    <row r="33" spans="1:62" s="114" customFormat="1" x14ac:dyDescent="0.3">
      <c r="A33" s="115" t="str">
        <f>UPPER(LEFT(SUBSTITUTE(SUBSTITUTE(qPCR_Raw!A33,"-","")," ",""),2))&amp;RIGHT(SUBSTITUTE(SUBSTITUTE(qPCR_Raw!A33,"-","")," ",""),LEN(SUBSTITUTE(SUBSTITUTE(qPCR_Raw!A33,"-","")," ",""))-2)</f>
        <v>RG7</v>
      </c>
      <c r="B33" s="116" t="str" cm="1">
        <f t="array" ref="B33">_xlfn.IFS(LEFT(A33, LEN(A33)-1)="EP", "EP", LEFT(A33, LEN(A33)-1)="STa", "SPI", LEFT(A33, LEN(A33)-1)="STb", "SPO", LEFT(A33, LEN(A33)-1)="MRT", "MRT", LEFT(A33, LEN(A33)-1)="RG", "RN", LEFT(A33, LEN(A33)-1)="RT", "RU", LEFT(A33, LEN(A33)-1)="RW", "RL", LEFT(A33, LEN(A33)-1)="RC", "RS")</f>
        <v>RN</v>
      </c>
      <c r="C33" s="117">
        <f>qPCR_Raw!B33</f>
        <v>44342</v>
      </c>
      <c r="D33" s="117" t="str">
        <f t="shared" si="0"/>
        <v>RN44342</v>
      </c>
      <c r="E33" s="117" t="str">
        <f t="shared" si="1"/>
        <v>RN443427</v>
      </c>
      <c r="F33" s="118">
        <f>qPCR_Raw!C33</f>
        <v>1000</v>
      </c>
      <c r="G33" s="119">
        <f>qPCR_Raw!F33</f>
        <v>100</v>
      </c>
      <c r="H33" s="120">
        <f>qPCR_Raw!G33</f>
        <v>19.971630096435547</v>
      </c>
      <c r="I33" s="121" cm="1">
        <f t="array" ref="I33">_xlfn.IFS(H33="Undetermined", 0, qPCR_Raw!H33-qPCR_Raw!$H$242&lt;0, 0, qPCR_Raw!H33-qPCR_Raw!$H$242&gt;0, qPCR_Raw!H33-qPCR_Raw!$H$242)</f>
        <v>56314.939571126306</v>
      </c>
      <c r="J33" s="122">
        <f>qPCR_Raw!K33</f>
        <v>23.945396423339844</v>
      </c>
      <c r="K33" s="121" cm="1">
        <f t="array" ref="K33">_xlfn.IFS(J33="Undetermined", 0, qPCR_Raw!L33-qPCR_Raw!$H$242&lt;0, 0, qPCR_Raw!L33-qPCR_Raw!$H$242&gt;0, qPCR_Raw!L33-qPCR_Raw!$H$242)</f>
        <v>0</v>
      </c>
      <c r="L33" s="123" t="str" cm="1">
        <f t="array" ref="L33">_xlfn.IFS(AND(H33="Undetermined", J33="Undetermined"), "Undetermined", AND(I33=0, K33=0), "Undetermined", AND(I33=0, K33&gt;0), "Ten-Fold", AND(I33&gt;0, K33=0), "Undiluted", AND(H33&lt;&gt;"Undetermined", J33&lt;&gt;"Undetermined", I33&gt;0, K33&gt;0), 100*(-1+10^(-1/(H33-J33))))</f>
        <v>Undiluted</v>
      </c>
      <c r="M33" s="124" cm="1">
        <f t="array" ref="M33">_xlfn.IFS(L33="Undetermined", 0, L33="Undiluted", I33*$G33/$F33*1000, L33="Ten-Fold", K33*$G33/$F33*1000*10, L33&lt;0, K33*$G33/$F33*1000*10, L33&lt;120, I33*$G33/$F33*1000, L33&gt;120, K33*$G33/$F33*1000*10)</f>
        <v>5631493.9571126308</v>
      </c>
      <c r="N33" s="121" t="str">
        <f t="shared" si="2"/>
        <v>DELETE</v>
      </c>
      <c r="O33" s="121" t="str">
        <f t="shared" si="3"/>
        <v>DELETE</v>
      </c>
      <c r="P33" s="121" t="str">
        <f t="shared" si="4"/>
        <v>DELETE</v>
      </c>
      <c r="Q33" s="125" t="str" cm="1">
        <f t="array" ref="Q33">_xlfn.IFS(N33="DELETE", "DELETE", N33=0, 0, N33&gt;0,LOG10(N33))</f>
        <v>DELETE</v>
      </c>
      <c r="R33" s="126" t="str" cm="1">
        <f t="array" ref="R33">_xlfn.IFS(N33="DELETE", "DELETE", N33=0, 0, N33&gt;0, P33/N33/LN(10))</f>
        <v>DELETE</v>
      </c>
      <c r="S33" s="155">
        <f>qPCR_Raw!O33</f>
        <v>30.173599243164063</v>
      </c>
      <c r="T33" s="156" cm="1">
        <f t="array" ref="T33">_xlfn.IFS(S33="Undetermined", 0, qPCR_Raw!P33&lt;=1, 0, qPCR_Raw!P33&gt;1, qPCR_Raw!P33)</f>
        <v>168.56919860839844</v>
      </c>
      <c r="U33" s="157">
        <f>qPCR_Raw!R33</f>
        <v>33.907756805419922</v>
      </c>
      <c r="V33" s="156" cm="1">
        <f t="array" ref="V33">_xlfn.IFS(U33="Undetermined", 0, qPCR_Raw!S33&lt;=1, 0, qPCR_Raw!S33&gt;1, qPCR_Raw!S33)</f>
        <v>11.806528091430664</v>
      </c>
      <c r="W33" s="158" cm="1">
        <f t="array" ref="W33">_xlfn.IFS(AND(S33="Undetermined", U33="Undetermined"), "Undetermined", AND(T33=0, V33=0), "Undetermined", AND(T33=0, V33&gt;0), "Ten-Fold", AND(T33&gt;0, V33=0), "Undiluted", AND(S33&lt;&gt;"Undetermined", U33&lt;&gt;"Undetermined", T33&gt;0, V33&gt;0, S33&lt;&gt;U33), 100*(-1+10^(-1/(S33-U33))), AND(S33&lt;&gt;"Undetermined", U33&lt;&gt;"Undetermined", S33=U33&gt;0), -100)</f>
        <v>85.266978875245144</v>
      </c>
      <c r="X33" s="159" cm="1">
        <f t="array" ref="X33">_xlfn.IFS(W33="Undetermined", 0, W33="Undiluted", T33*$G33/$F33*1000, W33="Ten-Fold", V33*$G33/$F33*1000*10, W33&lt;0, V33*$G33/$F33*1000*10, W33&lt;120, T33*$G33/$F33*1000, W33&gt;120, V33*$G33/$F33*1000*10)</f>
        <v>16856.919860839844</v>
      </c>
      <c r="Y33" s="156" t="str">
        <f t="shared" si="5"/>
        <v>DELETE</v>
      </c>
      <c r="Z33" s="156" t="str">
        <f t="shared" si="6"/>
        <v>DELETE</v>
      </c>
      <c r="AA33" s="156" t="str">
        <f t="shared" si="7"/>
        <v>DELETE</v>
      </c>
      <c r="AB33" s="160" t="str" cm="1">
        <f t="array" ref="AB33">_xlfn.IFS(Y33="DELETE", "DELETE", Y33=0, 0, Y33&gt;0,LOG10(Y33))</f>
        <v>DELETE</v>
      </c>
      <c r="AC33" s="161" t="str" cm="1">
        <f t="array" ref="AC33">_xlfn.IFS(Y33="DELETE", "DELETE", Y33=0, 0, Y33&gt;0, AA33/Y33/LN(10))</f>
        <v>DELETE</v>
      </c>
      <c r="AD33" s="120">
        <f>qPCR_Raw!U33</f>
        <v>27.822170257568359</v>
      </c>
      <c r="AE33" s="121" cm="1">
        <f t="array" ref="AE33">_xlfn.IFS(AD33="Undetermined", 0, qPCR_Raw!V33&lt;=1, 0, qPCR_Raw!V33&gt;1, qPCR_Raw!V33)</f>
        <v>123.74990844726563</v>
      </c>
      <c r="AF33" s="122">
        <f>qPCR_Raw!X33</f>
        <v>32.917861938476563</v>
      </c>
      <c r="AG33" s="121" cm="1">
        <f t="array" ref="AG33">_xlfn.IFS(AF33="Undetermined", 0, qPCR_Raw!Y33&lt;=1, 0, qPCR_Raw!Y33&gt;1, qPCR_Raw!Y33)</f>
        <v>4.4587240219116211</v>
      </c>
      <c r="AH33" s="123" cm="1">
        <f t="array" ref="AH33">_xlfn.IFS(AND(AD33="Undetermined", AF33="Undetermined"), "Undetermined", AND(AE33=0, AG33=0), "Undetermined", AND(AE33=0, AG33&gt;0), "Ten-Fold", AND(AE33&gt;0, AG33=0), "Undiluted", AND(AD33&lt;&gt;"Undetermined", AF33&lt;&gt;"Undetermined", AE33&gt;0, AG33&gt;0, AD33&lt;&gt;AF33), 100*(-1+10^(-1/(AD33-AF33))), AND(AD33&lt;&gt;"Undetermined", AF33&lt;&gt;"Undetermined", AD33=AF33&gt;0), -100)</f>
        <v>57.124609841254561</v>
      </c>
      <c r="AI33" s="124" cm="1">
        <f t="array" ref="AI33">_xlfn.IFS(AH33="Undetermined", 0, AH33="Undiluted", AE33*$G33/$F33*1000, AH33="Ten-Fold", AG33*$G33/$F33*1000*10, AH33&lt;0, AG33*$G33/$F33*1000*10, AH33&lt;120, AE33*$G33/$F33*1000, AH33&gt;120, AG33*$G33/$F33*1000*10)</f>
        <v>12374.990844726563</v>
      </c>
      <c r="AJ33" s="121" t="str">
        <f t="shared" si="8"/>
        <v>DELETE</v>
      </c>
      <c r="AK33" s="121" t="str">
        <f t="shared" si="9"/>
        <v>DELETE</v>
      </c>
      <c r="AL33" s="121" t="str">
        <f t="shared" si="10"/>
        <v>DELETE</v>
      </c>
      <c r="AM33" s="125" t="str" cm="1">
        <f t="array" ref="AM33">_xlfn.IFS(AJ33="DELETE", "DELETE", AJ33=0, 0, AJ33&gt;0,LOG10(AJ33))</f>
        <v>DELETE</v>
      </c>
      <c r="AN33" s="126" t="str" cm="1">
        <f t="array" ref="AN33">_xlfn.IFS(AJ33="DELETE", "DELETE", AJ33=0, 0, AJ33&gt;0, AL33/AJ33/LN(10))</f>
        <v>DELETE</v>
      </c>
      <c r="AO33" s="155" t="str">
        <f>qPCR_Raw!AA33</f>
        <v>Undetermined</v>
      </c>
      <c r="AP33" s="156" cm="1">
        <f t="array" ref="AP33">_xlfn.IFS(AO33="Undetermined", 0, qPCR_Raw!AB33&lt;=6, 0, qPCR_Raw!AB33&gt;6, qPCR_Raw!AB33)</f>
        <v>0</v>
      </c>
      <c r="AQ33" s="157" t="str">
        <f>qPCR_Raw!AD33</f>
        <v>Undetermined</v>
      </c>
      <c r="AR33" s="156" cm="1">
        <f t="array" ref="AR33">_xlfn.IFS(AQ33="Undetermined", 0, qPCR_Raw!AE33&lt;=6, 0, qPCR_Raw!AE33&gt;6, qPCR_Raw!AE33)</f>
        <v>0</v>
      </c>
      <c r="AS33" s="158" t="str" cm="1">
        <f t="array" ref="AS33">_xlfn.IFS(AND(AO33="Undetermined", AQ33="Undetermined"), "Undetermined", AND(AP33=0, AR33=0), "Undetermined", AND(AP33=0, AR33&gt;0), "Ten-Fold", AND(AP33&gt;0, AR33=0), "Undiluted", AND(AO33&lt;&gt;"Undetermined", AQ33&lt;&gt;"Undetermined", AP33&gt;0, AR33&gt;0, AO33&lt;&gt;AQ33), 100*(-1+10^(-1/(AO33-AQ33))), AND(AO33&lt;&gt;"Undetermined", AQ33&lt;&gt;"Undetermined", AO33=AQ33&gt;0), -100)</f>
        <v>Undetermined</v>
      </c>
      <c r="AT33" s="159" cm="1">
        <f t="array" ref="AT33">_xlfn.IFS(AS33="Undetermined", 0, AS33="Undiluted", AP33*$G33/$F33*1000, AS33="Ten-Fold", AR33*$G33/$F33*1000*10, AS33&lt;0, AR33*$G33/$F33*1000*10, AS33&lt;120, AP33*$G33/$F33*1000, AS33&gt;120, AR33*$G33/$F33*1000*10)</f>
        <v>0</v>
      </c>
      <c r="AU33" s="156" t="str">
        <f t="shared" si="11"/>
        <v>DELETE</v>
      </c>
      <c r="AV33" s="156" t="str">
        <f t="shared" si="12"/>
        <v>DELETE</v>
      </c>
      <c r="AW33" s="156" t="str">
        <f t="shared" si="13"/>
        <v>DELETE</v>
      </c>
      <c r="AX33" s="160" t="str" cm="1">
        <f t="array" ref="AX33">_xlfn.IFS(AU33="DELETE", "DELETE", AU33=0, 0, AU33&gt;0,LOG10(AU33))</f>
        <v>DELETE</v>
      </c>
      <c r="AY33" s="161" t="str" cm="1">
        <f t="array" ref="AY33">_xlfn.IFS(AU33="DELETE", "DELETE", AU33=0, 0, AU33&gt;0, AW33/AU33/LN(10))</f>
        <v>DELETE</v>
      </c>
      <c r="AZ33" s="120">
        <f>qPCR_Raw!AG33</f>
        <v>25.749725341796875</v>
      </c>
      <c r="BA33" s="121" cm="1">
        <f t="array" ref="BA33">_xlfn.IFS(AZ33="Undetermined", 0, qPCR_Raw!AH33&lt;=1, 0, qPCR_Raw!AH33&gt;1, qPCR_Raw!AH33)</f>
        <v>944.0797119140625</v>
      </c>
      <c r="BB33" s="122">
        <f>qPCR_Raw!AJ33</f>
        <v>32.4718017578125</v>
      </c>
      <c r="BC33" s="121" cm="1">
        <f t="array" ref="BC33">_xlfn.IFS(BB33="Undetermined", 0, qPCR_Raw!AK33&lt;=1, 0, qPCR_Raw!AK33&gt;1, qPCR_Raw!AK33)</f>
        <v>14.563800811767578</v>
      </c>
      <c r="BD33" s="123" cm="1">
        <f t="array" ref="BD33">_xlfn.IFS(AND(AZ33="Undetermined", BB33="Undetermined"), "Undetermined", AND(BA33=0, BC33=0), "Undetermined", AND(BA33=0, BC33&gt;0), "Ten-Fold", AND(BA33&gt;0, BC33=0), "Undiluted", AND(AZ33&lt;&gt;"Undetermined", BB33&lt;&gt;"Undetermined", BA33&gt;0, BC33&gt;0, AZ33&lt;&gt;BB33), 100*(-1+10^(-1/(AZ33-BB33))), AND(AZ33&lt;&gt;"Undetermined", BB33&lt;&gt;"Undetermined", AZ33=BB33&gt;0), -100)</f>
        <v>40.85217488938757</v>
      </c>
      <c r="BE33" s="124" cm="1">
        <f t="array" ref="BE33">_xlfn.IFS(BD33="Undetermined", 0, BD33="Undiluted", BA33*$G33/$F33*1000, BD33="Ten-Fold", BC33*$G33/$F33*1000*10, BD33&lt;0, BC33*$G33/$F33*1000*10, BD33&lt;120, BA33*$G33/$F33*1000, BD33&gt;120, BC33*$G33/$F33*1000*10)</f>
        <v>94407.97119140625</v>
      </c>
      <c r="BF33" s="121" t="str">
        <f t="shared" si="14"/>
        <v>DELETE</v>
      </c>
      <c r="BG33" s="121" t="str">
        <f t="shared" si="15"/>
        <v>DELETE</v>
      </c>
      <c r="BH33" s="121" t="str">
        <f t="shared" si="16"/>
        <v>DELETE</v>
      </c>
      <c r="BI33" s="125" t="str" cm="1">
        <f t="array" ref="BI33">_xlfn.IFS(BF33="DELETE", "DELETE", BF33=0, 0, BF33&gt;0,LOG10(BF33))</f>
        <v>DELETE</v>
      </c>
      <c r="BJ33" s="126" t="str" cm="1">
        <f t="array" ref="BJ33">_xlfn.IFS(BF33="DELETE", "DELETE", BF33=0, 0, BF33&gt;0, BH33/BF33/LN(10))</f>
        <v>DELETE</v>
      </c>
    </row>
    <row r="34" spans="1:62" s="114" customFormat="1" x14ac:dyDescent="0.3">
      <c r="A34" s="115" t="str">
        <f>UPPER(LEFT(SUBSTITUTE(SUBSTITUTE(qPCR_Raw!A34,"-","")," ",""),2))&amp;RIGHT(SUBSTITUTE(SUBSTITUTE(qPCR_Raw!A34,"-","")," ",""),LEN(SUBSTITUTE(SUBSTITUTE(qPCR_Raw!A34,"-","")," ",""))-2)</f>
        <v>STa6</v>
      </c>
      <c r="B34" s="116" t="str" cm="1">
        <f t="array" ref="B34">_xlfn.IFS(LEFT(A34, LEN(A34)-1)="EP", "EP", LEFT(A34, LEN(A34)-1)="STa", "SPI", LEFT(A34, LEN(A34)-1)="STb", "SPO", LEFT(A34, LEN(A34)-1)="MRT", "MRT", LEFT(A34, LEN(A34)-1)="RG", "RN", LEFT(A34, LEN(A34)-1)="RT", "RU", LEFT(A34, LEN(A34)-1)="RW", "RL", LEFT(A34, LEN(A34)-1)="RC", "RS")</f>
        <v>SPI</v>
      </c>
      <c r="C34" s="117">
        <f>qPCR_Raw!B34</f>
        <v>44342</v>
      </c>
      <c r="D34" s="117" t="str">
        <f t="shared" si="0"/>
        <v>SPI44342</v>
      </c>
      <c r="E34" s="117" t="str">
        <f t="shared" si="1"/>
        <v>SPI443426</v>
      </c>
      <c r="F34" s="118">
        <f>qPCR_Raw!C34</f>
        <v>962</v>
      </c>
      <c r="G34" s="119">
        <f>qPCR_Raw!F34</f>
        <v>100</v>
      </c>
      <c r="H34" s="120">
        <f>qPCR_Raw!G34</f>
        <v>18.226961135864258</v>
      </c>
      <c r="I34" s="121" cm="1">
        <f t="array" ref="I34">_xlfn.IFS(H34="Undetermined", 0, qPCR_Raw!H34-qPCR_Raw!$H$242&lt;0, 0, qPCR_Raw!H34-qPCR_Raw!$H$242&gt;0, qPCR_Raw!H34-qPCR_Raw!$H$242)</f>
        <v>205323.90832112631</v>
      </c>
      <c r="J34" s="122">
        <f>qPCR_Raw!K34</f>
        <v>22.274192810058594</v>
      </c>
      <c r="K34" s="121" cm="1">
        <f t="array" ref="K34">_xlfn.IFS(J34="Undetermined", 0, qPCR_Raw!L34-qPCR_Raw!$H$242&lt;0, 0, qPCR_Raw!L34-qPCR_Raw!$H$242&gt;0, qPCR_Raw!L34-qPCR_Raw!$H$242)</f>
        <v>2258.3145711263023</v>
      </c>
      <c r="L34" s="123" cm="1">
        <f t="array" ref="L34">_xlfn.IFS(AND(H34="Undetermined", J34="Undetermined"), "Undetermined", AND(I34=0, K34=0), "Undetermined", AND(I34=0, K34&gt;0), "Ten-Fold", AND(I34&gt;0, K34=0), "Undiluted", AND(H34&lt;&gt;"Undetermined", J34&lt;&gt;"Undetermined", I34&gt;0, K34&gt;0), 100*(-1+10^(-1/(H34-J34))))</f>
        <v>76.637321413990406</v>
      </c>
      <c r="M34" s="124" cm="1">
        <f t="array" ref="M34">_xlfn.IFS(L34="Undetermined", 0, L34="Undiluted", I34*$G34/$F34*1000, L34="Ten-Fold", K34*$G34/$F34*1000*10, L34&lt;0, K34*$G34/$F34*1000*10, L34&lt;120, I34*$G34/$F34*1000, L34&gt;120, K34*$G34/$F34*1000*10)</f>
        <v>21343441.613422692</v>
      </c>
      <c r="N34" s="121">
        <f t="shared" si="2"/>
        <v>25778658.584579062</v>
      </c>
      <c r="O34" s="121">
        <f t="shared" si="3"/>
        <v>6272343.9926766613</v>
      </c>
      <c r="P34" s="121">
        <f t="shared" si="4"/>
        <v>4435216.9711563718</v>
      </c>
      <c r="Q34" s="125" cm="1">
        <f t="array" ref="Q34">_xlfn.IFS(N34="DELETE", "DELETE", N34=0, 0, N34&gt;0,LOG10(N34))</f>
        <v>7.4112603147058156</v>
      </c>
      <c r="R34" s="126" cm="1">
        <f t="array" ref="R34">_xlfn.IFS(N34="DELETE", "DELETE", N34=0, 0, N34&gt;0, P34/N34/LN(10))</f>
        <v>7.4720344749401507E-2</v>
      </c>
      <c r="S34" s="155">
        <f>qPCR_Raw!O34</f>
        <v>28.851860046386719</v>
      </c>
      <c r="T34" s="156" cm="1">
        <f t="array" ref="T34">_xlfn.IFS(S34="Undetermined", 0, qPCR_Raw!P34&lt;=1, 0, qPCR_Raw!P34&gt;1, qPCR_Raw!P34)</f>
        <v>431.99554443359375</v>
      </c>
      <c r="U34" s="157">
        <f>qPCR_Raw!R34</f>
        <v>32.204208374023438</v>
      </c>
      <c r="V34" s="156" cm="1">
        <f t="array" ref="V34">_xlfn.IFS(U34="Undetermined", 0, qPCR_Raw!S34&lt;=1, 0, qPCR_Raw!S34&gt;1, qPCR_Raw!S34)</f>
        <v>39.708568572998047</v>
      </c>
      <c r="W34" s="158" cm="1">
        <f t="array" ref="W34">_xlfn.IFS(AND(S34="Undetermined", U34="Undetermined"), "Undetermined", AND(T34=0, V34=0), "Undetermined", AND(T34=0, V34&gt;0), "Ten-Fold", AND(T34&gt;0, V34=0), "Undiluted", AND(S34&lt;&gt;"Undetermined", U34&lt;&gt;"Undetermined", T34&gt;0, V34&gt;0, S34&lt;&gt;U34), 100*(-1+10^(-1/(S34-U34))), AND(S34&lt;&gt;"Undetermined", U34&lt;&gt;"Undetermined", S34=U34&gt;0), -100)</f>
        <v>98.745982063934676</v>
      </c>
      <c r="X34" s="159" cm="1">
        <f t="array" ref="X34">_xlfn.IFS(W34="Undetermined", 0, W34="Undiluted", T34*$G34/$F34*1000, W34="Ten-Fold", V34*$G34/$F34*1000*10, W34&lt;0, V34*$G34/$F34*1000*10, W34&lt;120, T34*$G34/$F34*1000, W34&gt;120, V34*$G34/$F34*1000*10)</f>
        <v>44905.981749853825</v>
      </c>
      <c r="Y34" s="156">
        <f t="shared" si="5"/>
        <v>71430.420269980386</v>
      </c>
      <c r="Z34" s="156">
        <f t="shared" si="6"/>
        <v>37511.220689494359</v>
      </c>
      <c r="AA34" s="156">
        <f t="shared" si="7"/>
        <v>26524.43852012658</v>
      </c>
      <c r="AB34" s="160" cm="1">
        <f t="array" ref="AB34">_xlfn.IFS(Y34="DELETE", "DELETE", Y34=0, 0, Y34&gt;0,LOG10(Y34))</f>
        <v>4.8538832053589882</v>
      </c>
      <c r="AC34" s="161" cm="1">
        <f t="array" ref="AC34">_xlfn.IFS(Y34="DELETE", "DELETE", Y34=0, 0, Y34&gt;0, AA34/Y34/LN(10))</f>
        <v>0.16126766777143298</v>
      </c>
      <c r="AD34" s="120">
        <f>qPCR_Raw!U34</f>
        <v>32.000679016113281</v>
      </c>
      <c r="AE34" s="121" cm="1">
        <f t="array" ref="AE34">_xlfn.IFS(AD34="Undetermined", 0, qPCR_Raw!V34&lt;=1, 0, qPCR_Raw!V34&gt;1, qPCR_Raw!V34)</f>
        <v>8.1095924377441406</v>
      </c>
      <c r="AF34" s="122">
        <f>qPCR_Raw!X34</f>
        <v>35.716815948486328</v>
      </c>
      <c r="AG34" s="121" cm="1">
        <f t="array" ref="AG34">_xlfn.IFS(AF34="Undetermined", 0, qPCR_Raw!Y34&lt;=1, 0, qPCR_Raw!Y34&gt;1, qPCR_Raw!Y34)</f>
        <v>0</v>
      </c>
      <c r="AH34" s="123" t="str" cm="1">
        <f t="array" ref="AH34">_xlfn.IFS(AND(AD34="Undetermined", AF34="Undetermined"), "Undetermined", AND(AE34=0, AG34=0), "Undetermined", AND(AE34=0, AG34&gt;0), "Ten-Fold", AND(AE34&gt;0, AG34=0), "Undiluted", AND(AD34&lt;&gt;"Undetermined", AF34&lt;&gt;"Undetermined", AE34&gt;0, AG34&gt;0, AD34&lt;&gt;AF34), 100*(-1+10^(-1/(AD34-AF34))), AND(AD34&lt;&gt;"Undetermined", AF34&lt;&gt;"Undetermined", AD34=AF34&gt;0), -100)</f>
        <v>Undiluted</v>
      </c>
      <c r="AI34" s="124" cm="1">
        <f t="array" ref="AI34">_xlfn.IFS(AH34="Undetermined", 0, AH34="Undiluted", AE34*$G34/$F34*1000, AH34="Ten-Fold", AG34*$G34/$F34*1000*10, AH34&lt;0, AG34*$G34/$F34*1000*10, AH34&lt;120, AE34*$G34/$F34*1000, AH34&gt;120, AG34*$G34/$F34*1000*10)</f>
        <v>842.99297689648029</v>
      </c>
      <c r="AJ34" s="121">
        <f t="shared" si="8"/>
        <v>421.49648844824014</v>
      </c>
      <c r="AK34" s="121">
        <f t="shared" si="9"/>
        <v>596.08605045613581</v>
      </c>
      <c r="AL34" s="121">
        <f t="shared" si="10"/>
        <v>421.49648844824014</v>
      </c>
      <c r="AM34" s="125" cm="1">
        <f t="array" ref="AM34">_xlfn.IFS(AJ34="DELETE", "DELETE", AJ34=0, 0, AJ34&gt;0,LOG10(AJ34))</f>
        <v>2.6247939608020308</v>
      </c>
      <c r="AN34" s="126" cm="1">
        <f t="array" ref="AN34">_xlfn.IFS(AJ34="DELETE", "DELETE", AJ34=0, 0, AJ34&gt;0, AL34/AJ34/LN(10))</f>
        <v>0.43429448190325176</v>
      </c>
      <c r="AO34" s="155" t="str">
        <f>qPCR_Raw!AA34</f>
        <v>Undetermined</v>
      </c>
      <c r="AP34" s="156" cm="1">
        <f t="array" ref="AP34">_xlfn.IFS(AO34="Undetermined", 0, qPCR_Raw!AB34&lt;=6, 0, qPCR_Raw!AB34&gt;6, qPCR_Raw!AB34)</f>
        <v>0</v>
      </c>
      <c r="AQ34" s="157" t="str">
        <f>qPCR_Raw!AD34</f>
        <v>Undetermined</v>
      </c>
      <c r="AR34" s="156" cm="1">
        <f t="array" ref="AR34">_xlfn.IFS(AQ34="Undetermined", 0, qPCR_Raw!AE34&lt;=6, 0, qPCR_Raw!AE34&gt;6, qPCR_Raw!AE34)</f>
        <v>0</v>
      </c>
      <c r="AS34" s="158" t="str" cm="1">
        <f t="array" ref="AS34">_xlfn.IFS(AND(AO34="Undetermined", AQ34="Undetermined"), "Undetermined", AND(AP34=0, AR34=0), "Undetermined", AND(AP34=0, AR34&gt;0), "Ten-Fold", AND(AP34&gt;0, AR34=0), "Undiluted", AND(AO34&lt;&gt;"Undetermined", AQ34&lt;&gt;"Undetermined", AP34&gt;0, AR34&gt;0, AO34&lt;&gt;AQ34), 100*(-1+10^(-1/(AO34-AQ34))), AND(AO34&lt;&gt;"Undetermined", AQ34&lt;&gt;"Undetermined", AO34=AQ34&gt;0), -100)</f>
        <v>Undetermined</v>
      </c>
      <c r="AT34" s="159" cm="1">
        <f t="array" ref="AT34">_xlfn.IFS(AS34="Undetermined", 0, AS34="Undiluted", AP34*$G34/$F34*1000, AS34="Ten-Fold", AR34*$G34/$F34*1000*10, AS34&lt;0, AR34*$G34/$F34*1000*10, AS34&lt;120, AP34*$G34/$F34*1000, AS34&gt;120, AR34*$G34/$F34*1000*10)</f>
        <v>0</v>
      </c>
      <c r="AU34" s="156">
        <f t="shared" si="11"/>
        <v>0</v>
      </c>
      <c r="AV34" s="156">
        <f t="shared" si="12"/>
        <v>0</v>
      </c>
      <c r="AW34" s="156">
        <f t="shared" si="13"/>
        <v>0</v>
      </c>
      <c r="AX34" s="160" cm="1">
        <f t="array" ref="AX34">_xlfn.IFS(AU34="DELETE", "DELETE", AU34=0, 0, AU34&gt;0,LOG10(AU34))</f>
        <v>0</v>
      </c>
      <c r="AY34" s="161" cm="1">
        <f t="array" ref="AY34">_xlfn.IFS(AU34="DELETE", "DELETE", AU34=0, 0, AU34&gt;0, AW34/AU34/LN(10))</f>
        <v>0</v>
      </c>
      <c r="AZ34" s="120" t="str">
        <f>qPCR_Raw!AG34</f>
        <v>Undetermined</v>
      </c>
      <c r="BA34" s="121" cm="1">
        <f t="array" ref="BA34">_xlfn.IFS(AZ34="Undetermined", 0, qPCR_Raw!AH34&lt;=1, 0, qPCR_Raw!AH34&gt;1, qPCR_Raw!AH34)</f>
        <v>0</v>
      </c>
      <c r="BB34" s="122" t="str">
        <f>qPCR_Raw!AJ34</f>
        <v>Undetermined</v>
      </c>
      <c r="BC34" s="121" cm="1">
        <f t="array" ref="BC34">_xlfn.IFS(BB34="Undetermined", 0, qPCR_Raw!AK34&lt;=1, 0, qPCR_Raw!AK34&gt;1, qPCR_Raw!AK34)</f>
        <v>0</v>
      </c>
      <c r="BD34" s="123" t="str" cm="1">
        <f t="array" ref="BD34">_xlfn.IFS(AND(AZ34="Undetermined", BB34="Undetermined"), "Undetermined", AND(BA34=0, BC34=0), "Undetermined", AND(BA34=0, BC34&gt;0), "Ten-Fold", AND(BA34&gt;0, BC34=0), "Undiluted", AND(AZ34&lt;&gt;"Undetermined", BB34&lt;&gt;"Undetermined", BA34&gt;0, BC34&gt;0, AZ34&lt;&gt;BB34), 100*(-1+10^(-1/(AZ34-BB34))), AND(AZ34&lt;&gt;"Undetermined", BB34&lt;&gt;"Undetermined", AZ34=BB34&gt;0), -100)</f>
        <v>Undetermined</v>
      </c>
      <c r="BE34" s="124" cm="1">
        <f t="array" ref="BE34">_xlfn.IFS(BD34="Undetermined", 0, BD34="Undiluted", BA34*$G34/$F34*1000, BD34="Ten-Fold", BC34*$G34/$F34*1000*10, BD34&lt;0, BC34*$G34/$F34*1000*10, BD34&lt;120, BA34*$G34/$F34*1000, BD34&gt;120, BC34*$G34/$F34*1000*10)</f>
        <v>0</v>
      </c>
      <c r="BF34" s="121">
        <f t="shared" si="14"/>
        <v>295.56050020105698</v>
      </c>
      <c r="BG34" s="121">
        <f t="shared" si="15"/>
        <v>417.98566788611066</v>
      </c>
      <c r="BH34" s="121">
        <f t="shared" si="16"/>
        <v>295.56050020105698</v>
      </c>
      <c r="BI34" s="125" cm="1">
        <f t="array" ref="BI34">_xlfn.IFS(BF34="DELETE", "DELETE", BF34=0, 0, BF34&gt;0,LOG10(BF34))</f>
        <v>2.4706463928792002</v>
      </c>
      <c r="BJ34" s="126" cm="1">
        <f t="array" ref="BJ34">_xlfn.IFS(BF34="DELETE", "DELETE", BF34=0, 0, BF34&gt;0, BH34/BF34/LN(10))</f>
        <v>0.43429448190325176</v>
      </c>
    </row>
    <row r="35" spans="1:62" s="114" customFormat="1" x14ac:dyDescent="0.3">
      <c r="A35" s="115" t="str">
        <f>UPPER(LEFT(SUBSTITUTE(SUBSTITUTE(qPCR_Raw!A35,"-","")," ",""),2))&amp;RIGHT(SUBSTITUTE(SUBSTITUTE(qPCR_Raw!A35,"-","")," ",""),LEN(SUBSTITUTE(SUBSTITUTE(qPCR_Raw!A35,"-","")," ",""))-2)</f>
        <v>STa7</v>
      </c>
      <c r="B35" s="116" t="str" cm="1">
        <f t="array" ref="B35">_xlfn.IFS(LEFT(A35, LEN(A35)-1)="EP", "EP", LEFT(A35, LEN(A35)-1)="STa", "SPI", LEFT(A35, LEN(A35)-1)="STb", "SPO", LEFT(A35, LEN(A35)-1)="MRT", "MRT", LEFT(A35, LEN(A35)-1)="RG", "RN", LEFT(A35, LEN(A35)-1)="RT", "RU", LEFT(A35, LEN(A35)-1)="RW", "RL", LEFT(A35, LEN(A35)-1)="RC", "RS")</f>
        <v>SPI</v>
      </c>
      <c r="C35" s="117">
        <f>qPCR_Raw!B35</f>
        <v>44342</v>
      </c>
      <c r="D35" s="117" t="str">
        <f t="shared" si="0"/>
        <v>SPI44342</v>
      </c>
      <c r="E35" s="117" t="str">
        <f t="shared" si="1"/>
        <v>SPI443427</v>
      </c>
      <c r="F35" s="118">
        <f>qPCR_Raw!C35</f>
        <v>935</v>
      </c>
      <c r="G35" s="119">
        <f>qPCR_Raw!F35</f>
        <v>100</v>
      </c>
      <c r="H35" s="120">
        <f>qPCR_Raw!G35</f>
        <v>17.766716003417969</v>
      </c>
      <c r="I35" s="121" cm="1">
        <f t="array" ref="I35">_xlfn.IFS(H35="Undetermined", 0, qPCR_Raw!H35-qPCR_Raw!$H$242&lt;0, 0, qPCR_Raw!H35-qPCR_Raw!$H$242&gt;0, qPCR_Raw!H35-qPCR_Raw!$H$242)</f>
        <v>282499.73644612631</v>
      </c>
      <c r="J35" s="122">
        <f>qPCR_Raw!K35</f>
        <v>20.706523895263672</v>
      </c>
      <c r="K35" s="121" cm="1">
        <f t="array" ref="K35">_xlfn.IFS(J35="Undetermined", 0, qPCR_Raw!L35-qPCR_Raw!$H$242&lt;0, 0, qPCR_Raw!L35-qPCR_Raw!$H$242&gt;0, qPCR_Raw!L35-qPCR_Raw!$H$242)</f>
        <v>29754.201289876302</v>
      </c>
      <c r="L35" s="123" cm="1">
        <f t="array" ref="L35">_xlfn.IFS(AND(H35="Undetermined", J35="Undetermined"), "Undetermined", AND(I35=0, K35=0), "Undetermined", AND(I35=0, K35&gt;0), "Ten-Fold", AND(I35&gt;0, K35=0), "Undiluted", AND(H35&lt;&gt;"Undetermined", J35&lt;&gt;"Undetermined", I35&gt;0, K35&gt;0), 100*(-1+10^(-1/(H35-J35))))</f>
        <v>118.8559112740236</v>
      </c>
      <c r="M35" s="124" cm="1">
        <f t="array" ref="M35">_xlfn.IFS(L35="Undetermined", 0, L35="Undiluted", I35*$G35/$F35*1000, L35="Ten-Fold", K35*$G35/$F35*1000*10, L35&lt;0, K35*$G35/$F35*1000*10, L35&lt;120, I35*$G35/$F35*1000, L35&gt;120, K35*$G35/$F35*1000*10)</f>
        <v>30213875.555735432</v>
      </c>
      <c r="N35" s="121" t="str">
        <f t="shared" si="2"/>
        <v>DELETE</v>
      </c>
      <c r="O35" s="121" t="str">
        <f t="shared" si="3"/>
        <v>DELETE</v>
      </c>
      <c r="P35" s="121" t="str">
        <f t="shared" si="4"/>
        <v>DELETE</v>
      </c>
      <c r="Q35" s="125" t="str" cm="1">
        <f t="array" ref="Q35">_xlfn.IFS(N35="DELETE", "DELETE", N35=0, 0, N35&gt;0,LOG10(N35))</f>
        <v>DELETE</v>
      </c>
      <c r="R35" s="126" t="str" cm="1">
        <f t="array" ref="R35">_xlfn.IFS(N35="DELETE", "DELETE", N35=0, 0, N35&gt;0, P35/N35/LN(10))</f>
        <v>DELETE</v>
      </c>
      <c r="S35" s="155">
        <f>qPCR_Raw!O35</f>
        <v>27.796417236328125</v>
      </c>
      <c r="T35" s="156" cm="1">
        <f t="array" ref="T35">_xlfn.IFS(S35="Undetermined", 0, qPCR_Raw!P35&lt;=1, 0, qPCR_Raw!P35&gt;1, qPCR_Raw!P35)</f>
        <v>915.8779296875</v>
      </c>
      <c r="U35" s="157">
        <f>qPCR_Raw!R35</f>
        <v>31.503101348876953</v>
      </c>
      <c r="V35" s="156" cm="1">
        <f t="array" ref="V35">_xlfn.IFS(U35="Undetermined", 0, qPCR_Raw!S35&lt;=1, 0, qPCR_Raw!S35&gt;1, qPCR_Raw!S35)</f>
        <v>65.414909362792969</v>
      </c>
      <c r="W35" s="158" cm="1">
        <f t="array" ref="W35">_xlfn.IFS(AND(S35="Undetermined", U35="Undetermined"), "Undetermined", AND(T35=0, V35=0), "Undetermined", AND(T35=0, V35&gt;0), "Ten-Fold", AND(T35&gt;0, V35=0), "Undiluted", AND(S35&lt;&gt;"Undetermined", U35&lt;&gt;"Undetermined", T35&gt;0, V35&gt;0, S35&lt;&gt;U35), 100*(-1+10^(-1/(S35-U35))), AND(S35&lt;&gt;"Undetermined", U35&lt;&gt;"Undetermined", S35=U35&gt;0), -100)</f>
        <v>86.115654067489061</v>
      </c>
      <c r="X35" s="159" cm="1">
        <f t="array" ref="X35">_xlfn.IFS(W35="Undetermined", 0, W35="Undiluted", T35*$G35/$F35*1000, W35="Ten-Fold", V35*$G35/$F35*1000*10, W35&lt;0, V35*$G35/$F35*1000*10, W35&lt;120, T35*$G35/$F35*1000, W35&gt;120, V35*$G35/$F35*1000*10)</f>
        <v>97954.858790106955</v>
      </c>
      <c r="Y35" s="156" t="str">
        <f t="shared" si="5"/>
        <v>DELETE</v>
      </c>
      <c r="Z35" s="156" t="str">
        <f t="shared" si="6"/>
        <v>DELETE</v>
      </c>
      <c r="AA35" s="156" t="str">
        <f t="shared" si="7"/>
        <v>DELETE</v>
      </c>
      <c r="AB35" s="160" t="str" cm="1">
        <f t="array" ref="AB35">_xlfn.IFS(Y35="DELETE", "DELETE", Y35=0, 0, Y35&gt;0,LOG10(Y35))</f>
        <v>DELETE</v>
      </c>
      <c r="AC35" s="161" t="str" cm="1">
        <f t="array" ref="AC35">_xlfn.IFS(Y35="DELETE", "DELETE", Y35=0, 0, Y35&gt;0, AA35/Y35/LN(10))</f>
        <v>DELETE</v>
      </c>
      <c r="AD35" s="120">
        <f>qPCR_Raw!U35</f>
        <v>39.787403106689453</v>
      </c>
      <c r="AE35" s="121" cm="1">
        <f t="array" ref="AE35">_xlfn.IFS(AD35="Undetermined", 0, qPCR_Raw!V35&lt;=1, 0, qPCR_Raw!V35&gt;1, qPCR_Raw!V35)</f>
        <v>0</v>
      </c>
      <c r="AF35" s="122">
        <f>qPCR_Raw!X35</f>
        <v>36.061042785644531</v>
      </c>
      <c r="AG35" s="121" cm="1">
        <f t="array" ref="AG35">_xlfn.IFS(AF35="Undetermined", 0, qPCR_Raw!Y35&lt;=1, 0, qPCR_Raw!Y35&gt;1, qPCR_Raw!Y35)</f>
        <v>0</v>
      </c>
      <c r="AH35" s="123" t="str" cm="1">
        <f t="array" ref="AH35">_xlfn.IFS(AND(AD35="Undetermined", AF35="Undetermined"), "Undetermined", AND(AE35=0, AG35=0), "Undetermined", AND(AE35=0, AG35&gt;0), "Ten-Fold", AND(AE35&gt;0, AG35=0), "Undiluted", AND(AD35&lt;&gt;"Undetermined", AF35&lt;&gt;"Undetermined", AE35&gt;0, AG35&gt;0, AD35&lt;&gt;AF35), 100*(-1+10^(-1/(AD35-AF35))), AND(AD35&lt;&gt;"Undetermined", AF35&lt;&gt;"Undetermined", AD35=AF35&gt;0), -100)</f>
        <v>Undetermined</v>
      </c>
      <c r="AI35" s="124" cm="1">
        <f t="array" ref="AI35">_xlfn.IFS(AH35="Undetermined", 0, AH35="Undiluted", AE35*$G35/$F35*1000, AH35="Ten-Fold", AG35*$G35/$F35*1000*10, AH35&lt;0, AG35*$G35/$F35*1000*10, AH35&lt;120, AE35*$G35/$F35*1000, AH35&gt;120, AG35*$G35/$F35*1000*10)</f>
        <v>0</v>
      </c>
      <c r="AJ35" s="121" t="str">
        <f t="shared" si="8"/>
        <v>DELETE</v>
      </c>
      <c r="AK35" s="121" t="str">
        <f t="shared" si="9"/>
        <v>DELETE</v>
      </c>
      <c r="AL35" s="121" t="str">
        <f t="shared" si="10"/>
        <v>DELETE</v>
      </c>
      <c r="AM35" s="125" t="str" cm="1">
        <f t="array" ref="AM35">_xlfn.IFS(AJ35="DELETE", "DELETE", AJ35=0, 0, AJ35&gt;0,LOG10(AJ35))</f>
        <v>DELETE</v>
      </c>
      <c r="AN35" s="126" t="str" cm="1">
        <f t="array" ref="AN35">_xlfn.IFS(AJ35="DELETE", "DELETE", AJ35=0, 0, AJ35&gt;0, AL35/AJ35/LN(10))</f>
        <v>DELETE</v>
      </c>
      <c r="AO35" s="155">
        <f>qPCR_Raw!AA35</f>
        <v>30.497703552246094</v>
      </c>
      <c r="AP35" s="156" cm="1">
        <f t="array" ref="AP35">_xlfn.IFS(AO35="Undetermined", 0, qPCR_Raw!AB35&lt;=6, 0, qPCR_Raw!AB35&gt;6, qPCR_Raw!AB35)</f>
        <v>0</v>
      </c>
      <c r="AQ35" s="157" t="str">
        <f>qPCR_Raw!AD35</f>
        <v>Undetermined</v>
      </c>
      <c r="AR35" s="156" cm="1">
        <f t="array" ref="AR35">_xlfn.IFS(AQ35="Undetermined", 0, qPCR_Raw!AE35&lt;=6, 0, qPCR_Raw!AE35&gt;6, qPCR_Raw!AE35)</f>
        <v>0</v>
      </c>
      <c r="AS35" s="158" t="str" cm="1">
        <f t="array" ref="AS35">_xlfn.IFS(AND(AO35="Undetermined", AQ35="Undetermined"), "Undetermined", AND(AP35=0, AR35=0), "Undetermined", AND(AP35=0, AR35&gt;0), "Ten-Fold", AND(AP35&gt;0, AR35=0), "Undiluted", AND(AO35&lt;&gt;"Undetermined", AQ35&lt;&gt;"Undetermined", AP35&gt;0, AR35&gt;0, AO35&lt;&gt;AQ35), 100*(-1+10^(-1/(AO35-AQ35))), AND(AO35&lt;&gt;"Undetermined", AQ35&lt;&gt;"Undetermined", AO35=AQ35&gt;0), -100)</f>
        <v>Undetermined</v>
      </c>
      <c r="AT35" s="159" cm="1">
        <f t="array" ref="AT35">_xlfn.IFS(AS35="Undetermined", 0, AS35="Undiluted", AP35*$G35/$F35*1000, AS35="Ten-Fold", AR35*$G35/$F35*1000*10, AS35&lt;0, AR35*$G35/$F35*1000*10, AS35&lt;120, AP35*$G35/$F35*1000, AS35&gt;120, AR35*$G35/$F35*1000*10)</f>
        <v>0</v>
      </c>
      <c r="AU35" s="156" t="str">
        <f t="shared" si="11"/>
        <v>DELETE</v>
      </c>
      <c r="AV35" s="156" t="str">
        <f t="shared" si="12"/>
        <v>DELETE</v>
      </c>
      <c r="AW35" s="156" t="str">
        <f t="shared" si="13"/>
        <v>DELETE</v>
      </c>
      <c r="AX35" s="160" t="str" cm="1">
        <f t="array" ref="AX35">_xlfn.IFS(AU35="DELETE", "DELETE", AU35=0, 0, AU35&gt;0,LOG10(AU35))</f>
        <v>DELETE</v>
      </c>
      <c r="AY35" s="161" t="str" cm="1">
        <f t="array" ref="AY35">_xlfn.IFS(AU35="DELETE", "DELETE", AU35=0, 0, AU35&gt;0, AW35/AU35/LN(10))</f>
        <v>DELETE</v>
      </c>
      <c r="AZ35" s="120">
        <f>qPCR_Raw!AG35</f>
        <v>34.033046722412109</v>
      </c>
      <c r="BA35" s="121" cm="1">
        <f t="array" ref="BA35">_xlfn.IFS(AZ35="Undetermined", 0, qPCR_Raw!AH35&lt;=1, 0, qPCR_Raw!AH35&gt;1, qPCR_Raw!AH35)</f>
        <v>5.5269813537597656</v>
      </c>
      <c r="BB35" s="122" t="str">
        <f>qPCR_Raw!AJ35</f>
        <v>Undetermined</v>
      </c>
      <c r="BC35" s="121" cm="1">
        <f t="array" ref="BC35">_xlfn.IFS(BB35="Undetermined", 0, qPCR_Raw!AK35&lt;=1, 0, qPCR_Raw!AK35&gt;1, qPCR_Raw!AK35)</f>
        <v>0</v>
      </c>
      <c r="BD35" s="123" t="str" cm="1">
        <f t="array" ref="BD35">_xlfn.IFS(AND(AZ35="Undetermined", BB35="Undetermined"), "Undetermined", AND(BA35=0, BC35=0), "Undetermined", AND(BA35=0, BC35&gt;0), "Ten-Fold", AND(BA35&gt;0, BC35=0), "Undiluted", AND(AZ35&lt;&gt;"Undetermined", BB35&lt;&gt;"Undetermined", BA35&gt;0, BC35&gt;0, AZ35&lt;&gt;BB35), 100*(-1+10^(-1/(AZ35-BB35))), AND(AZ35&lt;&gt;"Undetermined", BB35&lt;&gt;"Undetermined", AZ35=BB35&gt;0), -100)</f>
        <v>Undiluted</v>
      </c>
      <c r="BE35" s="124" cm="1">
        <f t="array" ref="BE35">_xlfn.IFS(BD35="Undetermined", 0, BD35="Undiluted", BA35*$G35/$F35*1000, BD35="Ten-Fold", BC35*$G35/$F35*1000*10, BD35&lt;0, BC35*$G35/$F35*1000*10, BD35&lt;120, BA35*$G35/$F35*1000, BD35&gt;120, BC35*$G35/$F35*1000*10)</f>
        <v>591.12100040211396</v>
      </c>
      <c r="BF35" s="121" t="str">
        <f t="shared" si="14"/>
        <v>DELETE</v>
      </c>
      <c r="BG35" s="121" t="str">
        <f t="shared" si="15"/>
        <v>DELETE</v>
      </c>
      <c r="BH35" s="121" t="str">
        <f t="shared" si="16"/>
        <v>DELETE</v>
      </c>
      <c r="BI35" s="125" t="str" cm="1">
        <f t="array" ref="BI35">_xlfn.IFS(BF35="DELETE", "DELETE", BF35=0, 0, BF35&gt;0,LOG10(BF35))</f>
        <v>DELETE</v>
      </c>
      <c r="BJ35" s="126" t="str" cm="1">
        <f t="array" ref="BJ35">_xlfn.IFS(BF35="DELETE", "DELETE", BF35=0, 0, BF35&gt;0, BH35/BF35/LN(10))</f>
        <v>DELETE</v>
      </c>
    </row>
    <row r="36" spans="1:62" s="114" customFormat="1" x14ac:dyDescent="0.3">
      <c r="A36" s="115" t="str">
        <f>UPPER(LEFT(SUBSTITUTE(SUBSTITUTE(qPCR_Raw!A36,"-","")," ",""),2))&amp;RIGHT(SUBSTITUTE(SUBSTITUTE(qPCR_Raw!A36,"-","")," ",""),LEN(SUBSTITUTE(SUBSTITUTE(qPCR_Raw!A36,"-","")," ",""))-2)</f>
        <v>EP6</v>
      </c>
      <c r="B36" s="116" t="str" cm="1">
        <f t="array" ref="B36">_xlfn.IFS(LEFT(A36, LEN(A36)-1)="EP", "EP", LEFT(A36, LEN(A36)-1)="STa", "SPI", LEFT(A36, LEN(A36)-1)="STb", "SPO", LEFT(A36, LEN(A36)-1)="MRT", "MRT", LEFT(A36, LEN(A36)-1)="RG", "RN", LEFT(A36, LEN(A36)-1)="RT", "RU", LEFT(A36, LEN(A36)-1)="RW", "RL", LEFT(A36, LEN(A36)-1)="RC", "RS")</f>
        <v>EP</v>
      </c>
      <c r="C36" s="117">
        <f>qPCR_Raw!B36</f>
        <v>44350</v>
      </c>
      <c r="D36" s="117" t="str">
        <f t="shared" si="0"/>
        <v>EP44350</v>
      </c>
      <c r="E36" s="117" t="str">
        <f t="shared" si="1"/>
        <v>EP443506</v>
      </c>
      <c r="F36" s="118">
        <f>qPCR_Raw!C36</f>
        <v>910</v>
      </c>
      <c r="G36" s="119">
        <f>qPCR_Raw!F36</f>
        <v>100</v>
      </c>
      <c r="H36" s="120">
        <f>qPCR_Raw!G36</f>
        <v>18.442655563354492</v>
      </c>
      <c r="I36" s="121" cm="1">
        <f t="array" ref="I36">_xlfn.IFS(H36="Undetermined", 0, qPCR_Raw!H36-qPCR_Raw!$H$242&lt;0, 0, qPCR_Raw!H36-qPCR_Raw!$H$242&gt;0, qPCR_Raw!H36-qPCR_Raw!$H$242)</f>
        <v>176450.36144612631</v>
      </c>
      <c r="J36" s="122">
        <f>qPCR_Raw!K36</f>
        <v>21.352970123291016</v>
      </c>
      <c r="K36" s="121" cm="1">
        <f t="array" ref="K36">_xlfn.IFS(J36="Undetermined", 0, qPCR_Raw!L36-qPCR_Raw!$H$242&lt;0, 0, qPCR_Raw!L36-qPCR_Raw!$H$242&gt;0, qPCR_Raw!L36-qPCR_Raw!$H$242)</f>
        <v>14952.507930501302</v>
      </c>
      <c r="L36" s="123" cm="1">
        <f t="array" ref="L36">_xlfn.IFS(AND(H36="Undetermined", J36="Undetermined"), "Undetermined", AND(I36=0, K36=0), "Undetermined", AND(I36=0, K36&gt;0), "Ten-Fold", AND(I36&gt;0, K36=0), "Undiluted", AND(H36&lt;&gt;"Undetermined", J36&lt;&gt;"Undetermined", I36&gt;0, K36&gt;0), 100*(-1+10^(-1/(H36-J36))))</f>
        <v>120.59998025841185</v>
      </c>
      <c r="M36" s="124" cm="1">
        <f t="array" ref="M36">_xlfn.IFS(L36="Undetermined", 0, L36="Undiluted", I36*$G36/$F36*1000, L36="Ten-Fold", K36*$G36/$F36*1000*10, L36&lt;0, K36*$G36/$F36*1000*10, L36&lt;120, I36*$G36/$F36*1000, L36&gt;120, K36*$G36/$F36*1000*10)</f>
        <v>16431327.396155277</v>
      </c>
      <c r="N36" s="121">
        <f t="shared" si="2"/>
        <v>15887775.792306878</v>
      </c>
      <c r="O36" s="121">
        <f t="shared" si="3"/>
        <v>768698.0500120545</v>
      </c>
      <c r="P36" s="121">
        <f t="shared" si="4"/>
        <v>543551.60384839959</v>
      </c>
      <c r="Q36" s="125" cm="1">
        <f t="array" ref="Q36">_xlfn.IFS(N36="DELETE", "DELETE", N36=0, 0, N36&gt;0,LOG10(N36))</f>
        <v>7.2010631024471907</v>
      </c>
      <c r="R36" s="126" cm="1">
        <f t="array" ref="R36">_xlfn.IFS(N36="DELETE", "DELETE", N36=0, 0, N36&gt;0, P36/N36/LN(10))</f>
        <v>1.4858055983854399E-2</v>
      </c>
      <c r="S36" s="155">
        <f>qPCR_Raw!O36</f>
        <v>31.267242431640625</v>
      </c>
      <c r="T36" s="156" cm="1">
        <f t="array" ref="T36">_xlfn.IFS(S36="Undetermined", 0, qPCR_Raw!P36&lt;=1, 0, qPCR_Raw!P36&gt;1, qPCR_Raw!P36)</f>
        <v>77.376266479492188</v>
      </c>
      <c r="U36" s="157">
        <f>qPCR_Raw!R36</f>
        <v>34.605503082275391</v>
      </c>
      <c r="V36" s="156" cm="1">
        <f t="array" ref="V36">_xlfn.IFS(U36="Undetermined", 0, qPCR_Raw!S36&lt;=1, 0, qPCR_Raw!S36&gt;1, qPCR_Raw!S36)</f>
        <v>7.1840419769287109</v>
      </c>
      <c r="W36" s="158" cm="1">
        <f t="array" ref="W36">_xlfn.IFS(AND(S36="Undetermined", U36="Undetermined"), "Undetermined", AND(T36=0, V36=0), "Undetermined", AND(T36=0, V36&gt;0), "Ten-Fold", AND(T36&gt;0, V36=0), "Undiluted", AND(S36&lt;&gt;"Undetermined", U36&lt;&gt;"Undetermined", T36&gt;0, V36&gt;0, S36&lt;&gt;U36), 100*(-1+10^(-1/(S36-U36))), AND(S36&lt;&gt;"Undetermined", U36&lt;&gt;"Undetermined", S36=U36&gt;0), -100)</f>
        <v>99.322899443201777</v>
      </c>
      <c r="X36" s="159" cm="1">
        <f t="array" ref="X36">_xlfn.IFS(W36="Undetermined", 0, W36="Undiluted", T36*$G36/$F36*1000, W36="Ten-Fold", V36*$G36/$F36*1000*10, W36&lt;0, V36*$G36/$F36*1000*10, W36&lt;120, T36*$G36/$F36*1000, W36&gt;120, V36*$G36/$F36*1000*10)</f>
        <v>8502.886426317822</v>
      </c>
      <c r="Y36" s="156">
        <f t="shared" si="5"/>
        <v>8269.3150698483641</v>
      </c>
      <c r="Z36" s="156">
        <f t="shared" si="6"/>
        <v>330.31978010098811</v>
      </c>
      <c r="AA36" s="156">
        <f t="shared" si="7"/>
        <v>233.57135646945787</v>
      </c>
      <c r="AB36" s="160" cm="1">
        <f t="array" ref="AB36">_xlfn.IFS(Y36="DELETE", "DELETE", Y36=0, 0, Y36&gt;0,LOG10(Y36))</f>
        <v>3.9174695393344017</v>
      </c>
      <c r="AC36" s="161" cm="1">
        <f t="array" ref="AC36">_xlfn.IFS(Y36="DELETE", "DELETE", Y36=0, 0, Y36&gt;0, AA36/Y36/LN(10))</f>
        <v>1.2266886723812187E-2</v>
      </c>
      <c r="AD36" s="120">
        <f>qPCR_Raw!U36</f>
        <v>30.839181900024414</v>
      </c>
      <c r="AE36" s="121" cm="1">
        <f t="array" ref="AE36">_xlfn.IFS(AD36="Undetermined", 0, qPCR_Raw!V36&lt;=1, 0, qPCR_Raw!V36&gt;1, qPCR_Raw!V36)</f>
        <v>17.297702789306641</v>
      </c>
      <c r="AF36" s="122">
        <f>qPCR_Raw!X36</f>
        <v>33.967765808105469</v>
      </c>
      <c r="AG36" s="121" cm="1">
        <f t="array" ref="AG36">_xlfn.IFS(AF36="Undetermined", 0, qPCR_Raw!Y36&lt;=1, 0, qPCR_Raw!Y36&gt;1, qPCR_Raw!Y36)</f>
        <v>2.2481720447540283</v>
      </c>
      <c r="AH36" s="123" cm="1">
        <f t="array" ref="AH36">_xlfn.IFS(AND(AD36="Undetermined", AF36="Undetermined"), "Undetermined", AND(AE36=0, AG36=0), "Undetermined", AND(AE36=0, AG36&gt;0), "Ten-Fold", AND(AE36&gt;0, AG36=0), "Undiluted", AND(AD36&lt;&gt;"Undetermined", AF36&lt;&gt;"Undetermined", AE36&gt;0, AG36&gt;0, AD36&lt;&gt;AF36), 100*(-1+10^(-1/(AD36-AF36))), AND(AD36&lt;&gt;"Undetermined", AF36&lt;&gt;"Undetermined", AD36=AF36&gt;0), -100)</f>
        <v>108.75333779073615</v>
      </c>
      <c r="AI36" s="124" cm="1">
        <f t="array" ref="AI36">_xlfn.IFS(AH36="Undetermined", 0, AH36="Undiluted", AE36*$G36/$F36*1000, AH36="Ten-Fold", AG36*$G36/$F36*1000*10, AH36&lt;0, AG36*$G36/$F36*1000*10, AH36&lt;120, AE36*$G36/$F36*1000, AH36&gt;120, AG36*$G36/$F36*1000*10)</f>
        <v>1900.846460363367</v>
      </c>
      <c r="AJ36" s="121">
        <f t="shared" si="8"/>
        <v>1751.7194643125429</v>
      </c>
      <c r="AK36" s="121">
        <f t="shared" si="9"/>
        <v>210.89742033103445</v>
      </c>
      <c r="AL36" s="121">
        <f t="shared" si="10"/>
        <v>149.12699605082412</v>
      </c>
      <c r="AM36" s="125" cm="1">
        <f t="array" ref="AM36">_xlfn.IFS(AJ36="DELETE", "DELETE", AJ36=0, 0, AJ36&gt;0,LOG10(AJ36))</f>
        <v>3.2434645556811552</v>
      </c>
      <c r="AN36" s="126" cm="1">
        <f t="array" ref="AN36">_xlfn.IFS(AJ36="DELETE", "DELETE", AJ36=0, 0, AJ36&gt;0, AL36/AJ36/LN(10))</f>
        <v>3.6972262286928334E-2</v>
      </c>
      <c r="AO36" s="155">
        <f>qPCR_Raw!AA36</f>
        <v>30.654111862182617</v>
      </c>
      <c r="AP36" s="156" cm="1">
        <f t="array" ref="AP36">_xlfn.IFS(AO36="Undetermined", 0, qPCR_Raw!AB36&lt;=6, 0, qPCR_Raw!AB36&gt;6, qPCR_Raw!AB36)</f>
        <v>0</v>
      </c>
      <c r="AQ36" s="157" t="str">
        <f>qPCR_Raw!AD36</f>
        <v>Undetermined</v>
      </c>
      <c r="AR36" s="156" cm="1">
        <f t="array" ref="AR36">_xlfn.IFS(AQ36="Undetermined", 0, qPCR_Raw!AE36&lt;=6, 0, qPCR_Raw!AE36&gt;6, qPCR_Raw!AE36)</f>
        <v>0</v>
      </c>
      <c r="AS36" s="158" t="str" cm="1">
        <f t="array" ref="AS36">_xlfn.IFS(AND(AO36="Undetermined", AQ36="Undetermined"), "Undetermined", AND(AP36=0, AR36=0), "Undetermined", AND(AP36=0, AR36&gt;0), "Ten-Fold", AND(AP36&gt;0, AR36=0), "Undiluted", AND(AO36&lt;&gt;"Undetermined", AQ36&lt;&gt;"Undetermined", AP36&gt;0, AR36&gt;0, AO36&lt;&gt;AQ36), 100*(-1+10^(-1/(AO36-AQ36))), AND(AO36&lt;&gt;"Undetermined", AQ36&lt;&gt;"Undetermined", AO36=AQ36&gt;0), -100)</f>
        <v>Undetermined</v>
      </c>
      <c r="AT36" s="159" cm="1">
        <f t="array" ref="AT36">_xlfn.IFS(AS36="Undetermined", 0, AS36="Undiluted", AP36*$G36/$F36*1000, AS36="Ten-Fold", AR36*$G36/$F36*1000*10, AS36&lt;0, AR36*$G36/$F36*1000*10, AS36&lt;120, AP36*$G36/$F36*1000, AS36&gt;120, AR36*$G36/$F36*1000*10)</f>
        <v>0</v>
      </c>
      <c r="AU36" s="156">
        <f t="shared" si="11"/>
        <v>0</v>
      </c>
      <c r="AV36" s="156">
        <f t="shared" si="12"/>
        <v>0</v>
      </c>
      <c r="AW36" s="156">
        <f t="shared" si="13"/>
        <v>0</v>
      </c>
      <c r="AX36" s="160" cm="1">
        <f t="array" ref="AX36">_xlfn.IFS(AU36="DELETE", "DELETE", AU36=0, 0, AU36&gt;0,LOG10(AU36))</f>
        <v>0</v>
      </c>
      <c r="AY36" s="161" cm="1">
        <f t="array" ref="AY36">_xlfn.IFS(AU36="DELETE", "DELETE", AU36=0, 0, AU36&gt;0, AW36/AU36/LN(10))</f>
        <v>0</v>
      </c>
      <c r="AZ36" s="120">
        <f>qPCR_Raw!AG36</f>
        <v>33.062393188476563</v>
      </c>
      <c r="BA36" s="121" cm="1">
        <f t="array" ref="BA36">_xlfn.IFS(AZ36="Undetermined", 0, qPCR_Raw!AH36&lt;=1, 0, qPCR_Raw!AH36&gt;1, qPCR_Raw!AH36)</f>
        <v>10.094819068908691</v>
      </c>
      <c r="BB36" s="122" t="str">
        <f>qPCR_Raw!AJ36</f>
        <v>Undetermined</v>
      </c>
      <c r="BC36" s="121" cm="1">
        <f t="array" ref="BC36">_xlfn.IFS(BB36="Undetermined", 0, qPCR_Raw!AK36&lt;=1, 0, qPCR_Raw!AK36&gt;1, qPCR_Raw!AK36)</f>
        <v>0</v>
      </c>
      <c r="BD36" s="123" t="str" cm="1">
        <f t="array" ref="BD36">_xlfn.IFS(AND(AZ36="Undetermined", BB36="Undetermined"), "Undetermined", AND(BA36=0, BC36=0), "Undetermined", AND(BA36=0, BC36&gt;0), "Ten-Fold", AND(BA36&gt;0, BC36=0), "Undiluted", AND(AZ36&lt;&gt;"Undetermined", BB36&lt;&gt;"Undetermined", BA36&gt;0, BC36&gt;0, AZ36&lt;&gt;BB36), 100*(-1+10^(-1/(AZ36-BB36))), AND(AZ36&lt;&gt;"Undetermined", BB36&lt;&gt;"Undetermined", AZ36=BB36&gt;0), -100)</f>
        <v>Undiluted</v>
      </c>
      <c r="BE36" s="124" cm="1">
        <f t="array" ref="BE36">_xlfn.IFS(BD36="Undetermined", 0, BD36="Undiluted", BA36*$G36/$F36*1000, BD36="Ten-Fold", BC36*$G36/$F36*1000*10, BD36&lt;0, BC36*$G36/$F36*1000*10, BD36&lt;120, BA36*$G36/$F36*1000, BD36&gt;120, BC36*$G36/$F36*1000*10)</f>
        <v>1109.320776803153</v>
      </c>
      <c r="BF36" s="121">
        <f t="shared" si="14"/>
        <v>554.66038840157648</v>
      </c>
      <c r="BG36" s="121">
        <f t="shared" si="15"/>
        <v>784.40824378863806</v>
      </c>
      <c r="BH36" s="121">
        <f t="shared" si="16"/>
        <v>554.66038840157648</v>
      </c>
      <c r="BI36" s="125" cm="1">
        <f t="array" ref="BI36">_xlfn.IFS(BF36="DELETE", "DELETE", BF36=0, 0, BF36&gt;0,LOG10(BF36))</f>
        <v>2.7440271514333912</v>
      </c>
      <c r="BJ36" s="126" cm="1">
        <f t="array" ref="BJ36">_xlfn.IFS(BF36="DELETE", "DELETE", BF36=0, 0, BF36&gt;0, BH36/BF36/LN(10))</f>
        <v>0.43429448190325176</v>
      </c>
    </row>
    <row r="37" spans="1:62" s="114" customFormat="1" x14ac:dyDescent="0.3">
      <c r="A37" s="115" t="str">
        <f>UPPER(LEFT(SUBSTITUTE(SUBSTITUTE(qPCR_Raw!A37,"-","")," ",""),2))&amp;RIGHT(SUBSTITUTE(SUBSTITUTE(qPCR_Raw!A37,"-","")," ",""),LEN(SUBSTITUTE(SUBSTITUTE(qPCR_Raw!A37,"-","")," ",""))-2)</f>
        <v>EP7</v>
      </c>
      <c r="B37" s="116" t="str" cm="1">
        <f t="array" ref="B37">_xlfn.IFS(LEFT(A37, LEN(A37)-1)="EP", "EP", LEFT(A37, LEN(A37)-1)="STa", "SPI", LEFT(A37, LEN(A37)-1)="STb", "SPO", LEFT(A37, LEN(A37)-1)="MRT", "MRT", LEFT(A37, LEN(A37)-1)="RG", "RN", LEFT(A37, LEN(A37)-1)="RT", "RU", LEFT(A37, LEN(A37)-1)="RW", "RL", LEFT(A37, LEN(A37)-1)="RC", "RS")</f>
        <v>EP</v>
      </c>
      <c r="C37" s="117">
        <f>qPCR_Raw!B37</f>
        <v>44350</v>
      </c>
      <c r="D37" s="117" t="str">
        <f t="shared" si="0"/>
        <v>EP44350</v>
      </c>
      <c r="E37" s="117" t="str">
        <f t="shared" si="1"/>
        <v>EP443507</v>
      </c>
      <c r="F37" s="118">
        <f>qPCR_Raw!C37</f>
        <v>900</v>
      </c>
      <c r="G37" s="119">
        <f>qPCR_Raw!F37</f>
        <v>100</v>
      </c>
      <c r="H37" s="120">
        <f>qPCR_Raw!G37</f>
        <v>18.78660774230957</v>
      </c>
      <c r="I37" s="121" cm="1">
        <f t="array" ref="I37">_xlfn.IFS(H37="Undetermined", 0, qPCR_Raw!H37-qPCR_Raw!$H$242&lt;0, 0, qPCR_Raw!H37-qPCR_Raw!$H$242&gt;0, qPCR_Raw!H37-qPCR_Raw!$H$242)</f>
        <v>138098.01769612631</v>
      </c>
      <c r="J37" s="122">
        <f>qPCR_Raw!K37</f>
        <v>22.358880996704102</v>
      </c>
      <c r="K37" s="121" cm="1">
        <f t="array" ref="K37">_xlfn.IFS(J37="Undetermined", 0, qPCR_Raw!L37-qPCR_Raw!$H$242&lt;0, 0, qPCR_Raw!L37-qPCR_Raw!$H$242&gt;0, qPCR_Raw!L37-qPCR_Raw!$H$242)</f>
        <v>1432.5967976888023</v>
      </c>
      <c r="L37" s="123" cm="1">
        <f t="array" ref="L37">_xlfn.IFS(AND(H37="Undetermined", J37="Undetermined"), "Undetermined", AND(I37=0, K37=0), "Undetermined", AND(I37=0, K37&gt;0), "Ten-Fold", AND(I37&gt;0, K37=0), "Undiluted", AND(H37&lt;&gt;"Undetermined", J37&lt;&gt;"Undetermined", I37&gt;0, K37&gt;0), 100*(-1+10^(-1/(H37-J37))))</f>
        <v>90.517025572415761</v>
      </c>
      <c r="M37" s="124" cm="1">
        <f t="array" ref="M37">_xlfn.IFS(L37="Undetermined", 0, L37="Undiluted", I37*$G37/$F37*1000, L37="Ten-Fold", K37*$G37/$F37*1000*10, L37&lt;0, K37*$G37/$F37*1000*10, L37&lt;120, I37*$G37/$F37*1000, L37&gt;120, K37*$G37/$F37*1000*10)</f>
        <v>15344224.188458478</v>
      </c>
      <c r="N37" s="121" t="str">
        <f t="shared" si="2"/>
        <v>DELETE</v>
      </c>
      <c r="O37" s="121" t="str">
        <f t="shared" si="3"/>
        <v>DELETE</v>
      </c>
      <c r="P37" s="121" t="str">
        <f t="shared" si="4"/>
        <v>DELETE</v>
      </c>
      <c r="Q37" s="125" t="str" cm="1">
        <f t="array" ref="Q37">_xlfn.IFS(N37="DELETE", "DELETE", N37=0, 0, N37&gt;0,LOG10(N37))</f>
        <v>DELETE</v>
      </c>
      <c r="R37" s="126" t="str" cm="1">
        <f t="array" ref="R37">_xlfn.IFS(N37="DELETE", "DELETE", N37=0, 0, N37&gt;0, P37/N37/LN(10))</f>
        <v>DELETE</v>
      </c>
      <c r="S37" s="155">
        <f>qPCR_Raw!O37</f>
        <v>31.362125396728516</v>
      </c>
      <c r="T37" s="156" cm="1">
        <f t="array" ref="T37">_xlfn.IFS(S37="Undetermined", 0, qPCR_Raw!P37&lt;=1, 0, qPCR_Raw!P37&gt;1, qPCR_Raw!P37)</f>
        <v>72.321693420410156</v>
      </c>
      <c r="U37" s="157">
        <f>qPCR_Raw!R37</f>
        <v>35.483421325683594</v>
      </c>
      <c r="V37" s="156" cm="1">
        <f t="array" ref="V37">_xlfn.IFS(U37="Undetermined", 0, qPCR_Raw!S37&lt;=1, 0, qPCR_Raw!S37&gt;1, qPCR_Raw!S37)</f>
        <v>3.8450653553009033</v>
      </c>
      <c r="W37" s="158" cm="1">
        <f t="array" ref="W37">_xlfn.IFS(AND(S37="Undetermined", U37="Undetermined"), "Undetermined", AND(T37=0, V37=0), "Undetermined", AND(T37=0, V37&gt;0), "Ten-Fold", AND(T37&gt;0, V37=0), "Undiluted", AND(S37&lt;&gt;"Undetermined", U37&lt;&gt;"Undetermined", T37&gt;0, V37&gt;0, S37&lt;&gt;U37), 100*(-1+10^(-1/(S37-U37))), AND(S37&lt;&gt;"Undetermined", U37&lt;&gt;"Undetermined", S37=U37&gt;0), -100)</f>
        <v>74.840534112157826</v>
      </c>
      <c r="X37" s="159" cm="1">
        <f t="array" ref="X37">_xlfn.IFS(W37="Undetermined", 0, W37="Undiluted", T37*$G37/$F37*1000, W37="Ten-Fold", V37*$G37/$F37*1000*10, W37&lt;0, V37*$G37/$F37*1000*10, W37&lt;120, T37*$G37/$F37*1000, W37&gt;120, V37*$G37/$F37*1000*10)</f>
        <v>8035.7437133789063</v>
      </c>
      <c r="Y37" s="156" t="str">
        <f t="shared" si="5"/>
        <v>DELETE</v>
      </c>
      <c r="Z37" s="156" t="str">
        <f t="shared" si="6"/>
        <v>DELETE</v>
      </c>
      <c r="AA37" s="156" t="str">
        <f t="shared" si="7"/>
        <v>DELETE</v>
      </c>
      <c r="AB37" s="160" t="str" cm="1">
        <f t="array" ref="AB37">_xlfn.IFS(Y37="DELETE", "DELETE", Y37=0, 0, Y37&gt;0,LOG10(Y37))</f>
        <v>DELETE</v>
      </c>
      <c r="AC37" s="161" t="str" cm="1">
        <f t="array" ref="AC37">_xlfn.IFS(Y37="DELETE", "DELETE", Y37=0, 0, Y37&gt;0, AA37/Y37/LN(10))</f>
        <v>DELETE</v>
      </c>
      <c r="AD37" s="120">
        <f>qPCR_Raw!U37</f>
        <v>31.117818832397461</v>
      </c>
      <c r="AE37" s="121" cm="1">
        <f t="array" ref="AE37">_xlfn.IFS(AD37="Undetermined", 0, qPCR_Raw!V37&lt;=1, 0, qPCR_Raw!V37&gt;1, qPCR_Raw!V37)</f>
        <v>14.423332214355469</v>
      </c>
      <c r="AF37" s="122">
        <f>qPCR_Raw!X37</f>
        <v>34.928256988525391</v>
      </c>
      <c r="AG37" s="121" cm="1">
        <f t="array" ref="AG37">_xlfn.IFS(AF37="Undetermined", 0, qPCR_Raw!Y37&lt;=1, 0, qPCR_Raw!Y37&gt;1, qPCR_Raw!Y37)</f>
        <v>1.2016396522521973</v>
      </c>
      <c r="AH37" s="123" cm="1">
        <f t="array" ref="AH37">_xlfn.IFS(AND(AD37="Undetermined", AF37="Undetermined"), "Undetermined", AND(AE37=0, AG37=0), "Undetermined", AND(AE37=0, AG37&gt;0), "Ten-Fold", AND(AE37&gt;0, AG37=0), "Undiluted", AND(AD37&lt;&gt;"Undetermined", AF37&lt;&gt;"Undetermined", AE37&gt;0, AG37&gt;0, AD37&lt;&gt;AF37), 100*(-1+10^(-1/(AD37-AF37))), AND(AD37&lt;&gt;"Undetermined", AF37&lt;&gt;"Undetermined", AD37=AF37&gt;0), -100)</f>
        <v>82.994067665691347</v>
      </c>
      <c r="AI37" s="124" cm="1">
        <f t="array" ref="AI37">_xlfn.IFS(AH37="Undetermined", 0, AH37="Undiluted", AE37*$G37/$F37*1000, AH37="Ten-Fold", AG37*$G37/$F37*1000*10, AH37&lt;0, AG37*$G37/$F37*1000*10, AH37&lt;120, AE37*$G37/$F37*1000, AH37&gt;120, AG37*$G37/$F37*1000*10)</f>
        <v>1602.5924682617188</v>
      </c>
      <c r="AJ37" s="121" t="str">
        <f t="shared" si="8"/>
        <v>DELETE</v>
      </c>
      <c r="AK37" s="121" t="str">
        <f t="shared" si="9"/>
        <v>DELETE</v>
      </c>
      <c r="AL37" s="121" t="str">
        <f t="shared" si="10"/>
        <v>DELETE</v>
      </c>
      <c r="AM37" s="125" t="str" cm="1">
        <f t="array" ref="AM37">_xlfn.IFS(AJ37="DELETE", "DELETE", AJ37=0, 0, AJ37&gt;0,LOG10(AJ37))</f>
        <v>DELETE</v>
      </c>
      <c r="AN37" s="126" t="str" cm="1">
        <f t="array" ref="AN37">_xlfn.IFS(AJ37="DELETE", "DELETE", AJ37=0, 0, AJ37&gt;0, AL37/AJ37/LN(10))</f>
        <v>DELETE</v>
      </c>
      <c r="AO37" s="155">
        <f>qPCR_Raw!AA37</f>
        <v>30.601451873779297</v>
      </c>
      <c r="AP37" s="156" cm="1">
        <f t="array" ref="AP37">_xlfn.IFS(AO37="Undetermined", 0, qPCR_Raw!AB37&lt;=6, 0, qPCR_Raw!AB37&gt;6, qPCR_Raw!AB37)</f>
        <v>0</v>
      </c>
      <c r="AQ37" s="157">
        <f>qPCR_Raw!AD37</f>
        <v>32.285350799560547</v>
      </c>
      <c r="AR37" s="156" cm="1">
        <f t="array" ref="AR37">_xlfn.IFS(AQ37="Undetermined", 0, qPCR_Raw!AE37&lt;=6, 0, qPCR_Raw!AE37&gt;6, qPCR_Raw!AE37)</f>
        <v>0</v>
      </c>
      <c r="AS37" s="158" t="str" cm="1">
        <f t="array" ref="AS37">_xlfn.IFS(AND(AO37="Undetermined", AQ37="Undetermined"), "Undetermined", AND(AP37=0, AR37=0), "Undetermined", AND(AP37=0, AR37&gt;0), "Ten-Fold", AND(AP37&gt;0, AR37=0), "Undiluted", AND(AO37&lt;&gt;"Undetermined", AQ37&lt;&gt;"Undetermined", AP37&gt;0, AR37&gt;0, AO37&lt;&gt;AQ37), 100*(-1+10^(-1/(AO37-AQ37))), AND(AO37&lt;&gt;"Undetermined", AQ37&lt;&gt;"Undetermined", AO37=AQ37&gt;0), -100)</f>
        <v>Undetermined</v>
      </c>
      <c r="AT37" s="159" cm="1">
        <f t="array" ref="AT37">_xlfn.IFS(AS37="Undetermined", 0, AS37="Undiluted", AP37*$G37/$F37*1000, AS37="Ten-Fold", AR37*$G37/$F37*1000*10, AS37&lt;0, AR37*$G37/$F37*1000*10, AS37&lt;120, AP37*$G37/$F37*1000, AS37&gt;120, AR37*$G37/$F37*1000*10)</f>
        <v>0</v>
      </c>
      <c r="AU37" s="156" t="str">
        <f t="shared" si="11"/>
        <v>DELETE</v>
      </c>
      <c r="AV37" s="156" t="str">
        <f t="shared" si="12"/>
        <v>DELETE</v>
      </c>
      <c r="AW37" s="156" t="str">
        <f t="shared" si="13"/>
        <v>DELETE</v>
      </c>
      <c r="AX37" s="160" t="str" cm="1">
        <f t="array" ref="AX37">_xlfn.IFS(AU37="DELETE", "DELETE", AU37=0, 0, AU37&gt;0,LOG10(AU37))</f>
        <v>DELETE</v>
      </c>
      <c r="AY37" s="161" t="str" cm="1">
        <f t="array" ref="AY37">_xlfn.IFS(AU37="DELETE", "DELETE", AU37=0, 0, AU37&gt;0, AW37/AU37/LN(10))</f>
        <v>DELETE</v>
      </c>
      <c r="AZ37" s="120" t="str">
        <f>qPCR_Raw!AG37</f>
        <v>Undetermined</v>
      </c>
      <c r="BA37" s="121" cm="1">
        <f t="array" ref="BA37">_xlfn.IFS(AZ37="Undetermined", 0, qPCR_Raw!AH37&lt;=1, 0, qPCR_Raw!AH37&gt;1, qPCR_Raw!AH37)</f>
        <v>0</v>
      </c>
      <c r="BB37" s="122" t="str">
        <f>qPCR_Raw!AJ37</f>
        <v>Undetermined</v>
      </c>
      <c r="BC37" s="121" cm="1">
        <f t="array" ref="BC37">_xlfn.IFS(BB37="Undetermined", 0, qPCR_Raw!AK37&lt;=1, 0, qPCR_Raw!AK37&gt;1, qPCR_Raw!AK37)</f>
        <v>0</v>
      </c>
      <c r="BD37" s="123" t="str" cm="1">
        <f t="array" ref="BD37">_xlfn.IFS(AND(AZ37="Undetermined", BB37="Undetermined"), "Undetermined", AND(BA37=0, BC37=0), "Undetermined", AND(BA37=0, BC37&gt;0), "Ten-Fold", AND(BA37&gt;0, BC37=0), "Undiluted", AND(AZ37&lt;&gt;"Undetermined", BB37&lt;&gt;"Undetermined", BA37&gt;0, BC37&gt;0, AZ37&lt;&gt;BB37), 100*(-1+10^(-1/(AZ37-BB37))), AND(AZ37&lt;&gt;"Undetermined", BB37&lt;&gt;"Undetermined", AZ37=BB37&gt;0), -100)</f>
        <v>Undetermined</v>
      </c>
      <c r="BE37" s="124" cm="1">
        <f t="array" ref="BE37">_xlfn.IFS(BD37="Undetermined", 0, BD37="Undiluted", BA37*$G37/$F37*1000, BD37="Ten-Fold", BC37*$G37/$F37*1000*10, BD37&lt;0, BC37*$G37/$F37*1000*10, BD37&lt;120, BA37*$G37/$F37*1000, BD37&gt;120, BC37*$G37/$F37*1000*10)</f>
        <v>0</v>
      </c>
      <c r="BF37" s="121" t="str">
        <f t="shared" si="14"/>
        <v>DELETE</v>
      </c>
      <c r="BG37" s="121" t="str">
        <f t="shared" si="15"/>
        <v>DELETE</v>
      </c>
      <c r="BH37" s="121" t="str">
        <f t="shared" si="16"/>
        <v>DELETE</v>
      </c>
      <c r="BI37" s="125" t="str" cm="1">
        <f t="array" ref="BI37">_xlfn.IFS(BF37="DELETE", "DELETE", BF37=0, 0, BF37&gt;0,LOG10(BF37))</f>
        <v>DELETE</v>
      </c>
      <c r="BJ37" s="126" t="str" cm="1">
        <f t="array" ref="BJ37">_xlfn.IFS(BF37="DELETE", "DELETE", BF37=0, 0, BF37&gt;0, BH37/BF37/LN(10))</f>
        <v>DELETE</v>
      </c>
    </row>
    <row r="38" spans="1:62" s="114" customFormat="1" x14ac:dyDescent="0.3">
      <c r="A38" s="115" t="str">
        <f>UPPER(LEFT(SUBSTITUTE(SUBSTITUTE(qPCR_Raw!A38,"-","")," ",""),2))&amp;RIGHT(SUBSTITUTE(SUBSTITUTE(qPCR_Raw!A38,"-","")," ",""),LEN(SUBSTITUTE(SUBSTITUTE(qPCR_Raw!A38,"-","")," ",""))-2)</f>
        <v>RW6</v>
      </c>
      <c r="B38" s="116" t="str" cm="1">
        <f t="array" ref="B38">_xlfn.IFS(LEFT(A38, LEN(A38)-1)="EP", "EP", LEFT(A38, LEN(A38)-1)="STa", "SPI", LEFT(A38, LEN(A38)-1)="STb", "SPO", LEFT(A38, LEN(A38)-1)="MRT", "MRT", LEFT(A38, LEN(A38)-1)="RG", "RN", LEFT(A38, LEN(A38)-1)="RT", "RU", LEFT(A38, LEN(A38)-1)="RW", "RL", LEFT(A38, LEN(A38)-1)="RC", "RS")</f>
        <v>RL</v>
      </c>
      <c r="C38" s="117">
        <f>qPCR_Raw!B38</f>
        <v>44350</v>
      </c>
      <c r="D38" s="117" t="str">
        <f t="shared" si="0"/>
        <v>RL44350</v>
      </c>
      <c r="E38" s="117" t="str">
        <f t="shared" si="1"/>
        <v>RL443506</v>
      </c>
      <c r="F38" s="118">
        <f>qPCR_Raw!C38</f>
        <v>1000</v>
      </c>
      <c r="G38" s="119">
        <f>qPCR_Raw!F38</f>
        <v>100</v>
      </c>
      <c r="H38" s="120">
        <f>qPCR_Raw!G38</f>
        <v>16.754219055175781</v>
      </c>
      <c r="I38" s="121" cm="1">
        <f t="array" ref="I38">_xlfn.IFS(H38="Undetermined", 0, qPCR_Raw!H38-qPCR_Raw!$H$242&lt;0, 0, qPCR_Raw!H38-qPCR_Raw!$H$242&gt;0, qPCR_Raw!H38-qPCR_Raw!$H$242)</f>
        <v>590568.61144612625</v>
      </c>
      <c r="J38" s="122">
        <f>qPCR_Raw!K38</f>
        <v>19.965038299560547</v>
      </c>
      <c r="K38" s="121" cm="1">
        <f t="array" ref="K38">_xlfn.IFS(J38="Undetermined", 0, qPCR_Raw!L38-qPCR_Raw!$H$242&lt;0, 0, qPCR_Raw!L38-qPCR_Raw!$H$242&gt;0, qPCR_Raw!L38-qPCR_Raw!$H$242)</f>
        <v>68761.353633626306</v>
      </c>
      <c r="L38" s="123" cm="1">
        <f t="array" ref="L38">_xlfn.IFS(AND(H38="Undetermined", J38="Undetermined"), "Undetermined", AND(I38=0, K38=0), "Undetermined", AND(I38=0, K38&gt;0), "Ten-Fold", AND(I38&gt;0, K38=0), "Undiluted", AND(H38&lt;&gt;"Undetermined", J38&lt;&gt;"Undetermined", I38&gt;0, K38&gt;0), 100*(-1+10^(-1/(H38-J38))))</f>
        <v>104.85520043839433</v>
      </c>
      <c r="M38" s="124" cm="1">
        <f t="array" ref="M38">_xlfn.IFS(L38="Undetermined", 0, L38="Undiluted", I38*$G38/$F38*1000, L38="Ten-Fold", K38*$G38/$F38*1000*10, L38&lt;0, K38*$G38/$F38*1000*10, L38&lt;120, I38*$G38/$F38*1000, L38&gt;120, K38*$G38/$F38*1000*10)</f>
        <v>59056861.144612625</v>
      </c>
      <c r="N38" s="121">
        <f t="shared" si="2"/>
        <v>57258145.097091109</v>
      </c>
      <c r="O38" s="121">
        <f t="shared" si="3"/>
        <v>2543768.6292630574</v>
      </c>
      <c r="P38" s="121">
        <f t="shared" si="4"/>
        <v>1798716.0475215164</v>
      </c>
      <c r="Q38" s="125" cm="1">
        <f t="array" ref="Q38">_xlfn.IFS(N38="DELETE", "DELETE", N38=0, 0, N38&gt;0,LOG10(N38))</f>
        <v>7.7578372747518367</v>
      </c>
      <c r="R38" s="126" cm="1">
        <f t="array" ref="R38">_xlfn.IFS(N38="DELETE", "DELETE", N38=0, 0, N38&gt;0, P38/N38/LN(10))</f>
        <v>1.3642992671606957E-2</v>
      </c>
      <c r="S38" s="155">
        <f>qPCR_Raw!O38</f>
        <v>32.933952331542969</v>
      </c>
      <c r="T38" s="156" cm="1">
        <f t="array" ref="T38">_xlfn.IFS(S38="Undetermined", 0, qPCR_Raw!P38&lt;=1, 0, qPCR_Raw!P38&gt;1, qPCR_Raw!P38)</f>
        <v>187.21766662597656</v>
      </c>
      <c r="U38" s="157">
        <f>qPCR_Raw!R38</f>
        <v>31.285758972167969</v>
      </c>
      <c r="V38" s="156" cm="1">
        <f t="array" ref="V38">_xlfn.IFS(U38="Undetermined", 0, qPCR_Raw!S38&lt;=1, 0, qPCR_Raw!S38&gt;1, qPCR_Raw!S38)</f>
        <v>499.77725219726563</v>
      </c>
      <c r="W38" s="158" cm="1">
        <f t="array" ref="W38">_xlfn.IFS(AND(S38="Undetermined", U38="Undetermined"), "Undetermined", AND(T38=0, V38=0), "Undetermined", AND(T38=0, V38&gt;0), "Ten-Fold", AND(T38&gt;0, V38=0), "Undiluted", AND(S38&lt;&gt;"Undetermined", U38&lt;&gt;"Undetermined", T38&gt;0, V38&gt;0, S38&lt;&gt;U38), 100*(-1+10^(-1/(S38-U38))), AND(S38&lt;&gt;"Undetermined", U38&lt;&gt;"Undetermined", S38=U38&gt;0), -100)</f>
        <v>-75.267098359839352</v>
      </c>
      <c r="X38" s="159" cm="1">
        <f t="array" ref="X38">_xlfn.IFS(W38="Undetermined", 0, W38="Undiluted", T38*$G38/$F38*1000, W38="Ten-Fold", V38*$G38/$F38*1000*10, W38&lt;0, V38*$G38/$F38*1000*10, W38&lt;120, T38*$G38/$F38*1000, W38&gt;120, V38*$G38/$F38*1000*10)</f>
        <v>499777.25219726563</v>
      </c>
      <c r="Y38" s="156">
        <f t="shared" si="5"/>
        <v>271746.11918131512</v>
      </c>
      <c r="Z38" s="156">
        <f t="shared" si="6"/>
        <v>322484.72095446044</v>
      </c>
      <c r="AA38" s="156">
        <f t="shared" si="7"/>
        <v>228031.13301595047</v>
      </c>
      <c r="AB38" s="160" cm="1">
        <f t="array" ref="AB38">_xlfn.IFS(Y38="DELETE", "DELETE", Y38=0, 0, Y38&gt;0,LOG10(Y38))</f>
        <v>5.4341633506233746</v>
      </c>
      <c r="AC38" s="161" cm="1">
        <f t="array" ref="AC38">_xlfn.IFS(Y38="DELETE", "DELETE", Y38=0, 0, Y38&gt;0, AA38/Y38/LN(10))</f>
        <v>0.3644308263511829</v>
      </c>
      <c r="AD38" s="120">
        <f>qPCR_Raw!U38</f>
        <v>36.130817413330078</v>
      </c>
      <c r="AE38" s="121" cm="1">
        <f t="array" ref="AE38">_xlfn.IFS(AD38="Undetermined", 0, qPCR_Raw!V38&lt;=1, 0, qPCR_Raw!V38&gt;1, qPCR_Raw!V38)</f>
        <v>0</v>
      </c>
      <c r="AF38" s="122" t="str">
        <f>qPCR_Raw!X38</f>
        <v>Undetermined</v>
      </c>
      <c r="AG38" s="121" cm="1">
        <f t="array" ref="AG38">_xlfn.IFS(AF38="Undetermined", 0, qPCR_Raw!Y38&lt;=1, 0, qPCR_Raw!Y38&gt;1, qPCR_Raw!Y38)</f>
        <v>0</v>
      </c>
      <c r="AH38" s="123" t="str" cm="1">
        <f t="array" ref="AH38">_xlfn.IFS(AND(AD38="Undetermined", AF38="Undetermined"), "Undetermined", AND(AE38=0, AG38=0), "Undetermined", AND(AE38=0, AG38&gt;0), "Ten-Fold", AND(AE38&gt;0, AG38=0), "Undiluted", AND(AD38&lt;&gt;"Undetermined", AF38&lt;&gt;"Undetermined", AE38&gt;0, AG38&gt;0, AD38&lt;&gt;AF38), 100*(-1+10^(-1/(AD38-AF38))), AND(AD38&lt;&gt;"Undetermined", AF38&lt;&gt;"Undetermined", AD38=AF38&gt;0), -100)</f>
        <v>Undetermined</v>
      </c>
      <c r="AI38" s="124" cm="1">
        <f t="array" ref="AI38">_xlfn.IFS(AH38="Undetermined", 0, AH38="Undiluted", AE38*$G38/$F38*1000, AH38="Ten-Fold", AG38*$G38/$F38*1000*10, AH38&lt;0, AG38*$G38/$F38*1000*10, AH38&lt;120, AE38*$G38/$F38*1000, AH38&gt;120, AG38*$G38/$F38*1000*10)</f>
        <v>0</v>
      </c>
      <c r="AJ38" s="121">
        <f t="shared" si="8"/>
        <v>274.00694953070746</v>
      </c>
      <c r="AK38" s="121">
        <f t="shared" si="9"/>
        <v>387.50434421080666</v>
      </c>
      <c r="AL38" s="121">
        <f t="shared" si="10"/>
        <v>274.00694953070746</v>
      </c>
      <c r="AM38" s="125" cm="1">
        <f t="array" ref="AM38">_xlfn.IFS(AJ38="DELETE", "DELETE", AJ38=0, 0, AJ38&gt;0,LOG10(AJ38))</f>
        <v>2.4377615778005475</v>
      </c>
      <c r="AN38" s="126" cm="1">
        <f t="array" ref="AN38">_xlfn.IFS(AJ38="DELETE", "DELETE", AJ38=0, 0, AJ38&gt;0, AL38/AJ38/LN(10))</f>
        <v>0.43429448190325176</v>
      </c>
      <c r="AO38" s="155">
        <f>qPCR_Raw!AA38</f>
        <v>30.273244857788086</v>
      </c>
      <c r="AP38" s="156" cm="1">
        <f t="array" ref="AP38">_xlfn.IFS(AO38="Undetermined", 0, qPCR_Raw!AB38&lt;=6, 0, qPCR_Raw!AB38&gt;6, qPCR_Raw!AB38)</f>
        <v>0</v>
      </c>
      <c r="AQ38" s="157" t="str">
        <f>qPCR_Raw!AD38</f>
        <v>Undetermined</v>
      </c>
      <c r="AR38" s="156" cm="1">
        <f t="array" ref="AR38">_xlfn.IFS(AQ38="Undetermined", 0, qPCR_Raw!AE38&lt;=6, 0, qPCR_Raw!AE38&gt;6, qPCR_Raw!AE38)</f>
        <v>0</v>
      </c>
      <c r="AS38" s="158" t="str" cm="1">
        <f t="array" ref="AS38">_xlfn.IFS(AND(AO38="Undetermined", AQ38="Undetermined"), "Undetermined", AND(AP38=0, AR38=0), "Undetermined", AND(AP38=0, AR38&gt;0), "Ten-Fold", AND(AP38&gt;0, AR38=0), "Undiluted", AND(AO38&lt;&gt;"Undetermined", AQ38&lt;&gt;"Undetermined", AP38&gt;0, AR38&gt;0, AO38&lt;&gt;AQ38), 100*(-1+10^(-1/(AO38-AQ38))), AND(AO38&lt;&gt;"Undetermined", AQ38&lt;&gt;"Undetermined", AO38=AQ38&gt;0), -100)</f>
        <v>Undetermined</v>
      </c>
      <c r="AT38" s="159" cm="1">
        <f t="array" ref="AT38">_xlfn.IFS(AS38="Undetermined", 0, AS38="Undiluted", AP38*$G38/$F38*1000, AS38="Ten-Fold", AR38*$G38/$F38*1000*10, AS38&lt;0, AR38*$G38/$F38*1000*10, AS38&lt;120, AP38*$G38/$F38*1000, AS38&gt;120, AR38*$G38/$F38*1000*10)</f>
        <v>0</v>
      </c>
      <c r="AU38" s="156">
        <f t="shared" si="11"/>
        <v>0</v>
      </c>
      <c r="AV38" s="156">
        <f t="shared" si="12"/>
        <v>0</v>
      </c>
      <c r="AW38" s="156">
        <f t="shared" si="13"/>
        <v>0</v>
      </c>
      <c r="AX38" s="160" cm="1">
        <f t="array" ref="AX38">_xlfn.IFS(AU38="DELETE", "DELETE", AU38=0, 0, AU38&gt;0,LOG10(AU38))</f>
        <v>0</v>
      </c>
      <c r="AY38" s="161" cm="1">
        <f t="array" ref="AY38">_xlfn.IFS(AU38="DELETE", "DELETE", AU38=0, 0, AU38&gt;0, AW38/AU38/LN(10))</f>
        <v>0</v>
      </c>
      <c r="AZ38" s="120" t="str">
        <f>qPCR_Raw!AG38</f>
        <v>Undetermined</v>
      </c>
      <c r="BA38" s="121" cm="1">
        <f t="array" ref="BA38">_xlfn.IFS(AZ38="Undetermined", 0, qPCR_Raw!AH38&lt;=1, 0, qPCR_Raw!AH38&gt;1, qPCR_Raw!AH38)</f>
        <v>0</v>
      </c>
      <c r="BB38" s="122" t="str">
        <f>qPCR_Raw!AJ38</f>
        <v>Undetermined</v>
      </c>
      <c r="BC38" s="121" cm="1">
        <f t="array" ref="BC38">_xlfn.IFS(BB38="Undetermined", 0, qPCR_Raw!AK38&lt;=1, 0, qPCR_Raw!AK38&gt;1, qPCR_Raw!AK38)</f>
        <v>0</v>
      </c>
      <c r="BD38" s="123" t="str" cm="1">
        <f t="array" ref="BD38">_xlfn.IFS(AND(AZ38="Undetermined", BB38="Undetermined"), "Undetermined", AND(BA38=0, BC38=0), "Undetermined", AND(BA38=0, BC38&gt;0), "Ten-Fold", AND(BA38&gt;0, BC38=0), "Undiluted", AND(AZ38&lt;&gt;"Undetermined", BB38&lt;&gt;"Undetermined", BA38&gt;0, BC38&gt;0, AZ38&lt;&gt;BB38), 100*(-1+10^(-1/(AZ38-BB38))), AND(AZ38&lt;&gt;"Undetermined", BB38&lt;&gt;"Undetermined", AZ38=BB38&gt;0), -100)</f>
        <v>Undetermined</v>
      </c>
      <c r="BE38" s="124" cm="1">
        <f t="array" ref="BE38">_xlfn.IFS(BD38="Undetermined", 0, BD38="Undiluted", BA38*$G38/$F38*1000, BD38="Ten-Fold", BC38*$G38/$F38*1000*10, BD38&lt;0, BC38*$G38/$F38*1000*10, BD38&lt;120, BA38*$G38/$F38*1000, BD38&gt;120, BC38*$G38/$F38*1000*10)</f>
        <v>0</v>
      </c>
      <c r="BF38" s="121">
        <f t="shared" si="14"/>
        <v>0</v>
      </c>
      <c r="BG38" s="121">
        <f t="shared" si="15"/>
        <v>0</v>
      </c>
      <c r="BH38" s="121">
        <f t="shared" si="16"/>
        <v>0</v>
      </c>
      <c r="BI38" s="125" cm="1">
        <f t="array" ref="BI38">_xlfn.IFS(BF38="DELETE", "DELETE", BF38=0, 0, BF38&gt;0,LOG10(BF38))</f>
        <v>0</v>
      </c>
      <c r="BJ38" s="126" cm="1">
        <f t="array" ref="BJ38">_xlfn.IFS(BF38="DELETE", "DELETE", BF38=0, 0, BF38&gt;0, BH38/BF38/LN(10))</f>
        <v>0</v>
      </c>
    </row>
    <row r="39" spans="1:62" s="114" customFormat="1" x14ac:dyDescent="0.3">
      <c r="A39" s="115" t="str">
        <f>UPPER(LEFT(SUBSTITUTE(SUBSTITUTE(qPCR_Raw!A39,"-","")," ",""),2))&amp;RIGHT(SUBSTITUTE(SUBSTITUTE(qPCR_Raw!A39,"-","")," ",""),LEN(SUBSTITUTE(SUBSTITUTE(qPCR_Raw!A39,"-","")," ",""))-2)</f>
        <v>RW7</v>
      </c>
      <c r="B39" s="116" t="str" cm="1">
        <f t="array" ref="B39">_xlfn.IFS(LEFT(A39, LEN(A39)-1)="EP", "EP", LEFT(A39, LEN(A39)-1)="STa", "SPI", LEFT(A39, LEN(A39)-1)="STb", "SPO", LEFT(A39, LEN(A39)-1)="MRT", "MRT", LEFT(A39, LEN(A39)-1)="RG", "RN", LEFT(A39, LEN(A39)-1)="RT", "RU", LEFT(A39, LEN(A39)-1)="RW", "RL", LEFT(A39, LEN(A39)-1)="RC", "RS")</f>
        <v>RL</v>
      </c>
      <c r="C39" s="117">
        <f>qPCR_Raw!B39</f>
        <v>44350</v>
      </c>
      <c r="D39" s="117" t="str">
        <f t="shared" si="0"/>
        <v>RL44350</v>
      </c>
      <c r="E39" s="117" t="str">
        <f t="shared" si="1"/>
        <v>RL443507</v>
      </c>
      <c r="F39" s="118">
        <f>qPCR_Raw!C39</f>
        <v>900</v>
      </c>
      <c r="G39" s="119">
        <f>qPCR_Raw!F39</f>
        <v>100</v>
      </c>
      <c r="H39" s="120">
        <f>qPCR_Raw!G39</f>
        <v>17.018051147460938</v>
      </c>
      <c r="I39" s="121" cm="1">
        <f t="array" ref="I39">_xlfn.IFS(H39="Undetermined", 0, qPCR_Raw!H39-qPCR_Raw!$H$242&lt;0, 0, qPCR_Raw!H39-qPCR_Raw!$H$242&gt;0, qPCR_Raw!H39-qPCR_Raw!$H$242)</f>
        <v>499134.86144612631</v>
      </c>
      <c r="J39" s="122">
        <f>qPCR_Raw!K39</f>
        <v>20.393613815307617</v>
      </c>
      <c r="K39" s="121" cm="1">
        <f t="array" ref="K39">_xlfn.IFS(J39="Undetermined", 0, qPCR_Raw!L39-qPCR_Raw!$H$242&lt;0, 0, qPCR_Raw!L39-qPCR_Raw!$H$242&gt;0, qPCR_Raw!L39-qPCR_Raw!$H$242)</f>
        <v>49615.580196126306</v>
      </c>
      <c r="L39" s="123" cm="1">
        <f t="array" ref="L39">_xlfn.IFS(AND(H39="Undetermined", J39="Undetermined"), "Undetermined", AND(I39=0, K39=0), "Undetermined", AND(I39=0, K39&gt;0), "Ten-Fold", AND(I39&gt;0, K39=0), "Undiluted", AND(H39&lt;&gt;"Undetermined", J39&lt;&gt;"Undetermined", I39&gt;0, K39&gt;0), 100*(-1+10^(-1/(H39-J39))))</f>
        <v>97.809391546312696</v>
      </c>
      <c r="M39" s="124" cm="1">
        <f t="array" ref="M39">_xlfn.IFS(L39="Undetermined", 0, L39="Undiluted", I39*$G39/$F39*1000, L39="Ten-Fold", K39*$G39/$F39*1000*10, L39&lt;0, K39*$G39/$F39*1000*10, L39&lt;120, I39*$G39/$F39*1000, L39&gt;120, K39*$G39/$F39*1000*10)</f>
        <v>55459429.049569592</v>
      </c>
      <c r="N39" s="121" t="str">
        <f t="shared" si="2"/>
        <v>DELETE</v>
      </c>
      <c r="O39" s="121" t="str">
        <f t="shared" si="3"/>
        <v>DELETE</v>
      </c>
      <c r="P39" s="121" t="str">
        <f t="shared" si="4"/>
        <v>DELETE</v>
      </c>
      <c r="Q39" s="125" t="str" cm="1">
        <f t="array" ref="Q39">_xlfn.IFS(N39="DELETE", "DELETE", N39=0, 0, N39&gt;0,LOG10(N39))</f>
        <v>DELETE</v>
      </c>
      <c r="R39" s="126" t="str" cm="1">
        <f t="array" ref="R39">_xlfn.IFS(N39="DELETE", "DELETE", N39=0, 0, N39&gt;0, P39/N39/LN(10))</f>
        <v>DELETE</v>
      </c>
      <c r="S39" s="155">
        <f>qPCR_Raw!O39</f>
        <v>31.687356948852539</v>
      </c>
      <c r="T39" s="156" cm="1">
        <f t="array" ref="T39">_xlfn.IFS(S39="Undetermined", 0, qPCR_Raw!P39&lt;=1, 0, qPCR_Raw!P39&gt;1, qPCR_Raw!P39)</f>
        <v>393.43487548828125</v>
      </c>
      <c r="U39" s="157">
        <f>qPCR_Raw!R39</f>
        <v>34.800807952880859</v>
      </c>
      <c r="V39" s="156" cm="1">
        <f t="array" ref="V39">_xlfn.IFS(U39="Undetermined", 0, qPCR_Raw!S39&lt;=1, 0, qPCR_Raw!S39&gt;1, qPCR_Raw!S39)</f>
        <v>61.566379547119141</v>
      </c>
      <c r="W39" s="158" cm="1">
        <f t="array" ref="W39">_xlfn.IFS(AND(S39="Undetermined", U39="Undetermined"), "Undetermined", AND(T39=0, V39=0), "Undetermined", AND(T39=0, V39&gt;0), "Ten-Fold", AND(T39&gt;0, V39=0), "Undiluted", AND(S39&lt;&gt;"Undetermined", U39&lt;&gt;"Undetermined", T39&gt;0, V39&gt;0, S39&lt;&gt;U39), 100*(-1+10^(-1/(S39-U39))), AND(S39&lt;&gt;"Undetermined", U39&lt;&gt;"Undetermined", S39=U39&gt;0), -100)</f>
        <v>109.50143592569668</v>
      </c>
      <c r="X39" s="159" cm="1">
        <f t="array" ref="X39">_xlfn.IFS(W39="Undetermined", 0, W39="Undiluted", T39*$G39/$F39*1000, W39="Ten-Fold", V39*$G39/$F39*1000*10, W39&lt;0, V39*$G39/$F39*1000*10, W39&lt;120, T39*$G39/$F39*1000, W39&gt;120, V39*$G39/$F39*1000*10)</f>
        <v>43714.986165364586</v>
      </c>
      <c r="Y39" s="156" t="str">
        <f t="shared" si="5"/>
        <v>DELETE</v>
      </c>
      <c r="Z39" s="156" t="str">
        <f t="shared" si="6"/>
        <v>DELETE</v>
      </c>
      <c r="AA39" s="156" t="str">
        <f t="shared" si="7"/>
        <v>DELETE</v>
      </c>
      <c r="AB39" s="160" t="str" cm="1">
        <f t="array" ref="AB39">_xlfn.IFS(Y39="DELETE", "DELETE", Y39=0, 0, Y39&gt;0,LOG10(Y39))</f>
        <v>DELETE</v>
      </c>
      <c r="AC39" s="161" t="str" cm="1">
        <f t="array" ref="AC39">_xlfn.IFS(Y39="DELETE", "DELETE", Y39=0, 0, Y39&gt;0, AA39/Y39/LN(10))</f>
        <v>DELETE</v>
      </c>
      <c r="AD39" s="120">
        <f>qPCR_Raw!U39</f>
        <v>33.109592437744141</v>
      </c>
      <c r="AE39" s="121" cm="1">
        <f t="array" ref="AE39">_xlfn.IFS(AD39="Undetermined", 0, qPCR_Raw!V39&lt;=1, 0, qPCR_Raw!V39&gt;1, qPCR_Raw!V39)</f>
        <v>4.9321250915527344</v>
      </c>
      <c r="AF39" s="122">
        <f>qPCR_Raw!X39</f>
        <v>36.641960144042969</v>
      </c>
      <c r="AG39" s="121" cm="1">
        <f t="array" ref="AG39">_xlfn.IFS(AF39="Undetermined", 0, qPCR_Raw!Y39&lt;=1, 0, qPCR_Raw!Y39&gt;1, qPCR_Raw!Y39)</f>
        <v>0</v>
      </c>
      <c r="AH39" s="123" t="str" cm="1">
        <f t="array" ref="AH39">_xlfn.IFS(AND(AD39="Undetermined", AF39="Undetermined"), "Undetermined", AND(AE39=0, AG39=0), "Undetermined", AND(AE39=0, AG39&gt;0), "Ten-Fold", AND(AE39&gt;0, AG39=0), "Undiluted", AND(AD39&lt;&gt;"Undetermined", AF39&lt;&gt;"Undetermined", AE39&gt;0, AG39&gt;0, AD39&lt;&gt;AF39), 100*(-1+10^(-1/(AD39-AF39))), AND(AD39&lt;&gt;"Undetermined", AF39&lt;&gt;"Undetermined", AD39=AF39&gt;0), -100)</f>
        <v>Undiluted</v>
      </c>
      <c r="AI39" s="124" cm="1">
        <f t="array" ref="AI39">_xlfn.IFS(AH39="Undetermined", 0, AH39="Undiluted", AE39*$G39/$F39*1000, AH39="Ten-Fold", AG39*$G39/$F39*1000*10, AH39&lt;0, AG39*$G39/$F39*1000*10, AH39&lt;120, AE39*$G39/$F39*1000, AH39&gt;120, AG39*$G39/$F39*1000*10)</f>
        <v>548.01389906141492</v>
      </c>
      <c r="AJ39" s="121" t="str">
        <f t="shared" si="8"/>
        <v>DELETE</v>
      </c>
      <c r="AK39" s="121" t="str">
        <f t="shared" si="9"/>
        <v>DELETE</v>
      </c>
      <c r="AL39" s="121" t="str">
        <f t="shared" si="10"/>
        <v>DELETE</v>
      </c>
      <c r="AM39" s="125" t="str" cm="1">
        <f t="array" ref="AM39">_xlfn.IFS(AJ39="DELETE", "DELETE", AJ39=0, 0, AJ39&gt;0,LOG10(AJ39))</f>
        <v>DELETE</v>
      </c>
      <c r="AN39" s="126" t="str" cm="1">
        <f t="array" ref="AN39">_xlfn.IFS(AJ39="DELETE", "DELETE", AJ39=0, 0, AJ39&gt;0, AL39/AJ39/LN(10))</f>
        <v>DELETE</v>
      </c>
      <c r="AO39" s="155">
        <f>qPCR_Raw!AA39</f>
        <v>30.065032958984375</v>
      </c>
      <c r="AP39" s="156" cm="1">
        <f t="array" ref="AP39">_xlfn.IFS(AO39="Undetermined", 0, qPCR_Raw!AB39&lt;=6, 0, qPCR_Raw!AB39&gt;6, qPCR_Raw!AB39)</f>
        <v>0</v>
      </c>
      <c r="AQ39" s="157" t="str">
        <f>qPCR_Raw!AD39</f>
        <v>Undetermined</v>
      </c>
      <c r="AR39" s="156" cm="1">
        <f t="array" ref="AR39">_xlfn.IFS(AQ39="Undetermined", 0, qPCR_Raw!AE39&lt;=6, 0, qPCR_Raw!AE39&gt;6, qPCR_Raw!AE39)</f>
        <v>0</v>
      </c>
      <c r="AS39" s="158" t="str" cm="1">
        <f t="array" ref="AS39">_xlfn.IFS(AND(AO39="Undetermined", AQ39="Undetermined"), "Undetermined", AND(AP39=0, AR39=0), "Undetermined", AND(AP39=0, AR39&gt;0), "Ten-Fold", AND(AP39&gt;0, AR39=0), "Undiluted", AND(AO39&lt;&gt;"Undetermined", AQ39&lt;&gt;"Undetermined", AP39&gt;0, AR39&gt;0, AO39&lt;&gt;AQ39), 100*(-1+10^(-1/(AO39-AQ39))), AND(AO39&lt;&gt;"Undetermined", AQ39&lt;&gt;"Undetermined", AO39=AQ39&gt;0), -100)</f>
        <v>Undetermined</v>
      </c>
      <c r="AT39" s="159" cm="1">
        <f t="array" ref="AT39">_xlfn.IFS(AS39="Undetermined", 0, AS39="Undiluted", AP39*$G39/$F39*1000, AS39="Ten-Fold", AR39*$G39/$F39*1000*10, AS39&lt;0, AR39*$G39/$F39*1000*10, AS39&lt;120, AP39*$G39/$F39*1000, AS39&gt;120, AR39*$G39/$F39*1000*10)</f>
        <v>0</v>
      </c>
      <c r="AU39" s="156" t="str">
        <f t="shared" si="11"/>
        <v>DELETE</v>
      </c>
      <c r="AV39" s="156" t="str">
        <f t="shared" si="12"/>
        <v>DELETE</v>
      </c>
      <c r="AW39" s="156" t="str">
        <f t="shared" si="13"/>
        <v>DELETE</v>
      </c>
      <c r="AX39" s="160" t="str" cm="1">
        <f t="array" ref="AX39">_xlfn.IFS(AU39="DELETE", "DELETE", AU39=0, 0, AU39&gt;0,LOG10(AU39))</f>
        <v>DELETE</v>
      </c>
      <c r="AY39" s="161" t="str" cm="1">
        <f t="array" ref="AY39">_xlfn.IFS(AU39="DELETE", "DELETE", AU39=0, 0, AU39&gt;0, AW39/AU39/LN(10))</f>
        <v>DELETE</v>
      </c>
      <c r="AZ39" s="120">
        <f>qPCR_Raw!AG39</f>
        <v>37.25006103515625</v>
      </c>
      <c r="BA39" s="121" cm="1">
        <f t="array" ref="BA39">_xlfn.IFS(AZ39="Undetermined", 0, qPCR_Raw!AH39&lt;=1, 0, qPCR_Raw!AH39&gt;1, qPCR_Raw!AH39)</f>
        <v>0</v>
      </c>
      <c r="BB39" s="122" t="str">
        <f>qPCR_Raw!AJ39</f>
        <v>Undetermined</v>
      </c>
      <c r="BC39" s="121" cm="1">
        <f t="array" ref="BC39">_xlfn.IFS(BB39="Undetermined", 0, qPCR_Raw!AK39&lt;=1, 0, qPCR_Raw!AK39&gt;1, qPCR_Raw!AK39)</f>
        <v>0</v>
      </c>
      <c r="BD39" s="123" t="str" cm="1">
        <f t="array" ref="BD39">_xlfn.IFS(AND(AZ39="Undetermined", BB39="Undetermined"), "Undetermined", AND(BA39=0, BC39=0), "Undetermined", AND(BA39=0, BC39&gt;0), "Ten-Fold", AND(BA39&gt;0, BC39=0), "Undiluted", AND(AZ39&lt;&gt;"Undetermined", BB39&lt;&gt;"Undetermined", BA39&gt;0, BC39&gt;0, AZ39&lt;&gt;BB39), 100*(-1+10^(-1/(AZ39-BB39))), AND(AZ39&lt;&gt;"Undetermined", BB39&lt;&gt;"Undetermined", AZ39=BB39&gt;0), -100)</f>
        <v>Undetermined</v>
      </c>
      <c r="BE39" s="124" cm="1">
        <f t="array" ref="BE39">_xlfn.IFS(BD39="Undetermined", 0, BD39="Undiluted", BA39*$G39/$F39*1000, BD39="Ten-Fold", BC39*$G39/$F39*1000*10, BD39&lt;0, BC39*$G39/$F39*1000*10, BD39&lt;120, BA39*$G39/$F39*1000, BD39&gt;120, BC39*$G39/$F39*1000*10)</f>
        <v>0</v>
      </c>
      <c r="BF39" s="121" t="str">
        <f t="shared" si="14"/>
        <v>DELETE</v>
      </c>
      <c r="BG39" s="121" t="str">
        <f t="shared" si="15"/>
        <v>DELETE</v>
      </c>
      <c r="BH39" s="121" t="str">
        <f t="shared" si="16"/>
        <v>DELETE</v>
      </c>
      <c r="BI39" s="125" t="str" cm="1">
        <f t="array" ref="BI39">_xlfn.IFS(BF39="DELETE", "DELETE", BF39=0, 0, BF39&gt;0,LOG10(BF39))</f>
        <v>DELETE</v>
      </c>
      <c r="BJ39" s="126" t="str" cm="1">
        <f t="array" ref="BJ39">_xlfn.IFS(BF39="DELETE", "DELETE", BF39=0, 0, BF39&gt;0, BH39/BF39/LN(10))</f>
        <v>DELETE</v>
      </c>
    </row>
    <row r="40" spans="1:62" s="114" customFormat="1" x14ac:dyDescent="0.3">
      <c r="A40" s="115" t="str">
        <f>UPPER(LEFT(SUBSTITUTE(SUBSTITUTE(qPCR_Raw!A40,"-","")," ",""),2))&amp;RIGHT(SUBSTITUTE(SUBSTITUTE(qPCR_Raw!A40,"-","")," ",""),LEN(SUBSTITUTE(SUBSTITUTE(qPCR_Raw!A40,"-","")," ",""))-2)</f>
        <v>MRT6</v>
      </c>
      <c r="B40" s="116" t="str" cm="1">
        <f t="array" ref="B40">_xlfn.IFS(LEFT(A40, LEN(A40)-1)="EP", "EP", LEFT(A40, LEN(A40)-1)="STa", "SPI", LEFT(A40, LEN(A40)-1)="STb", "SPO", LEFT(A40, LEN(A40)-1)="MRT", "MRT", LEFT(A40, LEN(A40)-1)="RG", "RN", LEFT(A40, LEN(A40)-1)="RT", "RU", LEFT(A40, LEN(A40)-1)="RW", "RL", LEFT(A40, LEN(A40)-1)="RC", "RS")</f>
        <v>MRT</v>
      </c>
      <c r="C40" s="117">
        <f>qPCR_Raw!B40</f>
        <v>44350</v>
      </c>
      <c r="D40" s="117" t="str">
        <f t="shared" si="0"/>
        <v>MRT44350</v>
      </c>
      <c r="E40" s="117" t="str">
        <f t="shared" si="1"/>
        <v>MRT443506</v>
      </c>
      <c r="F40" s="118">
        <f>qPCR_Raw!C40</f>
        <v>800</v>
      </c>
      <c r="G40" s="119">
        <f>qPCR_Raw!F40</f>
        <v>100</v>
      </c>
      <c r="H40" s="120">
        <f>qPCR_Raw!G40</f>
        <v>16.609580993652344</v>
      </c>
      <c r="I40" s="121" cm="1">
        <f t="array" ref="I40">_xlfn.IFS(H40="Undetermined", 0, qPCR_Raw!H40-qPCR_Raw!$H$242&lt;0, 0, qPCR_Raw!H40-qPCR_Raw!$H$242&gt;0, qPCR_Raw!H40-qPCR_Raw!$H$242)</f>
        <v>647447.17394612625</v>
      </c>
      <c r="J40" s="122">
        <f>qPCR_Raw!K40</f>
        <v>19.415191650390625</v>
      </c>
      <c r="K40" s="121" cm="1">
        <f t="array" ref="K40">_xlfn.IFS(J40="Undetermined", 0, qPCR_Raw!L40-qPCR_Raw!$H$242&lt;0, 0, qPCR_Raw!L40-qPCR_Raw!$H$242&gt;0, qPCR_Raw!L40-qPCR_Raw!$H$242)</f>
        <v>102135.40832112631</v>
      </c>
      <c r="L40" s="123" cm="1">
        <f t="array" ref="L40">_xlfn.IFS(AND(H40="Undetermined", J40="Undetermined"), "Undetermined", AND(I40=0, K40=0), "Undetermined", AND(I40=0, K40&gt;0), "Ten-Fold", AND(I40&gt;0, K40=0), "Undiluted", AND(H40&lt;&gt;"Undetermined", J40&lt;&gt;"Undetermined", I40&gt;0, K40&gt;0), 100*(-1+10^(-1/(H40-J40))))</f>
        <v>127.21062864464834</v>
      </c>
      <c r="M40" s="124" cm="1">
        <f t="array" ref="M40">_xlfn.IFS(L40="Undetermined", 0, L40="Undiluted", I40*$G40/$F40*1000, L40="Ten-Fold", K40*$G40/$F40*1000*10, L40&lt;0, K40*$G40/$F40*1000*10, L40&lt;120, I40*$G40/$F40*1000, L40&gt;120, K40*$G40/$F40*1000*10)</f>
        <v>127669260.4014079</v>
      </c>
      <c r="N40" s="121">
        <f t="shared" si="2"/>
        <v>117616405.17009389</v>
      </c>
      <c r="O40" s="121">
        <f t="shared" si="3"/>
        <v>14216884.208697582</v>
      </c>
      <c r="P40" s="121">
        <f t="shared" si="4"/>
        <v>10052855.231314003</v>
      </c>
      <c r="Q40" s="125" cm="1">
        <f t="array" ref="Q40">_xlfn.IFS(N40="DELETE", "DELETE", N40=0, 0, N40&gt;0,LOG10(N40))</f>
        <v>8.0704679014845713</v>
      </c>
      <c r="R40" s="126" cm="1">
        <f t="array" ref="R40">_xlfn.IFS(N40="DELETE", "DELETE", N40=0, 0, N40&gt;0, P40/N40/LN(10))</f>
        <v>3.7119818005133344E-2</v>
      </c>
      <c r="S40" s="155">
        <f>qPCR_Raw!O40</f>
        <v>28.914619445800781</v>
      </c>
      <c r="T40" s="156" cm="1">
        <f t="array" ref="T40">_xlfn.IFS(S40="Undetermined", 0, qPCR_Raw!P40&lt;=1, 0, qPCR_Raw!P40&gt;1, qPCR_Raw!P40)</f>
        <v>2052.346923828125</v>
      </c>
      <c r="U40" s="157">
        <f>qPCR_Raw!R40</f>
        <v>32.306892395019531</v>
      </c>
      <c r="V40" s="156" cm="1">
        <f t="array" ref="V40">_xlfn.IFS(U40="Undetermined", 0, qPCR_Raw!S40&lt;=1, 0, qPCR_Raw!S40&gt;1, qPCR_Raw!S40)</f>
        <v>272.00897216796875</v>
      </c>
      <c r="W40" s="158" cm="1">
        <f t="array" ref="W40">_xlfn.IFS(AND(S40="Undetermined", U40="Undetermined"), "Undetermined", AND(T40=0, V40=0), "Undetermined", AND(T40=0, V40&gt;0), "Ten-Fold", AND(T40&gt;0, V40=0), "Undiluted", AND(S40&lt;&gt;"Undetermined", U40&lt;&gt;"Undetermined", T40&gt;0, V40&gt;0, S40&lt;&gt;U40), 100*(-1+10^(-1/(S40-U40))), AND(S40&lt;&gt;"Undetermined", U40&lt;&gt;"Undetermined", S40=U40&gt;0), -100)</f>
        <v>97.145831934009678</v>
      </c>
      <c r="X40" s="159" cm="1">
        <f t="array" ref="X40">_xlfn.IFS(W40="Undetermined", 0, W40="Undiluted", T40*$G40/$F40*1000, W40="Ten-Fold", V40*$G40/$F40*1000*10, W40&lt;0, V40*$G40/$F40*1000*10, W40&lt;120, T40*$G40/$F40*1000, W40&gt;120, V40*$G40/$F40*1000*10)</f>
        <v>256543.36547851563</v>
      </c>
      <c r="Y40" s="156">
        <f t="shared" si="5"/>
        <v>132147.67872203479</v>
      </c>
      <c r="Z40" s="156">
        <f t="shared" si="6"/>
        <v>175922.06731173041</v>
      </c>
      <c r="AA40" s="156">
        <f t="shared" si="7"/>
        <v>124395.68675648083</v>
      </c>
      <c r="AB40" s="160" cm="1">
        <f t="array" ref="AB40">_xlfn.IFS(Y40="DELETE", "DELETE", Y40=0, 0, Y40&gt;0,LOG10(Y40))</f>
        <v>5.121059538810405</v>
      </c>
      <c r="AC40" s="161" cm="1">
        <f t="array" ref="AC40">_xlfn.IFS(Y40="DELETE", "DELETE", Y40=0, 0, Y40&gt;0, AA40/Y40/LN(10))</f>
        <v>0.40881808029743943</v>
      </c>
      <c r="AD40" s="120">
        <f>qPCR_Raw!U40</f>
        <v>30.564037322998047</v>
      </c>
      <c r="AE40" s="121" cm="1">
        <f t="array" ref="AE40">_xlfn.IFS(AD40="Undetermined", 0, qPCR_Raw!V40&lt;=1, 0, qPCR_Raw!V40&gt;1, qPCR_Raw!V40)</f>
        <v>25.365411758422852</v>
      </c>
      <c r="AF40" s="122">
        <f>qPCR_Raw!X40</f>
        <v>34.714622497558594</v>
      </c>
      <c r="AG40" s="121" cm="1">
        <f t="array" ref="AG40">_xlfn.IFS(AF40="Undetermined", 0, qPCR_Raw!Y40&lt;=1, 0, qPCR_Raw!Y40&gt;1, qPCR_Raw!Y40)</f>
        <v>1.7563110589981079</v>
      </c>
      <c r="AH40" s="123" cm="1">
        <f t="array" ref="AH40">_xlfn.IFS(AND(AD40="Undetermined", AF40="Undetermined"), "Undetermined", AND(AE40=0, AG40=0), "Undetermined", AND(AE40=0, AG40&gt;0), "Ten-Fold", AND(AE40&gt;0, AG40=0), "Undiluted", AND(AD40&lt;&gt;"Undetermined", AF40&lt;&gt;"Undetermined", AE40&gt;0, AG40&gt;0, AD40&lt;&gt;AF40), 100*(-1+10^(-1/(AD40-AF40))), AND(AD40&lt;&gt;"Undetermined", AF40&lt;&gt;"Undetermined", AD40=AF40&gt;0), -100)</f>
        <v>74.152568027472881</v>
      </c>
      <c r="AI40" s="124" cm="1">
        <f t="array" ref="AI40">_xlfn.IFS(AH40="Undetermined", 0, AH40="Undiluted", AE40*$G40/$F40*1000, AH40="Ten-Fold", AG40*$G40/$F40*1000*10, AH40&lt;0, AG40*$G40/$F40*1000*10, AH40&lt;120, AE40*$G40/$F40*1000, AH40&gt;120, AG40*$G40/$F40*1000*10)</f>
        <v>3170.6764698028564</v>
      </c>
      <c r="AJ40" s="121">
        <f t="shared" si="8"/>
        <v>2696.8599557876587</v>
      </c>
      <c r="AK40" s="121">
        <f t="shared" si="9"/>
        <v>670.07774019663509</v>
      </c>
      <c r="AL40" s="121">
        <f t="shared" si="10"/>
        <v>473.81651401519827</v>
      </c>
      <c r="AM40" s="125" cm="1">
        <f t="array" ref="AM40">_xlfn.IFS(AJ40="DELETE", "DELETE", AJ40=0, 0, AJ40&gt;0,LOG10(AJ40))</f>
        <v>3.4308583947258704</v>
      </c>
      <c r="AN40" s="126" cm="1">
        <f t="array" ref="AN40">_xlfn.IFS(AJ40="DELETE", "DELETE", AJ40=0, 0, AJ40&gt;0, AL40/AJ40/LN(10))</f>
        <v>7.6302033047665391E-2</v>
      </c>
      <c r="AO40" s="155">
        <f>qPCR_Raw!AA40</f>
        <v>25.586933135986328</v>
      </c>
      <c r="AP40" s="156" cm="1">
        <f t="array" ref="AP40">_xlfn.IFS(AO40="Undetermined", 0, qPCR_Raw!AB40&lt;=6, 0, qPCR_Raw!AB40&gt;6, qPCR_Raw!AB40)</f>
        <v>53.160400390625</v>
      </c>
      <c r="AQ40" s="157">
        <f>qPCR_Raw!AD40</f>
        <v>28.914815902709961</v>
      </c>
      <c r="AR40" s="156" cm="1">
        <f t="array" ref="AR40">_xlfn.IFS(AQ40="Undetermined", 0, qPCR_Raw!AE40&lt;=6, 0, qPCR_Raw!AE40&gt;6, qPCR_Raw!AE40)</f>
        <v>0</v>
      </c>
      <c r="AS40" s="158" t="str" cm="1">
        <f t="array" ref="AS40">_xlfn.IFS(AND(AO40="Undetermined", AQ40="Undetermined"), "Undetermined", AND(AP40=0, AR40=0), "Undetermined", AND(AP40=0, AR40&gt;0), "Ten-Fold", AND(AP40&gt;0, AR40=0), "Undiluted", AND(AO40&lt;&gt;"Undetermined", AQ40&lt;&gt;"Undetermined", AP40&gt;0, AR40&gt;0, AO40&lt;&gt;AQ40), 100*(-1+10^(-1/(AO40-AQ40))), AND(AO40&lt;&gt;"Undetermined", AQ40&lt;&gt;"Undetermined", AO40=AQ40&gt;0), -100)</f>
        <v>Undiluted</v>
      </c>
      <c r="AT40" s="159" cm="1">
        <f t="array" ref="AT40">_xlfn.IFS(AS40="Undetermined", 0, AS40="Undiluted", AP40*$G40/$F40*1000, AS40="Ten-Fold", AR40*$G40/$F40*1000*10, AS40&lt;0, AR40*$G40/$F40*1000*10, AS40&lt;120, AP40*$G40/$F40*1000, AS40&gt;120, AR40*$G40/$F40*1000*10)</f>
        <v>6645.050048828125</v>
      </c>
      <c r="AU40" s="156">
        <f t="shared" si="11"/>
        <v>110533.04498845882</v>
      </c>
      <c r="AV40" s="156">
        <f t="shared" si="12"/>
        <v>146919.81141137317</v>
      </c>
      <c r="AW40" s="156">
        <f t="shared" si="13"/>
        <v>103887.99493963068</v>
      </c>
      <c r="AX40" s="160" cm="1">
        <f t="array" ref="AX40">_xlfn.IFS(AU40="DELETE", "DELETE", AU40=0, 0, AU40&gt;0,LOG10(AU40))</f>
        <v>5.0434921342265664</v>
      </c>
      <c r="AY40" s="161" cm="1">
        <f t="array" ref="AY40">_xlfn.IFS(AU40="DELETE", "DELETE", AU40=0, 0, AU40&gt;0, AW40/AU40/LN(10))</f>
        <v>0.40818547017306445</v>
      </c>
      <c r="AZ40" s="120">
        <f>qPCR_Raw!AG40</f>
        <v>29.318700790405273</v>
      </c>
      <c r="BA40" s="121" cm="1">
        <f t="array" ref="BA40">_xlfn.IFS(AZ40="Undetermined", 0, qPCR_Raw!AH40&lt;=1, 0, qPCR_Raw!AH40&gt;1, qPCR_Raw!AH40)</f>
        <v>97.7303466796875</v>
      </c>
      <c r="BB40" s="122">
        <f>qPCR_Raw!AJ40</f>
        <v>32.972770690917969</v>
      </c>
      <c r="BC40" s="121" cm="1">
        <f t="array" ref="BC40">_xlfn.IFS(BB40="Undetermined", 0, qPCR_Raw!AK40&lt;=1, 0, qPCR_Raw!AK40&gt;1, qPCR_Raw!AK40)</f>
        <v>9.6913585662841797</v>
      </c>
      <c r="BD40" s="123" cm="1">
        <f t="array" ref="BD40">_xlfn.IFS(AND(AZ40="Undetermined", BB40="Undetermined"), "Undetermined", AND(BA40=0, BC40=0), "Undetermined", AND(BA40=0, BC40&gt;0), "Ten-Fold", AND(BA40&gt;0, BC40=0), "Undiluted", AND(AZ40&lt;&gt;"Undetermined", BB40&lt;&gt;"Undetermined", BA40&gt;0, BC40&gt;0, AZ40&lt;&gt;BB40), 100*(-1+10^(-1/(AZ40-BB40))), AND(AZ40&lt;&gt;"Undetermined", BB40&lt;&gt;"Undetermined", AZ40=BB40&gt;0), -100)</f>
        <v>87.787833807135797</v>
      </c>
      <c r="BE40" s="124" cm="1">
        <f t="array" ref="BE40">_xlfn.IFS(BD40="Undetermined", 0, BD40="Undiluted", BA40*$G40/$F40*1000, BD40="Ten-Fold", BC40*$G40/$F40*1000*10, BD40&lt;0, BC40*$G40/$F40*1000*10, BD40&lt;120, BA40*$G40/$F40*1000, BD40&gt;120, BC40*$G40/$F40*1000*10)</f>
        <v>12216.293334960938</v>
      </c>
      <c r="BF40" s="121">
        <f t="shared" si="14"/>
        <v>9735.6602061878548</v>
      </c>
      <c r="BG40" s="121">
        <f t="shared" si="15"/>
        <v>3508.1450139828953</v>
      </c>
      <c r="BH40" s="121">
        <f t="shared" si="16"/>
        <v>2480.6331287730809</v>
      </c>
      <c r="BI40" s="125" cm="1">
        <f t="array" ref="BI40">_xlfn.IFS(BF40="DELETE", "DELETE", BF40=0, 0, BF40&gt;0,LOG10(BF40))</f>
        <v>3.988365407749451</v>
      </c>
      <c r="BJ40" s="126" cm="1">
        <f t="array" ref="BJ40">_xlfn.IFS(BF40="DELETE", "DELETE", BF40=0, 0, BF40&gt;0, BH40/BF40/LN(10))</f>
        <v>0.11065764998328662</v>
      </c>
    </row>
    <row r="41" spans="1:62" s="114" customFormat="1" x14ac:dyDescent="0.3">
      <c r="A41" s="115" t="str">
        <f>UPPER(LEFT(SUBSTITUTE(SUBSTITUTE(qPCR_Raw!A41,"-","")," ",""),2))&amp;RIGHT(SUBSTITUTE(SUBSTITUTE(qPCR_Raw!A41,"-","")," ",""),LEN(SUBSTITUTE(SUBSTITUTE(qPCR_Raw!A41,"-","")," ",""))-2)</f>
        <v>MRT7</v>
      </c>
      <c r="B41" s="116" t="str" cm="1">
        <f t="array" ref="B41">_xlfn.IFS(LEFT(A41, LEN(A41)-1)="EP", "EP", LEFT(A41, LEN(A41)-1)="STa", "SPI", LEFT(A41, LEN(A41)-1)="STb", "SPO", LEFT(A41, LEN(A41)-1)="MRT", "MRT", LEFT(A41, LEN(A41)-1)="RG", "RN", LEFT(A41, LEN(A41)-1)="RT", "RU", LEFT(A41, LEN(A41)-1)="RW", "RL", LEFT(A41, LEN(A41)-1)="RC", "RS")</f>
        <v>MRT</v>
      </c>
      <c r="C41" s="117">
        <f>qPCR_Raw!B41</f>
        <v>44350</v>
      </c>
      <c r="D41" s="117" t="str">
        <f t="shared" si="0"/>
        <v>MRT44350</v>
      </c>
      <c r="E41" s="117" t="str">
        <f t="shared" si="1"/>
        <v>MRT443507</v>
      </c>
      <c r="F41" s="118">
        <f>qPCR_Raw!C41</f>
        <v>880</v>
      </c>
      <c r="G41" s="119">
        <f>qPCR_Raw!F41</f>
        <v>100</v>
      </c>
      <c r="H41" s="120">
        <f>qPCR_Raw!G41</f>
        <v>16.696020126342773</v>
      </c>
      <c r="I41" s="121" cm="1">
        <f t="array" ref="I41">_xlfn.IFS(H41="Undetermined", 0, qPCR_Raw!H41-qPCR_Raw!$H$242&lt;0, 0, qPCR_Raw!H41-qPCR_Raw!$H$242&gt;0, qPCR_Raw!H41-qPCR_Raw!$H$242)</f>
        <v>612841.17394612625</v>
      </c>
      <c r="J41" s="122">
        <f>qPCR_Raw!K41</f>
        <v>19.523082733154297</v>
      </c>
      <c r="K41" s="121" cm="1">
        <f t="array" ref="K41">_xlfn.IFS(J41="Undetermined", 0, qPCR_Raw!L41-qPCR_Raw!$H$242&lt;0, 0, qPCR_Raw!L41-qPCR_Raw!$H$242&gt;0, qPCR_Raw!L41-qPCR_Raw!$H$242)</f>
        <v>94655.923946126306</v>
      </c>
      <c r="L41" s="123" cm="1">
        <f t="array" ref="L41">_xlfn.IFS(AND(H41="Undetermined", J41="Undetermined"), "Undetermined", AND(I41=0, K41=0), "Undetermined", AND(I41=0, K41&gt;0), "Ten-Fold", AND(I41&gt;0, K41=0), "Undiluted", AND(H41&lt;&gt;"Undetermined", J41&lt;&gt;"Undetermined", I41&gt;0, K41&gt;0), 100*(-1+10^(-1/(H41-J41))))</f>
        <v>125.80005202950662</v>
      </c>
      <c r="M41" s="124" cm="1">
        <f t="array" ref="M41">_xlfn.IFS(L41="Undetermined", 0, L41="Undiluted", I41*$G41/$F41*1000, L41="Ten-Fold", K41*$G41/$F41*1000*10, L41&lt;0, K41*$G41/$F41*1000*10, L41&lt;120, I41*$G41/$F41*1000, L41&gt;120, K41*$G41/$F41*1000*10)</f>
        <v>107563549.93877989</v>
      </c>
      <c r="N41" s="121" t="str">
        <f t="shared" si="2"/>
        <v>DELETE</v>
      </c>
      <c r="O41" s="121" t="str">
        <f t="shared" si="3"/>
        <v>DELETE</v>
      </c>
      <c r="P41" s="121" t="str">
        <f t="shared" si="4"/>
        <v>DELETE</v>
      </c>
      <c r="Q41" s="125" t="str" cm="1">
        <f t="array" ref="Q41">_xlfn.IFS(N41="DELETE", "DELETE", N41=0, 0, N41&gt;0,LOG10(N41))</f>
        <v>DELETE</v>
      </c>
      <c r="R41" s="126" t="str" cm="1">
        <f t="array" ref="R41">_xlfn.IFS(N41="DELETE", "DELETE", N41=0, 0, N41&gt;0, P41/N41/LN(10))</f>
        <v>DELETE</v>
      </c>
      <c r="S41" s="155">
        <f>qPCR_Raw!O41</f>
        <v>34.628608703613281</v>
      </c>
      <c r="T41" s="156" cm="1">
        <f t="array" ref="T41">_xlfn.IFS(S41="Undetermined", 0, qPCR_Raw!P41&lt;=1, 0, qPCR_Raw!P41&gt;1, qPCR_Raw!P41)</f>
        <v>68.217529296875</v>
      </c>
      <c r="U41" s="157">
        <f>qPCR_Raw!R41</f>
        <v>37.849308013916016</v>
      </c>
      <c r="V41" s="156" cm="1">
        <f t="array" ref="V41">_xlfn.IFS(U41="Undetermined", 0, qPCR_Raw!S41&lt;=1, 0, qPCR_Raw!S41&gt;1, qPCR_Raw!S41)</f>
        <v>10.014260292053223</v>
      </c>
      <c r="W41" s="158" cm="1">
        <f t="array" ref="W41">_xlfn.IFS(AND(S41="Undetermined", U41="Undetermined"), "Undetermined", AND(T41=0, V41=0), "Undetermined", AND(T41=0, V41&gt;0), "Ten-Fold", AND(T41&gt;0, V41=0), "Undiluted", AND(S41&lt;&gt;"Undetermined", U41&lt;&gt;"Undetermined", T41&gt;0, V41&gt;0, S41&lt;&gt;U41), 100*(-1+10^(-1/(S41-U41))), AND(S41&lt;&gt;"Undetermined", U41&lt;&gt;"Undetermined", S41=U41&gt;0), -100)</f>
        <v>104.40502803855489</v>
      </c>
      <c r="X41" s="159" cm="1">
        <f t="array" ref="X41">_xlfn.IFS(W41="Undetermined", 0, W41="Undiluted", T41*$G41/$F41*1000, W41="Ten-Fold", V41*$G41/$F41*1000*10, W41&lt;0, V41*$G41/$F41*1000*10, W41&lt;120, T41*$G41/$F41*1000, W41&gt;120, V41*$G41/$F41*1000*10)</f>
        <v>7751.9919655539779</v>
      </c>
      <c r="Y41" s="156" t="str">
        <f t="shared" si="5"/>
        <v>DELETE</v>
      </c>
      <c r="Z41" s="156" t="str">
        <f t="shared" si="6"/>
        <v>DELETE</v>
      </c>
      <c r="AA41" s="156" t="str">
        <f t="shared" si="7"/>
        <v>DELETE</v>
      </c>
      <c r="AB41" s="160" t="str" cm="1">
        <f t="array" ref="AB41">_xlfn.IFS(Y41="DELETE", "DELETE", Y41=0, 0, Y41&gt;0,LOG10(Y41))</f>
        <v>DELETE</v>
      </c>
      <c r="AC41" s="161" t="str" cm="1">
        <f t="array" ref="AC41">_xlfn.IFS(Y41="DELETE", "DELETE", Y41=0, 0, Y41&gt;0, AA41/Y41/LN(10))</f>
        <v>DELETE</v>
      </c>
      <c r="AD41" s="120">
        <f>qPCR_Raw!U41</f>
        <v>30.967811584472656</v>
      </c>
      <c r="AE41" s="121" cm="1">
        <f t="array" ref="AE41">_xlfn.IFS(AD41="Undetermined", 0, qPCR_Raw!V41&lt;=1, 0, qPCR_Raw!V41&gt;1, qPCR_Raw!V41)</f>
        <v>19.562782287597656</v>
      </c>
      <c r="AF41" s="122">
        <f>qPCR_Raw!X41</f>
        <v>34.636089324951172</v>
      </c>
      <c r="AG41" s="121" cm="1">
        <f t="array" ref="AG41">_xlfn.IFS(AF41="Undetermined", 0, qPCR_Raw!Y41&lt;=1, 0, qPCR_Raw!Y41&gt;1, qPCR_Raw!Y41)</f>
        <v>1.8473236560821533</v>
      </c>
      <c r="AH41" s="123" cm="1">
        <f t="array" ref="AH41">_xlfn.IFS(AND(AD41="Undetermined", AF41="Undetermined"), "Undetermined", AND(AE41=0, AG41=0), "Undetermined", AND(AE41=0, AG41&gt;0), "Ten-Fold", AND(AE41&gt;0, AG41=0), "Undiluted", AND(AD41&lt;&gt;"Undetermined", AF41&lt;&gt;"Undetermined", AE41&gt;0, AG41&gt;0, AD41&lt;&gt;AF41), 100*(-1+10^(-1/(AD41-AF41))), AND(AD41&lt;&gt;"Undetermined", AF41&lt;&gt;"Undetermined", AD41=AF41&gt;0), -100)</f>
        <v>87.33006914395493</v>
      </c>
      <c r="AI41" s="124" cm="1">
        <f t="array" ref="AI41">_xlfn.IFS(AH41="Undetermined", 0, AH41="Undiluted", AE41*$G41/$F41*1000, AH41="Ten-Fold", AG41*$G41/$F41*1000*10, AH41&lt;0, AG41*$G41/$F41*1000*10, AH41&lt;120, AE41*$G41/$F41*1000, AH41&gt;120, AG41*$G41/$F41*1000*10)</f>
        <v>2223.0434417724609</v>
      </c>
      <c r="AJ41" s="121" t="str">
        <f t="shared" si="8"/>
        <v>DELETE</v>
      </c>
      <c r="AK41" s="121" t="str">
        <f t="shared" si="9"/>
        <v>DELETE</v>
      </c>
      <c r="AL41" s="121" t="str">
        <f t="shared" si="10"/>
        <v>DELETE</v>
      </c>
      <c r="AM41" s="125" t="str" cm="1">
        <f t="array" ref="AM41">_xlfn.IFS(AJ41="DELETE", "DELETE", AJ41=0, 0, AJ41&gt;0,LOG10(AJ41))</f>
        <v>DELETE</v>
      </c>
      <c r="AN41" s="126" t="str" cm="1">
        <f t="array" ref="AN41">_xlfn.IFS(AJ41="DELETE", "DELETE", AJ41=0, 0, AJ41&gt;0, AL41/AJ41/LN(10))</f>
        <v>DELETE</v>
      </c>
      <c r="AO41" s="155">
        <f>qPCR_Raw!AA41</f>
        <v>20.252361297607422</v>
      </c>
      <c r="AP41" s="156" cm="1">
        <f t="array" ref="AP41">_xlfn.IFS(AO41="Undetermined", 0, qPCR_Raw!AB41&lt;=6, 0, qPCR_Raw!AB41&gt;6, qPCR_Raw!AB41)</f>
        <v>1886.9051513671875</v>
      </c>
      <c r="AQ41" s="157">
        <f>qPCR_Raw!AD41</f>
        <v>23.488063812255859</v>
      </c>
      <c r="AR41" s="156" cm="1">
        <f t="array" ref="AR41">_xlfn.IFS(AQ41="Undetermined", 0, qPCR_Raw!AE41&lt;=6, 0, qPCR_Raw!AE41&gt;6, qPCR_Raw!AE41)</f>
        <v>216.51809692382813</v>
      </c>
      <c r="AS41" s="158" cm="1">
        <f t="array" ref="AS41">_xlfn.IFS(AND(AO41="Undetermined", AQ41="Undetermined"), "Undetermined", AND(AP41=0, AR41=0), "Undetermined", AND(AP41=0, AR41&gt;0), "Ten-Fold", AND(AP41&gt;0, AR41=0), "Undiluted", AND(AO41&lt;&gt;"Undetermined", AQ41&lt;&gt;"Undetermined", AP41&gt;0, AR41&gt;0, AO41&lt;&gt;AQ41), 100*(-1+10^(-1/(AO41-AQ41))), AND(AO41&lt;&gt;"Undetermined", AQ41&lt;&gt;"Undetermined", AO41=AQ41&gt;0), -100)</f>
        <v>103.72855127886433</v>
      </c>
      <c r="AT41" s="159" cm="1">
        <f t="array" ref="AT41">_xlfn.IFS(AS41="Undetermined", 0, AS41="Undiluted", AP41*$G41/$F41*1000, AS41="Ten-Fold", AR41*$G41/$F41*1000*10, AS41&lt;0, AR41*$G41/$F41*1000*10, AS41&lt;120, AP41*$G41/$F41*1000, AS41&gt;120, AR41*$G41/$F41*1000*10)</f>
        <v>214421.03992808951</v>
      </c>
      <c r="AU41" s="156" t="str">
        <f t="shared" si="11"/>
        <v>DELETE</v>
      </c>
      <c r="AV41" s="156" t="str">
        <f t="shared" si="12"/>
        <v>DELETE</v>
      </c>
      <c r="AW41" s="156" t="str">
        <f t="shared" si="13"/>
        <v>DELETE</v>
      </c>
      <c r="AX41" s="160" t="str" cm="1">
        <f t="array" ref="AX41">_xlfn.IFS(AU41="DELETE", "DELETE", AU41=0, 0, AU41&gt;0,LOG10(AU41))</f>
        <v>DELETE</v>
      </c>
      <c r="AY41" s="161" t="str" cm="1">
        <f t="array" ref="AY41">_xlfn.IFS(AU41="DELETE", "DELETE", AU41=0, 0, AU41&gt;0, AW41/AU41/LN(10))</f>
        <v>DELETE</v>
      </c>
      <c r="AZ41" s="120">
        <f>qPCR_Raw!AG41</f>
        <v>29.991912841796875</v>
      </c>
      <c r="BA41" s="121" cm="1">
        <f t="array" ref="BA41">_xlfn.IFS(AZ41="Undetermined", 0, qPCR_Raw!AH41&lt;=1, 0, qPCR_Raw!AH41&gt;1, qPCR_Raw!AH41)</f>
        <v>63.84423828125</v>
      </c>
      <c r="BB41" s="122">
        <f>qPCR_Raw!AJ41</f>
        <v>33.940521240234375</v>
      </c>
      <c r="BC41" s="121" cm="1">
        <f t="array" ref="BC41">_xlfn.IFS(BB41="Undetermined", 0, qPCR_Raw!AK41&lt;=1, 0, qPCR_Raw!AK41&gt;1, qPCR_Raw!AK41)</f>
        <v>5.2550582885742188</v>
      </c>
      <c r="BD41" s="123" cm="1">
        <f t="array" ref="BD41">_xlfn.IFS(AND(AZ41="Undetermined", BB41="Undetermined"), "Undetermined", AND(BA41=0, BC41=0), "Undetermined", AND(BA41=0, BC41&gt;0), "Ten-Fold", AND(BA41&gt;0, BC41=0), "Undiluted", AND(AZ41&lt;&gt;"Undetermined", BB41&lt;&gt;"Undetermined", BA41&gt;0, BC41&gt;0, AZ41&lt;&gt;BB41), 100*(-1+10^(-1/(AZ41-BB41))), AND(AZ41&lt;&gt;"Undetermined", BB41&lt;&gt;"Undetermined", AZ41=BB41&gt;0), -100)</f>
        <v>79.165249765819979</v>
      </c>
      <c r="BE41" s="124" cm="1">
        <f t="array" ref="BE41">_xlfn.IFS(BD41="Undetermined", 0, BD41="Undiluted", BA41*$G41/$F41*1000, BD41="Ten-Fold", BC41*$G41/$F41*1000*10, BD41&lt;0, BC41*$G41/$F41*1000*10, BD41&lt;120, BA41*$G41/$F41*1000, BD41&gt;120, BC41*$G41/$F41*1000*10)</f>
        <v>7255.0270774147721</v>
      </c>
      <c r="BF41" s="121" t="str">
        <f t="shared" si="14"/>
        <v>DELETE</v>
      </c>
      <c r="BG41" s="121" t="str">
        <f t="shared" si="15"/>
        <v>DELETE</v>
      </c>
      <c r="BH41" s="121" t="str">
        <f t="shared" si="16"/>
        <v>DELETE</v>
      </c>
      <c r="BI41" s="125" t="str" cm="1">
        <f t="array" ref="BI41">_xlfn.IFS(BF41="DELETE", "DELETE", BF41=0, 0, BF41&gt;0,LOG10(BF41))</f>
        <v>DELETE</v>
      </c>
      <c r="BJ41" s="126" t="str" cm="1">
        <f t="array" ref="BJ41">_xlfn.IFS(BF41="DELETE", "DELETE", BF41=0, 0, BF41&gt;0, BH41/BF41/LN(10))</f>
        <v>DELETE</v>
      </c>
    </row>
    <row r="42" spans="1:62" s="114" customFormat="1" x14ac:dyDescent="0.3">
      <c r="A42" s="115" t="str">
        <f>UPPER(LEFT(SUBSTITUTE(SUBSTITUTE(qPCR_Raw!A42,"-","")," ",""),2))&amp;RIGHT(SUBSTITUTE(SUBSTITUTE(qPCR_Raw!A42,"-","")," ",""),LEN(SUBSTITUTE(SUBSTITUTE(qPCR_Raw!A42,"-","")," ",""))-2)</f>
        <v>RT6</v>
      </c>
      <c r="B42" s="116" t="str" cm="1">
        <f t="array" ref="B42">_xlfn.IFS(LEFT(A42, LEN(A42)-1)="EP", "EP", LEFT(A42, LEN(A42)-1)="STa", "SPI", LEFT(A42, LEN(A42)-1)="STb", "SPO", LEFT(A42, LEN(A42)-1)="MRT", "MRT", LEFT(A42, LEN(A42)-1)="RG", "RN", LEFT(A42, LEN(A42)-1)="RT", "RU", LEFT(A42, LEN(A42)-1)="RW", "RL", LEFT(A42, LEN(A42)-1)="RC", "RS")</f>
        <v>RU</v>
      </c>
      <c r="C42" s="117">
        <f>qPCR_Raw!B42</f>
        <v>44350</v>
      </c>
      <c r="D42" s="117" t="str">
        <f t="shared" si="0"/>
        <v>RU44350</v>
      </c>
      <c r="E42" s="117" t="str">
        <f t="shared" si="1"/>
        <v>RU443506</v>
      </c>
      <c r="F42" s="118">
        <f>qPCR_Raw!C42</f>
        <v>880</v>
      </c>
      <c r="G42" s="119">
        <f>qPCR_Raw!F42</f>
        <v>100</v>
      </c>
      <c r="H42" s="120">
        <f>qPCR_Raw!G42</f>
        <v>18.282363891601563</v>
      </c>
      <c r="I42" s="121" cm="1">
        <f t="array" ref="I42">_xlfn.IFS(H42="Undetermined", 0, qPCR_Raw!H42-qPCR_Raw!$H$242&lt;0, 0, qPCR_Raw!H42-qPCR_Raw!$H$242&gt;0, qPCR_Raw!H42-qPCR_Raw!$H$242)</f>
        <v>220083.22082112631</v>
      </c>
      <c r="J42" s="122">
        <f>qPCR_Raw!K42</f>
        <v>21.838169097900391</v>
      </c>
      <c r="K42" s="121" cm="1">
        <f t="array" ref="K42">_xlfn.IFS(J42="Undetermined", 0, qPCR_Raw!L42-qPCR_Raw!$H$242&lt;0, 0, qPCR_Raw!L42-qPCR_Raw!$H$242&gt;0, qPCR_Raw!L42-qPCR_Raw!$H$242)</f>
        <v>12481.588008626302</v>
      </c>
      <c r="L42" s="123" cm="1">
        <f t="array" ref="L42">_xlfn.IFS(AND(H42="Undetermined", J42="Undetermined"), "Undetermined", AND(I42=0, K42=0), "Undetermined", AND(I42=0, K42&gt;0), "Ten-Fold", AND(I42&gt;0, K42=0), "Undiluted", AND(H42&lt;&gt;"Undetermined", J42&lt;&gt;"Undetermined", I42&gt;0, K42&gt;0), 100*(-1+10^(-1/(H42-J42))))</f>
        <v>91.08660902819075</v>
      </c>
      <c r="M42" s="124" cm="1">
        <f t="array" ref="M42">_xlfn.IFS(L42="Undetermined", 0, L42="Undiluted", I42*$G42/$F42*1000, L42="Ten-Fold", K42*$G42/$F42*1000*10, L42&lt;0, K42*$G42/$F42*1000*10, L42&lt;120, I42*$G42/$F42*1000, L42&gt;120, K42*$G42/$F42*1000*10)</f>
        <v>25009456.911491621</v>
      </c>
      <c r="N42" s="121">
        <f t="shared" si="2"/>
        <v>12504728.455745811</v>
      </c>
      <c r="O42" s="121">
        <f t="shared" si="3"/>
        <v>17684356.575908493</v>
      </c>
      <c r="P42" s="121">
        <f t="shared" si="4"/>
        <v>12504728.455745809</v>
      </c>
      <c r="Q42" s="125" cm="1">
        <f t="array" ref="Q42">_xlfn.IFS(N42="DELETE", "DELETE", N42=0, 0, N42&gt;0,LOG10(N42))</f>
        <v>7.0970742653226893</v>
      </c>
      <c r="R42" s="126" cm="1">
        <f t="array" ref="R42">_xlfn.IFS(N42="DELETE", "DELETE", N42=0, 0, N42&gt;0, P42/N42/LN(10))</f>
        <v>0.43429448190325176</v>
      </c>
      <c r="S42" s="155">
        <f>qPCR_Raw!O42</f>
        <v>32.127708435058594</v>
      </c>
      <c r="T42" s="156" cm="1">
        <f t="array" ref="T42">_xlfn.IFS(S42="Undetermined", 0, qPCR_Raw!P42&lt;=1, 0, qPCR_Raw!P42&gt;1, qPCR_Raw!P42)</f>
        <v>302.65139770507813</v>
      </c>
      <c r="U42" s="157">
        <f>qPCR_Raw!R42</f>
        <v>35.383590698242188</v>
      </c>
      <c r="V42" s="156" cm="1">
        <f t="array" ref="V42">_xlfn.IFS(U42="Undetermined", 0, qPCR_Raw!S42&lt;=1, 0, qPCR_Raw!S42&gt;1, qPCR_Raw!S42)</f>
        <v>43.507373809814453</v>
      </c>
      <c r="W42" s="158" cm="1">
        <f t="array" ref="W42">_xlfn.IFS(AND(S42="Undetermined", U42="Undetermined"), "Undetermined", AND(T42=0, V42=0), "Undetermined", AND(T42=0, V42&gt;0), "Ten-Fold", AND(T42&gt;0, V42=0), "Undiluted", AND(S42&lt;&gt;"Undetermined", U42&lt;&gt;"Undetermined", T42&gt;0, V42&gt;0, S42&lt;&gt;U42), 100*(-1+10^(-1/(S42-U42))), AND(S42&lt;&gt;"Undetermined", U42&lt;&gt;"Undetermined", S42=U42&gt;0), -100)</f>
        <v>102.83197206189607</v>
      </c>
      <c r="X42" s="159" cm="1">
        <f t="array" ref="X42">_xlfn.IFS(W42="Undetermined", 0, W42="Undiluted", T42*$G42/$F42*1000, W42="Ten-Fold", V42*$G42/$F42*1000*10, W42&lt;0, V42*$G42/$F42*1000*10, W42&lt;120, T42*$G42/$F42*1000, W42&gt;120, V42*$G42/$F42*1000*10)</f>
        <v>34392.204284667969</v>
      </c>
      <c r="Y42" s="156">
        <f t="shared" si="5"/>
        <v>22581.77655808469</v>
      </c>
      <c r="Z42" s="156">
        <f t="shared" si="6"/>
        <v>16702.467068361319</v>
      </c>
      <c r="AA42" s="156">
        <f t="shared" si="7"/>
        <v>11810.427726583282</v>
      </c>
      <c r="AB42" s="160" cm="1">
        <f t="array" ref="AB42">_xlfn.IFS(Y42="DELETE", "DELETE", Y42=0, 0, Y42&gt;0,LOG10(Y42))</f>
        <v>4.3537581058361781</v>
      </c>
      <c r="AC42" s="161" cm="1">
        <f t="array" ref="AC42">_xlfn.IFS(Y42="DELETE", "DELETE", Y42=0, 0, Y42&gt;0, AA42/Y42/LN(10))</f>
        <v>0.22713906398723699</v>
      </c>
      <c r="AD42" s="120">
        <f>qPCR_Raw!U42</f>
        <v>28.627311706542969</v>
      </c>
      <c r="AE42" s="121" cm="1">
        <f t="array" ref="AE42">_xlfn.IFS(AD42="Undetermined", 0, qPCR_Raw!V42&lt;=1, 0, qPCR_Raw!V42&gt;1, qPCR_Raw!V42)</f>
        <v>88.175445556640625</v>
      </c>
      <c r="AF42" s="122">
        <f>qPCR_Raw!X42</f>
        <v>32.307704925537109</v>
      </c>
      <c r="AG42" s="121" cm="1">
        <f t="array" ref="AG42">_xlfn.IFS(AF42="Undetermined", 0, qPCR_Raw!Y42&lt;=1, 0, qPCR_Raw!Y42&gt;1, qPCR_Raw!Y42)</f>
        <v>8.2618074417114258</v>
      </c>
      <c r="AH42" s="123" cm="1">
        <f t="array" ref="AH42">_xlfn.IFS(AND(AD42="Undetermined", AF42="Undetermined"), "Undetermined", AND(AE42=0, AG42=0), "Undetermined", AND(AE42=0, AG42&gt;0), "Ten-Fold", AND(AE42&gt;0, AG42=0), "Undiluted", AND(AD42&lt;&gt;"Undetermined", AF42&lt;&gt;"Undetermined", AE42&gt;0, AG42&gt;0, AD42&lt;&gt;AF42), 100*(-1+10^(-1/(AD42-AF42))), AND(AD42&lt;&gt;"Undetermined", AF42&lt;&gt;"Undetermined", AD42=AF42&gt;0), -100)</f>
        <v>86.943382919441191</v>
      </c>
      <c r="AI42" s="124" cm="1">
        <f t="array" ref="AI42">_xlfn.IFS(AH42="Undetermined", 0, AH42="Undiluted", AE42*$G42/$F42*1000, AH42="Ten-Fold", AG42*$G42/$F42*1000*10, AH42&lt;0, AG42*$G42/$F42*1000*10, AH42&lt;120, AE42*$G42/$F42*1000, AH42&gt;120, AG42*$G42/$F42*1000*10)</f>
        <v>10019.9369950728</v>
      </c>
      <c r="AJ42" s="121">
        <f t="shared" si="8"/>
        <v>5805.9290760490376</v>
      </c>
      <c r="AK42" s="121">
        <f t="shared" si="9"/>
        <v>5959.507151031029</v>
      </c>
      <c r="AL42" s="121">
        <f t="shared" si="10"/>
        <v>4214.007919023763</v>
      </c>
      <c r="AM42" s="125" cm="1">
        <f t="array" ref="AM42">_xlfn.IFS(AJ42="DELETE", "DELETE", AJ42=0, 0, AJ42&gt;0,LOG10(AJ42))</f>
        <v>3.7638717262823116</v>
      </c>
      <c r="AN42" s="126" cm="1">
        <f t="array" ref="AN42">_xlfn.IFS(AJ42="DELETE", "DELETE", AJ42=0, 0, AJ42&gt;0, AL42/AJ42/LN(10))</f>
        <v>0.31521576684054692</v>
      </c>
      <c r="AO42" s="155">
        <f>qPCR_Raw!AA42</f>
        <v>30.064403533935547</v>
      </c>
      <c r="AP42" s="156" cm="1">
        <f t="array" ref="AP42">_xlfn.IFS(AO42="Undetermined", 0, qPCR_Raw!AB42&lt;=6, 0, qPCR_Raw!AB42&gt;6, qPCR_Raw!AB42)</f>
        <v>0</v>
      </c>
      <c r="AQ42" s="157">
        <f>qPCR_Raw!AD42</f>
        <v>31.885046005249023</v>
      </c>
      <c r="AR42" s="156" cm="1">
        <f t="array" ref="AR42">_xlfn.IFS(AQ42="Undetermined", 0, qPCR_Raw!AE42&lt;=6, 0, qPCR_Raw!AE42&gt;6, qPCR_Raw!AE42)</f>
        <v>0</v>
      </c>
      <c r="AS42" s="158" t="str" cm="1">
        <f t="array" ref="AS42">_xlfn.IFS(AND(AO42="Undetermined", AQ42="Undetermined"), "Undetermined", AND(AP42=0, AR42=0), "Undetermined", AND(AP42=0, AR42&gt;0), "Ten-Fold", AND(AP42&gt;0, AR42=0), "Undiluted", AND(AO42&lt;&gt;"Undetermined", AQ42&lt;&gt;"Undetermined", AP42&gt;0, AR42&gt;0, AO42&lt;&gt;AQ42), 100*(-1+10^(-1/(AO42-AQ42))), AND(AO42&lt;&gt;"Undetermined", AQ42&lt;&gt;"Undetermined", AO42=AQ42&gt;0), -100)</f>
        <v>Undetermined</v>
      </c>
      <c r="AT42" s="159" cm="1">
        <f t="array" ref="AT42">_xlfn.IFS(AS42="Undetermined", 0, AS42="Undiluted", AP42*$G42/$F42*1000, AS42="Ten-Fold", AR42*$G42/$F42*1000*10, AS42&lt;0, AR42*$G42/$F42*1000*10, AS42&lt;120, AP42*$G42/$F42*1000, AS42&gt;120, AR42*$G42/$F42*1000*10)</f>
        <v>0</v>
      </c>
      <c r="AU42" s="156">
        <f t="shared" si="11"/>
        <v>0</v>
      </c>
      <c r="AV42" s="156">
        <f t="shared" si="12"/>
        <v>0</v>
      </c>
      <c r="AW42" s="156">
        <f t="shared" si="13"/>
        <v>0</v>
      </c>
      <c r="AX42" s="160" cm="1">
        <f t="array" ref="AX42">_xlfn.IFS(AU42="DELETE", "DELETE", AU42=0, 0, AU42&gt;0,LOG10(AU42))</f>
        <v>0</v>
      </c>
      <c r="AY42" s="161" cm="1">
        <f t="array" ref="AY42">_xlfn.IFS(AU42="DELETE", "DELETE", AU42=0, 0, AU42&gt;0, AW42/AU42/LN(10))</f>
        <v>0</v>
      </c>
      <c r="AZ42" s="120">
        <f>qPCR_Raw!AG42</f>
        <v>33.431076049804688</v>
      </c>
      <c r="BA42" s="121" cm="1">
        <f t="array" ref="BA42">_xlfn.IFS(AZ42="Undetermined", 0, qPCR_Raw!AH42&lt;=1, 0, qPCR_Raw!AH42&gt;1, qPCR_Raw!AH42)</f>
        <v>7.2527761459350586</v>
      </c>
      <c r="BB42" s="122" t="str">
        <f>qPCR_Raw!AJ42</f>
        <v>Undetermined</v>
      </c>
      <c r="BC42" s="121" cm="1">
        <f t="array" ref="BC42">_xlfn.IFS(BB42="Undetermined", 0, qPCR_Raw!AK42&lt;=1, 0, qPCR_Raw!AK42&gt;1, qPCR_Raw!AK42)</f>
        <v>0</v>
      </c>
      <c r="BD42" s="123" t="str" cm="1">
        <f t="array" ref="BD42">_xlfn.IFS(AND(AZ42="Undetermined", BB42="Undetermined"), "Undetermined", AND(BA42=0, BC42=0), "Undetermined", AND(BA42=0, BC42&gt;0), "Ten-Fold", AND(BA42&gt;0, BC42=0), "Undiluted", AND(AZ42&lt;&gt;"Undetermined", BB42&lt;&gt;"Undetermined", BA42&gt;0, BC42&gt;0, AZ42&lt;&gt;BB42), 100*(-1+10^(-1/(AZ42-BB42))), AND(AZ42&lt;&gt;"Undetermined", BB42&lt;&gt;"Undetermined", AZ42=BB42&gt;0), -100)</f>
        <v>Undiluted</v>
      </c>
      <c r="BE42" s="124" cm="1">
        <f t="array" ref="BE42">_xlfn.IFS(BD42="Undetermined", 0, BD42="Undiluted", BA42*$G42/$F42*1000, BD42="Ten-Fold", BC42*$G42/$F42*1000*10, BD42&lt;0, BC42*$G42/$F42*1000*10, BD42&lt;120, BA42*$G42/$F42*1000, BD42&gt;120, BC42*$G42/$F42*1000*10)</f>
        <v>824.17910749262023</v>
      </c>
      <c r="BF42" s="121">
        <f t="shared" si="14"/>
        <v>576.1197099833239</v>
      </c>
      <c r="BG42" s="121">
        <f t="shared" si="15"/>
        <v>350.80896423174551</v>
      </c>
      <c r="BH42" s="121">
        <f t="shared" si="16"/>
        <v>248.05939750929622</v>
      </c>
      <c r="BI42" s="125" cm="1">
        <f t="array" ref="BI42">_xlfn.IFS(BF42="DELETE", "DELETE", BF42=0, 0, BF42&gt;0,LOG10(BF42))</f>
        <v>2.7605127333945005</v>
      </c>
      <c r="BJ42" s="126" cm="1">
        <f t="array" ref="BJ42">_xlfn.IFS(BF42="DELETE", "DELETE", BF42=0, 0, BF42&gt;0, BH42/BF42/LN(10))</f>
        <v>0.18699382377605328</v>
      </c>
    </row>
    <row r="43" spans="1:62" s="114" customFormat="1" x14ac:dyDescent="0.3">
      <c r="A43" s="115" t="str">
        <f>UPPER(LEFT(SUBSTITUTE(SUBSTITUTE(qPCR_Raw!A43,"-","")," ",""),2))&amp;RIGHT(SUBSTITUTE(SUBSTITUTE(qPCR_Raw!A43,"-","")," ",""),LEN(SUBSTITUTE(SUBSTITUTE(qPCR_Raw!A43,"-","")," ",""))-2)</f>
        <v>RT7</v>
      </c>
      <c r="B43" s="116" t="str" cm="1">
        <f t="array" ref="B43">_xlfn.IFS(LEFT(A43, LEN(A43)-1)="EP", "EP", LEFT(A43, LEN(A43)-1)="STa", "SPI", LEFT(A43, LEN(A43)-1)="STb", "SPO", LEFT(A43, LEN(A43)-1)="MRT", "MRT", LEFT(A43, LEN(A43)-1)="RG", "RN", LEFT(A43, LEN(A43)-1)="RT", "RU", LEFT(A43, LEN(A43)-1)="RW", "RL", LEFT(A43, LEN(A43)-1)="RC", "RS")</f>
        <v>RU</v>
      </c>
      <c r="C43" s="117">
        <f>qPCR_Raw!B43</f>
        <v>44350</v>
      </c>
      <c r="D43" s="117" t="str">
        <f t="shared" si="0"/>
        <v>RU44350</v>
      </c>
      <c r="E43" s="117" t="str">
        <f t="shared" si="1"/>
        <v>RU443507</v>
      </c>
      <c r="F43" s="118">
        <f>qPCR_Raw!C43</f>
        <v>940</v>
      </c>
      <c r="G43" s="119">
        <f>qPCR_Raw!F43</f>
        <v>100</v>
      </c>
      <c r="H43" s="120" t="str">
        <f>qPCR_Raw!G43</f>
        <v>Undetermined</v>
      </c>
      <c r="I43" s="121" cm="1">
        <f t="array" ref="I43">_xlfn.IFS(H43="Undetermined", 0, qPCR_Raw!H43-qPCR_Raw!$H$242&lt;0, 0, qPCR_Raw!H43-qPCR_Raw!$H$242&gt;0, qPCR_Raw!H43-qPCR_Raw!$H$242)</f>
        <v>0</v>
      </c>
      <c r="J43" s="122" t="str">
        <f>qPCR_Raw!K43</f>
        <v>Undetermined</v>
      </c>
      <c r="K43" s="121" cm="1">
        <f t="array" ref="K43">_xlfn.IFS(J43="Undetermined", 0, qPCR_Raw!L43-qPCR_Raw!$H$242&lt;0, 0, qPCR_Raw!L43-qPCR_Raw!$H$242&gt;0, qPCR_Raw!L43-qPCR_Raw!$H$242)</f>
        <v>0</v>
      </c>
      <c r="L43" s="123" t="str" cm="1">
        <f t="array" ref="L43">_xlfn.IFS(AND(H43="Undetermined", J43="Undetermined"), "Undetermined", AND(I43=0, K43=0), "Undetermined", AND(I43=0, K43&gt;0), "Ten-Fold", AND(I43&gt;0, K43=0), "Undiluted", AND(H43&lt;&gt;"Undetermined", J43&lt;&gt;"Undetermined", I43&gt;0, K43&gt;0), 100*(-1+10^(-1/(H43-J43))))</f>
        <v>Undetermined</v>
      </c>
      <c r="M43" s="124" cm="1">
        <f t="array" ref="M43">_xlfn.IFS(L43="Undetermined", 0, L43="Undiluted", I43*$G43/$F43*1000, L43="Ten-Fold", K43*$G43/$F43*1000*10, L43&lt;0, K43*$G43/$F43*1000*10, L43&lt;120, I43*$G43/$F43*1000, L43&gt;120, K43*$G43/$F43*1000*10)</f>
        <v>0</v>
      </c>
      <c r="N43" s="121" t="str">
        <f t="shared" si="2"/>
        <v>DELETE</v>
      </c>
      <c r="O43" s="121" t="str">
        <f t="shared" si="3"/>
        <v>DELETE</v>
      </c>
      <c r="P43" s="121" t="str">
        <f t="shared" si="4"/>
        <v>DELETE</v>
      </c>
      <c r="Q43" s="125" t="str" cm="1">
        <f t="array" ref="Q43">_xlfn.IFS(N43="DELETE", "DELETE", N43=0, 0, N43&gt;0,LOG10(N43))</f>
        <v>DELETE</v>
      </c>
      <c r="R43" s="126" t="str" cm="1">
        <f t="array" ref="R43">_xlfn.IFS(N43="DELETE", "DELETE", N43=0, 0, N43&gt;0, P43/N43/LN(10))</f>
        <v>DELETE</v>
      </c>
      <c r="S43" s="155">
        <f>qPCR_Raw!O43</f>
        <v>33.965736389160156</v>
      </c>
      <c r="T43" s="156" cm="1">
        <f t="array" ref="T43">_xlfn.IFS(S43="Undetermined", 0, qPCR_Raw!P43&lt;=1, 0, qPCR_Raw!P43&gt;1, qPCR_Raw!P43)</f>
        <v>101.25067901611328</v>
      </c>
      <c r="U43" s="157">
        <f>qPCR_Raw!R43</f>
        <v>38.704242706298828</v>
      </c>
      <c r="V43" s="156" cm="1">
        <f t="array" ref="V43">_xlfn.IFS(U43="Undetermined", 0, qPCR_Raw!S43&lt;=1, 0, qPCR_Raw!S43&gt;1, qPCR_Raw!S43)</f>
        <v>6.0176296234130859</v>
      </c>
      <c r="W43" s="158" cm="1">
        <f t="array" ref="W43">_xlfn.IFS(AND(S43="Undetermined", U43="Undetermined"), "Undetermined", AND(T43=0, V43=0), "Undetermined", AND(T43=0, V43&gt;0), "Ten-Fold", AND(T43&gt;0, V43=0), "Undiluted", AND(S43&lt;&gt;"Undetermined", U43&lt;&gt;"Undetermined", T43&gt;0, V43&gt;0, S43&lt;&gt;U43), 100*(-1+10^(-1/(S43-U43))), AND(S43&lt;&gt;"Undetermined", U43&lt;&gt;"Undetermined", S43=U43&gt;0), -100)</f>
        <v>62.568712679138841</v>
      </c>
      <c r="X43" s="159" cm="1">
        <f t="array" ref="X43">_xlfn.IFS(W43="Undetermined", 0, W43="Undiluted", T43*$G43/$F43*1000, W43="Ten-Fold", V43*$G43/$F43*1000*10, W43&lt;0, V43*$G43/$F43*1000*10, W43&lt;120, T43*$G43/$F43*1000, W43&gt;120, V43*$G43/$F43*1000*10)</f>
        <v>10771.348831501413</v>
      </c>
      <c r="Y43" s="156" t="str">
        <f t="shared" si="5"/>
        <v>DELETE</v>
      </c>
      <c r="Z43" s="156" t="str">
        <f t="shared" si="6"/>
        <v>DELETE</v>
      </c>
      <c r="AA43" s="156" t="str">
        <f t="shared" si="7"/>
        <v>DELETE</v>
      </c>
      <c r="AB43" s="160" t="str" cm="1">
        <f t="array" ref="AB43">_xlfn.IFS(Y43="DELETE", "DELETE", Y43=0, 0, Y43&gt;0,LOG10(Y43))</f>
        <v>DELETE</v>
      </c>
      <c r="AC43" s="161" t="str" cm="1">
        <f t="array" ref="AC43">_xlfn.IFS(Y43="DELETE", "DELETE", Y43=0, 0, Y43&gt;0, AA43/Y43/LN(10))</f>
        <v>DELETE</v>
      </c>
      <c r="AD43" s="120">
        <f>qPCR_Raw!U43</f>
        <v>31.384363174438477</v>
      </c>
      <c r="AE43" s="121" cm="1">
        <f t="array" ref="AE43">_xlfn.IFS(AD43="Undetermined", 0, qPCR_Raw!V43&lt;=1, 0, qPCR_Raw!V43&gt;1, qPCR_Raw!V43)</f>
        <v>14.964058876037598</v>
      </c>
      <c r="AF43" s="122">
        <f>qPCR_Raw!X43</f>
        <v>34.629043579101563</v>
      </c>
      <c r="AG43" s="121" cm="1">
        <f t="array" ref="AG43">_xlfn.IFS(AF43="Undetermined", 0, qPCR_Raw!Y43&lt;=1, 0, qPCR_Raw!Y43&gt;1, qPCR_Raw!Y43)</f>
        <v>1.8557159900665283</v>
      </c>
      <c r="AH43" s="123" cm="1">
        <f t="array" ref="AH43">_xlfn.IFS(AND(AD43="Undetermined", AF43="Undetermined"), "Undetermined", AND(AE43=0, AG43=0), "Undetermined", AND(AE43=0, AG43&gt;0), "Ten-Fold", AND(AE43&gt;0, AG43=0), "Undiluted", AND(AD43&lt;&gt;"Undetermined", AF43&lt;&gt;"Undetermined", AE43&gt;0, AG43&gt;0, AD43&lt;&gt;AF43), 100*(-1+10^(-1/(AD43-AF43))), AND(AD43&lt;&gt;"Undetermined", AF43&lt;&gt;"Undetermined", AD43=AF43&gt;0), -100)</f>
        <v>103.32780097766863</v>
      </c>
      <c r="AI43" s="124" cm="1">
        <f t="array" ref="AI43">_xlfn.IFS(AH43="Undetermined", 0, AH43="Undiluted", AE43*$G43/$F43*1000, AH43="Ten-Fold", AG43*$G43/$F43*1000*10, AH43&lt;0, AG43*$G43/$F43*1000*10, AH43&lt;120, AE43*$G43/$F43*1000, AH43&gt;120, AG43*$G43/$F43*1000*10)</f>
        <v>1591.9211570252762</v>
      </c>
      <c r="AJ43" s="121" t="str">
        <f t="shared" si="8"/>
        <v>DELETE</v>
      </c>
      <c r="AK43" s="121" t="str">
        <f t="shared" si="9"/>
        <v>DELETE</v>
      </c>
      <c r="AL43" s="121" t="str">
        <f t="shared" si="10"/>
        <v>DELETE</v>
      </c>
      <c r="AM43" s="125" t="str" cm="1">
        <f t="array" ref="AM43">_xlfn.IFS(AJ43="DELETE", "DELETE", AJ43=0, 0, AJ43&gt;0,LOG10(AJ43))</f>
        <v>DELETE</v>
      </c>
      <c r="AN43" s="126" t="str" cm="1">
        <f t="array" ref="AN43">_xlfn.IFS(AJ43="DELETE", "DELETE", AJ43=0, 0, AJ43&gt;0, AL43/AJ43/LN(10))</f>
        <v>DELETE</v>
      </c>
      <c r="AO43" s="155">
        <f>qPCR_Raw!AA43</f>
        <v>29.410202026367188</v>
      </c>
      <c r="AP43" s="156" cm="1">
        <f t="array" ref="AP43">_xlfn.IFS(AO43="Undetermined", 0, qPCR_Raw!AB43&lt;=6, 0, qPCR_Raw!AB43&gt;6, qPCR_Raw!AB43)</f>
        <v>0</v>
      </c>
      <c r="AQ43" s="157" t="str">
        <f>qPCR_Raw!AD43</f>
        <v>Undetermined</v>
      </c>
      <c r="AR43" s="156" cm="1">
        <f t="array" ref="AR43">_xlfn.IFS(AQ43="Undetermined", 0, qPCR_Raw!AE43&lt;=6, 0, qPCR_Raw!AE43&gt;6, qPCR_Raw!AE43)</f>
        <v>0</v>
      </c>
      <c r="AS43" s="158" t="str" cm="1">
        <f t="array" ref="AS43">_xlfn.IFS(AND(AO43="Undetermined", AQ43="Undetermined"), "Undetermined", AND(AP43=0, AR43=0), "Undetermined", AND(AP43=0, AR43&gt;0), "Ten-Fold", AND(AP43&gt;0, AR43=0), "Undiluted", AND(AO43&lt;&gt;"Undetermined", AQ43&lt;&gt;"Undetermined", AP43&gt;0, AR43&gt;0, AO43&lt;&gt;AQ43), 100*(-1+10^(-1/(AO43-AQ43))), AND(AO43&lt;&gt;"Undetermined", AQ43&lt;&gt;"Undetermined", AO43=AQ43&gt;0), -100)</f>
        <v>Undetermined</v>
      </c>
      <c r="AT43" s="159" cm="1">
        <f t="array" ref="AT43">_xlfn.IFS(AS43="Undetermined", 0, AS43="Undiluted", AP43*$G43/$F43*1000, AS43="Ten-Fold", AR43*$G43/$F43*1000*10, AS43&lt;0, AR43*$G43/$F43*1000*10, AS43&lt;120, AP43*$G43/$F43*1000, AS43&gt;120, AR43*$G43/$F43*1000*10)</f>
        <v>0</v>
      </c>
      <c r="AU43" s="156" t="str">
        <f t="shared" si="11"/>
        <v>DELETE</v>
      </c>
      <c r="AV43" s="156" t="str">
        <f t="shared" si="12"/>
        <v>DELETE</v>
      </c>
      <c r="AW43" s="156" t="str">
        <f t="shared" si="13"/>
        <v>DELETE</v>
      </c>
      <c r="AX43" s="160" t="str" cm="1">
        <f t="array" ref="AX43">_xlfn.IFS(AU43="DELETE", "DELETE", AU43=0, 0, AU43&gt;0,LOG10(AU43))</f>
        <v>DELETE</v>
      </c>
      <c r="AY43" s="161" t="str" cm="1">
        <f t="array" ref="AY43">_xlfn.IFS(AU43="DELETE", "DELETE", AU43=0, 0, AU43&gt;0, AW43/AU43/LN(10))</f>
        <v>DELETE</v>
      </c>
      <c r="AZ43" s="120">
        <f>qPCR_Raw!AG43</f>
        <v>34.783351898193359</v>
      </c>
      <c r="BA43" s="121" cm="1">
        <f t="array" ref="BA43">_xlfn.IFS(AZ43="Undetermined", 0, qPCR_Raw!AH43&lt;=1, 0, qPCR_Raw!AH43&gt;1, qPCR_Raw!AH43)</f>
        <v>3.0837669372558594</v>
      </c>
      <c r="BB43" s="122" t="str">
        <f>qPCR_Raw!AJ43</f>
        <v>Undetermined</v>
      </c>
      <c r="BC43" s="121" cm="1">
        <f t="array" ref="BC43">_xlfn.IFS(BB43="Undetermined", 0, qPCR_Raw!AK43&lt;=1, 0, qPCR_Raw!AK43&gt;1, qPCR_Raw!AK43)</f>
        <v>0</v>
      </c>
      <c r="BD43" s="123" t="str" cm="1">
        <f t="array" ref="BD43">_xlfn.IFS(AND(AZ43="Undetermined", BB43="Undetermined"), "Undetermined", AND(BA43=0, BC43=0), "Undetermined", AND(BA43=0, BC43&gt;0), "Ten-Fold", AND(BA43&gt;0, BC43=0), "Undiluted", AND(AZ43&lt;&gt;"Undetermined", BB43&lt;&gt;"Undetermined", BA43&gt;0, BC43&gt;0, AZ43&lt;&gt;BB43), 100*(-1+10^(-1/(AZ43-BB43))), AND(AZ43&lt;&gt;"Undetermined", BB43&lt;&gt;"Undetermined", AZ43=BB43&gt;0), -100)</f>
        <v>Undiluted</v>
      </c>
      <c r="BE43" s="124" cm="1">
        <f t="array" ref="BE43">_xlfn.IFS(BD43="Undetermined", 0, BD43="Undiluted", BA43*$G43/$F43*1000, BD43="Ten-Fold", BC43*$G43/$F43*1000*10, BD43&lt;0, BC43*$G43/$F43*1000*10, BD43&lt;120, BA43*$G43/$F43*1000, BD43&gt;120, BC43*$G43/$F43*1000*10)</f>
        <v>328.06031247402763</v>
      </c>
      <c r="BF43" s="121" t="str">
        <f t="shared" si="14"/>
        <v>DELETE</v>
      </c>
      <c r="BG43" s="121" t="str">
        <f t="shared" si="15"/>
        <v>DELETE</v>
      </c>
      <c r="BH43" s="121" t="str">
        <f t="shared" si="16"/>
        <v>DELETE</v>
      </c>
      <c r="BI43" s="125" t="str" cm="1">
        <f t="array" ref="BI43">_xlfn.IFS(BF43="DELETE", "DELETE", BF43=0, 0, BF43&gt;0,LOG10(BF43))</f>
        <v>DELETE</v>
      </c>
      <c r="BJ43" s="126" t="str" cm="1">
        <f t="array" ref="BJ43">_xlfn.IFS(BF43="DELETE", "DELETE", BF43=0, 0, BF43&gt;0, BH43/BF43/LN(10))</f>
        <v>DELETE</v>
      </c>
    </row>
    <row r="44" spans="1:62" s="114" customFormat="1" x14ac:dyDescent="0.3">
      <c r="A44" s="115" t="str">
        <f>UPPER(LEFT(SUBSTITUTE(SUBSTITUTE(qPCR_Raw!A44,"-","")," ",""),2))&amp;RIGHT(SUBSTITUTE(SUBSTITUTE(qPCR_Raw!A44,"-","")," ",""),LEN(SUBSTITUTE(SUBSTITUTE(qPCR_Raw!A44,"-","")," ",""))-2)</f>
        <v>STb6</v>
      </c>
      <c r="B44" s="116" t="str" cm="1">
        <f t="array" ref="B44">_xlfn.IFS(LEFT(A44, LEN(A44)-1)="EP", "EP", LEFT(A44, LEN(A44)-1)="STa", "SPI", LEFT(A44, LEN(A44)-1)="STb", "SPO", LEFT(A44, LEN(A44)-1)="MRT", "MRT", LEFT(A44, LEN(A44)-1)="RG", "RN", LEFT(A44, LEN(A44)-1)="RT", "RU", LEFT(A44, LEN(A44)-1)="RW", "RL", LEFT(A44, LEN(A44)-1)="RC", "RS")</f>
        <v>SPO</v>
      </c>
      <c r="C44" s="117">
        <f>qPCR_Raw!B44</f>
        <v>44350</v>
      </c>
      <c r="D44" s="117" t="str">
        <f t="shared" si="0"/>
        <v>SPO44350</v>
      </c>
      <c r="E44" s="117" t="str">
        <f t="shared" si="1"/>
        <v>SPO443506</v>
      </c>
      <c r="F44" s="118">
        <f>qPCR_Raw!C44</f>
        <v>920</v>
      </c>
      <c r="G44" s="119">
        <f>qPCR_Raw!F44</f>
        <v>100</v>
      </c>
      <c r="H44" s="120">
        <f>qPCR_Raw!G44</f>
        <v>19.80866813659668</v>
      </c>
      <c r="I44" s="121" cm="1">
        <f t="array" ref="I44">_xlfn.IFS(H44="Undetermined", 0, qPCR_Raw!H44-qPCR_Raw!$H$242&lt;0, 0, qPCR_Raw!H44-qPCR_Raw!$H$242&gt;0, qPCR_Raw!H44-qPCR_Raw!$H$242)</f>
        <v>77120.705196126306</v>
      </c>
      <c r="J44" s="122">
        <f>qPCR_Raw!K44</f>
        <v>23.010299682617188</v>
      </c>
      <c r="K44" s="121" cm="1">
        <f t="array" ref="K44">_xlfn.IFS(J44="Undetermined", 0, qPCR_Raw!L44-qPCR_Raw!$H$242&lt;0, 0, qPCR_Raw!L44-qPCR_Raw!$H$242&gt;0, qPCR_Raw!L44-qPCR_Raw!$H$242)</f>
        <v>0</v>
      </c>
      <c r="L44" s="123" t="str" cm="1">
        <f t="array" ref="L44">_xlfn.IFS(AND(H44="Undetermined", J44="Undetermined"), "Undetermined", AND(I44=0, K44=0), "Undetermined", AND(I44=0, K44&gt;0), "Ten-Fold", AND(I44&gt;0, K44=0), "Undiluted", AND(H44&lt;&gt;"Undetermined", J44&lt;&gt;"Undetermined", I44&gt;0, K44&gt;0), 100*(-1+10^(-1/(H44-J44))))</f>
        <v>Undiluted</v>
      </c>
      <c r="M44" s="124" cm="1">
        <f t="array" ref="M44">_xlfn.IFS(L44="Undetermined", 0, L44="Undiluted", I44*$G44/$F44*1000, L44="Ten-Fold", K44*$G44/$F44*1000*10, L44&lt;0, K44*$G44/$F44*1000*10, L44&lt;120, I44*$G44/$F44*1000, L44&gt;120, K44*$G44/$F44*1000*10)</f>
        <v>8382685.3474050332</v>
      </c>
      <c r="N44" s="121">
        <f t="shared" si="2"/>
        <v>13632722.99709842</v>
      </c>
      <c r="O44" s="121">
        <f t="shared" si="3"/>
        <v>7424674.4471657602</v>
      </c>
      <c r="P44" s="121">
        <f t="shared" si="4"/>
        <v>5250037.6496933894</v>
      </c>
      <c r="Q44" s="125" cm="1">
        <f t="array" ref="Q44">_xlfn.IFS(N44="DELETE", "DELETE", N44=0, 0, N44&gt;0,LOG10(N44))</f>
        <v>7.134582610383597</v>
      </c>
      <c r="R44" s="126" cm="1">
        <f t="array" ref="R44">_xlfn.IFS(N44="DELETE", "DELETE", N44=0, 0, N44&gt;0, P44/N44/LN(10))</f>
        <v>0.16724922684422205</v>
      </c>
      <c r="S44" s="155">
        <f>qPCR_Raw!O44</f>
        <v>31.055070877075195</v>
      </c>
      <c r="T44" s="156" cm="1">
        <f t="array" ref="T44">_xlfn.IFS(S44="Undetermined", 0, qPCR_Raw!P44&lt;=1, 0, qPCR_Raw!P44&gt;1, qPCR_Raw!P44)</f>
        <v>573.4049072265625</v>
      </c>
      <c r="U44" s="157">
        <f>qPCR_Raw!R44</f>
        <v>34.911338806152344</v>
      </c>
      <c r="V44" s="156" cm="1">
        <f t="array" ref="V44">_xlfn.IFS(U44="Undetermined", 0, qPCR_Raw!S44&lt;=1, 0, qPCR_Raw!S44&gt;1, qPCR_Raw!S44)</f>
        <v>57.642986297607422</v>
      </c>
      <c r="W44" s="158" cm="1">
        <f t="array" ref="W44">_xlfn.IFS(AND(S44="Undetermined", U44="Undetermined"), "Undetermined", AND(T44=0, V44=0), "Undetermined", AND(T44=0, V44&gt;0), "Ten-Fold", AND(T44&gt;0, V44=0), "Undiluted", AND(S44&lt;&gt;"Undetermined", U44&lt;&gt;"Undetermined", T44&gt;0, V44&gt;0, S44&lt;&gt;U44), 100*(-1+10^(-1/(S44-U44))), AND(S44&lt;&gt;"Undetermined", U44&lt;&gt;"Undetermined", S44=U44&gt;0), -100)</f>
        <v>81.684584994067748</v>
      </c>
      <c r="X44" s="159" cm="1">
        <f t="array" ref="X44">_xlfn.IFS(W44="Undetermined", 0, W44="Undiluted", T44*$G44/$F44*1000, W44="Ten-Fold", V44*$G44/$F44*1000*10, W44&lt;0, V44*$G44/$F44*1000*10, W44&lt;120, T44*$G44/$F44*1000, W44&gt;120, V44*$G44/$F44*1000*10)</f>
        <v>62326.62035071331</v>
      </c>
      <c r="Y44" s="156">
        <f t="shared" si="5"/>
        <v>69895.216642370535</v>
      </c>
      <c r="Z44" s="156">
        <f t="shared" si="6"/>
        <v>10703.611523788491</v>
      </c>
      <c r="AA44" s="156">
        <f t="shared" si="7"/>
        <v>7568.5962916573171</v>
      </c>
      <c r="AB44" s="160" cm="1">
        <f t="array" ref="AB44">_xlfn.IFS(Y44="DELETE", "DELETE", Y44=0, 0, Y44&gt;0,LOG10(Y44))</f>
        <v>4.8444474553321486</v>
      </c>
      <c r="AC44" s="161" cm="1">
        <f t="array" ref="AC44">_xlfn.IFS(Y44="DELETE", "DELETE", Y44=0, 0, Y44&gt;0, AA44/Y44/LN(10))</f>
        <v>4.702753297180004E-2</v>
      </c>
      <c r="AD44" s="120">
        <f>qPCR_Raw!U44</f>
        <v>32.475231170654297</v>
      </c>
      <c r="AE44" s="121" cm="1">
        <f t="array" ref="AE44">_xlfn.IFS(AD44="Undetermined", 0, qPCR_Raw!V44&lt;=1, 0, qPCR_Raw!V44&gt;1, qPCR_Raw!V44)</f>
        <v>7.4177050590515137</v>
      </c>
      <c r="AF44" s="122">
        <f>qPCR_Raw!X44</f>
        <v>34.755863189697266</v>
      </c>
      <c r="AG44" s="121" cm="1">
        <f t="array" ref="AG44">_xlfn.IFS(AF44="Undetermined", 0, qPCR_Raw!Y44&lt;=1, 0, qPCR_Raw!Y44&gt;1, qPCR_Raw!Y44)</f>
        <v>1.7103269100189209</v>
      </c>
      <c r="AH44" s="123" cm="1">
        <f t="array" ref="AH44">_xlfn.IFS(AND(AD44="Undetermined", AF44="Undetermined"), "Undetermined", AND(AE44=0, AG44=0), "Undetermined", AND(AE44=0, AG44&gt;0), "Ten-Fold", AND(AE44&gt;0, AG44=0), "Undiluted", AND(AD44&lt;&gt;"Undetermined", AF44&lt;&gt;"Undetermined", AE44&gt;0, AG44&gt;0, AD44&lt;&gt;AF44), 100*(-1+10^(-1/(AD44-AF44))), AND(AD44&lt;&gt;"Undetermined", AF44&lt;&gt;"Undetermined", AD44=AF44&gt;0), -100)</f>
        <v>174.45740034047623</v>
      </c>
      <c r="AI44" s="124" cm="1">
        <f t="array" ref="AI44">_xlfn.IFS(AH44="Undetermined", 0, AH44="Undiluted", AE44*$G44/$F44*1000, AH44="Ten-Fold", AG44*$G44/$F44*1000*10, AH44&lt;0, AG44*$G44/$F44*1000*10, AH44&lt;120, AE44*$G44/$F44*1000, AH44&gt;120, AG44*$G44/$F44*1000*10)</f>
        <v>1859.050989151001</v>
      </c>
      <c r="AJ44" s="121">
        <f t="shared" si="8"/>
        <v>1487.2847663031685</v>
      </c>
      <c r="AK44" s="121">
        <f t="shared" si="9"/>
        <v>525.7568343836233</v>
      </c>
      <c r="AL44" s="121">
        <f t="shared" si="10"/>
        <v>371.76622284783258</v>
      </c>
      <c r="AM44" s="125" cm="1">
        <f t="array" ref="AM44">_xlfn.IFS(AJ44="DELETE", "DELETE", AJ44=0, 0, AJ44&gt;0,LOG10(AJ44))</f>
        <v>3.1723941296475311</v>
      </c>
      <c r="AN44" s="126" cm="1">
        <f t="array" ref="AN44">_xlfn.IFS(AJ44="DELETE", "DELETE", AJ44=0, 0, AJ44&gt;0, AL44/AJ44/LN(10))</f>
        <v>0.10855756933633319</v>
      </c>
      <c r="AO44" s="155">
        <f>qPCR_Raw!AA44</f>
        <v>29.680091857910156</v>
      </c>
      <c r="AP44" s="156" cm="1">
        <f t="array" ref="AP44">_xlfn.IFS(AO44="Undetermined", 0, qPCR_Raw!AB44&lt;=6, 0, qPCR_Raw!AB44&gt;6, qPCR_Raw!AB44)</f>
        <v>0</v>
      </c>
      <c r="AQ44" s="157" t="str">
        <f>qPCR_Raw!AD44</f>
        <v>Undetermined</v>
      </c>
      <c r="AR44" s="156" cm="1">
        <f t="array" ref="AR44">_xlfn.IFS(AQ44="Undetermined", 0, qPCR_Raw!AE44&lt;=6, 0, qPCR_Raw!AE44&gt;6, qPCR_Raw!AE44)</f>
        <v>0</v>
      </c>
      <c r="AS44" s="158" t="str" cm="1">
        <f t="array" ref="AS44">_xlfn.IFS(AND(AO44="Undetermined", AQ44="Undetermined"), "Undetermined", AND(AP44=0, AR44=0), "Undetermined", AND(AP44=0, AR44&gt;0), "Ten-Fold", AND(AP44&gt;0, AR44=0), "Undiluted", AND(AO44&lt;&gt;"Undetermined", AQ44&lt;&gt;"Undetermined", AP44&gt;0, AR44&gt;0, AO44&lt;&gt;AQ44), 100*(-1+10^(-1/(AO44-AQ44))), AND(AO44&lt;&gt;"Undetermined", AQ44&lt;&gt;"Undetermined", AO44=AQ44&gt;0), -100)</f>
        <v>Undetermined</v>
      </c>
      <c r="AT44" s="159" cm="1">
        <f t="array" ref="AT44">_xlfn.IFS(AS44="Undetermined", 0, AS44="Undiluted", AP44*$G44/$F44*1000, AS44="Ten-Fold", AR44*$G44/$F44*1000*10, AS44&lt;0, AR44*$G44/$F44*1000*10, AS44&lt;120, AP44*$G44/$F44*1000, AS44&gt;120, AR44*$G44/$F44*1000*10)</f>
        <v>0</v>
      </c>
      <c r="AU44" s="156">
        <f t="shared" si="11"/>
        <v>821.68414857652454</v>
      </c>
      <c r="AV44" s="156">
        <f t="shared" si="12"/>
        <v>1162.0368669039103</v>
      </c>
      <c r="AW44" s="156">
        <f t="shared" si="13"/>
        <v>821.68414857652454</v>
      </c>
      <c r="AX44" s="160" cm="1">
        <f t="array" ref="AX44">_xlfn.IFS(AU44="DELETE", "DELETE", AU44=0, 0, AU44&gt;0,LOG10(AU44))</f>
        <v>2.9147049089133246</v>
      </c>
      <c r="AY44" s="161" cm="1">
        <f t="array" ref="AY44">_xlfn.IFS(AU44="DELETE", "DELETE", AU44=0, 0, AU44&gt;0, AW44/AU44/LN(10))</f>
        <v>0.43429448190325176</v>
      </c>
      <c r="AZ44" s="120">
        <f>qPCR_Raw!AG44</f>
        <v>36.669956207275391</v>
      </c>
      <c r="BA44" s="121" cm="1">
        <f t="array" ref="BA44">_xlfn.IFS(AZ44="Undetermined", 0, qPCR_Raw!AH44&lt;=1, 0, qPCR_Raw!AH44&gt;1, qPCR_Raw!AH44)</f>
        <v>0</v>
      </c>
      <c r="BB44" s="122" t="str">
        <f>qPCR_Raw!AJ44</f>
        <v>Undetermined</v>
      </c>
      <c r="BC44" s="121" cm="1">
        <f t="array" ref="BC44">_xlfn.IFS(BB44="Undetermined", 0, qPCR_Raw!AK44&lt;=1, 0, qPCR_Raw!AK44&gt;1, qPCR_Raw!AK44)</f>
        <v>0</v>
      </c>
      <c r="BD44" s="123" t="str" cm="1">
        <f t="array" ref="BD44">_xlfn.IFS(AND(AZ44="Undetermined", BB44="Undetermined"), "Undetermined", AND(BA44=0, BC44=0), "Undetermined", AND(BA44=0, BC44&gt;0), "Ten-Fold", AND(BA44&gt;0, BC44=0), "Undiluted", AND(AZ44&lt;&gt;"Undetermined", BB44&lt;&gt;"Undetermined", BA44&gt;0, BC44&gt;0, AZ44&lt;&gt;BB44), 100*(-1+10^(-1/(AZ44-BB44))), AND(AZ44&lt;&gt;"Undetermined", BB44&lt;&gt;"Undetermined", AZ44=BB44&gt;0), -100)</f>
        <v>Undetermined</v>
      </c>
      <c r="BE44" s="124" cm="1">
        <f t="array" ref="BE44">_xlfn.IFS(BD44="Undetermined", 0, BD44="Undiluted", BA44*$G44/$F44*1000, BD44="Ten-Fold", BC44*$G44/$F44*1000*10, BD44&lt;0, BC44*$G44/$F44*1000*10, BD44&lt;120, BA44*$G44/$F44*1000, BD44&gt;120, BC44*$G44/$F44*1000*10)</f>
        <v>0</v>
      </c>
      <c r="BF44" s="121">
        <f t="shared" si="14"/>
        <v>0</v>
      </c>
      <c r="BG44" s="121">
        <f t="shared" si="15"/>
        <v>0</v>
      </c>
      <c r="BH44" s="121">
        <f t="shared" si="16"/>
        <v>0</v>
      </c>
      <c r="BI44" s="125" cm="1">
        <f t="array" ref="BI44">_xlfn.IFS(BF44="DELETE", "DELETE", BF44=0, 0, BF44&gt;0,LOG10(BF44))</f>
        <v>0</v>
      </c>
      <c r="BJ44" s="126" cm="1">
        <f t="array" ref="BJ44">_xlfn.IFS(BF44="DELETE", "DELETE", BF44=0, 0, BF44&gt;0, BH44/BF44/LN(10))</f>
        <v>0</v>
      </c>
    </row>
    <row r="45" spans="1:62" s="114" customFormat="1" x14ac:dyDescent="0.3">
      <c r="A45" s="115" t="str">
        <f>UPPER(LEFT(SUBSTITUTE(SUBSTITUTE(qPCR_Raw!A45,"-","")," ",""),2))&amp;RIGHT(SUBSTITUTE(SUBSTITUTE(qPCR_Raw!A45,"-","")," ",""),LEN(SUBSTITUTE(SUBSTITUTE(qPCR_Raw!A45,"-","")," ",""))-2)</f>
        <v>STb7</v>
      </c>
      <c r="B45" s="116" t="str" cm="1">
        <f t="array" ref="B45">_xlfn.IFS(LEFT(A45, LEN(A45)-1)="EP", "EP", LEFT(A45, LEN(A45)-1)="STa", "SPI", LEFT(A45, LEN(A45)-1)="STb", "SPO", LEFT(A45, LEN(A45)-1)="MRT", "MRT", LEFT(A45, LEN(A45)-1)="RG", "RN", LEFT(A45, LEN(A45)-1)="RT", "RU", LEFT(A45, LEN(A45)-1)="RW", "RL", LEFT(A45, LEN(A45)-1)="RC", "RS")</f>
        <v>SPO</v>
      </c>
      <c r="C45" s="117">
        <f>qPCR_Raw!B45</f>
        <v>44350</v>
      </c>
      <c r="D45" s="117" t="str">
        <f t="shared" si="0"/>
        <v>SPO44350</v>
      </c>
      <c r="E45" s="117" t="str">
        <f t="shared" si="1"/>
        <v>SPO443507</v>
      </c>
      <c r="F45" s="118">
        <f>qPCR_Raw!C45</f>
        <v>900</v>
      </c>
      <c r="G45" s="119">
        <f>qPCR_Raw!F45</f>
        <v>100</v>
      </c>
      <c r="H45" s="120">
        <f>qPCR_Raw!G45</f>
        <v>18.671392440795898</v>
      </c>
      <c r="I45" s="121" cm="1">
        <f t="array" ref="I45">_xlfn.IFS(H45="Undetermined", 0, qPCR_Raw!H45-qPCR_Raw!$H$242&lt;0, 0, qPCR_Raw!H45-qPCR_Raw!$H$242&gt;0, qPCR_Raw!H45-qPCR_Raw!$H$242)</f>
        <v>169944.84582112631</v>
      </c>
      <c r="J45" s="122">
        <f>qPCR_Raw!K45</f>
        <v>21.949716567993164</v>
      </c>
      <c r="K45" s="121" cm="1">
        <f t="array" ref="K45">_xlfn.IFS(J45="Undetermined", 0, qPCR_Raw!L45-qPCR_Raw!$H$242&lt;0, 0, qPCR_Raw!L45-qPCR_Raw!$H$242&gt;0, qPCR_Raw!L45-qPCR_Raw!$H$242)</f>
        <v>10772.972774251302</v>
      </c>
      <c r="L45" s="123" cm="1">
        <f t="array" ref="L45">_xlfn.IFS(AND(H45="Undetermined", J45="Undetermined"), "Undetermined", AND(I45=0, K45=0), "Undetermined", AND(I45=0, K45&gt;0), "Ten-Fold", AND(I45&gt;0, K45=0), "Undiluted", AND(H45&lt;&gt;"Undetermined", J45&lt;&gt;"Undetermined", I45&gt;0, K45&gt;0), 100*(-1+10^(-1/(H45-J45))))</f>
        <v>101.85239272653325</v>
      </c>
      <c r="M45" s="124" cm="1">
        <f t="array" ref="M45">_xlfn.IFS(L45="Undetermined", 0, L45="Undiluted", I45*$G45/$F45*1000, L45="Ten-Fold", K45*$G45/$F45*1000*10, L45&lt;0, K45*$G45/$F45*1000*10, L45&lt;120, I45*$G45/$F45*1000, L45&gt;120, K45*$G45/$F45*1000*10)</f>
        <v>18882760.646791808</v>
      </c>
      <c r="N45" s="121" t="str">
        <f t="shared" si="2"/>
        <v>DELETE</v>
      </c>
      <c r="O45" s="121" t="str">
        <f t="shared" si="3"/>
        <v>DELETE</v>
      </c>
      <c r="P45" s="121" t="str">
        <f t="shared" si="4"/>
        <v>DELETE</v>
      </c>
      <c r="Q45" s="125" t="str" cm="1">
        <f t="array" ref="Q45">_xlfn.IFS(N45="DELETE", "DELETE", N45=0, 0, N45&gt;0,LOG10(N45))</f>
        <v>DELETE</v>
      </c>
      <c r="R45" s="126" t="str" cm="1">
        <f t="array" ref="R45">_xlfn.IFS(N45="DELETE", "DELETE", N45=0, 0, N45&gt;0, P45/N45/LN(10))</f>
        <v>DELETE</v>
      </c>
      <c r="S45" s="155">
        <f>qPCR_Raw!O45</f>
        <v>30.727001190185547</v>
      </c>
      <c r="T45" s="156" cm="1">
        <f t="array" ref="T45">_xlfn.IFS(S45="Undetermined", 0, qPCR_Raw!P45&lt;=1, 0, qPCR_Raw!P45&gt;1, qPCR_Raw!P45)</f>
        <v>697.17431640625</v>
      </c>
      <c r="U45" s="157">
        <f>qPCR_Raw!R45</f>
        <v>33.847194671630859</v>
      </c>
      <c r="V45" s="156" cm="1">
        <f t="array" ref="V45">_xlfn.IFS(U45="Undetermined", 0, qPCR_Raw!S45&lt;=1, 0, qPCR_Raw!S45&gt;1, qPCR_Raw!S45)</f>
        <v>108.65950012207031</v>
      </c>
      <c r="W45" s="158" cm="1">
        <f t="array" ref="W45">_xlfn.IFS(AND(S45="Undetermined", U45="Undetermined"), "Undetermined", AND(T45=0, V45=0), "Undetermined", AND(T45=0, V45&gt;0), "Ten-Fold", AND(T45&gt;0, V45=0), "Undiluted", AND(S45&lt;&gt;"Undetermined", U45&lt;&gt;"Undetermined", T45&gt;0, V45&gt;0, S45&lt;&gt;U45), 100*(-1+10^(-1/(S45-U45))), AND(S45&lt;&gt;"Undetermined", U45&lt;&gt;"Undetermined", S45=U45&gt;0), -100)</f>
        <v>109.16689315503736</v>
      </c>
      <c r="X45" s="159" cm="1">
        <f t="array" ref="X45">_xlfn.IFS(W45="Undetermined", 0, W45="Undiluted", T45*$G45/$F45*1000, W45="Ten-Fold", V45*$G45/$F45*1000*10, W45&lt;0, V45*$G45/$F45*1000*10, W45&lt;120, T45*$G45/$F45*1000, W45&gt;120, V45*$G45/$F45*1000*10)</f>
        <v>77463.812934027766</v>
      </c>
      <c r="Y45" s="156" t="str">
        <f t="shared" si="5"/>
        <v>DELETE</v>
      </c>
      <c r="Z45" s="156" t="str">
        <f t="shared" si="6"/>
        <v>DELETE</v>
      </c>
      <c r="AA45" s="156" t="str">
        <f t="shared" si="7"/>
        <v>DELETE</v>
      </c>
      <c r="AB45" s="160" t="str" cm="1">
        <f t="array" ref="AB45">_xlfn.IFS(Y45="DELETE", "DELETE", Y45=0, 0, Y45&gt;0,LOG10(Y45))</f>
        <v>DELETE</v>
      </c>
      <c r="AC45" s="161" t="str" cm="1">
        <f t="array" ref="AC45">_xlfn.IFS(Y45="DELETE", "DELETE", Y45=0, 0, Y45&gt;0, AA45/Y45/LN(10))</f>
        <v>DELETE</v>
      </c>
      <c r="AD45" s="120">
        <f>qPCR_Raw!U45</f>
        <v>32.947200775146484</v>
      </c>
      <c r="AE45" s="121" cm="1">
        <f t="array" ref="AE45">_xlfn.IFS(AD45="Undetermined", 0, qPCR_Raw!V45&lt;=1, 0, qPCR_Raw!V45&gt;1, qPCR_Raw!V45)</f>
        <v>5.4752635955810547</v>
      </c>
      <c r="AF45" s="122">
        <f>qPCR_Raw!X45</f>
        <v>35.583946228027344</v>
      </c>
      <c r="AG45" s="121" cm="1">
        <f t="array" ref="AG45">_xlfn.IFS(AF45="Undetermined", 0, qPCR_Raw!Y45&lt;=1, 0, qPCR_Raw!Y45&gt;1, qPCR_Raw!Y45)</f>
        <v>1.0039666891098022</v>
      </c>
      <c r="AH45" s="123" cm="1">
        <f t="array" ref="AH45">_xlfn.IFS(AND(AD45="Undetermined", AF45="Undetermined"), "Undetermined", AND(AE45=0, AG45=0), "Undetermined", AND(AE45=0, AG45&gt;0), "Ten-Fold", AND(AE45&gt;0, AG45=0), "Undiluted", AND(AD45&lt;&gt;"Undetermined", AF45&lt;&gt;"Undetermined", AE45&gt;0, AG45&gt;0, AD45&lt;&gt;AF45), 100*(-1+10^(-1/(AD45-AF45))), AND(AD45&lt;&gt;"Undetermined", AF45&lt;&gt;"Undetermined", AD45=AF45&gt;0), -100)</f>
        <v>139.47237335940233</v>
      </c>
      <c r="AI45" s="124" cm="1">
        <f t="array" ref="AI45">_xlfn.IFS(AH45="Undetermined", 0, AH45="Undiluted", AE45*$G45/$F45*1000, AH45="Ten-Fold", AG45*$G45/$F45*1000*10, AH45&lt;0, AG45*$G45/$F45*1000*10, AH45&lt;120, AE45*$G45/$F45*1000, AH45&gt;120, AG45*$G45/$F45*1000*10)</f>
        <v>1115.5185434553359</v>
      </c>
      <c r="AJ45" s="121" t="str">
        <f t="shared" si="8"/>
        <v>DELETE</v>
      </c>
      <c r="AK45" s="121" t="str">
        <f t="shared" si="9"/>
        <v>DELETE</v>
      </c>
      <c r="AL45" s="121" t="str">
        <f t="shared" si="10"/>
        <v>DELETE</v>
      </c>
      <c r="AM45" s="125" t="str" cm="1">
        <f t="array" ref="AM45">_xlfn.IFS(AJ45="DELETE", "DELETE", AJ45=0, 0, AJ45&gt;0,LOG10(AJ45))</f>
        <v>DELETE</v>
      </c>
      <c r="AN45" s="126" t="str" cm="1">
        <f t="array" ref="AN45">_xlfn.IFS(AJ45="DELETE", "DELETE", AJ45=0, 0, AJ45&gt;0, AL45/AJ45/LN(10))</f>
        <v>DELETE</v>
      </c>
      <c r="AO45" s="155">
        <f>qPCR_Raw!AA45</f>
        <v>27.498956680297852</v>
      </c>
      <c r="AP45" s="156" cm="1">
        <f t="array" ref="AP45">_xlfn.IFS(AO45="Undetermined", 0, qPCR_Raw!AB45&lt;=6, 0, qPCR_Raw!AB45&gt;6, qPCR_Raw!AB45)</f>
        <v>14.790314674377441</v>
      </c>
      <c r="AQ45" s="157">
        <f>qPCR_Raw!AD45</f>
        <v>30.589944839477539</v>
      </c>
      <c r="AR45" s="156" cm="1">
        <f t="array" ref="AR45">_xlfn.IFS(AQ45="Undetermined", 0, qPCR_Raw!AE45&lt;=6, 0, qPCR_Raw!AE45&gt;6, qPCR_Raw!AE45)</f>
        <v>0</v>
      </c>
      <c r="AS45" s="158" t="str" cm="1">
        <f t="array" ref="AS45">_xlfn.IFS(AND(AO45="Undetermined", AQ45="Undetermined"), "Undetermined", AND(AP45=0, AR45=0), "Undetermined", AND(AP45=0, AR45&gt;0), "Ten-Fold", AND(AP45&gt;0, AR45=0), "Undiluted", AND(AO45&lt;&gt;"Undetermined", AQ45&lt;&gt;"Undetermined", AP45&gt;0, AR45&gt;0, AO45&lt;&gt;AQ45), 100*(-1+10^(-1/(AO45-AQ45))), AND(AO45&lt;&gt;"Undetermined", AQ45&lt;&gt;"Undetermined", AO45=AQ45&gt;0), -100)</f>
        <v>Undiluted</v>
      </c>
      <c r="AT45" s="159" cm="1">
        <f t="array" ref="AT45">_xlfn.IFS(AS45="Undetermined", 0, AS45="Undiluted", AP45*$G45/$F45*1000, AS45="Ten-Fold", AR45*$G45/$F45*1000*10, AS45&lt;0, AR45*$G45/$F45*1000*10, AS45&lt;120, AP45*$G45/$F45*1000, AS45&gt;120, AR45*$G45/$F45*1000*10)</f>
        <v>1643.3682971530491</v>
      </c>
      <c r="AU45" s="156" t="str">
        <f t="shared" si="11"/>
        <v>DELETE</v>
      </c>
      <c r="AV45" s="156" t="str">
        <f t="shared" si="12"/>
        <v>DELETE</v>
      </c>
      <c r="AW45" s="156" t="str">
        <f t="shared" si="13"/>
        <v>DELETE</v>
      </c>
      <c r="AX45" s="160" t="str" cm="1">
        <f t="array" ref="AX45">_xlfn.IFS(AU45="DELETE", "DELETE", AU45=0, 0, AU45&gt;0,LOG10(AU45))</f>
        <v>DELETE</v>
      </c>
      <c r="AY45" s="161" t="str" cm="1">
        <f t="array" ref="AY45">_xlfn.IFS(AU45="DELETE", "DELETE", AU45=0, 0, AU45&gt;0, AW45/AU45/LN(10))</f>
        <v>DELETE</v>
      </c>
      <c r="AZ45" s="120">
        <f>qPCR_Raw!AG45</f>
        <v>37.440029144287109</v>
      </c>
      <c r="BA45" s="121" cm="1">
        <f t="array" ref="BA45">_xlfn.IFS(AZ45="Undetermined", 0, qPCR_Raw!AH45&lt;=1, 0, qPCR_Raw!AH45&gt;1, qPCR_Raw!AH45)</f>
        <v>0</v>
      </c>
      <c r="BB45" s="122" t="str">
        <f>qPCR_Raw!AJ45</f>
        <v>Undetermined</v>
      </c>
      <c r="BC45" s="121" cm="1">
        <f t="array" ref="BC45">_xlfn.IFS(BB45="Undetermined", 0, qPCR_Raw!AK45&lt;=1, 0, qPCR_Raw!AK45&gt;1, qPCR_Raw!AK45)</f>
        <v>0</v>
      </c>
      <c r="BD45" s="123" t="str" cm="1">
        <f t="array" ref="BD45">_xlfn.IFS(AND(AZ45="Undetermined", BB45="Undetermined"), "Undetermined", AND(BA45=0, BC45=0), "Undetermined", AND(BA45=0, BC45&gt;0), "Ten-Fold", AND(BA45&gt;0, BC45=0), "Undiluted", AND(AZ45&lt;&gt;"Undetermined", BB45&lt;&gt;"Undetermined", BA45&gt;0, BC45&gt;0, AZ45&lt;&gt;BB45), 100*(-1+10^(-1/(AZ45-BB45))), AND(AZ45&lt;&gt;"Undetermined", BB45&lt;&gt;"Undetermined", AZ45=BB45&gt;0), -100)</f>
        <v>Undetermined</v>
      </c>
      <c r="BE45" s="124" cm="1">
        <f t="array" ref="BE45">_xlfn.IFS(BD45="Undetermined", 0, BD45="Undiluted", BA45*$G45/$F45*1000, BD45="Ten-Fold", BC45*$G45/$F45*1000*10, BD45&lt;0, BC45*$G45/$F45*1000*10, BD45&lt;120, BA45*$G45/$F45*1000, BD45&gt;120, BC45*$G45/$F45*1000*10)</f>
        <v>0</v>
      </c>
      <c r="BF45" s="121" t="str">
        <f t="shared" si="14"/>
        <v>DELETE</v>
      </c>
      <c r="BG45" s="121" t="str">
        <f t="shared" si="15"/>
        <v>DELETE</v>
      </c>
      <c r="BH45" s="121" t="str">
        <f t="shared" si="16"/>
        <v>DELETE</v>
      </c>
      <c r="BI45" s="125" t="str" cm="1">
        <f t="array" ref="BI45">_xlfn.IFS(BF45="DELETE", "DELETE", BF45=0, 0, BF45&gt;0,LOG10(BF45))</f>
        <v>DELETE</v>
      </c>
      <c r="BJ45" s="126" t="str" cm="1">
        <f t="array" ref="BJ45">_xlfn.IFS(BF45="DELETE", "DELETE", BF45=0, 0, BF45&gt;0, BH45/BF45/LN(10))</f>
        <v>DELETE</v>
      </c>
    </row>
    <row r="46" spans="1:62" s="114" customFormat="1" x14ac:dyDescent="0.3">
      <c r="A46" s="115" t="str">
        <f>UPPER(LEFT(SUBSTITUTE(SUBSTITUTE(qPCR_Raw!A46,"-","")," ",""),2))&amp;RIGHT(SUBSTITUTE(SUBSTITUTE(qPCR_Raw!A46,"-","")," ",""),LEN(SUBSTITUTE(SUBSTITUTE(qPCR_Raw!A46,"-","")," ",""))-2)</f>
        <v>RC6</v>
      </c>
      <c r="B46" s="116" t="str" cm="1">
        <f t="array" ref="B46">_xlfn.IFS(LEFT(A46, LEN(A46)-1)="EP", "EP", LEFT(A46, LEN(A46)-1)="STa", "SPI", LEFT(A46, LEN(A46)-1)="STb", "SPO", LEFT(A46, LEN(A46)-1)="MRT", "MRT", LEFT(A46, LEN(A46)-1)="RG", "RN", LEFT(A46, LEN(A46)-1)="RT", "RU", LEFT(A46, LEN(A46)-1)="RW", "RL", LEFT(A46, LEN(A46)-1)="RC", "RS")</f>
        <v>RS</v>
      </c>
      <c r="C46" s="117">
        <f>qPCR_Raw!B46</f>
        <v>44350</v>
      </c>
      <c r="D46" s="117" t="str">
        <f t="shared" si="0"/>
        <v>RS44350</v>
      </c>
      <c r="E46" s="117" t="str">
        <f t="shared" si="1"/>
        <v>RS443506</v>
      </c>
      <c r="F46" s="118">
        <f>qPCR_Raw!C46</f>
        <v>900</v>
      </c>
      <c r="G46" s="119">
        <f>qPCR_Raw!F46</f>
        <v>100</v>
      </c>
      <c r="H46" s="120">
        <f>qPCR_Raw!G46</f>
        <v>9.8082008361816406</v>
      </c>
      <c r="I46" s="121" cm="1">
        <f t="array" ref="I46">_xlfn.IFS(H46="Undetermined", 0, qPCR_Raw!H46-qPCR_Raw!$H$242&lt;0, 0, qPCR_Raw!H46-qPCR_Raw!$H$242&gt;0, qPCR_Raw!H46-qPCR_Raw!$H$242)</f>
        <v>45594037.361446127</v>
      </c>
      <c r="J46" s="122">
        <f>qPCR_Raw!K46</f>
        <v>12.373018264770508</v>
      </c>
      <c r="K46" s="121" cm="1">
        <f t="array" ref="K46">_xlfn.IFS(J46="Undetermined", 0, qPCR_Raw!L46-qPCR_Raw!$H$242&lt;0, 0, qPCR_Raw!L46-qPCR_Raw!$H$242&gt;0, qPCR_Raw!L46-qPCR_Raw!$H$242)</f>
        <v>9222569.3614461254</v>
      </c>
      <c r="L46" s="123" cm="1">
        <f t="array" ref="L46">_xlfn.IFS(AND(H46="Undetermined", J46="Undetermined"), "Undetermined", AND(I46=0, K46=0), "Undetermined", AND(I46=0, K46&gt;0), "Ten-Fold", AND(I46&gt;0, K46=0), "Undiluted", AND(H46&lt;&gt;"Undetermined", J46&lt;&gt;"Undetermined", I46&gt;0, K46&gt;0), 100*(-1+10^(-1/(H46-J46))))</f>
        <v>145.40945977245644</v>
      </c>
      <c r="M46" s="124" cm="1">
        <f t="array" ref="M46">_xlfn.IFS(L46="Undetermined", 0, L46="Undiluted", I46*$G46/$F46*1000, L46="Ten-Fold", K46*$G46/$F46*1000*10, L46&lt;0, K46*$G46/$F46*1000*10, L46&lt;120, I46*$G46/$F46*1000, L46&gt;120, K46*$G46/$F46*1000*10)</f>
        <v>10247299290.495695</v>
      </c>
      <c r="N46" s="121">
        <f t="shared" si="2"/>
        <v>16876936944.962345</v>
      </c>
      <c r="O46" s="121">
        <f t="shared" si="3"/>
        <v>9375723484.5660973</v>
      </c>
      <c r="P46" s="121">
        <f t="shared" si="4"/>
        <v>6629637654.4666538</v>
      </c>
      <c r="Q46" s="125" cm="1">
        <f t="array" ref="Q46">_xlfn.IFS(N46="DELETE", "DELETE", N46=0, 0, N46&gt;0,LOG10(N46))</f>
        <v>10.227293627798474</v>
      </c>
      <c r="R46" s="126" cm="1">
        <f t="array" ref="R46">_xlfn.IFS(N46="DELETE", "DELETE", N46=0, 0, N46&gt;0, P46/N46/LN(10))</f>
        <v>0.17060056927049855</v>
      </c>
      <c r="S46" s="155">
        <f>qPCR_Raw!O46</f>
        <v>29.675907135009766</v>
      </c>
      <c r="T46" s="156" cm="1">
        <f t="array" ref="T46">_xlfn.IFS(S46="Undetermined", 0, qPCR_Raw!P46&lt;=1, 0, qPCR_Raw!P46&gt;1, qPCR_Raw!P46)</f>
        <v>1304.0260009765625</v>
      </c>
      <c r="U46" s="157">
        <f>qPCR_Raw!R46</f>
        <v>32.483463287353516</v>
      </c>
      <c r="V46" s="156" cm="1">
        <f t="array" ref="V46">_xlfn.IFS(U46="Undetermined", 0, qPCR_Raw!S46&lt;=1, 0, qPCR_Raw!S46&gt;1, qPCR_Raw!S46)</f>
        <v>244.84983825683594</v>
      </c>
      <c r="W46" s="158" cm="1">
        <f t="array" ref="W46">_xlfn.IFS(AND(S46="Undetermined", U46="Undetermined"), "Undetermined", AND(T46=0, V46=0), "Undetermined", AND(T46=0, V46&gt;0), "Ten-Fold", AND(T46&gt;0, V46=0), "Undiluted", AND(S46&lt;&gt;"Undetermined", U46&lt;&gt;"Undetermined", T46&gt;0, V46&gt;0, S46&lt;&gt;U46), 100*(-1+10^(-1/(S46-U46))), AND(S46&lt;&gt;"Undetermined", U46&lt;&gt;"Undetermined", S46=U46&gt;0), -100)</f>
        <v>127.08144865517328</v>
      </c>
      <c r="X46" s="159" cm="1">
        <f t="array" ref="X46">_xlfn.IFS(W46="Undetermined", 0, W46="Undiluted", T46*$G46/$F46*1000, W46="Ten-Fold", V46*$G46/$F46*1000*10, W46&lt;0, V46*$G46/$F46*1000*10, W46&lt;120, T46*$G46/$F46*1000, W46&gt;120, V46*$G46/$F46*1000*10)</f>
        <v>272055.37584092881</v>
      </c>
      <c r="Y46" s="156">
        <f t="shared" si="5"/>
        <v>414279.88644454628</v>
      </c>
      <c r="Z46" s="156">
        <f t="shared" si="6"/>
        <v>201135.83179751178</v>
      </c>
      <c r="AA46" s="156">
        <f t="shared" si="7"/>
        <v>142224.51060361738</v>
      </c>
      <c r="AB46" s="160" cm="1">
        <f t="array" ref="AB46">_xlfn.IFS(Y46="DELETE", "DELETE", Y46=0, 0, Y46&gt;0,LOG10(Y46))</f>
        <v>5.6172938485331683</v>
      </c>
      <c r="AC46" s="161" cm="1">
        <f t="array" ref="AC46">_xlfn.IFS(Y46="DELETE", "DELETE", Y46=0, 0, Y46&gt;0, AA46/Y46/LN(10))</f>
        <v>0.14909562874665278</v>
      </c>
      <c r="AD46" s="120">
        <f>qPCR_Raw!U46</f>
        <v>25.608776092529297</v>
      </c>
      <c r="AE46" s="121" cm="1">
        <f t="array" ref="AE46">_xlfn.IFS(AD46="Undetermined", 0, qPCR_Raw!V46&lt;=1, 0, qPCR_Raw!V46&gt;1, qPCR_Raw!V46)</f>
        <v>614.75555419921875</v>
      </c>
      <c r="AF46" s="122">
        <f>qPCR_Raw!X46</f>
        <v>28.504611968994141</v>
      </c>
      <c r="AG46" s="121" cm="1">
        <f t="array" ref="AG46">_xlfn.IFS(AF46="Undetermined", 0, qPCR_Raw!Y46&lt;=1, 0, qPCR_Raw!Y46&gt;1, qPCR_Raw!Y46)</f>
        <v>95.417709350585938</v>
      </c>
      <c r="AH46" s="123" cm="1">
        <f t="array" ref="AH46">_xlfn.IFS(AND(AD46="Undetermined", AF46="Undetermined"), "Undetermined", AND(AE46=0, AG46=0), "Undetermined", AND(AE46=0, AG46&gt;0), "Ten-Fold", AND(AE46&gt;0, AG46=0), "Undiluted", AND(AD46&lt;&gt;"Undetermined", AF46&lt;&gt;"Undetermined", AE46&gt;0, AG46&gt;0, AD46&lt;&gt;AF46), 100*(-1+10^(-1/(AD46-AF46))), AND(AD46&lt;&gt;"Undetermined", AF46&lt;&gt;"Undetermined", AD46=AF46&gt;0), -100)</f>
        <v>121.4743510123605</v>
      </c>
      <c r="AI46" s="124" cm="1">
        <f t="array" ref="AI46">_xlfn.IFS(AH46="Undetermined", 0, AH46="Undiluted", AE46*$G46/$F46*1000, AH46="Ten-Fold", AG46*$G46/$F46*1000*10, AH46&lt;0, AG46*$G46/$F46*1000*10, AH46&lt;120, AE46*$G46/$F46*1000, AH46&gt;120, AG46*$G46/$F46*1000*10)</f>
        <v>106019.67705620658</v>
      </c>
      <c r="AJ46" s="121">
        <f t="shared" si="8"/>
        <v>88344.487368309477</v>
      </c>
      <c r="AK46" s="121">
        <f t="shared" si="9"/>
        <v>24996.492974141162</v>
      </c>
      <c r="AL46" s="121">
        <f t="shared" si="10"/>
        <v>17675.189687897106</v>
      </c>
      <c r="AM46" s="125" cm="1">
        <f t="array" ref="AM46">_xlfn.IFS(AJ46="DELETE", "DELETE", AJ46=0, 0, AJ46&gt;0,LOG10(AJ46))</f>
        <v>4.9461794550287745</v>
      </c>
      <c r="AN46" s="126" cm="1">
        <f t="array" ref="AN46">_xlfn.IFS(AJ46="DELETE", "DELETE", AJ46=0, 0, AJ46&gt;0, AL46/AJ46/LN(10))</f>
        <v>8.6889828405983333E-2</v>
      </c>
      <c r="AO46" s="155">
        <f>qPCR_Raw!AA46</f>
        <v>30.072658538818359</v>
      </c>
      <c r="AP46" s="156" cm="1">
        <f t="array" ref="AP46">_xlfn.IFS(AO46="Undetermined", 0, qPCR_Raw!AB46&lt;=6, 0, qPCR_Raw!AB46&gt;6, qPCR_Raw!AB46)</f>
        <v>0</v>
      </c>
      <c r="AQ46" s="157">
        <f>qPCR_Raw!AD46</f>
        <v>31.408628463745117</v>
      </c>
      <c r="AR46" s="156" cm="1">
        <f t="array" ref="AR46">_xlfn.IFS(AQ46="Undetermined", 0, qPCR_Raw!AE46&lt;=6, 0, qPCR_Raw!AE46&gt;6, qPCR_Raw!AE46)</f>
        <v>0</v>
      </c>
      <c r="AS46" s="158" t="str" cm="1">
        <f t="array" ref="AS46">_xlfn.IFS(AND(AO46="Undetermined", AQ46="Undetermined"), "Undetermined", AND(AP46=0, AR46=0), "Undetermined", AND(AP46=0, AR46&gt;0), "Ten-Fold", AND(AP46&gt;0, AR46=0), "Undiluted", AND(AO46&lt;&gt;"Undetermined", AQ46&lt;&gt;"Undetermined", AP46&gt;0, AR46&gt;0, AO46&lt;&gt;AQ46), 100*(-1+10^(-1/(AO46-AQ46))), AND(AO46&lt;&gt;"Undetermined", AQ46&lt;&gt;"Undetermined", AO46=AQ46&gt;0), -100)</f>
        <v>Undetermined</v>
      </c>
      <c r="AT46" s="159" cm="1">
        <f t="array" ref="AT46">_xlfn.IFS(AS46="Undetermined", 0, AS46="Undiluted", AP46*$G46/$F46*1000, AS46="Ten-Fold", AR46*$G46/$F46*1000*10, AS46&lt;0, AR46*$G46/$F46*1000*10, AS46&lt;120, AP46*$G46/$F46*1000, AS46&gt;120, AR46*$G46/$F46*1000*10)</f>
        <v>0</v>
      </c>
      <c r="AU46" s="156">
        <f t="shared" si="11"/>
        <v>0</v>
      </c>
      <c r="AV46" s="156">
        <f t="shared" si="12"/>
        <v>0</v>
      </c>
      <c r="AW46" s="156">
        <f t="shared" si="13"/>
        <v>0</v>
      </c>
      <c r="AX46" s="160" cm="1">
        <f t="array" ref="AX46">_xlfn.IFS(AU46="DELETE", "DELETE", AU46=0, 0, AU46&gt;0,LOG10(AU46))</f>
        <v>0</v>
      </c>
      <c r="AY46" s="161" cm="1">
        <f t="array" ref="AY46">_xlfn.IFS(AU46="DELETE", "DELETE", AU46=0, 0, AU46&gt;0, AW46/AU46/LN(10))</f>
        <v>0</v>
      </c>
      <c r="AZ46" s="120">
        <f>qPCR_Raw!AG46</f>
        <v>25.412641525268555</v>
      </c>
      <c r="BA46" s="121" cm="1">
        <f t="array" ref="BA46">_xlfn.IFS(AZ46="Undetermined", 0, qPCR_Raw!AH46&lt;=1, 0, qPCR_Raw!AH46&gt;1, qPCR_Raw!AH46)</f>
        <v>1155.81103515625</v>
      </c>
      <c r="BB46" s="122">
        <f>qPCR_Raw!AJ46</f>
        <v>28.170585632324219</v>
      </c>
      <c r="BC46" s="121" cm="1">
        <f t="array" ref="BC46">_xlfn.IFS(BB46="Undetermined", 0, qPCR_Raw!AK46&lt;=1, 0, qPCR_Raw!AK46&gt;1, qPCR_Raw!AK46)</f>
        <v>202.01164245605469</v>
      </c>
      <c r="BD46" s="123" cm="1">
        <f t="array" ref="BD46">_xlfn.IFS(AND(AZ46="Undetermined", BB46="Undetermined"), "Undetermined", AND(BA46=0, BC46=0), "Undetermined", AND(BA46=0, BC46&gt;0), "Ten-Fold", AND(BA46&gt;0, BC46=0), "Undiluted", AND(AZ46&lt;&gt;"Undetermined", BB46&lt;&gt;"Undetermined", BA46&gt;0, BC46&gt;0, AZ46&lt;&gt;BB46), 100*(-1+10^(-1/(AZ46-BB46))), AND(AZ46&lt;&gt;"Undetermined", BB46&lt;&gt;"Undetermined", AZ46=BB46&gt;0), -100)</f>
        <v>130.45648255879567</v>
      </c>
      <c r="BE46" s="124" cm="1">
        <f t="array" ref="BE46">_xlfn.IFS(BD46="Undetermined", 0, BD46="Undiluted", BA46*$G46/$F46*1000, BD46="Ten-Fold", BC46*$G46/$F46*1000*10, BD46&lt;0, BC46*$G46/$F46*1000*10, BD46&lt;120, BA46*$G46/$F46*1000, BD46&gt;120, BC46*$G46/$F46*1000*10)</f>
        <v>224457.38050672747</v>
      </c>
      <c r="BF46" s="121">
        <f t="shared" si="14"/>
        <v>192624.80369821313</v>
      </c>
      <c r="BG46" s="121">
        <f t="shared" si="15"/>
        <v>45018.061847884092</v>
      </c>
      <c r="BH46" s="121">
        <f t="shared" si="16"/>
        <v>31832.576808514237</v>
      </c>
      <c r="BI46" s="125" cm="1">
        <f t="array" ref="BI46">_xlfn.IFS(BF46="DELETE", "DELETE", BF46=0, 0, BF46&gt;0,LOG10(BF46))</f>
        <v>5.2847122091420431</v>
      </c>
      <c r="BJ46" s="126" cm="1">
        <f t="array" ref="BJ46">_xlfn.IFS(BF46="DELETE", "DELETE", BF46=0, 0, BF46&gt;0, BH46/BF46/LN(10))</f>
        <v>7.1770157255336905E-2</v>
      </c>
    </row>
    <row r="47" spans="1:62" s="114" customFormat="1" x14ac:dyDescent="0.3">
      <c r="A47" s="115" t="str">
        <f>UPPER(LEFT(SUBSTITUTE(SUBSTITUTE(qPCR_Raw!A47,"-","")," ",""),2))&amp;RIGHT(SUBSTITUTE(SUBSTITUTE(qPCR_Raw!A47,"-","")," ",""),LEN(SUBSTITUTE(SUBSTITUTE(qPCR_Raw!A47,"-","")," ",""))-2)</f>
        <v>RC7</v>
      </c>
      <c r="B47" s="116" t="str" cm="1">
        <f t="array" ref="B47">_xlfn.IFS(LEFT(A47, LEN(A47)-1)="EP", "EP", LEFT(A47, LEN(A47)-1)="STa", "SPI", LEFT(A47, LEN(A47)-1)="STb", "SPO", LEFT(A47, LEN(A47)-1)="MRT", "MRT", LEFT(A47, LEN(A47)-1)="RG", "RN", LEFT(A47, LEN(A47)-1)="RT", "RU", LEFT(A47, LEN(A47)-1)="RW", "RL", LEFT(A47, LEN(A47)-1)="RC", "RS")</f>
        <v>RS</v>
      </c>
      <c r="C47" s="117">
        <f>qPCR_Raw!B47</f>
        <v>44350</v>
      </c>
      <c r="D47" s="117" t="str">
        <f t="shared" si="0"/>
        <v>RS44350</v>
      </c>
      <c r="E47" s="117" t="str">
        <f t="shared" si="1"/>
        <v>RS443507</v>
      </c>
      <c r="F47" s="118">
        <f>qPCR_Raw!C47</f>
        <v>970</v>
      </c>
      <c r="G47" s="119">
        <f>qPCR_Raw!F47</f>
        <v>100</v>
      </c>
      <c r="H47" s="120">
        <f>qPCR_Raw!G47</f>
        <v>9.1707515716552734</v>
      </c>
      <c r="I47" s="121" cm="1">
        <f t="array" ref="I47">_xlfn.IFS(H47="Undetermined", 0, qPCR_Raw!H47-qPCR_Raw!$H$242&lt;0, 0, qPCR_Raw!H47-qPCR_Raw!$H$242&gt;0, qPCR_Raw!H47-qPCR_Raw!$H$242)</f>
        <v>67814929.361446127</v>
      </c>
      <c r="J47" s="122">
        <f>qPCR_Raw!K47</f>
        <v>10.920645713806152</v>
      </c>
      <c r="K47" s="121" cm="1">
        <f t="array" ref="K47">_xlfn.IFS(J47="Undetermined", 0, qPCR_Raw!L47-qPCR_Raw!$H$242&lt;0, 0, qPCR_Raw!L47-qPCR_Raw!$H$242&gt;0, qPCR_Raw!L47-qPCR_Raw!$H$242)</f>
        <v>22801377.361446127</v>
      </c>
      <c r="L47" s="123" cm="1">
        <f t="array" ref="L47">_xlfn.IFS(AND(H47="Undetermined", J47="Undetermined"), "Undetermined", AND(I47=0, K47=0), "Undetermined", AND(I47=0, K47&gt;0), "Ten-Fold", AND(I47&gt;0, K47=0), "Undiluted", AND(H47&lt;&gt;"Undetermined", J47&lt;&gt;"Undetermined", I47&gt;0, K47&gt;0), 100*(-1+10^(-1/(H47-J47))))</f>
        <v>272.78904320913517</v>
      </c>
      <c r="M47" s="124" cm="1">
        <f t="array" ref="M47">_xlfn.IFS(L47="Undetermined", 0, L47="Undiluted", I47*$G47/$F47*1000, L47="Ten-Fold", K47*$G47/$F47*1000*10, L47&lt;0, K47*$G47/$F47*1000*10, L47&lt;120, I47*$G47/$F47*1000, L47&gt;120, K47*$G47/$F47*1000*10)</f>
        <v>23506574599.428997</v>
      </c>
      <c r="N47" s="121" t="str">
        <f t="shared" si="2"/>
        <v>DELETE</v>
      </c>
      <c r="O47" s="121" t="str">
        <f t="shared" si="3"/>
        <v>DELETE</v>
      </c>
      <c r="P47" s="121" t="str">
        <f t="shared" si="4"/>
        <v>DELETE</v>
      </c>
      <c r="Q47" s="125" t="str" cm="1">
        <f t="array" ref="Q47">_xlfn.IFS(N47="DELETE", "DELETE", N47=0, 0, N47&gt;0,LOG10(N47))</f>
        <v>DELETE</v>
      </c>
      <c r="R47" s="126" t="str" cm="1">
        <f t="array" ref="R47">_xlfn.IFS(N47="DELETE", "DELETE", N47=0, 0, N47&gt;0, P47/N47/LN(10))</f>
        <v>DELETE</v>
      </c>
      <c r="S47" s="155">
        <f>qPCR_Raw!O47</f>
        <v>28.811748504638672</v>
      </c>
      <c r="T47" s="156" cm="1">
        <f t="array" ref="T47">_xlfn.IFS(S47="Undetermined", 0, qPCR_Raw!P47&lt;=1, 0, qPCR_Raw!P47&gt;1, qPCR_Raw!P47)</f>
        <v>2182.05712890625</v>
      </c>
      <c r="U47" s="157">
        <f>qPCR_Raw!R47</f>
        <v>31.156417846679688</v>
      </c>
      <c r="V47" s="156" cm="1">
        <f t="array" ref="V47">_xlfn.IFS(U47="Undetermined", 0, qPCR_Raw!S47&lt;=1, 0, qPCR_Raw!S47&gt;1, qPCR_Raw!S47)</f>
        <v>539.80926513671875</v>
      </c>
      <c r="W47" s="158" cm="1">
        <f t="array" ref="W47">_xlfn.IFS(AND(S47="Undetermined", U47="Undetermined"), "Undetermined", AND(T47=0, V47=0), "Undetermined", AND(T47=0, V47&gt;0), "Ten-Fold", AND(T47&gt;0, V47=0), "Undiluted", AND(S47&lt;&gt;"Undetermined", U47&lt;&gt;"Undetermined", T47&gt;0, V47&gt;0, S47&lt;&gt;U47), 100*(-1+10^(-1/(S47-U47))), AND(S47&lt;&gt;"Undetermined", U47&lt;&gt;"Undetermined", S47=U47&gt;0), -100)</f>
        <v>166.9926901294304</v>
      </c>
      <c r="X47" s="159" cm="1">
        <f t="array" ref="X47">_xlfn.IFS(W47="Undetermined", 0, W47="Undiluted", T47*$G47/$F47*1000, W47="Ten-Fold", V47*$G47/$F47*1000*10, W47&lt;0, V47*$G47/$F47*1000*10, W47&lt;120, T47*$G47/$F47*1000, W47&gt;120, V47*$G47/$F47*1000*10)</f>
        <v>556504.39704816369</v>
      </c>
      <c r="Y47" s="156" t="str">
        <f t="shared" si="5"/>
        <v>DELETE</v>
      </c>
      <c r="Z47" s="156" t="str">
        <f t="shared" si="6"/>
        <v>DELETE</v>
      </c>
      <c r="AA47" s="156" t="str">
        <f t="shared" si="7"/>
        <v>DELETE</v>
      </c>
      <c r="AB47" s="160" t="str" cm="1">
        <f t="array" ref="AB47">_xlfn.IFS(Y47="DELETE", "DELETE", Y47=0, 0, Y47&gt;0,LOG10(Y47))</f>
        <v>DELETE</v>
      </c>
      <c r="AC47" s="161" t="str" cm="1">
        <f t="array" ref="AC47">_xlfn.IFS(Y47="DELETE", "DELETE", Y47=0, 0, Y47&gt;0, AA47/Y47/LN(10))</f>
        <v>DELETE</v>
      </c>
      <c r="AD47" s="120">
        <f>qPCR_Raw!U47</f>
        <v>25.439479827880859</v>
      </c>
      <c r="AE47" s="121" cm="1">
        <f t="array" ref="AE47">_xlfn.IFS(AD47="Undetermined", 0, qPCR_Raw!V47&lt;=1, 0, qPCR_Raw!V47&gt;1, qPCR_Raw!V47)</f>
        <v>685.4921875</v>
      </c>
      <c r="AF47" s="122">
        <f>qPCR_Raw!X47</f>
        <v>29.68792724609375</v>
      </c>
      <c r="AG47" s="121" cm="1">
        <f t="array" ref="AG47">_xlfn.IFS(AF47="Undetermined", 0, qPCR_Raw!Y47&lt;=1, 0, qPCR_Raw!Y47&gt;1, qPCR_Raw!Y47)</f>
        <v>44.56768798828125</v>
      </c>
      <c r="AH47" s="123" cm="1">
        <f t="array" ref="AH47">_xlfn.IFS(AND(AD47="Undetermined", AF47="Undetermined"), "Undetermined", AND(AE47=0, AG47=0), "Undetermined", AND(AE47=0, AG47&gt;0), "Ten-Fold", AND(AE47&gt;0, AG47=0), "Undiluted", AND(AD47&lt;&gt;"Undetermined", AF47&lt;&gt;"Undetermined", AE47&gt;0, AG47&gt;0, AD47&lt;&gt;AF47), 100*(-1+10^(-1/(AD47-AF47))), AND(AD47&lt;&gt;"Undetermined", AF47&lt;&gt;"Undetermined", AD47=AF47&gt;0), -100)</f>
        <v>71.94126007292212</v>
      </c>
      <c r="AI47" s="124" cm="1">
        <f t="array" ref="AI47">_xlfn.IFS(AH47="Undetermined", 0, AH47="Undiluted", AE47*$G47/$F47*1000, AH47="Ten-Fold", AG47*$G47/$F47*1000*10, AH47&lt;0, AG47*$G47/$F47*1000*10, AH47&lt;120, AE47*$G47/$F47*1000, AH47&gt;120, AG47*$G47/$F47*1000*10)</f>
        <v>70669.297680412375</v>
      </c>
      <c r="AJ47" s="121" t="str">
        <f t="shared" si="8"/>
        <v>DELETE</v>
      </c>
      <c r="AK47" s="121" t="str">
        <f t="shared" si="9"/>
        <v>DELETE</v>
      </c>
      <c r="AL47" s="121" t="str">
        <f t="shared" si="10"/>
        <v>DELETE</v>
      </c>
      <c r="AM47" s="125" t="str" cm="1">
        <f t="array" ref="AM47">_xlfn.IFS(AJ47="DELETE", "DELETE", AJ47=0, 0, AJ47&gt;0,LOG10(AJ47))</f>
        <v>DELETE</v>
      </c>
      <c r="AN47" s="126" t="str" cm="1">
        <f t="array" ref="AN47">_xlfn.IFS(AJ47="DELETE", "DELETE", AJ47=0, 0, AJ47&gt;0, AL47/AJ47/LN(10))</f>
        <v>DELETE</v>
      </c>
      <c r="AO47" s="155">
        <f>qPCR_Raw!AA47</f>
        <v>30.930418014526367</v>
      </c>
      <c r="AP47" s="156" cm="1">
        <f t="array" ref="AP47">_xlfn.IFS(AO47="Undetermined", 0, qPCR_Raw!AB47&lt;=6, 0, qPCR_Raw!AB47&gt;6, qPCR_Raw!AB47)</f>
        <v>0</v>
      </c>
      <c r="AQ47" s="157">
        <f>qPCR_Raw!AD47</f>
        <v>31.025461196899414</v>
      </c>
      <c r="AR47" s="156" cm="1">
        <f t="array" ref="AR47">_xlfn.IFS(AQ47="Undetermined", 0, qPCR_Raw!AE47&lt;=6, 0, qPCR_Raw!AE47&gt;6, qPCR_Raw!AE47)</f>
        <v>0</v>
      </c>
      <c r="AS47" s="158" t="str" cm="1">
        <f t="array" ref="AS47">_xlfn.IFS(AND(AO47="Undetermined", AQ47="Undetermined"), "Undetermined", AND(AP47=0, AR47=0), "Undetermined", AND(AP47=0, AR47&gt;0), "Ten-Fold", AND(AP47&gt;0, AR47=0), "Undiluted", AND(AO47&lt;&gt;"Undetermined", AQ47&lt;&gt;"Undetermined", AP47&gt;0, AR47&gt;0, AO47&lt;&gt;AQ47), 100*(-1+10^(-1/(AO47-AQ47))), AND(AO47&lt;&gt;"Undetermined", AQ47&lt;&gt;"Undetermined", AO47=AQ47&gt;0), -100)</f>
        <v>Undetermined</v>
      </c>
      <c r="AT47" s="159" cm="1">
        <f t="array" ref="AT47">_xlfn.IFS(AS47="Undetermined", 0, AS47="Undiluted", AP47*$G47/$F47*1000, AS47="Ten-Fold", AR47*$G47/$F47*1000*10, AS47&lt;0, AR47*$G47/$F47*1000*10, AS47&lt;120, AP47*$G47/$F47*1000, AS47&gt;120, AR47*$G47/$F47*1000*10)</f>
        <v>0</v>
      </c>
      <c r="AU47" s="156" t="str">
        <f t="shared" si="11"/>
        <v>DELETE</v>
      </c>
      <c r="AV47" s="156" t="str">
        <f t="shared" si="12"/>
        <v>DELETE</v>
      </c>
      <c r="AW47" s="156" t="str">
        <f t="shared" si="13"/>
        <v>DELETE</v>
      </c>
      <c r="AX47" s="160" t="str" cm="1">
        <f t="array" ref="AX47">_xlfn.IFS(AU47="DELETE", "DELETE", AU47=0, 0, AU47&gt;0,LOG10(AU47))</f>
        <v>DELETE</v>
      </c>
      <c r="AY47" s="161" t="str" cm="1">
        <f t="array" ref="AY47">_xlfn.IFS(AU47="DELETE", "DELETE", AU47=0, 0, AU47&gt;0, AW47/AU47/LN(10))</f>
        <v>DELETE</v>
      </c>
      <c r="AZ47" s="120">
        <f>qPCR_Raw!AG47</f>
        <v>27.831655502319336</v>
      </c>
      <c r="BA47" s="121" cm="1">
        <f t="array" ref="BA47">_xlfn.IFS(AZ47="Undetermined", 0, qPCR_Raw!AH47&lt;=1, 0, qPCR_Raw!AH47&gt;1, qPCR_Raw!AH47)</f>
        <v>250.30447387695313</v>
      </c>
      <c r="BB47" s="122">
        <f>qPCR_Raw!AJ47</f>
        <v>28.579591751098633</v>
      </c>
      <c r="BC47" s="121" cm="1">
        <f t="array" ref="BC47">_xlfn.IFS(BB47="Undetermined", 0, qPCR_Raw!AK47&lt;=1, 0, qPCR_Raw!AK47&gt;1, qPCR_Raw!AK47)</f>
        <v>155.96846008300781</v>
      </c>
      <c r="BD47" s="123" cm="1">
        <f t="array" ref="BD47">_xlfn.IFS(AND(AZ47="Undetermined", BB47="Undetermined"), "Undetermined", AND(BA47=0, BC47=0), "Undetermined", AND(BA47=0, BC47&gt;0), "Ten-Fold", AND(BA47&gt;0, BC47=0), "Undiluted", AND(AZ47&lt;&gt;"Undetermined", BB47&lt;&gt;"Undetermined", BA47&gt;0, BC47&gt;0, AZ47&lt;&gt;BB47), 100*(-1+10^(-1/(AZ47-BB47))), AND(AZ47&lt;&gt;"Undetermined", BB47&lt;&gt;"Undetermined", AZ47=BB47&gt;0), -100)</f>
        <v>2072.7629537775742</v>
      </c>
      <c r="BE47" s="124" cm="1">
        <f t="array" ref="BE47">_xlfn.IFS(BD47="Undetermined", 0, BD47="Undiluted", BA47*$G47/$F47*1000, BD47="Ten-Fold", BC47*$G47/$F47*1000*10, BD47&lt;0, BC47*$G47/$F47*1000*10, BD47&lt;120, BA47*$G47/$F47*1000, BD47&gt;120, BC47*$G47/$F47*1000*10)</f>
        <v>160792.22688969877</v>
      </c>
      <c r="BF47" s="121" t="str">
        <f t="shared" si="14"/>
        <v>DELETE</v>
      </c>
      <c r="BG47" s="121" t="str">
        <f t="shared" si="15"/>
        <v>DELETE</v>
      </c>
      <c r="BH47" s="121" t="str">
        <f t="shared" si="16"/>
        <v>DELETE</v>
      </c>
      <c r="BI47" s="125" t="str" cm="1">
        <f t="array" ref="BI47">_xlfn.IFS(BF47="DELETE", "DELETE", BF47=0, 0, BF47&gt;0,LOG10(BF47))</f>
        <v>DELETE</v>
      </c>
      <c r="BJ47" s="126" t="str" cm="1">
        <f t="array" ref="BJ47">_xlfn.IFS(BF47="DELETE", "DELETE", BF47=0, 0, BF47&gt;0, BH47/BF47/LN(10))</f>
        <v>DELETE</v>
      </c>
    </row>
    <row r="48" spans="1:62" s="114" customFormat="1" x14ac:dyDescent="0.3">
      <c r="A48" s="115" t="str">
        <f>UPPER(LEFT(SUBSTITUTE(SUBSTITUTE(qPCR_Raw!A48,"-","")," ",""),2))&amp;RIGHT(SUBSTITUTE(SUBSTITUTE(qPCR_Raw!A48,"-","")," ",""),LEN(SUBSTITUTE(SUBSTITUTE(qPCR_Raw!A48,"-","")," ",""))-2)</f>
        <v>RG6</v>
      </c>
      <c r="B48" s="116" t="str" cm="1">
        <f t="array" ref="B48">_xlfn.IFS(LEFT(A48, LEN(A48)-1)="EP", "EP", LEFT(A48, LEN(A48)-1)="STa", "SPI", LEFT(A48, LEN(A48)-1)="STb", "SPO", LEFT(A48, LEN(A48)-1)="MRT", "MRT", LEFT(A48, LEN(A48)-1)="RG", "RN", LEFT(A48, LEN(A48)-1)="RT", "RU", LEFT(A48, LEN(A48)-1)="RW", "RL", LEFT(A48, LEN(A48)-1)="RC", "RS")</f>
        <v>RN</v>
      </c>
      <c r="C48" s="117">
        <f>qPCR_Raw!B48</f>
        <v>44350</v>
      </c>
      <c r="D48" s="117" t="str">
        <f t="shared" si="0"/>
        <v>RN44350</v>
      </c>
      <c r="E48" s="117" t="str">
        <f t="shared" si="1"/>
        <v>RN443506</v>
      </c>
      <c r="F48" s="118">
        <f>qPCR_Raw!C48</f>
        <v>950</v>
      </c>
      <c r="G48" s="119">
        <f>qPCR_Raw!F48</f>
        <v>100</v>
      </c>
      <c r="H48" s="120">
        <f>qPCR_Raw!G48</f>
        <v>11.101107597351074</v>
      </c>
      <c r="I48" s="121" cm="1">
        <f t="array" ref="I48">_xlfn.IFS(H48="Undetermined", 0, qPCR_Raw!H48-qPCR_Raw!$H$242&lt;0, 0, qPCR_Raw!H48-qPCR_Raw!$H$242&gt;0, qPCR_Raw!H48-qPCR_Raw!$H$242)</f>
        <v>20376605.361446127</v>
      </c>
      <c r="J48" s="122">
        <f>qPCR_Raw!K48</f>
        <v>12.251007080078125</v>
      </c>
      <c r="K48" s="121" cm="1">
        <f t="array" ref="K48">_xlfn.IFS(J48="Undetermined", 0, qPCR_Raw!L48-qPCR_Raw!$H$242&lt;0, 0, qPCR_Raw!L48-qPCR_Raw!$H$242&gt;0, qPCR_Raw!L48-qPCR_Raw!$H$242)</f>
        <v>9951545.3614461254</v>
      </c>
      <c r="L48" s="123" cm="1">
        <f t="array" ref="L48">_xlfn.IFS(AND(H48="Undetermined", J48="Undetermined"), "Undetermined", AND(I48=0, K48=0), "Undetermined", AND(I48=0, K48&gt;0), "Ten-Fold", AND(I48&gt;0, K48=0), "Undiluted", AND(H48&lt;&gt;"Undetermined", J48&lt;&gt;"Undetermined", I48&gt;0, K48&gt;0), 100*(-1+10^(-1/(H48-J48))))</f>
        <v>640.69809814284599</v>
      </c>
      <c r="M48" s="124" cm="1">
        <f t="array" ref="M48">_xlfn.IFS(L48="Undetermined", 0, L48="Undiluted", I48*$G48/$F48*1000, L48="Ten-Fold", K48*$G48/$F48*1000*10, L48&lt;0, K48*$G48/$F48*1000*10, L48&lt;120, I48*$G48/$F48*1000, L48&gt;120, K48*$G48/$F48*1000*10)</f>
        <v>10475310906.785395</v>
      </c>
      <c r="N48" s="121">
        <f t="shared" si="2"/>
        <v>9410233335.8906155</v>
      </c>
      <c r="O48" s="121">
        <f t="shared" si="3"/>
        <v>1506247145.7387874</v>
      </c>
      <c r="P48" s="121">
        <f t="shared" si="4"/>
        <v>1065077570.8947785</v>
      </c>
      <c r="Q48" s="125" cm="1">
        <f t="array" ref="Q48">_xlfn.IFS(N48="DELETE", "DELETE", N48=0, 0, N48&gt;0,LOG10(N48))</f>
        <v>9.9736003923149656</v>
      </c>
      <c r="R48" s="126" cm="1">
        <f t="array" ref="R48">_xlfn.IFS(N48="DELETE", "DELETE", N48=0, 0, N48&gt;0, P48/N48/LN(10))</f>
        <v>4.9154712250792855E-2</v>
      </c>
      <c r="S48" s="155">
        <f>qPCR_Raw!O48</f>
        <v>29.362771987915039</v>
      </c>
      <c r="T48" s="156" cm="1">
        <f t="array" ref="T48">_xlfn.IFS(S48="Undetermined", 0, qPCR_Raw!P48&lt;=1, 0, qPCR_Raw!P48&gt;1, qPCR_Raw!P48)</f>
        <v>1571.456298828125</v>
      </c>
      <c r="U48" s="157">
        <f>qPCR_Raw!R48</f>
        <v>32.437908172607422</v>
      </c>
      <c r="V48" s="156" cm="1">
        <f t="array" ref="V48">_xlfn.IFS(U48="Undetermined", 0, qPCR_Raw!S48&lt;=1, 0, qPCR_Raw!S48&gt;1, qPCR_Raw!S48)</f>
        <v>251.58578491210938</v>
      </c>
      <c r="W48" s="158" cm="1">
        <f t="array" ref="W48">_xlfn.IFS(AND(S48="Undetermined", U48="Undetermined"), "Undetermined", AND(T48=0, V48=0), "Undetermined", AND(T48=0, V48&gt;0), "Ten-Fold", AND(T48&gt;0, V48=0), "Undiluted", AND(S48&lt;&gt;"Undetermined", U48&lt;&gt;"Undetermined", T48&gt;0, V48&gt;0, S48&lt;&gt;U48), 100*(-1+10^(-1/(S48-U48))), AND(S48&lt;&gt;"Undetermined", U48&lt;&gt;"Undetermined", S48=U48&gt;0), -100)</f>
        <v>111.44082768121355</v>
      </c>
      <c r="X48" s="159" cm="1">
        <f t="array" ref="X48">_xlfn.IFS(W48="Undetermined", 0, W48="Undiluted", T48*$G48/$F48*1000, W48="Ten-Fold", V48*$G48/$F48*1000*10, W48&lt;0, V48*$G48/$F48*1000*10, W48&lt;120, T48*$G48/$F48*1000, W48&gt;120, V48*$G48/$F48*1000*10)</f>
        <v>165416.45250822368</v>
      </c>
      <c r="Y48" s="156">
        <f t="shared" si="5"/>
        <v>162937.95470673279</v>
      </c>
      <c r="Z48" s="156">
        <f t="shared" si="6"/>
        <v>3505.1252051803081</v>
      </c>
      <c r="AA48" s="156">
        <f t="shared" si="7"/>
        <v>2478.4978014908843</v>
      </c>
      <c r="AB48" s="160" cm="1">
        <f t="array" ref="AB48">_xlfn.IFS(Y48="DELETE", "DELETE", Y48=0, 0, Y48&gt;0,LOG10(Y48))</f>
        <v>5.2120222604884647</v>
      </c>
      <c r="AC48" s="161" cm="1">
        <f t="array" ref="AC48">_xlfn.IFS(Y48="DELETE", "DELETE", Y48=0, 0, Y48&gt;0, AA48/Y48/LN(10))</f>
        <v>6.6061828291278666E-3</v>
      </c>
      <c r="AD48" s="120">
        <f>qPCR_Raw!U48</f>
        <v>24.217025756835938</v>
      </c>
      <c r="AE48" s="121" cm="1">
        <f t="array" ref="AE48">_xlfn.IFS(AD48="Undetermined", 0, qPCR_Raw!V48&lt;=1, 0, qPCR_Raw!V48&gt;1, qPCR_Raw!V48)</f>
        <v>1505.034423828125</v>
      </c>
      <c r="AF48" s="122">
        <f>qPCR_Raw!X48</f>
        <v>26.564014434814453</v>
      </c>
      <c r="AG48" s="121" cm="1">
        <f t="array" ref="AG48">_xlfn.IFS(AF48="Undetermined", 0, qPCR_Raw!Y48&lt;=1, 0, qPCR_Raw!Y48&gt;1, qPCR_Raw!Y48)</f>
        <v>332.51901245117188</v>
      </c>
      <c r="AH48" s="123" cm="1">
        <f t="array" ref="AH48">_xlfn.IFS(AND(AD48="Undetermined", AF48="Undetermined"), "Undetermined", AND(AE48=0, AG48=0), "Undetermined", AND(AE48=0, AG48&gt;0), "Ten-Fold", AND(AE48&gt;0, AG48=0), "Undiluted", AND(AD48&lt;&gt;"Undetermined", AF48&lt;&gt;"Undetermined", AE48&gt;0, AG48&gt;0, AD48&lt;&gt;AF48), 100*(-1+10^(-1/(AD48-AF48))), AND(AD48&lt;&gt;"Undetermined", AF48&lt;&gt;"Undetermined", AD48=AF48&gt;0), -100)</f>
        <v>166.7337046603547</v>
      </c>
      <c r="AI48" s="124" cm="1">
        <f t="array" ref="AI48">_xlfn.IFS(AH48="Undetermined", 0, AH48="Undiluted", AE48*$G48/$F48*1000, AH48="Ten-Fold", AG48*$G48/$F48*1000*10, AH48&lt;0, AG48*$G48/$F48*1000*10, AH48&lt;120, AE48*$G48/$F48*1000, AH48&gt;120, AG48*$G48/$F48*1000*10)</f>
        <v>350020.01310649671</v>
      </c>
      <c r="AJ48" s="121">
        <f t="shared" si="8"/>
        <v>240357.5262945118</v>
      </c>
      <c r="AK48" s="121">
        <f t="shared" si="9"/>
        <v>155086.17613306968</v>
      </c>
      <c r="AL48" s="121">
        <f t="shared" si="10"/>
        <v>109662.48681198485</v>
      </c>
      <c r="AM48" s="125" cm="1">
        <f t="array" ref="AM48">_xlfn.IFS(AJ48="DELETE", "DELETE", AJ48=0, 0, AJ48&gt;0,LOG10(AJ48))</f>
        <v>5.3808577257032759</v>
      </c>
      <c r="AN48" s="126" cm="1">
        <f t="array" ref="AN48">_xlfn.IFS(AJ48="DELETE", "DELETE", AJ48=0, 0, AJ48&gt;0, AL48/AJ48/LN(10))</f>
        <v>0.19814571080198626</v>
      </c>
      <c r="AO48" s="155">
        <f>qPCR_Raw!AA48</f>
        <v>31.308303833007813</v>
      </c>
      <c r="AP48" s="156" cm="1">
        <f t="array" ref="AP48">_xlfn.IFS(AO48="Undetermined", 0, qPCR_Raw!AB48&lt;=6, 0, qPCR_Raw!AB48&gt;6, qPCR_Raw!AB48)</f>
        <v>0</v>
      </c>
      <c r="AQ48" s="157" t="str">
        <f>qPCR_Raw!AD48</f>
        <v>Undetermined</v>
      </c>
      <c r="AR48" s="156" cm="1">
        <f t="array" ref="AR48">_xlfn.IFS(AQ48="Undetermined", 0, qPCR_Raw!AE48&lt;=6, 0, qPCR_Raw!AE48&gt;6, qPCR_Raw!AE48)</f>
        <v>0</v>
      </c>
      <c r="AS48" s="158" t="str" cm="1">
        <f t="array" ref="AS48">_xlfn.IFS(AND(AO48="Undetermined", AQ48="Undetermined"), "Undetermined", AND(AP48=0, AR48=0), "Undetermined", AND(AP48=0, AR48&gt;0), "Ten-Fold", AND(AP48&gt;0, AR48=0), "Undiluted", AND(AO48&lt;&gt;"Undetermined", AQ48&lt;&gt;"Undetermined", AP48&gt;0, AR48&gt;0, AO48&lt;&gt;AQ48), 100*(-1+10^(-1/(AO48-AQ48))), AND(AO48&lt;&gt;"Undetermined", AQ48&lt;&gt;"Undetermined", AO48=AQ48&gt;0), -100)</f>
        <v>Undetermined</v>
      </c>
      <c r="AT48" s="159" cm="1">
        <f t="array" ref="AT48">_xlfn.IFS(AS48="Undetermined", 0, AS48="Undiluted", AP48*$G48/$F48*1000, AS48="Ten-Fold", AR48*$G48/$F48*1000*10, AS48&lt;0, AR48*$G48/$F48*1000*10, AS48&lt;120, AP48*$G48/$F48*1000, AS48&gt;120, AR48*$G48/$F48*1000*10)</f>
        <v>0</v>
      </c>
      <c r="AU48" s="156">
        <f t="shared" si="11"/>
        <v>736.41356601509995</v>
      </c>
      <c r="AV48" s="156">
        <f t="shared" si="12"/>
        <v>1041.446052574089</v>
      </c>
      <c r="AW48" s="156">
        <f t="shared" si="13"/>
        <v>736.41356601509995</v>
      </c>
      <c r="AX48" s="160" cm="1">
        <f t="array" ref="AX48">_xlfn.IFS(AU48="DELETE", "DELETE", AU48=0, 0, AU48&gt;0,LOG10(AU48))</f>
        <v>2.8671217803632532</v>
      </c>
      <c r="AY48" s="161" cm="1">
        <f t="array" ref="AY48">_xlfn.IFS(AU48="DELETE", "DELETE", AU48=0, 0, AU48&gt;0, AW48/AU48/LN(10))</f>
        <v>0.43429448190325176</v>
      </c>
      <c r="AZ48" s="120">
        <f>qPCR_Raw!AG48</f>
        <v>22.175689697265625</v>
      </c>
      <c r="BA48" s="121" cm="1">
        <f t="array" ref="BA48">_xlfn.IFS(AZ48="Undetermined", 0, qPCR_Raw!AH48&lt;=1, 0, qPCR_Raw!AH48&gt;1, qPCR_Raw!AH48)</f>
        <v>8952.904296875</v>
      </c>
      <c r="BB48" s="122">
        <f>qPCR_Raw!AJ48</f>
        <v>22.000802993774414</v>
      </c>
      <c r="BC48" s="121" cm="1">
        <f t="array" ref="BC48">_xlfn.IFS(BB48="Undetermined", 0, qPCR_Raw!AK48&lt;=1, 0, qPCR_Raw!AK48&gt;1, qPCR_Raw!AK48)</f>
        <v>9999.9814453125</v>
      </c>
      <c r="BD48" s="123" cm="1">
        <f t="array" ref="BD48">_xlfn.IFS(AND(AZ48="Undetermined", BB48="Undetermined"), "Undetermined", AND(BA48=0, BC48=0), "Undetermined", AND(BA48=0, BC48&gt;0), "Ten-Fold", AND(BA48&gt;0, BC48=0), "Undiluted", AND(AZ48&lt;&gt;"Undetermined", BB48&lt;&gt;"Undetermined", BA48&gt;0, BC48&gt;0, AZ48&lt;&gt;BB48), 100*(-1+10^(-1/(AZ48-BB48))), AND(AZ48&lt;&gt;"Undetermined", BB48&lt;&gt;"Undetermined", AZ48=BB48&gt;0), -100)</f>
        <v>-99.999808568936871</v>
      </c>
      <c r="BE48" s="124" cm="1">
        <f t="array" ref="BE48">_xlfn.IFS(BD48="Undetermined", 0, BD48="Undiluted", BA48*$G48/$F48*1000, BD48="Ten-Fold", BC48*$G48/$F48*1000*10, BD48&lt;0, BC48*$G48/$F48*1000*10, BD48&lt;120, BA48*$G48/$F48*1000, BD48&gt;120, BC48*$G48/$F48*1000*10)</f>
        <v>10526296.258223683</v>
      </c>
      <c r="BF48" s="121">
        <f t="shared" si="14"/>
        <v>7787952.2915782388</v>
      </c>
      <c r="BG48" s="121">
        <f t="shared" si="15"/>
        <v>3872603.1760725258</v>
      </c>
      <c r="BH48" s="121">
        <f t="shared" si="16"/>
        <v>2738343.9666454443</v>
      </c>
      <c r="BI48" s="125" cm="1">
        <f t="array" ref="BI48">_xlfn.IFS(BF48="DELETE", "DELETE", BF48=0, 0, BF48&gt;0,LOG10(BF48))</f>
        <v>6.8914232824001544</v>
      </c>
      <c r="BJ48" s="126" cm="1">
        <f t="array" ref="BJ48">_xlfn.IFS(BF48="DELETE", "DELETE", BF48=0, 0, BF48&gt;0, BH48/BF48/LN(10))</f>
        <v>0.15270351303425561</v>
      </c>
    </row>
    <row r="49" spans="1:62" s="114" customFormat="1" x14ac:dyDescent="0.3">
      <c r="A49" s="115" t="str">
        <f>UPPER(LEFT(SUBSTITUTE(SUBSTITUTE(qPCR_Raw!A49,"-","")," ",""),2))&amp;RIGHT(SUBSTITUTE(SUBSTITUTE(qPCR_Raw!A49,"-","")," ",""),LEN(SUBSTITUTE(SUBSTITUTE(qPCR_Raw!A49,"-","")," ",""))-2)</f>
        <v>RG7</v>
      </c>
      <c r="B49" s="116" t="str" cm="1">
        <f t="array" ref="B49">_xlfn.IFS(LEFT(A49, LEN(A49)-1)="EP", "EP", LEFT(A49, LEN(A49)-1)="STa", "SPI", LEFT(A49, LEN(A49)-1)="STb", "SPO", LEFT(A49, LEN(A49)-1)="MRT", "MRT", LEFT(A49, LEN(A49)-1)="RG", "RN", LEFT(A49, LEN(A49)-1)="RT", "RU", LEFT(A49, LEN(A49)-1)="RW", "RL", LEFT(A49, LEN(A49)-1)="RC", "RS")</f>
        <v>RN</v>
      </c>
      <c r="C49" s="117">
        <f>qPCR_Raw!B49</f>
        <v>44350</v>
      </c>
      <c r="D49" s="117" t="str">
        <f t="shared" si="0"/>
        <v>RN44350</v>
      </c>
      <c r="E49" s="117" t="str">
        <f t="shared" si="1"/>
        <v>RN443507</v>
      </c>
      <c r="F49" s="118">
        <f>qPCR_Raw!C49</f>
        <v>930</v>
      </c>
      <c r="G49" s="119">
        <f>qPCR_Raw!F49</f>
        <v>100</v>
      </c>
      <c r="H49" s="120">
        <f>qPCR_Raw!G49</f>
        <v>10.92292594909668</v>
      </c>
      <c r="I49" s="121" cm="1">
        <f t="array" ref="I49">_xlfn.IFS(H49="Undetermined", 0, qPCR_Raw!H49-qPCR_Raw!$H$242&lt;0, 0, qPCR_Raw!H49-qPCR_Raw!$H$242&gt;0, qPCR_Raw!H49-qPCR_Raw!$H$242)</f>
        <v>22769009.361446127</v>
      </c>
      <c r="J49" s="122">
        <f>qPCR_Raw!K49</f>
        <v>12.649701118469238</v>
      </c>
      <c r="K49" s="121" cm="1">
        <f t="array" ref="K49">_xlfn.IFS(J49="Undetermined", 0, qPCR_Raw!L49-qPCR_Raw!$H$242&lt;0, 0, qPCR_Raw!L49-qPCR_Raw!$H$242&gt;0, qPCR_Raw!L49-qPCR_Raw!$H$242)</f>
        <v>7760994.8614461264</v>
      </c>
      <c r="L49" s="123" cm="1">
        <f t="array" ref="L49">_xlfn.IFS(AND(H49="Undetermined", J49="Undetermined"), "Undetermined", AND(I49=0, K49=0), "Undetermined", AND(I49=0, K49&gt;0), "Ten-Fold", AND(I49&gt;0, K49=0), "Undiluted", AND(H49&lt;&gt;"Undetermined", J49&lt;&gt;"Undetermined", I49&gt;0, K49&gt;0), 100*(-1+10^(-1/(H49-J49))))</f>
        <v>279.41473042429743</v>
      </c>
      <c r="M49" s="124" cm="1">
        <f t="array" ref="M49">_xlfn.IFS(L49="Undetermined", 0, L49="Undiluted", I49*$G49/$F49*1000, L49="Ten-Fold", K49*$G49/$F49*1000*10, L49&lt;0, K49*$G49/$F49*1000*10, L49&lt;120, I49*$G49/$F49*1000, L49&gt;120, K49*$G49/$F49*1000*10)</f>
        <v>8345155764.9958363</v>
      </c>
      <c r="N49" s="121" t="str">
        <f t="shared" si="2"/>
        <v>DELETE</v>
      </c>
      <c r="O49" s="121" t="str">
        <f t="shared" si="3"/>
        <v>DELETE</v>
      </c>
      <c r="P49" s="121" t="str">
        <f t="shared" si="4"/>
        <v>DELETE</v>
      </c>
      <c r="Q49" s="125" t="str" cm="1">
        <f t="array" ref="Q49">_xlfn.IFS(N49="DELETE", "DELETE", N49=0, 0, N49&gt;0,LOG10(N49))</f>
        <v>DELETE</v>
      </c>
      <c r="R49" s="126" t="str" cm="1">
        <f t="array" ref="R49">_xlfn.IFS(N49="DELETE", "DELETE", N49=0, 0, N49&gt;0, P49/N49/LN(10))</f>
        <v>DELETE</v>
      </c>
      <c r="S49" s="155">
        <f>qPCR_Raw!O49</f>
        <v>30.40306282043457</v>
      </c>
      <c r="T49" s="156" cm="1">
        <f t="array" ref="T49">_xlfn.IFS(S49="Undetermined", 0, qPCR_Raw!P49&lt;=1, 0, qPCR_Raw!P49&gt;1, qPCR_Raw!P49)</f>
        <v>845.57574462890625</v>
      </c>
      <c r="U49" s="157">
        <f>qPCR_Raw!R49</f>
        <v>33.314659118652344</v>
      </c>
      <c r="V49" s="156" cm="1">
        <f t="array" ref="V49">_xlfn.IFS(U49="Undetermined", 0, qPCR_Raw!S49&lt;=1, 0, qPCR_Raw!S49&gt;1, qPCR_Raw!S49)</f>
        <v>149.227294921875</v>
      </c>
      <c r="W49" s="158" cm="1">
        <f t="array" ref="W49">_xlfn.IFS(AND(S49="Undetermined", U49="Undetermined"), "Undetermined", AND(T49=0, V49=0), "Undetermined", AND(T49=0, V49&gt;0), "Ten-Fold", AND(T49&gt;0, V49=0), "Undiluted", AND(S49&lt;&gt;"Undetermined", U49&lt;&gt;"Undetermined", T49&gt;0, V49&gt;0, S49&lt;&gt;U49), 100*(-1+10^(-1/(S49-U49))), AND(S49&lt;&gt;"Undetermined", U49&lt;&gt;"Undetermined", S49=U49&gt;0), -100)</f>
        <v>120.52316034836896</v>
      </c>
      <c r="X49" s="159" cm="1">
        <f t="array" ref="X49">_xlfn.IFS(W49="Undetermined", 0, W49="Undiluted", T49*$G49/$F49*1000, W49="Ten-Fold", V49*$G49/$F49*1000*10, W49&lt;0, V49*$G49/$F49*1000*10, W49&lt;120, T49*$G49/$F49*1000, W49&gt;120, V49*$G49/$F49*1000*10)</f>
        <v>160459.45690524191</v>
      </c>
      <c r="Y49" s="156" t="str">
        <f t="shared" si="5"/>
        <v>DELETE</v>
      </c>
      <c r="Z49" s="156" t="str">
        <f t="shared" si="6"/>
        <v>DELETE</v>
      </c>
      <c r="AA49" s="156" t="str">
        <f t="shared" si="7"/>
        <v>DELETE</v>
      </c>
      <c r="AB49" s="160" t="str" cm="1">
        <f t="array" ref="AB49">_xlfn.IFS(Y49="DELETE", "DELETE", Y49=0, 0, Y49&gt;0,LOG10(Y49))</f>
        <v>DELETE</v>
      </c>
      <c r="AC49" s="161" t="str" cm="1">
        <f t="array" ref="AC49">_xlfn.IFS(Y49="DELETE", "DELETE", Y49=0, 0, Y49&gt;0, AA49/Y49/LN(10))</f>
        <v>DELETE</v>
      </c>
      <c r="AD49" s="120">
        <f>qPCR_Raw!U49</f>
        <v>25.433696746826172</v>
      </c>
      <c r="AE49" s="121" cm="1">
        <f t="array" ref="AE49">_xlfn.IFS(AD49="Undetermined", 0, qPCR_Raw!V49&lt;=1, 0, qPCR_Raw!V49&gt;1, qPCR_Raw!V49)</f>
        <v>688.0472412109375</v>
      </c>
      <c r="AF49" s="122">
        <f>qPCR_Raw!X49</f>
        <v>28.128391265869141</v>
      </c>
      <c r="AG49" s="121" cm="1">
        <f t="array" ref="AG49">_xlfn.IFS(AF49="Undetermined", 0, qPCR_Raw!Y49&lt;=1, 0, qPCR_Raw!Y49&gt;1, qPCR_Raw!Y49)</f>
        <v>121.54638671875</v>
      </c>
      <c r="AH49" s="123" cm="1">
        <f t="array" ref="AH49">_xlfn.IFS(AND(AD49="Undetermined", AF49="Undetermined"), "Undetermined", AND(AE49=0, AG49=0), "Undetermined", AND(AE49=0, AG49&gt;0), "Ten-Fold", AND(AE49&gt;0, AG49=0), "Undiluted", AND(AD49&lt;&gt;"Undetermined", AF49&lt;&gt;"Undetermined", AE49&gt;0, AG49&gt;0, AD49&lt;&gt;AF49), 100*(-1+10^(-1/(AD49-AF49))), AND(AD49&lt;&gt;"Undetermined", AF49&lt;&gt;"Undetermined", AD49=AF49&gt;0), -100)</f>
        <v>135.01716247477358</v>
      </c>
      <c r="AI49" s="124" cm="1">
        <f t="array" ref="AI49">_xlfn.IFS(AH49="Undetermined", 0, AH49="Undiluted", AE49*$G49/$F49*1000, AH49="Ten-Fold", AG49*$G49/$F49*1000*10, AH49&lt;0, AG49*$G49/$F49*1000*10, AH49&lt;120, AE49*$G49/$F49*1000, AH49&gt;120, AG49*$G49/$F49*1000*10)</f>
        <v>130695.03948252689</v>
      </c>
      <c r="AJ49" s="121" t="str">
        <f t="shared" si="8"/>
        <v>DELETE</v>
      </c>
      <c r="AK49" s="121" t="str">
        <f t="shared" si="9"/>
        <v>DELETE</v>
      </c>
      <c r="AL49" s="121" t="str">
        <f t="shared" si="10"/>
        <v>DELETE</v>
      </c>
      <c r="AM49" s="125" t="str" cm="1">
        <f t="array" ref="AM49">_xlfn.IFS(AJ49="DELETE", "DELETE", AJ49=0, 0, AJ49&gt;0,LOG10(AJ49))</f>
        <v>DELETE</v>
      </c>
      <c r="AN49" s="126" t="str" cm="1">
        <f t="array" ref="AN49">_xlfn.IFS(AJ49="DELETE", "DELETE", AJ49=0, 0, AJ49&gt;0, AL49/AJ49/LN(10))</f>
        <v>DELETE</v>
      </c>
      <c r="AO49" s="155">
        <f>qPCR_Raw!AA49</f>
        <v>27.613698959350586</v>
      </c>
      <c r="AP49" s="156" cm="1">
        <f t="array" ref="AP49">_xlfn.IFS(AO49="Undetermined", 0, qPCR_Raw!AB49&lt;=6, 0, qPCR_Raw!AB49&gt;6, qPCR_Raw!AB49)</f>
        <v>13.697292327880859</v>
      </c>
      <c r="AQ49" s="157">
        <f>qPCR_Raw!AD49</f>
        <v>29.080694198608398</v>
      </c>
      <c r="AR49" s="156" cm="1">
        <f t="array" ref="AR49">_xlfn.IFS(AQ49="Undetermined", 0, qPCR_Raw!AE49&lt;=6, 0, qPCR_Raw!AE49&gt;6, qPCR_Raw!AE49)</f>
        <v>0</v>
      </c>
      <c r="AS49" s="158" t="str" cm="1">
        <f t="array" ref="AS49">_xlfn.IFS(AND(AO49="Undetermined", AQ49="Undetermined"), "Undetermined", AND(AP49=0, AR49=0), "Undetermined", AND(AP49=0, AR49&gt;0), "Ten-Fold", AND(AP49&gt;0, AR49=0), "Undiluted", AND(AO49&lt;&gt;"Undetermined", AQ49&lt;&gt;"Undetermined", AP49&gt;0, AR49&gt;0, AO49&lt;&gt;AQ49), 100*(-1+10^(-1/(AO49-AQ49))), AND(AO49&lt;&gt;"Undetermined", AQ49&lt;&gt;"Undetermined", AO49=AQ49&gt;0), -100)</f>
        <v>Undiluted</v>
      </c>
      <c r="AT49" s="159" cm="1">
        <f t="array" ref="AT49">_xlfn.IFS(AS49="Undetermined", 0, AS49="Undiluted", AP49*$G49/$F49*1000, AS49="Ten-Fold", AR49*$G49/$F49*1000*10, AS49&lt;0, AR49*$G49/$F49*1000*10, AS49&lt;120, AP49*$G49/$F49*1000, AS49&gt;120, AR49*$G49/$F49*1000*10)</f>
        <v>1472.8271320301999</v>
      </c>
      <c r="AU49" s="156" t="str">
        <f t="shared" si="11"/>
        <v>DELETE</v>
      </c>
      <c r="AV49" s="156" t="str">
        <f t="shared" si="12"/>
        <v>DELETE</v>
      </c>
      <c r="AW49" s="156" t="str">
        <f t="shared" si="13"/>
        <v>DELETE</v>
      </c>
      <c r="AX49" s="160" t="str" cm="1">
        <f t="array" ref="AX49">_xlfn.IFS(AU49="DELETE", "DELETE", AU49=0, 0, AU49&gt;0,LOG10(AU49))</f>
        <v>DELETE</v>
      </c>
      <c r="AY49" s="161" t="str" cm="1">
        <f t="array" ref="AY49">_xlfn.IFS(AU49="DELETE", "DELETE", AU49=0, 0, AU49&gt;0, AW49/AU49/LN(10))</f>
        <v>DELETE</v>
      </c>
      <c r="AZ49" s="120">
        <f>qPCR_Raw!AG49</f>
        <v>22.272891998291016</v>
      </c>
      <c r="BA49" s="121" cm="1">
        <f t="array" ref="BA49">_xlfn.IFS(AZ49="Undetermined", 0, qPCR_Raw!AH49&lt;=1, 0, qPCR_Raw!AH49&gt;1, qPCR_Raw!AH49)</f>
        <v>8419.1044921875</v>
      </c>
      <c r="BB49" s="122">
        <f>qPCR_Raw!AJ49</f>
        <v>23.195926666259766</v>
      </c>
      <c r="BC49" s="121" cm="1">
        <f t="array" ref="BC49">_xlfn.IFS(BB49="Undetermined", 0, qPCR_Raw!AK49&lt;=1, 0, qPCR_Raw!AK49&gt;1, qPCR_Raw!AK49)</f>
        <v>4696.1357421875</v>
      </c>
      <c r="BD49" s="123" cm="1">
        <f t="array" ref="BD49">_xlfn.IFS(AND(AZ49="Undetermined", BB49="Undetermined"), "Undetermined", AND(BA49=0, BC49=0), "Undetermined", AND(BA49=0, BC49&gt;0), "Ten-Fold", AND(BA49&gt;0, BC49=0), "Undiluted", AND(AZ49&lt;&gt;"Undetermined", BB49&lt;&gt;"Undetermined", BA49&gt;0, BC49&gt;0, AZ49&lt;&gt;BB49), 100*(-1+10^(-1/(AZ49-BB49))), AND(AZ49&lt;&gt;"Undetermined", BB49&lt;&gt;"Undetermined", AZ49=BB49&gt;0), -100)</f>
        <v>1111.666014352224</v>
      </c>
      <c r="BE49" s="124" cm="1">
        <f t="array" ref="BE49">_xlfn.IFS(BD49="Undetermined", 0, BD49="Undiluted", BA49*$G49/$F49*1000, BD49="Ten-Fold", BC49*$G49/$F49*1000*10, BD49&lt;0, BC49*$G49/$F49*1000*10, BD49&lt;120, BA49*$G49/$F49*1000, BD49&gt;120, BC49*$G49/$F49*1000*10)</f>
        <v>5049608.324932795</v>
      </c>
      <c r="BF49" s="121" t="str">
        <f t="shared" si="14"/>
        <v>DELETE</v>
      </c>
      <c r="BG49" s="121" t="str">
        <f t="shared" si="15"/>
        <v>DELETE</v>
      </c>
      <c r="BH49" s="121" t="str">
        <f t="shared" si="16"/>
        <v>DELETE</v>
      </c>
      <c r="BI49" s="125" t="str" cm="1">
        <f t="array" ref="BI49">_xlfn.IFS(BF49="DELETE", "DELETE", BF49=0, 0, BF49&gt;0,LOG10(BF49))</f>
        <v>DELETE</v>
      </c>
      <c r="BJ49" s="126" t="str" cm="1">
        <f t="array" ref="BJ49">_xlfn.IFS(BF49="DELETE", "DELETE", BF49=0, 0, BF49&gt;0, BH49/BF49/LN(10))</f>
        <v>DELETE</v>
      </c>
    </row>
    <row r="50" spans="1:62" s="114" customFormat="1" x14ac:dyDescent="0.3">
      <c r="A50" s="115" t="str">
        <f>UPPER(LEFT(SUBSTITUTE(SUBSTITUTE(qPCR_Raw!A50,"-","")," ",""),2))&amp;RIGHT(SUBSTITUTE(SUBSTITUTE(qPCR_Raw!A50,"-","")," ",""),LEN(SUBSTITUTE(SUBSTITUTE(qPCR_Raw!A50,"-","")," ",""))-2)</f>
        <v>STa6</v>
      </c>
      <c r="B50" s="116" t="str" cm="1">
        <f t="array" ref="B50">_xlfn.IFS(LEFT(A50, LEN(A50)-1)="EP", "EP", LEFT(A50, LEN(A50)-1)="STa", "SPI", LEFT(A50, LEN(A50)-1)="STb", "SPO", LEFT(A50, LEN(A50)-1)="MRT", "MRT", LEFT(A50, LEN(A50)-1)="RG", "RN", LEFT(A50, LEN(A50)-1)="RT", "RU", LEFT(A50, LEN(A50)-1)="RW", "RL", LEFT(A50, LEN(A50)-1)="RC", "RS")</f>
        <v>SPI</v>
      </c>
      <c r="C50" s="117">
        <f>qPCR_Raw!B50</f>
        <v>44350</v>
      </c>
      <c r="D50" s="117" t="str">
        <f t="shared" si="0"/>
        <v>SPI44350</v>
      </c>
      <c r="E50" s="117" t="str">
        <f t="shared" si="1"/>
        <v>SPI443506</v>
      </c>
      <c r="F50" s="118">
        <f>qPCR_Raw!C50</f>
        <v>900</v>
      </c>
      <c r="G50" s="119">
        <f>qPCR_Raw!F50</f>
        <v>100</v>
      </c>
      <c r="H50" s="120" t="str">
        <f>qPCR_Raw!G50</f>
        <v>Undetermined</v>
      </c>
      <c r="I50" s="121" cm="1">
        <f t="array" ref="I50">_xlfn.IFS(H50="Undetermined", 0, qPCR_Raw!H50-qPCR_Raw!$H$242&lt;0, 0, qPCR_Raw!H50-qPCR_Raw!$H$242&gt;0, qPCR_Raw!H50-qPCR_Raw!$H$242)</f>
        <v>0</v>
      </c>
      <c r="J50" s="122" t="str">
        <f>qPCR_Raw!K50</f>
        <v>Undetermined</v>
      </c>
      <c r="K50" s="121" cm="1">
        <f t="array" ref="K50">_xlfn.IFS(J50="Undetermined", 0, qPCR_Raw!L50-qPCR_Raw!$H$242&lt;0, 0, qPCR_Raw!L50-qPCR_Raw!$H$242&gt;0, qPCR_Raw!L50-qPCR_Raw!$H$242)</f>
        <v>0</v>
      </c>
      <c r="L50" s="123" t="str" cm="1">
        <f t="array" ref="L50">_xlfn.IFS(AND(H50="Undetermined", J50="Undetermined"), "Undetermined", AND(I50=0, K50=0), "Undetermined", AND(I50=0, K50&gt;0), "Ten-Fold", AND(I50&gt;0, K50=0), "Undiluted", AND(H50&lt;&gt;"Undetermined", J50&lt;&gt;"Undetermined", I50&gt;0, K50&gt;0), 100*(-1+10^(-1/(H50-J50))))</f>
        <v>Undetermined</v>
      </c>
      <c r="M50" s="124" cm="1">
        <f t="array" ref="M50">_xlfn.IFS(L50="Undetermined", 0, L50="Undiluted", I50*$G50/$F50*1000, L50="Ten-Fold", K50*$G50/$F50*1000*10, L50&lt;0, K50*$G50/$F50*1000*10, L50&lt;120, I50*$G50/$F50*1000, L50&gt;120, K50*$G50/$F50*1000*10)</f>
        <v>0</v>
      </c>
      <c r="N50" s="121">
        <f t="shared" si="2"/>
        <v>0</v>
      </c>
      <c r="O50" s="121">
        <f t="shared" si="3"/>
        <v>0</v>
      </c>
      <c r="P50" s="121">
        <f t="shared" si="4"/>
        <v>0</v>
      </c>
      <c r="Q50" s="125" cm="1">
        <f t="array" ref="Q50">_xlfn.IFS(N50="DELETE", "DELETE", N50=0, 0, N50&gt;0,LOG10(N50))</f>
        <v>0</v>
      </c>
      <c r="R50" s="126" cm="1">
        <f t="array" ref="R50">_xlfn.IFS(N50="DELETE", "DELETE", N50=0, 0, N50&gt;0, P50/N50/LN(10))</f>
        <v>0</v>
      </c>
      <c r="S50" s="155">
        <f>qPCR_Raw!O50</f>
        <v>31.291084289550781</v>
      </c>
      <c r="T50" s="156" cm="1">
        <f t="array" ref="T50">_xlfn.IFS(S50="Undetermined", 0, qPCR_Raw!P50&lt;=1, 0, qPCR_Raw!P50&gt;1, qPCR_Raw!P50)</f>
        <v>498.19424438476563</v>
      </c>
      <c r="U50" s="157">
        <f>qPCR_Raw!R50</f>
        <v>34.775424957275391</v>
      </c>
      <c r="V50" s="156" cm="1">
        <f t="array" ref="V50">_xlfn.IFS(U50="Undetermined", 0, qPCR_Raw!S50&lt;=1, 0, qPCR_Raw!S50&gt;1, qPCR_Raw!S50)</f>
        <v>62.504436492919922</v>
      </c>
      <c r="W50" s="158" cm="1">
        <f t="array" ref="W50">_xlfn.IFS(AND(S50="Undetermined", U50="Undetermined"), "Undetermined", AND(T50=0, V50=0), "Undetermined", AND(T50=0, V50&gt;0), "Ten-Fold", AND(T50&gt;0, V50=0), "Undiluted", AND(S50&lt;&gt;"Undetermined", U50&lt;&gt;"Undetermined", T50&gt;0, V50&gt;0, S50&lt;&gt;U50), 100*(-1+10^(-1/(S50-U50))), AND(S50&lt;&gt;"Undetermined", U50&lt;&gt;"Undetermined", S50=U50&gt;0), -100)</f>
        <v>93.641457821950524</v>
      </c>
      <c r="X50" s="159" cm="1">
        <f t="array" ref="X50">_xlfn.IFS(W50="Undetermined", 0, W50="Undiluted", T50*$G50/$F50*1000, W50="Ten-Fold", V50*$G50/$F50*1000*10, W50&lt;0, V50*$G50/$F50*1000*10, W50&lt;120, T50*$G50/$F50*1000, W50&gt;120, V50*$G50/$F50*1000*10)</f>
        <v>55354.916042751742</v>
      </c>
      <c r="Y50" s="156">
        <f t="shared" si="5"/>
        <v>52061.807346804708</v>
      </c>
      <c r="Z50" s="156">
        <f t="shared" si="6"/>
        <v>4657.158980177067</v>
      </c>
      <c r="AA50" s="156">
        <f t="shared" si="7"/>
        <v>3293.1086959470299</v>
      </c>
      <c r="AB50" s="160" cm="1">
        <f t="array" ref="AB50">_xlfn.IFS(Y50="DELETE", "DELETE", Y50=0, 0, Y50&gt;0,LOG10(Y50))</f>
        <v>4.7165192407443959</v>
      </c>
      <c r="AC50" s="161" cm="1">
        <f t="array" ref="AC50">_xlfn.IFS(Y50="DELETE", "DELETE", Y50=0, 0, Y50&gt;0, AA50/Y50/LN(10))</f>
        <v>2.7470789199276341E-2</v>
      </c>
      <c r="AD50" s="120">
        <f>qPCR_Raw!U50</f>
        <v>31.739269256591797</v>
      </c>
      <c r="AE50" s="121" cm="1">
        <f t="array" ref="AE50">_xlfn.IFS(AD50="Undetermined", 0, qPCR_Raw!V50&lt;=1, 0, qPCR_Raw!V50&gt;1, qPCR_Raw!V50)</f>
        <v>11.909443855285645</v>
      </c>
      <c r="AF50" s="122">
        <f>qPCR_Raw!X50</f>
        <v>35.483963012695313</v>
      </c>
      <c r="AG50" s="121" cm="1">
        <f t="array" ref="AG50">_xlfn.IFS(AF50="Undetermined", 0, qPCR_Raw!Y50&lt;=1, 0, qPCR_Raw!Y50&gt;1, qPCR_Raw!Y50)</f>
        <v>1.0706655979156494</v>
      </c>
      <c r="AH50" s="123" cm="1">
        <f t="array" ref="AH50">_xlfn.IFS(AND(AD50="Undetermined", AF50="Undetermined"), "Undetermined", AND(AE50=0, AG50=0), "Undetermined", AND(AE50=0, AG50&gt;0), "Ten-Fold", AND(AE50&gt;0, AG50=0), "Undiluted", AND(AD50&lt;&gt;"Undetermined", AF50&lt;&gt;"Undetermined", AE50&gt;0, AG50&gt;0, AD50&lt;&gt;AF50), 100*(-1+10^(-1/(AD50-AF50))), AND(AD50&lt;&gt;"Undetermined", AF50&lt;&gt;"Undetermined", AD50=AF50&gt;0), -100)</f>
        <v>84.945825990925698</v>
      </c>
      <c r="AI50" s="124" cm="1">
        <f t="array" ref="AI50">_xlfn.IFS(AH50="Undetermined", 0, AH50="Undiluted", AE50*$G50/$F50*1000, AH50="Ten-Fold", AG50*$G50/$F50*1000*10, AH50&lt;0, AG50*$G50/$F50*1000*10, AH50&lt;120, AE50*$G50/$F50*1000, AH50&gt;120, AG50*$G50/$F50*1000*10)</f>
        <v>1323.2715394761826</v>
      </c>
      <c r="AJ50" s="121">
        <f t="shared" si="8"/>
        <v>1617.0057087128864</v>
      </c>
      <c r="AK50" s="121">
        <f t="shared" si="9"/>
        <v>415.40284586694099</v>
      </c>
      <c r="AL50" s="121">
        <f t="shared" si="10"/>
        <v>293.73416923670413</v>
      </c>
      <c r="AM50" s="125" cm="1">
        <f t="array" ref="AM50">_xlfn.IFS(AJ50="DELETE", "DELETE", AJ50=0, 0, AJ50&gt;0,LOG10(AJ50))</f>
        <v>3.2087115531519972</v>
      </c>
      <c r="AN50" s="126" cm="1">
        <f t="array" ref="AN50">_xlfn.IFS(AJ50="DELETE", "DELETE", AJ50=0, 0, AJ50&gt;0, AL50/AJ50/LN(10))</f>
        <v>7.889095762529999E-2</v>
      </c>
      <c r="AO50" s="155">
        <f>qPCR_Raw!AA50</f>
        <v>26.31892204284668</v>
      </c>
      <c r="AP50" s="156" cm="1">
        <f t="array" ref="AP50">_xlfn.IFS(AO50="Undetermined", 0, qPCR_Raw!AB50&lt;=6, 0, qPCR_Raw!AB50&gt;6, qPCR_Raw!AB50)</f>
        <v>32.574756622314453</v>
      </c>
      <c r="AQ50" s="157">
        <f>qPCR_Raw!AD50</f>
        <v>29.597909927368164</v>
      </c>
      <c r="AR50" s="156" cm="1">
        <f t="array" ref="AR50">_xlfn.IFS(AQ50="Undetermined", 0, qPCR_Raw!AE50&lt;=6, 0, qPCR_Raw!AE50&gt;6, qPCR_Raw!AE50)</f>
        <v>0</v>
      </c>
      <c r="AS50" s="158" t="str" cm="1">
        <f t="array" ref="AS50">_xlfn.IFS(AND(AO50="Undetermined", AQ50="Undetermined"), "Undetermined", AND(AP50=0, AR50=0), "Undetermined", AND(AP50=0, AR50&gt;0), "Ten-Fold", AND(AP50&gt;0, AR50=0), "Undiluted", AND(AO50&lt;&gt;"Undetermined", AQ50&lt;&gt;"Undetermined", AP50&gt;0, AR50&gt;0, AO50&lt;&gt;AQ50), 100*(-1+10^(-1/(AO50-AQ50))), AND(AO50&lt;&gt;"Undetermined", AQ50&lt;&gt;"Undetermined", AO50=AQ50&gt;0), -100)</f>
        <v>Undiluted</v>
      </c>
      <c r="AT50" s="159" cm="1">
        <f t="array" ref="AT50">_xlfn.IFS(AS50="Undetermined", 0, AS50="Undiluted", AP50*$G50/$F50*1000, AS50="Ten-Fold", AR50*$G50/$F50*1000*10, AS50&lt;0, AR50*$G50/$F50*1000*10, AS50&lt;120, AP50*$G50/$F50*1000, AS50&gt;120, AR50*$G50/$F50*1000*10)</f>
        <v>3619.4174024793833</v>
      </c>
      <c r="AU50" s="156">
        <f t="shared" si="11"/>
        <v>3001.6080630574247</v>
      </c>
      <c r="AV50" s="156">
        <f t="shared" si="12"/>
        <v>873.71434677129719</v>
      </c>
      <c r="AW50" s="156">
        <f t="shared" si="13"/>
        <v>617.80933942195895</v>
      </c>
      <c r="AX50" s="160" cm="1">
        <f t="array" ref="AX50">_xlfn.IFS(AU50="DELETE", "DELETE", AU50=0, 0, AU50&gt;0,LOG10(AU50))</f>
        <v>3.477353983322319</v>
      </c>
      <c r="AY50" s="161" cm="1">
        <f t="array" ref="AY50">_xlfn.IFS(AU50="DELETE", "DELETE", AU50=0, 0, AU50&gt;0, AW50/AU50/LN(10))</f>
        <v>8.9389147864278221E-2</v>
      </c>
      <c r="AZ50" s="120">
        <f>qPCR_Raw!AG50</f>
        <v>34.563491821289063</v>
      </c>
      <c r="BA50" s="121" cm="1">
        <f t="array" ref="BA50">_xlfn.IFS(AZ50="Undetermined", 0, qPCR_Raw!AH50&lt;=1, 0, qPCR_Raw!AH50&gt;1, qPCR_Raw!AH50)</f>
        <v>3.5438015460968018</v>
      </c>
      <c r="BB50" s="122" t="str">
        <f>qPCR_Raw!AJ50</f>
        <v>Undetermined</v>
      </c>
      <c r="BC50" s="121" cm="1">
        <f t="array" ref="BC50">_xlfn.IFS(BB50="Undetermined", 0, qPCR_Raw!AK50&lt;=1, 0, qPCR_Raw!AK50&gt;1, qPCR_Raw!AK50)</f>
        <v>0</v>
      </c>
      <c r="BD50" s="123" t="str" cm="1">
        <f t="array" ref="BD50">_xlfn.IFS(AND(AZ50="Undetermined", BB50="Undetermined"), "Undetermined", AND(BA50=0, BC50=0), "Undetermined", AND(BA50=0, BC50&gt;0), "Ten-Fold", AND(BA50&gt;0, BC50=0), "Undiluted", AND(AZ50&lt;&gt;"Undetermined", BB50&lt;&gt;"Undetermined", BA50&gt;0, BC50&gt;0, AZ50&lt;&gt;BB50), 100*(-1+10^(-1/(AZ50-BB50))), AND(AZ50&lt;&gt;"Undetermined", BB50&lt;&gt;"Undetermined", AZ50=BB50&gt;0), -100)</f>
        <v>Undiluted</v>
      </c>
      <c r="BE50" s="124" cm="1">
        <f t="array" ref="BE50">_xlfn.IFS(BD50="Undetermined", 0, BD50="Undiluted", BA50*$G50/$F50*1000, BD50="Ten-Fold", BC50*$G50/$F50*1000*10, BD50&lt;0, BC50*$G50/$F50*1000*10, BD50&lt;120, BA50*$G50/$F50*1000, BD50&gt;120, BC50*$G50/$F50*1000*10)</f>
        <v>393.75572734408911</v>
      </c>
      <c r="BF50" s="121">
        <f t="shared" si="14"/>
        <v>730.89966624255351</v>
      </c>
      <c r="BG50" s="121">
        <f t="shared" si="15"/>
        <v>476.79353086209449</v>
      </c>
      <c r="BH50" s="121">
        <f t="shared" si="16"/>
        <v>337.1439388984644</v>
      </c>
      <c r="BI50" s="125" cm="1">
        <f t="array" ref="BI50">_xlfn.IFS(BF50="DELETE", "DELETE", BF50=0, 0, BF50&gt;0,LOG10(BF50))</f>
        <v>2.863857763568129</v>
      </c>
      <c r="BJ50" s="126" cm="1">
        <f t="array" ref="BJ50">_xlfn.IFS(BF50="DELETE", "DELETE", BF50=0, 0, BF50&gt;0, BH50/BF50/LN(10))</f>
        <v>0.20032811483339752</v>
      </c>
    </row>
    <row r="51" spans="1:62" s="114" customFormat="1" x14ac:dyDescent="0.3">
      <c r="A51" s="115" t="str">
        <f>UPPER(LEFT(SUBSTITUTE(SUBSTITUTE(qPCR_Raw!A51,"-","")," ",""),2))&amp;RIGHT(SUBSTITUTE(SUBSTITUTE(qPCR_Raw!A51,"-","")," ",""),LEN(SUBSTITUTE(SUBSTITUTE(qPCR_Raw!A51,"-","")," ",""))-2)</f>
        <v>STa7</v>
      </c>
      <c r="B51" s="116" t="str" cm="1">
        <f t="array" ref="B51">_xlfn.IFS(LEFT(A51, LEN(A51)-1)="EP", "EP", LEFT(A51, LEN(A51)-1)="STa", "SPI", LEFT(A51, LEN(A51)-1)="STb", "SPO", LEFT(A51, LEN(A51)-1)="MRT", "MRT", LEFT(A51, LEN(A51)-1)="RG", "RN", LEFT(A51, LEN(A51)-1)="RT", "RU", LEFT(A51, LEN(A51)-1)="RW", "RL", LEFT(A51, LEN(A51)-1)="RC", "RS")</f>
        <v>SPI</v>
      </c>
      <c r="C51" s="117">
        <f>qPCR_Raw!B51</f>
        <v>44350</v>
      </c>
      <c r="D51" s="117" t="str">
        <f t="shared" si="0"/>
        <v>SPI44350</v>
      </c>
      <c r="E51" s="117" t="str">
        <f t="shared" si="1"/>
        <v>SPI443507</v>
      </c>
      <c r="F51" s="118">
        <f>qPCR_Raw!C51</f>
        <v>920</v>
      </c>
      <c r="G51" s="119">
        <f>qPCR_Raw!F51</f>
        <v>100</v>
      </c>
      <c r="H51" s="120" t="str">
        <f>qPCR_Raw!G51</f>
        <v>Undetermined</v>
      </c>
      <c r="I51" s="121" cm="1">
        <f t="array" ref="I51">_xlfn.IFS(H51="Undetermined", 0, qPCR_Raw!H51-qPCR_Raw!$H$242&lt;0, 0, qPCR_Raw!H51-qPCR_Raw!$H$242&gt;0, qPCR_Raw!H51-qPCR_Raw!$H$242)</f>
        <v>0</v>
      </c>
      <c r="J51" s="122" t="str">
        <f>qPCR_Raw!K51</f>
        <v>Undetermined</v>
      </c>
      <c r="K51" s="121" cm="1">
        <f t="array" ref="K51">_xlfn.IFS(J51="Undetermined", 0, qPCR_Raw!L51-qPCR_Raw!$H$242&lt;0, 0, qPCR_Raw!L51-qPCR_Raw!$H$242&gt;0, qPCR_Raw!L51-qPCR_Raw!$H$242)</f>
        <v>0</v>
      </c>
      <c r="L51" s="123" t="str" cm="1">
        <f t="array" ref="L51">_xlfn.IFS(AND(H51="Undetermined", J51="Undetermined"), "Undetermined", AND(I51=0, K51=0), "Undetermined", AND(I51=0, K51&gt;0), "Ten-Fold", AND(I51&gt;0, K51=0), "Undiluted", AND(H51&lt;&gt;"Undetermined", J51&lt;&gt;"Undetermined", I51&gt;0, K51&gt;0), 100*(-1+10^(-1/(H51-J51))))</f>
        <v>Undetermined</v>
      </c>
      <c r="M51" s="124" cm="1">
        <f t="array" ref="M51">_xlfn.IFS(L51="Undetermined", 0, L51="Undiluted", I51*$G51/$F51*1000, L51="Ten-Fold", K51*$G51/$F51*1000*10, L51&lt;0, K51*$G51/$F51*1000*10, L51&lt;120, I51*$G51/$F51*1000, L51&gt;120, K51*$G51/$F51*1000*10)</f>
        <v>0</v>
      </c>
      <c r="N51" s="121" t="str">
        <f t="shared" si="2"/>
        <v>DELETE</v>
      </c>
      <c r="O51" s="121" t="str">
        <f t="shared" si="3"/>
        <v>DELETE</v>
      </c>
      <c r="P51" s="121" t="str">
        <f t="shared" si="4"/>
        <v>DELETE</v>
      </c>
      <c r="Q51" s="125" t="str" cm="1">
        <f t="array" ref="Q51">_xlfn.IFS(N51="DELETE", "DELETE", N51=0, 0, N51&gt;0,LOG10(N51))</f>
        <v>DELETE</v>
      </c>
      <c r="R51" s="126" t="str" cm="1">
        <f t="array" ref="R51">_xlfn.IFS(N51="DELETE", "DELETE", N51=0, 0, N51&gt;0, P51/N51/LN(10))</f>
        <v>DELETE</v>
      </c>
      <c r="S51" s="155">
        <f>qPCR_Raw!O51</f>
        <v>31.466829299926758</v>
      </c>
      <c r="T51" s="156" cm="1">
        <f t="array" ref="T51">_xlfn.IFS(S51="Undetermined", 0, qPCR_Raw!P51&lt;=1, 0, qPCR_Raw!P51&gt;1, qPCR_Raw!P51)</f>
        <v>448.67202758789063</v>
      </c>
      <c r="U51" s="157">
        <f>qPCR_Raw!R51</f>
        <v>34.921352386474609</v>
      </c>
      <c r="V51" s="156" cm="1">
        <f t="array" ref="V51">_xlfn.IFS(U51="Undetermined", 0, qPCR_Raw!S51&lt;=1, 0, qPCR_Raw!S51&gt;1, qPCR_Raw!S51)</f>
        <v>57.300144195556641</v>
      </c>
      <c r="W51" s="158" cm="1">
        <f t="array" ref="W51">_xlfn.IFS(AND(S51="Undetermined", U51="Undetermined"), "Undetermined", AND(T51=0, V51=0), "Undetermined", AND(T51=0, V51&gt;0), "Ten-Fold", AND(T51&gt;0, V51=0), "Undiluted", AND(S51&lt;&gt;"Undetermined", U51&lt;&gt;"Undetermined", T51&gt;0, V51&gt;0, S51&lt;&gt;U51), 100*(-1+10^(-1/(S51-U51))), AND(S51&lt;&gt;"Undetermined", U51&lt;&gt;"Undetermined", S51=U51&gt;0), -100)</f>
        <v>94.74914449220897</v>
      </c>
      <c r="X51" s="159" cm="1">
        <f t="array" ref="X51">_xlfn.IFS(W51="Undetermined", 0, W51="Undiluted", T51*$G51/$F51*1000, W51="Ten-Fold", V51*$G51/$F51*1000*10, W51&lt;0, V51*$G51/$F51*1000*10, W51&lt;120, T51*$G51/$F51*1000, W51&gt;120, V51*$G51/$F51*1000*10)</f>
        <v>48768.698650857681</v>
      </c>
      <c r="Y51" s="156" t="str">
        <f t="shared" si="5"/>
        <v>DELETE</v>
      </c>
      <c r="Z51" s="156" t="str">
        <f t="shared" si="6"/>
        <v>DELETE</v>
      </c>
      <c r="AA51" s="156" t="str">
        <f t="shared" si="7"/>
        <v>DELETE</v>
      </c>
      <c r="AB51" s="160" t="str" cm="1">
        <f t="array" ref="AB51">_xlfn.IFS(Y51="DELETE", "DELETE", Y51=0, 0, Y51&gt;0,LOG10(Y51))</f>
        <v>DELETE</v>
      </c>
      <c r="AC51" s="161" t="str" cm="1">
        <f t="array" ref="AC51">_xlfn.IFS(Y51="DELETE", "DELETE", Y51=0, 0, Y51&gt;0, AA51/Y51/LN(10))</f>
        <v>DELETE</v>
      </c>
      <c r="AD51" s="120">
        <f>qPCR_Raw!U51</f>
        <v>32.271263122558594</v>
      </c>
      <c r="AE51" s="121" cm="1">
        <f t="array" ref="AE51">_xlfn.IFS(AD51="Undetermined", 0, qPCR_Raw!V51&lt;=1, 0, qPCR_Raw!V51&gt;1, qPCR_Raw!V51)</f>
        <v>8.4577846527099609</v>
      </c>
      <c r="AF51" s="122">
        <f>qPCR_Raw!X51</f>
        <v>34.713233947753906</v>
      </c>
      <c r="AG51" s="121" cm="1">
        <f t="array" ref="AG51">_xlfn.IFS(AF51="Undetermined", 0, qPCR_Raw!Y51&lt;=1, 0, qPCR_Raw!Y51&gt;1, qPCR_Raw!Y51)</f>
        <v>1.757880687713623</v>
      </c>
      <c r="AH51" s="123" cm="1">
        <f t="array" ref="AH51">_xlfn.IFS(AND(AD51="Undetermined", AF51="Undetermined"), "Undetermined", AND(AE51=0, AG51=0), "Undetermined", AND(AE51=0, AG51&gt;0), "Ten-Fold", AND(AE51&gt;0, AG51=0), "Undiluted", AND(AD51&lt;&gt;"Undetermined", AF51&lt;&gt;"Undetermined", AE51&gt;0, AG51&gt;0, AD51&lt;&gt;AF51), 100*(-1+10^(-1/(AD51-AF51))), AND(AD51&lt;&gt;"Undetermined", AF51&lt;&gt;"Undetermined", AD51=AF51&gt;0), -100)</f>
        <v>156.74695517716862</v>
      </c>
      <c r="AI51" s="124" cm="1">
        <f t="array" ref="AI51">_xlfn.IFS(AH51="Undetermined", 0, AH51="Undiluted", AE51*$G51/$F51*1000, AH51="Ten-Fold", AG51*$G51/$F51*1000*10, AH51&lt;0, AG51*$G51/$F51*1000*10, AH51&lt;120, AE51*$G51/$F51*1000, AH51&gt;120, AG51*$G51/$F51*1000*10)</f>
        <v>1910.7398779495902</v>
      </c>
      <c r="AJ51" s="121" t="str">
        <f t="shared" si="8"/>
        <v>DELETE</v>
      </c>
      <c r="AK51" s="121" t="str">
        <f t="shared" si="9"/>
        <v>DELETE</v>
      </c>
      <c r="AL51" s="121" t="str">
        <f t="shared" si="10"/>
        <v>DELETE</v>
      </c>
      <c r="AM51" s="125" t="str" cm="1">
        <f t="array" ref="AM51">_xlfn.IFS(AJ51="DELETE", "DELETE", AJ51=0, 0, AJ51&gt;0,LOG10(AJ51))</f>
        <v>DELETE</v>
      </c>
      <c r="AN51" s="126" t="str" cm="1">
        <f t="array" ref="AN51">_xlfn.IFS(AJ51="DELETE", "DELETE", AJ51=0, 0, AJ51&gt;0, AL51/AJ51/LN(10))</f>
        <v>DELETE</v>
      </c>
      <c r="AO51" s="155">
        <f>qPCR_Raw!AA51</f>
        <v>26.910219192504883</v>
      </c>
      <c r="AP51" s="156" cm="1">
        <f t="array" ref="AP51">_xlfn.IFS(AO51="Undetermined", 0, qPCR_Raw!AB51&lt;=6, 0, qPCR_Raw!AB51&gt;6, qPCR_Raw!AB51)</f>
        <v>21.930948257446289</v>
      </c>
      <c r="AQ51" s="157">
        <f>qPCR_Raw!AD51</f>
        <v>30.671493530273438</v>
      </c>
      <c r="AR51" s="156" cm="1">
        <f t="array" ref="AR51">_xlfn.IFS(AQ51="Undetermined", 0, qPCR_Raw!AE51&lt;=6, 0, qPCR_Raw!AE51&gt;6, qPCR_Raw!AE51)</f>
        <v>0</v>
      </c>
      <c r="AS51" s="158" t="str" cm="1">
        <f t="array" ref="AS51">_xlfn.IFS(AND(AO51="Undetermined", AQ51="Undetermined"), "Undetermined", AND(AP51=0, AR51=0), "Undetermined", AND(AP51=0, AR51&gt;0), "Ten-Fold", AND(AP51&gt;0, AR51=0), "Undiluted", AND(AO51&lt;&gt;"Undetermined", AQ51&lt;&gt;"Undetermined", AP51&gt;0, AR51&gt;0, AO51&lt;&gt;AQ51), 100*(-1+10^(-1/(AO51-AQ51))), AND(AO51&lt;&gt;"Undetermined", AQ51&lt;&gt;"Undetermined", AO51=AQ51&gt;0), -100)</f>
        <v>Undiluted</v>
      </c>
      <c r="AT51" s="159" cm="1">
        <f t="array" ref="AT51">_xlfn.IFS(AS51="Undetermined", 0, AS51="Undiluted", AP51*$G51/$F51*1000, AS51="Ten-Fold", AR51*$G51/$F51*1000*10, AS51&lt;0, AR51*$G51/$F51*1000*10, AS51&lt;120, AP51*$G51/$F51*1000, AS51&gt;120, AR51*$G51/$F51*1000*10)</f>
        <v>2383.7987236354661</v>
      </c>
      <c r="AU51" s="156" t="str">
        <f t="shared" si="11"/>
        <v>DELETE</v>
      </c>
      <c r="AV51" s="156" t="str">
        <f t="shared" si="12"/>
        <v>DELETE</v>
      </c>
      <c r="AW51" s="156" t="str">
        <f t="shared" si="13"/>
        <v>DELETE</v>
      </c>
      <c r="AX51" s="160" t="str" cm="1">
        <f t="array" ref="AX51">_xlfn.IFS(AU51="DELETE", "DELETE", AU51=0, 0, AU51&gt;0,LOG10(AU51))</f>
        <v>DELETE</v>
      </c>
      <c r="AY51" s="161" t="str" cm="1">
        <f t="array" ref="AY51">_xlfn.IFS(AU51="DELETE", "DELETE", AU51=0, 0, AU51&gt;0, AW51/AU51/LN(10))</f>
        <v>DELETE</v>
      </c>
      <c r="AZ51" s="120">
        <f>qPCR_Raw!AG51</f>
        <v>32.950954437255859</v>
      </c>
      <c r="BA51" s="121" cm="1">
        <f t="array" ref="BA51">_xlfn.IFS(AZ51="Undetermined", 0, qPCR_Raw!AH51&lt;=1, 0, qPCR_Raw!AH51&gt;1, qPCR_Raw!AH51)</f>
        <v>9.8260011672973633</v>
      </c>
      <c r="BB51" s="122" t="str">
        <f>qPCR_Raw!AJ51</f>
        <v>Undetermined</v>
      </c>
      <c r="BC51" s="121" cm="1">
        <f t="array" ref="BC51">_xlfn.IFS(BB51="Undetermined", 0, qPCR_Raw!AK51&lt;=1, 0, qPCR_Raw!AK51&gt;1, qPCR_Raw!AK51)</f>
        <v>0</v>
      </c>
      <c r="BD51" s="123" t="str" cm="1">
        <f t="array" ref="BD51">_xlfn.IFS(AND(AZ51="Undetermined", BB51="Undetermined"), "Undetermined", AND(BA51=0, BC51=0), "Undetermined", AND(BA51=0, BC51&gt;0), "Ten-Fold", AND(BA51&gt;0, BC51=0), "Undiluted", AND(AZ51&lt;&gt;"Undetermined", BB51&lt;&gt;"Undetermined", BA51&gt;0, BC51&gt;0, AZ51&lt;&gt;BB51), 100*(-1+10^(-1/(AZ51-BB51))), AND(AZ51&lt;&gt;"Undetermined", BB51&lt;&gt;"Undetermined", AZ51=BB51&gt;0), -100)</f>
        <v>Undiluted</v>
      </c>
      <c r="BE51" s="124" cm="1">
        <f t="array" ref="BE51">_xlfn.IFS(BD51="Undetermined", 0, BD51="Undiluted", BA51*$G51/$F51*1000, BD51="Ten-Fold", BC51*$G51/$F51*1000*10, BD51&lt;0, BC51*$G51/$F51*1000*10, BD51&lt;120, BA51*$G51/$F51*1000, BD51&gt;120, BC51*$G51/$F51*1000*10)</f>
        <v>1068.0436051410179</v>
      </c>
      <c r="BF51" s="121" t="str">
        <f t="shared" si="14"/>
        <v>DELETE</v>
      </c>
      <c r="BG51" s="121" t="str">
        <f t="shared" si="15"/>
        <v>DELETE</v>
      </c>
      <c r="BH51" s="121" t="str">
        <f t="shared" si="16"/>
        <v>DELETE</v>
      </c>
      <c r="BI51" s="125" t="str" cm="1">
        <f t="array" ref="BI51">_xlfn.IFS(BF51="DELETE", "DELETE", BF51=0, 0, BF51&gt;0,LOG10(BF51))</f>
        <v>DELETE</v>
      </c>
      <c r="BJ51" s="126" t="str" cm="1">
        <f t="array" ref="BJ51">_xlfn.IFS(BF51="DELETE", "DELETE", BF51=0, 0, BF51&gt;0, BH51/BF51/LN(10))</f>
        <v>DELETE</v>
      </c>
    </row>
    <row r="52" spans="1:62" s="114" customFormat="1" x14ac:dyDescent="0.3">
      <c r="A52" s="115" t="str">
        <f>UPPER(LEFT(SUBSTITUTE(SUBSTITUTE(qPCR_Raw!A52,"-","")," ",""),2))&amp;RIGHT(SUBSTITUTE(SUBSTITUTE(qPCR_Raw!A52,"-","")," ",""),LEN(SUBSTITUTE(SUBSTITUTE(qPCR_Raw!A52,"-","")," ",""))-2)</f>
        <v>EP6</v>
      </c>
      <c r="B52" s="116" t="str" cm="1">
        <f t="array" ref="B52">_xlfn.IFS(LEFT(A52, LEN(A52)-1)="EP", "EP", LEFT(A52, LEN(A52)-1)="STa", "SPI", LEFT(A52, LEN(A52)-1)="STb", "SPO", LEFT(A52, LEN(A52)-1)="MRT", "MRT", LEFT(A52, LEN(A52)-1)="RG", "RN", LEFT(A52, LEN(A52)-1)="RT", "RU", LEFT(A52, LEN(A52)-1)="RW", "RL", LEFT(A52, LEN(A52)-1)="RC", "RS")</f>
        <v>EP</v>
      </c>
      <c r="C52" s="117">
        <f>qPCR_Raw!B52</f>
        <v>44356</v>
      </c>
      <c r="D52" s="117" t="str">
        <f t="shared" si="0"/>
        <v>EP44356</v>
      </c>
      <c r="E52" s="117" t="str">
        <f t="shared" si="1"/>
        <v>EP443566</v>
      </c>
      <c r="F52" s="118">
        <f>qPCR_Raw!C52</f>
        <v>960</v>
      </c>
      <c r="G52" s="119">
        <f>qPCR_Raw!F52</f>
        <v>100</v>
      </c>
      <c r="H52" s="120">
        <f>qPCR_Raw!G52</f>
        <v>18.787420272827148</v>
      </c>
      <c r="I52" s="121" cm="1">
        <f t="array" ref="I52">_xlfn.IFS(H52="Undetermined", 0, qPCR_Raw!H52-qPCR_Raw!$H$242&lt;0, 0, qPCR_Raw!H52-qPCR_Raw!$H$242&gt;0, qPCR_Raw!H52-qPCR_Raw!$H$242)</f>
        <v>157195.25207112631</v>
      </c>
      <c r="J52" s="122">
        <f>qPCR_Raw!K52</f>
        <v>20.664154052734375</v>
      </c>
      <c r="K52" s="121" cm="1">
        <f t="array" ref="K52">_xlfn.IFS(J52="Undetermined", 0, qPCR_Raw!L52-qPCR_Raw!$H$242&lt;0, 0, qPCR_Raw!L52-qPCR_Raw!$H$242&gt;0, qPCR_Raw!L52-qPCR_Raw!$H$242)</f>
        <v>39911.002071126306</v>
      </c>
      <c r="L52" s="123" cm="1">
        <f t="array" ref="L52">_xlfn.IFS(AND(H52="Undetermined", J52="Undetermined"), "Undetermined", AND(I52=0, K52=0), "Undetermined", AND(I52=0, K52&gt;0), "Ten-Fold", AND(I52&gt;0, K52=0), "Undiluted", AND(H52&lt;&gt;"Undetermined", J52&lt;&gt;"Undetermined", I52&gt;0, K52&gt;0), 100*(-1+10^(-1/(H52-J52))))</f>
        <v>241.06772539325704</v>
      </c>
      <c r="M52" s="124" cm="1">
        <f t="array" ref="M52">_xlfn.IFS(L52="Undetermined", 0, L52="Undiluted", I52*$G52/$F52*1000, L52="Ten-Fold", K52*$G52/$F52*1000*10, L52&lt;0, K52*$G52/$F52*1000*10, L52&lt;120, I52*$G52/$F52*1000, L52&gt;120, K52*$G52/$F52*1000*10)</f>
        <v>41573960.490756571</v>
      </c>
      <c r="N52" s="121">
        <f t="shared" si="2"/>
        <v>37805884.255184606</v>
      </c>
      <c r="O52" s="121">
        <f t="shared" si="3"/>
        <v>5328864.5164016364</v>
      </c>
      <c r="P52" s="121">
        <f t="shared" si="4"/>
        <v>3768076.2355719688</v>
      </c>
      <c r="Q52" s="125" cm="1">
        <f t="array" ref="Q52">_xlfn.IFS(N52="DELETE", "DELETE", N52=0, 0, N52&gt;0,LOG10(N52))</f>
        <v>7.5775594003841169</v>
      </c>
      <c r="R52" s="126" cm="1">
        <f t="array" ref="R52">_xlfn.IFS(N52="DELETE", "DELETE", N52=0, 0, N52&gt;0, P52/N52/LN(10))</f>
        <v>4.3285714611350855E-2</v>
      </c>
      <c r="S52" s="155">
        <f>qPCR_Raw!O52</f>
        <v>35.190685272216797</v>
      </c>
      <c r="T52" s="156" cm="1">
        <f t="array" ref="T52">_xlfn.IFS(S52="Undetermined", 0, qPCR_Raw!P52&lt;=1, 0, qPCR_Raw!P52&gt;1, qPCR_Raw!P52)</f>
        <v>48.805908203125</v>
      </c>
      <c r="U52" s="157">
        <f>qPCR_Raw!R52</f>
        <v>38.951301574707031</v>
      </c>
      <c r="V52" s="156" cm="1">
        <f t="array" ref="V52">_xlfn.IFS(U52="Undetermined", 0, qPCR_Raw!S52&lt;=1, 0, qPCR_Raw!S52&gt;1, qPCR_Raw!S52)</f>
        <v>5.1940364837646484</v>
      </c>
      <c r="W52" s="158" cm="1">
        <f t="array" ref="W52">_xlfn.IFS(AND(S52="Undetermined", U52="Undetermined"), "Undetermined", AND(T52=0, V52=0), "Undetermined", AND(T52=0, V52&gt;0), "Ten-Fold", AND(T52&gt;0, V52=0), "Undiluted", AND(S52&lt;&gt;"Undetermined", U52&lt;&gt;"Undetermined", T52&gt;0, V52&gt;0, S52&lt;&gt;U52), 100*(-1+10^(-1/(S52-U52))), AND(S52&lt;&gt;"Undetermined", U52&lt;&gt;"Undetermined", S52=U52&gt;0), -100)</f>
        <v>84.464950989396897</v>
      </c>
      <c r="X52" s="159" cm="1">
        <f t="array" ref="X52">_xlfn.IFS(W52="Undetermined", 0, W52="Undiluted", T52*$G52/$F52*1000, W52="Ten-Fold", V52*$G52/$F52*1000*10, W52&lt;0, V52*$G52/$F52*1000*10, W52&lt;120, T52*$G52/$F52*1000, W52&gt;120, V52*$G52/$F52*1000*10)</f>
        <v>5083.9487711588545</v>
      </c>
      <c r="Y52" s="156">
        <f t="shared" si="5"/>
        <v>15022.144063313803</v>
      </c>
      <c r="Z52" s="156">
        <f t="shared" si="6"/>
        <v>14054.730567677967</v>
      </c>
      <c r="AA52" s="156">
        <f t="shared" si="7"/>
        <v>9938.1952921549437</v>
      </c>
      <c r="AB52" s="160" cm="1">
        <f t="array" ref="AB52">_xlfn.IFS(Y52="DELETE", "DELETE", Y52=0, 0, Y52&gt;0,LOG10(Y52))</f>
        <v>4.1767319225757706</v>
      </c>
      <c r="AC52" s="161" cm="1">
        <f t="array" ref="AC52">_xlfn.IFS(Y52="DELETE", "DELETE", Y52=0, 0, Y52&gt;0, AA52/Y52/LN(10))</f>
        <v>0.28731606868291865</v>
      </c>
      <c r="AD52" s="120">
        <f>qPCR_Raw!U52</f>
        <v>32.052120208740234</v>
      </c>
      <c r="AE52" s="121" cm="1">
        <f t="array" ref="AE52">_xlfn.IFS(AD52="Undetermined", 0, qPCR_Raw!V52&lt;=1, 0, qPCR_Raw!V52&gt;1, qPCR_Raw!V52)</f>
        <v>9.7383060455322266</v>
      </c>
      <c r="AF52" s="122">
        <f>qPCR_Raw!X52</f>
        <v>35.453678131103516</v>
      </c>
      <c r="AG52" s="121" cm="1">
        <f t="array" ref="AG52">_xlfn.IFS(AF52="Undetermined", 0, qPCR_Raw!Y52&lt;=1, 0, qPCR_Raw!Y52&gt;1, qPCR_Raw!Y52)</f>
        <v>1.0917298793792725</v>
      </c>
      <c r="AH52" s="123" cm="1">
        <f t="array" ref="AH52">_xlfn.IFS(AND(AD52="Undetermined", AF52="Undetermined"), "Undetermined", AND(AE52=0, AG52=0), "Undetermined", AND(AE52=0, AG52&gt;0), "Ten-Fold", AND(AE52&gt;0, AG52=0), "Undiluted", AND(AD52&lt;&gt;"Undetermined", AF52&lt;&gt;"Undetermined", AE52&gt;0, AG52&gt;0, AD52&lt;&gt;AF52), 100*(-1+10^(-1/(AD52-AF52))), AND(AD52&lt;&gt;"Undetermined", AF52&lt;&gt;"Undetermined", AD52=AF52&gt;0), -100)</f>
        <v>96.780899038512615</v>
      </c>
      <c r="AI52" s="124" cm="1">
        <f t="array" ref="AI52">_xlfn.IFS(AH52="Undetermined", 0, AH52="Undiluted", AE52*$G52/$F52*1000, AH52="Ten-Fold", AG52*$G52/$F52*1000*10, AH52&lt;0, AG52*$G52/$F52*1000*10, AH52&lt;120, AE52*$G52/$F52*1000, AH52&gt;120, AG52*$G52/$F52*1000*10)</f>
        <v>1014.4068797429402</v>
      </c>
      <c r="AJ52" s="121">
        <f t="shared" si="8"/>
        <v>2066.3175145785012</v>
      </c>
      <c r="AK52" s="121">
        <f t="shared" si="9"/>
        <v>1487.6262861889436</v>
      </c>
      <c r="AL52" s="121">
        <f t="shared" si="10"/>
        <v>1051.9106348355615</v>
      </c>
      <c r="AM52" s="125" cm="1">
        <f t="array" ref="AM52">_xlfn.IFS(AJ52="DELETE", "DELETE", AJ52=0, 0, AJ52&gt;0,LOG10(AJ52))</f>
        <v>3.3151970568903897</v>
      </c>
      <c r="AN52" s="126" cm="1">
        <f t="array" ref="AN52">_xlfn.IFS(AJ52="DELETE", "DELETE", AJ52=0, 0, AJ52&gt;0, AL52/AJ52/LN(10))</f>
        <v>0.22108847306442125</v>
      </c>
      <c r="AO52" s="155">
        <f>qPCR_Raw!AA52</f>
        <v>26.155073165893555</v>
      </c>
      <c r="AP52" s="156" cm="1">
        <f t="array" ref="AP52">_xlfn.IFS(AO52="Undetermined", 0, qPCR_Raw!AB52&lt;=6, 0, qPCR_Raw!AB52&gt;6, qPCR_Raw!AB52)</f>
        <v>36.349098205566406</v>
      </c>
      <c r="AQ52" s="157">
        <f>qPCR_Raw!AD52</f>
        <v>29.741870880126953</v>
      </c>
      <c r="AR52" s="156" cm="1">
        <f t="array" ref="AR52">_xlfn.IFS(AQ52="Undetermined", 0, qPCR_Raw!AE52&lt;=6, 0, qPCR_Raw!AE52&gt;6, qPCR_Raw!AE52)</f>
        <v>0</v>
      </c>
      <c r="AS52" s="158" t="str" cm="1">
        <f t="array" ref="AS52">_xlfn.IFS(AND(AO52="Undetermined", AQ52="Undetermined"), "Undetermined", AND(AP52=0, AR52=0), "Undetermined", AND(AP52=0, AR52&gt;0), "Ten-Fold", AND(AP52&gt;0, AR52=0), "Undiluted", AND(AO52&lt;&gt;"Undetermined", AQ52&lt;&gt;"Undetermined", AP52&gt;0, AR52&gt;0, AO52&lt;&gt;AQ52), 100*(-1+10^(-1/(AO52-AQ52))), AND(AO52&lt;&gt;"Undetermined", AQ52&lt;&gt;"Undetermined", AO52=AQ52&gt;0), -100)</f>
        <v>Undiluted</v>
      </c>
      <c r="AT52" s="159" cm="1">
        <f t="array" ref="AT52">_xlfn.IFS(AS52="Undetermined", 0, AS52="Undiluted", AP52*$G52/$F52*1000, AS52="Ten-Fold", AR52*$G52/$F52*1000*10, AS52&lt;0, AR52*$G52/$F52*1000*10, AS52&lt;120, AP52*$G52/$F52*1000, AS52&gt;120, AR52*$G52/$F52*1000*10)</f>
        <v>3786.3643964131675</v>
      </c>
      <c r="AU52" s="156">
        <f t="shared" si="11"/>
        <v>2289.4446055094404</v>
      </c>
      <c r="AV52" s="156">
        <f t="shared" si="12"/>
        <v>2116.9642700807481</v>
      </c>
      <c r="AW52" s="156">
        <f t="shared" si="13"/>
        <v>1496.9197909037266</v>
      </c>
      <c r="AX52" s="160" cm="1">
        <f t="array" ref="AX52">_xlfn.IFS(AU52="DELETE", "DELETE", AU52=0, 0, AU52&gt;0,LOG10(AU52))</f>
        <v>3.3597301399743871</v>
      </c>
      <c r="AY52" s="161" cm="1">
        <f t="array" ref="AY52">_xlfn.IFS(AU52="DELETE", "DELETE", AU52=0, 0, AU52&gt;0, AW52/AU52/LN(10))</f>
        <v>0.2839570800170545</v>
      </c>
      <c r="AZ52" s="120" t="str">
        <f>qPCR_Raw!AG52</f>
        <v>Undetermined</v>
      </c>
      <c r="BA52" s="121" cm="1">
        <f t="array" ref="BA52">_xlfn.IFS(AZ52="Undetermined", 0, qPCR_Raw!AH52&lt;=1, 0, qPCR_Raw!AH52&gt;1, qPCR_Raw!AH52)</f>
        <v>0</v>
      </c>
      <c r="BB52" s="122">
        <f>qPCR_Raw!AJ52</f>
        <v>36.961193084716797</v>
      </c>
      <c r="BC52" s="121" cm="1">
        <f t="array" ref="BC52">_xlfn.IFS(BB52="Undetermined", 0, qPCR_Raw!AK52&lt;=1, 0, qPCR_Raw!AK52&gt;1, qPCR_Raw!AK52)</f>
        <v>0</v>
      </c>
      <c r="BD52" s="123" t="str" cm="1">
        <f t="array" ref="BD52">_xlfn.IFS(AND(AZ52="Undetermined", BB52="Undetermined"), "Undetermined", AND(BA52=0, BC52=0), "Undetermined", AND(BA52=0, BC52&gt;0), "Ten-Fold", AND(BA52&gt;0, BC52=0), "Undiluted", AND(AZ52&lt;&gt;"Undetermined", BB52&lt;&gt;"Undetermined", BA52&gt;0, BC52&gt;0, AZ52&lt;&gt;BB52), 100*(-1+10^(-1/(AZ52-BB52))), AND(AZ52&lt;&gt;"Undetermined", BB52&lt;&gt;"Undetermined", AZ52=BB52&gt;0), -100)</f>
        <v>Undetermined</v>
      </c>
      <c r="BE52" s="124" cm="1">
        <f t="array" ref="BE52">_xlfn.IFS(BD52="Undetermined", 0, BD52="Undiluted", BA52*$G52/$F52*1000, BD52="Ten-Fold", BC52*$G52/$F52*1000*10, BD52&lt;0, BC52*$G52/$F52*1000*10, BD52&lt;120, BA52*$G52/$F52*1000, BD52&gt;120, BC52*$G52/$F52*1000*10)</f>
        <v>0</v>
      </c>
      <c r="BF52" s="121">
        <f t="shared" si="14"/>
        <v>0</v>
      </c>
      <c r="BG52" s="121">
        <f t="shared" si="15"/>
        <v>0</v>
      </c>
      <c r="BH52" s="121">
        <f t="shared" si="16"/>
        <v>0</v>
      </c>
      <c r="BI52" s="125" cm="1">
        <f t="array" ref="BI52">_xlfn.IFS(BF52="DELETE", "DELETE", BF52=0, 0, BF52&gt;0,LOG10(BF52))</f>
        <v>0</v>
      </c>
      <c r="BJ52" s="126" cm="1">
        <f t="array" ref="BJ52">_xlfn.IFS(BF52="DELETE", "DELETE", BF52=0, 0, BF52&gt;0, BH52/BF52/LN(10))</f>
        <v>0</v>
      </c>
    </row>
    <row r="53" spans="1:62" s="114" customFormat="1" x14ac:dyDescent="0.3">
      <c r="A53" s="115" t="str">
        <f>UPPER(LEFT(SUBSTITUTE(SUBSTITUTE(qPCR_Raw!A53,"-","")," ",""),2))&amp;RIGHT(SUBSTITUTE(SUBSTITUTE(qPCR_Raw!A53,"-","")," ",""),LEN(SUBSTITUTE(SUBSTITUTE(qPCR_Raw!A53,"-","")," ",""))-2)</f>
        <v>EP7</v>
      </c>
      <c r="B53" s="116" t="str" cm="1">
        <f t="array" ref="B53">_xlfn.IFS(LEFT(A53, LEN(A53)-1)="EP", "EP", LEFT(A53, LEN(A53)-1)="STa", "SPI", LEFT(A53, LEN(A53)-1)="STb", "SPO", LEFT(A53, LEN(A53)-1)="MRT", "MRT", LEFT(A53, LEN(A53)-1)="RG", "RN", LEFT(A53, LEN(A53)-1)="RT", "RU", LEFT(A53, LEN(A53)-1)="RW", "RL", LEFT(A53, LEN(A53)-1)="RC", "RS")</f>
        <v>EP</v>
      </c>
      <c r="C53" s="117">
        <f>qPCR_Raw!B53</f>
        <v>44356</v>
      </c>
      <c r="D53" s="117" t="str">
        <f t="shared" si="0"/>
        <v>EP44356</v>
      </c>
      <c r="E53" s="117" t="str">
        <f t="shared" si="1"/>
        <v>EP443567</v>
      </c>
      <c r="F53" s="118">
        <f>qPCR_Raw!C53</f>
        <v>1000</v>
      </c>
      <c r="G53" s="119">
        <f>qPCR_Raw!F53</f>
        <v>100</v>
      </c>
      <c r="H53" s="120">
        <f>qPCR_Raw!G53</f>
        <v>17.613988876342773</v>
      </c>
      <c r="I53" s="121" cm="1">
        <f t="array" ref="I53">_xlfn.IFS(H53="Undetermined", 0, qPCR_Raw!H53-qPCR_Raw!$H$242&lt;0, 0, qPCR_Raw!H53-qPCR_Raw!$H$242&gt;0, qPCR_Raw!H53-qPCR_Raw!$H$242)</f>
        <v>340378.08019612631</v>
      </c>
      <c r="J53" s="122">
        <f>qPCR_Raw!K53</f>
        <v>21.402200698852539</v>
      </c>
      <c r="K53" s="121" cm="1">
        <f t="array" ref="K53">_xlfn.IFS(J53="Undetermined", 0, qPCR_Raw!L53-qPCR_Raw!$H$242&lt;0, 0, qPCR_Raw!L53-qPCR_Raw!$H$242&gt;0, qPCR_Raw!L53-qPCR_Raw!$H$242)</f>
        <v>20423.287227376302</v>
      </c>
      <c r="L53" s="123" cm="1">
        <f t="array" ref="L53">_xlfn.IFS(AND(H53="Undetermined", J53="Undetermined"), "Undetermined", AND(I53=0, K53=0), "Undetermined", AND(I53=0, K53&gt;0), "Ten-Fold", AND(I53&gt;0, K53=0), "Undiluted", AND(H53&lt;&gt;"Undetermined", J53&lt;&gt;"Undetermined", I53&gt;0, K53&gt;0), 100*(-1+10^(-1/(H53-J53))))</f>
        <v>83.644019948437105</v>
      </c>
      <c r="M53" s="124" cm="1">
        <f t="array" ref="M53">_xlfn.IFS(L53="Undetermined", 0, L53="Undiluted", I53*$G53/$F53*1000, L53="Ten-Fold", K53*$G53/$F53*1000*10, L53&lt;0, K53*$G53/$F53*1000*10, L53&lt;120, I53*$G53/$F53*1000, L53&gt;120, K53*$G53/$F53*1000*10)</f>
        <v>34037808.019612633</v>
      </c>
      <c r="N53" s="121" t="str">
        <f t="shared" si="2"/>
        <v>DELETE</v>
      </c>
      <c r="O53" s="121" t="str">
        <f t="shared" si="3"/>
        <v>DELETE</v>
      </c>
      <c r="P53" s="121" t="str">
        <f t="shared" si="4"/>
        <v>DELETE</v>
      </c>
      <c r="Q53" s="125" t="str" cm="1">
        <f t="array" ref="Q53">_xlfn.IFS(N53="DELETE", "DELETE", N53=0, 0, N53&gt;0,LOG10(N53))</f>
        <v>DELETE</v>
      </c>
      <c r="R53" s="126" t="str" cm="1">
        <f t="array" ref="R53">_xlfn.IFS(N53="DELETE", "DELETE", N53=0, 0, N53&gt;0, P53/N53/LN(10))</f>
        <v>DELETE</v>
      </c>
      <c r="S53" s="155">
        <f>qPCR_Raw!O53</f>
        <v>32.451187133789063</v>
      </c>
      <c r="T53" s="156" cm="1">
        <f t="array" ref="T53">_xlfn.IFS(S53="Undetermined", 0, qPCR_Raw!P53&lt;=1, 0, qPCR_Raw!P53&gt;1, qPCR_Raw!P53)</f>
        <v>249.6033935546875</v>
      </c>
      <c r="U53" s="157">
        <f>qPCR_Raw!R53</f>
        <v>36.458808898925781</v>
      </c>
      <c r="V53" s="156" cm="1">
        <f t="array" ref="V53">_xlfn.IFS(U53="Undetermined", 0, qPCR_Raw!S53&lt;=1, 0, qPCR_Raw!S53&gt;1, qPCR_Raw!S53)</f>
        <v>22.928543090820313</v>
      </c>
      <c r="W53" s="158" cm="1">
        <f t="array" ref="W53">_xlfn.IFS(AND(S53="Undetermined", U53="Undetermined"), "Undetermined", AND(T53=0, V53=0), "Undetermined", AND(T53=0, V53&gt;0), "Ten-Fold", AND(T53&gt;0, V53=0), "Undiluted", AND(S53&lt;&gt;"Undetermined", U53&lt;&gt;"Undetermined", T53&gt;0, V53&gt;0, S53&lt;&gt;U53), 100*(-1+10^(-1/(S53-U53))), AND(S53&lt;&gt;"Undetermined", U53&lt;&gt;"Undetermined", S53=U53&gt;0), -100)</f>
        <v>77.633366098817078</v>
      </c>
      <c r="X53" s="159" cm="1">
        <f t="array" ref="X53">_xlfn.IFS(W53="Undetermined", 0, W53="Undiluted", T53*$G53/$F53*1000, W53="Ten-Fold", V53*$G53/$F53*1000*10, W53&lt;0, V53*$G53/$F53*1000*10, W53&lt;120, T53*$G53/$F53*1000, W53&gt;120, V53*$G53/$F53*1000*10)</f>
        <v>24960.33935546875</v>
      </c>
      <c r="Y53" s="156" t="str">
        <f t="shared" si="5"/>
        <v>DELETE</v>
      </c>
      <c r="Z53" s="156" t="str">
        <f t="shared" si="6"/>
        <v>DELETE</v>
      </c>
      <c r="AA53" s="156" t="str">
        <f t="shared" si="7"/>
        <v>DELETE</v>
      </c>
      <c r="AB53" s="160" t="str" cm="1">
        <f t="array" ref="AB53">_xlfn.IFS(Y53="DELETE", "DELETE", Y53=0, 0, Y53&gt;0,LOG10(Y53))</f>
        <v>DELETE</v>
      </c>
      <c r="AC53" s="161" t="str" cm="1">
        <f t="array" ref="AC53">_xlfn.IFS(Y53="DELETE", "DELETE", Y53=0, 0, Y53&gt;0, AA53/Y53/LN(10))</f>
        <v>DELETE</v>
      </c>
      <c r="AD53" s="120">
        <f>qPCR_Raw!U53</f>
        <v>30.243104934692383</v>
      </c>
      <c r="AE53" s="121" cm="1">
        <f t="array" ref="AE53">_xlfn.IFS(AD53="Undetermined", 0, qPCR_Raw!V53&lt;=1, 0, qPCR_Raw!V53&gt;1, qPCR_Raw!V53)</f>
        <v>31.182281494140625</v>
      </c>
      <c r="AF53" s="122">
        <f>qPCR_Raw!X53</f>
        <v>35.756107330322266</v>
      </c>
      <c r="AG53" s="121" cm="1">
        <f t="array" ref="AG53">_xlfn.IFS(AF53="Undetermined", 0, qPCR_Raw!Y53&lt;=1, 0, qPCR_Raw!Y53&gt;1, qPCR_Raw!Y53)</f>
        <v>0</v>
      </c>
      <c r="AH53" s="123" t="str" cm="1">
        <f t="array" ref="AH53">_xlfn.IFS(AND(AD53="Undetermined", AF53="Undetermined"), "Undetermined", AND(AE53=0, AG53=0), "Undetermined", AND(AE53=0, AG53&gt;0), "Ten-Fold", AND(AE53&gt;0, AG53=0), "Undiluted", AND(AD53&lt;&gt;"Undetermined", AF53&lt;&gt;"Undetermined", AE53&gt;0, AG53&gt;0, AD53&lt;&gt;AF53), 100*(-1+10^(-1/(AD53-AF53))), AND(AD53&lt;&gt;"Undetermined", AF53&lt;&gt;"Undetermined", AD53=AF53&gt;0), -100)</f>
        <v>Undiluted</v>
      </c>
      <c r="AI53" s="124" cm="1">
        <f t="array" ref="AI53">_xlfn.IFS(AH53="Undetermined", 0, AH53="Undiluted", AE53*$G53/$F53*1000, AH53="Ten-Fold", AG53*$G53/$F53*1000*10, AH53&lt;0, AG53*$G53/$F53*1000*10, AH53&lt;120, AE53*$G53/$F53*1000, AH53&gt;120, AG53*$G53/$F53*1000*10)</f>
        <v>3118.2281494140625</v>
      </c>
      <c r="AJ53" s="121" t="str">
        <f t="shared" si="8"/>
        <v>DELETE</v>
      </c>
      <c r="AK53" s="121" t="str">
        <f t="shared" si="9"/>
        <v>DELETE</v>
      </c>
      <c r="AL53" s="121" t="str">
        <f t="shared" si="10"/>
        <v>DELETE</v>
      </c>
      <c r="AM53" s="125" t="str" cm="1">
        <f t="array" ref="AM53">_xlfn.IFS(AJ53="DELETE", "DELETE", AJ53=0, 0, AJ53&gt;0,LOG10(AJ53))</f>
        <v>DELETE</v>
      </c>
      <c r="AN53" s="126" t="str" cm="1">
        <f t="array" ref="AN53">_xlfn.IFS(AJ53="DELETE", "DELETE", AJ53=0, 0, AJ53&gt;0, AL53/AJ53/LN(10))</f>
        <v>DELETE</v>
      </c>
      <c r="AO53" s="155">
        <f>qPCR_Raw!AA53</f>
        <v>28.431427001953125</v>
      </c>
      <c r="AP53" s="156" cm="1">
        <f t="array" ref="AP53">_xlfn.IFS(AO53="Undetermined", 0, qPCR_Raw!AB53&lt;=6, 0, qPCR_Raw!AB53&gt;6, qPCR_Raw!AB53)</f>
        <v>7.9252481460571289</v>
      </c>
      <c r="AQ53" s="157">
        <f>qPCR_Raw!AD53</f>
        <v>32.289569854736328</v>
      </c>
      <c r="AR53" s="156" cm="1">
        <f t="array" ref="AR53">_xlfn.IFS(AQ53="Undetermined", 0, qPCR_Raw!AE53&lt;=6, 0, qPCR_Raw!AE53&gt;6, qPCR_Raw!AE53)</f>
        <v>0</v>
      </c>
      <c r="AS53" s="158" t="str" cm="1">
        <f t="array" ref="AS53">_xlfn.IFS(AND(AO53="Undetermined", AQ53="Undetermined"), "Undetermined", AND(AP53=0, AR53=0), "Undetermined", AND(AP53=0, AR53&gt;0), "Ten-Fold", AND(AP53&gt;0, AR53=0), "Undiluted", AND(AO53&lt;&gt;"Undetermined", AQ53&lt;&gt;"Undetermined", AP53&gt;0, AR53&gt;0, AO53&lt;&gt;AQ53), 100*(-1+10^(-1/(AO53-AQ53))), AND(AO53&lt;&gt;"Undetermined", AQ53&lt;&gt;"Undetermined", AO53=AQ53&gt;0), -100)</f>
        <v>Undiluted</v>
      </c>
      <c r="AT53" s="159" cm="1">
        <f t="array" ref="AT53">_xlfn.IFS(AS53="Undetermined", 0, AS53="Undiluted", AP53*$G53/$F53*1000, AS53="Ten-Fold", AR53*$G53/$F53*1000*10, AS53&lt;0, AR53*$G53/$F53*1000*10, AS53&lt;120, AP53*$G53/$F53*1000, AS53&gt;120, AR53*$G53/$F53*1000*10)</f>
        <v>792.52481460571289</v>
      </c>
      <c r="AU53" s="156" t="str">
        <f t="shared" si="11"/>
        <v>DELETE</v>
      </c>
      <c r="AV53" s="156" t="str">
        <f t="shared" si="12"/>
        <v>DELETE</v>
      </c>
      <c r="AW53" s="156" t="str">
        <f t="shared" si="13"/>
        <v>DELETE</v>
      </c>
      <c r="AX53" s="160" t="str" cm="1">
        <f t="array" ref="AX53">_xlfn.IFS(AU53="DELETE", "DELETE", AU53=0, 0, AU53&gt;0,LOG10(AU53))</f>
        <v>DELETE</v>
      </c>
      <c r="AY53" s="161" t="str" cm="1">
        <f t="array" ref="AY53">_xlfn.IFS(AU53="DELETE", "DELETE", AU53=0, 0, AU53&gt;0, AW53/AU53/LN(10))</f>
        <v>DELETE</v>
      </c>
      <c r="AZ53" s="120" t="str">
        <f>qPCR_Raw!AG53</f>
        <v>Undetermined</v>
      </c>
      <c r="BA53" s="121" cm="1">
        <f t="array" ref="BA53">_xlfn.IFS(AZ53="Undetermined", 0, qPCR_Raw!AH53&lt;=1, 0, qPCR_Raw!AH53&gt;1, qPCR_Raw!AH53)</f>
        <v>0</v>
      </c>
      <c r="BB53" s="122">
        <f>qPCR_Raw!AJ53</f>
        <v>38.350105285644531</v>
      </c>
      <c r="BC53" s="121" cm="1">
        <f t="array" ref="BC53">_xlfn.IFS(BB53="Undetermined", 0, qPCR_Raw!AK53&lt;=1, 0, qPCR_Raw!AK53&gt;1, qPCR_Raw!AK53)</f>
        <v>0</v>
      </c>
      <c r="BD53" s="123" t="str" cm="1">
        <f t="array" ref="BD53">_xlfn.IFS(AND(AZ53="Undetermined", BB53="Undetermined"), "Undetermined", AND(BA53=0, BC53=0), "Undetermined", AND(BA53=0, BC53&gt;0), "Ten-Fold", AND(BA53&gt;0, BC53=0), "Undiluted", AND(AZ53&lt;&gt;"Undetermined", BB53&lt;&gt;"Undetermined", BA53&gt;0, BC53&gt;0, AZ53&lt;&gt;BB53), 100*(-1+10^(-1/(AZ53-BB53))), AND(AZ53&lt;&gt;"Undetermined", BB53&lt;&gt;"Undetermined", AZ53=BB53&gt;0), -100)</f>
        <v>Undetermined</v>
      </c>
      <c r="BE53" s="124" cm="1">
        <f t="array" ref="BE53">_xlfn.IFS(BD53="Undetermined", 0, BD53="Undiluted", BA53*$G53/$F53*1000, BD53="Ten-Fold", BC53*$G53/$F53*1000*10, BD53&lt;0, BC53*$G53/$F53*1000*10, BD53&lt;120, BA53*$G53/$F53*1000, BD53&gt;120, BC53*$G53/$F53*1000*10)</f>
        <v>0</v>
      </c>
      <c r="BF53" s="121" t="str">
        <f t="shared" si="14"/>
        <v>DELETE</v>
      </c>
      <c r="BG53" s="121" t="str">
        <f t="shared" si="15"/>
        <v>DELETE</v>
      </c>
      <c r="BH53" s="121" t="str">
        <f t="shared" si="16"/>
        <v>DELETE</v>
      </c>
      <c r="BI53" s="125" t="str" cm="1">
        <f t="array" ref="BI53">_xlfn.IFS(BF53="DELETE", "DELETE", BF53=0, 0, BF53&gt;0,LOG10(BF53))</f>
        <v>DELETE</v>
      </c>
      <c r="BJ53" s="126" t="str" cm="1">
        <f t="array" ref="BJ53">_xlfn.IFS(BF53="DELETE", "DELETE", BF53=0, 0, BF53&gt;0, BH53/BF53/LN(10))</f>
        <v>DELETE</v>
      </c>
    </row>
    <row r="54" spans="1:62" s="114" customFormat="1" x14ac:dyDescent="0.3">
      <c r="A54" s="115" t="str">
        <f>UPPER(LEFT(SUBSTITUTE(SUBSTITUTE(qPCR_Raw!A54,"-","")," ",""),2))&amp;RIGHT(SUBSTITUTE(SUBSTITUTE(qPCR_Raw!A54,"-","")," ",""),LEN(SUBSTITUTE(SUBSTITUTE(qPCR_Raw!A54,"-","")," ",""))-2)</f>
        <v>RW6</v>
      </c>
      <c r="B54" s="116" t="str" cm="1">
        <f t="array" ref="B54">_xlfn.IFS(LEFT(A54, LEN(A54)-1)="EP", "EP", LEFT(A54, LEN(A54)-1)="STa", "SPI", LEFT(A54, LEN(A54)-1)="STb", "SPO", LEFT(A54, LEN(A54)-1)="MRT", "MRT", LEFT(A54, LEN(A54)-1)="RG", "RN", LEFT(A54, LEN(A54)-1)="RT", "RU", LEFT(A54, LEN(A54)-1)="RW", "RL", LEFT(A54, LEN(A54)-1)="RC", "RS")</f>
        <v>RL</v>
      </c>
      <c r="C54" s="117">
        <f>qPCR_Raw!B54</f>
        <v>44356</v>
      </c>
      <c r="D54" s="117" t="str">
        <f t="shared" si="0"/>
        <v>RL44356</v>
      </c>
      <c r="E54" s="117" t="str">
        <f t="shared" si="1"/>
        <v>RL443566</v>
      </c>
      <c r="F54" s="118">
        <f>qPCR_Raw!C54</f>
        <v>920</v>
      </c>
      <c r="G54" s="119">
        <f>qPCR_Raw!F54</f>
        <v>100</v>
      </c>
      <c r="H54" s="120">
        <f>qPCR_Raw!G54</f>
        <v>11.088505744934082</v>
      </c>
      <c r="I54" s="121" cm="1">
        <f t="array" ref="I54">_xlfn.IFS(H54="Undetermined", 0, qPCR_Raw!H54-qPCR_Raw!$H$242&lt;0, 0, qPCR_Raw!H54-qPCR_Raw!$H$242&gt;0, qPCR_Raw!H54-qPCR_Raw!$H$242)</f>
        <v>20537223.361446127</v>
      </c>
      <c r="J54" s="122">
        <f>qPCR_Raw!K54</f>
        <v>13.152755737304688</v>
      </c>
      <c r="K54" s="121" cm="1">
        <f t="array" ref="K54">_xlfn.IFS(J54="Undetermined", 0, qPCR_Raw!L54-qPCR_Raw!$H$242&lt;0, 0, qPCR_Raw!L54-qPCR_Raw!$H$242&gt;0, qPCR_Raw!L54-qPCR_Raw!$H$242)</f>
        <v>5670428.3614461264</v>
      </c>
      <c r="L54" s="123" cm="1">
        <f t="array" ref="L54">_xlfn.IFS(AND(H54="Undetermined", J54="Undetermined"), "Undetermined", AND(I54=0, K54=0), "Undetermined", AND(I54=0, K54&gt;0), "Ten-Fold", AND(I54&gt;0, K54=0), "Undiluted", AND(H54&lt;&gt;"Undetermined", J54&lt;&gt;"Undetermined", I54&gt;0, K54&gt;0), 100*(-1+10^(-1/(H54-J54))))</f>
        <v>205.0966568460741</v>
      </c>
      <c r="M54" s="124" cm="1">
        <f t="array" ref="M54">_xlfn.IFS(L54="Undetermined", 0, L54="Undiluted", I54*$G54/$F54*1000, L54="Ten-Fold", K54*$G54/$F54*1000*10, L54&lt;0, K54*$G54/$F54*1000*10, L54&lt;120, I54*$G54/$F54*1000, L54&gt;120, K54*$G54/$F54*1000*10)</f>
        <v>6163509088.5283985</v>
      </c>
      <c r="N54" s="121">
        <f t="shared" si="2"/>
        <v>3470117062.895443</v>
      </c>
      <c r="O54" s="121">
        <f t="shared" si="3"/>
        <v>3809031531.4376683</v>
      </c>
      <c r="P54" s="121">
        <f t="shared" si="4"/>
        <v>2693392025.6329551</v>
      </c>
      <c r="Q54" s="125" cm="1">
        <f t="array" ref="Q54">_xlfn.IFS(N54="DELETE", "DELETE", N54=0, 0, N54&gt;0,LOG10(N54))</f>
        <v>9.5403441257741548</v>
      </c>
      <c r="R54" s="126" cm="1">
        <f t="array" ref="R54">_xlfn.IFS(N54="DELETE", "DELETE", N54=0, 0, N54&gt;0, P54/N54/LN(10))</f>
        <v>0.33708525480077117</v>
      </c>
      <c r="S54" s="155">
        <f>qPCR_Raw!O54</f>
        <v>32.315021514892578</v>
      </c>
      <c r="T54" s="156" cm="1">
        <f t="array" ref="T54">_xlfn.IFS(S54="Undetermined", 0, qPCR_Raw!P54&lt;=1, 0, qPCR_Raw!P54&gt;1, qPCR_Raw!P54)</f>
        <v>270.69485473632813</v>
      </c>
      <c r="U54" s="157">
        <f>qPCR_Raw!R54</f>
        <v>36.016128540039063</v>
      </c>
      <c r="V54" s="156" cm="1">
        <f t="array" ref="V54">_xlfn.IFS(U54="Undetermined", 0, qPCR_Raw!S54&lt;=1, 0, qPCR_Raw!S54&gt;1, qPCR_Raw!S54)</f>
        <v>29.847583770751953</v>
      </c>
      <c r="W54" s="158" cm="1">
        <f t="array" ref="W54">_xlfn.IFS(AND(S54="Undetermined", U54="Undetermined"), "Undetermined", AND(T54=0, V54=0), "Undetermined", AND(T54=0, V54&gt;0), "Ten-Fold", AND(T54&gt;0, V54=0), "Undiluted", AND(S54&lt;&gt;"Undetermined", U54&lt;&gt;"Undetermined", T54&gt;0, V54&gt;0, S54&lt;&gt;U54), 100*(-1+10^(-1/(S54-U54))), AND(S54&lt;&gt;"Undetermined", U54&lt;&gt;"Undetermined", S54=U54&gt;0), -100)</f>
        <v>86.289951946225173</v>
      </c>
      <c r="X54" s="159" cm="1">
        <f t="array" ref="X54">_xlfn.IFS(W54="Undetermined", 0, W54="Undiluted", T54*$G54/$F54*1000, W54="Ten-Fold", V54*$G54/$F54*1000*10, W54&lt;0, V54*$G54/$F54*1000*10, W54&lt;120, T54*$G54/$F54*1000, W54&gt;120, V54*$G54/$F54*1000*10)</f>
        <v>29423.35377568784</v>
      </c>
      <c r="Y54" s="156">
        <f t="shared" si="5"/>
        <v>46046.018664583615</v>
      </c>
      <c r="Z54" s="156">
        <f t="shared" si="6"/>
        <v>23507.998128659445</v>
      </c>
      <c r="AA54" s="156">
        <f t="shared" si="7"/>
        <v>16622.664888895761</v>
      </c>
      <c r="AB54" s="160" cm="1">
        <f t="array" ref="AB54">_xlfn.IFS(Y54="DELETE", "DELETE", Y54=0, 0, Y54&gt;0,LOG10(Y54))</f>
        <v>4.6631920852005928</v>
      </c>
      <c r="AC54" s="161" cm="1">
        <f t="array" ref="AC54">_xlfn.IFS(Y54="DELETE", "DELETE", Y54=0, 0, Y54&gt;0, AA54/Y54/LN(10))</f>
        <v>0.15678079984202778</v>
      </c>
      <c r="AD54" s="120">
        <f>qPCR_Raw!U54</f>
        <v>31.546113967895508</v>
      </c>
      <c r="AE54" s="121" cm="1">
        <f t="array" ref="AE54">_xlfn.IFS(AD54="Undetermined", 0, qPCR_Raw!V54&lt;=1, 0, qPCR_Raw!V54&gt;1, qPCR_Raw!V54)</f>
        <v>13.485203742980957</v>
      </c>
      <c r="AF54" s="122">
        <f>qPCR_Raw!X54</f>
        <v>34.547443389892578</v>
      </c>
      <c r="AG54" s="121" cm="1">
        <f t="array" ref="AG54">_xlfn.IFS(AF54="Undetermined", 0, qPCR_Raw!Y54&lt;=1, 0, qPCR_Raw!Y54&gt;1, qPCR_Raw!Y54)</f>
        <v>1.9557347297668457</v>
      </c>
      <c r="AH54" s="123" cm="1">
        <f t="array" ref="AH54">_xlfn.IFS(AND(AD54="Undetermined", AF54="Undetermined"), "Undetermined", AND(AE54=0, AG54=0), "Undetermined", AND(AE54=0, AG54&gt;0), "Ten-Fold", AND(AE54&gt;0, AG54=0), "Undiluted", AND(AD54&lt;&gt;"Undetermined", AF54&lt;&gt;"Undetermined", AE54&gt;0, AG54&gt;0, AD54&lt;&gt;AF54), 100*(-1+10^(-1/(AD54-AF54))), AND(AD54&lt;&gt;"Undetermined", AF54&lt;&gt;"Undetermined", AD54=AF54&gt;0), -100)</f>
        <v>115.37023662461129</v>
      </c>
      <c r="AI54" s="124" cm="1">
        <f t="array" ref="AI54">_xlfn.IFS(AH54="Undetermined", 0, AH54="Undiluted", AE54*$G54/$F54*1000, AH54="Ten-Fold", AG54*$G54/$F54*1000*10, AH54&lt;0, AG54*$G54/$F54*1000*10, AH54&lt;120, AE54*$G54/$F54*1000, AH54&gt;120, AG54*$G54/$F54*1000*10)</f>
        <v>1465.7830155414085</v>
      </c>
      <c r="AJ54" s="121">
        <f t="shared" si="8"/>
        <v>1444.3270420611361</v>
      </c>
      <c r="AK54" s="121">
        <f t="shared" si="9"/>
        <v>30.343328689718852</v>
      </c>
      <c r="AL54" s="121">
        <f t="shared" si="10"/>
        <v>21.455973480272515</v>
      </c>
      <c r="AM54" s="125" cm="1">
        <f t="array" ref="AM54">_xlfn.IFS(AJ54="DELETE", "DELETE", AJ54=0, 0, AJ54&gt;0,LOG10(AJ54))</f>
        <v>3.1596655425971378</v>
      </c>
      <c r="AN54" s="126" cm="1">
        <f t="array" ref="AN54">_xlfn.IFS(AJ54="DELETE", "DELETE", AJ54=0, 0, AJ54&gt;0, AL54/AJ54/LN(10))</f>
        <v>6.4515934514715245E-3</v>
      </c>
      <c r="AO54" s="155">
        <f>qPCR_Raw!AA54</f>
        <v>25.79576301574707</v>
      </c>
      <c r="AP54" s="156" cm="1">
        <f t="array" ref="AP54">_xlfn.IFS(AO54="Undetermined", 0, qPCR_Raw!AB54&lt;=6, 0, qPCR_Raw!AB54&gt;6, qPCR_Raw!AB54)</f>
        <v>46.227970123291016</v>
      </c>
      <c r="AQ54" s="157">
        <f>qPCR_Raw!AD54</f>
        <v>27.406459808349609</v>
      </c>
      <c r="AR54" s="156" cm="1">
        <f t="array" ref="AR54">_xlfn.IFS(AQ54="Undetermined", 0, qPCR_Raw!AE54&lt;=6, 0, qPCR_Raw!AE54&gt;6, qPCR_Raw!AE54)</f>
        <v>15.734606742858887</v>
      </c>
      <c r="AS54" s="158" cm="1">
        <f t="array" ref="AS54">_xlfn.IFS(AND(AO54="Undetermined", AQ54="Undetermined"), "Undetermined", AND(AP54=0, AR54=0), "Undetermined", AND(AP54=0, AR54&gt;0), "Ten-Fold", AND(AP54&gt;0, AR54=0), "Undiluted", AND(AO54&lt;&gt;"Undetermined", AQ54&lt;&gt;"Undetermined", AP54&gt;0, AR54&gt;0, AO54&lt;&gt;AQ54), 100*(-1+10^(-1/(AO54-AQ54))), AND(AO54&lt;&gt;"Undetermined", AQ54&lt;&gt;"Undetermined", AO54=AQ54&gt;0), -100)</f>
        <v>317.6854190512862</v>
      </c>
      <c r="AT54" s="159" cm="1">
        <f t="array" ref="AT54">_xlfn.IFS(AS54="Undetermined", 0, AS54="Undiluted", AP54*$G54/$F54*1000, AS54="Ten-Fold", AR54*$G54/$F54*1000*10, AS54&lt;0, AR54*$G54/$F54*1000*10, AS54&lt;120, AP54*$G54/$F54*1000, AS54&gt;120, AR54*$G54/$F54*1000*10)</f>
        <v>17102.833416150963</v>
      </c>
      <c r="AU54" s="156">
        <f t="shared" si="11"/>
        <v>13221.508710708174</v>
      </c>
      <c r="AV54" s="156">
        <f t="shared" si="12"/>
        <v>5489.022038410948</v>
      </c>
      <c r="AW54" s="156">
        <f t="shared" si="13"/>
        <v>3881.324705442787</v>
      </c>
      <c r="AX54" s="160" cm="1">
        <f t="array" ref="AX54">_xlfn.IFS(AU54="DELETE", "DELETE", AU54=0, 0, AU54&gt;0,LOG10(AU54))</f>
        <v>4.1212810154635378</v>
      </c>
      <c r="AY54" s="161" cm="1">
        <f t="array" ref="AY54">_xlfn.IFS(AU54="DELETE", "DELETE", AU54=0, 0, AU54&gt;0, AW54/AU54/LN(10))</f>
        <v>0.12749209934592101</v>
      </c>
      <c r="AZ54" s="120">
        <f>qPCR_Raw!AG54</f>
        <v>39.040966033935547</v>
      </c>
      <c r="BA54" s="121" cm="1">
        <f t="array" ref="BA54">_xlfn.IFS(AZ54="Undetermined", 0, qPCR_Raw!AH54&lt;=1, 0, qPCR_Raw!AH54&gt;1, qPCR_Raw!AH54)</f>
        <v>0</v>
      </c>
      <c r="BB54" s="122">
        <f>qPCR_Raw!AJ54</f>
        <v>36.344463348388672</v>
      </c>
      <c r="BC54" s="121" cm="1">
        <f t="array" ref="BC54">_xlfn.IFS(BB54="Undetermined", 0, qPCR_Raw!AK54&lt;=1, 0, qPCR_Raw!AK54&gt;1, qPCR_Raw!AK54)</f>
        <v>1.1489443778991699</v>
      </c>
      <c r="BD54" s="123" t="str" cm="1">
        <f t="array" ref="BD54">_xlfn.IFS(AND(AZ54="Undetermined", BB54="Undetermined"), "Undetermined", AND(BA54=0, BC54=0), "Undetermined", AND(BA54=0, BC54&gt;0), "Ten-Fold", AND(BA54&gt;0, BC54=0), "Undiluted", AND(AZ54&lt;&gt;"Undetermined", BB54&lt;&gt;"Undetermined", BA54&gt;0, BC54&gt;0, AZ54&lt;&gt;BB54), 100*(-1+10^(-1/(AZ54-BB54))), AND(AZ54&lt;&gt;"Undetermined", BB54&lt;&gt;"Undetermined", AZ54=BB54&gt;0), -100)</f>
        <v>Ten-Fold</v>
      </c>
      <c r="BE54" s="124" cm="1">
        <f t="array" ref="BE54">_xlfn.IFS(BD54="Undetermined", 0, BD54="Undiluted", BA54*$G54/$F54*1000, BD54="Ten-Fold", BC54*$G54/$F54*1000*10, BD54&lt;0, BC54*$G54/$F54*1000*10, BD54&lt;120, BA54*$G54/$F54*1000, BD54&gt;120, BC54*$G54/$F54*1000*10)</f>
        <v>1248.8525846730108</v>
      </c>
      <c r="BF54" s="121">
        <f t="shared" si="14"/>
        <v>748.7501888625668</v>
      </c>
      <c r="BG54" s="121">
        <f t="shared" si="15"/>
        <v>707.25159073040777</v>
      </c>
      <c r="BH54" s="121">
        <f t="shared" si="16"/>
        <v>500.10239581044408</v>
      </c>
      <c r="BI54" s="125" cm="1">
        <f t="array" ref="BI54">_xlfn.IFS(BF54="DELETE", "DELETE", BF54=0, 0, BF54&gt;0,LOG10(BF54))</f>
        <v>2.8743369449425566</v>
      </c>
      <c r="BJ54" s="126" cm="1">
        <f t="array" ref="BJ54">_xlfn.IFS(BF54="DELETE", "DELETE", BF54=0, 0, BF54&gt;0, BH54/BF54/LN(10))</f>
        <v>0.29007232868549881</v>
      </c>
    </row>
    <row r="55" spans="1:62" s="114" customFormat="1" x14ac:dyDescent="0.3">
      <c r="A55" s="115" t="str">
        <f>UPPER(LEFT(SUBSTITUTE(SUBSTITUTE(qPCR_Raw!A55,"-","")," ",""),2))&amp;RIGHT(SUBSTITUTE(SUBSTITUTE(qPCR_Raw!A55,"-","")," ",""),LEN(SUBSTITUTE(SUBSTITUTE(qPCR_Raw!A55,"-","")," ",""))-2)</f>
        <v>RW7</v>
      </c>
      <c r="B55" s="116" t="str" cm="1">
        <f t="array" ref="B55">_xlfn.IFS(LEFT(A55, LEN(A55)-1)="EP", "EP", LEFT(A55, LEN(A55)-1)="STa", "SPI", LEFT(A55, LEN(A55)-1)="STb", "SPO", LEFT(A55, LEN(A55)-1)="MRT", "MRT", LEFT(A55, LEN(A55)-1)="RG", "RN", LEFT(A55, LEN(A55)-1)="RT", "RU", LEFT(A55, LEN(A55)-1)="RW", "RL", LEFT(A55, LEN(A55)-1)="RC", "RS")</f>
        <v>RL</v>
      </c>
      <c r="C55" s="117">
        <f>qPCR_Raw!B55</f>
        <v>44356</v>
      </c>
      <c r="D55" s="117" t="str">
        <f t="shared" si="0"/>
        <v>RL44356</v>
      </c>
      <c r="E55" s="117" t="str">
        <f t="shared" si="1"/>
        <v>RL443567</v>
      </c>
      <c r="F55" s="118">
        <f>qPCR_Raw!C55</f>
        <v>970</v>
      </c>
      <c r="G55" s="119">
        <f>qPCR_Raw!F55</f>
        <v>100</v>
      </c>
      <c r="H55" s="120">
        <f>qPCR_Raw!G55</f>
        <v>12.697244644165039</v>
      </c>
      <c r="I55" s="121" cm="1">
        <f t="array" ref="I55">_xlfn.IFS(H55="Undetermined", 0, qPCR_Raw!H55-qPCR_Raw!$H$242&lt;0, 0, qPCR_Raw!H55-qPCR_Raw!$H$242&gt;0, qPCR_Raw!H55-qPCR_Raw!$H$242)</f>
        <v>7534232.8614461264</v>
      </c>
      <c r="J55" s="122">
        <f>qPCR_Raw!K55</f>
        <v>16.238630294799805</v>
      </c>
      <c r="K55" s="121" cm="1">
        <f t="array" ref="K55">_xlfn.IFS(J55="Undetermined", 0, qPCR_Raw!L55-qPCR_Raw!$H$242&lt;0, 0, qPCR_Raw!L55-qPCR_Raw!$H$242&gt;0, qPCR_Raw!L55-qPCR_Raw!$H$242)</f>
        <v>819045.17394612625</v>
      </c>
      <c r="L55" s="123" cm="1">
        <f t="array" ref="L55">_xlfn.IFS(AND(H55="Undetermined", J55="Undetermined"), "Undetermined", AND(I55=0, K55=0), "Undetermined", AND(I55=0, K55&gt;0), "Ten-Fold", AND(I55&gt;0, K55=0), "Undiluted", AND(H55&lt;&gt;"Undetermined", J55&lt;&gt;"Undetermined", I55&gt;0, K55&gt;0), 100*(-1+10^(-1/(H55-J55))))</f>
        <v>91.591106864188248</v>
      </c>
      <c r="M55" s="124" cm="1">
        <f t="array" ref="M55">_xlfn.IFS(L55="Undetermined", 0, L55="Undiluted", I55*$G55/$F55*1000, L55="Ten-Fold", K55*$G55/$F55*1000*10, L55&lt;0, K55*$G55/$F55*1000*10, L55&lt;120, I55*$G55/$F55*1000, L55&gt;120, K55*$G55/$F55*1000*10)</f>
        <v>776725037.26248729</v>
      </c>
      <c r="N55" s="121" t="str">
        <f t="shared" si="2"/>
        <v>DELETE</v>
      </c>
      <c r="O55" s="121" t="str">
        <f t="shared" si="3"/>
        <v>DELETE</v>
      </c>
      <c r="P55" s="121" t="str">
        <f t="shared" si="4"/>
        <v>DELETE</v>
      </c>
      <c r="Q55" s="125" t="str" cm="1">
        <f t="array" ref="Q55">_xlfn.IFS(N55="DELETE", "DELETE", N55=0, 0, N55&gt;0,LOG10(N55))</f>
        <v>DELETE</v>
      </c>
      <c r="R55" s="126" t="str" cm="1">
        <f t="array" ref="R55">_xlfn.IFS(N55="DELETE", "DELETE", N55=0, 0, N55&gt;0, P55/N55/LN(10))</f>
        <v>DELETE</v>
      </c>
      <c r="S55" s="155">
        <f>qPCR_Raw!O55</f>
        <v>30.957048416137695</v>
      </c>
      <c r="T55" s="156" cm="1">
        <f t="array" ref="T55">_xlfn.IFS(S55="Undetermined", 0, qPCR_Raw!P55&lt;=1, 0, qPCR_Raw!P55&gt;1, qPCR_Raw!P55)</f>
        <v>607.88623046875</v>
      </c>
      <c r="U55" s="157">
        <f>qPCR_Raw!R55</f>
        <v>35.560897827148438</v>
      </c>
      <c r="V55" s="156" cm="1">
        <f t="array" ref="V55">_xlfn.IFS(U55="Undetermined", 0, qPCR_Raw!S55&lt;=1, 0, qPCR_Raw!S55&gt;1, qPCR_Raw!S55)</f>
        <v>39.146144866943359</v>
      </c>
      <c r="W55" s="158" cm="1">
        <f t="array" ref="W55">_xlfn.IFS(AND(S55="Undetermined", U55="Undetermined"), "Undetermined", AND(T55=0, V55=0), "Undetermined", AND(T55=0, V55&gt;0), "Ten-Fold", AND(T55&gt;0, V55=0), "Undiluted", AND(S55&lt;&gt;"Undetermined", U55&lt;&gt;"Undetermined", T55&gt;0, V55&gt;0, S55&lt;&gt;U55), 100*(-1+10^(-1/(S55-U55))), AND(S55&lt;&gt;"Undetermined", U55&lt;&gt;"Undetermined", S55=U55&gt;0), -100)</f>
        <v>64.89577842990137</v>
      </c>
      <c r="X55" s="159" cm="1">
        <f t="array" ref="X55">_xlfn.IFS(W55="Undetermined", 0, W55="Undiluted", T55*$G55/$F55*1000, W55="Ten-Fold", V55*$G55/$F55*1000*10, W55&lt;0, V55*$G55/$F55*1000*10, W55&lt;120, T55*$G55/$F55*1000, W55&gt;120, V55*$G55/$F55*1000*10)</f>
        <v>62668.683553479386</v>
      </c>
      <c r="Y55" s="156" t="str">
        <f t="shared" si="5"/>
        <v>DELETE</v>
      </c>
      <c r="Z55" s="156" t="str">
        <f t="shared" si="6"/>
        <v>DELETE</v>
      </c>
      <c r="AA55" s="156" t="str">
        <f t="shared" si="7"/>
        <v>DELETE</v>
      </c>
      <c r="AB55" s="160" t="str" cm="1">
        <f t="array" ref="AB55">_xlfn.IFS(Y55="DELETE", "DELETE", Y55=0, 0, Y55&gt;0,LOG10(Y55))</f>
        <v>DELETE</v>
      </c>
      <c r="AC55" s="161" t="str" cm="1">
        <f t="array" ref="AC55">_xlfn.IFS(Y55="DELETE", "DELETE", Y55=0, 0, Y55&gt;0, AA55/Y55/LN(10))</f>
        <v>DELETE</v>
      </c>
      <c r="AD55" s="120">
        <f>qPCR_Raw!U55</f>
        <v>31.510036468505859</v>
      </c>
      <c r="AE55" s="121" cm="1">
        <f t="array" ref="AE55">_xlfn.IFS(AD55="Undetermined", 0, qPCR_Raw!V55&lt;=1, 0, qPCR_Raw!V55&gt;1, qPCR_Raw!V55)</f>
        <v>13.801849365234375</v>
      </c>
      <c r="AF55" s="122">
        <f>qPCR_Raw!X55</f>
        <v>36.051712036132813</v>
      </c>
      <c r="AG55" s="121" cm="1">
        <f t="array" ref="AG55">_xlfn.IFS(AF55="Undetermined", 0, qPCR_Raw!Y55&lt;=1, 0, qPCR_Raw!Y55&gt;1, qPCR_Raw!Y55)</f>
        <v>0</v>
      </c>
      <c r="AH55" s="123" t="str" cm="1">
        <f t="array" ref="AH55">_xlfn.IFS(AND(AD55="Undetermined", AF55="Undetermined"), "Undetermined", AND(AE55=0, AG55=0), "Undetermined", AND(AE55=0, AG55&gt;0), "Ten-Fold", AND(AE55&gt;0, AG55=0), "Undiluted", AND(AD55&lt;&gt;"Undetermined", AF55&lt;&gt;"Undetermined", AE55&gt;0, AG55&gt;0, AD55&lt;&gt;AF55), 100*(-1+10^(-1/(AD55-AF55))), AND(AD55&lt;&gt;"Undetermined", AF55&lt;&gt;"Undetermined", AD55=AF55&gt;0), -100)</f>
        <v>Undiluted</v>
      </c>
      <c r="AI55" s="124" cm="1">
        <f t="array" ref="AI55">_xlfn.IFS(AH55="Undetermined", 0, AH55="Undiluted", AE55*$G55/$F55*1000, AH55="Ten-Fold", AG55*$G55/$F55*1000*10, AH55&lt;0, AG55*$G55/$F55*1000*10, AH55&lt;120, AE55*$G55/$F55*1000, AH55&gt;120, AG55*$G55/$F55*1000*10)</f>
        <v>1422.8710685808635</v>
      </c>
      <c r="AJ55" s="121" t="str">
        <f t="shared" si="8"/>
        <v>DELETE</v>
      </c>
      <c r="AK55" s="121" t="str">
        <f t="shared" si="9"/>
        <v>DELETE</v>
      </c>
      <c r="AL55" s="121" t="str">
        <f t="shared" si="10"/>
        <v>DELETE</v>
      </c>
      <c r="AM55" s="125" t="str" cm="1">
        <f t="array" ref="AM55">_xlfn.IFS(AJ55="DELETE", "DELETE", AJ55=0, 0, AJ55&gt;0,LOG10(AJ55))</f>
        <v>DELETE</v>
      </c>
      <c r="AN55" s="126" t="str" cm="1">
        <f t="array" ref="AN55">_xlfn.IFS(AJ55="DELETE", "DELETE", AJ55=0, 0, AJ55&gt;0, AL55/AJ55/LN(10))</f>
        <v>DELETE</v>
      </c>
      <c r="AO55" s="155">
        <f>qPCR_Raw!AA55</f>
        <v>24.790138244628906</v>
      </c>
      <c r="AP55" s="156" cm="1">
        <f t="array" ref="AP55">_xlfn.IFS(AO55="Undetermined", 0, qPCR_Raw!AB55&lt;=6, 0, qPCR_Raw!AB55&gt;6, qPCR_Raw!AB55)</f>
        <v>90.599784851074219</v>
      </c>
      <c r="AQ55" s="157" t="str">
        <f>qPCR_Raw!AD55</f>
        <v>Undetermined</v>
      </c>
      <c r="AR55" s="156" cm="1">
        <f t="array" ref="AR55">_xlfn.IFS(AQ55="Undetermined", 0, qPCR_Raw!AE55&lt;=6, 0, qPCR_Raw!AE55&gt;6, qPCR_Raw!AE55)</f>
        <v>0</v>
      </c>
      <c r="AS55" s="158" t="str" cm="1">
        <f t="array" ref="AS55">_xlfn.IFS(AND(AO55="Undetermined", AQ55="Undetermined"), "Undetermined", AND(AP55=0, AR55=0), "Undetermined", AND(AP55=0, AR55&gt;0), "Ten-Fold", AND(AP55&gt;0, AR55=0), "Undiluted", AND(AO55&lt;&gt;"Undetermined", AQ55&lt;&gt;"Undetermined", AP55&gt;0, AR55&gt;0, AO55&lt;&gt;AQ55), 100*(-1+10^(-1/(AO55-AQ55))), AND(AO55&lt;&gt;"Undetermined", AQ55&lt;&gt;"Undetermined", AO55=AQ55&gt;0), -100)</f>
        <v>Undiluted</v>
      </c>
      <c r="AT55" s="159" cm="1">
        <f t="array" ref="AT55">_xlfn.IFS(AS55="Undetermined", 0, AS55="Undiluted", AP55*$G55/$F55*1000, AS55="Ten-Fold", AR55*$G55/$F55*1000*10, AS55&lt;0, AR55*$G55/$F55*1000*10, AS55&lt;120, AP55*$G55/$F55*1000, AS55&gt;120, AR55*$G55/$F55*1000*10)</f>
        <v>9340.1840052653843</v>
      </c>
      <c r="AU55" s="156" t="str">
        <f t="shared" si="11"/>
        <v>DELETE</v>
      </c>
      <c r="AV55" s="156" t="str">
        <f t="shared" si="12"/>
        <v>DELETE</v>
      </c>
      <c r="AW55" s="156" t="str">
        <f t="shared" si="13"/>
        <v>DELETE</v>
      </c>
      <c r="AX55" s="160" t="str" cm="1">
        <f t="array" ref="AX55">_xlfn.IFS(AU55="DELETE", "DELETE", AU55=0, 0, AU55&gt;0,LOG10(AU55))</f>
        <v>DELETE</v>
      </c>
      <c r="AY55" s="161" t="str" cm="1">
        <f t="array" ref="AY55">_xlfn.IFS(AU55="DELETE", "DELETE", AU55=0, 0, AU55&gt;0, AW55/AU55/LN(10))</f>
        <v>DELETE</v>
      </c>
      <c r="AZ55" s="120">
        <f>qPCR_Raw!AG55</f>
        <v>35.171916961669922</v>
      </c>
      <c r="BA55" s="121" cm="1">
        <f t="array" ref="BA55">_xlfn.IFS(AZ55="Undetermined", 0, qPCR_Raw!AH55&lt;=1, 0, qPCR_Raw!AH55&gt;1, qPCR_Raw!AH55)</f>
        <v>2.4118835926055908</v>
      </c>
      <c r="BB55" s="122">
        <f>qPCR_Raw!AJ55</f>
        <v>36.746646881103516</v>
      </c>
      <c r="BC55" s="121" cm="1">
        <f t="array" ref="BC55">_xlfn.IFS(BB55="Undetermined", 0, qPCR_Raw!AK55&lt;=1, 0, qPCR_Raw!AK55&gt;1, qPCR_Raw!AK55)</f>
        <v>0</v>
      </c>
      <c r="BD55" s="123" t="str" cm="1">
        <f t="array" ref="BD55">_xlfn.IFS(AND(AZ55="Undetermined", BB55="Undetermined"), "Undetermined", AND(BA55=0, BC55=0), "Undetermined", AND(BA55=0, BC55&gt;0), "Ten-Fold", AND(BA55&gt;0, BC55=0), "Undiluted", AND(AZ55&lt;&gt;"Undetermined", BB55&lt;&gt;"Undetermined", BA55&gt;0, BC55&gt;0, AZ55&lt;&gt;BB55), 100*(-1+10^(-1/(AZ55-BB55))), AND(AZ55&lt;&gt;"Undetermined", BB55&lt;&gt;"Undetermined", AZ55=BB55&gt;0), -100)</f>
        <v>Undiluted</v>
      </c>
      <c r="BE55" s="124" cm="1">
        <f t="array" ref="BE55">_xlfn.IFS(BD55="Undetermined", 0, BD55="Undiluted", BA55*$G55/$F55*1000, BD55="Ten-Fold", BC55*$G55/$F55*1000*10, BD55&lt;0, BC55*$G55/$F55*1000*10, BD55&lt;120, BA55*$G55/$F55*1000, BD55&gt;120, BC55*$G55/$F55*1000*10)</f>
        <v>248.64779305212275</v>
      </c>
      <c r="BF55" s="121" t="str">
        <f t="shared" si="14"/>
        <v>DELETE</v>
      </c>
      <c r="BG55" s="121" t="str">
        <f t="shared" si="15"/>
        <v>DELETE</v>
      </c>
      <c r="BH55" s="121" t="str">
        <f t="shared" si="16"/>
        <v>DELETE</v>
      </c>
      <c r="BI55" s="125" t="str" cm="1">
        <f t="array" ref="BI55">_xlfn.IFS(BF55="DELETE", "DELETE", BF55=0, 0, BF55&gt;0,LOG10(BF55))</f>
        <v>DELETE</v>
      </c>
      <c r="BJ55" s="126" t="str" cm="1">
        <f t="array" ref="BJ55">_xlfn.IFS(BF55="DELETE", "DELETE", BF55=0, 0, BF55&gt;0, BH55/BF55/LN(10))</f>
        <v>DELETE</v>
      </c>
    </row>
    <row r="56" spans="1:62" s="114" customFormat="1" x14ac:dyDescent="0.3">
      <c r="A56" s="115" t="str">
        <f>UPPER(LEFT(SUBSTITUTE(SUBSTITUTE(qPCR_Raw!A56,"-","")," ",""),2))&amp;RIGHT(SUBSTITUTE(SUBSTITUTE(qPCR_Raw!A56,"-","")," ",""),LEN(SUBSTITUTE(SUBSTITUTE(qPCR_Raw!A56,"-","")," ",""))-2)</f>
        <v>MRT6</v>
      </c>
      <c r="B56" s="116" t="str" cm="1">
        <f t="array" ref="B56">_xlfn.IFS(LEFT(A56, LEN(A56)-1)="EP", "EP", LEFT(A56, LEN(A56)-1)="STa", "SPI", LEFT(A56, LEN(A56)-1)="STb", "SPO", LEFT(A56, LEN(A56)-1)="MRT", "MRT", LEFT(A56, LEN(A56)-1)="RG", "RN", LEFT(A56, LEN(A56)-1)="RT", "RU", LEFT(A56, LEN(A56)-1)="RW", "RL", LEFT(A56, LEN(A56)-1)="RC", "RS")</f>
        <v>MRT</v>
      </c>
      <c r="C56" s="117">
        <f>qPCR_Raw!B56</f>
        <v>44356</v>
      </c>
      <c r="D56" s="117" t="str">
        <f t="shared" si="0"/>
        <v>MRT44356</v>
      </c>
      <c r="E56" s="117" t="str">
        <f t="shared" si="1"/>
        <v>MRT443566</v>
      </c>
      <c r="F56" s="118">
        <f>qPCR_Raw!C56</f>
        <v>900</v>
      </c>
      <c r="G56" s="119">
        <f>qPCR_Raw!F56</f>
        <v>100</v>
      </c>
      <c r="H56" s="120">
        <f>qPCR_Raw!G56</f>
        <v>11.823856353759766</v>
      </c>
      <c r="I56" s="121" cm="1">
        <f t="array" ref="I56">_xlfn.IFS(H56="Undetermined", 0, qPCR_Raw!H56-qPCR_Raw!$H$242&lt;0, 0, qPCR_Raw!H56-qPCR_Raw!$H$242&gt;0, qPCR_Raw!H56-qPCR_Raw!$H$242)</f>
        <v>12987674.361446125</v>
      </c>
      <c r="J56" s="122">
        <f>qPCR_Raw!K56</f>
        <v>14.085411071777344</v>
      </c>
      <c r="K56" s="121" cm="1">
        <f t="array" ref="K56">_xlfn.IFS(J56="Undetermined", 0, qPCR_Raw!L56-qPCR_Raw!$H$242&lt;0, 0, qPCR_Raw!L56-qPCR_Raw!$H$242&gt;0, qPCR_Raw!L56-qPCR_Raw!$H$242)</f>
        <v>3166845.8614461264</v>
      </c>
      <c r="L56" s="123" cm="1">
        <f t="array" ref="L56">_xlfn.IFS(AND(H56="Undetermined", J56="Undetermined"), "Undetermined", AND(I56=0, K56=0), "Undetermined", AND(I56=0, K56&gt;0), "Ten-Fold", AND(I56&gt;0, K56=0), "Undiluted", AND(H56&lt;&gt;"Undetermined", J56&lt;&gt;"Undetermined", I56&gt;0, K56&gt;0), 100*(-1+10^(-1/(H56-J56))))</f>
        <v>176.80484809599761</v>
      </c>
      <c r="M56" s="124" cm="1">
        <f t="array" ref="M56">_xlfn.IFS(L56="Undetermined", 0, L56="Undiluted", I56*$G56/$F56*1000, L56="Ten-Fold", K56*$G56/$F56*1000*10, L56&lt;0, K56*$G56/$F56*1000*10, L56&lt;120, I56*$G56/$F56*1000, L56&gt;120, K56*$G56/$F56*1000*10)</f>
        <v>3518717623.8290291</v>
      </c>
      <c r="N56" s="121">
        <f t="shared" si="2"/>
        <v>11783562812.700453</v>
      </c>
      <c r="O56" s="121">
        <f t="shared" si="3"/>
        <v>11688256157.015989</v>
      </c>
      <c r="P56" s="121">
        <f t="shared" si="4"/>
        <v>8264845188.8714218</v>
      </c>
      <c r="Q56" s="125" cm="1">
        <f t="array" ref="Q56">_xlfn.IFS(N56="DELETE", "DELETE", N56=0, 0, N56&gt;0,LOG10(N56))</f>
        <v>10.071276621177251</v>
      </c>
      <c r="R56" s="126" cm="1">
        <f t="array" ref="R56">_xlfn.IFS(N56="DELETE", "DELETE", N56=0, 0, N56&gt;0, P56/N56/LN(10))</f>
        <v>0.30460877718942764</v>
      </c>
      <c r="S56" s="155">
        <f>qPCR_Raw!O56</f>
        <v>30.686494827270508</v>
      </c>
      <c r="T56" s="156" cm="1">
        <f t="array" ref="T56">_xlfn.IFS(S56="Undetermined", 0, qPCR_Raw!P56&lt;=1, 0, qPCR_Raw!P56&gt;1, qPCR_Raw!P56)</f>
        <v>714.20257568359375</v>
      </c>
      <c r="U56" s="157">
        <f>qPCR_Raw!R56</f>
        <v>33.709453582763672</v>
      </c>
      <c r="V56" s="156" cm="1">
        <f t="array" ref="V56">_xlfn.IFS(U56="Undetermined", 0, qPCR_Raw!S56&lt;=1, 0, qPCR_Raw!S56&gt;1, qPCR_Raw!S56)</f>
        <v>117.95187377929688</v>
      </c>
      <c r="W56" s="158" cm="1">
        <f t="array" ref="W56">_xlfn.IFS(AND(S56="Undetermined", U56="Undetermined"), "Undetermined", AND(T56=0, V56=0), "Undetermined", AND(T56=0, V56&gt;0), "Ten-Fold", AND(T56&gt;0, V56=0), "Undiluted", AND(S56&lt;&gt;"Undetermined", U56&lt;&gt;"Undetermined", T56&gt;0, V56&gt;0, S56&lt;&gt;U56), 100*(-1+10^(-1/(S56-U56))), AND(S56&lt;&gt;"Undetermined", U56&lt;&gt;"Undetermined", S56=U56&gt;0), -100)</f>
        <v>114.19125457366599</v>
      </c>
      <c r="X56" s="159" cm="1">
        <f t="array" ref="X56">_xlfn.IFS(W56="Undetermined", 0, W56="Undiluted", T56*$G56/$F56*1000, W56="Ten-Fold", V56*$G56/$F56*1000*10, W56&lt;0, V56*$G56/$F56*1000*10, W56&lt;120, T56*$G56/$F56*1000, W56&gt;120, V56*$G56/$F56*1000*10)</f>
        <v>79355.841742621516</v>
      </c>
      <c r="Y56" s="186">
        <f>X56</f>
        <v>79355.841742621516</v>
      </c>
      <c r="Z56" s="186">
        <v>0</v>
      </c>
      <c r="AA56" s="186">
        <v>0</v>
      </c>
      <c r="AB56" s="187" cm="1">
        <f t="array" ref="AB56">_xlfn.IFS(Y56="DELETE", "DELETE", Y56=0, 0, Y56&gt;0,LOG10(Y56))</f>
        <v>4.8995789026498029</v>
      </c>
      <c r="AC56" s="188" cm="1">
        <f t="array" ref="AC56">_xlfn.IFS(Y56="DELETE", "DELETE", Y56=0, 0, Y56&gt;0, AA56/Y56/LN(10))</f>
        <v>0</v>
      </c>
      <c r="AD56" s="120">
        <f>qPCR_Raw!U56</f>
        <v>27.779542922973633</v>
      </c>
      <c r="AE56" s="121" cm="1">
        <f t="array" ref="AE56">_xlfn.IFS(AD56="Undetermined", 0, qPCR_Raw!V56&lt;=1, 0, qPCR_Raw!V56&gt;1, qPCR_Raw!V56)</f>
        <v>152.12742614746094</v>
      </c>
      <c r="AF56" s="122">
        <f>qPCR_Raw!X56</f>
        <v>31.160884857177734</v>
      </c>
      <c r="AG56" s="121" cm="1">
        <f t="array" ref="AG56">_xlfn.IFS(AF56="Undetermined", 0, qPCR_Raw!Y56&lt;=1, 0, qPCR_Raw!Y56&gt;1, qPCR_Raw!Y56)</f>
        <v>17.277761459350586</v>
      </c>
      <c r="AH56" s="123" cm="1">
        <f t="array" ref="AH56">_xlfn.IFS(AND(AD56="Undetermined", AF56="Undetermined"), "Undetermined", AND(AE56=0, AG56=0), "Undetermined", AND(AE56=0, AG56&gt;0), "Ten-Fold", AND(AE56&gt;0, AG56=0), "Undiluted", AND(AD56&lt;&gt;"Undetermined", AF56&lt;&gt;"Undetermined", AE56&gt;0, AG56&gt;0, AD56&lt;&gt;AF56), 100*(-1+10^(-1/(AD56-AF56))), AND(AD56&lt;&gt;"Undetermined", AF56&lt;&gt;"Undetermined", AD56=AF56&gt;0), -100)</f>
        <v>97.578904300482037</v>
      </c>
      <c r="AI56" s="124" cm="1">
        <f t="array" ref="AI56">_xlfn.IFS(AH56="Undetermined", 0, AH56="Undiluted", AE56*$G56/$F56*1000, AH56="Ten-Fold", AG56*$G56/$F56*1000*10, AH56&lt;0, AG56*$G56/$F56*1000*10, AH56&lt;120, AE56*$G56/$F56*1000, AH56&gt;120, AG56*$G56/$F56*1000*10)</f>
        <v>16903.047349717879</v>
      </c>
      <c r="AJ56" s="121">
        <f t="shared" si="8"/>
        <v>13072.442280497526</v>
      </c>
      <c r="AK56" s="121">
        <f t="shared" si="9"/>
        <v>5417.2936409865615</v>
      </c>
      <c r="AL56" s="121">
        <f t="shared" si="10"/>
        <v>3830.6050692203598</v>
      </c>
      <c r="AM56" s="125" cm="1">
        <f t="array" ref="AM56">_xlfn.IFS(AJ56="DELETE", "DELETE", AJ56=0, 0, AJ56&gt;0,LOG10(AJ56))</f>
        <v>4.1163567329406483</v>
      </c>
      <c r="AN56" s="126" cm="1">
        <f t="array" ref="AN56">_xlfn.IFS(AJ56="DELETE", "DELETE", AJ56=0, 0, AJ56&gt;0, AL56/AJ56/LN(10))</f>
        <v>0.1272608903689656</v>
      </c>
      <c r="AO56" s="155">
        <f>qPCR_Raw!AA56</f>
        <v>20.617702484130859</v>
      </c>
      <c r="AP56" s="156" cm="1">
        <f t="array" ref="AP56">_xlfn.IFS(AO56="Undetermined", 0, qPCR_Raw!AB56&lt;=6, 0, qPCR_Raw!AB56&gt;6, qPCR_Raw!AB56)</f>
        <v>1477.7003173828125</v>
      </c>
      <c r="AQ56" s="157">
        <f>qPCR_Raw!AD56</f>
        <v>27.639200210571289</v>
      </c>
      <c r="AR56" s="156" cm="1">
        <f t="array" ref="AR56">_xlfn.IFS(AQ56="Undetermined", 0, qPCR_Raw!AE56&lt;=6, 0, qPCR_Raw!AE56&gt;6, qPCR_Raw!AE56)</f>
        <v>13.465558052062988</v>
      </c>
      <c r="AS56" s="158" cm="1">
        <f t="array" ref="AS56">_xlfn.IFS(AND(AO56="Undetermined", AQ56="Undetermined"), "Undetermined", AND(AP56=0, AR56=0), "Undetermined", AND(AP56=0, AR56&gt;0), "Ten-Fold", AND(AP56&gt;0, AR56=0), "Undiluted", AND(AO56&lt;&gt;"Undetermined", AQ56&lt;&gt;"Undetermined", AP56&gt;0, AR56&gt;0, AO56&lt;&gt;AQ56), 100*(-1+10^(-1/(AO56-AQ56))), AND(AO56&lt;&gt;"Undetermined", AQ56&lt;&gt;"Undetermined", AO56=AQ56&gt;0), -100)</f>
        <v>38.809681268324894</v>
      </c>
      <c r="AT56" s="159" cm="1">
        <f t="array" ref="AT56">_xlfn.IFS(AS56="Undetermined", 0, AS56="Undiluted", AP56*$G56/$F56*1000, AS56="Ten-Fold", AR56*$G56/$F56*1000*10, AS56&lt;0, AR56*$G56/$F56*1000*10, AS56&lt;120, AP56*$G56/$F56*1000, AS56&gt;120, AR56*$G56/$F56*1000*10)</f>
        <v>164188.92415364584</v>
      </c>
      <c r="AU56" s="186">
        <f>AT56</f>
        <v>164188.92415364584</v>
      </c>
      <c r="AV56" s="186">
        <f>0</f>
        <v>0</v>
      </c>
      <c r="AW56" s="186">
        <v>0</v>
      </c>
      <c r="AX56" s="187" cm="1">
        <f t="array" ref="AX56">_xlfn.IFS(AU56="DELETE", "DELETE", AU56=0, 0, AU56&gt;0,LOG10(AU56))</f>
        <v>5.2153438571610549</v>
      </c>
      <c r="AY56" s="188" cm="1">
        <f t="array" ref="AY56">_xlfn.IFS(AU56="DELETE", "DELETE", AU56=0, 0, AU56&gt;0, AW56/AU56/LN(10))</f>
        <v>0</v>
      </c>
      <c r="AZ56" s="120">
        <f>qPCR_Raw!AG56</f>
        <v>29.790180206298828</v>
      </c>
      <c r="BA56" s="121" cm="1">
        <f t="array" ref="BA56">_xlfn.IFS(AZ56="Undetermined", 0, qPCR_Raw!AH56&lt;=1, 0, qPCR_Raw!AH56&gt;1, qPCR_Raw!AH56)</f>
        <v>72.532157897949219</v>
      </c>
      <c r="BB56" s="122">
        <f>qPCR_Raw!AJ56</f>
        <v>31.794179916381836</v>
      </c>
      <c r="BC56" s="121" cm="1">
        <f t="array" ref="BC56">_xlfn.IFS(BB56="Undetermined", 0, qPCR_Raw!AK56&lt;=1, 0, qPCR_Raw!AK56&gt;1, qPCR_Raw!AK56)</f>
        <v>20.422183990478516</v>
      </c>
      <c r="BD56" s="123" cm="1">
        <f t="array" ref="BD56">_xlfn.IFS(AND(AZ56="Undetermined", BB56="Undetermined"), "Undetermined", AND(BA56=0, BC56=0), "Undetermined", AND(BA56=0, BC56&gt;0), "Ten-Fold", AND(BA56&gt;0, BC56=0), "Undiluted", AND(AZ56&lt;&gt;"Undetermined", BB56&lt;&gt;"Undetermined", BA56&gt;0, BC56&gt;0, AZ56&lt;&gt;BB56), 100*(-1+10^(-1/(AZ56-BB56))), AND(AZ56&lt;&gt;"Undetermined", BB56&lt;&gt;"Undetermined", AZ56=BB56&gt;0), -100)</f>
        <v>215.50196481807663</v>
      </c>
      <c r="BE56" s="124" cm="1">
        <f t="array" ref="BE56">_xlfn.IFS(BD56="Undetermined", 0, BD56="Undiluted", BA56*$G56/$F56*1000, BD56="Ten-Fold", BC56*$G56/$F56*1000*10, BD56&lt;0, BC56*$G56/$F56*1000*10, BD56&lt;120, BA56*$G56/$F56*1000, BD56&gt;120, BC56*$G56/$F56*1000*10)</f>
        <v>22691.315544976129</v>
      </c>
      <c r="BF56" s="121">
        <f t="shared" si="14"/>
        <v>15606.90318904637</v>
      </c>
      <c r="BG56" s="121">
        <f t="shared" si="15"/>
        <v>10018.872035199398</v>
      </c>
      <c r="BH56" s="121">
        <f t="shared" si="16"/>
        <v>7084.4123559297605</v>
      </c>
      <c r="BI56" s="125" cm="1">
        <f t="array" ref="BI56">_xlfn.IFS(BF56="DELETE", "DELETE", BF56=0, 0, BF56&gt;0,LOG10(BF56))</f>
        <v>4.1933167364170636</v>
      </c>
      <c r="BJ56" s="126" cm="1">
        <f t="array" ref="BJ56">_xlfn.IFS(BF56="DELETE", "DELETE", BF56=0, 0, BF56&gt;0, BH56/BF56/LN(10))</f>
        <v>0.19713848137834883</v>
      </c>
    </row>
    <row r="57" spans="1:62" s="114" customFormat="1" x14ac:dyDescent="0.3">
      <c r="A57" s="115" t="str">
        <f>UPPER(LEFT(SUBSTITUTE(SUBSTITUTE(qPCR_Raw!A57,"-","")," ",""),2))&amp;RIGHT(SUBSTITUTE(SUBSTITUTE(qPCR_Raw!A57,"-","")," ",""),LEN(SUBSTITUTE(SUBSTITUTE(qPCR_Raw!A57,"-","")," ",""))-2)</f>
        <v>MRT7</v>
      </c>
      <c r="B57" s="116" t="str" cm="1">
        <f t="array" ref="B57">_xlfn.IFS(LEFT(A57, LEN(A57)-1)="EP", "EP", LEFT(A57, LEN(A57)-1)="STa", "SPI", LEFT(A57, LEN(A57)-1)="STb", "SPO", LEFT(A57, LEN(A57)-1)="MRT", "MRT", LEFT(A57, LEN(A57)-1)="RG", "RN", LEFT(A57, LEN(A57)-1)="RT", "RU", LEFT(A57, LEN(A57)-1)="RW", "RL", LEFT(A57, LEN(A57)-1)="RC", "RS")</f>
        <v>MRT</v>
      </c>
      <c r="C57" s="117">
        <f>qPCR_Raw!B57</f>
        <v>44356</v>
      </c>
      <c r="D57" s="117" t="str">
        <f t="shared" si="0"/>
        <v>MRT44356</v>
      </c>
      <c r="E57" s="117" t="str">
        <f t="shared" si="1"/>
        <v>MRT443567</v>
      </c>
      <c r="F57" s="118">
        <f>qPCR_Raw!C57</f>
        <v>920</v>
      </c>
      <c r="G57" s="119">
        <f>qPCR_Raw!F57</f>
        <v>100</v>
      </c>
      <c r="H57" s="120">
        <f>qPCR_Raw!G57</f>
        <v>8.9698362350463867</v>
      </c>
      <c r="I57" s="121" cm="1">
        <f t="array" ref="I57">_xlfn.IFS(H57="Undetermined", 0, qPCR_Raw!H57-qPCR_Raw!$H$242&lt;0, 0, qPCR_Raw!H57-qPCR_Raw!$H$242&gt;0, qPCR_Raw!H57-qPCR_Raw!$H$242)</f>
        <v>76853897.361446127</v>
      </c>
      <c r="J57" s="122">
        <f>qPCR_Raw!K57</f>
        <v>11.260991096496582</v>
      </c>
      <c r="K57" s="121" cm="1">
        <f t="array" ref="K57">_xlfn.IFS(J57="Undetermined", 0, qPCR_Raw!L57-qPCR_Raw!$H$242&lt;0, 0, qPCR_Raw!L57-qPCR_Raw!$H$242&gt;0, qPCR_Raw!L57-qPCR_Raw!$H$242)</f>
        <v>18444535.361446127</v>
      </c>
      <c r="L57" s="123" cm="1">
        <f t="array" ref="L57">_xlfn.IFS(AND(H57="Undetermined", J57="Undetermined"), "Undetermined", AND(I57=0, K57=0), "Undetermined", AND(I57=0, K57&gt;0), "Ten-Fold", AND(I57&gt;0, K57=0), "Undiluted", AND(H57&lt;&gt;"Undetermined", J57&lt;&gt;"Undetermined", I57&gt;0, K57&gt;0), 100*(-1+10^(-1/(H57-J57))))</f>
        <v>173.18768165380064</v>
      </c>
      <c r="M57" s="124" cm="1">
        <f t="array" ref="M57">_xlfn.IFS(L57="Undetermined", 0, L57="Undiluted", I57*$G57/$F57*1000, L57="Ten-Fold", K57*$G57/$F57*1000*10, L57&lt;0, K57*$G57/$F57*1000*10, L57&lt;120, I57*$G57/$F57*1000, L57&gt;120, K57*$G57/$F57*1000*10)</f>
        <v>20048408001.571877</v>
      </c>
      <c r="N57" s="121" t="str">
        <f t="shared" si="2"/>
        <v>DELETE</v>
      </c>
      <c r="O57" s="121" t="str">
        <f t="shared" si="3"/>
        <v>DELETE</v>
      </c>
      <c r="P57" s="121" t="str">
        <f t="shared" si="4"/>
        <v>DELETE</v>
      </c>
      <c r="Q57" s="125" t="str" cm="1">
        <f t="array" ref="Q57">_xlfn.IFS(N57="DELETE", "DELETE", N57=0, 0, N57&gt;0,LOG10(N57))</f>
        <v>DELETE</v>
      </c>
      <c r="R57" s="126" t="str" cm="1">
        <f t="array" ref="R57">_xlfn.IFS(N57="DELETE", "DELETE", N57=0, 0, N57&gt;0, P57/N57/LN(10))</f>
        <v>DELETE</v>
      </c>
      <c r="S57" s="155" t="str">
        <f>qPCR_Raw!O57</f>
        <v>Undetermined</v>
      </c>
      <c r="T57" s="156" cm="1">
        <f t="array" ref="T57">_xlfn.IFS(S57="Undetermined", 0, qPCR_Raw!P57&lt;=1, 0, qPCR_Raw!P57&gt;1, qPCR_Raw!P57)</f>
        <v>0</v>
      </c>
      <c r="U57" s="157" t="str">
        <f>qPCR_Raw!R57</f>
        <v>Undetermined</v>
      </c>
      <c r="V57" s="156" cm="1">
        <f t="array" ref="V57">_xlfn.IFS(U57="Undetermined", 0, qPCR_Raw!S57&lt;=1, 0, qPCR_Raw!S57&gt;1, qPCR_Raw!S57)</f>
        <v>0</v>
      </c>
      <c r="W57" s="158" t="str" cm="1">
        <f t="array" ref="W57">_xlfn.IFS(AND(S57="Undetermined", U57="Undetermined"), "Undetermined", AND(T57=0, V57=0), "Undetermined", AND(T57=0, V57&gt;0), "Ten-Fold", AND(T57&gt;0, V57=0), "Undiluted", AND(S57&lt;&gt;"Undetermined", U57&lt;&gt;"Undetermined", T57&gt;0, V57&gt;0, S57&lt;&gt;U57), 100*(-1+10^(-1/(S57-U57))), AND(S57&lt;&gt;"Undetermined", U57&lt;&gt;"Undetermined", S57=U57&gt;0), -100)</f>
        <v>Undetermined</v>
      </c>
      <c r="X57" s="159" cm="1">
        <f t="array" ref="X57">_xlfn.IFS(W57="Undetermined", 0, W57="Undiluted", T57*$G57/$F57*1000, W57="Ten-Fold", V57*$G57/$F57*1000*10, W57&lt;0, V57*$G57/$F57*1000*10, W57&lt;120, T57*$G57/$F57*1000, W57&gt;120, V57*$G57/$F57*1000*10)</f>
        <v>0</v>
      </c>
      <c r="Y57" s="156" t="str">
        <f t="shared" si="5"/>
        <v>DELETE</v>
      </c>
      <c r="Z57" s="156" t="str">
        <f t="shared" si="6"/>
        <v>DELETE</v>
      </c>
      <c r="AA57" s="156" t="str">
        <f t="shared" si="7"/>
        <v>DELETE</v>
      </c>
      <c r="AB57" s="160" t="str" cm="1">
        <f t="array" ref="AB57">_xlfn.IFS(Y57="DELETE", "DELETE", Y57=0, 0, Y57&gt;0,LOG10(Y57))</f>
        <v>DELETE</v>
      </c>
      <c r="AC57" s="161" t="str" cm="1">
        <f t="array" ref="AC57">_xlfn.IFS(Y57="DELETE", "DELETE", Y57=0, 0, Y57&gt;0, AA57/Y57/LN(10))</f>
        <v>DELETE</v>
      </c>
      <c r="AD57" s="120">
        <f>qPCR_Raw!U57</f>
        <v>28.683868408203125</v>
      </c>
      <c r="AE57" s="121" cm="1">
        <f t="array" ref="AE57">_xlfn.IFS(AD57="Undetermined", 0, qPCR_Raw!V57&lt;=1, 0, qPCR_Raw!V57&gt;1, qPCR_Raw!V57)</f>
        <v>85.02490234375</v>
      </c>
      <c r="AF57" s="122">
        <f>qPCR_Raw!X57</f>
        <v>32.859733581542969</v>
      </c>
      <c r="AG57" s="121" cm="1">
        <f t="array" ref="AG57">_xlfn.IFS(AF57="Undetermined", 0, qPCR_Raw!Y57&lt;=1, 0, qPCR_Raw!Y57&gt;1, qPCR_Raw!Y57)</f>
        <v>5.7921881675720215</v>
      </c>
      <c r="AH57" s="123" cm="1">
        <f t="array" ref="AH57">_xlfn.IFS(AND(AD57="Undetermined", AF57="Undetermined"), "Undetermined", AND(AE57=0, AG57=0), "Undetermined", AND(AE57=0, AG57&gt;0), "Ten-Fold", AND(AE57&gt;0, AG57=0), "Undiluted", AND(AD57&lt;&gt;"Undetermined", AF57&lt;&gt;"Undetermined", AE57&gt;0, AG57&gt;0, AD57&lt;&gt;AF57), 100*(-1+10^(-1/(AD57-AF57))), AND(AD57&lt;&gt;"Undetermined", AF57&lt;&gt;"Undetermined", AD57=AF57&gt;0), -100)</f>
        <v>73.568669001409987</v>
      </c>
      <c r="AI57" s="124" cm="1">
        <f t="array" ref="AI57">_xlfn.IFS(AH57="Undetermined", 0, AH57="Undiluted", AE57*$G57/$F57*1000, AH57="Ten-Fold", AG57*$G57/$F57*1000*10, AH57&lt;0, AG57*$G57/$F57*1000*10, AH57&lt;120, AE57*$G57/$F57*1000, AH57&gt;120, AG57*$G57/$F57*1000*10)</f>
        <v>9241.837211277174</v>
      </c>
      <c r="AJ57" s="121" t="str">
        <f t="shared" si="8"/>
        <v>DELETE</v>
      </c>
      <c r="AK57" s="121" t="str">
        <f t="shared" si="9"/>
        <v>DELETE</v>
      </c>
      <c r="AL57" s="121" t="str">
        <f t="shared" si="10"/>
        <v>DELETE</v>
      </c>
      <c r="AM57" s="125" t="str" cm="1">
        <f t="array" ref="AM57">_xlfn.IFS(AJ57="DELETE", "DELETE", AJ57=0, 0, AJ57&gt;0,LOG10(AJ57))</f>
        <v>DELETE</v>
      </c>
      <c r="AN57" s="126" t="str" cm="1">
        <f t="array" ref="AN57">_xlfn.IFS(AJ57="DELETE", "DELETE", AJ57=0, 0, AJ57&gt;0, AL57/AJ57/LN(10))</f>
        <v>DELETE</v>
      </c>
      <c r="AO57" s="155">
        <f>qPCR_Raw!AA57</f>
        <v>19.028112411499023</v>
      </c>
      <c r="AP57" s="156" cm="1">
        <f t="array" ref="AP57">_xlfn.IFS(AO57="Undetermined", 0, qPCR_Raw!AB57&lt;=6, 0, qPCR_Raw!AB57&gt;6, qPCR_Raw!AB57)</f>
        <v>4280.5732421875</v>
      </c>
      <c r="AQ57" s="157">
        <f>qPCR_Raw!AD57</f>
        <v>17.530517578125</v>
      </c>
      <c r="AR57" s="156" cm="1">
        <f t="array" ref="AR57">_xlfn.IFS(AQ57="Undetermined", 0, qPCR_Raw!AE57&lt;=6, 0, qPCR_Raw!AE57&gt;6, qPCR_Raw!AE57)</f>
        <v>11659.630859375</v>
      </c>
      <c r="AS57" s="158" cm="1">
        <f t="array" ref="AS57">_xlfn.IFS(AND(AO57="Undetermined", AQ57="Undetermined"), "Undetermined", AND(AP57=0, AR57=0), "Undetermined", AND(AP57=0, AR57&gt;0), "Ten-Fold", AND(AP57&gt;0, AR57=0), "Undiluted", AND(AO57&lt;&gt;"Undetermined", AQ57&lt;&gt;"Undetermined", AP57&gt;0, AR57&gt;0, AO57&lt;&gt;AQ57), 100*(-1+10^(-1/(AO57-AQ57))), AND(AO57&lt;&gt;"Undetermined", AQ57&lt;&gt;"Undetermined", AO57=AQ57&gt;0), -100)</f>
        <v>-78.508701631520324</v>
      </c>
      <c r="AT57" s="159" cm="1">
        <f t="array" ref="AT57">_xlfn.IFS(AS57="Undetermined", 0, AS57="Undiluted", AP57*$G57/$F57*1000, AS57="Ten-Fold", AR57*$G57/$F57*1000*10, AS57&lt;0, AR57*$G57/$F57*1000*10, AS57&lt;120, AP57*$G57/$F57*1000, AS57&gt;120, AR57*$G57/$F57*1000*10)</f>
        <v>12673511.803668477</v>
      </c>
      <c r="AU57" s="156" t="str">
        <f t="shared" si="11"/>
        <v>DELETE</v>
      </c>
      <c r="AV57" s="156" t="str">
        <f t="shared" si="12"/>
        <v>DELETE</v>
      </c>
      <c r="AW57" s="156" t="str">
        <f t="shared" si="13"/>
        <v>DELETE</v>
      </c>
      <c r="AX57" s="160" t="str" cm="1">
        <f t="array" ref="AX57">_xlfn.IFS(AU57="DELETE", "DELETE", AU57=0, 0, AU57&gt;0,LOG10(AU57))</f>
        <v>DELETE</v>
      </c>
      <c r="AY57" s="161" t="str" cm="1">
        <f t="array" ref="AY57">_xlfn.IFS(AU57="DELETE", "DELETE", AU57=0, 0, AU57&gt;0, AW57/AU57/LN(10))</f>
        <v>DELETE</v>
      </c>
      <c r="AZ57" s="120">
        <f>qPCR_Raw!AG57</f>
        <v>33.807731628417969</v>
      </c>
      <c r="BA57" s="121" cm="1">
        <f t="array" ref="BA57">_xlfn.IFS(AZ57="Undetermined", 0, qPCR_Raw!AH57&lt;=1, 0, qPCR_Raw!AH57&gt;1, qPCR_Raw!AH57)</f>
        <v>5.715446949005127</v>
      </c>
      <c r="BB57" s="122">
        <f>qPCR_Raw!AJ57</f>
        <v>33.307834625244141</v>
      </c>
      <c r="BC57" s="121" cm="1">
        <f t="array" ref="BC57">_xlfn.IFS(BB57="Undetermined", 0, qPCR_Raw!AK57&lt;=1, 0, qPCR_Raw!AK57&gt;1, qPCR_Raw!AK57)</f>
        <v>7.8406915664672852</v>
      </c>
      <c r="BD57" s="123" cm="1">
        <f t="array" ref="BD57">_xlfn.IFS(AND(AZ57="Undetermined", BB57="Undetermined"), "Undetermined", AND(BA57=0, BC57=0), "Undetermined", AND(BA57=0, BC57&gt;0), "Ten-Fold", AND(BA57&gt;0, BC57=0), "Undiluted", AND(AZ57&lt;&gt;"Undetermined", BB57&lt;&gt;"Undetermined", BA57&gt;0, BC57&gt;0, AZ57&lt;&gt;BB57), 100*(-1+10^(-1/(AZ57-BB57))), AND(AZ57&lt;&gt;"Undetermined", BB57&lt;&gt;"Undetermined", AZ57=BB57&gt;0), -100)</f>
        <v>-99.000948381281432</v>
      </c>
      <c r="BE57" s="124" cm="1">
        <f t="array" ref="BE57">_xlfn.IFS(BD57="Undetermined", 0, BD57="Undiluted", BA57*$G57/$F57*1000, BD57="Ten-Fold", BC57*$G57/$F57*1000*10, BD57&lt;0, BC57*$G57/$F57*1000*10, BD57&lt;120, BA57*$G57/$F57*1000, BD57&gt;120, BC57*$G57/$F57*1000*10)</f>
        <v>8522.4908331166134</v>
      </c>
      <c r="BF57" s="121" t="str">
        <f t="shared" si="14"/>
        <v>DELETE</v>
      </c>
      <c r="BG57" s="121" t="str">
        <f t="shared" si="15"/>
        <v>DELETE</v>
      </c>
      <c r="BH57" s="121" t="str">
        <f t="shared" si="16"/>
        <v>DELETE</v>
      </c>
      <c r="BI57" s="125" t="str" cm="1">
        <f t="array" ref="BI57">_xlfn.IFS(BF57="DELETE", "DELETE", BF57=0, 0, BF57&gt;0,LOG10(BF57))</f>
        <v>DELETE</v>
      </c>
      <c r="BJ57" s="126" t="str" cm="1">
        <f t="array" ref="BJ57">_xlfn.IFS(BF57="DELETE", "DELETE", BF57=0, 0, BF57&gt;0, BH57/BF57/LN(10))</f>
        <v>DELETE</v>
      </c>
    </row>
    <row r="58" spans="1:62" s="114" customFormat="1" x14ac:dyDescent="0.3">
      <c r="A58" s="115" t="str">
        <f>UPPER(LEFT(SUBSTITUTE(SUBSTITUTE(qPCR_Raw!A58,"-","")," ",""),2))&amp;RIGHT(SUBSTITUTE(SUBSTITUTE(qPCR_Raw!A58,"-","")," ",""),LEN(SUBSTITUTE(SUBSTITUTE(qPCR_Raw!A58,"-","")," ",""))-2)</f>
        <v>RT6</v>
      </c>
      <c r="B58" s="116" t="str" cm="1">
        <f t="array" ref="B58">_xlfn.IFS(LEFT(A58, LEN(A58)-1)="EP", "EP", LEFT(A58, LEN(A58)-1)="STa", "SPI", LEFT(A58, LEN(A58)-1)="STb", "SPO", LEFT(A58, LEN(A58)-1)="MRT", "MRT", LEFT(A58, LEN(A58)-1)="RG", "RN", LEFT(A58, LEN(A58)-1)="RT", "RU", LEFT(A58, LEN(A58)-1)="RW", "RL", LEFT(A58, LEN(A58)-1)="RC", "RS")</f>
        <v>RU</v>
      </c>
      <c r="C58" s="117">
        <f>qPCR_Raw!B58</f>
        <v>44356</v>
      </c>
      <c r="D58" s="117" t="str">
        <f t="shared" si="0"/>
        <v>RU44356</v>
      </c>
      <c r="E58" s="117" t="str">
        <f t="shared" si="1"/>
        <v>RU443566</v>
      </c>
      <c r="F58" s="118">
        <f>qPCR_Raw!C58</f>
        <v>920</v>
      </c>
      <c r="G58" s="119">
        <f>qPCR_Raw!F58</f>
        <v>100</v>
      </c>
      <c r="H58" s="120">
        <f>qPCR_Raw!G58</f>
        <v>17.434112548828125</v>
      </c>
      <c r="I58" s="121" cm="1">
        <f t="array" ref="I58">_xlfn.IFS(H58="Undetermined", 0, qPCR_Raw!H58-qPCR_Raw!$H$242&lt;0, 0, qPCR_Raw!H58-qPCR_Raw!$H$242&gt;0, qPCR_Raw!H58-qPCR_Raw!$H$242)</f>
        <v>382256.36144612631</v>
      </c>
      <c r="J58" s="122">
        <f>qPCR_Raw!K58</f>
        <v>20.229831695556641</v>
      </c>
      <c r="K58" s="121" cm="1">
        <f t="array" ref="K58">_xlfn.IFS(J58="Undetermined", 0, qPCR_Raw!L58-qPCR_Raw!$H$242&lt;0, 0, qPCR_Raw!L58-qPCR_Raw!$H$242&gt;0, qPCR_Raw!L58-qPCR_Raw!$H$242)</f>
        <v>56336.213008626306</v>
      </c>
      <c r="L58" s="123" cm="1">
        <f t="array" ref="L58">_xlfn.IFS(AND(H58="Undetermined", J58="Undetermined"), "Undetermined", AND(I58=0, K58=0), "Undetermined", AND(I58=0, K58&gt;0), "Ten-Fold", AND(I58&gt;0, K58=0), "Undiluted", AND(H58&lt;&gt;"Undetermined", J58&lt;&gt;"Undetermined", I58&gt;0, K58&gt;0), 100*(-1+10^(-1/(H58-J58))))</f>
        <v>127.8713474604189</v>
      </c>
      <c r="M58" s="124" cm="1">
        <f t="array" ref="M58">_xlfn.IFS(L58="Undetermined", 0, L58="Undiluted", I58*$G58/$F58*1000, L58="Ten-Fold", K58*$G58/$F58*1000*10, L58&lt;0, K58*$G58/$F58*1000*10, L58&lt;120, I58*$G58/$F58*1000, L58&gt;120, K58*$G58/$F58*1000*10)</f>
        <v>61235014.139811203</v>
      </c>
      <c r="N58" s="121">
        <f t="shared" si="2"/>
        <v>54162506.367632359</v>
      </c>
      <c r="O58" s="121">
        <f t="shared" si="3"/>
        <v>10002036.411404379</v>
      </c>
      <c r="P58" s="121">
        <f t="shared" si="4"/>
        <v>7072507.7721787961</v>
      </c>
      <c r="Q58" s="125" cm="1">
        <f t="array" ref="Q58">_xlfn.IFS(N58="DELETE", "DELETE", N58=0, 0, N58&gt;0,LOG10(N58))</f>
        <v>7.7336987531004038</v>
      </c>
      <c r="R58" s="126" cm="1">
        <f t="array" ref="R58">_xlfn.IFS(N58="DELETE", "DELETE", N58=0, 0, N58&gt;0, P58/N58/LN(10))</f>
        <v>5.6709914379270275E-2</v>
      </c>
      <c r="S58" s="155">
        <f>qPCR_Raw!O58</f>
        <v>31.871515274047852</v>
      </c>
      <c r="T58" s="156" cm="1">
        <f t="array" ref="T58">_xlfn.IFS(S58="Undetermined", 0, qPCR_Raw!P58&lt;=1, 0, qPCR_Raw!P58&gt;1, qPCR_Raw!P58)</f>
        <v>352.55459594726563</v>
      </c>
      <c r="U58" s="157">
        <f>qPCR_Raw!R58</f>
        <v>35.353908538818359</v>
      </c>
      <c r="V58" s="156" cm="1">
        <f t="array" ref="V58">_xlfn.IFS(U58="Undetermined", 0, qPCR_Raw!S58&lt;=1, 0, qPCR_Raw!S58&gt;1, qPCR_Raw!S58)</f>
        <v>44.283546447753906</v>
      </c>
      <c r="W58" s="158" cm="1">
        <f t="array" ref="W58">_xlfn.IFS(AND(S58="Undetermined", U58="Undetermined"), "Undetermined", AND(T58=0, V58=0), "Undetermined", AND(T58=0, V58&gt;0), "Ten-Fold", AND(T58&gt;0, V58=0), "Undiluted", AND(S58&lt;&gt;"Undetermined", U58&lt;&gt;"Undetermined", T58&gt;0, V58&gt;0, S58&lt;&gt;U58), 100*(-1+10^(-1/(S58-U58))), AND(S58&lt;&gt;"Undetermined", U58&lt;&gt;"Undetermined", S58=U58&gt;0), -100)</f>
        <v>93.713031227488557</v>
      </c>
      <c r="X58" s="159" cm="1">
        <f t="array" ref="X58">_xlfn.IFS(W58="Undetermined", 0, W58="Undiluted", T58*$G58/$F58*1000, W58="Ten-Fold", V58*$G58/$F58*1000*10, W58&lt;0, V58*$G58/$F58*1000*10, W58&lt;120, T58*$G58/$F58*1000, W58&gt;120, V58*$G58/$F58*1000*10)</f>
        <v>38321.151733398438</v>
      </c>
      <c r="Y58" s="156">
        <f t="shared" si="5"/>
        <v>21577.740209707943</v>
      </c>
      <c r="Z58" s="156">
        <f t="shared" si="6"/>
        <v>23678.759657197068</v>
      </c>
      <c r="AA58" s="156">
        <f t="shared" si="7"/>
        <v>16743.411523690495</v>
      </c>
      <c r="AB58" s="160" cm="1">
        <f t="array" ref="AB58">_xlfn.IFS(Y58="DELETE", "DELETE", Y58=0, 0, Y58&gt;0,LOG10(Y58))</f>
        <v>4.3340059600019885</v>
      </c>
      <c r="AC58" s="161" cm="1">
        <f t="array" ref="AC58">_xlfn.IFS(Y58="DELETE", "DELETE", Y58=0, 0, Y58&gt;0, AA58/Y58/LN(10))</f>
        <v>0.33699410421590764</v>
      </c>
      <c r="AD58" s="120">
        <f>qPCR_Raw!U58</f>
        <v>29.387151718139648</v>
      </c>
      <c r="AE58" s="121" cm="1">
        <f t="array" ref="AE58">_xlfn.IFS(AD58="Undetermined", 0, qPCR_Raw!V58&lt;=1, 0, qPCR_Raw!V58&gt;1, qPCR_Raw!V58)</f>
        <v>54.082206726074219</v>
      </c>
      <c r="AF58" s="122">
        <f>qPCR_Raw!X58</f>
        <v>32.000347137451172</v>
      </c>
      <c r="AG58" s="121" cm="1">
        <f t="array" ref="AG58">_xlfn.IFS(AF58="Undetermined", 0, qPCR_Raw!Y58&lt;=1, 0, qPCR_Raw!Y58&gt;1, qPCR_Raw!Y58)</f>
        <v>10.068120002746582</v>
      </c>
      <c r="AH58" s="123" cm="1">
        <f t="array" ref="AH58">_xlfn.IFS(AND(AD58="Undetermined", AF58="Undetermined"), "Undetermined", AND(AE58=0, AG58=0), "Undetermined", AND(AE58=0, AG58&gt;0), "Ten-Fold", AND(AE58&gt;0, AG58=0), "Undiluted", AND(AD58&lt;&gt;"Undetermined", AF58&lt;&gt;"Undetermined", AE58&gt;0, AG58&gt;0, AD58&lt;&gt;AF58), 100*(-1+10^(-1/(AD58-AF58))), AND(AD58&lt;&gt;"Undetermined", AF58&lt;&gt;"Undetermined", AD58=AF58&gt;0), -100)</f>
        <v>141.36442324714076</v>
      </c>
      <c r="AI58" s="124" cm="1">
        <f t="array" ref="AI58">_xlfn.IFS(AH58="Undetermined", 0, AH58="Undiluted", AE58*$G58/$F58*1000, AH58="Ten-Fold", AG58*$G58/$F58*1000*10, AH58&lt;0, AG58*$G58/$F58*1000*10, AH58&lt;120, AE58*$G58/$F58*1000, AH58&gt;120, AG58*$G58/$F58*1000*10)</f>
        <v>10943.60869863759</v>
      </c>
      <c r="AJ58" s="121">
        <f t="shared" si="8"/>
        <v>5644.2105681489629</v>
      </c>
      <c r="AK58" s="121">
        <f t="shared" si="9"/>
        <v>7494.4807085516422</v>
      </c>
      <c r="AL58" s="121">
        <f t="shared" si="10"/>
        <v>5299.3981304886274</v>
      </c>
      <c r="AM58" s="125" cm="1">
        <f t="array" ref="AM58">_xlfn.IFS(AJ58="DELETE", "DELETE", AJ58=0, 0, AJ58&gt;0,LOG10(AJ58))</f>
        <v>3.7516032075768719</v>
      </c>
      <c r="AN58" s="126" cm="1">
        <f t="array" ref="AN58">_xlfn.IFS(AJ58="DELETE", "DELETE", AJ58=0, 0, AJ58&gt;0, AL58/AJ58/LN(10))</f>
        <v>0.40776284613959818</v>
      </c>
      <c r="AO58" s="155">
        <f>qPCR_Raw!AA58</f>
        <v>29.08784294128418</v>
      </c>
      <c r="AP58" s="156" cm="1">
        <f t="array" ref="AP58">_xlfn.IFS(AO58="Undetermined", 0, qPCR_Raw!AB58&lt;=6, 0, qPCR_Raw!AB58&gt;6, qPCR_Raw!AB58)</f>
        <v>0</v>
      </c>
      <c r="AQ58" s="157" t="str">
        <f>qPCR_Raw!AD58</f>
        <v>Undetermined</v>
      </c>
      <c r="AR58" s="156" cm="1">
        <f t="array" ref="AR58">_xlfn.IFS(AQ58="Undetermined", 0, qPCR_Raw!AE58&lt;=6, 0, qPCR_Raw!AE58&gt;6, qPCR_Raw!AE58)</f>
        <v>0</v>
      </c>
      <c r="AS58" s="158" t="str" cm="1">
        <f t="array" ref="AS58">_xlfn.IFS(AND(AO58="Undetermined", AQ58="Undetermined"), "Undetermined", AND(AP58=0, AR58=0), "Undetermined", AND(AP58=0, AR58&gt;0), "Ten-Fold", AND(AP58&gt;0, AR58=0), "Undiluted", AND(AO58&lt;&gt;"Undetermined", AQ58&lt;&gt;"Undetermined", AP58&gt;0, AR58&gt;0, AO58&lt;&gt;AQ58), 100*(-1+10^(-1/(AO58-AQ58))), AND(AO58&lt;&gt;"Undetermined", AQ58&lt;&gt;"Undetermined", AO58=AQ58&gt;0), -100)</f>
        <v>Undetermined</v>
      </c>
      <c r="AT58" s="159" cm="1">
        <f t="array" ref="AT58">_xlfn.IFS(AS58="Undetermined", 0, AS58="Undiluted", AP58*$G58/$F58*1000, AS58="Ten-Fold", AR58*$G58/$F58*1000*10, AS58&lt;0, AR58*$G58/$F58*1000*10, AS58&lt;120, AP58*$G58/$F58*1000, AS58&gt;120, AR58*$G58/$F58*1000*10)</f>
        <v>0</v>
      </c>
      <c r="AU58" s="156">
        <f t="shared" si="11"/>
        <v>0</v>
      </c>
      <c r="AV58" s="156">
        <f t="shared" si="12"/>
        <v>0</v>
      </c>
      <c r="AW58" s="156">
        <f t="shared" si="13"/>
        <v>0</v>
      </c>
      <c r="AX58" s="160" cm="1">
        <f t="array" ref="AX58">_xlfn.IFS(AU58="DELETE", "DELETE", AU58=0, 0, AU58&gt;0,LOG10(AU58))</f>
        <v>0</v>
      </c>
      <c r="AY58" s="161" cm="1">
        <f t="array" ref="AY58">_xlfn.IFS(AU58="DELETE", "DELETE", AU58=0, 0, AU58&gt;0, AW58/AU58/LN(10))</f>
        <v>0</v>
      </c>
      <c r="AZ58" s="120">
        <f>qPCR_Raw!AG58</f>
        <v>38.634250640869141</v>
      </c>
      <c r="BA58" s="121" cm="1">
        <f t="array" ref="BA58">_xlfn.IFS(AZ58="Undetermined", 0, qPCR_Raw!AH58&lt;=1, 0, qPCR_Raw!AH58&gt;1, qPCR_Raw!AH58)</f>
        <v>0</v>
      </c>
      <c r="BB58" s="122" t="str">
        <f>qPCR_Raw!AJ58</f>
        <v>Undetermined</v>
      </c>
      <c r="BC58" s="121" cm="1">
        <f t="array" ref="BC58">_xlfn.IFS(BB58="Undetermined", 0, qPCR_Raw!AK58&lt;=1, 0, qPCR_Raw!AK58&gt;1, qPCR_Raw!AK58)</f>
        <v>0</v>
      </c>
      <c r="BD58" s="123" t="str" cm="1">
        <f t="array" ref="BD58">_xlfn.IFS(AND(AZ58="Undetermined", BB58="Undetermined"), "Undetermined", AND(BA58=0, BC58=0), "Undetermined", AND(BA58=0, BC58&gt;0), "Ten-Fold", AND(BA58&gt;0, BC58=0), "Undiluted", AND(AZ58&lt;&gt;"Undetermined", BB58&lt;&gt;"Undetermined", BA58&gt;0, BC58&gt;0, AZ58&lt;&gt;BB58), 100*(-1+10^(-1/(AZ58-BB58))), AND(AZ58&lt;&gt;"Undetermined", BB58&lt;&gt;"Undetermined", AZ58=BB58&gt;0), -100)</f>
        <v>Undetermined</v>
      </c>
      <c r="BE58" s="124" cm="1">
        <f t="array" ref="BE58">_xlfn.IFS(BD58="Undetermined", 0, BD58="Undiluted", BA58*$G58/$F58*1000, BD58="Ten-Fold", BC58*$G58/$F58*1000*10, BD58&lt;0, BC58*$G58/$F58*1000*10, BD58&lt;120, BA58*$G58/$F58*1000, BD58&gt;120, BC58*$G58/$F58*1000*10)</f>
        <v>0</v>
      </c>
      <c r="BF58" s="121">
        <f t="shared" si="14"/>
        <v>0</v>
      </c>
      <c r="BG58" s="121">
        <f t="shared" si="15"/>
        <v>0</v>
      </c>
      <c r="BH58" s="121">
        <f t="shared" si="16"/>
        <v>0</v>
      </c>
      <c r="BI58" s="125" cm="1">
        <f t="array" ref="BI58">_xlfn.IFS(BF58="DELETE", "DELETE", BF58=0, 0, BF58&gt;0,LOG10(BF58))</f>
        <v>0</v>
      </c>
      <c r="BJ58" s="126" cm="1">
        <f t="array" ref="BJ58">_xlfn.IFS(BF58="DELETE", "DELETE", BF58=0, 0, BF58&gt;0, BH58/BF58/LN(10))</f>
        <v>0</v>
      </c>
    </row>
    <row r="59" spans="1:62" s="114" customFormat="1" x14ac:dyDescent="0.3">
      <c r="A59" s="115" t="str">
        <f>UPPER(LEFT(SUBSTITUTE(SUBSTITUTE(qPCR_Raw!A59,"-","")," ",""),2))&amp;RIGHT(SUBSTITUTE(SUBSTITUTE(qPCR_Raw!A59,"-","")," ",""),LEN(SUBSTITUTE(SUBSTITUTE(qPCR_Raw!A59,"-","")," ",""))-2)</f>
        <v>RT7</v>
      </c>
      <c r="B59" s="116" t="str" cm="1">
        <f t="array" ref="B59">_xlfn.IFS(LEFT(A59, LEN(A59)-1)="EP", "EP", LEFT(A59, LEN(A59)-1)="STa", "SPI", LEFT(A59, LEN(A59)-1)="STb", "SPO", LEFT(A59, LEN(A59)-1)="MRT", "MRT", LEFT(A59, LEN(A59)-1)="RG", "RN", LEFT(A59, LEN(A59)-1)="RT", "RU", LEFT(A59, LEN(A59)-1)="RW", "RL", LEFT(A59, LEN(A59)-1)="RC", "RS")</f>
        <v>RU</v>
      </c>
      <c r="C59" s="117">
        <f>qPCR_Raw!B59</f>
        <v>44356</v>
      </c>
      <c r="D59" s="117" t="str">
        <f t="shared" si="0"/>
        <v>RU44356</v>
      </c>
      <c r="E59" s="117" t="str">
        <f t="shared" si="1"/>
        <v>RU443567</v>
      </c>
      <c r="F59" s="118">
        <f>qPCR_Raw!C59</f>
        <v>965</v>
      </c>
      <c r="G59" s="119">
        <f>qPCR_Raw!F59</f>
        <v>100</v>
      </c>
      <c r="H59" s="120">
        <f>qPCR_Raw!G59</f>
        <v>17.164787292480469</v>
      </c>
      <c r="I59" s="121" cm="1">
        <f t="array" ref="I59">_xlfn.IFS(H59="Undetermined", 0, qPCR_Raw!H59-qPCR_Raw!$H$242&lt;0, 0, qPCR_Raw!H59-qPCR_Raw!$H$242&gt;0, qPCR_Raw!H59-qPCR_Raw!$H$242)</f>
        <v>454418.48644612631</v>
      </c>
      <c r="J59" s="122">
        <f>qPCR_Raw!K59</f>
        <v>20.336545944213867</v>
      </c>
      <c r="K59" s="121" cm="1">
        <f t="array" ref="K59">_xlfn.IFS(J59="Undetermined", 0, qPCR_Raw!L59-qPCR_Raw!$H$242&lt;0, 0, qPCR_Raw!L59-qPCR_Raw!$H$242&gt;0, qPCR_Raw!L59-qPCR_Raw!$H$242)</f>
        <v>51879.920039876306</v>
      </c>
      <c r="L59" s="123" cm="1">
        <f t="array" ref="L59">_xlfn.IFS(AND(H59="Undetermined", J59="Undetermined"), "Undetermined", AND(I59=0, K59=0), "Undetermined", AND(I59=0, K59&gt;0), "Ten-Fold", AND(I59&gt;0, K59=0), "Undiluted", AND(H59&lt;&gt;"Undetermined", J59&lt;&gt;"Undetermined", I59&gt;0, K59&gt;0), 100*(-1+10^(-1/(H59-J59))))</f>
        <v>106.67240862704057</v>
      </c>
      <c r="M59" s="124" cm="1">
        <f t="array" ref="M59">_xlfn.IFS(L59="Undetermined", 0, L59="Undiluted", I59*$G59/$F59*1000, L59="Ten-Fold", K59*$G59/$F59*1000*10, L59&lt;0, K59*$G59/$F59*1000*10, L59&lt;120, I59*$G59/$F59*1000, L59&gt;120, K59*$G59/$F59*1000*10)</f>
        <v>47089998.595453508</v>
      </c>
      <c r="N59" s="121" t="str">
        <f t="shared" si="2"/>
        <v>DELETE</v>
      </c>
      <c r="O59" s="121" t="str">
        <f t="shared" si="3"/>
        <v>DELETE</v>
      </c>
      <c r="P59" s="121" t="str">
        <f t="shared" si="4"/>
        <v>DELETE</v>
      </c>
      <c r="Q59" s="125" t="str" cm="1">
        <f t="array" ref="Q59">_xlfn.IFS(N59="DELETE", "DELETE", N59=0, 0, N59&gt;0,LOG10(N59))</f>
        <v>DELETE</v>
      </c>
      <c r="R59" s="126" t="str" cm="1">
        <f t="array" ref="R59">_xlfn.IFS(N59="DELETE", "DELETE", N59=0, 0, N59&gt;0, P59/N59/LN(10))</f>
        <v>DELETE</v>
      </c>
      <c r="S59" s="155">
        <f>qPCR_Raw!O59</f>
        <v>35.266475677490234</v>
      </c>
      <c r="T59" s="156" cm="1">
        <f t="array" ref="T59">_xlfn.IFS(S59="Undetermined", 0, qPCR_Raw!P59&lt;=1, 0, qPCR_Raw!P59&gt;1, qPCR_Raw!P59)</f>
        <v>46.651271820068359</v>
      </c>
      <c r="U59" s="157" t="str">
        <f>qPCR_Raw!R59</f>
        <v>Undetermined</v>
      </c>
      <c r="V59" s="156" cm="1">
        <f t="array" ref="V59">_xlfn.IFS(U59="Undetermined", 0, qPCR_Raw!S59&lt;=1, 0, qPCR_Raw!S59&gt;1, qPCR_Raw!S59)</f>
        <v>0</v>
      </c>
      <c r="W59" s="158" t="str" cm="1">
        <f t="array" ref="W59">_xlfn.IFS(AND(S59="Undetermined", U59="Undetermined"), "Undetermined", AND(T59=0, V59=0), "Undetermined", AND(T59=0, V59&gt;0), "Ten-Fold", AND(T59&gt;0, V59=0), "Undiluted", AND(S59&lt;&gt;"Undetermined", U59&lt;&gt;"Undetermined", T59&gt;0, V59&gt;0, S59&lt;&gt;U59), 100*(-1+10^(-1/(S59-U59))), AND(S59&lt;&gt;"Undetermined", U59&lt;&gt;"Undetermined", S59=U59&gt;0), -100)</f>
        <v>Undiluted</v>
      </c>
      <c r="X59" s="159" cm="1">
        <f t="array" ref="X59">_xlfn.IFS(W59="Undetermined", 0, W59="Undiluted", T59*$G59/$F59*1000, W59="Ten-Fold", V59*$G59/$F59*1000*10, W59&lt;0, V59*$G59/$F59*1000*10, W59&lt;120, T59*$G59/$F59*1000, W59&gt;120, V59*$G59/$F59*1000*10)</f>
        <v>4834.3286860174467</v>
      </c>
      <c r="Y59" s="156" t="str">
        <f t="shared" si="5"/>
        <v>DELETE</v>
      </c>
      <c r="Z59" s="156" t="str">
        <f t="shared" si="6"/>
        <v>DELETE</v>
      </c>
      <c r="AA59" s="156" t="str">
        <f t="shared" si="7"/>
        <v>DELETE</v>
      </c>
      <c r="AB59" s="160" t="str" cm="1">
        <f t="array" ref="AB59">_xlfn.IFS(Y59="DELETE", "DELETE", Y59=0, 0, Y59&gt;0,LOG10(Y59))</f>
        <v>DELETE</v>
      </c>
      <c r="AC59" s="161" t="str" cm="1">
        <f t="array" ref="AC59">_xlfn.IFS(Y59="DELETE", "DELETE", Y59=0, 0, Y59&gt;0, AA59/Y59/LN(10))</f>
        <v>DELETE</v>
      </c>
      <c r="AD59" s="120">
        <f>qPCR_Raw!U59</f>
        <v>33.721363067626953</v>
      </c>
      <c r="AE59" s="121" cm="1">
        <f t="array" ref="AE59">_xlfn.IFS(AD59="Undetermined", 0, qPCR_Raw!V59&lt;=1, 0, qPCR_Raw!V59&gt;1, qPCR_Raw!V59)</f>
        <v>3.3274400234222412</v>
      </c>
      <c r="AF59" s="122" t="str">
        <f>qPCR_Raw!X59</f>
        <v>Undetermined</v>
      </c>
      <c r="AG59" s="121" cm="1">
        <f t="array" ref="AG59">_xlfn.IFS(AF59="Undetermined", 0, qPCR_Raw!Y59&lt;=1, 0, qPCR_Raw!Y59&gt;1, qPCR_Raw!Y59)</f>
        <v>0</v>
      </c>
      <c r="AH59" s="123" t="str" cm="1">
        <f t="array" ref="AH59">_xlfn.IFS(AND(AD59="Undetermined", AF59="Undetermined"), "Undetermined", AND(AE59=0, AG59=0), "Undetermined", AND(AE59=0, AG59&gt;0), "Ten-Fold", AND(AE59&gt;0, AG59=0), "Undiluted", AND(AD59&lt;&gt;"Undetermined", AF59&lt;&gt;"Undetermined", AE59&gt;0, AG59&gt;0, AD59&lt;&gt;AF59), 100*(-1+10^(-1/(AD59-AF59))), AND(AD59&lt;&gt;"Undetermined", AF59&lt;&gt;"Undetermined", AD59=AF59&gt;0), -100)</f>
        <v>Undiluted</v>
      </c>
      <c r="AI59" s="124" cm="1">
        <f t="array" ref="AI59">_xlfn.IFS(AH59="Undetermined", 0, AH59="Undiluted", AE59*$G59/$F59*1000, AH59="Ten-Fold", AG59*$G59/$F59*1000*10, AH59&lt;0, AG59*$G59/$F59*1000*10, AH59&lt;120, AE59*$G59/$F59*1000, AH59&gt;120, AG59*$G59/$F59*1000*10)</f>
        <v>344.81243766033589</v>
      </c>
      <c r="AJ59" s="121" t="str">
        <f t="shared" si="8"/>
        <v>DELETE</v>
      </c>
      <c r="AK59" s="121" t="str">
        <f t="shared" si="9"/>
        <v>DELETE</v>
      </c>
      <c r="AL59" s="121" t="str">
        <f t="shared" si="10"/>
        <v>DELETE</v>
      </c>
      <c r="AM59" s="125" t="str" cm="1">
        <f t="array" ref="AM59">_xlfn.IFS(AJ59="DELETE", "DELETE", AJ59=0, 0, AJ59&gt;0,LOG10(AJ59))</f>
        <v>DELETE</v>
      </c>
      <c r="AN59" s="126" t="str" cm="1">
        <f t="array" ref="AN59">_xlfn.IFS(AJ59="DELETE", "DELETE", AJ59=0, 0, AJ59&gt;0, AL59/AJ59/LN(10))</f>
        <v>DELETE</v>
      </c>
      <c r="AO59" s="155">
        <f>qPCR_Raw!AA59</f>
        <v>32.185390472412109</v>
      </c>
      <c r="AP59" s="156" cm="1">
        <f t="array" ref="AP59">_xlfn.IFS(AO59="Undetermined", 0, qPCR_Raw!AB59&lt;=6, 0, qPCR_Raw!AB59&gt;6, qPCR_Raw!AB59)</f>
        <v>0</v>
      </c>
      <c r="AQ59" s="157">
        <f>qPCR_Raw!AD59</f>
        <v>33.152202606201172</v>
      </c>
      <c r="AR59" s="156" cm="1">
        <f t="array" ref="AR59">_xlfn.IFS(AQ59="Undetermined", 0, qPCR_Raw!AE59&lt;=6, 0, qPCR_Raw!AE59&gt;6, qPCR_Raw!AE59)</f>
        <v>0</v>
      </c>
      <c r="AS59" s="158" t="str" cm="1">
        <f t="array" ref="AS59">_xlfn.IFS(AND(AO59="Undetermined", AQ59="Undetermined"), "Undetermined", AND(AP59=0, AR59=0), "Undetermined", AND(AP59=0, AR59&gt;0), "Ten-Fold", AND(AP59&gt;0, AR59=0), "Undiluted", AND(AO59&lt;&gt;"Undetermined", AQ59&lt;&gt;"Undetermined", AP59&gt;0, AR59&gt;0, AO59&lt;&gt;AQ59), 100*(-1+10^(-1/(AO59-AQ59))), AND(AO59&lt;&gt;"Undetermined", AQ59&lt;&gt;"Undetermined", AO59=AQ59&gt;0), -100)</f>
        <v>Undetermined</v>
      </c>
      <c r="AT59" s="159" cm="1">
        <f t="array" ref="AT59">_xlfn.IFS(AS59="Undetermined", 0, AS59="Undiluted", AP59*$G59/$F59*1000, AS59="Ten-Fold", AR59*$G59/$F59*1000*10, AS59&lt;0, AR59*$G59/$F59*1000*10, AS59&lt;120, AP59*$G59/$F59*1000, AS59&gt;120, AR59*$G59/$F59*1000*10)</f>
        <v>0</v>
      </c>
      <c r="AU59" s="156" t="str">
        <f t="shared" si="11"/>
        <v>DELETE</v>
      </c>
      <c r="AV59" s="156" t="str">
        <f t="shared" si="12"/>
        <v>DELETE</v>
      </c>
      <c r="AW59" s="156" t="str">
        <f t="shared" si="13"/>
        <v>DELETE</v>
      </c>
      <c r="AX59" s="160" t="str" cm="1">
        <f t="array" ref="AX59">_xlfn.IFS(AU59="DELETE", "DELETE", AU59=0, 0, AU59&gt;0,LOG10(AU59))</f>
        <v>DELETE</v>
      </c>
      <c r="AY59" s="161" t="str" cm="1">
        <f t="array" ref="AY59">_xlfn.IFS(AU59="DELETE", "DELETE", AU59=0, 0, AU59&gt;0, AW59/AU59/LN(10))</f>
        <v>DELETE</v>
      </c>
      <c r="AZ59" s="120" t="str">
        <f>qPCR_Raw!AG59</f>
        <v>Undetermined</v>
      </c>
      <c r="BA59" s="121" cm="1">
        <f t="array" ref="BA59">_xlfn.IFS(AZ59="Undetermined", 0, qPCR_Raw!AH59&lt;=1, 0, qPCR_Raw!AH59&gt;1, qPCR_Raw!AH59)</f>
        <v>0</v>
      </c>
      <c r="BB59" s="122" t="str">
        <f>qPCR_Raw!AJ59</f>
        <v>Undetermined</v>
      </c>
      <c r="BC59" s="121" cm="1">
        <f t="array" ref="BC59">_xlfn.IFS(BB59="Undetermined", 0, qPCR_Raw!AK59&lt;=1, 0, qPCR_Raw!AK59&gt;1, qPCR_Raw!AK59)</f>
        <v>0</v>
      </c>
      <c r="BD59" s="123" t="str" cm="1">
        <f t="array" ref="BD59">_xlfn.IFS(AND(AZ59="Undetermined", BB59="Undetermined"), "Undetermined", AND(BA59=0, BC59=0), "Undetermined", AND(BA59=0, BC59&gt;0), "Ten-Fold", AND(BA59&gt;0, BC59=0), "Undiluted", AND(AZ59&lt;&gt;"Undetermined", BB59&lt;&gt;"Undetermined", BA59&gt;0, BC59&gt;0, AZ59&lt;&gt;BB59), 100*(-1+10^(-1/(AZ59-BB59))), AND(AZ59&lt;&gt;"Undetermined", BB59&lt;&gt;"Undetermined", AZ59=BB59&gt;0), -100)</f>
        <v>Undetermined</v>
      </c>
      <c r="BE59" s="124" cm="1">
        <f t="array" ref="BE59">_xlfn.IFS(BD59="Undetermined", 0, BD59="Undiluted", BA59*$G59/$F59*1000, BD59="Ten-Fold", BC59*$G59/$F59*1000*10, BD59&lt;0, BC59*$G59/$F59*1000*10, BD59&lt;120, BA59*$G59/$F59*1000, BD59&gt;120, BC59*$G59/$F59*1000*10)</f>
        <v>0</v>
      </c>
      <c r="BF59" s="121" t="str">
        <f t="shared" si="14"/>
        <v>DELETE</v>
      </c>
      <c r="BG59" s="121" t="str">
        <f t="shared" si="15"/>
        <v>DELETE</v>
      </c>
      <c r="BH59" s="121" t="str">
        <f t="shared" si="16"/>
        <v>DELETE</v>
      </c>
      <c r="BI59" s="125" t="str" cm="1">
        <f t="array" ref="BI59">_xlfn.IFS(BF59="DELETE", "DELETE", BF59=0, 0, BF59&gt;0,LOG10(BF59))</f>
        <v>DELETE</v>
      </c>
      <c r="BJ59" s="126" t="str" cm="1">
        <f t="array" ref="BJ59">_xlfn.IFS(BF59="DELETE", "DELETE", BF59=0, 0, BF59&gt;0, BH59/BF59/LN(10))</f>
        <v>DELETE</v>
      </c>
    </row>
    <row r="60" spans="1:62" s="114" customFormat="1" x14ac:dyDescent="0.3">
      <c r="A60" s="115" t="str">
        <f>UPPER(LEFT(SUBSTITUTE(SUBSTITUTE(qPCR_Raw!A60,"-","")," ",""),2))&amp;RIGHT(SUBSTITUTE(SUBSTITUTE(qPCR_Raw!A60,"-","")," ",""),LEN(SUBSTITUTE(SUBSTITUTE(qPCR_Raw!A60,"-","")," ",""))-2)</f>
        <v>STb6</v>
      </c>
      <c r="B60" s="116" t="str" cm="1">
        <f t="array" ref="B60">_xlfn.IFS(LEFT(A60, LEN(A60)-1)="EP", "EP", LEFT(A60, LEN(A60)-1)="STa", "SPI", LEFT(A60, LEN(A60)-1)="STb", "SPO", LEFT(A60, LEN(A60)-1)="MRT", "MRT", LEFT(A60, LEN(A60)-1)="RG", "RN", LEFT(A60, LEN(A60)-1)="RT", "RU", LEFT(A60, LEN(A60)-1)="RW", "RL", LEFT(A60, LEN(A60)-1)="RC", "RS")</f>
        <v>SPO</v>
      </c>
      <c r="C60" s="117">
        <f>qPCR_Raw!B60</f>
        <v>44356</v>
      </c>
      <c r="D60" s="117" t="str">
        <f t="shared" si="0"/>
        <v>SPO44356</v>
      </c>
      <c r="E60" s="117" t="str">
        <f t="shared" si="1"/>
        <v>SPO443566</v>
      </c>
      <c r="F60" s="118">
        <f>qPCR_Raw!C60</f>
        <v>1000</v>
      </c>
      <c r="G60" s="119">
        <f>qPCR_Raw!F60</f>
        <v>100</v>
      </c>
      <c r="H60" s="120">
        <f>qPCR_Raw!G60</f>
        <v>19.574769973754883</v>
      </c>
      <c r="I60" s="121" cm="1">
        <f t="array" ref="I60">_xlfn.IFS(H60="Undetermined", 0, qPCR_Raw!H60-qPCR_Raw!$H$242&lt;0, 0, qPCR_Raw!H60-qPCR_Raw!$H$242&gt;0, qPCR_Raw!H60-qPCR_Raw!$H$242)</f>
        <v>91246.900508626306</v>
      </c>
      <c r="J60" s="122">
        <f>qPCR_Raw!K60</f>
        <v>22.431432723999023</v>
      </c>
      <c r="K60" s="121" cm="1">
        <f t="array" ref="K60">_xlfn.IFS(J60="Undetermined", 0, qPCR_Raw!L60-qPCR_Raw!$H$242&lt;0, 0, qPCR_Raw!L60-qPCR_Raw!$H$242&gt;0, qPCR_Raw!L60-qPCR_Raw!$H$242)</f>
        <v>4616.9395711263023</v>
      </c>
      <c r="L60" s="123" cm="1">
        <f t="array" ref="L60">_xlfn.IFS(AND(H60="Undetermined", J60="Undetermined"), "Undetermined", AND(I60=0, K60=0), "Undetermined", AND(I60=0, K60&gt;0), "Ten-Fold", AND(I60&gt;0, K60=0), "Undiluted", AND(H60&lt;&gt;"Undetermined", J60&lt;&gt;"Undetermined", I60&gt;0, K60&gt;0), 100*(-1+10^(-1/(H60-J60))))</f>
        <v>123.90243825005184</v>
      </c>
      <c r="M60" s="124" cm="1">
        <f t="array" ref="M60">_xlfn.IFS(L60="Undetermined", 0, L60="Undiluted", I60*$G60/$F60*1000, L60="Ten-Fold", K60*$G60/$F60*1000*10, L60&lt;0, K60*$G60/$F60*1000*10, L60&lt;120, I60*$G60/$F60*1000, L60&gt;120, K60*$G60/$F60*1000*10)</f>
        <v>4616939.5711263027</v>
      </c>
      <c r="N60" s="121">
        <f t="shared" si="2"/>
        <v>7621051.6536266599</v>
      </c>
      <c r="O60" s="121">
        <f t="shared" si="3"/>
        <v>4248456.0499608871</v>
      </c>
      <c r="P60" s="121">
        <f t="shared" si="4"/>
        <v>3004112.0825003567</v>
      </c>
      <c r="Q60" s="125" cm="1">
        <f t="array" ref="Q60">_xlfn.IFS(N60="DELETE", "DELETE", N60=0, 0, N60&gt;0,LOG10(N60))</f>
        <v>6.8820149051785551</v>
      </c>
      <c r="R60" s="126" cm="1">
        <f t="array" ref="R60">_xlfn.IFS(N60="DELETE", "DELETE", N60=0, 0, N60&gt;0, P60/N60/LN(10))</f>
        <v>0.171192816916276</v>
      </c>
      <c r="S60" s="155">
        <f>qPCR_Raw!O60</f>
        <v>33.236808776855469</v>
      </c>
      <c r="T60" s="156" cm="1">
        <f t="array" ref="T60">_xlfn.IFS(S60="Undetermined", 0, qPCR_Raw!P60&lt;=1, 0, qPCR_Raw!P60&gt;1, qPCR_Raw!P60)</f>
        <v>156.31120300292969</v>
      </c>
      <c r="U60" s="157">
        <f>qPCR_Raw!R60</f>
        <v>36.628978729248047</v>
      </c>
      <c r="V60" s="156" cm="1">
        <f t="array" ref="V60">_xlfn.IFS(U60="Undetermined", 0, qPCR_Raw!S60&lt;=1, 0, qPCR_Raw!S60&gt;1, qPCR_Raw!S60)</f>
        <v>20.71806526184082</v>
      </c>
      <c r="W60" s="158" cm="1">
        <f t="array" ref="W60">_xlfn.IFS(AND(S60="Undetermined", U60="Undetermined"), "Undetermined", AND(T60=0, V60=0), "Undetermined", AND(T60=0, V60&gt;0), "Ten-Fold", AND(T60&gt;0, V60=0), "Undiluted", AND(S60&lt;&gt;"Undetermined", U60&lt;&gt;"Undetermined", T60&gt;0, V60&gt;0, S60&lt;&gt;U60), 100*(-1+10^(-1/(S60-U60))), AND(S60&lt;&gt;"Undetermined", U60&lt;&gt;"Undetermined", S60=U60&gt;0), -100)</f>
        <v>97.149895087361287</v>
      </c>
      <c r="X60" s="159" cm="1">
        <f t="array" ref="X60">_xlfn.IFS(W60="Undetermined", 0, W60="Undiluted", T60*$G60/$F60*1000, W60="Ten-Fold", V60*$G60/$F60*1000*10, W60&lt;0, V60*$G60/$F60*1000*10, W60&lt;120, T60*$G60/$F60*1000, W60&gt;120, V60*$G60/$F60*1000*10)</f>
        <v>15631.120300292969</v>
      </c>
      <c r="Y60" s="156">
        <f t="shared" si="5"/>
        <v>25427.847262077932</v>
      </c>
      <c r="Z60" s="156">
        <f t="shared" si="6"/>
        <v>13854.664136222464</v>
      </c>
      <c r="AA60" s="156">
        <f t="shared" si="7"/>
        <v>9796.7269617849652</v>
      </c>
      <c r="AB60" s="160" cm="1">
        <f t="array" ref="AB60">_xlfn.IFS(Y60="DELETE", "DELETE", Y60=0, 0, Y60&gt;0,LOG10(Y60))</f>
        <v>4.4053095940815297</v>
      </c>
      <c r="AC60" s="161" cm="1">
        <f t="array" ref="AC60">_xlfn.IFS(Y60="DELETE", "DELETE", Y60=0, 0, Y60&gt;0, AA60/Y60/LN(10))</f>
        <v>0.16732303039122209</v>
      </c>
      <c r="AD60" s="120">
        <f>qPCR_Raw!U60</f>
        <v>32.386898040771484</v>
      </c>
      <c r="AE60" s="121" cm="1">
        <f t="array" ref="AE60">_xlfn.IFS(AD60="Undetermined", 0, qPCR_Raw!V60&lt;=1, 0, qPCR_Raw!V60&gt;1, qPCR_Raw!V60)</f>
        <v>7.8514366149902344</v>
      </c>
      <c r="AF60" s="122">
        <f>qPCR_Raw!X60</f>
        <v>34.804317474365234</v>
      </c>
      <c r="AG60" s="121" cm="1">
        <f t="array" ref="AG60">_xlfn.IFS(AF60="Undetermined", 0, qPCR_Raw!Y60&lt;=1, 0, qPCR_Raw!Y60&gt;1, qPCR_Raw!Y60)</f>
        <v>1.6578353643417358</v>
      </c>
      <c r="AH60" s="123" cm="1">
        <f t="array" ref="AH60">_xlfn.IFS(AND(AD60="Undetermined", AF60="Undetermined"), "Undetermined", AND(AE60=0, AG60=0), "Undetermined", AND(AE60=0, AG60&gt;0), "Ten-Fold", AND(AE60&gt;0, AG60=0), "Undiluted", AND(AD60&lt;&gt;"Undetermined", AF60&lt;&gt;"Undetermined", AE60&gt;0, AG60&gt;0, AD60&lt;&gt;AF60), 100*(-1+10^(-1/(AD60-AF60))), AND(AD60&lt;&gt;"Undetermined", AF60&lt;&gt;"Undetermined", AD60=AF60&gt;0), -100)</f>
        <v>159.21746029639058</v>
      </c>
      <c r="AI60" s="124" cm="1">
        <f t="array" ref="AI60">_xlfn.IFS(AH60="Undetermined", 0, AH60="Undiluted", AE60*$G60/$F60*1000, AH60="Ten-Fold", AG60*$G60/$F60*1000*10, AH60&lt;0, AG60*$G60/$F60*1000*10, AH60&lt;120, AE60*$G60/$F60*1000, AH60&gt;120, AG60*$G60/$F60*1000*10)</f>
        <v>1657.8353643417358</v>
      </c>
      <c r="AJ60" s="121">
        <f t="shared" si="8"/>
        <v>2143.2214447965171</v>
      </c>
      <c r="AK60" s="121">
        <f t="shared" si="9"/>
        <v>686.43957796626887</v>
      </c>
      <c r="AL60" s="121">
        <f t="shared" si="10"/>
        <v>485.38608045478048</v>
      </c>
      <c r="AM60" s="125" cm="1">
        <f t="array" ref="AM60">_xlfn.IFS(AJ60="DELETE", "DELETE", AJ60=0, 0, AJ60&gt;0,LOG10(AJ60))</f>
        <v>3.3310670461162957</v>
      </c>
      <c r="AN60" s="126" cm="1">
        <f t="array" ref="AN60">_xlfn.IFS(AJ60="DELETE", "DELETE", AJ60=0, 0, AJ60&gt;0, AL60/AJ60/LN(10))</f>
        <v>9.8356843547808437E-2</v>
      </c>
      <c r="AO60" s="155">
        <f>qPCR_Raw!AA60</f>
        <v>28.558544158935547</v>
      </c>
      <c r="AP60" s="156" cm="1">
        <f t="array" ref="AP60">_xlfn.IFS(AO60="Undetermined", 0, qPCR_Raw!AB60&lt;=6, 0, qPCR_Raw!AB60&gt;6, qPCR_Raw!AB60)</f>
        <v>7.2790412902832031</v>
      </c>
      <c r="AQ60" s="157">
        <f>qPCR_Raw!AD60</f>
        <v>31.440120697021484</v>
      </c>
      <c r="AR60" s="156" cm="1">
        <f t="array" ref="AR60">_xlfn.IFS(AQ60="Undetermined", 0, qPCR_Raw!AE60&lt;=6, 0, qPCR_Raw!AE60&gt;6, qPCR_Raw!AE60)</f>
        <v>0</v>
      </c>
      <c r="AS60" s="158" t="str" cm="1">
        <f t="array" ref="AS60">_xlfn.IFS(AND(AO60="Undetermined", AQ60="Undetermined"), "Undetermined", AND(AP60=0, AR60=0), "Undetermined", AND(AP60=0, AR60&gt;0), "Ten-Fold", AND(AP60&gt;0, AR60=0), "Undiluted", AND(AO60&lt;&gt;"Undetermined", AQ60&lt;&gt;"Undetermined", AP60&gt;0, AR60&gt;0, AO60&lt;&gt;AQ60), 100*(-1+10^(-1/(AO60-AQ60))), AND(AO60&lt;&gt;"Undetermined", AQ60&lt;&gt;"Undetermined", AO60=AQ60&gt;0), -100)</f>
        <v>Undiluted</v>
      </c>
      <c r="AT60" s="159" cm="1">
        <f t="array" ref="AT60">_xlfn.IFS(AS60="Undetermined", 0, AS60="Undiluted", AP60*$G60/$F60*1000, AS60="Ten-Fold", AR60*$G60/$F60*1000*10, AS60&lt;0, AR60*$G60/$F60*1000*10, AS60&lt;120, AP60*$G60/$F60*1000, AS60&gt;120, AR60*$G60/$F60*1000*10)</f>
        <v>727.90412902832031</v>
      </c>
      <c r="AU60" s="156">
        <f t="shared" si="11"/>
        <v>930.36455583822044</v>
      </c>
      <c r="AV60" s="156">
        <f t="shared" si="12"/>
        <v>286.32228143840615</v>
      </c>
      <c r="AW60" s="156">
        <f t="shared" si="13"/>
        <v>202.46042680990013</v>
      </c>
      <c r="AX60" s="160" cm="1">
        <f t="array" ref="AX60">_xlfn.IFS(AU60="DELETE", "DELETE", AU60=0, 0, AU60&gt;0,LOG10(AU60))</f>
        <v>2.968653156689125</v>
      </c>
      <c r="AY60" s="161" cm="1">
        <f t="array" ref="AY60">_xlfn.IFS(AU60="DELETE", "DELETE", AU60=0, 0, AU60&gt;0, AW60/AU60/LN(10))</f>
        <v>9.4508594094169632E-2</v>
      </c>
      <c r="AZ60" s="120" t="str">
        <f>qPCR_Raw!AG60</f>
        <v>Undetermined</v>
      </c>
      <c r="BA60" s="121" cm="1">
        <f t="array" ref="BA60">_xlfn.IFS(AZ60="Undetermined", 0, qPCR_Raw!AH60&lt;=1, 0, qPCR_Raw!AH60&gt;1, qPCR_Raw!AH60)</f>
        <v>0</v>
      </c>
      <c r="BB60" s="122">
        <f>qPCR_Raw!AJ60</f>
        <v>38.5850830078125</v>
      </c>
      <c r="BC60" s="121" cm="1">
        <f t="array" ref="BC60">_xlfn.IFS(BB60="Undetermined", 0, qPCR_Raw!AK60&lt;=1, 0, qPCR_Raw!AK60&gt;1, qPCR_Raw!AK60)</f>
        <v>0</v>
      </c>
      <c r="BD60" s="123" t="str" cm="1">
        <f t="array" ref="BD60">_xlfn.IFS(AND(AZ60="Undetermined", BB60="Undetermined"), "Undetermined", AND(BA60=0, BC60=0), "Undetermined", AND(BA60=0, BC60&gt;0), "Ten-Fold", AND(BA60&gt;0, BC60=0), "Undiluted", AND(AZ60&lt;&gt;"Undetermined", BB60&lt;&gt;"Undetermined", BA60&gt;0, BC60&gt;0, AZ60&lt;&gt;BB60), 100*(-1+10^(-1/(AZ60-BB60))), AND(AZ60&lt;&gt;"Undetermined", BB60&lt;&gt;"Undetermined", AZ60=BB60&gt;0), -100)</f>
        <v>Undetermined</v>
      </c>
      <c r="BE60" s="124" cm="1">
        <f t="array" ref="BE60">_xlfn.IFS(BD60="Undetermined", 0, BD60="Undiluted", BA60*$G60/$F60*1000, BD60="Ten-Fold", BC60*$G60/$F60*1000*10, BD60&lt;0, BC60*$G60/$F60*1000*10, BD60&lt;120, BA60*$G60/$F60*1000, BD60&gt;120, BC60*$G60/$F60*1000*10)</f>
        <v>0</v>
      </c>
      <c r="BF60" s="121">
        <f t="shared" si="14"/>
        <v>0</v>
      </c>
      <c r="BG60" s="121">
        <f t="shared" si="15"/>
        <v>0</v>
      </c>
      <c r="BH60" s="121">
        <f t="shared" si="16"/>
        <v>0</v>
      </c>
      <c r="BI60" s="125" cm="1">
        <f t="array" ref="BI60">_xlfn.IFS(BF60="DELETE", "DELETE", BF60=0, 0, BF60&gt;0,LOG10(BF60))</f>
        <v>0</v>
      </c>
      <c r="BJ60" s="126" cm="1">
        <f t="array" ref="BJ60">_xlfn.IFS(BF60="DELETE", "DELETE", BF60=0, 0, BF60&gt;0, BH60/BF60/LN(10))</f>
        <v>0</v>
      </c>
    </row>
    <row r="61" spans="1:62" s="114" customFormat="1" x14ac:dyDescent="0.3">
      <c r="A61" s="115" t="str">
        <f>UPPER(LEFT(SUBSTITUTE(SUBSTITUTE(qPCR_Raw!A61,"-","")," ",""),2))&amp;RIGHT(SUBSTITUTE(SUBSTITUTE(qPCR_Raw!A61,"-","")," ",""),LEN(SUBSTITUTE(SUBSTITUTE(qPCR_Raw!A61,"-","")," ",""))-2)</f>
        <v>STb7</v>
      </c>
      <c r="B61" s="116" t="str" cm="1">
        <f t="array" ref="B61">_xlfn.IFS(LEFT(A61, LEN(A61)-1)="EP", "EP", LEFT(A61, LEN(A61)-1)="STa", "SPI", LEFT(A61, LEN(A61)-1)="STb", "SPO", LEFT(A61, LEN(A61)-1)="MRT", "MRT", LEFT(A61, LEN(A61)-1)="RG", "RN", LEFT(A61, LEN(A61)-1)="RT", "RU", LEFT(A61, LEN(A61)-1)="RW", "RL", LEFT(A61, LEN(A61)-1)="RC", "RS")</f>
        <v>SPO</v>
      </c>
      <c r="C61" s="117">
        <f>qPCR_Raw!B61</f>
        <v>44356</v>
      </c>
      <c r="D61" s="117" t="str">
        <f t="shared" si="0"/>
        <v>SPO44356</v>
      </c>
      <c r="E61" s="117" t="str">
        <f t="shared" si="1"/>
        <v>SPO443567</v>
      </c>
      <c r="F61" s="118">
        <f>qPCR_Raw!C61</f>
        <v>955</v>
      </c>
      <c r="G61" s="119">
        <f>qPCR_Raw!F61</f>
        <v>100</v>
      </c>
      <c r="H61" s="120">
        <f>qPCR_Raw!G61</f>
        <v>19.823375701904297</v>
      </c>
      <c r="I61" s="121" cm="1">
        <f t="array" ref="I61">_xlfn.IFS(H61="Undetermined", 0, qPCR_Raw!H61-qPCR_Raw!$H$242&lt;0, 0, qPCR_Raw!H61-qPCR_Raw!$H$242&gt;0, qPCR_Raw!H61-qPCR_Raw!$H$242)</f>
        <v>76299.322383626306</v>
      </c>
      <c r="J61" s="122">
        <f>qPCR_Raw!K61</f>
        <v>21.99260139465332</v>
      </c>
      <c r="K61" s="121" cm="1">
        <f t="array" ref="K61">_xlfn.IFS(J61="Undetermined", 0, qPCR_Raw!L61-qPCR_Raw!$H$242&lt;0, 0, qPCR_Raw!L61-qPCR_Raw!$H$242&gt;0, qPCR_Raw!L61-qPCR_Raw!$H$242)</f>
        <v>10147.031368001302</v>
      </c>
      <c r="L61" s="123" cm="1">
        <f t="array" ref="L61">_xlfn.IFS(AND(H61="Undetermined", J61="Undetermined"), "Undetermined", AND(I61=0, K61=0), "Undetermined", AND(I61=0, K61&gt;0), "Ten-Fold", AND(I61&gt;0, K61=0), "Undiluted", AND(H61&lt;&gt;"Undetermined", J61&lt;&gt;"Undetermined", I61&gt;0, K61&gt;0), 100*(-1+10^(-1/(H61-J61))))</f>
        <v>189.06398574311058</v>
      </c>
      <c r="M61" s="124" cm="1">
        <f t="array" ref="M61">_xlfn.IFS(L61="Undetermined", 0, L61="Undiluted", I61*$G61/$F61*1000, L61="Ten-Fold", K61*$G61/$F61*1000*10, L61&lt;0, K61*$G61/$F61*1000*10, L61&lt;120, I61*$G61/$F61*1000, L61&gt;120, K61*$G61/$F61*1000*10)</f>
        <v>10625163.736127017</v>
      </c>
      <c r="N61" s="121" t="str">
        <f t="shared" si="2"/>
        <v>DELETE</v>
      </c>
      <c r="O61" s="121" t="str">
        <f t="shared" si="3"/>
        <v>DELETE</v>
      </c>
      <c r="P61" s="121" t="str">
        <f t="shared" si="4"/>
        <v>DELETE</v>
      </c>
      <c r="Q61" s="125" t="str" cm="1">
        <f t="array" ref="Q61">_xlfn.IFS(N61="DELETE", "DELETE", N61=0, 0, N61&gt;0,LOG10(N61))</f>
        <v>DELETE</v>
      </c>
      <c r="R61" s="126" t="str" cm="1">
        <f t="array" ref="R61">_xlfn.IFS(N61="DELETE", "DELETE", N61=0, 0, N61&gt;0, P61/N61/LN(10))</f>
        <v>DELETE</v>
      </c>
      <c r="S61" s="155">
        <f>qPCR_Raw!O61</f>
        <v>31.950275421142578</v>
      </c>
      <c r="T61" s="156" cm="1">
        <f t="array" ref="T61">_xlfn.IFS(S61="Undetermined", 0, qPCR_Raw!P61&lt;=1, 0, qPCR_Raw!P61&gt;1, qPCR_Raw!P61)</f>
        <v>336.39468383789063</v>
      </c>
      <c r="U61" s="157">
        <f>qPCR_Raw!R61</f>
        <v>35.962715148925781</v>
      </c>
      <c r="V61" s="156" cm="1">
        <f t="array" ref="V61">_xlfn.IFS(U61="Undetermined", 0, qPCR_Raw!S61&lt;=1, 0, qPCR_Raw!S61&gt;1, qPCR_Raw!S61)</f>
        <v>30.812616348266602</v>
      </c>
      <c r="W61" s="158" cm="1">
        <f t="array" ref="W61">_xlfn.IFS(AND(S61="Undetermined", U61="Undetermined"), "Undetermined", AND(T61=0, V61=0), "Undetermined", AND(T61=0, V61&gt;0), "Ten-Fold", AND(T61&gt;0, V61=0), "Undiluted", AND(S61&lt;&gt;"Undetermined", U61&lt;&gt;"Undetermined", T61&gt;0, V61&gt;0, S61&lt;&gt;U61), 100*(-1+10^(-1/(S61-U61))), AND(S61&lt;&gt;"Undetermined", U61&lt;&gt;"Undetermined", S61=U61&gt;0), -100)</f>
        <v>77.510859744986107</v>
      </c>
      <c r="X61" s="159" cm="1">
        <f t="array" ref="X61">_xlfn.IFS(W61="Undetermined", 0, W61="Undiluted", T61*$G61/$F61*1000, W61="Ten-Fold", V61*$G61/$F61*1000*10, W61&lt;0, V61*$G61/$F61*1000*10, W61&lt;120, T61*$G61/$F61*1000, W61&gt;120, V61*$G61/$F61*1000*10)</f>
        <v>35224.574223862895</v>
      </c>
      <c r="Y61" s="156" t="str">
        <f t="shared" si="5"/>
        <v>DELETE</v>
      </c>
      <c r="Z61" s="156" t="str">
        <f t="shared" si="6"/>
        <v>DELETE</v>
      </c>
      <c r="AA61" s="156" t="str">
        <f t="shared" si="7"/>
        <v>DELETE</v>
      </c>
      <c r="AB61" s="160" t="str" cm="1">
        <f t="array" ref="AB61">_xlfn.IFS(Y61="DELETE", "DELETE", Y61=0, 0, Y61&gt;0,LOG10(Y61))</f>
        <v>DELETE</v>
      </c>
      <c r="AC61" s="161" t="str" cm="1">
        <f t="array" ref="AC61">_xlfn.IFS(Y61="DELETE", "DELETE", Y61=0, 0, Y61&gt;0, AA61/Y61/LN(10))</f>
        <v>DELETE</v>
      </c>
      <c r="AD61" s="120">
        <f>qPCR_Raw!U61</f>
        <v>34.748325347900391</v>
      </c>
      <c r="AE61" s="121" cm="1">
        <f t="array" ref="AE61">_xlfn.IFS(AD61="Undetermined", 0, qPCR_Raw!V61&lt;=1, 0, qPCR_Raw!V61&gt;1, qPCR_Raw!V61)</f>
        <v>1.718640923500061</v>
      </c>
      <c r="AF61" s="122">
        <f>qPCR_Raw!X61</f>
        <v>34.159389495849609</v>
      </c>
      <c r="AG61" s="121" cm="1">
        <f t="array" ref="AG61">_xlfn.IFS(AF61="Undetermined", 0, qPCR_Raw!Y61&lt;=1, 0, qPCR_Raw!Y61&gt;1, qPCR_Raw!Y61)</f>
        <v>2.5103201866149902</v>
      </c>
      <c r="AH61" s="123" cm="1">
        <f t="array" ref="AH61">_xlfn.IFS(AND(AD61="Undetermined", AF61="Undetermined"), "Undetermined", AND(AE61=0, AG61=0), "Undetermined", AND(AE61=0, AG61&gt;0), "Ten-Fold", AND(AE61&gt;0, AG61=0), "Undiluted", AND(AD61&lt;&gt;"Undetermined", AF61&lt;&gt;"Undetermined", AE61&gt;0, AG61&gt;0, AD61&lt;&gt;AF61), 100*(-1+10^(-1/(AD61-AF61))), AND(AD61&lt;&gt;"Undetermined", AF61&lt;&gt;"Undetermined", AD61=AF61&gt;0), -100)</f>
        <v>-97.995425487780338</v>
      </c>
      <c r="AI61" s="124" cm="1">
        <f t="array" ref="AI61">_xlfn.IFS(AH61="Undetermined", 0, AH61="Undiluted", AE61*$G61/$F61*1000, AH61="Ten-Fold", AG61*$G61/$F61*1000*10, AH61&lt;0, AG61*$G61/$F61*1000*10, AH61&lt;120, AE61*$G61/$F61*1000, AH61&gt;120, AG61*$G61/$F61*1000*10)</f>
        <v>2628.6075252512983</v>
      </c>
      <c r="AJ61" s="121" t="str">
        <f t="shared" si="8"/>
        <v>DELETE</v>
      </c>
      <c r="AK61" s="121" t="str">
        <f t="shared" si="9"/>
        <v>DELETE</v>
      </c>
      <c r="AL61" s="121" t="str">
        <f t="shared" si="10"/>
        <v>DELETE</v>
      </c>
      <c r="AM61" s="125" t="str" cm="1">
        <f t="array" ref="AM61">_xlfn.IFS(AJ61="DELETE", "DELETE", AJ61=0, 0, AJ61&gt;0,LOG10(AJ61))</f>
        <v>DELETE</v>
      </c>
      <c r="AN61" s="126" t="str" cm="1">
        <f t="array" ref="AN61">_xlfn.IFS(AJ61="DELETE", "DELETE", AJ61=0, 0, AJ61&gt;0, AL61/AJ61/LN(10))</f>
        <v>DELETE</v>
      </c>
      <c r="AO61" s="155">
        <f>qPCR_Raw!AA61</f>
        <v>27.966323852539063</v>
      </c>
      <c r="AP61" s="156" cm="1">
        <f t="array" ref="AP61">_xlfn.IFS(AO61="Undetermined", 0, qPCR_Raw!AB61&lt;=6, 0, qPCR_Raw!AB61&gt;6, qPCR_Raw!AB61)</f>
        <v>10.818478584289551</v>
      </c>
      <c r="AQ61" s="157" t="str">
        <f>qPCR_Raw!AD61</f>
        <v>Undetermined</v>
      </c>
      <c r="AR61" s="156" cm="1">
        <f t="array" ref="AR61">_xlfn.IFS(AQ61="Undetermined", 0, qPCR_Raw!AE61&lt;=6, 0, qPCR_Raw!AE61&gt;6, qPCR_Raw!AE61)</f>
        <v>0</v>
      </c>
      <c r="AS61" s="158" t="str" cm="1">
        <f t="array" ref="AS61">_xlfn.IFS(AND(AO61="Undetermined", AQ61="Undetermined"), "Undetermined", AND(AP61=0, AR61=0), "Undetermined", AND(AP61=0, AR61&gt;0), "Ten-Fold", AND(AP61&gt;0, AR61=0), "Undiluted", AND(AO61&lt;&gt;"Undetermined", AQ61&lt;&gt;"Undetermined", AP61&gt;0, AR61&gt;0, AO61&lt;&gt;AQ61), 100*(-1+10^(-1/(AO61-AQ61))), AND(AO61&lt;&gt;"Undetermined", AQ61&lt;&gt;"Undetermined", AO61=AQ61&gt;0), -100)</f>
        <v>Undiluted</v>
      </c>
      <c r="AT61" s="159" cm="1">
        <f t="array" ref="AT61">_xlfn.IFS(AS61="Undetermined", 0, AS61="Undiluted", AP61*$G61/$F61*1000, AS61="Ten-Fold", AR61*$G61/$F61*1000*10, AS61&lt;0, AR61*$G61/$F61*1000*10, AS61&lt;120, AP61*$G61/$F61*1000, AS61&gt;120, AR61*$G61/$F61*1000*10)</f>
        <v>1132.8249826481206</v>
      </c>
      <c r="AU61" s="156" t="str">
        <f t="shared" si="11"/>
        <v>DELETE</v>
      </c>
      <c r="AV61" s="156" t="str">
        <f t="shared" si="12"/>
        <v>DELETE</v>
      </c>
      <c r="AW61" s="156" t="str">
        <f t="shared" si="13"/>
        <v>DELETE</v>
      </c>
      <c r="AX61" s="160" t="str" cm="1">
        <f t="array" ref="AX61">_xlfn.IFS(AU61="DELETE", "DELETE", AU61=0, 0, AU61&gt;0,LOG10(AU61))</f>
        <v>DELETE</v>
      </c>
      <c r="AY61" s="161" t="str" cm="1">
        <f t="array" ref="AY61">_xlfn.IFS(AU61="DELETE", "DELETE", AU61=0, 0, AU61&gt;0, AW61/AU61/LN(10))</f>
        <v>DELETE</v>
      </c>
      <c r="AZ61" s="120">
        <f>qPCR_Raw!AG61</f>
        <v>36.682628631591797</v>
      </c>
      <c r="BA61" s="121" cm="1">
        <f t="array" ref="BA61">_xlfn.IFS(AZ61="Undetermined", 0, qPCR_Raw!AH61&lt;=1, 0, qPCR_Raw!AH61&gt;1, qPCR_Raw!AH61)</f>
        <v>0</v>
      </c>
      <c r="BB61" s="122">
        <f>qPCR_Raw!AJ61</f>
        <v>38.455600738525391</v>
      </c>
      <c r="BC61" s="121" cm="1">
        <f t="array" ref="BC61">_xlfn.IFS(BB61="Undetermined", 0, qPCR_Raw!AK61&lt;=1, 0, qPCR_Raw!AK61&gt;1, qPCR_Raw!AK61)</f>
        <v>0</v>
      </c>
      <c r="BD61" s="123" t="str" cm="1">
        <f t="array" ref="BD61">_xlfn.IFS(AND(AZ61="Undetermined", BB61="Undetermined"), "Undetermined", AND(BA61=0, BC61=0), "Undetermined", AND(BA61=0, BC61&gt;0), "Ten-Fold", AND(BA61&gt;0, BC61=0), "Undiluted", AND(AZ61&lt;&gt;"Undetermined", BB61&lt;&gt;"Undetermined", BA61&gt;0, BC61&gt;0, AZ61&lt;&gt;BB61), 100*(-1+10^(-1/(AZ61-BB61))), AND(AZ61&lt;&gt;"Undetermined", BB61&lt;&gt;"Undetermined", AZ61=BB61&gt;0), -100)</f>
        <v>Undetermined</v>
      </c>
      <c r="BE61" s="124" cm="1">
        <f t="array" ref="BE61">_xlfn.IFS(BD61="Undetermined", 0, BD61="Undiluted", BA61*$G61/$F61*1000, BD61="Ten-Fold", BC61*$G61/$F61*1000*10, BD61&lt;0, BC61*$G61/$F61*1000*10, BD61&lt;120, BA61*$G61/$F61*1000, BD61&gt;120, BC61*$G61/$F61*1000*10)</f>
        <v>0</v>
      </c>
      <c r="BF61" s="121" t="str">
        <f t="shared" si="14"/>
        <v>DELETE</v>
      </c>
      <c r="BG61" s="121" t="str">
        <f t="shared" si="15"/>
        <v>DELETE</v>
      </c>
      <c r="BH61" s="121" t="str">
        <f t="shared" si="16"/>
        <v>DELETE</v>
      </c>
      <c r="BI61" s="125" t="str" cm="1">
        <f t="array" ref="BI61">_xlfn.IFS(BF61="DELETE", "DELETE", BF61=0, 0, BF61&gt;0,LOG10(BF61))</f>
        <v>DELETE</v>
      </c>
      <c r="BJ61" s="126" t="str" cm="1">
        <f t="array" ref="BJ61">_xlfn.IFS(BF61="DELETE", "DELETE", BF61=0, 0, BF61&gt;0, BH61/BF61/LN(10))</f>
        <v>DELETE</v>
      </c>
    </row>
    <row r="62" spans="1:62" s="114" customFormat="1" x14ac:dyDescent="0.3">
      <c r="A62" s="115" t="str">
        <f>UPPER(LEFT(SUBSTITUTE(SUBSTITUTE(qPCR_Raw!A62,"-","")," ",""),2))&amp;RIGHT(SUBSTITUTE(SUBSTITUTE(qPCR_Raw!A62,"-","")," ",""),LEN(SUBSTITUTE(SUBSTITUTE(qPCR_Raw!A62,"-","")," ",""))-2)</f>
        <v>RG6</v>
      </c>
      <c r="B62" s="116" t="str" cm="1">
        <f t="array" ref="B62">_xlfn.IFS(LEFT(A62, LEN(A62)-1)="EP", "EP", LEFT(A62, LEN(A62)-1)="STa", "SPI", LEFT(A62, LEN(A62)-1)="STb", "SPO", LEFT(A62, LEN(A62)-1)="MRT", "MRT", LEFT(A62, LEN(A62)-1)="RG", "RN", LEFT(A62, LEN(A62)-1)="RT", "RU", LEFT(A62, LEN(A62)-1)="RW", "RL", LEFT(A62, LEN(A62)-1)="RC", "RS")</f>
        <v>RN</v>
      </c>
      <c r="C62" s="117">
        <f>qPCR_Raw!B62</f>
        <v>44356</v>
      </c>
      <c r="D62" s="117" t="str">
        <f t="shared" si="0"/>
        <v>RN44356</v>
      </c>
      <c r="E62" s="117" t="str">
        <f t="shared" si="1"/>
        <v>RN443566</v>
      </c>
      <c r="F62" s="118">
        <f>qPCR_Raw!C62</f>
        <v>1000</v>
      </c>
      <c r="G62" s="119">
        <f>qPCR_Raw!F62</f>
        <v>100</v>
      </c>
      <c r="H62" s="120">
        <f>qPCR_Raw!G62</f>
        <v>12.337592124938965</v>
      </c>
      <c r="I62" s="121" cm="1">
        <f t="array" ref="I62">_xlfn.IFS(H62="Undetermined", 0, qPCR_Raw!H62-qPCR_Raw!$H$242&lt;0, 0, qPCR_Raw!H62-qPCR_Raw!$H$242&gt;0, qPCR_Raw!H62-qPCR_Raw!$H$242)</f>
        <v>9428554.3614461254</v>
      </c>
      <c r="J62" s="122">
        <f>qPCR_Raw!K62</f>
        <v>14.832536697387695</v>
      </c>
      <c r="K62" s="121" cm="1">
        <f t="array" ref="K62">_xlfn.IFS(J62="Undetermined", 0, qPCR_Raw!L62-qPCR_Raw!$H$242&lt;0, 0, qPCR_Raw!L62-qPCR_Raw!$H$242&gt;0, qPCR_Raw!L62-qPCR_Raw!$H$242)</f>
        <v>1983974.1114461264</v>
      </c>
      <c r="L62" s="123" cm="1">
        <f t="array" ref="L62">_xlfn.IFS(AND(H62="Undetermined", J62="Undetermined"), "Undetermined", AND(I62=0, K62=0), "Undetermined", AND(I62=0, K62&gt;0), "Ten-Fold", AND(I62&gt;0, K62=0), "Undiluted", AND(H62&lt;&gt;"Undetermined", J62&lt;&gt;"Undetermined", I62&gt;0, K62&gt;0), 100*(-1+10^(-1/(H62-J62))))</f>
        <v>151.65786473995121</v>
      </c>
      <c r="M62" s="124" cm="1">
        <f t="array" ref="M62">_xlfn.IFS(L62="Undetermined", 0, L62="Undiluted", I62*$G62/$F62*1000, L62="Ten-Fold", K62*$G62/$F62*1000*10, L62&lt;0, K62*$G62/$F62*1000*10, L62&lt;120, I62*$G62/$F62*1000, L62&gt;120, K62*$G62/$F62*1000*10)</f>
        <v>1983974111.4461265</v>
      </c>
      <c r="N62" s="121">
        <f t="shared" si="2"/>
        <v>1203762443.3262875</v>
      </c>
      <c r="O62" s="121">
        <f t="shared" si="3"/>
        <v>1103385922.5768123</v>
      </c>
      <c r="P62" s="121">
        <f t="shared" si="4"/>
        <v>780211668.11983883</v>
      </c>
      <c r="Q62" s="125" cm="1">
        <f t="array" ref="Q62">_xlfn.IFS(N62="DELETE", "DELETE", N62=0, 0, N62&gt;0,LOG10(N62))</f>
        <v>9.0805407894700885</v>
      </c>
      <c r="R62" s="126" cm="1">
        <f t="array" ref="R62">_xlfn.IFS(N62="DELETE", "DELETE", N62=0, 0, N62&gt;0, P62/N62/LN(10))</f>
        <v>0.28148545758303911</v>
      </c>
      <c r="S62" s="155">
        <f>qPCR_Raw!O62</f>
        <v>33.437702178955078</v>
      </c>
      <c r="T62" s="156" cm="1">
        <f t="array" ref="T62">_xlfn.IFS(S62="Undetermined", 0, qPCR_Raw!P62&lt;=1, 0, qPCR_Raw!P62&gt;1, qPCR_Raw!P62)</f>
        <v>138.68000793457031</v>
      </c>
      <c r="U62" s="157">
        <f>qPCR_Raw!R62</f>
        <v>36.882537841796875</v>
      </c>
      <c r="V62" s="156" cm="1">
        <f t="array" ref="V62">_xlfn.IFS(U62="Undetermined", 0, qPCR_Raw!S62&lt;=1, 0, qPCR_Raw!S62&gt;1, qPCR_Raw!S62)</f>
        <v>17.813405990600586</v>
      </c>
      <c r="W62" s="158" cm="1">
        <f t="array" ref="W62">_xlfn.IFS(AND(S62="Undetermined", U62="Undetermined"), "Undetermined", AND(T62=0, V62=0), "Undetermined", AND(T62=0, V62&gt;0), "Ten-Fold", AND(T62&gt;0, V62=0), "Undiluted", AND(S62&lt;&gt;"Undetermined", U62&lt;&gt;"Undetermined", T62&gt;0, V62&gt;0, S62&lt;&gt;U62), 100*(-1+10^(-1/(S62-U62))), AND(S62&lt;&gt;"Undetermined", U62&lt;&gt;"Undetermined", S62=U62&gt;0), -100)</f>
        <v>95.114528910988</v>
      </c>
      <c r="X62" s="159" cm="1">
        <f t="array" ref="X62">_xlfn.IFS(W62="Undetermined", 0, W62="Undiluted", T62*$G62/$F62*1000, W62="Ten-Fold", V62*$G62/$F62*1000*10, W62&lt;0, V62*$G62/$F62*1000*10, W62&lt;120, T62*$G62/$F62*1000, W62&gt;120, V62*$G62/$F62*1000*10)</f>
        <v>13868.000793457031</v>
      </c>
      <c r="Y62" s="156">
        <f t="shared" si="5"/>
        <v>38949.830988833775</v>
      </c>
      <c r="Z62" s="156">
        <f t="shared" si="6"/>
        <v>35471.064431440805</v>
      </c>
      <c r="AA62" s="156">
        <f t="shared" si="7"/>
        <v>25081.83019537674</v>
      </c>
      <c r="AB62" s="160" cm="1">
        <f t="array" ref="AB62">_xlfn.IFS(Y62="DELETE", "DELETE", Y62=0, 0, Y62&gt;0,LOG10(Y62))</f>
        <v>4.5905055775213919</v>
      </c>
      <c r="AC62" s="161" cm="1">
        <f t="array" ref="AC62">_xlfn.IFS(Y62="DELETE", "DELETE", Y62=0, 0, Y62&gt;0, AA62/Y62/LN(10))</f>
        <v>0.27966489644099557</v>
      </c>
      <c r="AD62" s="120">
        <f>qPCR_Raw!U62</f>
        <v>27.409944534301758</v>
      </c>
      <c r="AE62" s="121" cm="1">
        <f t="array" ref="AE62">_xlfn.IFS(AD62="Undetermined", 0, qPCR_Raw!V62&lt;=1, 0, qPCR_Raw!V62&gt;1, qPCR_Raw!V62)</f>
        <v>192.96136474609375</v>
      </c>
      <c r="AF62" s="122">
        <f>qPCR_Raw!X62</f>
        <v>32.521514892578125</v>
      </c>
      <c r="AG62" s="121" cm="1">
        <f t="array" ref="AG62">_xlfn.IFS(AF62="Undetermined", 0, qPCR_Raw!Y62&lt;=1, 0, qPCR_Raw!Y62&gt;1, qPCR_Raw!Y62)</f>
        <v>7.2000956535339355</v>
      </c>
      <c r="AH62" s="123" cm="1">
        <f t="array" ref="AH62">_xlfn.IFS(AND(AD62="Undetermined", AF62="Undetermined"), "Undetermined", AND(AE62=0, AG62=0), "Undetermined", AND(AE62=0, AG62&gt;0), "Ten-Fold", AND(AE62&gt;0, AG62=0), "Undiluted", AND(AD62&lt;&gt;"Undetermined", AF62&lt;&gt;"Undetermined", AE62&gt;0, AG62&gt;0, AD62&lt;&gt;AF62), 100*(-1+10^(-1/(AD62-AF62))), AND(AD62&lt;&gt;"Undetermined", AF62&lt;&gt;"Undetermined", AD62=AF62&gt;0), -100)</f>
        <v>56.904209649983684</v>
      </c>
      <c r="AI62" s="124" cm="1">
        <f t="array" ref="AI62">_xlfn.IFS(AH62="Undetermined", 0, AH62="Undiluted", AE62*$G62/$F62*1000, AH62="Ten-Fold", AG62*$G62/$F62*1000*10, AH62&lt;0, AG62*$G62/$F62*1000*10, AH62&lt;120, AE62*$G62/$F62*1000, AH62&gt;120, AG62*$G62/$F62*1000*10)</f>
        <v>19296.136474609375</v>
      </c>
      <c r="AJ62" s="121">
        <f t="shared" si="8"/>
        <v>20437.742695055509</v>
      </c>
      <c r="AK62" s="121">
        <f t="shared" si="9"/>
        <v>1614.4749998444122</v>
      </c>
      <c r="AL62" s="121">
        <f t="shared" si="10"/>
        <v>1141.6062204461341</v>
      </c>
      <c r="AM62" s="125" cm="1">
        <f t="array" ref="AM62">_xlfn.IFS(AJ62="DELETE", "DELETE", AJ62=0, 0, AJ62&gt;0,LOG10(AJ62))</f>
        <v>4.3104329272152517</v>
      </c>
      <c r="AN62" s="126" cm="1">
        <f t="array" ref="AN62">_xlfn.IFS(AJ62="DELETE", "DELETE", AJ62=0, 0, AJ62&gt;0, AL62/AJ62/LN(10))</f>
        <v>2.4258710438023579E-2</v>
      </c>
      <c r="AO62" s="155">
        <f>qPCR_Raw!AA62</f>
        <v>22.89610481262207</v>
      </c>
      <c r="AP62" s="156" cm="1">
        <f t="array" ref="AP62">_xlfn.IFS(AO62="Undetermined", 0, qPCR_Raw!AB62&lt;=6, 0, qPCR_Raw!AB62&gt;6, qPCR_Raw!AB62)</f>
        <v>321.743896484375</v>
      </c>
      <c r="AQ62" s="157">
        <f>qPCR_Raw!AD62</f>
        <v>26.957767486572266</v>
      </c>
      <c r="AR62" s="156" cm="1">
        <f t="array" ref="AR62">_xlfn.IFS(AQ62="Undetermined", 0, qPCR_Raw!AE62&lt;=6, 0, qPCR_Raw!AE62&gt;6, qPCR_Raw!AE62)</f>
        <v>21.244203567504883</v>
      </c>
      <c r="AS62" s="158" cm="1">
        <f t="array" ref="AS62">_xlfn.IFS(AND(AO62="Undetermined", AQ62="Undetermined"), "Undetermined", AND(AP62=0, AR62=0), "Undetermined", AND(AP62=0, AR62&gt;0), "Ten-Fold", AND(AP62&gt;0, AR62=0), "Undiluted", AND(AO62&lt;&gt;"Undetermined", AQ62&lt;&gt;"Undetermined", AP62&gt;0, AR62&gt;0, AO62&lt;&gt;AQ62), 100*(-1+10^(-1/(AO62-AQ62))), AND(AO62&lt;&gt;"Undetermined", AQ62&lt;&gt;"Undetermined", AO62=AQ62&gt;0), -100)</f>
        <v>76.2806290634052</v>
      </c>
      <c r="AT62" s="159" cm="1">
        <f t="array" ref="AT62">_xlfn.IFS(AS62="Undetermined", 0, AS62="Undiluted", AP62*$G62/$F62*1000, AS62="Ten-Fold", AR62*$G62/$F62*1000*10, AS62&lt;0, AR62*$G62/$F62*1000*10, AS62&lt;120, AP62*$G62/$F62*1000, AS62&gt;120, AR62*$G62/$F62*1000*10)</f>
        <v>32174.389648437496</v>
      </c>
      <c r="AU62" s="156">
        <f t="shared" si="11"/>
        <v>16087.194824218748</v>
      </c>
      <c r="AV62" s="156">
        <f t="shared" si="12"/>
        <v>22750.729100948411</v>
      </c>
      <c r="AW62" s="156">
        <f t="shared" si="13"/>
        <v>16087.194824218746</v>
      </c>
      <c r="AX62" s="160" cm="1">
        <f t="array" ref="AX62">_xlfn.IFS(AU62="DELETE", "DELETE", AU62=0, 0, AU62&gt;0,LOG10(AU62))</f>
        <v>4.2064803213784936</v>
      </c>
      <c r="AY62" s="161" cm="1">
        <f t="array" ref="AY62">_xlfn.IFS(AU62="DELETE", "DELETE", AU62=0, 0, AU62&gt;0, AW62/AU62/LN(10))</f>
        <v>0.43429448190325176</v>
      </c>
      <c r="AZ62" s="120">
        <f>qPCR_Raw!AG62</f>
        <v>19.683479309082031</v>
      </c>
      <c r="BA62" s="121" cm="1">
        <f t="array" ref="BA62">_xlfn.IFS(AZ62="Undetermined", 0, qPCR_Raw!AH62&lt;=1, 0, qPCR_Raw!AH62&gt;1, qPCR_Raw!AH62)</f>
        <v>43299.87890625</v>
      </c>
      <c r="BB62" s="122">
        <f>qPCR_Raw!AJ62</f>
        <v>22.952985763549805</v>
      </c>
      <c r="BC62" s="121" cm="1">
        <f t="array" ref="BC62">_xlfn.IFS(BB62="Undetermined", 0, qPCR_Raw!AK62&lt;=1, 0, qPCR_Raw!AK62&gt;1, qPCR_Raw!AK62)</f>
        <v>5476.05712890625</v>
      </c>
      <c r="BD62" s="123" cm="1">
        <f t="array" ref="BD62">_xlfn.IFS(AND(AZ62="Undetermined", BB62="Undetermined"), "Undetermined", AND(BA62=0, BC62=0), "Undetermined", AND(BA62=0, BC62&gt;0), "Ten-Fold", AND(BA62&gt;0, BC62=0), "Undiluted", AND(AZ62&lt;&gt;"Undetermined", BB62&lt;&gt;"Undetermined", BA62&gt;0, BC62&gt;0, AZ62&lt;&gt;BB62), 100*(-1+10^(-1/(AZ62-BB62))), AND(AZ62&lt;&gt;"Undetermined", BB62&lt;&gt;"Undetermined", AZ62=BB62&gt;0), -100)</f>
        <v>102.23511247434685</v>
      </c>
      <c r="BE62" s="124" cm="1">
        <f t="array" ref="BE62">_xlfn.IFS(BD62="Undetermined", 0, BD62="Undiluted", BA62*$G62/$F62*1000, BD62="Ten-Fold", BC62*$G62/$F62*1000*10, BD62&lt;0, BC62*$G62/$F62*1000*10, BD62&lt;120, BA62*$G62/$F62*1000, BD62&gt;120, BC62*$G62/$F62*1000*10)</f>
        <v>4329987.890625</v>
      </c>
      <c r="BF62" s="121">
        <f t="shared" si="14"/>
        <v>3771222.101151316</v>
      </c>
      <c r="BG62" s="121">
        <f t="shared" si="15"/>
        <v>790214.15766379482</v>
      </c>
      <c r="BH62" s="121">
        <f t="shared" si="16"/>
        <v>558765.78947368485</v>
      </c>
      <c r="BI62" s="125" cm="1">
        <f t="array" ref="BI62">_xlfn.IFS(BF62="DELETE", "DELETE", BF62=0, 0, BF62&gt;0,LOG10(BF62))</f>
        <v>6.5764821103594846</v>
      </c>
      <c r="BJ62" s="126" cm="1">
        <f t="array" ref="BJ62">_xlfn.IFS(BF62="DELETE", "DELETE", BF62=0, 0, BF62&gt;0, BH62/BF62/LN(10))</f>
        <v>6.4347549026786577E-2</v>
      </c>
    </row>
    <row r="63" spans="1:62" s="114" customFormat="1" x14ac:dyDescent="0.3">
      <c r="A63" s="115" t="str">
        <f>UPPER(LEFT(SUBSTITUTE(SUBSTITUTE(qPCR_Raw!A63,"-","")," ",""),2))&amp;RIGHT(SUBSTITUTE(SUBSTITUTE(qPCR_Raw!A63,"-","")," ",""),LEN(SUBSTITUTE(SUBSTITUTE(qPCR_Raw!A63,"-","")," ",""))-2)</f>
        <v>RG7</v>
      </c>
      <c r="B63" s="116" t="str" cm="1">
        <f t="array" ref="B63">_xlfn.IFS(LEFT(A63, LEN(A63)-1)="EP", "EP", LEFT(A63, LEN(A63)-1)="STa", "SPI", LEFT(A63, LEN(A63)-1)="STb", "SPO", LEFT(A63, LEN(A63)-1)="MRT", "MRT", LEFT(A63, LEN(A63)-1)="RG", "RN", LEFT(A63, LEN(A63)-1)="RT", "RU", LEFT(A63, LEN(A63)-1)="RW", "RL", LEFT(A63, LEN(A63)-1)="RC", "RS")</f>
        <v>RN</v>
      </c>
      <c r="C63" s="117">
        <f>qPCR_Raw!B63</f>
        <v>44356</v>
      </c>
      <c r="D63" s="117" t="str">
        <f t="shared" si="0"/>
        <v>RN44356</v>
      </c>
      <c r="E63" s="117" t="str">
        <f t="shared" si="1"/>
        <v>RN443567</v>
      </c>
      <c r="F63" s="118">
        <f>qPCR_Raw!C63</f>
        <v>950</v>
      </c>
      <c r="G63" s="119">
        <f>qPCR_Raw!F63</f>
        <v>100</v>
      </c>
      <c r="H63" s="120">
        <f>qPCR_Raw!G63</f>
        <v>14.569214820861816</v>
      </c>
      <c r="I63" s="121" cm="1">
        <f t="array" ref="I63">_xlfn.IFS(H63="Undetermined", 0, qPCR_Raw!H63-qPCR_Raw!$H$242&lt;0, 0, qPCR_Raw!H63-qPCR_Raw!$H$242&gt;0, qPCR_Raw!H63-qPCR_Raw!$H$242)</f>
        <v>2339764.3614461264</v>
      </c>
      <c r="J63" s="122">
        <f>qPCR_Raw!K63</f>
        <v>17.354381561279297</v>
      </c>
      <c r="K63" s="121" cm="1">
        <f t="array" ref="K63">_xlfn.IFS(J63="Undetermined", 0, qPCR_Raw!L63-qPCR_Raw!$H$242&lt;0, 0, qPCR_Raw!L63-qPCR_Raw!$H$242&gt;0, qPCR_Raw!L63-qPCR_Raw!$H$242)</f>
        <v>402373.23644612631</v>
      </c>
      <c r="L63" s="123" cm="1">
        <f t="array" ref="L63">_xlfn.IFS(AND(H63="Undetermined", J63="Undetermined"), "Undetermined", AND(I63=0, K63=0), "Undetermined", AND(I63=0, K63&gt;0), "Ten-Fold", AND(I63&gt;0, K63=0), "Undiluted", AND(H63&lt;&gt;"Undetermined", J63&lt;&gt;"Undetermined", I63&gt;0, K63&gt;0), 100*(-1+10^(-1/(H63-J63))))</f>
        <v>128.58352775752095</v>
      </c>
      <c r="M63" s="124" cm="1">
        <f t="array" ref="M63">_xlfn.IFS(L63="Undetermined", 0, L63="Undiluted", I63*$G63/$F63*1000, L63="Ten-Fold", K63*$G63/$F63*1000*10, L63&lt;0, K63*$G63/$F63*1000*10, L63&lt;120, I63*$G63/$F63*1000, L63&gt;120, K63*$G63/$F63*1000*10)</f>
        <v>423550775.20644873</v>
      </c>
      <c r="N63" s="121" t="str">
        <f t="shared" si="2"/>
        <v>DELETE</v>
      </c>
      <c r="O63" s="121" t="str">
        <f t="shared" si="3"/>
        <v>DELETE</v>
      </c>
      <c r="P63" s="121" t="str">
        <f t="shared" si="4"/>
        <v>DELETE</v>
      </c>
      <c r="Q63" s="125" t="str" cm="1">
        <f t="array" ref="Q63">_xlfn.IFS(N63="DELETE", "DELETE", N63=0, 0, N63&gt;0,LOG10(N63))</f>
        <v>DELETE</v>
      </c>
      <c r="R63" s="126" t="str" cm="1">
        <f t="array" ref="R63">_xlfn.IFS(N63="DELETE", "DELETE", N63=0, 0, N63&gt;0, P63/N63/LN(10))</f>
        <v>DELETE</v>
      </c>
      <c r="S63" s="155">
        <f>qPCR_Raw!O63</f>
        <v>30.955904006958008</v>
      </c>
      <c r="T63" s="156" cm="1">
        <f t="array" ref="T63">_xlfn.IFS(S63="Undetermined", 0, qPCR_Raw!P63&lt;=1, 0, qPCR_Raw!P63&gt;1, qPCR_Raw!P63)</f>
        <v>608.30078125</v>
      </c>
      <c r="U63" s="157">
        <f>qPCR_Raw!R63</f>
        <v>33.98919677734375</v>
      </c>
      <c r="V63" s="156" cm="1">
        <f t="array" ref="V63">_xlfn.IFS(U63="Undetermined", 0, qPCR_Raw!S63&lt;=1, 0, qPCR_Raw!S63&gt;1, qPCR_Raw!S63)</f>
        <v>99.845420837402344</v>
      </c>
      <c r="W63" s="158" cm="1">
        <f t="array" ref="W63">_xlfn.IFS(AND(S63="Undetermined", U63="Undetermined"), "Undetermined", AND(T63=0, V63=0), "Undetermined", AND(T63=0, V63&gt;0), "Ten-Fold", AND(T63&gt;0, V63=0), "Undiluted", AND(S63&lt;&gt;"Undetermined", U63&lt;&gt;"Undetermined", T63&gt;0, V63&gt;0, S63&lt;&gt;U63), 100*(-1+10^(-1/(S63-U63))), AND(S63&lt;&gt;"Undetermined", U63&lt;&gt;"Undetermined", S63=U63&gt;0), -100)</f>
        <v>113.63614773428057</v>
      </c>
      <c r="X63" s="159" cm="1">
        <f t="array" ref="X63">_xlfn.IFS(W63="Undetermined", 0, W63="Undiluted", T63*$G63/$F63*1000, W63="Ten-Fold", V63*$G63/$F63*1000*10, W63&lt;0, V63*$G63/$F63*1000*10, W63&lt;120, T63*$G63/$F63*1000, W63&gt;120, V63*$G63/$F63*1000*10)</f>
        <v>64031.661184210519</v>
      </c>
      <c r="Y63" s="156" t="str">
        <f t="shared" si="5"/>
        <v>DELETE</v>
      </c>
      <c r="Z63" s="156" t="str">
        <f t="shared" si="6"/>
        <v>DELETE</v>
      </c>
      <c r="AA63" s="156" t="str">
        <f t="shared" si="7"/>
        <v>DELETE</v>
      </c>
      <c r="AB63" s="160" t="str" cm="1">
        <f t="array" ref="AB63">_xlfn.IFS(Y63="DELETE", "DELETE", Y63=0, 0, Y63&gt;0,LOG10(Y63))</f>
        <v>DELETE</v>
      </c>
      <c r="AC63" s="161" t="str" cm="1">
        <f t="array" ref="AC63">_xlfn.IFS(Y63="DELETE", "DELETE", Y63=0, 0, Y63&gt;0, AA63/Y63/LN(10))</f>
        <v>DELETE</v>
      </c>
      <c r="AD63" s="120">
        <f>qPCR_Raw!U63</f>
        <v>27.315841674804688</v>
      </c>
      <c r="AE63" s="121" cm="1">
        <f t="array" ref="AE63">_xlfn.IFS(AD63="Undetermined", 0, qPCR_Raw!V63&lt;=1, 0, qPCR_Raw!V63&gt;1, qPCR_Raw!V63)</f>
        <v>205.00381469726563</v>
      </c>
      <c r="AF63" s="122">
        <f>qPCR_Raw!X63</f>
        <v>30.989604949951172</v>
      </c>
      <c r="AG63" s="121" cm="1">
        <f t="array" ref="AG63">_xlfn.IFS(AF63="Undetermined", 0, qPCR_Raw!Y63&lt;=1, 0, qPCR_Raw!Y63&gt;1, qPCR_Raw!Y63)</f>
        <v>19.290420532226563</v>
      </c>
      <c r="AH63" s="123" cm="1">
        <f t="array" ref="AH63">_xlfn.IFS(AND(AD63="Undetermined", AF63="Undetermined"), "Undetermined", AND(AE63=0, AG63=0), "Undetermined", AND(AE63=0, AG63&gt;0), "Ten-Fold", AND(AE63&gt;0, AG63=0), "Undiluted", AND(AD63&lt;&gt;"Undetermined", AF63&lt;&gt;"Undetermined", AE63&gt;0, AG63&gt;0, AD63&lt;&gt;AF63), 100*(-1+10^(-1/(AD63-AF63))), AND(AD63&lt;&gt;"Undetermined", AF63&lt;&gt;"Undetermined", AD63=AF63&gt;0), -100)</f>
        <v>87.154573937186882</v>
      </c>
      <c r="AI63" s="124" cm="1">
        <f t="array" ref="AI63">_xlfn.IFS(AH63="Undetermined", 0, AH63="Undiluted", AE63*$G63/$F63*1000, AH63="Ten-Fold", AG63*$G63/$F63*1000*10, AH63&lt;0, AG63*$G63/$F63*1000*10, AH63&lt;120, AE63*$G63/$F63*1000, AH63&gt;120, AG63*$G63/$F63*1000*10)</f>
        <v>21579.348915501643</v>
      </c>
      <c r="AJ63" s="121" t="str">
        <f t="shared" si="8"/>
        <v>DELETE</v>
      </c>
      <c r="AK63" s="121" t="str">
        <f t="shared" si="9"/>
        <v>DELETE</v>
      </c>
      <c r="AL63" s="121" t="str">
        <f t="shared" si="10"/>
        <v>DELETE</v>
      </c>
      <c r="AM63" s="125" t="str" cm="1">
        <f t="array" ref="AM63">_xlfn.IFS(AJ63="DELETE", "DELETE", AJ63=0, 0, AJ63&gt;0,LOG10(AJ63))</f>
        <v>DELETE</v>
      </c>
      <c r="AN63" s="126" t="str" cm="1">
        <f t="array" ref="AN63">_xlfn.IFS(AJ63="DELETE", "DELETE", AJ63=0, 0, AJ63&gt;0, AL63/AJ63/LN(10))</f>
        <v>DELETE</v>
      </c>
      <c r="AO63" s="155">
        <f>qPCR_Raw!AA63</f>
        <v>29.766000747680664</v>
      </c>
      <c r="AP63" s="156" cm="1">
        <f t="array" ref="AP63">_xlfn.IFS(AO63="Undetermined", 0, qPCR_Raw!AB63&lt;=6, 0, qPCR_Raw!AB63&gt;6, qPCR_Raw!AB63)</f>
        <v>0</v>
      </c>
      <c r="AQ63" s="157" t="str">
        <f>qPCR_Raw!AD63</f>
        <v>Undetermined</v>
      </c>
      <c r="AR63" s="156" cm="1">
        <f t="array" ref="AR63">_xlfn.IFS(AQ63="Undetermined", 0, qPCR_Raw!AE63&lt;=6, 0, qPCR_Raw!AE63&gt;6, qPCR_Raw!AE63)</f>
        <v>0</v>
      </c>
      <c r="AS63" s="158" t="str" cm="1">
        <f t="array" ref="AS63">_xlfn.IFS(AND(AO63="Undetermined", AQ63="Undetermined"), "Undetermined", AND(AP63=0, AR63=0), "Undetermined", AND(AP63=0, AR63&gt;0), "Ten-Fold", AND(AP63&gt;0, AR63=0), "Undiluted", AND(AO63&lt;&gt;"Undetermined", AQ63&lt;&gt;"Undetermined", AP63&gt;0, AR63&gt;0, AO63&lt;&gt;AQ63), 100*(-1+10^(-1/(AO63-AQ63))), AND(AO63&lt;&gt;"Undetermined", AQ63&lt;&gt;"Undetermined", AO63=AQ63&gt;0), -100)</f>
        <v>Undetermined</v>
      </c>
      <c r="AT63" s="159" cm="1">
        <f t="array" ref="AT63">_xlfn.IFS(AS63="Undetermined", 0, AS63="Undiluted", AP63*$G63/$F63*1000, AS63="Ten-Fold", AR63*$G63/$F63*1000*10, AS63&lt;0, AR63*$G63/$F63*1000*10, AS63&lt;120, AP63*$G63/$F63*1000, AS63&gt;120, AR63*$G63/$F63*1000*10)</f>
        <v>0</v>
      </c>
      <c r="AU63" s="156" t="str">
        <f t="shared" si="11"/>
        <v>DELETE</v>
      </c>
      <c r="AV63" s="156" t="str">
        <f t="shared" si="12"/>
        <v>DELETE</v>
      </c>
      <c r="AW63" s="156" t="str">
        <f t="shared" si="13"/>
        <v>DELETE</v>
      </c>
      <c r="AX63" s="160" t="str" cm="1">
        <f t="array" ref="AX63">_xlfn.IFS(AU63="DELETE", "DELETE", AU63=0, 0, AU63&gt;0,LOG10(AU63))</f>
        <v>DELETE</v>
      </c>
      <c r="AY63" s="161" t="str" cm="1">
        <f t="array" ref="AY63">_xlfn.IFS(AU63="DELETE", "DELETE", AU63=0, 0, AU63&gt;0, AW63/AU63/LN(10))</f>
        <v>DELETE</v>
      </c>
      <c r="AZ63" s="120">
        <f>qPCR_Raw!AG63</f>
        <v>23.404335021972656</v>
      </c>
      <c r="BA63" s="121" cm="1">
        <f t="array" ref="BA63">_xlfn.IFS(AZ63="Undetermined", 0, qPCR_Raw!AH63&lt;=1, 0, qPCR_Raw!AH63&gt;1, qPCR_Raw!AH63)</f>
        <v>4116.21630859375</v>
      </c>
      <c r="BB63" s="122">
        <f>qPCR_Raw!AJ63</f>
        <v>23.877410888671875</v>
      </c>
      <c r="BC63" s="121" cm="1">
        <f t="array" ref="BC63">_xlfn.IFS(BB63="Undetermined", 0, qPCR_Raw!AK63&lt;=1, 0, qPCR_Raw!AK63&gt;1, qPCR_Raw!AK63)</f>
        <v>3051.83349609375</v>
      </c>
      <c r="BD63" s="123" cm="1">
        <f t="array" ref="BD63">_xlfn.IFS(AND(AZ63="Undetermined", BB63="Undetermined"), "Undetermined", AND(BA63=0, BC63=0), "Undetermined", AND(BA63=0, BC63&gt;0), "Ten-Fold", AND(BA63&gt;0, BC63=0), "Undiluted", AND(AZ63&lt;&gt;"Undetermined", BB63&lt;&gt;"Undetermined", BA63&gt;0, BC63&gt;0, AZ63&lt;&gt;BB63), 100*(-1+10^(-1/(AZ63-BB63))), AND(AZ63&lt;&gt;"Undetermined", BB63&lt;&gt;"Undetermined", AZ63=BB63&gt;0), -100)</f>
        <v>12896.483458491259</v>
      </c>
      <c r="BE63" s="124" cm="1">
        <f t="array" ref="BE63">_xlfn.IFS(BD63="Undetermined", 0, BD63="Undiluted", BA63*$G63/$F63*1000, BD63="Ten-Fold", BC63*$G63/$F63*1000*10, BD63&lt;0, BC63*$G63/$F63*1000*10, BD63&lt;120, BA63*$G63/$F63*1000, BD63&gt;120, BC63*$G63/$F63*1000*10)</f>
        <v>3212456.3116776319</v>
      </c>
      <c r="BF63" s="121" t="str">
        <f t="shared" si="14"/>
        <v>DELETE</v>
      </c>
      <c r="BG63" s="121" t="str">
        <f t="shared" si="15"/>
        <v>DELETE</v>
      </c>
      <c r="BH63" s="121" t="str">
        <f t="shared" si="16"/>
        <v>DELETE</v>
      </c>
      <c r="BI63" s="125" t="str" cm="1">
        <f t="array" ref="BI63">_xlfn.IFS(BF63="DELETE", "DELETE", BF63=0, 0, BF63&gt;0,LOG10(BF63))</f>
        <v>DELETE</v>
      </c>
      <c r="BJ63" s="126" t="str" cm="1">
        <f t="array" ref="BJ63">_xlfn.IFS(BF63="DELETE", "DELETE", BF63=0, 0, BF63&gt;0, BH63/BF63/LN(10))</f>
        <v>DELETE</v>
      </c>
    </row>
    <row r="64" spans="1:62" s="114" customFormat="1" x14ac:dyDescent="0.3">
      <c r="A64" s="115" t="str">
        <f>UPPER(LEFT(SUBSTITUTE(SUBSTITUTE(qPCR_Raw!A64,"-","")," ",""),2))&amp;RIGHT(SUBSTITUTE(SUBSTITUTE(qPCR_Raw!A64,"-","")," ",""),LEN(SUBSTITUTE(SUBSTITUTE(qPCR_Raw!A64,"-","")," ",""))-2)</f>
        <v>STa6</v>
      </c>
      <c r="B64" s="116" t="str" cm="1">
        <f t="array" ref="B64">_xlfn.IFS(LEFT(A64, LEN(A64)-1)="EP", "EP", LEFT(A64, LEN(A64)-1)="STa", "SPI", LEFT(A64, LEN(A64)-1)="STb", "SPO", LEFT(A64, LEN(A64)-1)="MRT", "MRT", LEFT(A64, LEN(A64)-1)="RG", "RN", LEFT(A64, LEN(A64)-1)="RT", "RU", LEFT(A64, LEN(A64)-1)="RW", "RL", LEFT(A64, LEN(A64)-1)="RC", "RS")</f>
        <v>SPI</v>
      </c>
      <c r="C64" s="117">
        <f>qPCR_Raw!B64</f>
        <v>44356</v>
      </c>
      <c r="D64" s="117" t="str">
        <f t="shared" si="0"/>
        <v>SPI44356</v>
      </c>
      <c r="E64" s="117" t="str">
        <f t="shared" si="1"/>
        <v>SPI443566</v>
      </c>
      <c r="F64" s="118">
        <f>qPCR_Raw!C64</f>
        <v>900</v>
      </c>
      <c r="G64" s="119">
        <f>qPCR_Raw!F64</f>
        <v>100</v>
      </c>
      <c r="H64" s="120">
        <f>qPCR_Raw!G64</f>
        <v>18.915332794189453</v>
      </c>
      <c r="I64" s="121" cm="1">
        <f t="array" ref="I64">_xlfn.IFS(H64="Undetermined", 0, qPCR_Raw!H64-qPCR_Raw!$H$242&lt;0, 0, qPCR_Raw!H64-qPCR_Raw!$H$242&gt;0, qPCR_Raw!H64-qPCR_Raw!$H$242)</f>
        <v>144167.03332112631</v>
      </c>
      <c r="J64" s="122">
        <f>qPCR_Raw!K64</f>
        <v>22.420406341552734</v>
      </c>
      <c r="K64" s="121" cm="1">
        <f t="array" ref="K64">_xlfn.IFS(J64="Undetermined", 0, qPCR_Raw!L64-qPCR_Raw!$H$242&lt;0, 0, qPCR_Raw!L64-qPCR_Raw!$H$242&gt;0, qPCR_Raw!L64-qPCR_Raw!$H$242)</f>
        <v>4738.1876180013023</v>
      </c>
      <c r="L64" s="123" cm="1">
        <f t="array" ref="L64">_xlfn.IFS(AND(H64="Undetermined", J64="Undetermined"), "Undetermined", AND(I64=0, K64=0), "Undetermined", AND(I64=0, K64&gt;0), "Ten-Fold", AND(I64&gt;0, K64=0), "Undiluted", AND(H64&lt;&gt;"Undetermined", J64&lt;&gt;"Undetermined", I64&gt;0, K64&gt;0), 100*(-1+10^(-1/(H64-J64))))</f>
        <v>92.886004948572662</v>
      </c>
      <c r="M64" s="124" cm="1">
        <f t="array" ref="M64">_xlfn.IFS(L64="Undetermined", 0, L64="Undiluted", I64*$G64/$F64*1000, L64="Ten-Fold", K64*$G64/$F64*1000*10, L64&lt;0, K64*$G64/$F64*1000*10, L64&lt;120, I64*$G64/$F64*1000, L64&gt;120, K64*$G64/$F64*1000*10)</f>
        <v>16018559.257902924</v>
      </c>
      <c r="N64" s="121">
        <f t="shared" si="2"/>
        <v>15206033.216236256</v>
      </c>
      <c r="O64" s="121">
        <f t="shared" si="3"/>
        <v>1149085.3479063269</v>
      </c>
      <c r="P64" s="121">
        <f t="shared" si="4"/>
        <v>812526.04166666686</v>
      </c>
      <c r="Q64" s="125" cm="1">
        <f t="array" ref="Q64">_xlfn.IFS(N64="DELETE", "DELETE", N64=0, 0, N64&gt;0,LOG10(N64))</f>
        <v>7.1820159348297006</v>
      </c>
      <c r="R64" s="126" cm="1">
        <f t="array" ref="R64">_xlfn.IFS(N64="DELETE", "DELETE", N64=0, 0, N64&gt;0, P64/N64/LN(10))</f>
        <v>2.3206287351900681E-2</v>
      </c>
      <c r="S64" s="155">
        <f>qPCR_Raw!O64</f>
        <v>32.904331207275391</v>
      </c>
      <c r="T64" s="156" cm="1">
        <f t="array" ref="T64">_xlfn.IFS(S64="Undetermined", 0, qPCR_Raw!P64&lt;=1, 0, qPCR_Raw!P64&gt;1, qPCR_Raw!P64)</f>
        <v>190.55070495605469</v>
      </c>
      <c r="U64" s="157">
        <f>qPCR_Raw!R64</f>
        <v>36.188751220703125</v>
      </c>
      <c r="V64" s="156" cm="1">
        <f t="array" ref="V64">_xlfn.IFS(U64="Undetermined", 0, qPCR_Raw!S64&lt;=1, 0, qPCR_Raw!S64&gt;1, qPCR_Raw!S64)</f>
        <v>26.93067741394043</v>
      </c>
      <c r="W64" s="158" cm="1">
        <f t="array" ref="W64">_xlfn.IFS(AND(S64="Undetermined", U64="Undetermined"), "Undetermined", AND(T64=0, V64=0), "Undetermined", AND(T64=0, V64&gt;0), "Ten-Fold", AND(T64&gt;0, V64=0), "Undiluted", AND(S64&lt;&gt;"Undetermined", U64&lt;&gt;"Undetermined", T64&gt;0, V64&gt;0, S64&lt;&gt;U64), 100*(-1+10^(-1/(S64-U64))), AND(S64&lt;&gt;"Undetermined", U64&lt;&gt;"Undetermined", S64=U64&gt;0), -100)</f>
        <v>101.58943083021174</v>
      </c>
      <c r="X64" s="159" cm="1">
        <f t="array" ref="X64">_xlfn.IFS(W64="Undetermined", 0, W64="Undiluted", T64*$G64/$F64*1000, W64="Ten-Fold", V64*$G64/$F64*1000*10, W64&lt;0, V64*$G64/$F64*1000*10, W64&lt;120, T64*$G64/$F64*1000, W64&gt;120, V64*$G64/$F64*1000*10)</f>
        <v>21172.300550672746</v>
      </c>
      <c r="Y64" s="156">
        <f t="shared" si="5"/>
        <v>14571.268293592666</v>
      </c>
      <c r="Z64" s="156">
        <f t="shared" si="6"/>
        <v>9335.2693436249319</v>
      </c>
      <c r="AA64" s="156">
        <f t="shared" si="7"/>
        <v>6601.032257080079</v>
      </c>
      <c r="AB64" s="160" cm="1">
        <f t="array" ref="AB64">_xlfn.IFS(Y64="DELETE", "DELETE", Y64=0, 0, Y64&gt;0,LOG10(Y64))</f>
        <v>4.163497354716899</v>
      </c>
      <c r="AC64" s="161" cm="1">
        <f t="array" ref="AC64">_xlfn.IFS(Y64="DELETE", "DELETE", Y64=0, 0, Y64&gt;0, AA64/Y64/LN(10))</f>
        <v>0.19674278356235073</v>
      </c>
      <c r="AD64" s="120">
        <f>qPCR_Raw!U64</f>
        <v>32.074577331542969</v>
      </c>
      <c r="AE64" s="121" cm="1">
        <f t="array" ref="AE64">_xlfn.IFS(AD64="Undetermined", 0, qPCR_Raw!V64&lt;=1, 0, qPCR_Raw!V64&gt;1, qPCR_Raw!V64)</f>
        <v>9.5986261367797852</v>
      </c>
      <c r="AF64" s="122">
        <f>qPCR_Raw!X64</f>
        <v>35.004840850830078</v>
      </c>
      <c r="AG64" s="121" cm="1">
        <f t="array" ref="AG64">_xlfn.IFS(AF64="Undetermined", 0, qPCR_Raw!Y64&lt;=1, 0, qPCR_Raw!Y64&gt;1, qPCR_Raw!Y64)</f>
        <v>1.4571919441223145</v>
      </c>
      <c r="AH64" s="123" cm="1">
        <f t="array" ref="AH64">_xlfn.IFS(AND(AD64="Undetermined", AF64="Undetermined"), "Undetermined", AND(AE64=0, AG64=0), "Undetermined", AND(AE64=0, AG64&gt;0), "Ten-Fold", AND(AE64&gt;0, AG64=0), "Undiluted", AND(AD64&lt;&gt;"Undetermined", AF64&lt;&gt;"Undetermined", AE64&gt;0, AG64&gt;0, AD64&lt;&gt;AF64), 100*(-1+10^(-1/(AD64-AF64))), AND(AD64&lt;&gt;"Undetermined", AF64&lt;&gt;"Undetermined", AD64=AF64&gt;0), -100)</f>
        <v>119.41496020137427</v>
      </c>
      <c r="AI64" s="124" cm="1">
        <f t="array" ref="AI64">_xlfn.IFS(AH64="Undetermined", 0, AH64="Undiluted", AE64*$G64/$F64*1000, AH64="Ten-Fold", AG64*$G64/$F64*1000*10, AH64&lt;0, AG64*$G64/$F64*1000*10, AH64&lt;120, AE64*$G64/$F64*1000, AH64&gt;120, AG64*$G64/$F64*1000*10)</f>
        <v>1066.5140151977539</v>
      </c>
      <c r="AJ64" s="121">
        <f t="shared" si="8"/>
        <v>1328.8851711485122</v>
      </c>
      <c r="AK64" s="121">
        <f t="shared" si="9"/>
        <v>371.04884712106821</v>
      </c>
      <c r="AL64" s="121">
        <f t="shared" si="10"/>
        <v>262.3711559507579</v>
      </c>
      <c r="AM64" s="125" cm="1">
        <f t="array" ref="AM64">_xlfn.IFS(AJ64="DELETE", "DELETE", AJ64=0, 0, AJ64&gt;0,LOG10(AJ64))</f>
        <v>3.1234874552157841</v>
      </c>
      <c r="AN64" s="126" cm="1">
        <f t="array" ref="AN64">_xlfn.IFS(AJ64="DELETE", "DELETE", AJ64=0, 0, AJ64&gt;0, AL64/AJ64/LN(10))</f>
        <v>8.5745817406865599E-2</v>
      </c>
      <c r="AO64" s="155">
        <f>qPCR_Raw!AA64</f>
        <v>26.531801223754883</v>
      </c>
      <c r="AP64" s="156" cm="1">
        <f t="array" ref="AP64">_xlfn.IFS(AO64="Undetermined", 0, qPCR_Raw!AB64&lt;=6, 0, qPCR_Raw!AB64&gt;6, qPCR_Raw!AB64)</f>
        <v>28.25016975402832</v>
      </c>
      <c r="AQ64" s="157">
        <f>qPCR_Raw!AD64</f>
        <v>30.411594390869141</v>
      </c>
      <c r="AR64" s="156" cm="1">
        <f t="array" ref="AR64">_xlfn.IFS(AQ64="Undetermined", 0, qPCR_Raw!AE64&lt;=6, 0, qPCR_Raw!AE64&gt;6, qPCR_Raw!AE64)</f>
        <v>0</v>
      </c>
      <c r="AS64" s="158" t="str" cm="1">
        <f t="array" ref="AS64">_xlfn.IFS(AND(AO64="Undetermined", AQ64="Undetermined"), "Undetermined", AND(AP64=0, AR64=0), "Undetermined", AND(AP64=0, AR64&gt;0), "Ten-Fold", AND(AP64&gt;0, AR64=0), "Undiluted", AND(AO64&lt;&gt;"Undetermined", AQ64&lt;&gt;"Undetermined", AP64&gt;0, AR64&gt;0, AO64&lt;&gt;AQ64), 100*(-1+10^(-1/(AO64-AQ64))), AND(AO64&lt;&gt;"Undetermined", AQ64&lt;&gt;"Undetermined", AO64=AQ64&gt;0), -100)</f>
        <v>Undiluted</v>
      </c>
      <c r="AT64" s="159" cm="1">
        <f t="array" ref="AT64">_xlfn.IFS(AS64="Undetermined", 0, AS64="Undiluted", AP64*$G64/$F64*1000, AS64="Ten-Fold", AR64*$G64/$F64*1000*10, AS64&lt;0, AR64*$G64/$F64*1000*10, AS64&lt;120, AP64*$G64/$F64*1000, AS64&gt;120, AR64*$G64/$F64*1000*10)</f>
        <v>3138.9077504475913</v>
      </c>
      <c r="AU64" s="156">
        <f t="shared" si="11"/>
        <v>6327.580451965332</v>
      </c>
      <c r="AV64" s="156">
        <f t="shared" si="12"/>
        <v>4509.4641804552439</v>
      </c>
      <c r="AW64" s="156">
        <f t="shared" si="13"/>
        <v>3188.6727015177398</v>
      </c>
      <c r="AX64" s="160" cm="1">
        <f t="array" ref="AX64">_xlfn.IFS(AU64="DELETE", "DELETE", AU64=0, 0, AU64&gt;0,LOG10(AU64))</f>
        <v>3.8012376756987201</v>
      </c>
      <c r="AY64" s="161" cm="1">
        <f t="array" ref="AY64">_xlfn.IFS(AU64="DELETE", "DELETE", AU64=0, 0, AU64&gt;0, AW64/AU64/LN(10))</f>
        <v>0.21885505358285348</v>
      </c>
      <c r="AZ64" s="120">
        <f>qPCR_Raw!AG64</f>
        <v>32.700084686279297</v>
      </c>
      <c r="BA64" s="121" cm="1">
        <f t="array" ref="BA64">_xlfn.IFS(AZ64="Undetermined", 0, qPCR_Raw!AH64&lt;=1, 0, qPCR_Raw!AH64&gt;1, qPCR_Raw!AH64)</f>
        <v>11.515477180480957</v>
      </c>
      <c r="BB64" s="122">
        <f>qPCR_Raw!AJ64</f>
        <v>37.256065368652344</v>
      </c>
      <c r="BC64" s="121" cm="1">
        <f t="array" ref="BC64">_xlfn.IFS(BB64="Undetermined", 0, qPCR_Raw!AK64&lt;=1, 0, qPCR_Raw!AK64&gt;1, qPCR_Raw!AK64)</f>
        <v>0</v>
      </c>
      <c r="BD64" s="123" t="str" cm="1">
        <f t="array" ref="BD64">_xlfn.IFS(AND(AZ64="Undetermined", BB64="Undetermined"), "Undetermined", AND(BA64=0, BC64=0), "Undetermined", AND(BA64=0, BC64&gt;0), "Ten-Fold", AND(BA64&gt;0, BC64=0), "Undiluted", AND(AZ64&lt;&gt;"Undetermined", BB64&lt;&gt;"Undetermined", BA64&gt;0, BC64&gt;0, AZ64&lt;&gt;BB64), 100*(-1+10^(-1/(AZ64-BB64))), AND(AZ64&lt;&gt;"Undetermined", BB64&lt;&gt;"Undetermined", AZ64=BB64&gt;0), -100)</f>
        <v>Undiluted</v>
      </c>
      <c r="BE64" s="124" cm="1">
        <f t="array" ref="BE64">_xlfn.IFS(BD64="Undetermined", 0, BD64="Undiluted", BA64*$G64/$F64*1000, BD64="Ten-Fold", BC64*$G64/$F64*1000*10, BD64&lt;0, BC64*$G64/$F64*1000*10, BD64&lt;120, BA64*$G64/$F64*1000, BD64&gt;120, BC64*$G64/$F64*1000*10)</f>
        <v>1279.497464497884</v>
      </c>
      <c r="BF64" s="121">
        <f t="shared" si="14"/>
        <v>1036.8709829118516</v>
      </c>
      <c r="BG64" s="121">
        <f t="shared" si="15"/>
        <v>343.12566084983365</v>
      </c>
      <c r="BH64" s="121">
        <f t="shared" si="16"/>
        <v>242.62648158603281</v>
      </c>
      <c r="BI64" s="125" cm="1">
        <f t="array" ref="BI64">_xlfn.IFS(BF64="DELETE", "DELETE", BF64=0, 0, BF64&gt;0,LOG10(BF64))</f>
        <v>3.0157247208101761</v>
      </c>
      <c r="BJ64" s="126" cm="1">
        <f t="array" ref="BJ64">_xlfn.IFS(BF64="DELETE", "DELETE", BF64=0, 0, BF64&gt;0, BH64/BF64/LN(10))</f>
        <v>0.10162435235722379</v>
      </c>
    </row>
    <row r="65" spans="1:62" s="114" customFormat="1" x14ac:dyDescent="0.3">
      <c r="A65" s="115" t="str">
        <f>UPPER(LEFT(SUBSTITUTE(SUBSTITUTE(qPCR_Raw!A65,"-","")," ",""),2))&amp;RIGHT(SUBSTITUTE(SUBSTITUTE(qPCR_Raw!A65,"-","")," ",""),LEN(SUBSTITUTE(SUBSTITUTE(qPCR_Raw!A65,"-","")," ",""))-2)</f>
        <v>STa7</v>
      </c>
      <c r="B65" s="116" t="str" cm="1">
        <f t="array" ref="B65">_xlfn.IFS(LEFT(A65, LEN(A65)-1)="EP", "EP", LEFT(A65, LEN(A65)-1)="STa", "SPI", LEFT(A65, LEN(A65)-1)="STb", "SPO", LEFT(A65, LEN(A65)-1)="MRT", "MRT", LEFT(A65, LEN(A65)-1)="RG", "RN", LEFT(A65, LEN(A65)-1)="RT", "RU", LEFT(A65, LEN(A65)-1)="RW", "RL", LEFT(A65, LEN(A65)-1)="RC", "RS")</f>
        <v>SPI</v>
      </c>
      <c r="C65" s="117">
        <f>qPCR_Raw!B65</f>
        <v>44356</v>
      </c>
      <c r="D65" s="117" t="str">
        <f t="shared" si="0"/>
        <v>SPI44356</v>
      </c>
      <c r="E65" s="117" t="str">
        <f t="shared" si="1"/>
        <v>SPI443567</v>
      </c>
      <c r="F65" s="118">
        <f>qPCR_Raw!C65</f>
        <v>900</v>
      </c>
      <c r="G65" s="119">
        <f>qPCR_Raw!F65</f>
        <v>100</v>
      </c>
      <c r="H65" s="120">
        <f>qPCR_Raw!G65</f>
        <v>19.072219848632813</v>
      </c>
      <c r="I65" s="121" cm="1">
        <f t="array" ref="I65">_xlfn.IFS(H65="Undetermined", 0, qPCR_Raw!H65-qPCR_Raw!$H$242&lt;0, 0, qPCR_Raw!H65-qPCR_Raw!$H$242&gt;0, qPCR_Raw!H65-qPCR_Raw!$H$242)</f>
        <v>129541.56457112631</v>
      </c>
      <c r="J65" s="122">
        <f>qPCR_Raw!K65</f>
        <v>21.996492385864258</v>
      </c>
      <c r="K65" s="121" cm="1">
        <f t="array" ref="K65">_xlfn.IFS(J65="Undetermined", 0, qPCR_Raw!L65-qPCR_Raw!$H$242&lt;0, 0, qPCR_Raw!L65-qPCR_Raw!$H$242&gt;0, qPCR_Raw!L65-qPCR_Raw!$H$242)</f>
        <v>10091.062618001302</v>
      </c>
      <c r="L65" s="123" cm="1">
        <f t="array" ref="L65">_xlfn.IFS(AND(H65="Undetermined", J65="Undetermined"), "Undetermined", AND(I65=0, K65=0), "Undetermined", AND(I65=0, K65&gt;0), "Ten-Fold", AND(I65&gt;0, K65=0), "Undiluted", AND(H65&lt;&gt;"Undetermined", J65&lt;&gt;"Undetermined", I65&gt;0, K65&gt;0), 100*(-1+10^(-1/(H65-J65))))</f>
        <v>119.76847291994122</v>
      </c>
      <c r="M65" s="124" cm="1">
        <f t="array" ref="M65">_xlfn.IFS(L65="Undetermined", 0, L65="Undiluted", I65*$G65/$F65*1000, L65="Ten-Fold", K65*$G65/$F65*1000*10, L65&lt;0, K65*$G65/$F65*1000*10, L65&lt;120, I65*$G65/$F65*1000, L65&gt;120, K65*$G65/$F65*1000*10)</f>
        <v>14393507.17456959</v>
      </c>
      <c r="N65" s="121" t="str">
        <f t="shared" si="2"/>
        <v>DELETE</v>
      </c>
      <c r="O65" s="121" t="str">
        <f t="shared" si="3"/>
        <v>DELETE</v>
      </c>
      <c r="P65" s="121" t="str">
        <f t="shared" si="4"/>
        <v>DELETE</v>
      </c>
      <c r="Q65" s="125" t="str" cm="1">
        <f t="array" ref="Q65">_xlfn.IFS(N65="DELETE", "DELETE", N65=0, 0, N65&gt;0,LOG10(N65))</f>
        <v>DELETE</v>
      </c>
      <c r="R65" s="126" t="str" cm="1">
        <f t="array" ref="R65">_xlfn.IFS(N65="DELETE", "DELETE", N65=0, 0, N65&gt;0, P65/N65/LN(10))</f>
        <v>DELETE</v>
      </c>
      <c r="S65" s="155">
        <f>qPCR_Raw!O65</f>
        <v>34.544281005859375</v>
      </c>
      <c r="T65" s="156" cm="1">
        <f t="array" ref="T65">_xlfn.IFS(S65="Undetermined", 0, qPCR_Raw!P65&lt;=1, 0, qPCR_Raw!P65&gt;1, qPCR_Raw!P65)</f>
        <v>71.732124328613281</v>
      </c>
      <c r="U65" s="157">
        <f>qPCR_Raw!R65</f>
        <v>37.619564056396484</v>
      </c>
      <c r="V65" s="156" cm="1">
        <f t="array" ref="V65">_xlfn.IFS(U65="Undetermined", 0, qPCR_Raw!S65&lt;=1, 0, qPCR_Raw!S65&gt;1, qPCR_Raw!S65)</f>
        <v>11.483109474182129</v>
      </c>
      <c r="W65" s="158" cm="1">
        <f t="array" ref="W65">_xlfn.IFS(AND(S65="Undetermined", U65="Undetermined"), "Undetermined", AND(T65=0, V65=0), "Undetermined", AND(T65=0, V65&gt;0), "Ten-Fold", AND(T65&gt;0, V65=0), "Undiluted", AND(S65&lt;&gt;"Undetermined", U65&lt;&gt;"Undetermined", T65&gt;0, V65&gt;0, S65&lt;&gt;U65), 100*(-1+10^(-1/(S65-U65))), AND(S65&lt;&gt;"Undetermined", U65&lt;&gt;"Undetermined", S65=U65&gt;0), -100)</f>
        <v>111.43326687454449</v>
      </c>
      <c r="X65" s="159" cm="1">
        <f t="array" ref="X65">_xlfn.IFS(W65="Undetermined", 0, W65="Undiluted", T65*$G65/$F65*1000, W65="Ten-Fold", V65*$G65/$F65*1000*10, W65&lt;0, V65*$G65/$F65*1000*10, W65&lt;120, T65*$G65/$F65*1000, W65&gt;120, V65*$G65/$F65*1000*10)</f>
        <v>7970.2360365125869</v>
      </c>
      <c r="Y65" s="156" t="str">
        <f t="shared" si="5"/>
        <v>DELETE</v>
      </c>
      <c r="Z65" s="156" t="str">
        <f t="shared" si="6"/>
        <v>DELETE</v>
      </c>
      <c r="AA65" s="156" t="str">
        <f t="shared" si="7"/>
        <v>DELETE</v>
      </c>
      <c r="AB65" s="160" t="str" cm="1">
        <f t="array" ref="AB65">_xlfn.IFS(Y65="DELETE", "DELETE", Y65=0, 0, Y65&gt;0,LOG10(Y65))</f>
        <v>DELETE</v>
      </c>
      <c r="AC65" s="161" t="str" cm="1">
        <f t="array" ref="AC65">_xlfn.IFS(Y65="DELETE", "DELETE", Y65=0, 0, Y65&gt;0, AA65/Y65/LN(10))</f>
        <v>DELETE</v>
      </c>
      <c r="AD65" s="120">
        <f>qPCR_Raw!U65</f>
        <v>32.600074768066406</v>
      </c>
      <c r="AE65" s="121" cm="1">
        <f t="array" ref="AE65">_xlfn.IFS(AD65="Undetermined", 0, qPCR_Raw!V65&lt;=1, 0, qPCR_Raw!V65&gt;1, qPCR_Raw!V65)</f>
        <v>6.8452491760253906</v>
      </c>
      <c r="AF65" s="122">
        <f>qPCR_Raw!X65</f>
        <v>35.031806945800781</v>
      </c>
      <c r="AG65" s="121" cm="1">
        <f t="array" ref="AG65">_xlfn.IFS(AF65="Undetermined", 0, qPCR_Raw!Y65&lt;=1, 0, qPCR_Raw!Y65&gt;1, qPCR_Raw!Y65)</f>
        <v>1.4321306943893433</v>
      </c>
      <c r="AH65" s="123" cm="1">
        <f t="array" ref="AH65">_xlfn.IFS(AND(AD65="Undetermined", AF65="Undetermined"), "Undetermined", AND(AE65=0, AG65=0), "Undetermined", AND(AE65=0, AG65&gt;0), "Ten-Fold", AND(AE65&gt;0, AG65=0), "Undiluted", AND(AD65&lt;&gt;"Undetermined", AF65&lt;&gt;"Undetermined", AE65&gt;0, AG65&gt;0, AD65&lt;&gt;AF65), 100*(-1+10^(-1/(AD65-AF65))), AND(AD65&lt;&gt;"Undetermined", AF65&lt;&gt;"Undetermined", AD65=AF65&gt;0), -100)</f>
        <v>157.76829378773297</v>
      </c>
      <c r="AI65" s="124" cm="1">
        <f t="array" ref="AI65">_xlfn.IFS(AH65="Undetermined", 0, AH65="Undiluted", AE65*$G65/$F65*1000, AH65="Ten-Fold", AG65*$G65/$F65*1000*10, AH65&lt;0, AG65*$G65/$F65*1000*10, AH65&lt;120, AE65*$G65/$F65*1000, AH65&gt;120, AG65*$G65/$F65*1000*10)</f>
        <v>1591.2563270992703</v>
      </c>
      <c r="AJ65" s="121" t="str">
        <f t="shared" si="8"/>
        <v>DELETE</v>
      </c>
      <c r="AK65" s="121" t="str">
        <f t="shared" si="9"/>
        <v>DELETE</v>
      </c>
      <c r="AL65" s="121" t="str">
        <f t="shared" si="10"/>
        <v>DELETE</v>
      </c>
      <c r="AM65" s="125" t="str" cm="1">
        <f t="array" ref="AM65">_xlfn.IFS(AJ65="DELETE", "DELETE", AJ65=0, 0, AJ65&gt;0,LOG10(AJ65))</f>
        <v>DELETE</v>
      </c>
      <c r="AN65" s="126" t="str" cm="1">
        <f t="array" ref="AN65">_xlfn.IFS(AJ65="DELETE", "DELETE", AJ65=0, 0, AJ65&gt;0, AL65/AJ65/LN(10))</f>
        <v>DELETE</v>
      </c>
      <c r="AO65" s="155">
        <f>qPCR_Raw!AA65</f>
        <v>24.874170303344727</v>
      </c>
      <c r="AP65" s="156" cm="1">
        <f t="array" ref="AP65">_xlfn.IFS(AO65="Undetermined", 0, qPCR_Raw!AB65&lt;=6, 0, qPCR_Raw!AB65&gt;6, qPCR_Raw!AB65)</f>
        <v>85.646278381347656</v>
      </c>
      <c r="AQ65" s="157">
        <f>qPCR_Raw!AD65</f>
        <v>28.392999649047852</v>
      </c>
      <c r="AR65" s="156" cm="1">
        <f t="array" ref="AR65">_xlfn.IFS(AQ65="Undetermined", 0, qPCR_Raw!AE65&lt;=6, 0, qPCR_Raw!AE65&gt;6, qPCR_Raw!AE65)</f>
        <v>8.1316633224487305</v>
      </c>
      <c r="AS65" s="158" cm="1">
        <f t="array" ref="AS65">_xlfn.IFS(AND(AO65="Undetermined", AQ65="Undetermined"), "Undetermined", AND(AP65=0, AR65=0), "Undetermined", AND(AP65=0, AR65&gt;0), "Ten-Fold", AND(AP65&gt;0, AR65=0), "Undiluted", AND(AO65&lt;&gt;"Undetermined", AQ65&lt;&gt;"Undetermined", AP65&gt;0, AR65&gt;0, AO65&lt;&gt;AQ65), 100*(-1+10^(-1/(AO65-AQ65))), AND(AO65&lt;&gt;"Undetermined", AQ65&lt;&gt;"Undetermined", AO65=AQ65&gt;0), -100)</f>
        <v>92.391296488061442</v>
      </c>
      <c r="AT65" s="159" cm="1">
        <f t="array" ref="AT65">_xlfn.IFS(AS65="Undetermined", 0, AS65="Undiluted", AP65*$G65/$F65*1000, AS65="Ten-Fold", AR65*$G65/$F65*1000*10, AS65&lt;0, AR65*$G65/$F65*1000*10, AS65&lt;120, AP65*$G65/$F65*1000, AS65&gt;120, AR65*$G65/$F65*1000*10)</f>
        <v>9516.2531534830723</v>
      </c>
      <c r="AU65" s="156" t="str">
        <f t="shared" si="11"/>
        <v>DELETE</v>
      </c>
      <c r="AV65" s="156" t="str">
        <f t="shared" si="12"/>
        <v>DELETE</v>
      </c>
      <c r="AW65" s="156" t="str">
        <f t="shared" si="13"/>
        <v>DELETE</v>
      </c>
      <c r="AX65" s="160" t="str" cm="1">
        <f t="array" ref="AX65">_xlfn.IFS(AU65="DELETE", "DELETE", AU65=0, 0, AU65&gt;0,LOG10(AU65))</f>
        <v>DELETE</v>
      </c>
      <c r="AY65" s="161" t="str" cm="1">
        <f t="array" ref="AY65">_xlfn.IFS(AU65="DELETE", "DELETE", AU65=0, 0, AU65&gt;0, AW65/AU65/LN(10))</f>
        <v>DELETE</v>
      </c>
      <c r="AZ65" s="120">
        <f>qPCR_Raw!AG65</f>
        <v>33.45404052734375</v>
      </c>
      <c r="BA65" s="121" cm="1">
        <f t="array" ref="BA65">_xlfn.IFS(AZ65="Undetermined", 0, qPCR_Raw!AH65&lt;=1, 0, qPCR_Raw!AH65&gt;1, qPCR_Raw!AH65)</f>
        <v>7.148200511932373</v>
      </c>
      <c r="BB65" s="122" t="str">
        <f>qPCR_Raw!AJ65</f>
        <v>Undetermined</v>
      </c>
      <c r="BC65" s="121" cm="1">
        <f t="array" ref="BC65">_xlfn.IFS(BB65="Undetermined", 0, qPCR_Raw!AK65&lt;=1, 0, qPCR_Raw!AK65&gt;1, qPCR_Raw!AK65)</f>
        <v>0</v>
      </c>
      <c r="BD65" s="123" t="str" cm="1">
        <f t="array" ref="BD65">_xlfn.IFS(AND(AZ65="Undetermined", BB65="Undetermined"), "Undetermined", AND(BA65=0, BC65=0), "Undetermined", AND(BA65=0, BC65&gt;0), "Ten-Fold", AND(BA65&gt;0, BC65=0), "Undiluted", AND(AZ65&lt;&gt;"Undetermined", BB65&lt;&gt;"Undetermined", BA65&gt;0, BC65&gt;0, AZ65&lt;&gt;BB65), 100*(-1+10^(-1/(AZ65-BB65))), AND(AZ65&lt;&gt;"Undetermined", BB65&lt;&gt;"Undetermined", AZ65=BB65&gt;0), -100)</f>
        <v>Undiluted</v>
      </c>
      <c r="BE65" s="124" cm="1">
        <f t="array" ref="BE65">_xlfn.IFS(BD65="Undetermined", 0, BD65="Undiluted", BA65*$G65/$F65*1000, BD65="Ten-Fold", BC65*$G65/$F65*1000*10, BD65&lt;0, BC65*$G65/$F65*1000*10, BD65&lt;120, BA65*$G65/$F65*1000, BD65&gt;120, BC65*$G65/$F65*1000*10)</f>
        <v>794.24450132581921</v>
      </c>
      <c r="BF65" s="121" t="str">
        <f t="shared" si="14"/>
        <v>DELETE</v>
      </c>
      <c r="BG65" s="121" t="str">
        <f t="shared" si="15"/>
        <v>DELETE</v>
      </c>
      <c r="BH65" s="121" t="str">
        <f t="shared" si="16"/>
        <v>DELETE</v>
      </c>
      <c r="BI65" s="125" t="str" cm="1">
        <f t="array" ref="BI65">_xlfn.IFS(BF65="DELETE", "DELETE", BF65=0, 0, BF65&gt;0,LOG10(BF65))</f>
        <v>DELETE</v>
      </c>
      <c r="BJ65" s="126" t="str" cm="1">
        <f t="array" ref="BJ65">_xlfn.IFS(BF65="DELETE", "DELETE", BF65=0, 0, BF65&gt;0, BH65/BF65/LN(10))</f>
        <v>DELETE</v>
      </c>
    </row>
    <row r="66" spans="1:62" s="114" customFormat="1" x14ac:dyDescent="0.3">
      <c r="A66" s="115" t="str">
        <f>UPPER(LEFT(SUBSTITUTE(SUBSTITUTE(qPCR_Raw!A66,"-","")," ",""),2))&amp;RIGHT(SUBSTITUTE(SUBSTITUTE(qPCR_Raw!A66,"-","")," ",""),LEN(SUBSTITUTE(SUBSTITUTE(qPCR_Raw!A66,"-","")," ",""))-2)</f>
        <v>EP6</v>
      </c>
      <c r="B66" s="116" t="str" cm="1">
        <f t="array" ref="B66">_xlfn.IFS(LEFT(A66, LEN(A66)-1)="EP", "EP", LEFT(A66, LEN(A66)-1)="STa", "SPI", LEFT(A66, LEN(A66)-1)="STb", "SPO", LEFT(A66, LEN(A66)-1)="MRT", "MRT", LEFT(A66, LEN(A66)-1)="RG", "RN", LEFT(A66, LEN(A66)-1)="RT", "RU", LEFT(A66, LEN(A66)-1)="RW", "RL", LEFT(A66, LEN(A66)-1)="RC", "RS")</f>
        <v>EP</v>
      </c>
      <c r="C66" s="117">
        <f>qPCR_Raw!B66</f>
        <v>44363</v>
      </c>
      <c r="D66" s="117" t="str">
        <f t="shared" si="0"/>
        <v>EP44363</v>
      </c>
      <c r="E66" s="117" t="str">
        <f t="shared" si="1"/>
        <v>EP443636</v>
      </c>
      <c r="F66" s="118">
        <f>qPCR_Raw!C66</f>
        <v>920</v>
      </c>
      <c r="G66" s="119">
        <f>qPCR_Raw!F66</f>
        <v>100</v>
      </c>
      <c r="H66" s="120">
        <f>qPCR_Raw!G66</f>
        <v>15.97596549987793</v>
      </c>
      <c r="I66" s="121" cm="1">
        <f t="array" ref="I66">_xlfn.IFS(H66="Undetermined", 0, qPCR_Raw!H66-qPCR_Raw!$H$242&lt;0, 0, qPCR_Raw!H66-qPCR_Raw!$H$242&gt;0, qPCR_Raw!H66-qPCR_Raw!$H$242)</f>
        <v>966883.42394612625</v>
      </c>
      <c r="J66" s="122">
        <f>qPCR_Raw!K66</f>
        <v>17.763509750366211</v>
      </c>
      <c r="K66" s="121" cm="1">
        <f t="array" ref="K66">_xlfn.IFS(J66="Undetermined", 0, qPCR_Raw!L66-qPCR_Raw!$H$242&lt;0, 0, qPCR_Raw!L66-qPCR_Raw!$H$242&gt;0, qPCR_Raw!L66-qPCR_Raw!$H$242)</f>
        <v>308965.08019612631</v>
      </c>
      <c r="L66" s="123" cm="1">
        <f t="array" ref="L66">_xlfn.IFS(AND(H66="Undetermined", J66="Undetermined"), "Undetermined", AND(I66=0, K66=0), "Undetermined", AND(I66=0, K66&gt;0), "Ten-Fold", AND(I66&gt;0, K66=0), "Undiluted", AND(H66&lt;&gt;"Undetermined", J66&lt;&gt;"Undetermined", I66&gt;0, K66&gt;0), 100*(-1+10^(-1/(H66-J66))))</f>
        <v>262.59909059505765</v>
      </c>
      <c r="M66" s="124" cm="1">
        <f t="array" ref="M66">_xlfn.IFS(L66="Undetermined", 0, L66="Undiluted", I66*$G66/$F66*1000, L66="Ten-Fold", K66*$G66/$F66*1000*10, L66&lt;0, K66*$G66/$F66*1000*10, L66&lt;120, I66*$G66/$F66*1000, L66&gt;120, K66*$G66/$F66*1000*10)</f>
        <v>335831608.90883297</v>
      </c>
      <c r="N66" s="121">
        <f t="shared" si="2"/>
        <v>831979408.03559792</v>
      </c>
      <c r="O66" s="121">
        <f t="shared" si="3"/>
        <v>701658946.46663284</v>
      </c>
      <c r="P66" s="121">
        <f t="shared" si="4"/>
        <v>496147799.12676477</v>
      </c>
      <c r="Q66" s="125" cm="1">
        <f t="array" ref="Q66">_xlfn.IFS(N66="DELETE", "DELETE", N66=0, 0, N66&gt;0,LOG10(N66))</f>
        <v>8.9201125773878598</v>
      </c>
      <c r="R66" s="126" cm="1">
        <f t="array" ref="R66">_xlfn.IFS(N66="DELETE", "DELETE", N66=0, 0, N66&gt;0, P66/N66/LN(10))</f>
        <v>0.25898988519193905</v>
      </c>
      <c r="S66" s="155" t="str">
        <f>qPCR_Raw!O66</f>
        <v>Undetermined</v>
      </c>
      <c r="T66" s="156" cm="1">
        <f t="array" ref="T66">_xlfn.IFS(S66="Undetermined", 0, qPCR_Raw!P66&lt;=1, 0, qPCR_Raw!P66&gt;1, qPCR_Raw!P66)</f>
        <v>0</v>
      </c>
      <c r="U66" s="157" t="str">
        <f>qPCR_Raw!R66</f>
        <v>Undetermined</v>
      </c>
      <c r="V66" s="156" cm="1">
        <f t="array" ref="V66">_xlfn.IFS(U66="Undetermined", 0, qPCR_Raw!S66&lt;=1, 0, qPCR_Raw!S66&gt;1, qPCR_Raw!S66)</f>
        <v>0</v>
      </c>
      <c r="W66" s="158" t="str" cm="1">
        <f t="array" ref="W66">_xlfn.IFS(AND(S66="Undetermined", U66="Undetermined"), "Undetermined", AND(T66=0, V66=0), "Undetermined", AND(T66=0, V66&gt;0), "Ten-Fold", AND(T66&gt;0, V66=0), "Undiluted", AND(S66&lt;&gt;"Undetermined", U66&lt;&gt;"Undetermined", T66&gt;0, V66&gt;0, S66&lt;&gt;U66), 100*(-1+10^(-1/(S66-U66))), AND(S66&lt;&gt;"Undetermined", U66&lt;&gt;"Undetermined", S66=U66&gt;0), -100)</f>
        <v>Undetermined</v>
      </c>
      <c r="X66" s="159" cm="1">
        <f t="array" ref="X66">_xlfn.IFS(W66="Undetermined", 0, W66="Undiluted", T66*$G66/$F66*1000, W66="Ten-Fold", V66*$G66/$F66*1000*10, W66&lt;0, V66*$G66/$F66*1000*10, W66&lt;120, T66*$G66/$F66*1000, W66&gt;120, V66*$G66/$F66*1000*10)</f>
        <v>0</v>
      </c>
      <c r="Y66" s="156">
        <f t="shared" si="5"/>
        <v>0</v>
      </c>
      <c r="Z66" s="156">
        <f t="shared" si="6"/>
        <v>0</v>
      </c>
      <c r="AA66" s="156">
        <f t="shared" si="7"/>
        <v>0</v>
      </c>
      <c r="AB66" s="160" cm="1">
        <f t="array" ref="AB66">_xlfn.IFS(Y66="DELETE", "DELETE", Y66=0, 0, Y66&gt;0,LOG10(Y66))</f>
        <v>0</v>
      </c>
      <c r="AC66" s="161" cm="1">
        <f t="array" ref="AC66">_xlfn.IFS(Y66="DELETE", "DELETE", Y66=0, 0, Y66&gt;0, AA66/Y66/LN(10))</f>
        <v>0</v>
      </c>
      <c r="AD66" s="120">
        <f>qPCR_Raw!U66</f>
        <v>33.378482818603516</v>
      </c>
      <c r="AE66" s="121" cm="1">
        <f t="array" ref="AE66">_xlfn.IFS(AD66="Undetermined", 0, qPCR_Raw!V66&lt;=1, 0, qPCR_Raw!V66&gt;1, qPCR_Raw!V66)</f>
        <v>4.1486639976501465</v>
      </c>
      <c r="AF66" s="122">
        <f>qPCR_Raw!X66</f>
        <v>36.144233703613281</v>
      </c>
      <c r="AG66" s="121" cm="1">
        <f t="array" ref="AG66">_xlfn.IFS(AF66="Undetermined", 0, qPCR_Raw!Y66&lt;=1, 0, qPCR_Raw!Y66&gt;1, qPCR_Raw!Y66)</f>
        <v>0</v>
      </c>
      <c r="AH66" s="123" t="str" cm="1">
        <f t="array" ref="AH66">_xlfn.IFS(AND(AD66="Undetermined", AF66="Undetermined"), "Undetermined", AND(AE66=0, AG66=0), "Undetermined", AND(AE66=0, AG66&gt;0), "Ten-Fold", AND(AE66&gt;0, AG66=0), "Undiluted", AND(AD66&lt;&gt;"Undetermined", AF66&lt;&gt;"Undetermined", AE66&gt;0, AG66&gt;0, AD66&lt;&gt;AF66), 100*(-1+10^(-1/(AD66-AF66))), AND(AD66&lt;&gt;"Undetermined", AF66&lt;&gt;"Undetermined", AD66=AF66&gt;0), -100)</f>
        <v>Undiluted</v>
      </c>
      <c r="AI66" s="124" cm="1">
        <f t="array" ref="AI66">_xlfn.IFS(AH66="Undetermined", 0, AH66="Undiluted", AE66*$G66/$F66*1000, AH66="Ten-Fold", AG66*$G66/$F66*1000*10, AH66&lt;0, AG66*$G66/$F66*1000*10, AH66&lt;120, AE66*$G66/$F66*1000, AH66&gt;120, AG66*$G66/$F66*1000*10)</f>
        <v>450.94173887501591</v>
      </c>
      <c r="AJ66" s="121">
        <f t="shared" si="8"/>
        <v>668.65919235247918</v>
      </c>
      <c r="AK66" s="121">
        <f t="shared" si="9"/>
        <v>307.89897547316207</v>
      </c>
      <c r="AL66" s="121">
        <f t="shared" si="10"/>
        <v>217.71745347746335</v>
      </c>
      <c r="AM66" s="125" cm="1">
        <f t="array" ref="AM66">_xlfn.IFS(AJ66="DELETE", "DELETE", AJ66=0, 0, AJ66&gt;0,LOG10(AJ66))</f>
        <v>2.8252048194210433</v>
      </c>
      <c r="AN66" s="126" cm="1">
        <f t="array" ref="AN66">_xlfn.IFS(AJ66="DELETE", "DELETE", AJ66=0, 0, AJ66&gt;0, AL66/AJ66/LN(10))</f>
        <v>0.14140759558936419</v>
      </c>
      <c r="AO66" s="155">
        <f>qPCR_Raw!AA66</f>
        <v>19.145620346069336</v>
      </c>
      <c r="AP66" s="156" cm="1">
        <f t="array" ref="AP66">_xlfn.IFS(AO66="Undetermined", 0, qPCR_Raw!AB66&lt;=6, 0, qPCR_Raw!AB66&gt;6, qPCR_Raw!AB66)</f>
        <v>3956.904296875</v>
      </c>
      <c r="AQ66" s="157">
        <f>qPCR_Raw!AD66</f>
        <v>23.172460556030273</v>
      </c>
      <c r="AR66" s="156" cm="1">
        <f t="array" ref="AR66">_xlfn.IFS(AQ66="Undetermined", 0, qPCR_Raw!AE66&lt;=6, 0, qPCR_Raw!AE66&gt;6, qPCR_Raw!AE66)</f>
        <v>267.4266357421875</v>
      </c>
      <c r="AS66" s="158" cm="1">
        <f t="array" ref="AS66">_xlfn.IFS(AND(AO66="Undetermined", AQ66="Undetermined"), "Undetermined", AND(AP66=0, AR66=0), "Undetermined", AND(AP66=0, AR66&gt;0), "Ten-Fold", AND(AP66&gt;0, AR66=0), "Undiluted", AND(AO66&lt;&gt;"Undetermined", AQ66&lt;&gt;"Undetermined", AP66&gt;0, AR66&gt;0, AO66&lt;&gt;AQ66), 100*(-1+10^(-1/(AO66-AQ66))), AND(AO66&lt;&gt;"Undetermined", AQ66&lt;&gt;"Undetermined", AO66=AQ66&gt;0), -100)</f>
        <v>77.146945397408629</v>
      </c>
      <c r="AT66" s="159" cm="1">
        <f t="array" ref="AT66">_xlfn.IFS(AS66="Undetermined", 0, AS66="Undiluted", AP66*$G66/$F66*1000, AS66="Ten-Fold", AR66*$G66/$F66*1000*10, AS66&lt;0, AR66*$G66/$F66*1000*10, AS66&lt;120, AP66*$G66/$F66*1000, AS66&gt;120, AR66*$G66/$F66*1000*10)</f>
        <v>430098.29313858692</v>
      </c>
      <c r="AU66" s="156">
        <f t="shared" si="11"/>
        <v>20644560.865319293</v>
      </c>
      <c r="AV66" s="156">
        <f t="shared" si="12"/>
        <v>28587567.125661276</v>
      </c>
      <c r="AW66" s="156">
        <f t="shared" si="13"/>
        <v>20214462.572180707</v>
      </c>
      <c r="AX66" s="160" cm="1">
        <f t="array" ref="AX66">_xlfn.IFS(AU66="DELETE", "DELETE", AU66=0, 0, AU66&gt;0,LOG10(AU66))</f>
        <v>7.3148056493421336</v>
      </c>
      <c r="AY66" s="161" cm="1">
        <f t="array" ref="AY66">_xlfn.IFS(AU66="DELETE", "DELETE", AU66=0, 0, AU66&gt;0, AW66/AU66/LN(10))</f>
        <v>0.42524661129923802</v>
      </c>
      <c r="AZ66" s="120">
        <f>qPCR_Raw!AG66</f>
        <v>38.450950622558594</v>
      </c>
      <c r="BA66" s="121" cm="1">
        <f t="array" ref="BA66">_xlfn.IFS(AZ66="Undetermined", 0, qPCR_Raw!AH66&lt;=1, 0, qPCR_Raw!AH66&gt;1, qPCR_Raw!AH66)</f>
        <v>0</v>
      </c>
      <c r="BB66" s="122">
        <f>qPCR_Raw!AJ66</f>
        <v>39.59222412109375</v>
      </c>
      <c r="BC66" s="121" cm="1">
        <f t="array" ref="BC66">_xlfn.IFS(BB66="Undetermined", 0, qPCR_Raw!AK66&lt;=1, 0, qPCR_Raw!AK66&gt;1, qPCR_Raw!AK66)</f>
        <v>0</v>
      </c>
      <c r="BD66" s="123" t="str" cm="1">
        <f t="array" ref="BD66">_xlfn.IFS(AND(AZ66="Undetermined", BB66="Undetermined"), "Undetermined", AND(BA66=0, BC66=0), "Undetermined", AND(BA66=0, BC66&gt;0), "Ten-Fold", AND(BA66&gt;0, BC66=0), "Undiluted", AND(AZ66&lt;&gt;"Undetermined", BB66&lt;&gt;"Undetermined", BA66&gt;0, BC66&gt;0, AZ66&lt;&gt;BB66), 100*(-1+10^(-1/(AZ66-BB66))), AND(AZ66&lt;&gt;"Undetermined", BB66&lt;&gt;"Undetermined", AZ66=BB66&gt;0), -100)</f>
        <v>Undetermined</v>
      </c>
      <c r="BE66" s="124" cm="1">
        <f t="array" ref="BE66">_xlfn.IFS(BD66="Undetermined", 0, BD66="Undiluted", BA66*$G66/$F66*1000, BD66="Ten-Fold", BC66*$G66/$F66*1000*10, BD66&lt;0, BC66*$G66/$F66*1000*10, BD66&lt;120, BA66*$G66/$F66*1000, BD66&gt;120, BC66*$G66/$F66*1000*10)</f>
        <v>0</v>
      </c>
      <c r="BF66" s="121">
        <f t="shared" si="14"/>
        <v>578.47426997290722</v>
      </c>
      <c r="BG66" s="121">
        <f t="shared" si="15"/>
        <v>818.08615807956062</v>
      </c>
      <c r="BH66" s="121">
        <f t="shared" si="16"/>
        <v>578.47426997290711</v>
      </c>
      <c r="BI66" s="125" cm="1">
        <f t="array" ref="BI66">_xlfn.IFS(BF66="DELETE", "DELETE", BF66=0, 0, BF66&gt;0,LOG10(BF66))</f>
        <v>2.7622840466805152</v>
      </c>
      <c r="BJ66" s="126" cm="1">
        <f t="array" ref="BJ66">_xlfn.IFS(BF66="DELETE", "DELETE", BF66=0, 0, BF66&gt;0, BH66/BF66/LN(10))</f>
        <v>0.43429448190325171</v>
      </c>
    </row>
    <row r="67" spans="1:62" s="114" customFormat="1" x14ac:dyDescent="0.3">
      <c r="A67" s="115" t="str">
        <f>UPPER(LEFT(SUBSTITUTE(SUBSTITUTE(qPCR_Raw!A67,"-","")," ",""),2))&amp;RIGHT(SUBSTITUTE(SUBSTITUTE(qPCR_Raw!A67,"-","")," ",""),LEN(SUBSTITUTE(SUBSTITUTE(qPCR_Raw!A67,"-","")," ",""))-2)</f>
        <v>EP7</v>
      </c>
      <c r="B67" s="116" t="str" cm="1">
        <f t="array" ref="B67">_xlfn.IFS(LEFT(A67, LEN(A67)-1)="EP", "EP", LEFT(A67, LEN(A67)-1)="STa", "SPI", LEFT(A67, LEN(A67)-1)="STb", "SPO", LEFT(A67, LEN(A67)-1)="MRT", "MRT", LEFT(A67, LEN(A67)-1)="RG", "RN", LEFT(A67, LEN(A67)-1)="RT", "RU", LEFT(A67, LEN(A67)-1)="RW", "RL", LEFT(A67, LEN(A67)-1)="RC", "RS")</f>
        <v>EP</v>
      </c>
      <c r="C67" s="117">
        <f>qPCR_Raw!B67</f>
        <v>44363</v>
      </c>
      <c r="D67" s="117" t="str">
        <f t="shared" si="0"/>
        <v>EP44363</v>
      </c>
      <c r="E67" s="117" t="str">
        <f t="shared" si="1"/>
        <v>EP443637</v>
      </c>
      <c r="F67" s="118">
        <f>qPCR_Raw!C67</f>
        <v>900</v>
      </c>
      <c r="G67" s="119">
        <f>qPCR_Raw!F67</f>
        <v>100</v>
      </c>
      <c r="H67" s="120">
        <f>qPCR_Raw!G67</f>
        <v>12.874423027038574</v>
      </c>
      <c r="I67" s="121" cm="1">
        <f t="array" ref="I67">_xlfn.IFS(H67="Undetermined", 0, qPCR_Raw!H67-qPCR_Raw!$H$242&lt;0, 0, qPCR_Raw!H67-qPCR_Raw!$H$242&gt;0, qPCR_Raw!H67-qPCR_Raw!$H$242)</f>
        <v>6745898.3614461264</v>
      </c>
      <c r="J67" s="122">
        <f>qPCR_Raw!K67</f>
        <v>15.639421463012695</v>
      </c>
      <c r="K67" s="121" cm="1">
        <f t="array" ref="K67">_xlfn.IFS(J67="Undetermined", 0, qPCR_Raw!L67-qPCR_Raw!$H$242&lt;0, 0, qPCR_Raw!L67-qPCR_Raw!$H$242&gt;0, qPCR_Raw!L67-qPCR_Raw!$H$242)</f>
        <v>1195314.4864461264</v>
      </c>
      <c r="L67" s="123" cm="1">
        <f t="array" ref="L67">_xlfn.IFS(AND(H67="Undetermined", J67="Undetermined"), "Undetermined", AND(I67=0, K67=0), "Undetermined", AND(I67=0, K67&gt;0), "Ten-Fold", AND(I67&gt;0, K67=0), "Undiluted", AND(H67&lt;&gt;"Undetermined", J67&lt;&gt;"Undetermined", I67&gt;0, K67&gt;0), 100*(-1+10^(-1/(H67-J67))))</f>
        <v>129.96611975568362</v>
      </c>
      <c r="M67" s="124" cm="1">
        <f t="array" ref="M67">_xlfn.IFS(L67="Undetermined", 0, L67="Undiluted", I67*$G67/$F67*1000, L67="Ten-Fold", K67*$G67/$F67*1000*10, L67&lt;0, K67*$G67/$F67*1000*10, L67&lt;120, I67*$G67/$F67*1000, L67&gt;120, K67*$G67/$F67*1000*10)</f>
        <v>1328127207.1623628</v>
      </c>
      <c r="N67" s="121" t="str">
        <f t="shared" si="2"/>
        <v>DELETE</v>
      </c>
      <c r="O67" s="121" t="str">
        <f t="shared" si="3"/>
        <v>DELETE</v>
      </c>
      <c r="P67" s="121" t="str">
        <f t="shared" si="4"/>
        <v>DELETE</v>
      </c>
      <c r="Q67" s="125" t="str" cm="1">
        <f t="array" ref="Q67">_xlfn.IFS(N67="DELETE", "DELETE", N67=0, 0, N67&gt;0,LOG10(N67))</f>
        <v>DELETE</v>
      </c>
      <c r="R67" s="126" t="str" cm="1">
        <f t="array" ref="R67">_xlfn.IFS(N67="DELETE", "DELETE", N67=0, 0, N67&gt;0, P67/N67/LN(10))</f>
        <v>DELETE</v>
      </c>
      <c r="S67" s="155" t="str">
        <f>qPCR_Raw!O67</f>
        <v>Undetermined</v>
      </c>
      <c r="T67" s="156" cm="1">
        <f t="array" ref="T67">_xlfn.IFS(S67="Undetermined", 0, qPCR_Raw!P67&lt;=1, 0, qPCR_Raw!P67&gt;1, qPCR_Raw!P67)</f>
        <v>0</v>
      </c>
      <c r="U67" s="157" t="str">
        <f>qPCR_Raw!R67</f>
        <v>Undetermined</v>
      </c>
      <c r="V67" s="156" cm="1">
        <f t="array" ref="V67">_xlfn.IFS(U67="Undetermined", 0, qPCR_Raw!S67&lt;=1, 0, qPCR_Raw!S67&gt;1, qPCR_Raw!S67)</f>
        <v>0</v>
      </c>
      <c r="W67" s="158" t="str" cm="1">
        <f t="array" ref="W67">_xlfn.IFS(AND(S67="Undetermined", U67="Undetermined"), "Undetermined", AND(T67=0, V67=0), "Undetermined", AND(T67=0, V67&gt;0), "Ten-Fold", AND(T67&gt;0, V67=0), "Undiluted", AND(S67&lt;&gt;"Undetermined", U67&lt;&gt;"Undetermined", T67&gt;0, V67&gt;0, S67&lt;&gt;U67), 100*(-1+10^(-1/(S67-U67))), AND(S67&lt;&gt;"Undetermined", U67&lt;&gt;"Undetermined", S67=U67&gt;0), -100)</f>
        <v>Undetermined</v>
      </c>
      <c r="X67" s="159" cm="1">
        <f t="array" ref="X67">_xlfn.IFS(W67="Undetermined", 0, W67="Undiluted", T67*$G67/$F67*1000, W67="Ten-Fold", V67*$G67/$F67*1000*10, W67&lt;0, V67*$G67/$F67*1000*10, W67&lt;120, T67*$G67/$F67*1000, W67&gt;120, V67*$G67/$F67*1000*10)</f>
        <v>0</v>
      </c>
      <c r="Y67" s="156" t="str">
        <f t="shared" si="5"/>
        <v>DELETE</v>
      </c>
      <c r="Z67" s="156" t="str">
        <f t="shared" si="6"/>
        <v>DELETE</v>
      </c>
      <c r="AA67" s="156" t="str">
        <f t="shared" si="7"/>
        <v>DELETE</v>
      </c>
      <c r="AB67" s="160" t="str" cm="1">
        <f t="array" ref="AB67">_xlfn.IFS(Y67="DELETE", "DELETE", Y67=0, 0, Y67&gt;0,LOG10(Y67))</f>
        <v>DELETE</v>
      </c>
      <c r="AC67" s="161" t="str" cm="1">
        <f t="array" ref="AC67">_xlfn.IFS(Y67="DELETE", "DELETE", Y67=0, 0, Y67&gt;0, AA67/Y67/LN(10))</f>
        <v>DELETE</v>
      </c>
      <c r="AD67" s="120">
        <f>qPCR_Raw!U67</f>
        <v>32.362159729003906</v>
      </c>
      <c r="AE67" s="121" cm="1">
        <f t="array" ref="AE67">_xlfn.IFS(AD67="Undetermined", 0, qPCR_Raw!V67&lt;=1, 0, qPCR_Raw!V67&gt;1, qPCR_Raw!V67)</f>
        <v>7.9773898124694824</v>
      </c>
      <c r="AF67" s="122">
        <f>qPCR_Raw!X67</f>
        <v>35.509494781494141</v>
      </c>
      <c r="AG67" s="121" cm="1">
        <f t="array" ref="AG67">_xlfn.IFS(AF67="Undetermined", 0, qPCR_Raw!Y67&lt;=1, 0, qPCR_Raw!Y67&gt;1, qPCR_Raw!Y67)</f>
        <v>1.0532232522964478</v>
      </c>
      <c r="AH67" s="123" cm="1">
        <f t="array" ref="AH67">_xlfn.IFS(AND(AD67="Undetermined", AF67="Undetermined"), "Undetermined", AND(AE67=0, AG67=0), "Undetermined", AND(AE67=0, AG67&gt;0), "Ten-Fold", AND(AE67&gt;0, AG67=0), "Undiluted", AND(AD67&lt;&gt;"Undetermined", AF67&lt;&gt;"Undetermined", AE67&gt;0, AG67&gt;0, AD67&lt;&gt;AF67), 100*(-1+10^(-1/(AD67-AF67))), AND(AD67&lt;&gt;"Undetermined", AF67&lt;&gt;"Undetermined", AD67=AF67&gt;0), -100)</f>
        <v>107.83999395085777</v>
      </c>
      <c r="AI67" s="124" cm="1">
        <f t="array" ref="AI67">_xlfn.IFS(AH67="Undetermined", 0, AH67="Undiluted", AE67*$G67/$F67*1000, AH67="Ten-Fold", AG67*$G67/$F67*1000*10, AH67&lt;0, AG67*$G67/$F67*1000*10, AH67&lt;120, AE67*$G67/$F67*1000, AH67&gt;120, AG67*$G67/$F67*1000*10)</f>
        <v>886.3766458299425</v>
      </c>
      <c r="AJ67" s="121" t="str">
        <f t="shared" si="8"/>
        <v>DELETE</v>
      </c>
      <c r="AK67" s="121" t="str">
        <f t="shared" si="9"/>
        <v>DELETE</v>
      </c>
      <c r="AL67" s="121" t="str">
        <f t="shared" si="10"/>
        <v>DELETE</v>
      </c>
      <c r="AM67" s="125" t="str" cm="1">
        <f t="array" ref="AM67">_xlfn.IFS(AJ67="DELETE", "DELETE", AJ67=0, 0, AJ67&gt;0,LOG10(AJ67))</f>
        <v>DELETE</v>
      </c>
      <c r="AN67" s="126" t="str" cm="1">
        <f t="array" ref="AN67">_xlfn.IFS(AJ67="DELETE", "DELETE", AJ67=0, 0, AJ67&gt;0, AL67/AJ67/LN(10))</f>
        <v>DELETE</v>
      </c>
      <c r="AO67" s="155">
        <f>qPCR_Raw!AA67</f>
        <v>12.941454887390137</v>
      </c>
      <c r="AP67" s="156" cm="1">
        <f t="array" ref="AP67">_xlfn.IFS(AO67="Undetermined", 0, qPCR_Raw!AB67&lt;=6, 0, qPCR_Raw!AB67&gt;6, qPCR_Raw!AB67)</f>
        <v>251310.546875</v>
      </c>
      <c r="AQ67" s="157">
        <f>qPCR_Raw!AD67</f>
        <v>15.813839912414551</v>
      </c>
      <c r="AR67" s="156" cm="1">
        <f t="array" ref="AR67">_xlfn.IFS(AQ67="Undetermined", 0, qPCR_Raw!AE67&lt;=6, 0, qPCR_Raw!AE67&gt;6, qPCR_Raw!AE67)</f>
        <v>36773.12109375</v>
      </c>
      <c r="AS67" s="158" cm="1">
        <f t="array" ref="AS67">_xlfn.IFS(AND(AO67="Undetermined", AQ67="Undetermined"), "Undetermined", AND(AP67=0, AR67=0), "Undetermined", AND(AP67=0, AR67&gt;0), "Ten-Fold", AND(AP67&gt;0, AR67=0), "Undiluted", AND(AO67&lt;&gt;"Undetermined", AQ67&lt;&gt;"Undetermined", AP67&gt;0, AR67&gt;0, AO67&lt;&gt;AQ67), 100*(-1+10^(-1/(AO67-AQ67))), AND(AO67&lt;&gt;"Undetermined", AQ67&lt;&gt;"Undetermined", AO67=AQ67&gt;0), -100)</f>
        <v>122.91677042503588</v>
      </c>
      <c r="AT67" s="159" cm="1">
        <f t="array" ref="AT67">_xlfn.IFS(AS67="Undetermined", 0, AS67="Undiluted", AP67*$G67/$F67*1000, AS67="Ten-Fold", AR67*$G67/$F67*1000*10, AS67&lt;0, AR67*$G67/$F67*1000*10, AS67&lt;120, AP67*$G67/$F67*1000, AS67&gt;120, AR67*$G67/$F67*1000*10)</f>
        <v>40859023.4375</v>
      </c>
      <c r="AU67" s="156" t="str">
        <f t="shared" si="11"/>
        <v>DELETE</v>
      </c>
      <c r="AV67" s="156" t="str">
        <f t="shared" si="12"/>
        <v>DELETE</v>
      </c>
      <c r="AW67" s="156" t="str">
        <f t="shared" si="13"/>
        <v>DELETE</v>
      </c>
      <c r="AX67" s="160" t="str" cm="1">
        <f t="array" ref="AX67">_xlfn.IFS(AU67="DELETE", "DELETE", AU67=0, 0, AU67&gt;0,LOG10(AU67))</f>
        <v>DELETE</v>
      </c>
      <c r="AY67" s="161" t="str" cm="1">
        <f t="array" ref="AY67">_xlfn.IFS(AU67="DELETE", "DELETE", AU67=0, 0, AU67&gt;0, AW67/AU67/LN(10))</f>
        <v>DELETE</v>
      </c>
      <c r="AZ67" s="120">
        <f>qPCR_Raw!AG67</f>
        <v>34.743270874023438</v>
      </c>
      <c r="BA67" s="121" cm="1">
        <f t="array" ref="BA67">_xlfn.IFS(AZ67="Undetermined", 0, qPCR_Raw!AH67&lt;=1, 0, qPCR_Raw!AH67&gt;1, qPCR_Raw!AH67)</f>
        <v>3.1629359722137451</v>
      </c>
      <c r="BB67" s="122">
        <f>qPCR_Raw!AJ67</f>
        <v>36.500080108642578</v>
      </c>
      <c r="BC67" s="121" cm="1">
        <f t="array" ref="BC67">_xlfn.IFS(BB67="Undetermined", 0, qPCR_Raw!AK67&lt;=1, 0, qPCR_Raw!AK67&gt;1, qPCR_Raw!AK67)</f>
        <v>1.0412536859512329</v>
      </c>
      <c r="BD67" s="123" cm="1">
        <f t="array" ref="BD67">_xlfn.IFS(AND(AZ67="Undetermined", BB67="Undetermined"), "Undetermined", AND(BA67=0, BC67=0), "Undetermined", AND(BA67=0, BC67&gt;0), "Ten-Fold", AND(BA67&gt;0, BC67=0), "Undiluted", AND(AZ67&lt;&gt;"Undetermined", BB67&lt;&gt;"Undetermined", BA67&gt;0, BC67&gt;0, AZ67&lt;&gt;BB67), 100*(-1+10^(-1/(AZ67-BB67))), AND(AZ67&lt;&gt;"Undetermined", BB67&lt;&gt;"Undetermined", AZ67=BB67&gt;0), -100)</f>
        <v>270.86322080171914</v>
      </c>
      <c r="BE67" s="124" cm="1">
        <f t="array" ref="BE67">_xlfn.IFS(BD67="Undetermined", 0, BD67="Undiluted", BA67*$G67/$F67*1000, BD67="Ten-Fold", BC67*$G67/$F67*1000*10, BD67&lt;0, BC67*$G67/$F67*1000*10, BD67&lt;120, BA67*$G67/$F67*1000, BD67&gt;120, BC67*$G67/$F67*1000*10)</f>
        <v>1156.9485399458144</v>
      </c>
      <c r="BF67" s="121" t="str">
        <f t="shared" si="14"/>
        <v>DELETE</v>
      </c>
      <c r="BG67" s="121" t="str">
        <f t="shared" si="15"/>
        <v>DELETE</v>
      </c>
      <c r="BH67" s="121" t="str">
        <f t="shared" si="16"/>
        <v>DELETE</v>
      </c>
      <c r="BI67" s="125" t="str" cm="1">
        <f t="array" ref="BI67">_xlfn.IFS(BF67="DELETE", "DELETE", BF67=0, 0, BF67&gt;0,LOG10(BF67))</f>
        <v>DELETE</v>
      </c>
      <c r="BJ67" s="126" t="str" cm="1">
        <f t="array" ref="BJ67">_xlfn.IFS(BF67="DELETE", "DELETE", BF67=0, 0, BF67&gt;0, BH67/BF67/LN(10))</f>
        <v>DELETE</v>
      </c>
    </row>
    <row r="68" spans="1:62" s="114" customFormat="1" x14ac:dyDescent="0.3">
      <c r="A68" s="115" t="str">
        <f>UPPER(LEFT(SUBSTITUTE(SUBSTITUTE(qPCR_Raw!A68,"-","")," ",""),2))&amp;RIGHT(SUBSTITUTE(SUBSTITUTE(qPCR_Raw!A68,"-","")," ",""),LEN(SUBSTITUTE(SUBSTITUTE(qPCR_Raw!A68,"-","")," ",""))-2)</f>
        <v>RW6</v>
      </c>
      <c r="B68" s="116" t="str" cm="1">
        <f t="array" ref="B68">_xlfn.IFS(LEFT(A68, LEN(A68)-1)="EP", "EP", LEFT(A68, LEN(A68)-1)="STa", "SPI", LEFT(A68, LEN(A68)-1)="STb", "SPO", LEFT(A68, LEN(A68)-1)="MRT", "MRT", LEFT(A68, LEN(A68)-1)="RG", "RN", LEFT(A68, LEN(A68)-1)="RT", "RU", LEFT(A68, LEN(A68)-1)="RW", "RL", LEFT(A68, LEN(A68)-1)="RC", "RS")</f>
        <v>RL</v>
      </c>
      <c r="C68" s="117">
        <f>qPCR_Raw!B68</f>
        <v>44363</v>
      </c>
      <c r="D68" s="117" t="str">
        <f t="shared" si="0"/>
        <v>RL44363</v>
      </c>
      <c r="E68" s="117" t="str">
        <f t="shared" si="1"/>
        <v>RL443636</v>
      </c>
      <c r="F68" s="118">
        <f>qPCR_Raw!C68</f>
        <v>900</v>
      </c>
      <c r="G68" s="119">
        <f>qPCR_Raw!F68</f>
        <v>100</v>
      </c>
      <c r="H68" s="120">
        <f>qPCR_Raw!G68</f>
        <v>12.8616943359375</v>
      </c>
      <c r="I68" s="121" cm="1">
        <f t="array" ref="I68">_xlfn.IFS(H68="Undetermined", 0, qPCR_Raw!H68-qPCR_Raw!$H$242&lt;0, 0, qPCR_Raw!H68-qPCR_Raw!$H$242&gt;0, qPCR_Raw!H68-qPCR_Raw!$H$242)</f>
        <v>6799679.3614461264</v>
      </c>
      <c r="J68" s="122">
        <f>qPCR_Raw!K68</f>
        <v>15.643561363220215</v>
      </c>
      <c r="K68" s="121" cm="1">
        <f t="array" ref="K68">_xlfn.IFS(J68="Undetermined", 0, qPCR_Raw!L68-qPCR_Raw!$H$242&lt;0, 0, qPCR_Raw!L68-qPCR_Raw!$H$242&gt;0, qPCR_Raw!L68-qPCR_Raw!$H$242)</f>
        <v>1192203.8614461264</v>
      </c>
      <c r="L68" s="123" cm="1">
        <f t="array" ref="L68">_xlfn.IFS(AND(H68="Undetermined", J68="Undetermined"), "Undetermined", AND(I68=0, K68=0), "Undetermined", AND(I68=0, K68&gt;0), "Ten-Fold", AND(I68&gt;0, K68=0), "Undiluted", AND(H68&lt;&gt;"Undetermined", J68&lt;&gt;"Undetermined", I68&gt;0, K68&gt;0), 100*(-1+10^(-1/(H68-J68))))</f>
        <v>128.8077931166236</v>
      </c>
      <c r="M68" s="124" cm="1">
        <f t="array" ref="M68">_xlfn.IFS(L68="Undetermined", 0, L68="Undiluted", I68*$G68/$F68*1000, L68="Ten-Fold", K68*$G68/$F68*1000*10, L68&lt;0, K68*$G68/$F68*1000*10, L68&lt;120, I68*$G68/$F68*1000, L68&gt;120, K68*$G68/$F68*1000*10)</f>
        <v>1324670957.1623628</v>
      </c>
      <c r="N68" s="121">
        <f t="shared" si="2"/>
        <v>1238588096.8042445</v>
      </c>
      <c r="O68" s="121">
        <f t="shared" si="3"/>
        <v>121739548.60631999</v>
      </c>
      <c r="P68" s="121">
        <f t="shared" si="4"/>
        <v>86082860.358118176</v>
      </c>
      <c r="Q68" s="125" cm="1">
        <f t="array" ref="Q68">_xlfn.IFS(N68="DELETE", "DELETE", N68=0, 0, N68&gt;0,LOG10(N68))</f>
        <v>9.0929269019959538</v>
      </c>
      <c r="R68" s="126" cm="1">
        <f t="array" ref="R68">_xlfn.IFS(N68="DELETE", "DELETE", N68=0, 0, N68&gt;0, P68/N68/LN(10))</f>
        <v>3.0183812791709355E-2</v>
      </c>
      <c r="S68" s="155" t="str">
        <f>qPCR_Raw!O68</f>
        <v>Undetermined</v>
      </c>
      <c r="T68" s="156" cm="1">
        <f t="array" ref="T68">_xlfn.IFS(S68="Undetermined", 0, qPCR_Raw!P68&lt;=1, 0, qPCR_Raw!P68&gt;1, qPCR_Raw!P68)</f>
        <v>0</v>
      </c>
      <c r="U68" s="157" t="str">
        <f>qPCR_Raw!R68</f>
        <v>Undetermined</v>
      </c>
      <c r="V68" s="156" cm="1">
        <f t="array" ref="V68">_xlfn.IFS(U68="Undetermined", 0, qPCR_Raw!S68&lt;=1, 0, qPCR_Raw!S68&gt;1, qPCR_Raw!S68)</f>
        <v>0</v>
      </c>
      <c r="W68" s="158" t="str" cm="1">
        <f t="array" ref="W68">_xlfn.IFS(AND(S68="Undetermined", U68="Undetermined"), "Undetermined", AND(T68=0, V68=0), "Undetermined", AND(T68=0, V68&gt;0), "Ten-Fold", AND(T68&gt;0, V68=0), "Undiluted", AND(S68&lt;&gt;"Undetermined", U68&lt;&gt;"Undetermined", T68&gt;0, V68&gt;0, S68&lt;&gt;U68), 100*(-1+10^(-1/(S68-U68))), AND(S68&lt;&gt;"Undetermined", U68&lt;&gt;"Undetermined", S68=U68&gt;0), -100)</f>
        <v>Undetermined</v>
      </c>
      <c r="X68" s="159" cm="1">
        <f t="array" ref="X68">_xlfn.IFS(W68="Undetermined", 0, W68="Undiluted", T68*$G68/$F68*1000, W68="Ten-Fold", V68*$G68/$F68*1000*10, W68&lt;0, V68*$G68/$F68*1000*10, W68&lt;120, T68*$G68/$F68*1000, W68&gt;120, V68*$G68/$F68*1000*10)</f>
        <v>0</v>
      </c>
      <c r="Y68" s="156">
        <f t="shared" si="5"/>
        <v>0</v>
      </c>
      <c r="Z68" s="156">
        <f t="shared" si="6"/>
        <v>0</v>
      </c>
      <c r="AA68" s="156">
        <f t="shared" si="7"/>
        <v>0</v>
      </c>
      <c r="AB68" s="160" cm="1">
        <f t="array" ref="AB68">_xlfn.IFS(Y68="DELETE", "DELETE", Y68=0, 0, Y68&gt;0,LOG10(Y68))</f>
        <v>0</v>
      </c>
      <c r="AC68" s="161" cm="1">
        <f t="array" ref="AC68">_xlfn.IFS(Y68="DELETE", "DELETE", Y68=0, 0, Y68&gt;0, AA68/Y68/LN(10))</f>
        <v>0</v>
      </c>
      <c r="AD68" s="120">
        <f>qPCR_Raw!U68</f>
        <v>37.218513488769531</v>
      </c>
      <c r="AE68" s="121" cm="1">
        <f t="array" ref="AE68">_xlfn.IFS(AD68="Undetermined", 0, qPCR_Raw!V68&lt;=1, 0, qPCR_Raw!V68&gt;1, qPCR_Raw!V68)</f>
        <v>0</v>
      </c>
      <c r="AF68" s="122" t="str">
        <f>qPCR_Raw!X68</f>
        <v>Undetermined</v>
      </c>
      <c r="AG68" s="121" cm="1">
        <f t="array" ref="AG68">_xlfn.IFS(AF68="Undetermined", 0, qPCR_Raw!Y68&lt;=1, 0, qPCR_Raw!Y68&gt;1, qPCR_Raw!Y68)</f>
        <v>0</v>
      </c>
      <c r="AH68" s="123" t="str" cm="1">
        <f t="array" ref="AH68">_xlfn.IFS(AND(AD68="Undetermined", AF68="Undetermined"), "Undetermined", AND(AE68=0, AG68=0), "Undetermined", AND(AE68=0, AG68&gt;0), "Ten-Fold", AND(AE68&gt;0, AG68=0), "Undiluted", AND(AD68&lt;&gt;"Undetermined", AF68&lt;&gt;"Undetermined", AE68&gt;0, AG68&gt;0, AD68&lt;&gt;AF68), 100*(-1+10^(-1/(AD68-AF68))), AND(AD68&lt;&gt;"Undetermined", AF68&lt;&gt;"Undetermined", AD68=AF68&gt;0), -100)</f>
        <v>Undetermined</v>
      </c>
      <c r="AI68" s="124" cm="1">
        <f t="array" ref="AI68">_xlfn.IFS(AH68="Undetermined", 0, AH68="Undiluted", AE68*$G68/$F68*1000, AH68="Ten-Fold", AG68*$G68/$F68*1000*10, AH68&lt;0, AG68*$G68/$F68*1000*10, AH68&lt;120, AE68*$G68/$F68*1000, AH68&gt;120, AG68*$G68/$F68*1000*10)</f>
        <v>0</v>
      </c>
      <c r="AJ68" s="121">
        <f t="shared" si="8"/>
        <v>0</v>
      </c>
      <c r="AK68" s="121">
        <f t="shared" si="9"/>
        <v>0</v>
      </c>
      <c r="AL68" s="121">
        <f t="shared" si="10"/>
        <v>0</v>
      </c>
      <c r="AM68" s="125" cm="1">
        <f t="array" ref="AM68">_xlfn.IFS(AJ68="DELETE", "DELETE", AJ68=0, 0, AJ68&gt;0,LOG10(AJ68))</f>
        <v>0</v>
      </c>
      <c r="AN68" s="126" cm="1">
        <f t="array" ref="AN68">_xlfn.IFS(AJ68="DELETE", "DELETE", AJ68=0, 0, AJ68&gt;0, AL68/AJ68/LN(10))</f>
        <v>0</v>
      </c>
      <c r="AO68" s="155">
        <f>qPCR_Raw!AA68</f>
        <v>30.377130508422852</v>
      </c>
      <c r="AP68" s="156" cm="1">
        <f t="array" ref="AP68">_xlfn.IFS(AO68="Undetermined", 0, qPCR_Raw!AB68&lt;=6, 0, qPCR_Raw!AB68&gt;6, qPCR_Raw!AB68)</f>
        <v>0</v>
      </c>
      <c r="AQ68" s="157" t="str">
        <f>qPCR_Raw!AD68</f>
        <v>Undetermined</v>
      </c>
      <c r="AR68" s="156" cm="1">
        <f t="array" ref="AR68">_xlfn.IFS(AQ68="Undetermined", 0, qPCR_Raw!AE68&lt;=6, 0, qPCR_Raw!AE68&gt;6, qPCR_Raw!AE68)</f>
        <v>0</v>
      </c>
      <c r="AS68" s="158" t="str" cm="1">
        <f t="array" ref="AS68">_xlfn.IFS(AND(AO68="Undetermined", AQ68="Undetermined"), "Undetermined", AND(AP68=0, AR68=0), "Undetermined", AND(AP68=0, AR68&gt;0), "Ten-Fold", AND(AP68&gt;0, AR68=0), "Undiluted", AND(AO68&lt;&gt;"Undetermined", AQ68&lt;&gt;"Undetermined", AP68&gt;0, AR68&gt;0, AO68&lt;&gt;AQ68), 100*(-1+10^(-1/(AO68-AQ68))), AND(AO68&lt;&gt;"Undetermined", AQ68&lt;&gt;"Undetermined", AO68=AQ68&gt;0), -100)</f>
        <v>Undetermined</v>
      </c>
      <c r="AT68" s="159" cm="1">
        <f t="array" ref="AT68">_xlfn.IFS(AS68="Undetermined", 0, AS68="Undiluted", AP68*$G68/$F68*1000, AS68="Ten-Fold", AR68*$G68/$F68*1000*10, AS68&lt;0, AR68*$G68/$F68*1000*10, AS68&lt;120, AP68*$G68/$F68*1000, AS68&gt;120, AR68*$G68/$F68*1000*10)</f>
        <v>0</v>
      </c>
      <c r="AU68" s="156">
        <f t="shared" si="11"/>
        <v>0</v>
      </c>
      <c r="AV68" s="156">
        <f t="shared" si="12"/>
        <v>0</v>
      </c>
      <c r="AW68" s="156">
        <f t="shared" si="13"/>
        <v>0</v>
      </c>
      <c r="AX68" s="160" cm="1">
        <f t="array" ref="AX68">_xlfn.IFS(AU68="DELETE", "DELETE", AU68=0, 0, AU68&gt;0,LOG10(AU68))</f>
        <v>0</v>
      </c>
      <c r="AY68" s="161" cm="1">
        <f t="array" ref="AY68">_xlfn.IFS(AU68="DELETE", "DELETE", AU68=0, 0, AU68&gt;0, AW68/AU68/LN(10))</f>
        <v>0</v>
      </c>
      <c r="AZ68" s="120">
        <f>qPCR_Raw!AG68</f>
        <v>37.585411071777344</v>
      </c>
      <c r="BA68" s="121" cm="1">
        <f t="array" ref="BA68">_xlfn.IFS(AZ68="Undetermined", 0, qPCR_Raw!AH68&lt;=1, 0, qPCR_Raw!AH68&gt;1, qPCR_Raw!AH68)</f>
        <v>0</v>
      </c>
      <c r="BB68" s="122" t="str">
        <f>qPCR_Raw!AJ68</f>
        <v>Undetermined</v>
      </c>
      <c r="BC68" s="121" cm="1">
        <f t="array" ref="BC68">_xlfn.IFS(BB68="Undetermined", 0, qPCR_Raw!AK68&lt;=1, 0, qPCR_Raw!AK68&gt;1, qPCR_Raw!AK68)</f>
        <v>0</v>
      </c>
      <c r="BD68" s="123" t="str" cm="1">
        <f t="array" ref="BD68">_xlfn.IFS(AND(AZ68="Undetermined", BB68="Undetermined"), "Undetermined", AND(BA68=0, BC68=0), "Undetermined", AND(BA68=0, BC68&gt;0), "Ten-Fold", AND(BA68&gt;0, BC68=0), "Undiluted", AND(AZ68&lt;&gt;"Undetermined", BB68&lt;&gt;"Undetermined", BA68&gt;0, BC68&gt;0, AZ68&lt;&gt;BB68), 100*(-1+10^(-1/(AZ68-BB68))), AND(AZ68&lt;&gt;"Undetermined", BB68&lt;&gt;"Undetermined", AZ68=BB68&gt;0), -100)</f>
        <v>Undetermined</v>
      </c>
      <c r="BE68" s="124" cm="1">
        <f t="array" ref="BE68">_xlfn.IFS(BD68="Undetermined", 0, BD68="Undiluted", BA68*$G68/$F68*1000, BD68="Ten-Fold", BC68*$G68/$F68*1000*10, BD68&lt;0, BC68*$G68/$F68*1000*10, BD68&lt;120, BA68*$G68/$F68*1000, BD68&gt;120, BC68*$G68/$F68*1000*10)</f>
        <v>0</v>
      </c>
      <c r="BF68" s="121">
        <f t="shared" si="14"/>
        <v>58.599966764450073</v>
      </c>
      <c r="BG68" s="121">
        <f t="shared" si="15"/>
        <v>82.872867752897903</v>
      </c>
      <c r="BH68" s="121">
        <f t="shared" si="16"/>
        <v>58.599966764450066</v>
      </c>
      <c r="BI68" s="125" cm="1">
        <f t="array" ref="BI68">_xlfn.IFS(BF68="DELETE", "DELETE", BF68=0, 0, BF68&gt;0,LOG10(BF68))</f>
        <v>1.7678973697037557</v>
      </c>
      <c r="BJ68" s="126" cm="1">
        <f t="array" ref="BJ68">_xlfn.IFS(BF68="DELETE", "DELETE", BF68=0, 0, BF68&gt;0, BH68/BF68/LN(10))</f>
        <v>0.43429448190325176</v>
      </c>
    </row>
    <row r="69" spans="1:62" s="114" customFormat="1" x14ac:dyDescent="0.3">
      <c r="A69" s="115" t="str">
        <f>UPPER(LEFT(SUBSTITUTE(SUBSTITUTE(qPCR_Raw!A69,"-","")," ",""),2))&amp;RIGHT(SUBSTITUTE(SUBSTITUTE(qPCR_Raw!A69,"-","")," ",""),LEN(SUBSTITUTE(SUBSTITUTE(qPCR_Raw!A69,"-","")," ",""))-2)</f>
        <v>RW7</v>
      </c>
      <c r="B69" s="116" t="str" cm="1">
        <f t="array" ref="B69">_xlfn.IFS(LEFT(A69, LEN(A69)-1)="EP", "EP", LEFT(A69, LEN(A69)-1)="STa", "SPI", LEFT(A69, LEN(A69)-1)="STb", "SPO", LEFT(A69, LEN(A69)-1)="MRT", "MRT", LEFT(A69, LEN(A69)-1)="RG", "RN", LEFT(A69, LEN(A69)-1)="RT", "RU", LEFT(A69, LEN(A69)-1)="RW", "RL", LEFT(A69, LEN(A69)-1)="RC", "RS")</f>
        <v>RL</v>
      </c>
      <c r="C69" s="117">
        <f>qPCR_Raw!B69</f>
        <v>44363</v>
      </c>
      <c r="D69" s="117" t="str">
        <f t="shared" ref="D69:D132" si="17">B69&amp;C69</f>
        <v>RL44363</v>
      </c>
      <c r="E69" s="117" t="str">
        <f t="shared" ref="E69:E132" si="18">D69&amp;RIGHT(A69,1)</f>
        <v>RL443637</v>
      </c>
      <c r="F69" s="118">
        <f>qPCR_Raw!C69</f>
        <v>1000</v>
      </c>
      <c r="G69" s="119">
        <f>qPCR_Raw!F69</f>
        <v>100</v>
      </c>
      <c r="H69" s="120">
        <f>qPCR_Raw!G69</f>
        <v>13.118880271911621</v>
      </c>
      <c r="I69" s="121" cm="1">
        <f t="array" ref="I69">_xlfn.IFS(H69="Undetermined", 0, qPCR_Raw!H69-qPCR_Raw!$H$242&lt;0, 0, qPCR_Raw!H69-qPCR_Raw!$H$242&gt;0, qPCR_Raw!H69-qPCR_Raw!$H$242)</f>
        <v>5791580.3614461264</v>
      </c>
      <c r="J69" s="122">
        <f>qPCR_Raw!K69</f>
        <v>15.697354316711426</v>
      </c>
      <c r="K69" s="121" cm="1">
        <f t="array" ref="K69">_xlfn.IFS(J69="Undetermined", 0, qPCR_Raw!L69-qPCR_Raw!$H$242&lt;0, 0, qPCR_Raw!L69-qPCR_Raw!$H$242&gt;0, qPCR_Raw!L69-qPCR_Raw!$H$242)</f>
        <v>1152505.2364461264</v>
      </c>
      <c r="L69" s="123" cm="1">
        <f t="array" ref="L69">_xlfn.IFS(AND(H69="Undetermined", J69="Undetermined"), "Undetermined", AND(I69=0, K69=0), "Undetermined", AND(I69=0, K69&gt;0), "Ten-Fold", AND(I69&gt;0, K69=0), "Undiluted", AND(H69&lt;&gt;"Undetermined", J69&lt;&gt;"Undetermined", I69&gt;0, K69&gt;0), 100*(-1+10^(-1/(H69-J69))))</f>
        <v>144.24533703320114</v>
      </c>
      <c r="M69" s="124" cm="1">
        <f t="array" ref="M69">_xlfn.IFS(L69="Undetermined", 0, L69="Undiluted", I69*$G69/$F69*1000, L69="Ten-Fold", K69*$G69/$F69*1000*10, L69&lt;0, K69*$G69/$F69*1000*10, L69&lt;120, I69*$G69/$F69*1000, L69&gt;120, K69*$G69/$F69*1000*10)</f>
        <v>1152505236.4461265</v>
      </c>
      <c r="N69" s="121" t="str">
        <f t="shared" ref="N69:N132" si="19">IF($D69&lt;&gt;$D70,"DELETE",AVERAGE(M69:M70))</f>
        <v>DELETE</v>
      </c>
      <c r="O69" s="121" t="str">
        <f t="shared" ref="O69:O132" si="20">IF($D69&lt;&gt;$D70,"DELETE", STDEV(M69:M70))</f>
        <v>DELETE</v>
      </c>
      <c r="P69" s="121" t="str">
        <f t="shared" ref="P69:P132" si="21">IF(O69&lt;&gt;"DELETE", O69/2^0.5, "DELETE")</f>
        <v>DELETE</v>
      </c>
      <c r="Q69" s="125" t="str" cm="1">
        <f t="array" ref="Q69">_xlfn.IFS(N69="DELETE", "DELETE", N69=0, 0, N69&gt;0,LOG10(N69))</f>
        <v>DELETE</v>
      </c>
      <c r="R69" s="126" t="str" cm="1">
        <f t="array" ref="R69">_xlfn.IFS(N69="DELETE", "DELETE", N69=0, 0, N69&gt;0, P69/N69/LN(10))</f>
        <v>DELETE</v>
      </c>
      <c r="S69" s="155" t="str">
        <f>qPCR_Raw!O69</f>
        <v>Undetermined</v>
      </c>
      <c r="T69" s="156" cm="1">
        <f t="array" ref="T69">_xlfn.IFS(S69="Undetermined", 0, qPCR_Raw!P69&lt;=1, 0, qPCR_Raw!P69&gt;1, qPCR_Raw!P69)</f>
        <v>0</v>
      </c>
      <c r="U69" s="157" t="str">
        <f>qPCR_Raw!R69</f>
        <v>Undetermined</v>
      </c>
      <c r="V69" s="156" cm="1">
        <f t="array" ref="V69">_xlfn.IFS(U69="Undetermined", 0, qPCR_Raw!S69&lt;=1, 0, qPCR_Raw!S69&gt;1, qPCR_Raw!S69)</f>
        <v>0</v>
      </c>
      <c r="W69" s="158" t="str" cm="1">
        <f t="array" ref="W69">_xlfn.IFS(AND(S69="Undetermined", U69="Undetermined"), "Undetermined", AND(T69=0, V69=0), "Undetermined", AND(T69=0, V69&gt;0), "Ten-Fold", AND(T69&gt;0, V69=0), "Undiluted", AND(S69&lt;&gt;"Undetermined", U69&lt;&gt;"Undetermined", T69&gt;0, V69&gt;0, S69&lt;&gt;U69), 100*(-1+10^(-1/(S69-U69))), AND(S69&lt;&gt;"Undetermined", U69&lt;&gt;"Undetermined", S69=U69&gt;0), -100)</f>
        <v>Undetermined</v>
      </c>
      <c r="X69" s="159" cm="1">
        <f t="array" ref="X69">_xlfn.IFS(W69="Undetermined", 0, W69="Undiluted", T69*$G69/$F69*1000, W69="Ten-Fold", V69*$G69/$F69*1000*10, W69&lt;0, V69*$G69/$F69*1000*10, W69&lt;120, T69*$G69/$F69*1000, W69&gt;120, V69*$G69/$F69*1000*10)</f>
        <v>0</v>
      </c>
      <c r="Y69" s="156" t="str">
        <f t="shared" ref="Y69:Y132" si="22">IF($D69&lt;&gt;$D70,"DELETE",AVERAGE(X69:X70))</f>
        <v>DELETE</v>
      </c>
      <c r="Z69" s="156" t="str">
        <f t="shared" ref="Z69:Z132" si="23">IF($D69&lt;&gt;$D70,"DELETE", STDEV(X69:X70))</f>
        <v>DELETE</v>
      </c>
      <c r="AA69" s="156" t="str">
        <f t="shared" ref="AA69:AA132" si="24">IF(Z69&lt;&gt;"DELETE", Z69/2^0.5, "DELETE")</f>
        <v>DELETE</v>
      </c>
      <c r="AB69" s="160" t="str" cm="1">
        <f t="array" ref="AB69">_xlfn.IFS(Y69="DELETE", "DELETE", Y69=0, 0, Y69&gt;0,LOG10(Y69))</f>
        <v>DELETE</v>
      </c>
      <c r="AC69" s="161" t="str" cm="1">
        <f t="array" ref="AC69">_xlfn.IFS(Y69="DELETE", "DELETE", Y69=0, 0, Y69&gt;0, AA69/Y69/LN(10))</f>
        <v>DELETE</v>
      </c>
      <c r="AD69" s="120">
        <f>qPCR_Raw!U69</f>
        <v>35.999050140380859</v>
      </c>
      <c r="AE69" s="121" cm="1">
        <f t="array" ref="AE69">_xlfn.IFS(AD69="Undetermined", 0, qPCR_Raw!V69&lt;=1, 0, qPCR_Raw!V69&gt;1, qPCR_Raw!V69)</f>
        <v>0</v>
      </c>
      <c r="AF69" s="122">
        <f>qPCR_Raw!X69</f>
        <v>38.431163787841797</v>
      </c>
      <c r="AG69" s="121" cm="1">
        <f t="array" ref="AG69">_xlfn.IFS(AF69="Undetermined", 0, qPCR_Raw!Y69&lt;=1, 0, qPCR_Raw!Y69&gt;1, qPCR_Raw!Y69)</f>
        <v>0</v>
      </c>
      <c r="AH69" s="123" t="str" cm="1">
        <f t="array" ref="AH69">_xlfn.IFS(AND(AD69="Undetermined", AF69="Undetermined"), "Undetermined", AND(AE69=0, AG69=0), "Undetermined", AND(AE69=0, AG69&gt;0), "Ten-Fold", AND(AE69&gt;0, AG69=0), "Undiluted", AND(AD69&lt;&gt;"Undetermined", AF69&lt;&gt;"Undetermined", AE69&gt;0, AG69&gt;0, AD69&lt;&gt;AF69), 100*(-1+10^(-1/(AD69-AF69))), AND(AD69&lt;&gt;"Undetermined", AF69&lt;&gt;"Undetermined", AD69=AF69&gt;0), -100)</f>
        <v>Undetermined</v>
      </c>
      <c r="AI69" s="124" cm="1">
        <f t="array" ref="AI69">_xlfn.IFS(AH69="Undetermined", 0, AH69="Undiluted", AE69*$G69/$F69*1000, AH69="Ten-Fold", AG69*$G69/$F69*1000*10, AH69&lt;0, AG69*$G69/$F69*1000*10, AH69&lt;120, AE69*$G69/$F69*1000, AH69&gt;120, AG69*$G69/$F69*1000*10)</f>
        <v>0</v>
      </c>
      <c r="AJ69" s="121" t="str">
        <f t="shared" ref="AJ69:AJ132" si="25">IF($D69&lt;&gt;$D70,"DELETE",AVERAGE(AI69:AI70))</f>
        <v>DELETE</v>
      </c>
      <c r="AK69" s="121" t="str">
        <f t="shared" ref="AK69:AK132" si="26">IF($D69&lt;&gt;$D70,"DELETE", STDEV(AI69:AI70))</f>
        <v>DELETE</v>
      </c>
      <c r="AL69" s="121" t="str">
        <f t="shared" ref="AL69:AL132" si="27">IF(AK69&lt;&gt;"DELETE", AK69/2^0.5, "DELETE")</f>
        <v>DELETE</v>
      </c>
      <c r="AM69" s="125" t="str" cm="1">
        <f t="array" ref="AM69">_xlfn.IFS(AJ69="DELETE", "DELETE", AJ69=0, 0, AJ69&gt;0,LOG10(AJ69))</f>
        <v>DELETE</v>
      </c>
      <c r="AN69" s="126" t="str" cm="1">
        <f t="array" ref="AN69">_xlfn.IFS(AJ69="DELETE", "DELETE", AJ69=0, 0, AJ69&gt;0, AL69/AJ69/LN(10))</f>
        <v>DELETE</v>
      </c>
      <c r="AO69" s="155">
        <f>qPCR_Raw!AA69</f>
        <v>30.700675964355469</v>
      </c>
      <c r="AP69" s="156" cm="1">
        <f t="array" ref="AP69">_xlfn.IFS(AO69="Undetermined", 0, qPCR_Raw!AB69&lt;=6, 0, qPCR_Raw!AB69&gt;6, qPCR_Raw!AB69)</f>
        <v>0</v>
      </c>
      <c r="AQ69" s="157" t="str">
        <f>qPCR_Raw!AD69</f>
        <v>Undetermined</v>
      </c>
      <c r="AR69" s="156" cm="1">
        <f t="array" ref="AR69">_xlfn.IFS(AQ69="Undetermined", 0, qPCR_Raw!AE69&lt;=6, 0, qPCR_Raw!AE69&gt;6, qPCR_Raw!AE69)</f>
        <v>0</v>
      </c>
      <c r="AS69" s="158" t="str" cm="1">
        <f t="array" ref="AS69">_xlfn.IFS(AND(AO69="Undetermined", AQ69="Undetermined"), "Undetermined", AND(AP69=0, AR69=0), "Undetermined", AND(AP69=0, AR69&gt;0), "Ten-Fold", AND(AP69&gt;0, AR69=0), "Undiluted", AND(AO69&lt;&gt;"Undetermined", AQ69&lt;&gt;"Undetermined", AP69&gt;0, AR69&gt;0, AO69&lt;&gt;AQ69), 100*(-1+10^(-1/(AO69-AQ69))), AND(AO69&lt;&gt;"Undetermined", AQ69&lt;&gt;"Undetermined", AO69=AQ69&gt;0), -100)</f>
        <v>Undetermined</v>
      </c>
      <c r="AT69" s="159" cm="1">
        <f t="array" ref="AT69">_xlfn.IFS(AS69="Undetermined", 0, AS69="Undiluted", AP69*$G69/$F69*1000, AS69="Ten-Fold", AR69*$G69/$F69*1000*10, AS69&lt;0, AR69*$G69/$F69*1000*10, AS69&lt;120, AP69*$G69/$F69*1000, AS69&gt;120, AR69*$G69/$F69*1000*10)</f>
        <v>0</v>
      </c>
      <c r="AU69" s="156" t="str">
        <f t="shared" ref="AU69:AU72" si="28">IF($D69&lt;&gt;$D70,"DELETE",AVERAGE(AT69:AT70))</f>
        <v>DELETE</v>
      </c>
      <c r="AV69" s="156" t="str">
        <f t="shared" ref="AV69:AV74" si="29">IF($D69&lt;&gt;$D70,"DELETE", STDEV(AT69:AT70))</f>
        <v>DELETE</v>
      </c>
      <c r="AW69" s="156" t="str">
        <f t="shared" ref="AW69:AW75" si="30">IF(AV69&lt;&gt;"DELETE", AV69/2^0.5, "DELETE")</f>
        <v>DELETE</v>
      </c>
      <c r="AX69" s="160" t="str" cm="1">
        <f t="array" ref="AX69">_xlfn.IFS(AU69="DELETE", "DELETE", AU69=0, 0, AU69&gt;0,LOG10(AU69))</f>
        <v>DELETE</v>
      </c>
      <c r="AY69" s="161" t="str" cm="1">
        <f t="array" ref="AY69">_xlfn.IFS(AU69="DELETE", "DELETE", AU69=0, 0, AU69&gt;0, AW69/AU69/LN(10))</f>
        <v>DELETE</v>
      </c>
      <c r="AZ69" s="120">
        <f>qPCR_Raw!AG69</f>
        <v>36.31304931640625</v>
      </c>
      <c r="BA69" s="121" cm="1">
        <f t="array" ref="BA69">_xlfn.IFS(AZ69="Undetermined", 0, qPCR_Raw!AH69&lt;=1, 0, qPCR_Raw!AH69&gt;1, qPCR_Raw!AH69)</f>
        <v>1.1719993352890015</v>
      </c>
      <c r="BB69" s="122" t="str">
        <f>qPCR_Raw!AJ69</f>
        <v>Undetermined</v>
      </c>
      <c r="BC69" s="121" cm="1">
        <f t="array" ref="BC69">_xlfn.IFS(BB69="Undetermined", 0, qPCR_Raw!AK69&lt;=1, 0, qPCR_Raw!AK69&gt;1, qPCR_Raw!AK69)</f>
        <v>0</v>
      </c>
      <c r="BD69" s="123" t="str" cm="1">
        <f t="array" ref="BD69">_xlfn.IFS(AND(AZ69="Undetermined", BB69="Undetermined"), "Undetermined", AND(BA69=0, BC69=0), "Undetermined", AND(BA69=0, BC69&gt;0), "Ten-Fold", AND(BA69&gt;0, BC69=0), "Undiluted", AND(AZ69&lt;&gt;"Undetermined", BB69&lt;&gt;"Undetermined", BA69&gt;0, BC69&gt;0, AZ69&lt;&gt;BB69), 100*(-1+10^(-1/(AZ69-BB69))), AND(AZ69&lt;&gt;"Undetermined", BB69&lt;&gt;"Undetermined", AZ69=BB69&gt;0), -100)</f>
        <v>Undiluted</v>
      </c>
      <c r="BE69" s="124" cm="1">
        <f t="array" ref="BE69">_xlfn.IFS(BD69="Undetermined", 0, BD69="Undiluted", BA69*$G69/$F69*1000, BD69="Ten-Fold", BC69*$G69/$F69*1000*10, BD69&lt;0, BC69*$G69/$F69*1000*10, BD69&lt;120, BA69*$G69/$F69*1000, BD69&gt;120, BC69*$G69/$F69*1000*10)</f>
        <v>117.19993352890015</v>
      </c>
      <c r="BF69" s="121" t="str">
        <f t="shared" ref="BF69:BF132" si="31">IF($D69&lt;&gt;$D70,"DELETE",AVERAGE(BE69:BE70))</f>
        <v>DELETE</v>
      </c>
      <c r="BG69" s="121" t="str">
        <f t="shared" ref="BG69:BG132" si="32">IF($D69&lt;&gt;$D70,"DELETE", STDEV(BE69:BE70))</f>
        <v>DELETE</v>
      </c>
      <c r="BH69" s="121" t="str">
        <f t="shared" ref="BH69:BH132" si="33">IF(BG69&lt;&gt;"DELETE", BG69/2^0.5, "DELETE")</f>
        <v>DELETE</v>
      </c>
      <c r="BI69" s="125" t="str" cm="1">
        <f t="array" ref="BI69">_xlfn.IFS(BF69="DELETE", "DELETE", BF69=0, 0, BF69&gt;0,LOG10(BF69))</f>
        <v>DELETE</v>
      </c>
      <c r="BJ69" s="126" t="str" cm="1">
        <f t="array" ref="BJ69">_xlfn.IFS(BF69="DELETE", "DELETE", BF69=0, 0, BF69&gt;0, BH69/BF69/LN(10))</f>
        <v>DELETE</v>
      </c>
    </row>
    <row r="70" spans="1:62" s="114" customFormat="1" x14ac:dyDescent="0.3">
      <c r="A70" s="115" t="str">
        <f>UPPER(LEFT(SUBSTITUTE(SUBSTITUTE(qPCR_Raw!A70,"-","")," ",""),2))&amp;RIGHT(SUBSTITUTE(SUBSTITUTE(qPCR_Raw!A70,"-","")," ",""),LEN(SUBSTITUTE(SUBSTITUTE(qPCR_Raw!A70,"-","")," ",""))-2)</f>
        <v>MRT6</v>
      </c>
      <c r="B70" s="116" t="str" cm="1">
        <f t="array" ref="B70">_xlfn.IFS(LEFT(A70, LEN(A70)-1)="EP", "EP", LEFT(A70, LEN(A70)-1)="STa", "SPI", LEFT(A70, LEN(A70)-1)="STb", "SPO", LEFT(A70, LEN(A70)-1)="MRT", "MRT", LEFT(A70, LEN(A70)-1)="RG", "RN", LEFT(A70, LEN(A70)-1)="RT", "RU", LEFT(A70, LEN(A70)-1)="RW", "RL", LEFT(A70, LEN(A70)-1)="RC", "RS")</f>
        <v>MRT</v>
      </c>
      <c r="C70" s="117">
        <f>qPCR_Raw!B70</f>
        <v>44363</v>
      </c>
      <c r="D70" s="117" t="str">
        <f t="shared" si="17"/>
        <v>MRT44363</v>
      </c>
      <c r="E70" s="117" t="str">
        <f t="shared" si="18"/>
        <v>MRT443636</v>
      </c>
      <c r="F70" s="118">
        <f>qPCR_Raw!C70</f>
        <v>910</v>
      </c>
      <c r="G70" s="119">
        <f>qPCR_Raw!F70</f>
        <v>100</v>
      </c>
      <c r="H70" s="120">
        <f>qPCR_Raw!G70</f>
        <v>17.661212921142578</v>
      </c>
      <c r="I70" s="121" cm="1">
        <f t="array" ref="I70">_xlfn.IFS(H70="Undetermined", 0, qPCR_Raw!H70-qPCR_Raw!$H$242&lt;0, 0, qPCR_Raw!H70-qPCR_Raw!$H$242&gt;0, qPCR_Raw!H70-qPCR_Raw!$H$242)</f>
        <v>330138.98644612631</v>
      </c>
      <c r="J70" s="122">
        <f>qPCR_Raw!K70</f>
        <v>20.793397903442383</v>
      </c>
      <c r="K70" s="121" cm="1">
        <f t="array" ref="K70">_xlfn.IFS(J70="Undetermined", 0, qPCR_Raw!L70-qPCR_Raw!$H$242&lt;0, 0, qPCR_Raw!L70-qPCR_Raw!$H$242&gt;0, qPCR_Raw!L70-qPCR_Raw!$H$242)</f>
        <v>35821.177852376306</v>
      </c>
      <c r="L70" s="123" cm="1">
        <f t="array" ref="L70">_xlfn.IFS(AND(H70="Undetermined", J70="Undetermined"), "Undetermined", AND(I70=0, K70=0), "Undetermined", AND(I70=0, K70&gt;0), "Ten-Fold", AND(I70&gt;0, K70=0), "Undiluted", AND(H70&lt;&gt;"Undetermined", J70&lt;&gt;"Undetermined", I70&gt;0, K70&gt;0), 100*(-1+10^(-1/(H70-J70))))</f>
        <v>108.57677375345531</v>
      </c>
      <c r="M70" s="124" cm="1">
        <f t="array" ref="M70">_xlfn.IFS(L70="Undetermined", 0, L70="Undiluted", I70*$G70/$F70*1000, L70="Ten-Fold", K70*$G70/$F70*1000*10, L70&lt;0, K70*$G70/$F70*1000*10, L70&lt;120, I70*$G70/$F70*1000, L70&gt;120, K70*$G70/$F70*1000*10)</f>
        <v>36279009.499574319</v>
      </c>
      <c r="N70" s="121">
        <f t="shared" si="19"/>
        <v>68923810.684481233</v>
      </c>
      <c r="O70" s="121">
        <f t="shared" si="20"/>
        <v>46166720.576668687</v>
      </c>
      <c r="P70" s="121">
        <f t="shared" si="21"/>
        <v>32644801.184906945</v>
      </c>
      <c r="Q70" s="125" cm="1">
        <f t="array" ref="Q70">_xlfn.IFS(N70="DELETE", "DELETE", N70=0, 0, N70&gt;0,LOG10(N70))</f>
        <v>7.8383692808696015</v>
      </c>
      <c r="R70" s="126" cm="1">
        <f t="array" ref="R70">_xlfn.IFS(N70="DELETE", "DELETE", N70=0, 0, N70&gt;0, P70/N70/LN(10))</f>
        <v>0.20569752131575036</v>
      </c>
      <c r="S70" s="155">
        <f>qPCR_Raw!O70</f>
        <v>29.968271255493164</v>
      </c>
      <c r="T70" s="156" cm="1">
        <f t="array" ref="T70">_xlfn.IFS(S70="Undetermined", 0, qPCR_Raw!P70&lt;=1, 0, qPCR_Raw!P70&gt;1, qPCR_Raw!P70)</f>
        <v>1095.5802001953125</v>
      </c>
      <c r="U70" s="157">
        <f>qPCR_Raw!R70</f>
        <v>33.364345550537109</v>
      </c>
      <c r="V70" s="156" cm="1">
        <f t="array" ref="V70">_xlfn.IFS(U70="Undetermined", 0, qPCR_Raw!S70&lt;=1, 0, qPCR_Raw!S70&gt;1, qPCR_Raw!S70)</f>
        <v>144.8748779296875</v>
      </c>
      <c r="W70" s="158" cm="1">
        <f t="array" ref="W70">_xlfn.IFS(AND(S70="Undetermined", U70="Undetermined"), "Undetermined", AND(T70=0, V70=0), "Undetermined", AND(T70=0, V70&gt;0), "Ten-Fold", AND(T70&gt;0, V70=0), "Undiluted", AND(S70&lt;&gt;"Undetermined", U70&lt;&gt;"Undetermined", T70&gt;0, V70&gt;0, S70&lt;&gt;U70), 100*(-1+10^(-1/(S70-U70))), AND(S70&lt;&gt;"Undetermined", U70&lt;&gt;"Undetermined", S70=U70&gt;0), -100)</f>
        <v>96.996102313128603</v>
      </c>
      <c r="X70" s="159" cm="1">
        <f t="array" ref="X70">_xlfn.IFS(W70="Undetermined", 0, W70="Undiluted", T70*$G70/$F70*1000, W70="Ten-Fold", V70*$G70/$F70*1000*10, W70&lt;0, V70*$G70/$F70*1000*10, W70&lt;120, T70*$G70/$F70*1000, W70&gt;120, V70*$G70/$F70*1000*10)</f>
        <v>120393.42859289148</v>
      </c>
      <c r="Y70" s="156">
        <f t="shared" si="22"/>
        <v>60196.714296445738</v>
      </c>
      <c r="Z70" s="156">
        <f t="shared" si="23"/>
        <v>85131.009768331947</v>
      </c>
      <c r="AA70" s="156">
        <f t="shared" si="24"/>
        <v>60196.714296445731</v>
      </c>
      <c r="AB70" s="160" cm="1">
        <f t="array" ref="AB70">_xlfn.IFS(Y70="DELETE", "DELETE", Y70=0, 0, Y70&gt;0,LOG10(Y70))</f>
        <v>4.7795727869078934</v>
      </c>
      <c r="AC70" s="161" cm="1">
        <f t="array" ref="AC70">_xlfn.IFS(Y70="DELETE", "DELETE", Y70=0, 0, Y70&gt;0, AA70/Y70/LN(10))</f>
        <v>0.43429448190325176</v>
      </c>
      <c r="AD70" s="120">
        <f>qPCR_Raw!U70</f>
        <v>30.9620361328125</v>
      </c>
      <c r="AE70" s="121" cm="1">
        <f t="array" ref="AE70">_xlfn.IFS(AD70="Undetermined", 0, qPCR_Raw!V70&lt;=1, 0, qPCR_Raw!V70&gt;1, qPCR_Raw!V70)</f>
        <v>19.635601043701172</v>
      </c>
      <c r="AF70" s="122">
        <f>qPCR_Raw!X70</f>
        <v>33.705459594726563</v>
      </c>
      <c r="AG70" s="121" cm="1">
        <f t="array" ref="AG70">_xlfn.IFS(AF70="Undetermined", 0, qPCR_Raw!Y70&lt;=1, 0, qPCR_Raw!Y70&gt;1, qPCR_Raw!Y70)</f>
        <v>3.3616580963134766</v>
      </c>
      <c r="AH70" s="123" cm="1">
        <f t="array" ref="AH70">_xlfn.IFS(AND(AD70="Undetermined", AF70="Undetermined"), "Undetermined", AND(AE70=0, AG70=0), "Undetermined", AND(AE70=0, AG70&gt;0), "Ten-Fold", AND(AE70&gt;0, AG70=0), "Undiluted", AND(AD70&lt;&gt;"Undetermined", AF70&lt;&gt;"Undetermined", AE70&gt;0, AG70&gt;0, AD70&lt;&gt;AF70), 100*(-1+10^(-1/(AD70-AF70))), AND(AD70&lt;&gt;"Undetermined", AF70&lt;&gt;"Undetermined", AD70=AF70&gt;0), -100)</f>
        <v>131.47712152860512</v>
      </c>
      <c r="AI70" s="124" cm="1">
        <f t="array" ref="AI70">_xlfn.IFS(AH70="Undetermined", 0, AH70="Undiluted", AE70*$G70/$F70*1000, AH70="Ten-Fold", AG70*$G70/$F70*1000*10, AH70&lt;0, AG70*$G70/$F70*1000*10, AH70&lt;120, AE70*$G70/$F70*1000, AH70&gt;120, AG70*$G70/$F70*1000*10)</f>
        <v>3694.1297761686556</v>
      </c>
      <c r="AJ70" s="121">
        <f t="shared" si="25"/>
        <v>2435.7093826973396</v>
      </c>
      <c r="AK70" s="121">
        <f t="shared" si="26"/>
        <v>1779.6751876140218</v>
      </c>
      <c r="AL70" s="121">
        <f t="shared" si="27"/>
        <v>1258.4203934713159</v>
      </c>
      <c r="AM70" s="125" cm="1">
        <f t="array" ref="AM70">_xlfn.IFS(AJ70="DELETE", "DELETE", AJ70=0, 0, AJ70&gt;0,LOG10(AJ70))</f>
        <v>3.3866254690921229</v>
      </c>
      <c r="AN70" s="126" cm="1">
        <f t="array" ref="AN70">_xlfn.IFS(AJ70="DELETE", "DELETE", AJ70=0, 0, AJ70&gt;0, AL70/AJ70/LN(10))</f>
        <v>0.22438023053221637</v>
      </c>
      <c r="AO70" s="155">
        <f>qPCR_Raw!AA70</f>
        <v>27.843114852905273</v>
      </c>
      <c r="AP70" s="156" cm="1">
        <f t="array" ref="AP70">_xlfn.IFS(AO70="Undetermined", 0, qPCR_Raw!AB70&lt;=6, 0, qPCR_Raw!AB70&gt;6, qPCR_Raw!AB70)</f>
        <v>11.748143196105957</v>
      </c>
      <c r="AQ70" s="157">
        <f>qPCR_Raw!AD70</f>
        <v>30.887601852416992</v>
      </c>
      <c r="AR70" s="156" cm="1">
        <f t="array" ref="AR70">_xlfn.IFS(AQ70="Undetermined", 0, qPCR_Raw!AE70&lt;=6, 0, qPCR_Raw!AE70&gt;6, qPCR_Raw!AE70)</f>
        <v>0</v>
      </c>
      <c r="AS70" s="158" t="str" cm="1">
        <f t="array" ref="AS70">_xlfn.IFS(AND(AO70="Undetermined", AQ70="Undetermined"), "Undetermined", AND(AP70=0, AR70=0), "Undetermined", AND(AP70=0, AR70&gt;0), "Ten-Fold", AND(AP70&gt;0, AR70=0), "Undiluted", AND(AO70&lt;&gt;"Undetermined", AQ70&lt;&gt;"Undetermined", AP70&gt;0, AR70&gt;0, AO70&lt;&gt;AQ70), 100*(-1+10^(-1/(AO70-AQ70))), AND(AO70&lt;&gt;"Undetermined", AQ70&lt;&gt;"Undetermined", AO70=AQ70&gt;0), -100)</f>
        <v>Undiluted</v>
      </c>
      <c r="AT70" s="159" cm="1">
        <f t="array" ref="AT70">_xlfn.IFS(AS70="Undetermined", 0, AS70="Undiluted", AP70*$G70/$F70*1000, AS70="Ten-Fold", AR70*$G70/$F70*1000*10, AS70&lt;0, AR70*$G70/$F70*1000*10, AS70&lt;120, AP70*$G70/$F70*1000, AS70&gt;120, AR70*$G70/$F70*1000*10)</f>
        <v>1291.0047468248304</v>
      </c>
      <c r="AU70" s="156">
        <f t="shared" si="28"/>
        <v>1400357.4164359125</v>
      </c>
      <c r="AV70" s="156">
        <f t="shared" si="29"/>
        <v>1978578.6940713674</v>
      </c>
      <c r="AW70" s="156">
        <f t="shared" si="30"/>
        <v>1399066.4116890873</v>
      </c>
      <c r="AX70" s="160" cm="1">
        <f t="array" ref="AX70">_xlfn.IFS(AU70="DELETE", "DELETE", AU70=0, 0, AU70&gt;0,LOG10(AU70))</f>
        <v>6.1462388958032994</v>
      </c>
      <c r="AY70" s="161" cm="1">
        <f t="array" ref="AY70">_xlfn.IFS(AU70="DELETE", "DELETE", AU70=0, 0, AU70&gt;0, AW70/AU70/LN(10))</f>
        <v>0.43389410109255555</v>
      </c>
      <c r="AZ70" s="120">
        <f>qPCR_Raw!AG70</f>
        <v>32.552951812744141</v>
      </c>
      <c r="BA70" s="121" cm="1">
        <f t="array" ref="BA70">_xlfn.IFS(AZ70="Undetermined", 0, qPCR_Raw!AH70&lt;=1, 0, qPCR_Raw!AH70&gt;1, qPCR_Raw!AH70)</f>
        <v>12.638461112976074</v>
      </c>
      <c r="BB70" s="122">
        <f>qPCR_Raw!AJ70</f>
        <v>37.357128143310547</v>
      </c>
      <c r="BC70" s="121" cm="1">
        <f t="array" ref="BC70">_xlfn.IFS(BB70="Undetermined", 0, qPCR_Raw!AK70&lt;=1, 0, qPCR_Raw!AK70&gt;1, qPCR_Raw!AK70)</f>
        <v>0</v>
      </c>
      <c r="BD70" s="123" t="str" cm="1">
        <f t="array" ref="BD70">_xlfn.IFS(AND(AZ70="Undetermined", BB70="Undetermined"), "Undetermined", AND(BA70=0, BC70=0), "Undetermined", AND(BA70=0, BC70&gt;0), "Ten-Fold", AND(BA70&gt;0, BC70=0), "Undiluted", AND(AZ70&lt;&gt;"Undetermined", BB70&lt;&gt;"Undetermined", BA70&gt;0, BC70&gt;0, AZ70&lt;&gt;BB70), 100*(-1+10^(-1/(AZ70-BB70))), AND(AZ70&lt;&gt;"Undetermined", BB70&lt;&gt;"Undetermined", AZ70=BB70&gt;0), -100)</f>
        <v>Undiluted</v>
      </c>
      <c r="BE70" s="124" cm="1">
        <f t="array" ref="BE70">_xlfn.IFS(BD70="Undetermined", 0, BD70="Undiluted", BA70*$G70/$F70*1000, BD70="Ten-Fold", BC70*$G70/$F70*1000*10, BD70&lt;0, BC70*$G70/$F70*1000*10, BD70&lt;120, BA70*$G70/$F70*1000, BD70&gt;120, BC70*$G70/$F70*1000*10)</f>
        <v>1388.8418805468214</v>
      </c>
      <c r="BF70" s="121">
        <f t="shared" si="31"/>
        <v>2967.3292305006653</v>
      </c>
      <c r="BG70" s="121">
        <f t="shared" si="32"/>
        <v>2232.3182183390913</v>
      </c>
      <c r="BH70" s="121">
        <f t="shared" si="33"/>
        <v>1578.4873499538435</v>
      </c>
      <c r="BI70" s="125" cm="1">
        <f t="array" ref="BI70">_xlfn.IFS(BF70="DELETE", "DELETE", BF70=0, 0, BF70&gt;0,LOG10(BF70))</f>
        <v>3.4723657347419548</v>
      </c>
      <c r="BJ70" s="126" cm="1">
        <f t="array" ref="BJ70">_xlfn.IFS(BF70="DELETE", "DELETE", BF70=0, 0, BF70&gt;0, BH70/BF70/LN(10))</f>
        <v>0.23102537419596508</v>
      </c>
    </row>
    <row r="71" spans="1:62" s="114" customFormat="1" x14ac:dyDescent="0.3">
      <c r="A71" s="115" t="str">
        <f>UPPER(LEFT(SUBSTITUTE(SUBSTITUTE(qPCR_Raw!A71,"-","")," ",""),2))&amp;RIGHT(SUBSTITUTE(SUBSTITUTE(qPCR_Raw!A71,"-","")," ",""),LEN(SUBSTITUTE(SUBSTITUTE(qPCR_Raw!A71,"-","")," ",""))-2)</f>
        <v>MRT7</v>
      </c>
      <c r="B71" s="116" t="str" cm="1">
        <f t="array" ref="B71">_xlfn.IFS(LEFT(A71, LEN(A71)-1)="EP", "EP", LEFT(A71, LEN(A71)-1)="STa", "SPI", LEFT(A71, LEN(A71)-1)="STb", "SPO", LEFT(A71, LEN(A71)-1)="MRT", "MRT", LEFT(A71, LEN(A71)-1)="RG", "RN", LEFT(A71, LEN(A71)-1)="RT", "RU", LEFT(A71, LEN(A71)-1)="RW", "RL", LEFT(A71, LEN(A71)-1)="RC", "RS")</f>
        <v>MRT</v>
      </c>
      <c r="C71" s="117">
        <f>qPCR_Raw!B71</f>
        <v>44363</v>
      </c>
      <c r="D71" s="117" t="str">
        <f t="shared" si="17"/>
        <v>MRT44363</v>
      </c>
      <c r="E71" s="117" t="str">
        <f t="shared" si="18"/>
        <v>MRT443637</v>
      </c>
      <c r="F71" s="118">
        <f>qPCR_Raw!C71</f>
        <v>960</v>
      </c>
      <c r="G71" s="119">
        <f>qPCR_Raw!F71</f>
        <v>100</v>
      </c>
      <c r="H71" s="120">
        <f>qPCR_Raw!G71</f>
        <v>15.962621688842773</v>
      </c>
      <c r="I71" s="121" cm="1">
        <f t="array" ref="I71">_xlfn.IFS(H71="Undetermined", 0, qPCR_Raw!H71-qPCR_Raw!$H$242&lt;0, 0, qPCR_Raw!H71-qPCR_Raw!$H$242&gt;0, qPCR_Raw!H71-qPCR_Raw!$H$242)</f>
        <v>975058.67394612625</v>
      </c>
      <c r="J71" s="122">
        <f>qPCR_Raw!K71</f>
        <v>18.998651504516602</v>
      </c>
      <c r="K71" s="121" cm="1">
        <f t="array" ref="K71">_xlfn.IFS(J71="Undetermined", 0, qPCR_Raw!L71-qPCR_Raw!$H$242&lt;0, 0, qPCR_Raw!L71-qPCR_Raw!$H$242&gt;0, qPCR_Raw!L71-qPCR_Raw!$H$242)</f>
        <v>136222.14269612631</v>
      </c>
      <c r="L71" s="123" cm="1">
        <f t="array" ref="L71">_xlfn.IFS(AND(H71="Undetermined", J71="Undetermined"), "Undetermined", AND(I71=0, K71=0), "Undetermined", AND(I71=0, K71&gt;0), "Ten-Fold", AND(I71&gt;0, K71=0), "Undiluted", AND(H71&lt;&gt;"Undetermined", J71&lt;&gt;"Undetermined", I71&gt;0, K71&gt;0), 100*(-1+10^(-1/(H71-J71))))</f>
        <v>113.48999617533791</v>
      </c>
      <c r="M71" s="124" cm="1">
        <f t="array" ref="M71">_xlfn.IFS(L71="Undetermined", 0, L71="Undiluted", I71*$G71/$F71*1000, L71="Ten-Fold", K71*$G71/$F71*1000*10, L71&lt;0, K71*$G71/$F71*1000*10, L71&lt;120, I71*$G71/$F71*1000, L71&gt;120, K71*$G71/$F71*1000*10)</f>
        <v>101568611.86938816</v>
      </c>
      <c r="N71" s="121" t="str">
        <f t="shared" si="19"/>
        <v>DELETE</v>
      </c>
      <c r="O71" s="121" t="str">
        <f t="shared" si="20"/>
        <v>DELETE</v>
      </c>
      <c r="P71" s="121" t="str">
        <f t="shared" si="21"/>
        <v>DELETE</v>
      </c>
      <c r="Q71" s="125" t="str" cm="1">
        <f t="array" ref="Q71">_xlfn.IFS(N71="DELETE", "DELETE", N71=0, 0, N71&gt;0,LOG10(N71))</f>
        <v>DELETE</v>
      </c>
      <c r="R71" s="126" t="str" cm="1">
        <f t="array" ref="R71">_xlfn.IFS(N71="DELETE", "DELETE", N71=0, 0, N71&gt;0, P71/N71/LN(10))</f>
        <v>DELETE</v>
      </c>
      <c r="S71" s="155" t="str">
        <f>qPCR_Raw!O71</f>
        <v>Undetermined</v>
      </c>
      <c r="T71" s="156" cm="1">
        <f t="array" ref="T71">_xlfn.IFS(S71="Undetermined", 0, qPCR_Raw!P71&lt;=1, 0, qPCR_Raw!P71&gt;1, qPCR_Raw!P71)</f>
        <v>0</v>
      </c>
      <c r="U71" s="157" t="str">
        <f>qPCR_Raw!R71</f>
        <v>Undetermined</v>
      </c>
      <c r="V71" s="156" cm="1">
        <f t="array" ref="V71">_xlfn.IFS(U71="Undetermined", 0, qPCR_Raw!S71&lt;=1, 0, qPCR_Raw!S71&gt;1, qPCR_Raw!S71)</f>
        <v>0</v>
      </c>
      <c r="W71" s="158" t="str" cm="1">
        <f t="array" ref="W71">_xlfn.IFS(AND(S71="Undetermined", U71="Undetermined"), "Undetermined", AND(T71=0, V71=0), "Undetermined", AND(T71=0, V71&gt;0), "Ten-Fold", AND(T71&gt;0, V71=0), "Undiluted", AND(S71&lt;&gt;"Undetermined", U71&lt;&gt;"Undetermined", T71&gt;0, V71&gt;0, S71&lt;&gt;U71), 100*(-1+10^(-1/(S71-U71))), AND(S71&lt;&gt;"Undetermined", U71&lt;&gt;"Undetermined", S71=U71&gt;0), -100)</f>
        <v>Undetermined</v>
      </c>
      <c r="X71" s="159" cm="1">
        <f t="array" ref="X71">_xlfn.IFS(W71="Undetermined", 0, W71="Undiluted", T71*$G71/$F71*1000, W71="Ten-Fold", V71*$G71/$F71*1000*10, W71&lt;0, V71*$G71/$F71*1000*10, W71&lt;120, T71*$G71/$F71*1000, W71&gt;120, V71*$G71/$F71*1000*10)</f>
        <v>0</v>
      </c>
      <c r="Y71" s="156" t="str">
        <f t="shared" si="22"/>
        <v>DELETE</v>
      </c>
      <c r="Z71" s="156" t="str">
        <f t="shared" si="23"/>
        <v>DELETE</v>
      </c>
      <c r="AA71" s="156" t="str">
        <f t="shared" si="24"/>
        <v>DELETE</v>
      </c>
      <c r="AB71" s="160" t="str" cm="1">
        <f t="array" ref="AB71">_xlfn.IFS(Y71="DELETE", "DELETE", Y71=0, 0, Y71&gt;0,LOG10(Y71))</f>
        <v>DELETE</v>
      </c>
      <c r="AC71" s="161" t="str" cm="1">
        <f t="array" ref="AC71">_xlfn.IFS(Y71="DELETE", "DELETE", Y71=0, 0, Y71&gt;0, AA71/Y71/LN(10))</f>
        <v>DELETE</v>
      </c>
      <c r="AD71" s="120">
        <f>qPCR_Raw!U71</f>
        <v>31.820650100708008</v>
      </c>
      <c r="AE71" s="121" cm="1">
        <f t="array" ref="AE71">_xlfn.IFS(AD71="Undetermined", 0, qPCR_Raw!V71&lt;=1, 0, qPCR_Raw!V71&gt;1, qPCR_Raw!V71)</f>
        <v>11.301974296569824</v>
      </c>
      <c r="AF71" s="122">
        <f>qPCR_Raw!X71</f>
        <v>34.74896240234375</v>
      </c>
      <c r="AG71" s="121" cm="1">
        <f t="array" ref="AG71">_xlfn.IFS(AF71="Undetermined", 0, qPCR_Raw!Y71&lt;=1, 0, qPCR_Raw!Y71&gt;1, qPCR_Raw!Y71)</f>
        <v>1.717936635017395</v>
      </c>
      <c r="AH71" s="123" cm="1">
        <f t="array" ref="AH71">_xlfn.IFS(AND(AD71="Undetermined", AF71="Undetermined"), "Undetermined", AND(AE71=0, AG71=0), "Undetermined", AND(AE71=0, AG71&gt;0), "Ten-Fold", AND(AE71&gt;0, AG71=0), "Undiluted", AND(AD71&lt;&gt;"Undetermined", AF71&lt;&gt;"Undetermined", AE71&gt;0, AG71&gt;0, AD71&lt;&gt;AF71), 100*(-1+10^(-1/(AD71-AF71))), AND(AD71&lt;&gt;"Undetermined", AF71&lt;&gt;"Undetermined", AD71=AF71&gt;0), -100)</f>
        <v>119.52987534722706</v>
      </c>
      <c r="AI71" s="124" cm="1">
        <f t="array" ref="AI71">_xlfn.IFS(AH71="Undetermined", 0, AH71="Undiluted", AE71*$G71/$F71*1000, AH71="Ten-Fold", AG71*$G71/$F71*1000*10, AH71&lt;0, AG71*$G71/$F71*1000*10, AH71&lt;120, AE71*$G71/$F71*1000, AH71&gt;120, AG71*$G71/$F71*1000*10)</f>
        <v>1177.2889892260234</v>
      </c>
      <c r="AJ71" s="121" t="str">
        <f t="shared" si="25"/>
        <v>DELETE</v>
      </c>
      <c r="AK71" s="121" t="str">
        <f t="shared" si="26"/>
        <v>DELETE</v>
      </c>
      <c r="AL71" s="121" t="str">
        <f t="shared" si="27"/>
        <v>DELETE</v>
      </c>
      <c r="AM71" s="125" t="str" cm="1">
        <f t="array" ref="AM71">_xlfn.IFS(AJ71="DELETE", "DELETE", AJ71=0, 0, AJ71&gt;0,LOG10(AJ71))</f>
        <v>DELETE</v>
      </c>
      <c r="AN71" s="126" t="str" cm="1">
        <f t="array" ref="AN71">_xlfn.IFS(AJ71="DELETE", "DELETE", AJ71=0, 0, AJ71&gt;0, AL71/AJ71/LN(10))</f>
        <v>DELETE</v>
      </c>
      <c r="AO71" s="155">
        <f>qPCR_Raw!AA71</f>
        <v>16.282512664794922</v>
      </c>
      <c r="AP71" s="156" cm="1">
        <f t="array" ref="AP71">_xlfn.IFS(AO71="Undetermined", 0, qPCR_Raw!AB71&lt;=6, 0, qPCR_Raw!AB71&gt;6, qPCR_Raw!AB71)</f>
        <v>26874.46875</v>
      </c>
      <c r="AQ71" s="157">
        <f>qPCR_Raw!AD71</f>
        <v>19.66651725769043</v>
      </c>
      <c r="AR71" s="156" cm="1">
        <f t="array" ref="AR71">_xlfn.IFS(AQ71="Undetermined", 0, qPCR_Raw!AE71&lt;=6, 0, qPCR_Raw!AE71&gt;6, qPCR_Raw!AE71)</f>
        <v>2792.474609375</v>
      </c>
      <c r="AS71" s="158" cm="1">
        <f t="array" ref="AS71">_xlfn.IFS(AND(AO71="Undetermined", AQ71="Undetermined"), "Undetermined", AND(AP71=0, AR71=0), "Undetermined", AND(AP71=0, AR71&gt;0), "Ten-Fold", AND(AP71&gt;0, AR71=0), "Undiluted", AND(AO71&lt;&gt;"Undetermined", AQ71&lt;&gt;"Undetermined", AP71&gt;0, AR71&gt;0, AO71&lt;&gt;AQ71), 100*(-1+10^(-1/(AO71-AQ71))), AND(AO71&lt;&gt;"Undetermined", AQ71&lt;&gt;"Undetermined", AO71=AQ71&gt;0), -100)</f>
        <v>97.473067821485031</v>
      </c>
      <c r="AT71" s="159" cm="1">
        <f t="array" ref="AT71">_xlfn.IFS(AS71="Undetermined", 0, AS71="Undiluted", AP71*$G71/$F71*1000, AS71="Ten-Fold", AR71*$G71/$F71*1000*10, AS71&lt;0, AR71*$G71/$F71*1000*10, AS71&lt;120, AP71*$G71/$F71*1000, AS71&gt;120, AR71*$G71/$F71*1000*10)</f>
        <v>2799423.828125</v>
      </c>
      <c r="AU71" s="156" t="str">
        <f t="shared" si="28"/>
        <v>DELETE</v>
      </c>
      <c r="AV71" s="156" t="str">
        <f t="shared" si="29"/>
        <v>DELETE</v>
      </c>
      <c r="AW71" s="156" t="str">
        <f t="shared" si="30"/>
        <v>DELETE</v>
      </c>
      <c r="AX71" s="160" t="str" cm="1">
        <f t="array" ref="AX71">_xlfn.IFS(AU71="DELETE", "DELETE", AU71=0, 0, AU71&gt;0,LOG10(AU71))</f>
        <v>DELETE</v>
      </c>
      <c r="AY71" s="161" t="str" cm="1">
        <f t="array" ref="AY71">_xlfn.IFS(AU71="DELETE", "DELETE", AU71=0, 0, AU71&gt;0, AW71/AU71/LN(10))</f>
        <v>DELETE</v>
      </c>
      <c r="AZ71" s="120">
        <f>qPCR_Raw!AG71</f>
        <v>30.593513488769531</v>
      </c>
      <c r="BA71" s="121" cm="1">
        <f t="array" ref="BA71">_xlfn.IFS(AZ71="Undetermined", 0, qPCR_Raw!AH71&lt;=1, 0, qPCR_Raw!AH71&gt;1, qPCR_Raw!AH71)</f>
        <v>43.639839172363281</v>
      </c>
      <c r="BB71" s="122">
        <f>qPCR_Raw!AJ71</f>
        <v>33.989856719970703</v>
      </c>
      <c r="BC71" s="121" cm="1">
        <f t="array" ref="BC71">_xlfn.IFS(BB71="Undetermined", 0, qPCR_Raw!AK71&lt;=1, 0, qPCR_Raw!AK71&gt;1, qPCR_Raw!AK71)</f>
        <v>5.093623161315918</v>
      </c>
      <c r="BD71" s="123" cm="1">
        <f t="array" ref="BD71">_xlfn.IFS(AND(AZ71="Undetermined", BB71="Undetermined"), "Undetermined", AND(BA71=0, BC71=0), "Undetermined", AND(BA71=0, BC71&gt;0), "Ten-Fold", AND(BA71&gt;0, BC71=0), "Undiluted", AND(AZ71&lt;&gt;"Undetermined", BB71&lt;&gt;"Undetermined", BA71&gt;0, BC71&gt;0, AZ71&lt;&gt;BB71), 100*(-1+10^(-1/(AZ71-BB71))), AND(AZ71&lt;&gt;"Undetermined", BB71&lt;&gt;"Undetermined", AZ71=BB71&gt;0), -100)</f>
        <v>96.98552629702823</v>
      </c>
      <c r="BE71" s="124" cm="1">
        <f t="array" ref="BE71">_xlfn.IFS(BD71="Undetermined", 0, BD71="Undiluted", BA71*$G71/$F71*1000, BD71="Ten-Fold", BC71*$G71/$F71*1000*10, BD71&lt;0, BC71*$G71/$F71*1000*10, BD71&lt;120, BA71*$G71/$F71*1000, BD71&gt;120, BC71*$G71/$F71*1000*10)</f>
        <v>4545.8165804545088</v>
      </c>
      <c r="BF71" s="121" t="str">
        <f t="shared" si="31"/>
        <v>DELETE</v>
      </c>
      <c r="BG71" s="121" t="str">
        <f t="shared" si="32"/>
        <v>DELETE</v>
      </c>
      <c r="BH71" s="121" t="str">
        <f t="shared" si="33"/>
        <v>DELETE</v>
      </c>
      <c r="BI71" s="125" t="str" cm="1">
        <f t="array" ref="BI71">_xlfn.IFS(BF71="DELETE", "DELETE", BF71=0, 0, BF71&gt;0,LOG10(BF71))</f>
        <v>DELETE</v>
      </c>
      <c r="BJ71" s="126" t="str" cm="1">
        <f t="array" ref="BJ71">_xlfn.IFS(BF71="DELETE", "DELETE", BF71=0, 0, BF71&gt;0, BH71/BF71/LN(10))</f>
        <v>DELETE</v>
      </c>
    </row>
    <row r="72" spans="1:62" s="114" customFormat="1" x14ac:dyDescent="0.3">
      <c r="A72" s="115" t="str">
        <f>UPPER(LEFT(SUBSTITUTE(SUBSTITUTE(qPCR_Raw!A72,"-","")," ",""),2))&amp;RIGHT(SUBSTITUTE(SUBSTITUTE(qPCR_Raw!A72,"-","")," ",""),LEN(SUBSTITUTE(SUBSTITUTE(qPCR_Raw!A72,"-","")," ",""))-2)</f>
        <v>RT6</v>
      </c>
      <c r="B72" s="116" t="str" cm="1">
        <f t="array" ref="B72">_xlfn.IFS(LEFT(A72, LEN(A72)-1)="EP", "EP", LEFT(A72, LEN(A72)-1)="STa", "SPI", LEFT(A72, LEN(A72)-1)="STb", "SPO", LEFT(A72, LEN(A72)-1)="MRT", "MRT", LEFT(A72, LEN(A72)-1)="RG", "RN", LEFT(A72, LEN(A72)-1)="RT", "RU", LEFT(A72, LEN(A72)-1)="RW", "RL", LEFT(A72, LEN(A72)-1)="RC", "RS")</f>
        <v>RU</v>
      </c>
      <c r="C72" s="117">
        <f>qPCR_Raw!B72</f>
        <v>44363</v>
      </c>
      <c r="D72" s="117" t="str">
        <f t="shared" si="17"/>
        <v>RU44363</v>
      </c>
      <c r="E72" s="117" t="str">
        <f t="shared" si="18"/>
        <v>RU443636</v>
      </c>
      <c r="F72" s="118">
        <f>qPCR_Raw!C72</f>
        <v>940</v>
      </c>
      <c r="G72" s="119">
        <f>qPCR_Raw!F72</f>
        <v>100</v>
      </c>
      <c r="H72" s="120">
        <f>qPCR_Raw!G72</f>
        <v>20.510574340820313</v>
      </c>
      <c r="I72" s="121" cm="1">
        <f t="array" ref="I72">_xlfn.IFS(H72="Undetermined", 0, qPCR_Raw!H72-qPCR_Raw!$H$242&lt;0, 0, qPCR_Raw!H72-qPCR_Raw!$H$242&gt;0, qPCR_Raw!H72-qPCR_Raw!$H$242)</f>
        <v>64973.338008626306</v>
      </c>
      <c r="J72" s="122">
        <f>qPCR_Raw!K72</f>
        <v>23.596611022949219</v>
      </c>
      <c r="K72" s="121" cm="1">
        <f t="array" ref="K72">_xlfn.IFS(J72="Undetermined", 0, qPCR_Raw!L72-qPCR_Raw!$H$242&lt;0, 0, qPCR_Raw!L72-qPCR_Raw!$H$242&gt;0, qPCR_Raw!L72-qPCR_Raw!$H$242)</f>
        <v>0</v>
      </c>
      <c r="L72" s="123" t="str" cm="1">
        <f t="array" ref="L72">_xlfn.IFS(AND(H72="Undetermined", J72="Undetermined"), "Undetermined", AND(I72=0, K72=0), "Undetermined", AND(I72=0, K72&gt;0), "Ten-Fold", AND(I72&gt;0, K72=0), "Undiluted", AND(H72&lt;&gt;"Undetermined", J72&lt;&gt;"Undetermined", I72&gt;0, K72&gt;0), 100*(-1+10^(-1/(H72-J72))))</f>
        <v>Undiluted</v>
      </c>
      <c r="M72" s="124" cm="1">
        <f t="array" ref="M72">_xlfn.IFS(L72="Undetermined", 0, L72="Undiluted", I72*$G72/$F72*1000, L72="Ten-Fold", K72*$G72/$F72*1000*10, L72&lt;0, K72*$G72/$F72*1000*10, L72&lt;120, I72*$G72/$F72*1000, L72&gt;120, K72*$G72/$F72*1000*10)</f>
        <v>6912057.234960245</v>
      </c>
      <c r="N72" s="121">
        <f t="shared" si="19"/>
        <v>4961924.6717953514</v>
      </c>
      <c r="O72" s="121">
        <f t="shared" si="20"/>
        <v>2757903.9192531989</v>
      </c>
      <c r="P72" s="121">
        <f t="shared" si="21"/>
        <v>1950132.5631648933</v>
      </c>
      <c r="Q72" s="125" cm="1">
        <f t="array" ref="Q72">_xlfn.IFS(N72="DELETE", "DELETE", N72=0, 0, N72&gt;0,LOG10(N72))</f>
        <v>6.6956501668543815</v>
      </c>
      <c r="R72" s="126" cm="1">
        <f t="array" ref="R72">_xlfn.IFS(N72="DELETE", "DELETE", N72=0, 0, N72&gt;0, P72/N72/LN(10))</f>
        <v>0.17068614845696886</v>
      </c>
      <c r="S72" s="155" t="str">
        <f>qPCR_Raw!O72</f>
        <v>Undetermined</v>
      </c>
      <c r="T72" s="156" cm="1">
        <f t="array" ref="T72">_xlfn.IFS(S72="Undetermined", 0, qPCR_Raw!P72&lt;=1, 0, qPCR_Raw!P72&gt;1, qPCR_Raw!P72)</f>
        <v>0</v>
      </c>
      <c r="U72" s="157" t="str">
        <f>qPCR_Raw!R72</f>
        <v>Undetermined</v>
      </c>
      <c r="V72" s="156" cm="1">
        <f t="array" ref="V72">_xlfn.IFS(U72="Undetermined", 0, qPCR_Raw!S72&lt;=1, 0, qPCR_Raw!S72&gt;1, qPCR_Raw!S72)</f>
        <v>0</v>
      </c>
      <c r="W72" s="158" t="str" cm="1">
        <f t="array" ref="W72">_xlfn.IFS(AND(S72="Undetermined", U72="Undetermined"), "Undetermined", AND(T72=0, V72=0), "Undetermined", AND(T72=0, V72&gt;0), "Ten-Fold", AND(T72&gt;0, V72=0), "Undiluted", AND(S72&lt;&gt;"Undetermined", U72&lt;&gt;"Undetermined", T72&gt;0, V72&gt;0, S72&lt;&gt;U72), 100*(-1+10^(-1/(S72-U72))), AND(S72&lt;&gt;"Undetermined", U72&lt;&gt;"Undetermined", S72=U72&gt;0), -100)</f>
        <v>Undetermined</v>
      </c>
      <c r="X72" s="159" cm="1">
        <f t="array" ref="X72">_xlfn.IFS(W72="Undetermined", 0, W72="Undiluted", T72*$G72/$F72*1000, W72="Ten-Fold", V72*$G72/$F72*1000*10, W72&lt;0, V72*$G72/$F72*1000*10, W72&lt;120, T72*$G72/$F72*1000, W72&gt;120, V72*$G72/$F72*1000*10)</f>
        <v>0</v>
      </c>
      <c r="Y72" s="156">
        <f t="shared" si="22"/>
        <v>0</v>
      </c>
      <c r="Z72" s="156">
        <f t="shared" si="23"/>
        <v>0</v>
      </c>
      <c r="AA72" s="156">
        <f t="shared" si="24"/>
        <v>0</v>
      </c>
      <c r="AB72" s="160" cm="1">
        <f t="array" ref="AB72">_xlfn.IFS(Y72="DELETE", "DELETE", Y72=0, 0, Y72&gt;0,LOG10(Y72))</f>
        <v>0</v>
      </c>
      <c r="AC72" s="161" cm="1">
        <f t="array" ref="AC72">_xlfn.IFS(Y72="DELETE", "DELETE", Y72=0, 0, Y72&gt;0, AA72/Y72/LN(10))</f>
        <v>0</v>
      </c>
      <c r="AD72" s="120">
        <f>qPCR_Raw!U72</f>
        <v>27.233957290649414</v>
      </c>
      <c r="AE72" s="121" cm="1">
        <f t="array" ref="AE72">_xlfn.IFS(AD72="Undetermined", 0, qPCR_Raw!V72&lt;=1, 0, qPCR_Raw!V72&gt;1, qPCR_Raw!V72)</f>
        <v>271.18804931640625</v>
      </c>
      <c r="AF72" s="122">
        <f>qPCR_Raw!X72</f>
        <v>30.236961364746094</v>
      </c>
      <c r="AG72" s="121" cm="1">
        <f t="array" ref="AG72">_xlfn.IFS(AF72="Undetermined", 0, qPCR_Raw!Y72&lt;=1, 0, qPCR_Raw!Y72&gt;1, qPCR_Raw!Y72)</f>
        <v>39.007610321044922</v>
      </c>
      <c r="AH72" s="123" cm="1">
        <f t="array" ref="AH72">_xlfn.IFS(AND(AD72="Undetermined", AF72="Undetermined"), "Undetermined", AND(AE72=0, AG72=0), "Undetermined", AND(AE72=0, AG72&gt;0), "Ten-Fold", AND(AE72&gt;0, AG72=0), "Undiluted", AND(AD72&lt;&gt;"Undetermined", AF72&lt;&gt;"Undetermined", AE72&gt;0, AG72&gt;0, AD72&lt;&gt;AF72), 100*(-1+10^(-1/(AD72-AF72))), AND(AD72&lt;&gt;"Undetermined", AF72&lt;&gt;"Undetermined", AD72=AF72&gt;0), -100)</f>
        <v>115.27811459737265</v>
      </c>
      <c r="AI72" s="124" cm="1">
        <f t="array" ref="AI72">_xlfn.IFS(AH72="Undetermined", 0, AH72="Undiluted", AE72*$G72/$F72*1000, AH72="Ten-Fold", AG72*$G72/$F72*1000*10, AH72&lt;0, AG72*$G72/$F72*1000*10, AH72&lt;120, AE72*$G72/$F72*1000, AH72&gt;120, AG72*$G72/$F72*1000*10)</f>
        <v>28849.79248046875</v>
      </c>
      <c r="AJ72" s="121">
        <f t="shared" si="25"/>
        <v>22695.970028004747</v>
      </c>
      <c r="AK72" s="121">
        <f t="shared" si="26"/>
        <v>8702.8191727106569</v>
      </c>
      <c r="AL72" s="121">
        <f t="shared" si="27"/>
        <v>6153.8224524640045</v>
      </c>
      <c r="AM72" s="125" cm="1">
        <f t="array" ref="AM72">_xlfn.IFS(AJ72="DELETE", "DELETE", AJ72=0, 0, AJ72&gt;0,LOG10(AJ72))</f>
        <v>4.3559487492646749</v>
      </c>
      <c r="AN72" s="126" cm="1">
        <f t="array" ref="AN72">_xlfn.IFS(AJ72="DELETE", "DELETE", AJ72=0, 0, AJ72&gt;0, AL72/AJ72/LN(10))</f>
        <v>0.11775531649097815</v>
      </c>
      <c r="AO72" s="155">
        <f>qPCR_Raw!AA72</f>
        <v>29.614559173583984</v>
      </c>
      <c r="AP72" s="156" cm="1">
        <f t="array" ref="AP72">_xlfn.IFS(AO72="Undetermined", 0, qPCR_Raw!AB72&lt;=6, 0, qPCR_Raw!AB72&gt;6, qPCR_Raw!AB72)</f>
        <v>0</v>
      </c>
      <c r="AQ72" s="157" t="str">
        <f>qPCR_Raw!AD72</f>
        <v>Undetermined</v>
      </c>
      <c r="AR72" s="156" cm="1">
        <f t="array" ref="AR72">_xlfn.IFS(AQ72="Undetermined", 0, qPCR_Raw!AE72&lt;=6, 0, qPCR_Raw!AE72&gt;6, qPCR_Raw!AE72)</f>
        <v>0</v>
      </c>
      <c r="AS72" s="158" t="str" cm="1">
        <f t="array" ref="AS72">_xlfn.IFS(AND(AO72="Undetermined", AQ72="Undetermined"), "Undetermined", AND(AP72=0, AR72=0), "Undetermined", AND(AP72=0, AR72&gt;0), "Ten-Fold", AND(AP72&gt;0, AR72=0), "Undiluted", AND(AO72&lt;&gt;"Undetermined", AQ72&lt;&gt;"Undetermined", AP72&gt;0, AR72&gt;0, AO72&lt;&gt;AQ72), 100*(-1+10^(-1/(AO72-AQ72))), AND(AO72&lt;&gt;"Undetermined", AQ72&lt;&gt;"Undetermined", AO72=AQ72&gt;0), -100)</f>
        <v>Undetermined</v>
      </c>
      <c r="AT72" s="159" cm="1">
        <f t="array" ref="AT72">_xlfn.IFS(AS72="Undetermined", 0, AS72="Undiluted", AP72*$G72/$F72*1000, AS72="Ten-Fold", AR72*$G72/$F72*1000*10, AS72&lt;0, AR72*$G72/$F72*1000*10, AS72&lt;120, AP72*$G72/$F72*1000, AS72&gt;120, AR72*$G72/$F72*1000*10)</f>
        <v>0</v>
      </c>
      <c r="AU72" s="156">
        <f t="shared" si="28"/>
        <v>0</v>
      </c>
      <c r="AV72" s="156">
        <f t="shared" si="29"/>
        <v>0</v>
      </c>
      <c r="AW72" s="156">
        <f t="shared" si="30"/>
        <v>0</v>
      </c>
      <c r="AX72" s="160" cm="1">
        <f t="array" ref="AX72">_xlfn.IFS(AU72="DELETE", "DELETE", AU72=0, 0, AU72&gt;0,LOG10(AU72))</f>
        <v>0</v>
      </c>
      <c r="AY72" s="161" cm="1">
        <f t="array" ref="AY72">_xlfn.IFS(AU72="DELETE", "DELETE", AU72=0, 0, AU72&gt;0, AW72/AU72/LN(10))</f>
        <v>0</v>
      </c>
      <c r="AZ72" s="120">
        <f>qPCR_Raw!AG72</f>
        <v>37.308887481689453</v>
      </c>
      <c r="BA72" s="121" cm="1">
        <f t="array" ref="BA72">_xlfn.IFS(AZ72="Undetermined", 0, qPCR_Raw!AH72&lt;=1, 0, qPCR_Raw!AH72&gt;1, qPCR_Raw!AH72)</f>
        <v>1.3684134483337402</v>
      </c>
      <c r="BB72" s="122" t="str">
        <f>qPCR_Raw!AJ72</f>
        <v>Undetermined</v>
      </c>
      <c r="BC72" s="121" cm="1">
        <f t="array" ref="BC72">_xlfn.IFS(BB72="Undetermined", 0, qPCR_Raw!AK72&lt;=1, 0, qPCR_Raw!AK72&gt;1, qPCR_Raw!AK72)</f>
        <v>0</v>
      </c>
      <c r="BD72" s="123" t="str" cm="1">
        <f t="array" ref="BD72">_xlfn.IFS(AND(AZ72="Undetermined", BB72="Undetermined"), "Undetermined", AND(BA72=0, BC72=0), "Undetermined", AND(BA72=0, BC72&gt;0), "Ten-Fold", AND(BA72&gt;0, BC72=0), "Undiluted", AND(AZ72&lt;&gt;"Undetermined", BB72&lt;&gt;"Undetermined", BA72&gt;0, BC72&gt;0, AZ72&lt;&gt;BB72), 100*(-1+10^(-1/(AZ72-BB72))), AND(AZ72&lt;&gt;"Undetermined", BB72&lt;&gt;"Undetermined", AZ72=BB72&gt;0), -100)</f>
        <v>Undiluted</v>
      </c>
      <c r="BE72" s="124" cm="1">
        <f t="array" ref="BE72">_xlfn.IFS(BD72="Undetermined", 0, BD72="Undiluted", BA72*$G72/$F72*1000, BD72="Ten-Fold", BC72*$G72/$F72*1000*10, BD72&lt;0, BC72*$G72/$F72*1000*10, BD72&lt;120, BA72*$G72/$F72*1000, BD72&gt;120, BC72*$G72/$F72*1000*10)</f>
        <v>145.57589875890852</v>
      </c>
      <c r="BF72" s="121">
        <f t="shared" si="31"/>
        <v>72.787949379454261</v>
      </c>
      <c r="BG72" s="121">
        <f t="shared" si="32"/>
        <v>102.93770518975053</v>
      </c>
      <c r="BH72" s="121">
        <f t="shared" si="33"/>
        <v>72.787949379454261</v>
      </c>
      <c r="BI72" s="125" cm="1">
        <f t="array" ref="BI72">_xlfn.IFS(BF72="DELETE", "DELETE", BF72=0, 0, BF72&gt;0,LOG10(BF72))</f>
        <v>1.8620594843788647</v>
      </c>
      <c r="BJ72" s="126" cm="1">
        <f t="array" ref="BJ72">_xlfn.IFS(BF72="DELETE", "DELETE", BF72=0, 0, BF72&gt;0, BH72/BF72/LN(10))</f>
        <v>0.43429448190325176</v>
      </c>
    </row>
    <row r="73" spans="1:62" s="114" customFormat="1" x14ac:dyDescent="0.3">
      <c r="A73" s="115" t="str">
        <f>UPPER(LEFT(SUBSTITUTE(SUBSTITUTE(qPCR_Raw!A73,"-","")," ",""),2))&amp;RIGHT(SUBSTITUTE(SUBSTITUTE(qPCR_Raw!A73,"-","")," ",""),LEN(SUBSTITUTE(SUBSTITUTE(qPCR_Raw!A73,"-","")," ",""))-2)</f>
        <v>RT7</v>
      </c>
      <c r="B73" s="116" t="str" cm="1">
        <f t="array" ref="B73">_xlfn.IFS(LEFT(A73, LEN(A73)-1)="EP", "EP", LEFT(A73, LEN(A73)-1)="STa", "SPI", LEFT(A73, LEN(A73)-1)="STb", "SPO", LEFT(A73, LEN(A73)-1)="MRT", "MRT", LEFT(A73, LEN(A73)-1)="RG", "RN", LEFT(A73, LEN(A73)-1)="RT", "RU", LEFT(A73, LEN(A73)-1)="RW", "RL", LEFT(A73, LEN(A73)-1)="RC", "RS")</f>
        <v>RU</v>
      </c>
      <c r="C73" s="117">
        <f>qPCR_Raw!B73</f>
        <v>44363</v>
      </c>
      <c r="D73" s="117" t="str">
        <f t="shared" si="17"/>
        <v>RU44363</v>
      </c>
      <c r="E73" s="117" t="str">
        <f t="shared" si="18"/>
        <v>RU443637</v>
      </c>
      <c r="F73" s="118">
        <f>qPCR_Raw!C73</f>
        <v>940</v>
      </c>
      <c r="G73" s="119">
        <f>qPCR_Raw!F73</f>
        <v>100</v>
      </c>
      <c r="H73" s="120">
        <f>qPCR_Raw!G73</f>
        <v>21.485513687133789</v>
      </c>
      <c r="I73" s="121" cm="1">
        <f t="array" ref="I73">_xlfn.IFS(H73="Undetermined", 0, qPCR_Raw!H73-qPCR_Raw!$H$242&lt;0, 0, qPCR_Raw!H73-qPCR_Raw!$H$242&gt;0, qPCR_Raw!H73-qPCR_Raw!$H$242)</f>
        <v>28310.845821126302</v>
      </c>
      <c r="J73" s="122">
        <f>qPCR_Raw!K73</f>
        <v>24.340539932250977</v>
      </c>
      <c r="K73" s="121" cm="1">
        <f t="array" ref="K73">_xlfn.IFS(J73="Undetermined", 0, qPCR_Raw!L73-qPCR_Raw!$H$242&lt;0, 0, qPCR_Raw!L73-qPCR_Raw!$H$242&gt;0, qPCR_Raw!L73-qPCR_Raw!$H$242)</f>
        <v>0</v>
      </c>
      <c r="L73" s="123" t="str" cm="1">
        <f t="array" ref="L73">_xlfn.IFS(AND(H73="Undetermined", J73="Undetermined"), "Undetermined", AND(I73=0, K73=0), "Undetermined", AND(I73=0, K73&gt;0), "Ten-Fold", AND(I73&gt;0, K73=0), "Undiluted", AND(H73&lt;&gt;"Undetermined", J73&lt;&gt;"Undetermined", I73&gt;0, K73&gt;0), 100*(-1+10^(-1/(H73-J73))))</f>
        <v>Undiluted</v>
      </c>
      <c r="M73" s="124" cm="1">
        <f t="array" ref="M73">_xlfn.IFS(L73="Undetermined", 0, L73="Undiluted", I73*$G73/$F73*1000, L73="Ten-Fold", K73*$G73/$F73*1000*10, L73&lt;0, K73*$G73/$F73*1000*10, L73&lt;120, I73*$G73/$F73*1000, L73&gt;120, K73*$G73/$F73*1000*10)</f>
        <v>3011792.1086304579</v>
      </c>
      <c r="N73" s="121" t="str">
        <f t="shared" si="19"/>
        <v>DELETE</v>
      </c>
      <c r="O73" s="121" t="str">
        <f t="shared" si="20"/>
        <v>DELETE</v>
      </c>
      <c r="P73" s="121" t="str">
        <f t="shared" si="21"/>
        <v>DELETE</v>
      </c>
      <c r="Q73" s="125" t="str" cm="1">
        <f t="array" ref="Q73">_xlfn.IFS(N73="DELETE", "DELETE", N73=0, 0, N73&gt;0,LOG10(N73))</f>
        <v>DELETE</v>
      </c>
      <c r="R73" s="126" t="str" cm="1">
        <f t="array" ref="R73">_xlfn.IFS(N73="DELETE", "DELETE", N73=0, 0, N73&gt;0, P73/N73/LN(10))</f>
        <v>DELETE</v>
      </c>
      <c r="S73" s="155" t="str">
        <f>qPCR_Raw!O73</f>
        <v>Undetermined</v>
      </c>
      <c r="T73" s="156" cm="1">
        <f t="array" ref="T73">_xlfn.IFS(S73="Undetermined", 0, qPCR_Raw!P73&lt;=1, 0, qPCR_Raw!P73&gt;1, qPCR_Raw!P73)</f>
        <v>0</v>
      </c>
      <c r="U73" s="157" t="str">
        <f>qPCR_Raw!R73</f>
        <v>Undetermined</v>
      </c>
      <c r="V73" s="156" cm="1">
        <f t="array" ref="V73">_xlfn.IFS(U73="Undetermined", 0, qPCR_Raw!S73&lt;=1, 0, qPCR_Raw!S73&gt;1, qPCR_Raw!S73)</f>
        <v>0</v>
      </c>
      <c r="W73" s="158" t="str" cm="1">
        <f t="array" ref="W73">_xlfn.IFS(AND(S73="Undetermined", U73="Undetermined"), "Undetermined", AND(T73=0, V73=0), "Undetermined", AND(T73=0, V73&gt;0), "Ten-Fold", AND(T73&gt;0, V73=0), "Undiluted", AND(S73&lt;&gt;"Undetermined", U73&lt;&gt;"Undetermined", T73&gt;0, V73&gt;0, S73&lt;&gt;U73), 100*(-1+10^(-1/(S73-U73))), AND(S73&lt;&gt;"Undetermined", U73&lt;&gt;"Undetermined", S73=U73&gt;0), -100)</f>
        <v>Undetermined</v>
      </c>
      <c r="X73" s="159" cm="1">
        <f t="array" ref="X73">_xlfn.IFS(W73="Undetermined", 0, W73="Undiluted", T73*$G73/$F73*1000, W73="Ten-Fold", V73*$G73/$F73*1000*10, W73&lt;0, V73*$G73/$F73*1000*10, W73&lt;120, T73*$G73/$F73*1000, W73&gt;120, V73*$G73/$F73*1000*10)</f>
        <v>0</v>
      </c>
      <c r="Y73" s="156" t="str">
        <f t="shared" si="22"/>
        <v>DELETE</v>
      </c>
      <c r="Z73" s="156" t="str">
        <f t="shared" si="23"/>
        <v>DELETE</v>
      </c>
      <c r="AA73" s="156" t="str">
        <f t="shared" si="24"/>
        <v>DELETE</v>
      </c>
      <c r="AB73" s="160" t="str" cm="1">
        <f t="array" ref="AB73">_xlfn.IFS(Y73="DELETE", "DELETE", Y73=0, 0, Y73&gt;0,LOG10(Y73))</f>
        <v>DELETE</v>
      </c>
      <c r="AC73" s="161" t="str" cm="1">
        <f t="array" ref="AC73">_xlfn.IFS(Y73="DELETE", "DELETE", Y73=0, 0, Y73&gt;0, AA73/Y73/LN(10))</f>
        <v>DELETE</v>
      </c>
      <c r="AD73" s="120">
        <f>qPCR_Raw!U73</f>
        <v>28.88075065612793</v>
      </c>
      <c r="AE73" s="121" cm="1">
        <f t="array" ref="AE73">_xlfn.IFS(AD73="Undetermined", 0, qPCR_Raw!V73&lt;=1, 0, qPCR_Raw!V73&gt;1, qPCR_Raw!V73)</f>
        <v>93.641090393066406</v>
      </c>
      <c r="AF73" s="122">
        <f>qPCR_Raw!X73</f>
        <v>31.661327362060547</v>
      </c>
      <c r="AG73" s="121" cm="1">
        <f t="array" ref="AG73">_xlfn.IFS(AF73="Undetermined", 0, qPCR_Raw!Y73&lt;=1, 0, qPCR_Raw!Y73&gt;1, qPCR_Raw!Y73)</f>
        <v>15.549618721008301</v>
      </c>
      <c r="AH73" s="123" cm="1">
        <f t="array" ref="AH73">_xlfn.IFS(AND(AD73="Undetermined", AF73="Undetermined"), "Undetermined", AND(AE73=0, AG73=0), "Undetermined", AND(AE73=0, AG73&gt;0), "Ten-Fold", AND(AE73&gt;0, AG73=0), "Undiluted", AND(AD73&lt;&gt;"Undetermined", AF73&lt;&gt;"Undetermined", AE73&gt;0, AG73&gt;0, AD73&lt;&gt;AF73), 100*(-1+10^(-1/(AD73-AF73))), AND(AD73&lt;&gt;"Undetermined", AF73&lt;&gt;"Undetermined", AD73=AF73&gt;0), -100)</f>
        <v>128.8956946691564</v>
      </c>
      <c r="AI73" s="124" cm="1">
        <f t="array" ref="AI73">_xlfn.IFS(AH73="Undetermined", 0, AH73="Undiluted", AE73*$G73/$F73*1000, AH73="Ten-Fold", AG73*$G73/$F73*1000*10, AH73&lt;0, AG73*$G73/$F73*1000*10, AH73&lt;120, AE73*$G73/$F73*1000, AH73&gt;120, AG73*$G73/$F73*1000*10)</f>
        <v>16542.147575540745</v>
      </c>
      <c r="AJ73" s="121" t="str">
        <f t="shared" si="25"/>
        <v>DELETE</v>
      </c>
      <c r="AK73" s="121" t="str">
        <f t="shared" si="26"/>
        <v>DELETE</v>
      </c>
      <c r="AL73" s="121" t="str">
        <f t="shared" si="27"/>
        <v>DELETE</v>
      </c>
      <c r="AM73" s="125" t="str" cm="1">
        <f t="array" ref="AM73">_xlfn.IFS(AJ73="DELETE", "DELETE", AJ73=0, 0, AJ73&gt;0,LOG10(AJ73))</f>
        <v>DELETE</v>
      </c>
      <c r="AN73" s="126" t="str" cm="1">
        <f t="array" ref="AN73">_xlfn.IFS(AJ73="DELETE", "DELETE", AJ73=0, 0, AJ73&gt;0, AL73/AJ73/LN(10))</f>
        <v>DELETE</v>
      </c>
      <c r="AO73" s="155">
        <f>qPCR_Raw!AA73</f>
        <v>29.861528396606445</v>
      </c>
      <c r="AP73" s="156" cm="1">
        <f t="array" ref="AP73">_xlfn.IFS(AO73="Undetermined", 0, qPCR_Raw!AB73&lt;=6, 0, qPCR_Raw!AB73&gt;6, qPCR_Raw!AB73)</f>
        <v>0</v>
      </c>
      <c r="AQ73" s="157" t="str">
        <f>qPCR_Raw!AD73</f>
        <v>Undetermined</v>
      </c>
      <c r="AR73" s="156" cm="1">
        <f t="array" ref="AR73">_xlfn.IFS(AQ73="Undetermined", 0, qPCR_Raw!AE73&lt;=6, 0, qPCR_Raw!AE73&gt;6, qPCR_Raw!AE73)</f>
        <v>0</v>
      </c>
      <c r="AS73" s="158" t="str" cm="1">
        <f t="array" ref="AS73">_xlfn.IFS(AND(AO73="Undetermined", AQ73="Undetermined"), "Undetermined", AND(AP73=0, AR73=0), "Undetermined", AND(AP73=0, AR73&gt;0), "Ten-Fold", AND(AP73&gt;0, AR73=0), "Undiluted", AND(AO73&lt;&gt;"Undetermined", AQ73&lt;&gt;"Undetermined", AP73&gt;0, AR73&gt;0, AO73&lt;&gt;AQ73), 100*(-1+10^(-1/(AO73-AQ73))), AND(AO73&lt;&gt;"Undetermined", AQ73&lt;&gt;"Undetermined", AO73=AQ73&gt;0), -100)</f>
        <v>Undetermined</v>
      </c>
      <c r="AT73" s="159" cm="1">
        <f t="array" ref="AT73">_xlfn.IFS(AS73="Undetermined", 0, AS73="Undiluted", AP73*$G73/$F73*1000, AS73="Ten-Fold", AR73*$G73/$F73*1000*10, AS73&lt;0, AR73*$G73/$F73*1000*10, AS73&lt;120, AP73*$G73/$F73*1000, AS73&gt;120, AR73*$G73/$F73*1000*10)</f>
        <v>0</v>
      </c>
      <c r="AU73" s="156" t="str">
        <f t="shared" ref="AU73:AU132" si="34">IF($D73&lt;&gt;$D74,"DELETE",AVERAGE(AT73:AT74))</f>
        <v>DELETE</v>
      </c>
      <c r="AV73" s="156" t="str">
        <f t="shared" si="29"/>
        <v>DELETE</v>
      </c>
      <c r="AW73" s="156" t="str">
        <f t="shared" si="30"/>
        <v>DELETE</v>
      </c>
      <c r="AX73" s="160" t="str" cm="1">
        <f t="array" ref="AX73">_xlfn.IFS(AU73="DELETE", "DELETE", AU73=0, 0, AU73&gt;0,LOG10(AU73))</f>
        <v>DELETE</v>
      </c>
      <c r="AY73" s="161" t="str" cm="1">
        <f t="array" ref="AY73">_xlfn.IFS(AU73="DELETE", "DELETE", AU73=0, 0, AU73&gt;0, AW73/AU73/LN(10))</f>
        <v>DELETE</v>
      </c>
      <c r="AZ73" s="120" t="str">
        <f>qPCR_Raw!AG73</f>
        <v>Undetermined</v>
      </c>
      <c r="BA73" s="121" cm="1">
        <f t="array" ref="BA73">_xlfn.IFS(AZ73="Undetermined", 0, qPCR_Raw!AH73&lt;=1, 0, qPCR_Raw!AH73&gt;1, qPCR_Raw!AH73)</f>
        <v>0</v>
      </c>
      <c r="BB73" s="122" t="str">
        <f>qPCR_Raw!AJ73</f>
        <v>Undetermined</v>
      </c>
      <c r="BC73" s="121" cm="1">
        <f t="array" ref="BC73">_xlfn.IFS(BB73="Undetermined", 0, qPCR_Raw!AK73&lt;=1, 0, qPCR_Raw!AK73&gt;1, qPCR_Raw!AK73)</f>
        <v>0</v>
      </c>
      <c r="BD73" s="123" t="str" cm="1">
        <f t="array" ref="BD73">_xlfn.IFS(AND(AZ73="Undetermined", BB73="Undetermined"), "Undetermined", AND(BA73=0, BC73=0), "Undetermined", AND(BA73=0, BC73&gt;0), "Ten-Fold", AND(BA73&gt;0, BC73=0), "Undiluted", AND(AZ73&lt;&gt;"Undetermined", BB73&lt;&gt;"Undetermined", BA73&gt;0, BC73&gt;0, AZ73&lt;&gt;BB73), 100*(-1+10^(-1/(AZ73-BB73))), AND(AZ73&lt;&gt;"Undetermined", BB73&lt;&gt;"Undetermined", AZ73=BB73&gt;0), -100)</f>
        <v>Undetermined</v>
      </c>
      <c r="BE73" s="124" cm="1">
        <f t="array" ref="BE73">_xlfn.IFS(BD73="Undetermined", 0, BD73="Undiluted", BA73*$G73/$F73*1000, BD73="Ten-Fold", BC73*$G73/$F73*1000*10, BD73&lt;0, BC73*$G73/$F73*1000*10, BD73&lt;120, BA73*$G73/$F73*1000, BD73&gt;120, BC73*$G73/$F73*1000*10)</f>
        <v>0</v>
      </c>
      <c r="BF73" s="121" t="str">
        <f t="shared" si="31"/>
        <v>DELETE</v>
      </c>
      <c r="BG73" s="121" t="str">
        <f t="shared" si="32"/>
        <v>DELETE</v>
      </c>
      <c r="BH73" s="121" t="str">
        <f t="shared" si="33"/>
        <v>DELETE</v>
      </c>
      <c r="BI73" s="125" t="str" cm="1">
        <f t="array" ref="BI73">_xlfn.IFS(BF73="DELETE", "DELETE", BF73=0, 0, BF73&gt;0,LOG10(BF73))</f>
        <v>DELETE</v>
      </c>
      <c r="BJ73" s="126" t="str" cm="1">
        <f t="array" ref="BJ73">_xlfn.IFS(BF73="DELETE", "DELETE", BF73=0, 0, BF73&gt;0, BH73/BF73/LN(10))</f>
        <v>DELETE</v>
      </c>
    </row>
    <row r="74" spans="1:62" s="114" customFormat="1" x14ac:dyDescent="0.3">
      <c r="A74" s="115" t="str">
        <f>UPPER(LEFT(SUBSTITUTE(SUBSTITUTE(qPCR_Raw!A74,"-","")," ",""),2))&amp;RIGHT(SUBSTITUTE(SUBSTITUTE(qPCR_Raw!A74,"-","")," ",""),LEN(SUBSTITUTE(SUBSTITUTE(qPCR_Raw!A74,"-","")," ",""))-2)</f>
        <v>RC6</v>
      </c>
      <c r="B74" s="116" t="str" cm="1">
        <f t="array" ref="B74">_xlfn.IFS(LEFT(A74, LEN(A74)-1)="EP", "EP", LEFT(A74, LEN(A74)-1)="STa", "SPI", LEFT(A74, LEN(A74)-1)="STb", "SPO", LEFT(A74, LEN(A74)-1)="MRT", "MRT", LEFT(A74, LEN(A74)-1)="RG", "RN", LEFT(A74, LEN(A74)-1)="RT", "RU", LEFT(A74, LEN(A74)-1)="RW", "RL", LEFT(A74, LEN(A74)-1)="RC", "RS")</f>
        <v>RS</v>
      </c>
      <c r="C74" s="117">
        <f>qPCR_Raw!B74</f>
        <v>44363</v>
      </c>
      <c r="D74" s="117" t="str">
        <f t="shared" si="17"/>
        <v>RS44363</v>
      </c>
      <c r="E74" s="117" t="str">
        <f t="shared" si="18"/>
        <v>RS443636</v>
      </c>
      <c r="F74" s="118">
        <f>qPCR_Raw!C74</f>
        <v>1000</v>
      </c>
      <c r="G74" s="119">
        <f>qPCR_Raw!F74</f>
        <v>100</v>
      </c>
      <c r="H74" s="120">
        <f>qPCR_Raw!G74</f>
        <v>9.7662982940673828</v>
      </c>
      <c r="I74" s="121" cm="1">
        <f t="array" ref="I74">_xlfn.IFS(H74="Undetermined", 0, qPCR_Raw!H74-qPCR_Raw!$H$242&lt;0, 0, qPCR_Raw!H74-qPCR_Raw!$H$242&gt;0, qPCR_Raw!H74-qPCR_Raw!$H$242)</f>
        <v>85718697.361446127</v>
      </c>
      <c r="J74" s="122">
        <f>qPCR_Raw!K74</f>
        <v>11.401461601257324</v>
      </c>
      <c r="K74" s="121" cm="1">
        <f t="array" ref="K74">_xlfn.IFS(J74="Undetermined", 0, qPCR_Raw!L74-qPCR_Raw!$H$242&lt;0, 0, qPCR_Raw!L74-qPCR_Raw!$H$242&gt;0, qPCR_Raw!L74-qPCR_Raw!$H$242)</f>
        <v>29518781.361446127</v>
      </c>
      <c r="L74" s="123" cm="1">
        <f t="array" ref="L74">_xlfn.IFS(AND(H74="Undetermined", J74="Undetermined"), "Undetermined", AND(I74=0, K74=0), "Undetermined", AND(I74=0, K74&gt;0), "Ten-Fold", AND(I74&gt;0, K74=0), "Undiluted", AND(H74&lt;&gt;"Undetermined", J74&lt;&gt;"Undetermined", I74&gt;0, K74&gt;0), 100*(-1+10^(-1/(H74-J74))))</f>
        <v>308.84596057861052</v>
      </c>
      <c r="M74" s="124" cm="1">
        <f t="array" ref="M74">_xlfn.IFS(L74="Undetermined", 0, L74="Undiluted", I74*$G74/$F74*1000, L74="Ten-Fold", K74*$G74/$F74*1000*10, L74&lt;0, K74*$G74/$F74*1000*10, L74&lt;120, I74*$G74/$F74*1000, L74&gt;120, K74*$G74/$F74*1000*10)</f>
        <v>29518781361.446129</v>
      </c>
      <c r="N74" s="121">
        <f t="shared" si="19"/>
        <v>15699138986.446127</v>
      </c>
      <c r="O74" s="121">
        <f t="shared" si="20"/>
        <v>19543925673.870934</v>
      </c>
      <c r="P74" s="121">
        <f t="shared" si="21"/>
        <v>13819642375.000002</v>
      </c>
      <c r="Q74" s="125" cm="1">
        <f t="array" ref="Q74">_xlfn.IFS(N74="DELETE", "DELETE", N74=0, 0, N74&gt;0,LOG10(N74))</f>
        <v>10.195875834339857</v>
      </c>
      <c r="R74" s="126" cm="1">
        <f t="array" ref="R74">_xlfn.IFS(N74="DELETE", "DELETE", N74=0, 0, N74&gt;0, P74/N74/LN(10))</f>
        <v>0.38230086570483307</v>
      </c>
      <c r="S74" s="155">
        <f>qPCR_Raw!O74</f>
        <v>30.833740234375</v>
      </c>
      <c r="T74" s="156" cm="1">
        <f t="array" ref="T74">_xlfn.IFS(S74="Undetermined", 0, qPCR_Raw!P74&lt;=1, 0, qPCR_Raw!P74&gt;1, qPCR_Raw!P74)</f>
        <v>636.7713623046875</v>
      </c>
      <c r="U74" s="157">
        <f>qPCR_Raw!R74</f>
        <v>33.292110443115234</v>
      </c>
      <c r="V74" s="156" cm="1">
        <f t="array" ref="V74">_xlfn.IFS(U74="Undetermined", 0, qPCR_Raw!S74&lt;=1, 0, qPCR_Raw!S74&gt;1, qPCR_Raw!S74)</f>
        <v>142.46463012695313</v>
      </c>
      <c r="W74" s="158" cm="1">
        <f t="array" ref="W74">_xlfn.IFS(AND(S74="Undetermined", U74="Undetermined"), "Undetermined", AND(T74=0, V74=0), "Undetermined", AND(T74=0, V74&gt;0), "Ten-Fold", AND(T74&gt;0, V74=0), "Undiluted", AND(S74&lt;&gt;"Undetermined", U74&lt;&gt;"Undetermined", T74&gt;0, V74&gt;0, S74&lt;&gt;U74), 100*(-1+10^(-1/(S74-U74))), AND(S74&lt;&gt;"Undetermined", U74&lt;&gt;"Undetermined", S74=U74&gt;0), -100)</f>
        <v>155.13706740011327</v>
      </c>
      <c r="X74" s="159" cm="1">
        <f t="array" ref="X74">_xlfn.IFS(W74="Undetermined", 0, W74="Undiluted", T74*$G74/$F74*1000, W74="Ten-Fold", V74*$G74/$F74*1000*10, W74&lt;0, V74*$G74/$F74*1000*10, W74&lt;120, T74*$G74/$F74*1000, W74&gt;120, V74*$G74/$F74*1000*10)</f>
        <v>142464.63012695313</v>
      </c>
      <c r="Y74" s="156">
        <f t="shared" si="22"/>
        <v>109062.00561523438</v>
      </c>
      <c r="Z74" s="156">
        <f t="shared" si="23"/>
        <v>47238.444603328629</v>
      </c>
      <c r="AA74" s="156">
        <f t="shared" si="24"/>
        <v>33402.624511718743</v>
      </c>
      <c r="AB74" s="160" cm="1">
        <f t="array" ref="AB74">_xlfn.IFS(Y74="DELETE", "DELETE", Y74=0, 0, Y74&gt;0,LOG10(Y74))</f>
        <v>5.0376734799601923</v>
      </c>
      <c r="AC74" s="161" cm="1">
        <f t="array" ref="AC74">_xlfn.IFS(Y74="DELETE", "DELETE", Y74=0, 0, Y74&gt;0, AA74/Y74/LN(10))</f>
        <v>0.13301218352525318</v>
      </c>
      <c r="AD74" s="120">
        <f>qPCR_Raw!U74</f>
        <v>26.669389724731445</v>
      </c>
      <c r="AE74" s="121" cm="1">
        <f t="array" ref="AE74">_xlfn.IFS(AD74="Undetermined", 0, qPCR_Raw!V74&lt;=1, 0, qPCR_Raw!V74&gt;1, qPCR_Raw!V74)</f>
        <v>390.47216796875</v>
      </c>
      <c r="AF74" s="122">
        <f>qPCR_Raw!X74</f>
        <v>29.1148681640625</v>
      </c>
      <c r="AG74" s="121" cm="1">
        <f t="array" ref="AG74">_xlfn.IFS(AF74="Undetermined", 0, qPCR_Raw!Y74&lt;=1, 0, qPCR_Raw!Y74&gt;1, qPCR_Raw!Y74)</f>
        <v>80.503311157226563</v>
      </c>
      <c r="AH74" s="123" cm="1">
        <f t="array" ref="AH74">_xlfn.IFS(AND(AD74="Undetermined", AF74="Undetermined"), "Undetermined", AND(AE74=0, AG74=0), "Undetermined", AND(AE74=0, AG74&gt;0), "Ten-Fold", AND(AE74&gt;0, AG74=0), "Undiluted", AND(AD74&lt;&gt;"Undetermined", AF74&lt;&gt;"Undetermined", AE74&gt;0, AG74&gt;0, AD74&lt;&gt;AF74), 100*(-1+10^(-1/(AD74-AF74))), AND(AD74&lt;&gt;"Undetermined", AF74&lt;&gt;"Undetermined", AD74=AF74&gt;0), -100)</f>
        <v>156.39995088717455</v>
      </c>
      <c r="AI74" s="124" cm="1">
        <f t="array" ref="AI74">_xlfn.IFS(AH74="Undetermined", 0, AH74="Undiluted", AE74*$G74/$F74*1000, AH74="Ten-Fold", AG74*$G74/$F74*1000*10, AH74&lt;0, AG74*$G74/$F74*1000*10, AH74&lt;120, AE74*$G74/$F74*1000, AH74&gt;120, AG74*$G74/$F74*1000*10)</f>
        <v>80503.311157226563</v>
      </c>
      <c r="AJ74" s="121">
        <f t="shared" si="25"/>
        <v>68823.013305664063</v>
      </c>
      <c r="AK74" s="121">
        <f t="shared" si="26"/>
        <v>16518.435634237012</v>
      </c>
      <c r="AL74" s="121">
        <f t="shared" si="27"/>
        <v>11680.2978515625</v>
      </c>
      <c r="AM74" s="125" cm="1">
        <f t="array" ref="AM74">_xlfn.IFS(AJ74="DELETE", "DELETE", AJ74=0, 0, AJ74&gt;0,LOG10(AJ74))</f>
        <v>4.8377336835911153</v>
      </c>
      <c r="AN74" s="126" cm="1">
        <f t="array" ref="AN74">_xlfn.IFS(AJ74="DELETE", "DELETE", AJ74=0, 0, AJ74&gt;0, AL74/AJ74/LN(10))</f>
        <v>7.3706288932608E-2</v>
      </c>
      <c r="AO74" s="155">
        <f>qPCR_Raw!AA74</f>
        <v>30.065309524536133</v>
      </c>
      <c r="AP74" s="156" cm="1">
        <f t="array" ref="AP74">_xlfn.IFS(AO74="Undetermined", 0, qPCR_Raw!AB74&lt;=6, 0, qPCR_Raw!AB74&gt;6, qPCR_Raw!AB74)</f>
        <v>0</v>
      </c>
      <c r="AQ74" s="157">
        <f>qPCR_Raw!AD74</f>
        <v>30.852794647216797</v>
      </c>
      <c r="AR74" s="156" cm="1">
        <f t="array" ref="AR74">_xlfn.IFS(AQ74="Undetermined", 0, qPCR_Raw!AE74&lt;=6, 0, qPCR_Raw!AE74&gt;6, qPCR_Raw!AE74)</f>
        <v>0</v>
      </c>
      <c r="AS74" s="158" t="str" cm="1">
        <f t="array" ref="AS74">_xlfn.IFS(AND(AO74="Undetermined", AQ74="Undetermined"), "Undetermined", AND(AP74=0, AR74=0), "Undetermined", AND(AP74=0, AR74&gt;0), "Ten-Fold", AND(AP74&gt;0, AR74=0), "Undiluted", AND(AO74&lt;&gt;"Undetermined", AQ74&lt;&gt;"Undetermined", AP74&gt;0, AR74&gt;0, AO74&lt;&gt;AQ74), 100*(-1+10^(-1/(AO74-AQ74))), AND(AO74&lt;&gt;"Undetermined", AQ74&lt;&gt;"Undetermined", AO74=AQ74&gt;0), -100)</f>
        <v>Undetermined</v>
      </c>
      <c r="AT74" s="159" cm="1">
        <f t="array" ref="AT74">_xlfn.IFS(AS74="Undetermined", 0, AS74="Undiluted", AP74*$G74/$F74*1000, AS74="Ten-Fold", AR74*$G74/$F74*1000*10, AS74&lt;0, AR74*$G74/$F74*1000*10, AS74&lt;120, AP74*$G74/$F74*1000, AS74&gt;120, AR74*$G74/$F74*1000*10)</f>
        <v>0</v>
      </c>
      <c r="AU74" s="156">
        <f t="shared" si="34"/>
        <v>0</v>
      </c>
      <c r="AV74" s="156">
        <f t="shared" si="29"/>
        <v>0</v>
      </c>
      <c r="AW74" s="156">
        <f t="shared" si="30"/>
        <v>0</v>
      </c>
      <c r="AX74" s="160" cm="1">
        <f t="array" ref="AX74">_xlfn.IFS(AU74="DELETE", "DELETE", AU74=0, 0, AU74&gt;0,LOG10(AU74))</f>
        <v>0</v>
      </c>
      <c r="AY74" s="161" cm="1">
        <f t="array" ref="AY74">_xlfn.IFS(AU74="DELETE", "DELETE", AU74=0, 0, AU74&gt;0, AW74/AU74/LN(10))</f>
        <v>0</v>
      </c>
      <c r="AZ74" s="120">
        <f>qPCR_Raw!AG74</f>
        <v>25.797187805175781</v>
      </c>
      <c r="BA74" s="121" cm="1">
        <f t="array" ref="BA74">_xlfn.IFS(AZ74="Undetermined", 0, qPCR_Raw!AH74&lt;=1, 0, qPCR_Raw!AH74&gt;1, qPCR_Raw!AH74)</f>
        <v>1750.3345947265625</v>
      </c>
      <c r="BB74" s="122">
        <f>qPCR_Raw!AJ74</f>
        <v>27.599546432495117</v>
      </c>
      <c r="BC74" s="121" cm="1">
        <f t="array" ref="BC74">_xlfn.IFS(BB74="Undetermined", 0, qPCR_Raw!AK74&lt;=1, 0, qPCR_Raw!AK74&gt;1, qPCR_Raw!AK74)</f>
        <v>571.0587158203125</v>
      </c>
      <c r="BD74" s="123" cm="1">
        <f t="array" ref="BD74">_xlfn.IFS(AND(AZ74="Undetermined", BB74="Undetermined"), "Undetermined", AND(BA74=0, BC74=0), "Undetermined", AND(BA74=0, BC74&gt;0), "Ten-Fold", AND(BA74&gt;0, BC74=0), "Undiluted", AND(AZ74&lt;&gt;"Undetermined", BB74&lt;&gt;"Undetermined", BA74&gt;0, BC74&gt;0, AZ74&lt;&gt;BB74), 100*(-1+10^(-1/(AZ74-BB74))), AND(AZ74&lt;&gt;"Undetermined", BB74&lt;&gt;"Undetermined", AZ74=BB74&gt;0), -100)</f>
        <v>258.78025715221258</v>
      </c>
      <c r="BE74" s="124" cm="1">
        <f t="array" ref="BE74">_xlfn.IFS(BD74="Undetermined", 0, BD74="Undiluted", BA74*$G74/$F74*1000, BD74="Ten-Fold", BC74*$G74/$F74*1000*10, BD74&lt;0, BC74*$G74/$F74*1000*10, BD74&lt;120, BA74*$G74/$F74*1000, BD74&gt;120, BC74*$G74/$F74*1000*10)</f>
        <v>571058.7158203125</v>
      </c>
      <c r="BF74" s="121">
        <f t="shared" si="31"/>
        <v>321984.51843261719</v>
      </c>
      <c r="BG74" s="121">
        <f t="shared" si="32"/>
        <v>352244.10798287205</v>
      </c>
      <c r="BH74" s="121">
        <f t="shared" si="33"/>
        <v>249074.19738769531</v>
      </c>
      <c r="BI74" s="125" cm="1">
        <f t="array" ref="BI74">_xlfn.IFS(BF74="DELETE", "DELETE", BF74=0, 0, BF74&gt;0,LOG10(BF74))</f>
        <v>5.5078349905749517</v>
      </c>
      <c r="BJ74" s="126" cm="1">
        <f t="array" ref="BJ74">_xlfn.IFS(BF74="DELETE", "DELETE", BF74=0, 0, BF74&gt;0, BH74/BF74/LN(10))</f>
        <v>0.33595264156340127</v>
      </c>
    </row>
    <row r="75" spans="1:62" s="114" customFormat="1" x14ac:dyDescent="0.3">
      <c r="A75" s="115" t="str">
        <f>UPPER(LEFT(SUBSTITUTE(SUBSTITUTE(qPCR_Raw!A75,"-","")," ",""),2))&amp;RIGHT(SUBSTITUTE(SUBSTITUTE(qPCR_Raw!A75,"-","")," ",""),LEN(SUBSTITUTE(SUBSTITUTE(qPCR_Raw!A75,"-","")," ",""))-2)</f>
        <v>RC7</v>
      </c>
      <c r="B75" s="116" t="str" cm="1">
        <f t="array" ref="B75">_xlfn.IFS(LEFT(A75, LEN(A75)-1)="EP", "EP", LEFT(A75, LEN(A75)-1)="STa", "SPI", LEFT(A75, LEN(A75)-1)="STb", "SPO", LEFT(A75, LEN(A75)-1)="MRT", "MRT", LEFT(A75, LEN(A75)-1)="RG", "RN", LEFT(A75, LEN(A75)-1)="RT", "RU", LEFT(A75, LEN(A75)-1)="RW", "RL", LEFT(A75, LEN(A75)-1)="RC", "RS")</f>
        <v>RS</v>
      </c>
      <c r="C75" s="117">
        <f>qPCR_Raw!B75</f>
        <v>44363</v>
      </c>
      <c r="D75" s="117" t="str">
        <f t="shared" si="17"/>
        <v>RS44363</v>
      </c>
      <c r="E75" s="117" t="str">
        <f t="shared" si="18"/>
        <v>RS443637</v>
      </c>
      <c r="F75" s="118">
        <f>qPCR_Raw!C75</f>
        <v>1000</v>
      </c>
      <c r="G75" s="119">
        <f>qPCR_Raw!F75</f>
        <v>100</v>
      </c>
      <c r="H75" s="120">
        <f>qPCR_Raw!G75</f>
        <v>12.972076416015625</v>
      </c>
      <c r="I75" s="121" cm="1">
        <f t="array" ref="I75">_xlfn.IFS(H75="Undetermined", 0, qPCR_Raw!H75-qPCR_Raw!$H$242&lt;0, 0, qPCR_Raw!H75-qPCR_Raw!$H$242&gt;0, qPCR_Raw!H75-qPCR_Raw!$H$242)</f>
        <v>10596853.361446125</v>
      </c>
      <c r="J75" s="122">
        <f>qPCR_Raw!K75</f>
        <v>15.61700439453125</v>
      </c>
      <c r="K75" s="121" cm="1">
        <f t="array" ref="K75">_xlfn.IFS(J75="Undetermined", 0, qPCR_Raw!L75-qPCR_Raw!$H$242&lt;0, 0, qPCR_Raw!L75-qPCR_Raw!$H$242&gt;0, qPCR_Raw!L75-qPCR_Raw!$H$242)</f>
        <v>1879496.6114461264</v>
      </c>
      <c r="L75" s="123" cm="1">
        <f t="array" ref="L75">_xlfn.IFS(AND(H75="Undetermined", J75="Undetermined"), "Undetermined", AND(I75=0, K75=0), "Undetermined", AND(I75=0, K75&gt;0), "Ten-Fold", AND(I75&gt;0, K75=0), "Undiluted", AND(H75&lt;&gt;"Undetermined", J75&lt;&gt;"Undetermined", I75&gt;0, K75&gt;0), 100*(-1+10^(-1/(H75-J75))))</f>
        <v>138.82628798127823</v>
      </c>
      <c r="M75" s="124" cm="1">
        <f t="array" ref="M75">_xlfn.IFS(L75="Undetermined", 0, L75="Undiluted", I75*$G75/$F75*1000, L75="Ten-Fold", K75*$G75/$F75*1000*10, L75&lt;0, K75*$G75/$F75*1000*10, L75&lt;120, I75*$G75/$F75*1000, L75&gt;120, K75*$G75/$F75*1000*10)</f>
        <v>1879496611.4461265</v>
      </c>
      <c r="N75" s="121" t="str">
        <f t="shared" si="19"/>
        <v>DELETE</v>
      </c>
      <c r="O75" s="121" t="str">
        <f t="shared" si="20"/>
        <v>DELETE</v>
      </c>
      <c r="P75" s="121" t="str">
        <f t="shared" si="21"/>
        <v>DELETE</v>
      </c>
      <c r="Q75" s="125" t="str" cm="1">
        <f t="array" ref="Q75">_xlfn.IFS(N75="DELETE", "DELETE", N75=0, 0, N75&gt;0,LOG10(N75))</f>
        <v>DELETE</v>
      </c>
      <c r="R75" s="126" t="str" cm="1">
        <f t="array" ref="R75">_xlfn.IFS(N75="DELETE", "DELETE", N75=0, 0, N75&gt;0, P75/N75/LN(10))</f>
        <v>DELETE</v>
      </c>
      <c r="S75" s="155">
        <f>qPCR_Raw!O75</f>
        <v>30.5506591796875</v>
      </c>
      <c r="T75" s="156" cm="1">
        <f t="array" ref="T75">_xlfn.IFS(S75="Undetermined", 0, qPCR_Raw!P75&lt;=1, 0, qPCR_Raw!P75&gt;1, qPCR_Raw!P75)</f>
        <v>756.59381103515625</v>
      </c>
      <c r="U75" s="157">
        <f>qPCR_Raw!R75</f>
        <v>33.959362030029297</v>
      </c>
      <c r="V75" s="156" cm="1">
        <f t="array" ref="V75">_xlfn.IFS(U75="Undetermined", 0, qPCR_Raw!S75&lt;=1, 0, qPCR_Raw!S75&gt;1, qPCR_Raw!S75)</f>
        <v>94.887458801269531</v>
      </c>
      <c r="W75" s="158" cm="1">
        <f t="array" ref="W75">_xlfn.IFS(AND(S75="Undetermined", U75="Undetermined"), "Undetermined", AND(T75=0, V75=0), "Undetermined", AND(T75=0, V75&gt;0), "Ten-Fold", AND(T75&gt;0, V75=0), "Undiluted", AND(S75&lt;&gt;"Undetermined", U75&lt;&gt;"Undetermined", T75&gt;0, V75&gt;0, S75&lt;&gt;U75), 100*(-1+10^(-1/(S75-U75))), AND(S75&lt;&gt;"Undetermined", U75&lt;&gt;"Undetermined", S75=U75&gt;0), -100)</f>
        <v>96.501887990686598</v>
      </c>
      <c r="X75" s="159" cm="1">
        <f t="array" ref="X75">_xlfn.IFS(W75="Undetermined", 0, W75="Undiluted", T75*$G75/$F75*1000, W75="Ten-Fold", V75*$G75/$F75*1000*10, W75&lt;0, V75*$G75/$F75*1000*10, W75&lt;120, T75*$G75/$F75*1000, W75&gt;120, V75*$G75/$F75*1000*10)</f>
        <v>75659.381103515625</v>
      </c>
      <c r="Y75" s="156" t="str">
        <f t="shared" si="22"/>
        <v>DELETE</v>
      </c>
      <c r="Z75" s="156" t="str">
        <f t="shared" si="23"/>
        <v>DELETE</v>
      </c>
      <c r="AA75" s="156" t="str">
        <f t="shared" si="24"/>
        <v>DELETE</v>
      </c>
      <c r="AB75" s="160" t="str" cm="1">
        <f t="array" ref="AB75">_xlfn.IFS(Y75="DELETE", "DELETE", Y75=0, 0, Y75&gt;0,LOG10(Y75))</f>
        <v>DELETE</v>
      </c>
      <c r="AC75" s="161" t="str" cm="1">
        <f t="array" ref="AC75">_xlfn.IFS(Y75="DELETE", "DELETE", Y75=0, 0, Y75&gt;0, AA75/Y75/LN(10))</f>
        <v>DELETE</v>
      </c>
      <c r="AD75" s="120">
        <f>qPCR_Raw!U75</f>
        <v>26.994512557983398</v>
      </c>
      <c r="AE75" s="121" cm="1">
        <f t="array" ref="AE75">_xlfn.IFS(AD75="Undetermined", 0, qPCR_Raw!V75&lt;=1, 0, qPCR_Raw!V75&gt;1, qPCR_Raw!V75)</f>
        <v>316.53164672851563</v>
      </c>
      <c r="AF75" s="122">
        <f>qPCR_Raw!X75</f>
        <v>29.64567756652832</v>
      </c>
      <c r="AG75" s="121" cm="1">
        <f t="array" ref="AG75">_xlfn.IFS(AF75="Undetermined", 0, qPCR_Raw!Y75&lt;=1, 0, qPCR_Raw!Y75&gt;1, qPCR_Raw!Y75)</f>
        <v>57.142715454101563</v>
      </c>
      <c r="AH75" s="123" cm="1">
        <f t="array" ref="AH75">_xlfn.IFS(AND(AD75="Undetermined", AF75="Undetermined"), "Undetermined", AND(AE75=0, AG75=0), "Undetermined", AND(AE75=0, AG75&gt;0), "Ten-Fold", AND(AE75&gt;0, AG75=0), "Undiluted", AND(AD75&lt;&gt;"Undetermined", AF75&lt;&gt;"Undetermined", AE75&gt;0, AG75&gt;0, AD75&lt;&gt;AF75), 100*(-1+10^(-1/(AD75-AF75))), AND(AD75&lt;&gt;"Undetermined", AF75&lt;&gt;"Undetermined", AD75=AF75&gt;0), -100)</f>
        <v>138.33765768855559</v>
      </c>
      <c r="AI75" s="124" cm="1">
        <f t="array" ref="AI75">_xlfn.IFS(AH75="Undetermined", 0, AH75="Undiluted", AE75*$G75/$F75*1000, AH75="Ten-Fold", AG75*$G75/$F75*1000*10, AH75&lt;0, AG75*$G75/$F75*1000*10, AH75&lt;120, AE75*$G75/$F75*1000, AH75&gt;120, AG75*$G75/$F75*1000*10)</f>
        <v>57142.715454101563</v>
      </c>
      <c r="AJ75" s="121" t="str">
        <f t="shared" si="25"/>
        <v>DELETE</v>
      </c>
      <c r="AK75" s="121" t="str">
        <f t="shared" si="26"/>
        <v>DELETE</v>
      </c>
      <c r="AL75" s="121" t="str">
        <f t="shared" si="27"/>
        <v>DELETE</v>
      </c>
      <c r="AM75" s="125" t="str" cm="1">
        <f t="array" ref="AM75">_xlfn.IFS(AJ75="DELETE", "DELETE", AJ75=0, 0, AJ75&gt;0,LOG10(AJ75))</f>
        <v>DELETE</v>
      </c>
      <c r="AN75" s="126" t="str" cm="1">
        <f t="array" ref="AN75">_xlfn.IFS(AJ75="DELETE", "DELETE", AJ75=0, 0, AJ75&gt;0, AL75/AJ75/LN(10))</f>
        <v>DELETE</v>
      </c>
      <c r="AO75" s="155">
        <f>qPCR_Raw!AA75</f>
        <v>29.548467636108398</v>
      </c>
      <c r="AP75" s="156" cm="1">
        <f t="array" ref="AP75">_xlfn.IFS(AO75="Undetermined", 0, qPCR_Raw!AB75&lt;=6, 0, qPCR_Raw!AB75&gt;6, qPCR_Raw!AB75)</f>
        <v>0</v>
      </c>
      <c r="AQ75" s="157">
        <f>qPCR_Raw!AD75</f>
        <v>31.550436019897461</v>
      </c>
      <c r="AR75" s="156" cm="1">
        <f t="array" ref="AR75">_xlfn.IFS(AQ75="Undetermined", 0, qPCR_Raw!AE75&lt;=6, 0, qPCR_Raw!AE75&gt;6, qPCR_Raw!AE75)</f>
        <v>0</v>
      </c>
      <c r="AS75" s="158" t="str" cm="1">
        <f t="array" ref="AS75">_xlfn.IFS(AND(AO75="Undetermined", AQ75="Undetermined"), "Undetermined", AND(AP75=0, AR75=0), "Undetermined", AND(AP75=0, AR75&gt;0), "Ten-Fold", AND(AP75&gt;0, AR75=0), "Undiluted", AND(AO75&lt;&gt;"Undetermined", AQ75&lt;&gt;"Undetermined", AP75&gt;0, AR75&gt;0, AO75&lt;&gt;AQ75), 100*(-1+10^(-1/(AO75-AQ75))), AND(AO75&lt;&gt;"Undetermined", AQ75&lt;&gt;"Undetermined", AO75=AQ75&gt;0), -100)</f>
        <v>Undetermined</v>
      </c>
      <c r="AT75" s="159" cm="1">
        <f t="array" ref="AT75">_xlfn.IFS(AS75="Undetermined", 0, AS75="Undiluted", AP75*$G75/$F75*1000, AS75="Ten-Fold", AR75*$G75/$F75*1000*10, AS75&lt;0, AR75*$G75/$F75*1000*10, AS75&lt;120, AP75*$G75/$F75*1000, AS75&gt;120, AR75*$G75/$F75*1000*10)</f>
        <v>0</v>
      </c>
      <c r="AU75" s="156" t="str">
        <f t="shared" si="34"/>
        <v>DELETE</v>
      </c>
      <c r="AV75" s="156" t="str">
        <f t="shared" ref="AV75:AV132" si="35">IF($D75&lt;&gt;$D76,"DELETE", STDEV(AT75:AT76))</f>
        <v>DELETE</v>
      </c>
      <c r="AW75" s="156" t="str">
        <f t="shared" si="30"/>
        <v>DELETE</v>
      </c>
      <c r="AX75" s="160" t="str" cm="1">
        <f t="array" ref="AX75">_xlfn.IFS(AU75="DELETE", "DELETE", AU75=0, 0, AU75&gt;0,LOG10(AU75))</f>
        <v>DELETE</v>
      </c>
      <c r="AY75" s="161" t="str" cm="1">
        <f t="array" ref="AY75">_xlfn.IFS(AU75="DELETE", "DELETE", AU75=0, 0, AU75&gt;0, AW75/AU75/LN(10))</f>
        <v>DELETE</v>
      </c>
      <c r="AZ75" s="120">
        <f>qPCR_Raw!AG75</f>
        <v>27.206394195556641</v>
      </c>
      <c r="BA75" s="121" cm="1">
        <f t="array" ref="BA75">_xlfn.IFS(AZ75="Undetermined", 0, qPCR_Raw!AH75&lt;=1, 0, qPCR_Raw!AH75&gt;1, qPCR_Raw!AH75)</f>
        <v>729.10321044921875</v>
      </c>
      <c r="BB75" s="122">
        <f>qPCR_Raw!AJ75</f>
        <v>30.792428970336914</v>
      </c>
      <c r="BC75" s="121" cm="1">
        <f t="array" ref="BC75">_xlfn.IFS(BB75="Undetermined", 0, qPCR_Raw!AK75&lt;=1, 0, qPCR_Raw!AK75&gt;1, qPCR_Raw!AK75)</f>
        <v>78.514633178710938</v>
      </c>
      <c r="BD75" s="123" cm="1">
        <f t="array" ref="BD75">_xlfn.IFS(AND(AZ75="Undetermined", BB75="Undetermined"), "Undetermined", AND(BA75=0, BC75=0), "Undetermined", AND(BA75=0, BC75&gt;0), "Ten-Fold", AND(BA75&gt;0, BC75=0), "Undiluted", AND(AZ75&lt;&gt;"Undetermined", BB75&lt;&gt;"Undetermined", BA75&gt;0, BC75&gt;0, AZ75&lt;&gt;BB75), 100*(-1+10^(-1/(AZ75-BB75))), AND(AZ75&lt;&gt;"Undetermined", BB75&lt;&gt;"Undetermined", AZ75=BB75&gt;0), -100)</f>
        <v>90.046352108788682</v>
      </c>
      <c r="BE75" s="124" cm="1">
        <f t="array" ref="BE75">_xlfn.IFS(BD75="Undetermined", 0, BD75="Undiluted", BA75*$G75/$F75*1000, BD75="Ten-Fold", BC75*$G75/$F75*1000*10, BD75&lt;0, BC75*$G75/$F75*1000*10, BD75&lt;120, BA75*$G75/$F75*1000, BD75&gt;120, BC75*$G75/$F75*1000*10)</f>
        <v>72910.321044921875</v>
      </c>
      <c r="BF75" s="121" t="str">
        <f t="shared" si="31"/>
        <v>DELETE</v>
      </c>
      <c r="BG75" s="121" t="str">
        <f t="shared" si="32"/>
        <v>DELETE</v>
      </c>
      <c r="BH75" s="121" t="str">
        <f t="shared" si="33"/>
        <v>DELETE</v>
      </c>
      <c r="BI75" s="125" t="str" cm="1">
        <f t="array" ref="BI75">_xlfn.IFS(BF75="DELETE", "DELETE", BF75=0, 0, BF75&gt;0,LOG10(BF75))</f>
        <v>DELETE</v>
      </c>
      <c r="BJ75" s="126" t="str" cm="1">
        <f t="array" ref="BJ75">_xlfn.IFS(BF75="DELETE", "DELETE", BF75=0, 0, BF75&gt;0, BH75/BF75/LN(10))</f>
        <v>DELETE</v>
      </c>
    </row>
    <row r="76" spans="1:62" s="114" customFormat="1" x14ac:dyDescent="0.3">
      <c r="A76" s="115" t="str">
        <f>UPPER(LEFT(SUBSTITUTE(SUBSTITUTE(qPCR_Raw!A76,"-","")," ",""),2))&amp;RIGHT(SUBSTITUTE(SUBSTITUTE(qPCR_Raw!A76,"-","")," ",""),LEN(SUBSTITUTE(SUBSTITUTE(qPCR_Raw!A76,"-","")," ",""))-2)</f>
        <v>RG6</v>
      </c>
      <c r="B76" s="116" t="str" cm="1">
        <f t="array" ref="B76">_xlfn.IFS(LEFT(A76, LEN(A76)-1)="EP", "EP", LEFT(A76, LEN(A76)-1)="STa", "SPI", LEFT(A76, LEN(A76)-1)="STb", "SPO", LEFT(A76, LEN(A76)-1)="MRT", "MRT", LEFT(A76, LEN(A76)-1)="RG", "RN", LEFT(A76, LEN(A76)-1)="RT", "RU", LEFT(A76, LEN(A76)-1)="RW", "RL", LEFT(A76, LEN(A76)-1)="RC", "RS")</f>
        <v>RN</v>
      </c>
      <c r="C76" s="117">
        <f>qPCR_Raw!B76</f>
        <v>44363</v>
      </c>
      <c r="D76" s="117" t="str">
        <f t="shared" si="17"/>
        <v>RN44363</v>
      </c>
      <c r="E76" s="117" t="str">
        <f t="shared" si="18"/>
        <v>RN443636</v>
      </c>
      <c r="F76" s="118">
        <f>qPCR_Raw!C76</f>
        <v>1000</v>
      </c>
      <c r="G76" s="119">
        <f>qPCR_Raw!F76</f>
        <v>100</v>
      </c>
      <c r="H76" s="120">
        <f>qPCR_Raw!G76</f>
        <v>20.169744491577148</v>
      </c>
      <c r="I76" s="121" cm="1">
        <f t="array" ref="I76">_xlfn.IFS(H76="Undetermined", 0, qPCR_Raw!H76-qPCR_Raw!$H$242&lt;0, 0, qPCR_Raw!H76-qPCR_Raw!$H$242&gt;0, qPCR_Raw!H76-qPCR_Raw!$H$242)</f>
        <v>84364.963008626306</v>
      </c>
      <c r="J76" s="122">
        <f>qPCR_Raw!K76</f>
        <v>23.022993087768555</v>
      </c>
      <c r="K76" s="121" cm="1">
        <f t="array" ref="K76">_xlfn.IFS(J76="Undetermined", 0, qPCR_Raw!L76-qPCR_Raw!$H$242&lt;0, 0, qPCR_Raw!L76-qPCR_Raw!$H$242&gt;0, qPCR_Raw!L76-qPCR_Raw!$H$242)</f>
        <v>2176.6973836263023</v>
      </c>
      <c r="L76" s="123" cm="1">
        <f t="array" ref="L76">_xlfn.IFS(AND(H76="Undetermined", J76="Undetermined"), "Undetermined", AND(I76=0, K76=0), "Undetermined", AND(I76=0, K76&gt;0), "Ten-Fold", AND(I76&gt;0, K76=0), "Undiluted", AND(H76&lt;&gt;"Undetermined", J76&lt;&gt;"Undetermined", I76&gt;0, K76&gt;0), 100*(-1+10^(-1/(H76-J76))))</f>
        <v>124.11849532658556</v>
      </c>
      <c r="M76" s="124" cm="1">
        <f t="array" ref="M76">_xlfn.IFS(L76="Undetermined", 0, L76="Undiluted", I76*$G76/$F76*1000, L76="Ten-Fold", K76*$G76/$F76*1000*10, L76&lt;0, K76*$G76/$F76*1000*10, L76&lt;120, I76*$G76/$F76*1000, L76&gt;120, K76*$G76/$F76*1000*10)</f>
        <v>2176697.3836263027</v>
      </c>
      <c r="N76" s="121">
        <f t="shared" si="19"/>
        <v>37634574.441604882</v>
      </c>
      <c r="O76" s="121">
        <f t="shared" si="20"/>
        <v>50145010.628351144</v>
      </c>
      <c r="P76" s="121">
        <f t="shared" si="21"/>
        <v>35457877.057978593</v>
      </c>
      <c r="Q76" s="125" cm="1">
        <f t="array" ref="Q76">_xlfn.IFS(N76="DELETE", "DELETE", N76=0, 0, N76&gt;0,LOG10(N76))</f>
        <v>7.5755870095503726</v>
      </c>
      <c r="R76" s="126" cm="1">
        <f t="array" ref="R76">_xlfn.IFS(N76="DELETE", "DELETE", N76=0, 0, N76&gt;0, P76/N76/LN(10))</f>
        <v>0.40917588613039546</v>
      </c>
      <c r="S76" s="155" t="str">
        <f>qPCR_Raw!O76</f>
        <v>Undetermined</v>
      </c>
      <c r="T76" s="156" cm="1">
        <f t="array" ref="T76">_xlfn.IFS(S76="Undetermined", 0, qPCR_Raw!P76&lt;=1, 0, qPCR_Raw!P76&gt;1, qPCR_Raw!P76)</f>
        <v>0</v>
      </c>
      <c r="U76" s="157" t="str">
        <f>qPCR_Raw!R76</f>
        <v>Undetermined</v>
      </c>
      <c r="V76" s="156" cm="1">
        <f t="array" ref="V76">_xlfn.IFS(U76="Undetermined", 0, qPCR_Raw!S76&lt;=1, 0, qPCR_Raw!S76&gt;1, qPCR_Raw!S76)</f>
        <v>0</v>
      </c>
      <c r="W76" s="158" t="str" cm="1">
        <f t="array" ref="W76">_xlfn.IFS(AND(S76="Undetermined", U76="Undetermined"), "Undetermined", AND(T76=0, V76=0), "Undetermined", AND(T76=0, V76&gt;0), "Ten-Fold", AND(T76&gt;0, V76=0), "Undiluted", AND(S76&lt;&gt;"Undetermined", U76&lt;&gt;"Undetermined", T76&gt;0, V76&gt;0, S76&lt;&gt;U76), 100*(-1+10^(-1/(S76-U76))), AND(S76&lt;&gt;"Undetermined", U76&lt;&gt;"Undetermined", S76=U76&gt;0), -100)</f>
        <v>Undetermined</v>
      </c>
      <c r="X76" s="159" cm="1">
        <f t="array" ref="X76">_xlfn.IFS(W76="Undetermined", 0, W76="Undiluted", T76*$G76/$F76*1000, W76="Ten-Fold", V76*$G76/$F76*1000*10, W76&lt;0, V76*$G76/$F76*1000*10, W76&lt;120, T76*$G76/$F76*1000, W76&gt;120, V76*$G76/$F76*1000*10)</f>
        <v>0</v>
      </c>
      <c r="Y76" s="156">
        <f t="shared" si="22"/>
        <v>0</v>
      </c>
      <c r="Z76" s="156">
        <f t="shared" si="23"/>
        <v>0</v>
      </c>
      <c r="AA76" s="156">
        <f t="shared" si="24"/>
        <v>0</v>
      </c>
      <c r="AB76" s="160" cm="1">
        <f t="array" ref="AB76">_xlfn.IFS(Y76="DELETE", "DELETE", Y76=0, 0, Y76&gt;0,LOG10(Y76))</f>
        <v>0</v>
      </c>
      <c r="AC76" s="161" cm="1">
        <f t="array" ref="AC76">_xlfn.IFS(Y76="DELETE", "DELETE", Y76=0, 0, Y76&gt;0, AA76/Y76/LN(10))</f>
        <v>0</v>
      </c>
      <c r="AD76" s="120">
        <f>qPCR_Raw!U76</f>
        <v>29.767391204833984</v>
      </c>
      <c r="AE76" s="121" cm="1">
        <f t="array" ref="AE76">_xlfn.IFS(AD76="Undetermined", 0, qPCR_Raw!V76&lt;=1, 0, qPCR_Raw!V76&gt;1, qPCR_Raw!V76)</f>
        <v>52.823741912841797</v>
      </c>
      <c r="AF76" s="122">
        <f>qPCR_Raw!X76</f>
        <v>32.857402801513672</v>
      </c>
      <c r="AG76" s="121" cm="1">
        <f t="array" ref="AG76">_xlfn.IFS(AF76="Undetermined", 0, qPCR_Raw!Y76&lt;=1, 0, qPCR_Raw!Y76&gt;1, qPCR_Raw!Y76)</f>
        <v>7.1830487251281738</v>
      </c>
      <c r="AH76" s="123" cm="1">
        <f t="array" ref="AH76">_xlfn.IFS(AND(AD76="Undetermined", AF76="Undetermined"), "Undetermined", AND(AE76=0, AG76=0), "Undetermined", AND(AE76=0, AG76&gt;0), "Ten-Fold", AND(AE76&gt;0, AG76=0), "Undiluted", AND(AD76&lt;&gt;"Undetermined", AF76&lt;&gt;"Undetermined", AE76&gt;0, AG76&gt;0, AD76&lt;&gt;AF76), 100*(-1+10^(-1/(AD76-AF76))), AND(AD76&lt;&gt;"Undetermined", AF76&lt;&gt;"Undetermined", AD76=AF76&gt;0), -100)</f>
        <v>110.6800345565813</v>
      </c>
      <c r="AI76" s="124" cm="1">
        <f t="array" ref="AI76">_xlfn.IFS(AH76="Undetermined", 0, AH76="Undiluted", AE76*$G76/$F76*1000, AH76="Ten-Fold", AG76*$G76/$F76*1000*10, AH76&lt;0, AG76*$G76/$F76*1000*10, AH76&lt;120, AE76*$G76/$F76*1000, AH76&gt;120, AG76*$G76/$F76*1000*10)</f>
        <v>5282.3741912841797</v>
      </c>
      <c r="AJ76" s="121">
        <f t="shared" si="25"/>
        <v>16241.106240467358</v>
      </c>
      <c r="AK76" s="121">
        <f t="shared" si="26"/>
        <v>15497.98749036755</v>
      </c>
      <c r="AL76" s="121">
        <f t="shared" si="27"/>
        <v>10958.732049183178</v>
      </c>
      <c r="AM76" s="125" cm="1">
        <f t="array" ref="AM76">_xlfn.IFS(AJ76="DELETE", "DELETE", AJ76=0, 0, AJ76&gt;0,LOG10(AJ76))</f>
        <v>4.2106156072800465</v>
      </c>
      <c r="AN76" s="126" cm="1">
        <f t="array" ref="AN76">_xlfn.IFS(AJ76="DELETE", "DELETE", AJ76=0, 0, AJ76&gt;0, AL76/AJ76/LN(10))</f>
        <v>0.29304142138778433</v>
      </c>
      <c r="AO76" s="155">
        <f>qPCR_Raw!AA76</f>
        <v>28.356924057006836</v>
      </c>
      <c r="AP76" s="156" cm="1">
        <f t="array" ref="AP76">_xlfn.IFS(AO76="Undetermined", 0, qPCR_Raw!AB76&lt;=6, 0, qPCR_Raw!AB76&gt;6, qPCR_Raw!AB76)</f>
        <v>0</v>
      </c>
      <c r="AQ76" s="157">
        <f>qPCR_Raw!AD76</f>
        <v>31.551416397094727</v>
      </c>
      <c r="AR76" s="156" cm="1">
        <f t="array" ref="AR76">_xlfn.IFS(AQ76="Undetermined", 0, qPCR_Raw!AE76&lt;=6, 0, qPCR_Raw!AE76&gt;6, qPCR_Raw!AE76)</f>
        <v>0</v>
      </c>
      <c r="AS76" s="158" t="str" cm="1">
        <f t="array" ref="AS76">_xlfn.IFS(AND(AO76="Undetermined", AQ76="Undetermined"), "Undetermined", AND(AP76=0, AR76=0), "Undetermined", AND(AP76=0, AR76&gt;0), "Ten-Fold", AND(AP76&gt;0, AR76=0), "Undiluted", AND(AO76&lt;&gt;"Undetermined", AQ76&lt;&gt;"Undetermined", AP76&gt;0, AR76&gt;0, AO76&lt;&gt;AQ76), 100*(-1+10^(-1/(AO76-AQ76))), AND(AO76&lt;&gt;"Undetermined", AQ76&lt;&gt;"Undetermined", AO76=AQ76&gt;0), -100)</f>
        <v>Undetermined</v>
      </c>
      <c r="AT76" s="159" cm="1">
        <f t="array" ref="AT76">_xlfn.IFS(AS76="Undetermined", 0, AS76="Undiluted", AP76*$G76/$F76*1000, AS76="Ten-Fold", AR76*$G76/$F76*1000*10, AS76&lt;0, AR76*$G76/$F76*1000*10, AS76&lt;120, AP76*$G76/$F76*1000, AS76&gt;120, AR76*$G76/$F76*1000*10)</f>
        <v>0</v>
      </c>
      <c r="AU76" s="156">
        <f t="shared" si="34"/>
        <v>0</v>
      </c>
      <c r="AV76" s="156">
        <f t="shared" si="35"/>
        <v>0</v>
      </c>
      <c r="AW76" s="156">
        <f t="shared" ref="AW76:AW132" si="36">IF(AV76&lt;&gt;"DELETE", AV76/2^0.5, "DELETE")</f>
        <v>0</v>
      </c>
      <c r="AX76" s="160" cm="1">
        <f t="array" ref="AX76">_xlfn.IFS(AU76="DELETE", "DELETE", AU76=0, 0, AU76&gt;0,LOG10(AU76))</f>
        <v>0</v>
      </c>
      <c r="AY76" s="161" cm="1">
        <f t="array" ref="AY76">_xlfn.IFS(AU76="DELETE", "DELETE", AU76=0, 0, AU76&gt;0, AW76/AU76/LN(10))</f>
        <v>0</v>
      </c>
      <c r="AZ76" s="120">
        <f>qPCR_Raw!AG76</f>
        <v>27.543802261352539</v>
      </c>
      <c r="BA76" s="121" cm="1">
        <f t="array" ref="BA76">_xlfn.IFS(AZ76="Undetermined", 0, qPCR_Raw!AH76&lt;=1, 0, qPCR_Raw!AH76&gt;1, qPCR_Raw!AH76)</f>
        <v>591.18798828125</v>
      </c>
      <c r="BB76" s="122">
        <f>qPCR_Raw!AJ76</f>
        <v>31.17083740234375</v>
      </c>
      <c r="BC76" s="121" cm="1">
        <f t="array" ref="BC76">_xlfn.IFS(BB76="Undetermined", 0, qPCR_Raw!AK76&lt;=1, 0, qPCR_Raw!AK76&gt;1, qPCR_Raw!AK76)</f>
        <v>62.061405181884766</v>
      </c>
      <c r="BD76" s="123" cm="1">
        <f t="array" ref="BD76">_xlfn.IFS(AND(AZ76="Undetermined", BB76="Undetermined"), "Undetermined", AND(BA76=0, BC76=0), "Undetermined", AND(BA76=0, BC76&gt;0), "Ten-Fold", AND(BA76&gt;0, BC76=0), "Undiluted", AND(AZ76&lt;&gt;"Undetermined", BB76&lt;&gt;"Undetermined", BA76&gt;0, BC76&gt;0, AZ76&lt;&gt;BB76), 100*(-1+10^(-1/(AZ76-BB76))), AND(AZ76&lt;&gt;"Undetermined", BB76&lt;&gt;"Undetermined", AZ76=BB76&gt;0), -100)</f>
        <v>88.67192558482715</v>
      </c>
      <c r="BE76" s="124" cm="1">
        <f t="array" ref="BE76">_xlfn.IFS(BD76="Undetermined", 0, BD76="Undiluted", BA76*$G76/$F76*1000, BD76="Ten-Fold", BC76*$G76/$F76*1000*10, BD76&lt;0, BC76*$G76/$F76*1000*10, BD76&lt;120, BA76*$G76/$F76*1000, BD76&gt;120, BC76*$G76/$F76*1000*10)</f>
        <v>59118.798828125</v>
      </c>
      <c r="BF76" s="121">
        <f t="shared" si="31"/>
        <v>1078833.0810546875</v>
      </c>
      <c r="BG76" s="121">
        <f t="shared" si="32"/>
        <v>1442093.7676703504</v>
      </c>
      <c r="BH76" s="121">
        <f t="shared" si="33"/>
        <v>1019714.2822265623</v>
      </c>
      <c r="BI76" s="125" cm="1">
        <f t="array" ref="BI76">_xlfn.IFS(BF76="DELETE", "DELETE", BF76=0, 0, BF76&gt;0,LOG10(BF76))</f>
        <v>6.0329542550771391</v>
      </c>
      <c r="BJ76" s="126" cm="1">
        <f t="array" ref="BJ76">_xlfn.IFS(BF76="DELETE", "DELETE", BF76=0, 0, BF76&gt;0, BH76/BF76/LN(10))</f>
        <v>0.4104956491100426</v>
      </c>
    </row>
    <row r="77" spans="1:62" s="114" customFormat="1" x14ac:dyDescent="0.3">
      <c r="A77" s="115" t="str">
        <f>UPPER(LEFT(SUBSTITUTE(SUBSTITUTE(qPCR_Raw!A77,"-","")," ",""),2))&amp;RIGHT(SUBSTITUTE(SUBSTITUTE(qPCR_Raw!A77,"-","")," ",""),LEN(SUBSTITUTE(SUBSTITUTE(qPCR_Raw!A77,"-","")," ",""))-2)</f>
        <v>RG7</v>
      </c>
      <c r="B77" s="116" t="str" cm="1">
        <f t="array" ref="B77">_xlfn.IFS(LEFT(A77, LEN(A77)-1)="EP", "EP", LEFT(A77, LEN(A77)-1)="STa", "SPI", LEFT(A77, LEN(A77)-1)="STb", "SPO", LEFT(A77, LEN(A77)-1)="MRT", "MRT", LEFT(A77, LEN(A77)-1)="RG", "RN", LEFT(A77, LEN(A77)-1)="RT", "RU", LEFT(A77, LEN(A77)-1)="RW", "RL", LEFT(A77, LEN(A77)-1)="RC", "RS")</f>
        <v>RN</v>
      </c>
      <c r="C77" s="117">
        <f>qPCR_Raw!B77</f>
        <v>44363</v>
      </c>
      <c r="D77" s="117" t="str">
        <f t="shared" si="17"/>
        <v>RN44363</v>
      </c>
      <c r="E77" s="117" t="str">
        <f t="shared" si="18"/>
        <v>RN443637</v>
      </c>
      <c r="F77" s="118">
        <f>qPCR_Raw!C77</f>
        <v>930</v>
      </c>
      <c r="G77" s="119">
        <f>qPCR_Raw!F77</f>
        <v>100</v>
      </c>
      <c r="H77" s="120">
        <f>qPCR_Raw!G77</f>
        <v>17.158927917480469</v>
      </c>
      <c r="I77" s="121" cm="1">
        <f t="array" ref="I77">_xlfn.IFS(H77="Undetermined", 0, qPCR_Raw!H77-qPCR_Raw!$H$242&lt;0, 0, qPCR_Raw!H77-qPCR_Raw!$H$242&gt;0, qPCR_Raw!H77-qPCR_Raw!$H$242)</f>
        <v>679759.79894612625</v>
      </c>
      <c r="J77" s="122">
        <f>qPCR_Raw!K77</f>
        <v>21.051338195800781</v>
      </c>
      <c r="K77" s="121" cm="1">
        <f t="array" ref="K77">_xlfn.IFS(J77="Undetermined", 0, qPCR_Raw!L77-qPCR_Raw!$H$242&lt;0, 0, qPCR_Raw!L77-qPCR_Raw!$H$242&gt;0, qPCR_Raw!L77-qPCR_Raw!$H$242)</f>
        <v>41817.283321126306</v>
      </c>
      <c r="L77" s="123" cm="1">
        <f t="array" ref="L77">_xlfn.IFS(AND(H77="Undetermined", J77="Undetermined"), "Undetermined", AND(I77=0, K77=0), "Undetermined", AND(I77=0, K77&gt;0), "Ten-Fold", AND(I77&gt;0, K77=0), "Undiluted", AND(H77&lt;&gt;"Undetermined", J77&lt;&gt;"Undetermined", I77&gt;0, K77&gt;0), 100*(-1+10^(-1/(H77-J77))))</f>
        <v>80.680059496203498</v>
      </c>
      <c r="M77" s="124" cm="1">
        <f t="array" ref="M77">_xlfn.IFS(L77="Undetermined", 0, L77="Undiluted", I77*$G77/$F77*1000, L77="Ten-Fold", K77*$G77/$F77*1000*10, L77&lt;0, K77*$G77/$F77*1000*10, L77&lt;120, I77*$G77/$F77*1000, L77&gt;120, K77*$G77/$F77*1000*10)</f>
        <v>73092451.499583468</v>
      </c>
      <c r="N77" s="121" t="str">
        <f t="shared" si="19"/>
        <v>DELETE</v>
      </c>
      <c r="O77" s="121" t="str">
        <f t="shared" si="20"/>
        <v>DELETE</v>
      </c>
      <c r="P77" s="121" t="str">
        <f t="shared" si="21"/>
        <v>DELETE</v>
      </c>
      <c r="Q77" s="125" t="str" cm="1">
        <f t="array" ref="Q77">_xlfn.IFS(N77="DELETE", "DELETE", N77=0, 0, N77&gt;0,LOG10(N77))</f>
        <v>DELETE</v>
      </c>
      <c r="R77" s="126" t="str" cm="1">
        <f t="array" ref="R77">_xlfn.IFS(N77="DELETE", "DELETE", N77=0, 0, N77&gt;0, P77/N77/LN(10))</f>
        <v>DELETE</v>
      </c>
      <c r="S77" s="155" t="str">
        <f>qPCR_Raw!O77</f>
        <v>Undetermined</v>
      </c>
      <c r="T77" s="156" cm="1">
        <f t="array" ref="T77">_xlfn.IFS(S77="Undetermined", 0, qPCR_Raw!P77&lt;=1, 0, qPCR_Raw!P77&gt;1, qPCR_Raw!P77)</f>
        <v>0</v>
      </c>
      <c r="U77" s="157" t="str">
        <f>qPCR_Raw!R77</f>
        <v>Undetermined</v>
      </c>
      <c r="V77" s="156" cm="1">
        <f t="array" ref="V77">_xlfn.IFS(U77="Undetermined", 0, qPCR_Raw!S77&lt;=1, 0, qPCR_Raw!S77&gt;1, qPCR_Raw!S77)</f>
        <v>0</v>
      </c>
      <c r="W77" s="158" t="str" cm="1">
        <f t="array" ref="W77">_xlfn.IFS(AND(S77="Undetermined", U77="Undetermined"), "Undetermined", AND(T77=0, V77=0), "Undetermined", AND(T77=0, V77&gt;0), "Ten-Fold", AND(T77&gt;0, V77=0), "Undiluted", AND(S77&lt;&gt;"Undetermined", U77&lt;&gt;"Undetermined", T77&gt;0, V77&gt;0, S77&lt;&gt;U77), 100*(-1+10^(-1/(S77-U77))), AND(S77&lt;&gt;"Undetermined", U77&lt;&gt;"Undetermined", S77=U77&gt;0), -100)</f>
        <v>Undetermined</v>
      </c>
      <c r="X77" s="159" cm="1">
        <f t="array" ref="X77">_xlfn.IFS(W77="Undetermined", 0, W77="Undiluted", T77*$G77/$F77*1000, W77="Ten-Fold", V77*$G77/$F77*1000*10, W77&lt;0, V77*$G77/$F77*1000*10, W77&lt;120, T77*$G77/$F77*1000, W77&gt;120, V77*$G77/$F77*1000*10)</f>
        <v>0</v>
      </c>
      <c r="Y77" s="156" t="str">
        <f t="shared" si="22"/>
        <v>DELETE</v>
      </c>
      <c r="Z77" s="156" t="str">
        <f t="shared" si="23"/>
        <v>DELETE</v>
      </c>
      <c r="AA77" s="156" t="str">
        <f t="shared" si="24"/>
        <v>DELETE</v>
      </c>
      <c r="AB77" s="160" t="str" cm="1">
        <f t="array" ref="AB77">_xlfn.IFS(Y77="DELETE", "DELETE", Y77=0, 0, Y77&gt;0,LOG10(Y77))</f>
        <v>DELETE</v>
      </c>
      <c r="AC77" s="161" t="str" cm="1">
        <f t="array" ref="AC77">_xlfn.IFS(Y77="DELETE", "DELETE", Y77=0, 0, Y77&gt;0, AA77/Y77/LN(10))</f>
        <v>DELETE</v>
      </c>
      <c r="AD77" s="120">
        <f>qPCR_Raw!U77</f>
        <v>27.341726303100586</v>
      </c>
      <c r="AE77" s="121" cm="1">
        <f t="array" ref="AE77">_xlfn.IFS(AD77="Undetermined", 0, qPCR_Raw!V77&lt;=1, 0, qPCR_Raw!V77&gt;1, qPCR_Raw!V77)</f>
        <v>252.95849609375</v>
      </c>
      <c r="AF77" s="122">
        <f>qPCR_Raw!X77</f>
        <v>31.040281295776367</v>
      </c>
      <c r="AG77" s="121" cm="1">
        <f t="array" ref="AG77">_xlfn.IFS(AF77="Undetermined", 0, qPCR_Raw!Y77&lt;=1, 0, qPCR_Raw!Y77&gt;1, qPCR_Raw!Y77)</f>
        <v>23.220809936523438</v>
      </c>
      <c r="AH77" s="123" cm="1">
        <f t="array" ref="AH77">_xlfn.IFS(AND(AD77="Undetermined", AF77="Undetermined"), "Undetermined", AND(AE77=0, AG77=0), "Undetermined", AND(AE77=0, AG77&gt;0), "Ten-Fold", AND(AE77&gt;0, AG77=0), "Undiluted", AND(AD77&lt;&gt;"Undetermined", AF77&lt;&gt;"Undetermined", AE77&gt;0, AG77&gt;0, AD77&lt;&gt;AF77), 100*(-1+10^(-1/(AD77-AF77))), AND(AD77&lt;&gt;"Undetermined", AF77&lt;&gt;"Undetermined", AD77=AF77&gt;0), -100)</f>
        <v>86.369939204493321</v>
      </c>
      <c r="AI77" s="124" cm="1">
        <f t="array" ref="AI77">_xlfn.IFS(AH77="Undetermined", 0, AH77="Undiluted", AE77*$G77/$F77*1000, AH77="Ten-Fold", AG77*$G77/$F77*1000*10, AH77&lt;0, AG77*$G77/$F77*1000*10, AH77&lt;120, AE77*$G77/$F77*1000, AH77&gt;120, AG77*$G77/$F77*1000*10)</f>
        <v>27199.838289650535</v>
      </c>
      <c r="AJ77" s="121" t="str">
        <f t="shared" si="25"/>
        <v>DELETE</v>
      </c>
      <c r="AK77" s="121" t="str">
        <f t="shared" si="26"/>
        <v>DELETE</v>
      </c>
      <c r="AL77" s="121" t="str">
        <f t="shared" si="27"/>
        <v>DELETE</v>
      </c>
      <c r="AM77" s="125" t="str" cm="1">
        <f t="array" ref="AM77">_xlfn.IFS(AJ77="DELETE", "DELETE", AJ77=0, 0, AJ77&gt;0,LOG10(AJ77))</f>
        <v>DELETE</v>
      </c>
      <c r="AN77" s="126" t="str" cm="1">
        <f t="array" ref="AN77">_xlfn.IFS(AJ77="DELETE", "DELETE", AJ77=0, 0, AJ77&gt;0, AL77/AJ77/LN(10))</f>
        <v>DELETE</v>
      </c>
      <c r="AO77" s="155">
        <f>qPCR_Raw!AA77</f>
        <v>28.749298095703125</v>
      </c>
      <c r="AP77" s="156" cm="1">
        <f t="array" ref="AP77">_xlfn.IFS(AO77="Undetermined", 0, qPCR_Raw!AB77&lt;=6, 0, qPCR_Raw!AB77&gt;6, qPCR_Raw!AB77)</f>
        <v>0</v>
      </c>
      <c r="AQ77" s="157" t="str">
        <f>qPCR_Raw!AD77</f>
        <v>Undetermined</v>
      </c>
      <c r="AR77" s="156" cm="1">
        <f t="array" ref="AR77">_xlfn.IFS(AQ77="Undetermined", 0, qPCR_Raw!AE77&lt;=6, 0, qPCR_Raw!AE77&gt;6, qPCR_Raw!AE77)</f>
        <v>0</v>
      </c>
      <c r="AS77" s="158" t="str" cm="1">
        <f t="array" ref="AS77">_xlfn.IFS(AND(AO77="Undetermined", AQ77="Undetermined"), "Undetermined", AND(AP77=0, AR77=0), "Undetermined", AND(AP77=0, AR77&gt;0), "Ten-Fold", AND(AP77&gt;0, AR77=0), "Undiluted", AND(AO77&lt;&gt;"Undetermined", AQ77&lt;&gt;"Undetermined", AP77&gt;0, AR77&gt;0, AO77&lt;&gt;AQ77), 100*(-1+10^(-1/(AO77-AQ77))), AND(AO77&lt;&gt;"Undetermined", AQ77&lt;&gt;"Undetermined", AO77=AQ77&gt;0), -100)</f>
        <v>Undetermined</v>
      </c>
      <c r="AT77" s="159" cm="1">
        <f t="array" ref="AT77">_xlfn.IFS(AS77="Undetermined", 0, AS77="Undiluted", AP77*$G77/$F77*1000, AS77="Ten-Fold", AR77*$G77/$F77*1000*10, AS77&lt;0, AR77*$G77/$F77*1000*10, AS77&lt;120, AP77*$G77/$F77*1000, AS77&gt;120, AR77*$G77/$F77*1000*10)</f>
        <v>0</v>
      </c>
      <c r="AU77" s="156" t="str">
        <f t="shared" si="34"/>
        <v>DELETE</v>
      </c>
      <c r="AV77" s="156" t="str">
        <f t="shared" si="35"/>
        <v>DELETE</v>
      </c>
      <c r="AW77" s="156" t="str">
        <f t="shared" si="36"/>
        <v>DELETE</v>
      </c>
      <c r="AX77" s="160" t="str" cm="1">
        <f t="array" ref="AX77">_xlfn.IFS(AU77="DELETE", "DELETE", AU77=0, 0, AU77&gt;0,LOG10(AU77))</f>
        <v>DELETE</v>
      </c>
      <c r="AY77" s="161" t="str" cm="1">
        <f t="array" ref="AY77">_xlfn.IFS(AU77="DELETE", "DELETE", AU77=0, 0, AU77&gt;0, AW77/AU77/LN(10))</f>
        <v>DELETE</v>
      </c>
      <c r="AZ77" s="120">
        <f>qPCR_Raw!AG77</f>
        <v>36.507724761962891</v>
      </c>
      <c r="BA77" s="121" cm="1">
        <f t="array" ref="BA77">_xlfn.IFS(AZ77="Undetermined", 0, qPCR_Raw!AH77&lt;=1, 0, qPCR_Raw!AH77&gt;1, qPCR_Raw!AH77)</f>
        <v>2.2513546943664551</v>
      </c>
      <c r="BB77" s="122">
        <f>qPCR_Raw!AJ77</f>
        <v>25.622003555297852</v>
      </c>
      <c r="BC77" s="121" cm="1">
        <f t="array" ref="BC77">_xlfn.IFS(BB77="Undetermined", 0, qPCR_Raw!AK77&lt;=1, 0, qPCR_Raw!AK77&gt;1, qPCR_Raw!AK77)</f>
        <v>1951.6490478515625</v>
      </c>
      <c r="BD77" s="123" cm="1">
        <f t="array" ref="BD77">_xlfn.IFS(AND(AZ77="Undetermined", BB77="Undetermined"), "Undetermined", AND(BA77=0, BC77=0), "Undetermined", AND(BA77=0, BC77&gt;0), "Ten-Fold", AND(BA77&gt;0, BC77=0), "Undiluted", AND(AZ77&lt;&gt;"Undetermined", BB77&lt;&gt;"Undetermined", BA77&gt;0, BC77&gt;0, AZ77&lt;&gt;BB77), 100*(-1+10^(-1/(AZ77-BB77))), AND(AZ77&lt;&gt;"Undetermined", BB77&lt;&gt;"Undetermined", AZ77=BB77&gt;0), -100)</f>
        <v>-19.064968264414183</v>
      </c>
      <c r="BE77" s="124" cm="1">
        <f t="array" ref="BE77">_xlfn.IFS(BD77="Undetermined", 0, BD77="Undiluted", BA77*$G77/$F77*1000, BD77="Ten-Fold", BC77*$G77/$F77*1000*10, BD77&lt;0, BC77*$G77/$F77*1000*10, BD77&lt;120, BA77*$G77/$F77*1000, BD77&gt;120, BC77*$G77/$F77*1000*10)</f>
        <v>2098547.36328125</v>
      </c>
      <c r="BF77" s="121" t="str">
        <f t="shared" si="31"/>
        <v>DELETE</v>
      </c>
      <c r="BG77" s="121" t="str">
        <f t="shared" si="32"/>
        <v>DELETE</v>
      </c>
      <c r="BH77" s="121" t="str">
        <f t="shared" si="33"/>
        <v>DELETE</v>
      </c>
      <c r="BI77" s="125" t="str" cm="1">
        <f t="array" ref="BI77">_xlfn.IFS(BF77="DELETE", "DELETE", BF77=0, 0, BF77&gt;0,LOG10(BF77))</f>
        <v>DELETE</v>
      </c>
      <c r="BJ77" s="126" t="str" cm="1">
        <f t="array" ref="BJ77">_xlfn.IFS(BF77="DELETE", "DELETE", BF77=0, 0, BF77&gt;0, BH77/BF77/LN(10))</f>
        <v>DELETE</v>
      </c>
    </row>
    <row r="78" spans="1:62" s="114" customFormat="1" x14ac:dyDescent="0.3">
      <c r="A78" s="115" t="str">
        <f>UPPER(LEFT(SUBSTITUTE(SUBSTITUTE(qPCR_Raw!A78,"-","")," ",""),2))&amp;RIGHT(SUBSTITUTE(SUBSTITUTE(qPCR_Raw!A78,"-","")," ",""),LEN(SUBSTITUTE(SUBSTITUTE(qPCR_Raw!A78,"-","")," ",""))-2)</f>
        <v>EP6</v>
      </c>
      <c r="B78" s="116" t="str" cm="1">
        <f t="array" ref="B78">_xlfn.IFS(LEFT(A78, LEN(A78)-1)="EP", "EP", LEFT(A78, LEN(A78)-1)="STa", "SPI", LEFT(A78, LEN(A78)-1)="STb", "SPO", LEFT(A78, LEN(A78)-1)="MRT", "MRT", LEFT(A78, LEN(A78)-1)="RG", "RN", LEFT(A78, LEN(A78)-1)="RT", "RU", LEFT(A78, LEN(A78)-1)="RW", "RL", LEFT(A78, LEN(A78)-1)="RC", "RS")</f>
        <v>EP</v>
      </c>
      <c r="C78" s="117">
        <f>qPCR_Raw!B78</f>
        <v>44370</v>
      </c>
      <c r="D78" s="117" t="str">
        <f t="shared" si="17"/>
        <v>EP44370</v>
      </c>
      <c r="E78" s="117" t="str">
        <f t="shared" si="18"/>
        <v>EP443706</v>
      </c>
      <c r="F78" s="118">
        <f>qPCR_Raw!C78</f>
        <v>1000</v>
      </c>
      <c r="G78" s="119">
        <f>qPCR_Raw!F78</f>
        <v>100</v>
      </c>
      <c r="H78" s="120">
        <f>qPCR_Raw!G78</f>
        <v>18.982578277587891</v>
      </c>
      <c r="I78" s="121" cm="1">
        <f t="array" ref="I78">_xlfn.IFS(H78="Undetermined", 0, qPCR_Raw!H78-qPCR_Raw!$H$242&lt;0, 0, qPCR_Raw!H78-qPCR_Raw!$H$242&gt;0, qPCR_Raw!H78-qPCR_Raw!$H$242)</f>
        <v>198058.15832112631</v>
      </c>
      <c r="J78" s="122">
        <f>qPCR_Raw!K78</f>
        <v>21.742347717285156</v>
      </c>
      <c r="K78" s="121" cm="1">
        <f t="array" ref="K78">_xlfn.IFS(J78="Undetermined", 0, qPCR_Raw!L78-qPCR_Raw!$H$242&lt;0, 0, qPCR_Raw!L78-qPCR_Raw!$H$242&gt;0, qPCR_Raw!L78-qPCR_Raw!$H$242)</f>
        <v>21946.002071126302</v>
      </c>
      <c r="L78" s="123" cm="1">
        <f t="array" ref="L78">_xlfn.IFS(AND(H78="Undetermined", J78="Undetermined"), "Undetermined", AND(I78=0, K78=0), "Undetermined", AND(I78=0, K78&gt;0), "Ten-Fold", AND(I78&gt;0, K78=0), "Undiluted", AND(H78&lt;&gt;"Undetermined", J78&lt;&gt;"Undetermined", I78&gt;0, K78&gt;0), 100*(-1+10^(-1/(H78-J78))))</f>
        <v>130.32925872686855</v>
      </c>
      <c r="M78" s="124" cm="1">
        <f t="array" ref="M78">_xlfn.IFS(L78="Undetermined", 0, L78="Undiluted", I78*$G78/$F78*1000, L78="Ten-Fold", K78*$G78/$F78*1000*10, L78&lt;0, K78*$G78/$F78*1000*10, L78&lt;120, I78*$G78/$F78*1000, L78&gt;120, K78*$G78/$F78*1000*10)</f>
        <v>21946002.071126305</v>
      </c>
      <c r="N78" s="121">
        <f t="shared" si="19"/>
        <v>24217772.465048898</v>
      </c>
      <c r="O78" s="121">
        <f t="shared" si="20"/>
        <v>3212768.5016830005</v>
      </c>
      <c r="P78" s="121">
        <f t="shared" si="21"/>
        <v>2271770.3939225934</v>
      </c>
      <c r="Q78" s="125" cm="1">
        <f t="array" ref="Q78">_xlfn.IFS(N78="DELETE", "DELETE", N78=0, 0, N78&gt;0,LOG10(N78))</f>
        <v>7.384134194520211</v>
      </c>
      <c r="R78" s="126" cm="1">
        <f t="array" ref="R78">_xlfn.IFS(N78="DELETE", "DELETE", N78=0, 0, N78&gt;0, P78/N78/LN(10))</f>
        <v>4.073939284282424E-2</v>
      </c>
      <c r="S78" s="155">
        <f>qPCR_Raw!O78</f>
        <v>35.402984619140625</v>
      </c>
      <c r="T78" s="156" cm="1">
        <f t="array" ref="T78">_xlfn.IFS(S78="Undetermined", 0, qPCR_Raw!P78&lt;=1, 0, qPCR_Raw!P78&gt;1, qPCR_Raw!P78)</f>
        <v>39.386608123779297</v>
      </c>
      <c r="U78" s="157" t="str">
        <f>qPCR_Raw!R78</f>
        <v>Undetermined</v>
      </c>
      <c r="V78" s="156" cm="1">
        <f t="array" ref="V78">_xlfn.IFS(U78="Undetermined", 0, qPCR_Raw!S78&lt;=1, 0, qPCR_Raw!S78&gt;1, qPCR_Raw!S78)</f>
        <v>0</v>
      </c>
      <c r="W78" s="158" t="str" cm="1">
        <f t="array" ref="W78">_xlfn.IFS(AND(S78="Undetermined", U78="Undetermined"), "Undetermined", AND(T78=0, V78=0), "Undetermined", AND(T78=0, V78&gt;0), "Ten-Fold", AND(T78&gt;0, V78=0), "Undiluted", AND(S78&lt;&gt;"Undetermined", U78&lt;&gt;"Undetermined", T78&gt;0, V78&gt;0, S78&lt;&gt;U78), 100*(-1+10^(-1/(S78-U78))), AND(S78&lt;&gt;"Undetermined", U78&lt;&gt;"Undetermined", S78=U78&gt;0), -100)</f>
        <v>Undiluted</v>
      </c>
      <c r="X78" s="159" cm="1">
        <f t="array" ref="X78">_xlfn.IFS(W78="Undetermined", 0, W78="Undiluted", T78*$G78/$F78*1000, W78="Ten-Fold", V78*$G78/$F78*1000*10, W78&lt;0, V78*$G78/$F78*1000*10, W78&lt;120, T78*$G78/$F78*1000, W78&gt;120, V78*$G78/$F78*1000*10)</f>
        <v>3938.6608123779297</v>
      </c>
      <c r="Y78" s="156">
        <f t="shared" si="22"/>
        <v>5151.3180096944179</v>
      </c>
      <c r="Z78" s="156">
        <f t="shared" si="23"/>
        <v>1714.9562549543214</v>
      </c>
      <c r="AA78" s="156">
        <f t="shared" si="24"/>
        <v>1212.6571973164862</v>
      </c>
      <c r="AB78" s="160" cm="1">
        <f t="array" ref="AB78">_xlfn.IFS(Y78="DELETE", "DELETE", Y78=0, 0, Y78&gt;0,LOG10(Y78))</f>
        <v>3.7119183612943583</v>
      </c>
      <c r="AC78" s="161" cm="1">
        <f t="array" ref="AC78">_xlfn.IFS(Y78="DELETE", "DELETE", Y78=0, 0, Y78&gt;0, AA78/Y78/LN(10))</f>
        <v>0.1022360351746279</v>
      </c>
      <c r="AD78" s="120">
        <f>qPCR_Raw!U78</f>
        <v>32.039722442626953</v>
      </c>
      <c r="AE78" s="121" cm="1">
        <f t="array" ref="AE78">_xlfn.IFS(AD78="Undetermined", 0, qPCR_Raw!V78&lt;=1, 0, qPCR_Raw!V78&gt;1, qPCR_Raw!V78)</f>
        <v>12.17889404296875</v>
      </c>
      <c r="AF78" s="122">
        <f>qPCR_Raw!X78</f>
        <v>35.499664306640625</v>
      </c>
      <c r="AG78" s="121" cm="1">
        <f t="array" ref="AG78">_xlfn.IFS(AF78="Undetermined", 0, qPCR_Raw!Y78&lt;=1, 0, qPCR_Raw!Y78&gt;1, qPCR_Raw!Y78)</f>
        <v>1.3042154312133789</v>
      </c>
      <c r="AH78" s="123" cm="1">
        <f t="array" ref="AH78">_xlfn.IFS(AND(AD78="Undetermined", AF78="Undetermined"), "Undetermined", AND(AE78=0, AG78=0), "Undetermined", AND(AE78=0, AG78&gt;0), "Ten-Fold", AND(AE78&gt;0, AG78=0), "Undiluted", AND(AD78&lt;&gt;"Undetermined", AF78&lt;&gt;"Undetermined", AE78&gt;0, AG78&gt;0, AD78&lt;&gt;AF78), 100*(-1+10^(-1/(AD78-AF78))), AND(AD78&lt;&gt;"Undetermined", AF78&lt;&gt;"Undetermined", AD78=AF78&gt;0), -100)</f>
        <v>94.545951371020891</v>
      </c>
      <c r="AI78" s="124" cm="1">
        <f t="array" ref="AI78">_xlfn.IFS(AH78="Undetermined", 0, AH78="Undiluted", AE78*$G78/$F78*1000, AH78="Ten-Fold", AG78*$G78/$F78*1000*10, AH78&lt;0, AG78*$G78/$F78*1000*10, AH78&lt;120, AE78*$G78/$F78*1000, AH78&gt;120, AG78*$G78/$F78*1000*10)</f>
        <v>1217.889404296875</v>
      </c>
      <c r="AJ78" s="121">
        <f t="shared" si="25"/>
        <v>1206.8078498045602</v>
      </c>
      <c r="AK78" s="121">
        <f t="shared" si="26"/>
        <v>15.671684655207939</v>
      </c>
      <c r="AL78" s="121">
        <f t="shared" si="27"/>
        <v>11.081554492314693</v>
      </c>
      <c r="AM78" s="125" cm="1">
        <f t="array" ref="AM78">_xlfn.IFS(AJ78="DELETE", "DELETE", AJ78=0, 0, AJ78&gt;0,LOG10(AJ78))</f>
        <v>3.0816381264248243</v>
      </c>
      <c r="AN78" s="126" cm="1">
        <f t="array" ref="AN78">_xlfn.IFS(AJ78="DELETE", "DELETE", AJ78=0, 0, AJ78&gt;0, AL78/AJ78/LN(10))</f>
        <v>3.9879239828460354E-3</v>
      </c>
      <c r="AO78" s="155">
        <f>qPCR_Raw!AA78</f>
        <v>30.042816162109375</v>
      </c>
      <c r="AP78" s="156" cm="1">
        <f t="array" ref="AP78">_xlfn.IFS(AO78="Undetermined", 0, qPCR_Raw!AB78&lt;=6, 0, qPCR_Raw!AB78&gt;6, qPCR_Raw!AB78)</f>
        <v>0</v>
      </c>
      <c r="AQ78" s="157" t="str">
        <f>qPCR_Raw!AD78</f>
        <v>Undetermined</v>
      </c>
      <c r="AR78" s="156" cm="1">
        <f t="array" ref="AR78">_xlfn.IFS(AQ78="Undetermined", 0, qPCR_Raw!AE78&lt;=6, 0, qPCR_Raw!AE78&gt;6, qPCR_Raw!AE78)</f>
        <v>0</v>
      </c>
      <c r="AS78" s="158" t="str" cm="1">
        <f t="array" ref="AS78">_xlfn.IFS(AND(AO78="Undetermined", AQ78="Undetermined"), "Undetermined", AND(AP78=0, AR78=0), "Undetermined", AND(AP78=0, AR78&gt;0), "Ten-Fold", AND(AP78&gt;0, AR78=0), "Undiluted", AND(AO78&lt;&gt;"Undetermined", AQ78&lt;&gt;"Undetermined", AP78&gt;0, AR78&gt;0, AO78&lt;&gt;AQ78), 100*(-1+10^(-1/(AO78-AQ78))), AND(AO78&lt;&gt;"Undetermined", AQ78&lt;&gt;"Undetermined", AO78=AQ78&gt;0), -100)</f>
        <v>Undetermined</v>
      </c>
      <c r="AT78" s="159" cm="1">
        <f t="array" ref="AT78">_xlfn.IFS(AS78="Undetermined", 0, AS78="Undiluted", AP78*$G78/$F78*1000, AS78="Ten-Fold", AR78*$G78/$F78*1000*10, AS78&lt;0, AR78*$G78/$F78*1000*10, AS78&lt;120, AP78*$G78/$F78*1000, AS78&gt;120, AR78*$G78/$F78*1000*10)</f>
        <v>0</v>
      </c>
      <c r="AU78" s="156">
        <f t="shared" si="34"/>
        <v>0</v>
      </c>
      <c r="AV78" s="156">
        <f t="shared" si="35"/>
        <v>0</v>
      </c>
      <c r="AW78" s="156">
        <f t="shared" si="36"/>
        <v>0</v>
      </c>
      <c r="AX78" s="160" cm="1">
        <f t="array" ref="AX78">_xlfn.IFS(AU78="DELETE", "DELETE", AU78=0, 0, AU78&gt;0,LOG10(AU78))</f>
        <v>0</v>
      </c>
      <c r="AY78" s="161" cm="1">
        <f t="array" ref="AY78">_xlfn.IFS(AU78="DELETE", "DELETE", AU78=0, 0, AU78&gt;0, AW78/AU78/LN(10))</f>
        <v>0</v>
      </c>
      <c r="AZ78" s="120">
        <f>qPCR_Raw!AG78</f>
        <v>35.343215942382813</v>
      </c>
      <c r="BA78" s="121" cm="1">
        <f t="array" ref="BA78">_xlfn.IFS(AZ78="Undetermined", 0, qPCR_Raw!AH78&lt;=1, 0, qPCR_Raw!AH78&gt;1, qPCR_Raw!AH78)</f>
        <v>4.6423120498657227</v>
      </c>
      <c r="BB78" s="122" t="str">
        <f>qPCR_Raw!AJ78</f>
        <v>Undetermined</v>
      </c>
      <c r="BC78" s="121" cm="1">
        <f t="array" ref="BC78">_xlfn.IFS(BB78="Undetermined", 0, qPCR_Raw!AK78&lt;=1, 0, qPCR_Raw!AK78&gt;1, qPCR_Raw!AK78)</f>
        <v>0</v>
      </c>
      <c r="BD78" s="123" t="str" cm="1">
        <f t="array" ref="BD78">_xlfn.IFS(AND(AZ78="Undetermined", BB78="Undetermined"), "Undetermined", AND(BA78=0, BC78=0), "Undetermined", AND(BA78=0, BC78&gt;0), "Ten-Fold", AND(BA78&gt;0, BC78=0), "Undiluted", AND(AZ78&lt;&gt;"Undetermined", BB78&lt;&gt;"Undetermined", BA78&gt;0, BC78&gt;0, AZ78&lt;&gt;BB78), 100*(-1+10^(-1/(AZ78-BB78))), AND(AZ78&lt;&gt;"Undetermined", BB78&lt;&gt;"Undetermined", AZ78=BB78&gt;0), -100)</f>
        <v>Undiluted</v>
      </c>
      <c r="BE78" s="124" cm="1">
        <f t="array" ref="BE78">_xlfn.IFS(BD78="Undetermined", 0, BD78="Undiluted", BA78*$G78/$F78*1000, BD78="Ten-Fold", BC78*$G78/$F78*1000*10, BD78&lt;0, BC78*$G78/$F78*1000*10, BD78&lt;120, BA78*$G78/$F78*1000, BD78&gt;120, BC78*$G78/$F78*1000*10)</f>
        <v>464.23120498657227</v>
      </c>
      <c r="BF78" s="121">
        <f t="shared" si="31"/>
        <v>678.19035649299622</v>
      </c>
      <c r="BG78" s="121">
        <f t="shared" si="32"/>
        <v>302.5839338542246</v>
      </c>
      <c r="BH78" s="121">
        <f t="shared" si="33"/>
        <v>213.95915150642395</v>
      </c>
      <c r="BI78" s="125" cm="1">
        <f t="array" ref="BI78">_xlfn.IFS(BF78="DELETE", "DELETE", BF78=0, 0, BF78&gt;0,LOG10(BF78))</f>
        <v>2.831351610048888</v>
      </c>
      <c r="BJ78" s="126" cm="1">
        <f t="array" ref="BJ78">_xlfn.IFS(BF78="DELETE", "DELETE", BF78=0, 0, BF78&gt;0, BH78/BF78/LN(10))</f>
        <v>0.13701356553114208</v>
      </c>
    </row>
    <row r="79" spans="1:62" s="114" customFormat="1" x14ac:dyDescent="0.3">
      <c r="A79" s="115" t="str">
        <f>UPPER(LEFT(SUBSTITUTE(SUBSTITUTE(qPCR_Raw!A79,"-","")," ",""),2))&amp;RIGHT(SUBSTITUTE(SUBSTITUTE(qPCR_Raw!A79,"-","")," ",""),LEN(SUBSTITUTE(SUBSTITUTE(qPCR_Raw!A79,"-","")," ",""))-2)</f>
        <v>EP7</v>
      </c>
      <c r="B79" s="116" t="str" cm="1">
        <f t="array" ref="B79">_xlfn.IFS(LEFT(A79, LEN(A79)-1)="EP", "EP", LEFT(A79, LEN(A79)-1)="STa", "SPI", LEFT(A79, LEN(A79)-1)="STb", "SPO", LEFT(A79, LEN(A79)-1)="MRT", "MRT", LEFT(A79, LEN(A79)-1)="RG", "RN", LEFT(A79, LEN(A79)-1)="RT", "RU", LEFT(A79, LEN(A79)-1)="RW", "RL", LEFT(A79, LEN(A79)-1)="RC", "RS")</f>
        <v>EP</v>
      </c>
      <c r="C79" s="117">
        <f>qPCR_Raw!B79</f>
        <v>44370</v>
      </c>
      <c r="D79" s="117" t="str">
        <f t="shared" si="17"/>
        <v>EP44370</v>
      </c>
      <c r="E79" s="117" t="str">
        <f t="shared" si="18"/>
        <v>EP443707</v>
      </c>
      <c r="F79" s="118">
        <f>qPCR_Raw!C79</f>
        <v>960</v>
      </c>
      <c r="G79" s="119">
        <f>qPCR_Raw!F79</f>
        <v>100</v>
      </c>
      <c r="H79" s="120">
        <f>qPCR_Raw!G79</f>
        <v>18.620100021362305</v>
      </c>
      <c r="I79" s="121" cm="1">
        <f t="array" ref="I79">_xlfn.IFS(H79="Undetermined", 0, qPCR_Raw!H79-qPCR_Raw!$H$242&lt;0, 0, qPCR_Raw!H79-qPCR_Raw!$H$242&gt;0, qPCR_Raw!H79-qPCR_Raw!$H$242)</f>
        <v>254299.61144612631</v>
      </c>
      <c r="J79" s="122">
        <f>qPCR_Raw!K79</f>
        <v>21.806789398193359</v>
      </c>
      <c r="K79" s="121" cm="1">
        <f t="array" ref="K79">_xlfn.IFS(J79="Undetermined", 0, qPCR_Raw!L79-qPCR_Raw!$H$242&lt;0, 0, qPCR_Raw!L79-qPCR_Raw!$H$242&gt;0, qPCR_Raw!L79-qPCR_Raw!$H$242)</f>
        <v>20509.334102376302</v>
      </c>
      <c r="L79" s="123" cm="1">
        <f t="array" ref="L79">_xlfn.IFS(AND(H79="Undetermined", J79="Undetermined"), "Undetermined", AND(I79=0, K79=0), "Undetermined", AND(I79=0, K79&gt;0), "Ten-Fold", AND(I79&gt;0, K79=0), "Undiluted", AND(H79&lt;&gt;"Undetermined", J79&lt;&gt;"Undetermined", I79&gt;0, K79&gt;0), 100*(-1+10^(-1/(H79-J79))))</f>
        <v>105.97062888156077</v>
      </c>
      <c r="M79" s="124" cm="1">
        <f t="array" ref="M79">_xlfn.IFS(L79="Undetermined", 0, L79="Undiluted", I79*$G79/$F79*1000, L79="Ten-Fold", K79*$G79/$F79*1000*10, L79&lt;0, K79*$G79/$F79*1000*10, L79&lt;120, I79*$G79/$F79*1000, L79&gt;120, K79*$G79/$F79*1000*10)</f>
        <v>26489542.858971491</v>
      </c>
      <c r="N79" s="121" t="str">
        <f t="shared" si="19"/>
        <v>DELETE</v>
      </c>
      <c r="O79" s="121" t="str">
        <f t="shared" si="20"/>
        <v>DELETE</v>
      </c>
      <c r="P79" s="121" t="str">
        <f t="shared" si="21"/>
        <v>DELETE</v>
      </c>
      <c r="Q79" s="125" t="str" cm="1">
        <f t="array" ref="Q79">_xlfn.IFS(N79="DELETE", "DELETE", N79=0, 0, N79&gt;0,LOG10(N79))</f>
        <v>DELETE</v>
      </c>
      <c r="R79" s="126" t="str" cm="1">
        <f t="array" ref="R79">_xlfn.IFS(N79="DELETE", "DELETE", N79=0, 0, N79&gt;0, P79/N79/LN(10))</f>
        <v>DELETE</v>
      </c>
      <c r="S79" s="155">
        <f>qPCR_Raw!O79</f>
        <v>34.682228088378906</v>
      </c>
      <c r="T79" s="156" cm="1">
        <f t="array" ref="T79">_xlfn.IFS(S79="Undetermined", 0, qPCR_Raw!P79&lt;=1, 0, qPCR_Raw!P79&gt;1, qPCR_Raw!P79)</f>
        <v>61.094161987304688</v>
      </c>
      <c r="U79" s="157">
        <f>qPCR_Raw!R79</f>
        <v>38.266178131103516</v>
      </c>
      <c r="V79" s="156" cm="1">
        <f t="array" ref="V79">_xlfn.IFS(U79="Undetermined", 0, qPCR_Raw!S79&lt;=1, 0, qPCR_Raw!S79&gt;1, qPCR_Raw!S79)</f>
        <v>6.8863673210144043</v>
      </c>
      <c r="W79" s="158" cm="1">
        <f t="array" ref="W79">_xlfn.IFS(AND(S79="Undetermined", U79="Undetermined"), "Undetermined", AND(T79=0, V79=0), "Undetermined", AND(T79=0, V79&gt;0), "Ten-Fold", AND(T79&gt;0, V79=0), "Undiluted", AND(S79&lt;&gt;"Undetermined", U79&lt;&gt;"Undetermined", T79&gt;0, V79&gt;0, S79&lt;&gt;U79), 100*(-1+10^(-1/(S79-U79))), AND(S79&lt;&gt;"Undetermined", U79&lt;&gt;"Undetermined", S79=U79&gt;0), -100)</f>
        <v>90.117347496237571</v>
      </c>
      <c r="X79" s="159" cm="1">
        <f t="array" ref="X79">_xlfn.IFS(W79="Undetermined", 0, W79="Undiluted", T79*$G79/$F79*1000, W79="Ten-Fold", V79*$G79/$F79*1000*10, W79&lt;0, V79*$G79/$F79*1000*10, W79&lt;120, T79*$G79/$F79*1000, W79&gt;120, V79*$G79/$F79*1000*10)</f>
        <v>6363.9752070109053</v>
      </c>
      <c r="Y79" s="156" t="str">
        <f t="shared" si="22"/>
        <v>DELETE</v>
      </c>
      <c r="Z79" s="156" t="str">
        <f t="shared" si="23"/>
        <v>DELETE</v>
      </c>
      <c r="AA79" s="156" t="str">
        <f t="shared" si="24"/>
        <v>DELETE</v>
      </c>
      <c r="AB79" s="160" t="str" cm="1">
        <f t="array" ref="AB79">_xlfn.IFS(Y79="DELETE", "DELETE", Y79=0, 0, Y79&gt;0,LOG10(Y79))</f>
        <v>DELETE</v>
      </c>
      <c r="AC79" s="161" t="str" cm="1">
        <f t="array" ref="AC79">_xlfn.IFS(Y79="DELETE", "DELETE", Y79=0, 0, Y79&gt;0, AA79/Y79/LN(10))</f>
        <v>DELETE</v>
      </c>
      <c r="AD79" s="120">
        <f>qPCR_Raw!U79</f>
        <v>32.131385803222656</v>
      </c>
      <c r="AE79" s="121" cm="1">
        <f t="array" ref="AE79">_xlfn.IFS(AD79="Undetermined", 0, qPCR_Raw!V79&lt;=1, 0, qPCR_Raw!V79&gt;1, qPCR_Raw!V79)</f>
        <v>11.478972434997559</v>
      </c>
      <c r="AF79" s="122">
        <f>qPCR_Raw!X79</f>
        <v>35.759239196777344</v>
      </c>
      <c r="AG79" s="121" cm="1">
        <f t="array" ref="AG79">_xlfn.IFS(AF79="Undetermined", 0, qPCR_Raw!Y79&lt;=1, 0, qPCR_Raw!Y79&gt;1, qPCR_Raw!Y79)</f>
        <v>1.1029547452926636</v>
      </c>
      <c r="AH79" s="123" cm="1">
        <f t="array" ref="AH79">_xlfn.IFS(AND(AD79="Undetermined", AF79="Undetermined"), "Undetermined", AND(AE79=0, AG79=0), "Undetermined", AND(AE79=0, AG79&gt;0), "Ten-Fold", AND(AE79&gt;0, AG79=0), "Undiluted", AND(AD79&lt;&gt;"Undetermined", AF79&lt;&gt;"Undetermined", AE79&gt;0, AG79&gt;0, AD79&lt;&gt;AF79), 100*(-1+10^(-1/(AD79-AF79))), AND(AD79&lt;&gt;"Undetermined", AF79&lt;&gt;"Undetermined", AD79=AF79&gt;0), -100)</f>
        <v>88.64491227738587</v>
      </c>
      <c r="AI79" s="124" cm="1">
        <f t="array" ref="AI79">_xlfn.IFS(AH79="Undetermined", 0, AH79="Undiluted", AE79*$G79/$F79*1000, AH79="Ten-Fold", AG79*$G79/$F79*1000*10, AH79&lt;0, AG79*$G79/$F79*1000*10, AH79&lt;120, AE79*$G79/$F79*1000, AH79&gt;120, AG79*$G79/$F79*1000*10)</f>
        <v>1195.7262953122456</v>
      </c>
      <c r="AJ79" s="121" t="str">
        <f t="shared" si="25"/>
        <v>DELETE</v>
      </c>
      <c r="AK79" s="121" t="str">
        <f t="shared" si="26"/>
        <v>DELETE</v>
      </c>
      <c r="AL79" s="121" t="str">
        <f t="shared" si="27"/>
        <v>DELETE</v>
      </c>
      <c r="AM79" s="125" t="str" cm="1">
        <f t="array" ref="AM79">_xlfn.IFS(AJ79="DELETE", "DELETE", AJ79=0, 0, AJ79&gt;0,LOG10(AJ79))</f>
        <v>DELETE</v>
      </c>
      <c r="AN79" s="126" t="str" cm="1">
        <f t="array" ref="AN79">_xlfn.IFS(AJ79="DELETE", "DELETE", AJ79=0, 0, AJ79&gt;0, AL79/AJ79/LN(10))</f>
        <v>DELETE</v>
      </c>
      <c r="AO79" s="155">
        <f>qPCR_Raw!AA79</f>
        <v>29.60774040222168</v>
      </c>
      <c r="AP79" s="156" cm="1">
        <f t="array" ref="AP79">_xlfn.IFS(AO79="Undetermined", 0, qPCR_Raw!AB79&lt;=6, 0, qPCR_Raw!AB79&gt;6, qPCR_Raw!AB79)</f>
        <v>0</v>
      </c>
      <c r="AQ79" s="157" t="str">
        <f>qPCR_Raw!AD79</f>
        <v>Undetermined</v>
      </c>
      <c r="AR79" s="156" cm="1">
        <f t="array" ref="AR79">_xlfn.IFS(AQ79="Undetermined", 0, qPCR_Raw!AE79&lt;=6, 0, qPCR_Raw!AE79&gt;6, qPCR_Raw!AE79)</f>
        <v>0</v>
      </c>
      <c r="AS79" s="158" t="str" cm="1">
        <f t="array" ref="AS79">_xlfn.IFS(AND(AO79="Undetermined", AQ79="Undetermined"), "Undetermined", AND(AP79=0, AR79=0), "Undetermined", AND(AP79=0, AR79&gt;0), "Ten-Fold", AND(AP79&gt;0, AR79=0), "Undiluted", AND(AO79&lt;&gt;"Undetermined", AQ79&lt;&gt;"Undetermined", AP79&gt;0, AR79&gt;0, AO79&lt;&gt;AQ79), 100*(-1+10^(-1/(AO79-AQ79))), AND(AO79&lt;&gt;"Undetermined", AQ79&lt;&gt;"Undetermined", AO79=AQ79&gt;0), -100)</f>
        <v>Undetermined</v>
      </c>
      <c r="AT79" s="159" cm="1">
        <f t="array" ref="AT79">_xlfn.IFS(AS79="Undetermined", 0, AS79="Undiluted", AP79*$G79/$F79*1000, AS79="Ten-Fold", AR79*$G79/$F79*1000*10, AS79&lt;0, AR79*$G79/$F79*1000*10, AS79&lt;120, AP79*$G79/$F79*1000, AS79&gt;120, AR79*$G79/$F79*1000*10)</f>
        <v>0</v>
      </c>
      <c r="AU79" s="156" t="str">
        <f t="shared" si="34"/>
        <v>DELETE</v>
      </c>
      <c r="AV79" s="156" t="str">
        <f t="shared" si="35"/>
        <v>DELETE</v>
      </c>
      <c r="AW79" s="156" t="str">
        <f t="shared" si="36"/>
        <v>DELETE</v>
      </c>
      <c r="AX79" s="160" t="str" cm="1">
        <f t="array" ref="AX79">_xlfn.IFS(AU79="DELETE", "DELETE", AU79=0, 0, AU79&gt;0,LOG10(AU79))</f>
        <v>DELETE</v>
      </c>
      <c r="AY79" s="161" t="str" cm="1">
        <f t="array" ref="AY79">_xlfn.IFS(AU79="DELETE", "DELETE", AU79=0, 0, AU79&gt;0, AW79/AU79/LN(10))</f>
        <v>DELETE</v>
      </c>
      <c r="AZ79" s="120">
        <f>qPCR_Raw!AG79</f>
        <v>34.35772705078125</v>
      </c>
      <c r="BA79" s="121" cm="1">
        <f t="array" ref="BA79">_xlfn.IFS(AZ79="Undetermined", 0, qPCR_Raw!AH79&lt;=1, 0, qPCR_Raw!AH79&gt;1, qPCR_Raw!AH79)</f>
        <v>8.5646352767944336</v>
      </c>
      <c r="BB79" s="122" t="str">
        <f>qPCR_Raw!AJ79</f>
        <v>Undetermined</v>
      </c>
      <c r="BC79" s="121" cm="1">
        <f t="array" ref="BC79">_xlfn.IFS(BB79="Undetermined", 0, qPCR_Raw!AK79&lt;=1, 0, qPCR_Raw!AK79&gt;1, qPCR_Raw!AK79)</f>
        <v>0</v>
      </c>
      <c r="BD79" s="123" t="str" cm="1">
        <f t="array" ref="BD79">_xlfn.IFS(AND(AZ79="Undetermined", BB79="Undetermined"), "Undetermined", AND(BA79=0, BC79=0), "Undetermined", AND(BA79=0, BC79&gt;0), "Ten-Fold", AND(BA79&gt;0, BC79=0), "Undiluted", AND(AZ79&lt;&gt;"Undetermined", BB79&lt;&gt;"Undetermined", BA79&gt;0, BC79&gt;0, AZ79&lt;&gt;BB79), 100*(-1+10^(-1/(AZ79-BB79))), AND(AZ79&lt;&gt;"Undetermined", BB79&lt;&gt;"Undetermined", AZ79=BB79&gt;0), -100)</f>
        <v>Undiluted</v>
      </c>
      <c r="BE79" s="124" cm="1">
        <f t="array" ref="BE79">_xlfn.IFS(BD79="Undetermined", 0, BD79="Undiluted", BA79*$G79/$F79*1000, BD79="Ten-Fold", BC79*$G79/$F79*1000*10, BD79&lt;0, BC79*$G79/$F79*1000*10, BD79&lt;120, BA79*$G79/$F79*1000, BD79&gt;120, BC79*$G79/$F79*1000*10)</f>
        <v>892.14950799942017</v>
      </c>
      <c r="BF79" s="121" t="str">
        <f t="shared" si="31"/>
        <v>DELETE</v>
      </c>
      <c r="BG79" s="121" t="str">
        <f t="shared" si="32"/>
        <v>DELETE</v>
      </c>
      <c r="BH79" s="121" t="str">
        <f t="shared" si="33"/>
        <v>DELETE</v>
      </c>
      <c r="BI79" s="125" t="str" cm="1">
        <f t="array" ref="BI79">_xlfn.IFS(BF79="DELETE", "DELETE", BF79=0, 0, BF79&gt;0,LOG10(BF79))</f>
        <v>DELETE</v>
      </c>
      <c r="BJ79" s="126" t="str" cm="1">
        <f t="array" ref="BJ79">_xlfn.IFS(BF79="DELETE", "DELETE", BF79=0, 0, BF79&gt;0, BH79/BF79/LN(10))</f>
        <v>DELETE</v>
      </c>
    </row>
    <row r="80" spans="1:62" s="114" customFormat="1" x14ac:dyDescent="0.3">
      <c r="A80" s="115" t="str">
        <f>UPPER(LEFT(SUBSTITUTE(SUBSTITUTE(qPCR_Raw!A80,"-","")," ",""),2))&amp;RIGHT(SUBSTITUTE(SUBSTITUTE(qPCR_Raw!A80,"-","")," ",""),LEN(SUBSTITUTE(SUBSTITUTE(qPCR_Raw!A80,"-","")," ",""))-2)</f>
        <v>RW6</v>
      </c>
      <c r="B80" s="116" t="str" cm="1">
        <f t="array" ref="B80">_xlfn.IFS(LEFT(A80, LEN(A80)-1)="EP", "EP", LEFT(A80, LEN(A80)-1)="STa", "SPI", LEFT(A80, LEN(A80)-1)="STb", "SPO", LEFT(A80, LEN(A80)-1)="MRT", "MRT", LEFT(A80, LEN(A80)-1)="RG", "RN", LEFT(A80, LEN(A80)-1)="RT", "RU", LEFT(A80, LEN(A80)-1)="RW", "RL", LEFT(A80, LEN(A80)-1)="RC", "RS")</f>
        <v>RL</v>
      </c>
      <c r="C80" s="117">
        <f>qPCR_Raw!B80</f>
        <v>44370</v>
      </c>
      <c r="D80" s="117" t="str">
        <f t="shared" si="17"/>
        <v>RL44370</v>
      </c>
      <c r="E80" s="117" t="str">
        <f t="shared" si="18"/>
        <v>RL443706</v>
      </c>
      <c r="F80" s="118">
        <f>qPCR_Raw!C80</f>
        <v>838</v>
      </c>
      <c r="G80" s="119">
        <f>qPCR_Raw!F80</f>
        <v>100</v>
      </c>
      <c r="H80" s="120">
        <f>qPCR_Raw!G80</f>
        <v>15.148251533508301</v>
      </c>
      <c r="I80" s="121" cm="1">
        <f t="array" ref="I80">_xlfn.IFS(H80="Undetermined", 0, qPCR_Raw!H80-qPCR_Raw!$H$242&lt;0, 0, qPCR_Raw!H80-qPCR_Raw!$H$242&gt;0, qPCR_Raw!H80-qPCR_Raw!$H$242)</f>
        <v>2555739.1114461264</v>
      </c>
      <c r="J80" s="122">
        <f>qPCR_Raw!K80</f>
        <v>18.501974105834961</v>
      </c>
      <c r="K80" s="121" cm="1">
        <f t="array" ref="K80">_xlfn.IFS(J80="Undetermined", 0, qPCR_Raw!L80-qPCR_Raw!$H$242&lt;0, 0, qPCR_Raw!L80-qPCR_Raw!$H$242&gt;0, qPCR_Raw!L80-qPCR_Raw!$H$242)</f>
        <v>275690.92394612631</v>
      </c>
      <c r="L80" s="123" cm="1">
        <f t="array" ref="L80">_xlfn.IFS(AND(H80="Undetermined", J80="Undetermined"), "Undetermined", AND(I80=0, K80=0), "Undetermined", AND(I80=0, K80&gt;0), "Ten-Fold", AND(I80&gt;0, K80=0), "Undiluted", AND(H80&lt;&gt;"Undetermined", J80&lt;&gt;"Undetermined", I80&gt;0, K80&gt;0), 100*(-1+10^(-1/(H80-J80))))</f>
        <v>98.690052590961713</v>
      </c>
      <c r="M80" s="124" cm="1">
        <f t="array" ref="M80">_xlfn.IFS(L80="Undetermined", 0, L80="Undiluted", I80*$G80/$F80*1000, L80="Ten-Fold", K80*$G80/$F80*1000*10, L80&lt;0, K80*$G80/$F80*1000*10, L80&lt;120, I80*$G80/$F80*1000, L80&gt;120, K80*$G80/$F80*1000*10)</f>
        <v>304980800.88855928</v>
      </c>
      <c r="N80" s="121">
        <f t="shared" si="19"/>
        <v>298887823.46990538</v>
      </c>
      <c r="O80" s="121">
        <f t="shared" si="20"/>
        <v>8616771.3006934058</v>
      </c>
      <c r="P80" s="121">
        <f t="shared" si="21"/>
        <v>6092977.4186539343</v>
      </c>
      <c r="Q80" s="125" cm="1">
        <f t="array" ref="Q80">_xlfn.IFS(N80="DELETE", "DELETE", N80=0, 0, N80&gt;0,LOG10(N80))</f>
        <v>8.4755082224747227</v>
      </c>
      <c r="R80" s="126" cm="1">
        <f t="array" ref="R80">_xlfn.IFS(N80="DELETE", "DELETE", N80=0, 0, N80&gt;0, P80/N80/LN(10))</f>
        <v>8.8533097152047758E-3</v>
      </c>
      <c r="S80" s="155" t="str">
        <f>qPCR_Raw!O80</f>
        <v>Undetermined</v>
      </c>
      <c r="T80" s="156" cm="1">
        <f t="array" ref="T80">_xlfn.IFS(S80="Undetermined", 0, qPCR_Raw!P80&lt;=1, 0, qPCR_Raw!P80&gt;1, qPCR_Raw!P80)</f>
        <v>0</v>
      </c>
      <c r="U80" s="157" t="str">
        <f>qPCR_Raw!R80</f>
        <v>Undetermined</v>
      </c>
      <c r="V80" s="156" cm="1">
        <f t="array" ref="V80">_xlfn.IFS(U80="Undetermined", 0, qPCR_Raw!S80&lt;=1, 0, qPCR_Raw!S80&gt;1, qPCR_Raw!S80)</f>
        <v>0</v>
      </c>
      <c r="W80" s="158" t="str" cm="1">
        <f t="array" ref="W80">_xlfn.IFS(AND(S80="Undetermined", U80="Undetermined"), "Undetermined", AND(T80=0, V80=0), "Undetermined", AND(T80=0, V80&gt;0), "Ten-Fold", AND(T80&gt;0, V80=0), "Undiluted", AND(S80&lt;&gt;"Undetermined", U80&lt;&gt;"Undetermined", T80&gt;0, V80&gt;0, S80&lt;&gt;U80), 100*(-1+10^(-1/(S80-U80))), AND(S80&lt;&gt;"Undetermined", U80&lt;&gt;"Undetermined", S80=U80&gt;0), -100)</f>
        <v>Undetermined</v>
      </c>
      <c r="X80" s="159" cm="1">
        <f t="array" ref="X80">_xlfn.IFS(W80="Undetermined", 0, W80="Undiluted", T80*$G80/$F80*1000, W80="Ten-Fold", V80*$G80/$F80*1000*10, W80&lt;0, V80*$G80/$F80*1000*10, W80&lt;120, T80*$G80/$F80*1000, W80&gt;120, V80*$G80/$F80*1000*10)</f>
        <v>0</v>
      </c>
      <c r="Y80" s="156">
        <f t="shared" si="22"/>
        <v>0</v>
      </c>
      <c r="Z80" s="156">
        <f t="shared" si="23"/>
        <v>0</v>
      </c>
      <c r="AA80" s="156">
        <f t="shared" si="24"/>
        <v>0</v>
      </c>
      <c r="AB80" s="160" cm="1">
        <f t="array" ref="AB80">_xlfn.IFS(Y80="DELETE", "DELETE", Y80=0, 0, Y80&gt;0,LOG10(Y80))</f>
        <v>0</v>
      </c>
      <c r="AC80" s="161" cm="1">
        <f t="array" ref="AC80">_xlfn.IFS(Y80="DELETE", "DELETE", Y80=0, 0, Y80&gt;0, AA80/Y80/LN(10))</f>
        <v>0</v>
      </c>
      <c r="AD80" s="120">
        <f>qPCR_Raw!U80</f>
        <v>23.020088195800781</v>
      </c>
      <c r="AE80" s="121" cm="1">
        <f t="array" ref="AE80">_xlfn.IFS(AD80="Undetermined", 0, qPCR_Raw!V80&lt;=1, 0, qPCR_Raw!V80&gt;1, qPCR_Raw!V80)</f>
        <v>4120.5009765625</v>
      </c>
      <c r="AF80" s="122">
        <f>qPCR_Raw!X80</f>
        <v>26.323911666870117</v>
      </c>
      <c r="AG80" s="121" cm="1">
        <f t="array" ref="AG80">_xlfn.IFS(AF80="Undetermined", 0, qPCR_Raw!Y80&lt;=1, 0, qPCR_Raw!Y80&gt;1, qPCR_Raw!Y80)</f>
        <v>488.0577392578125</v>
      </c>
      <c r="AH80" s="123" cm="1">
        <f t="array" ref="AH80">_xlfn.IFS(AND(AD80="Undetermined", AF80="Undetermined"), "Undetermined", AND(AE80=0, AG80=0), "Undetermined", AND(AE80=0, AG80&gt;0), "Ten-Fold", AND(AE80&gt;0, AG80=0), "Undiluted", AND(AD80&lt;&gt;"Undetermined", AF80&lt;&gt;"Undetermined", AE80&gt;0, AG80&gt;0, AD80&lt;&gt;AF80), 100*(-1+10^(-1/(AD80-AF80))), AND(AD80&lt;&gt;"Undetermined", AF80&lt;&gt;"Undetermined", AD80=AF80&gt;0), -100)</f>
        <v>100.76112010887601</v>
      </c>
      <c r="AI80" s="124" cm="1">
        <f t="array" ref="AI80">_xlfn.IFS(AH80="Undetermined", 0, AH80="Undiluted", AE80*$G80/$F80*1000, AH80="Ten-Fold", AG80*$G80/$F80*1000*10, AH80&lt;0, AG80*$G80/$F80*1000*10, AH80&lt;120, AE80*$G80/$F80*1000, AH80&gt;120, AG80*$G80/$F80*1000*10)</f>
        <v>491706.56044898566</v>
      </c>
      <c r="AJ80" s="121">
        <f t="shared" si="25"/>
        <v>245918.54102554324</v>
      </c>
      <c r="AK80" s="121">
        <f t="shared" si="26"/>
        <v>347596.75053745398</v>
      </c>
      <c r="AL80" s="121">
        <f t="shared" si="27"/>
        <v>245788.0194234424</v>
      </c>
      <c r="AM80" s="125" cm="1">
        <f t="array" ref="AM80">_xlfn.IFS(AJ80="DELETE", "DELETE", AJ80=0, 0, AJ80&gt;0,LOG10(AJ80))</f>
        <v>5.3907912736005485</v>
      </c>
      <c r="AN80" s="126" cm="1">
        <f t="array" ref="AN80">_xlfn.IFS(AJ80="DELETE", "DELETE", AJ80=0, 0, AJ80&gt;0, AL80/AJ80/LN(10))</f>
        <v>0.43406397951280501</v>
      </c>
      <c r="AO80" s="155">
        <f>qPCR_Raw!AA80</f>
        <v>29.559635162353516</v>
      </c>
      <c r="AP80" s="156" cm="1">
        <f t="array" ref="AP80">_xlfn.IFS(AO80="Undetermined", 0, qPCR_Raw!AB80&lt;=6, 0, qPCR_Raw!AB80&gt;6, qPCR_Raw!AB80)</f>
        <v>0</v>
      </c>
      <c r="AQ80" s="157">
        <f>qPCR_Raw!AD80</f>
        <v>30.747957229614258</v>
      </c>
      <c r="AR80" s="156" cm="1">
        <f t="array" ref="AR80">_xlfn.IFS(AQ80="Undetermined", 0, qPCR_Raw!AE80&lt;=6, 0, qPCR_Raw!AE80&gt;6, qPCR_Raw!AE80)</f>
        <v>0</v>
      </c>
      <c r="AS80" s="158" t="str" cm="1">
        <f t="array" ref="AS80">_xlfn.IFS(AND(AO80="Undetermined", AQ80="Undetermined"), "Undetermined", AND(AP80=0, AR80=0), "Undetermined", AND(AP80=0, AR80&gt;0), "Ten-Fold", AND(AP80&gt;0, AR80=0), "Undiluted", AND(AO80&lt;&gt;"Undetermined", AQ80&lt;&gt;"Undetermined", AP80&gt;0, AR80&gt;0, AO80&lt;&gt;AQ80), 100*(-1+10^(-1/(AO80-AQ80))), AND(AO80&lt;&gt;"Undetermined", AQ80&lt;&gt;"Undetermined", AO80=AQ80&gt;0), -100)</f>
        <v>Undetermined</v>
      </c>
      <c r="AT80" s="159" cm="1">
        <f t="array" ref="AT80">_xlfn.IFS(AS80="Undetermined", 0, AS80="Undiluted", AP80*$G80/$F80*1000, AS80="Ten-Fold", AR80*$G80/$F80*1000*10, AS80&lt;0, AR80*$G80/$F80*1000*10, AS80&lt;120, AP80*$G80/$F80*1000, AS80&gt;120, AR80*$G80/$F80*1000*10)</f>
        <v>0</v>
      </c>
      <c r="AU80" s="156">
        <f t="shared" si="34"/>
        <v>0</v>
      </c>
      <c r="AV80" s="156">
        <f t="shared" si="35"/>
        <v>0</v>
      </c>
      <c r="AW80" s="156">
        <f t="shared" si="36"/>
        <v>0</v>
      </c>
      <c r="AX80" s="160" cm="1">
        <f t="array" ref="AX80">_xlfn.IFS(AU80="DELETE", "DELETE", AU80=0, 0, AU80&gt;0,LOG10(AU80))</f>
        <v>0</v>
      </c>
      <c r="AY80" s="161" cm="1">
        <f t="array" ref="AY80">_xlfn.IFS(AU80="DELETE", "DELETE", AU80=0, 0, AU80&gt;0, AW80/AU80/LN(10))</f>
        <v>0</v>
      </c>
      <c r="AZ80" s="120">
        <f>qPCR_Raw!AG80</f>
        <v>33.396800994873047</v>
      </c>
      <c r="BA80" s="121" cm="1">
        <f t="array" ref="BA80">_xlfn.IFS(AZ80="Undetermined", 0, qPCR_Raw!AH80&lt;=1, 0, qPCR_Raw!AH80&gt;1, qPCR_Raw!AH80)</f>
        <v>15.561595916748047</v>
      </c>
      <c r="BB80" s="122">
        <f>qPCR_Raw!AJ80</f>
        <v>39.210845947265625</v>
      </c>
      <c r="BC80" s="121" cm="1">
        <f t="array" ref="BC80">_xlfn.IFS(BB80="Undetermined", 0, qPCR_Raw!AK80&lt;=1, 0, qPCR_Raw!AK80&gt;1, qPCR_Raw!AK80)</f>
        <v>0</v>
      </c>
      <c r="BD80" s="123" t="str" cm="1">
        <f t="array" ref="BD80">_xlfn.IFS(AND(AZ80="Undetermined", BB80="Undetermined"), "Undetermined", AND(BA80=0, BC80=0), "Undetermined", AND(BA80=0, BC80&gt;0), "Ten-Fold", AND(BA80&gt;0, BC80=0), "Undiluted", AND(AZ80&lt;&gt;"Undetermined", BB80&lt;&gt;"Undetermined", BA80&gt;0, BC80&gt;0, AZ80&lt;&gt;BB80), 100*(-1+10^(-1/(AZ80-BB80))), AND(AZ80&lt;&gt;"Undetermined", BB80&lt;&gt;"Undetermined", AZ80=BB80&gt;0), -100)</f>
        <v>Undiluted</v>
      </c>
      <c r="BE80" s="124" cm="1">
        <f t="array" ref="BE80">_xlfn.IFS(BD80="Undetermined", 0, BD80="Undiluted", BA80*$G80/$F80*1000, BD80="Ten-Fold", BC80*$G80/$F80*1000*10, BD80&lt;0, BC80*$G80/$F80*1000*10, BD80&lt;120, BA80*$G80/$F80*1000, BD80&gt;120, BC80*$G80/$F80*1000*10)</f>
        <v>1856.9923528338959</v>
      </c>
      <c r="BF80" s="121">
        <f t="shared" si="31"/>
        <v>928.49617641694795</v>
      </c>
      <c r="BG80" s="121">
        <f t="shared" si="32"/>
        <v>1313.0918853004098</v>
      </c>
      <c r="BH80" s="121">
        <f t="shared" si="33"/>
        <v>928.49617641694795</v>
      </c>
      <c r="BI80" s="125" cm="1">
        <f t="array" ref="BI80">_xlfn.IFS(BF80="DELETE", "DELETE", BF80=0, 0, BF80&gt;0,LOG10(BF80))</f>
        <v>2.9677801196380611</v>
      </c>
      <c r="BJ80" s="126" cm="1">
        <f t="array" ref="BJ80">_xlfn.IFS(BF80="DELETE", "DELETE", BF80=0, 0, BF80&gt;0, BH80/BF80/LN(10))</f>
        <v>0.43429448190325176</v>
      </c>
    </row>
    <row r="81" spans="1:62" s="114" customFormat="1" x14ac:dyDescent="0.3">
      <c r="A81" s="115" t="str">
        <f>UPPER(LEFT(SUBSTITUTE(SUBSTITUTE(qPCR_Raw!A81,"-","")," ",""),2))&amp;RIGHT(SUBSTITUTE(SUBSTITUTE(qPCR_Raw!A81,"-","")," ",""),LEN(SUBSTITUTE(SUBSTITUTE(qPCR_Raw!A81,"-","")," ",""))-2)</f>
        <v>RW7</v>
      </c>
      <c r="B81" s="116" t="str" cm="1">
        <f t="array" ref="B81">_xlfn.IFS(LEFT(A81, LEN(A81)-1)="EP", "EP", LEFT(A81, LEN(A81)-1)="STa", "SPI", LEFT(A81, LEN(A81)-1)="STb", "SPO", LEFT(A81, LEN(A81)-1)="MRT", "MRT", LEFT(A81, LEN(A81)-1)="RG", "RN", LEFT(A81, LEN(A81)-1)="RT", "RU", LEFT(A81, LEN(A81)-1)="RW", "RL", LEFT(A81, LEN(A81)-1)="RC", "RS")</f>
        <v>RL</v>
      </c>
      <c r="C81" s="117">
        <f>qPCR_Raw!B81</f>
        <v>44370</v>
      </c>
      <c r="D81" s="117" t="str">
        <f t="shared" si="17"/>
        <v>RL44370</v>
      </c>
      <c r="E81" s="117" t="str">
        <f t="shared" si="18"/>
        <v>RL443707</v>
      </c>
      <c r="F81" s="118">
        <f>qPCR_Raw!C81</f>
        <v>900</v>
      </c>
      <c r="G81" s="119">
        <f>qPCR_Raw!F81</f>
        <v>100</v>
      </c>
      <c r="H81" s="120">
        <f>qPCR_Raw!G81</f>
        <v>15.992849349975586</v>
      </c>
      <c r="I81" s="121" cm="1">
        <f t="array" ref="I81">_xlfn.IFS(H81="Undetermined", 0, qPCR_Raw!H81-qPCR_Raw!$H$242&lt;0, 0, qPCR_Raw!H81-qPCR_Raw!$H$242&gt;0, qPCR_Raw!H81-qPCR_Raw!$H$242)</f>
        <v>1468320.2364461264</v>
      </c>
      <c r="J81" s="122">
        <f>qPCR_Raw!K81</f>
        <v>18.568090438842773</v>
      </c>
      <c r="K81" s="121" cm="1">
        <f t="array" ref="K81">_xlfn.IFS(J81="Undetermined", 0, qPCR_Raw!L81-qPCR_Raw!$H$242&lt;0, 0, qPCR_Raw!L81-qPCR_Raw!$H$242&gt;0, qPCR_Raw!L81-qPCR_Raw!$H$242)</f>
        <v>263515.36144612631</v>
      </c>
      <c r="L81" s="123" cm="1">
        <f t="array" ref="L81">_xlfn.IFS(AND(H81="Undetermined", J81="Undetermined"), "Undetermined", AND(I81=0, K81=0), "Undetermined", AND(I81=0, K81&gt;0), "Ten-Fold", AND(I81&gt;0, K81=0), "Undiluted", AND(H81&lt;&gt;"Undetermined", J81&lt;&gt;"Undetermined", I81&gt;0, K81&gt;0), 100*(-1+10^(-1/(H81-J81))))</f>
        <v>144.51930801044705</v>
      </c>
      <c r="M81" s="124" cm="1">
        <f t="array" ref="M81">_xlfn.IFS(L81="Undetermined", 0, L81="Undiluted", I81*$G81/$F81*1000, L81="Ten-Fold", K81*$G81/$F81*1000*10, L81&lt;0, K81*$G81/$F81*1000*10, L81&lt;120, I81*$G81/$F81*1000, L81&gt;120, K81*$G81/$F81*1000*10)</f>
        <v>292794846.05125141</v>
      </c>
      <c r="N81" s="121" t="str">
        <f t="shared" si="19"/>
        <v>DELETE</v>
      </c>
      <c r="O81" s="121" t="str">
        <f t="shared" si="20"/>
        <v>DELETE</v>
      </c>
      <c r="P81" s="121" t="str">
        <f t="shared" si="21"/>
        <v>DELETE</v>
      </c>
      <c r="Q81" s="125" t="str" cm="1">
        <f t="array" ref="Q81">_xlfn.IFS(N81="DELETE", "DELETE", N81=0, 0, N81&gt;0,LOG10(N81))</f>
        <v>DELETE</v>
      </c>
      <c r="R81" s="126" t="str" cm="1">
        <f t="array" ref="R81">_xlfn.IFS(N81="DELETE", "DELETE", N81=0, 0, N81&gt;0, P81/N81/LN(10))</f>
        <v>DELETE</v>
      </c>
      <c r="S81" s="155" t="str">
        <f>qPCR_Raw!O81</f>
        <v>Undetermined</v>
      </c>
      <c r="T81" s="156" cm="1">
        <f t="array" ref="T81">_xlfn.IFS(S81="Undetermined", 0, qPCR_Raw!P81&lt;=1, 0, qPCR_Raw!P81&gt;1, qPCR_Raw!P81)</f>
        <v>0</v>
      </c>
      <c r="U81" s="157" t="str">
        <f>qPCR_Raw!R81</f>
        <v>Undetermined</v>
      </c>
      <c r="V81" s="156" cm="1">
        <f t="array" ref="V81">_xlfn.IFS(U81="Undetermined", 0, qPCR_Raw!S81&lt;=1, 0, qPCR_Raw!S81&gt;1, qPCR_Raw!S81)</f>
        <v>0</v>
      </c>
      <c r="W81" s="158" t="str" cm="1">
        <f t="array" ref="W81">_xlfn.IFS(AND(S81="Undetermined", U81="Undetermined"), "Undetermined", AND(T81=0, V81=0), "Undetermined", AND(T81=0, V81&gt;0), "Ten-Fold", AND(T81&gt;0, V81=0), "Undiluted", AND(S81&lt;&gt;"Undetermined", U81&lt;&gt;"Undetermined", T81&gt;0, V81&gt;0, S81&lt;&gt;U81), 100*(-1+10^(-1/(S81-U81))), AND(S81&lt;&gt;"Undetermined", U81&lt;&gt;"Undetermined", S81=U81&gt;0), -100)</f>
        <v>Undetermined</v>
      </c>
      <c r="X81" s="159" cm="1">
        <f t="array" ref="X81">_xlfn.IFS(W81="Undetermined", 0, W81="Undiluted", T81*$G81/$F81*1000, W81="Ten-Fold", V81*$G81/$F81*1000*10, W81&lt;0, V81*$G81/$F81*1000*10, W81&lt;120, T81*$G81/$F81*1000, W81&gt;120, V81*$G81/$F81*1000*10)</f>
        <v>0</v>
      </c>
      <c r="Y81" s="156" t="str">
        <f t="shared" si="22"/>
        <v>DELETE</v>
      </c>
      <c r="Z81" s="156" t="str">
        <f t="shared" si="23"/>
        <v>DELETE</v>
      </c>
      <c r="AA81" s="156" t="str">
        <f t="shared" si="24"/>
        <v>DELETE</v>
      </c>
      <c r="AB81" s="160" t="str" cm="1">
        <f t="array" ref="AB81">_xlfn.IFS(Y81="DELETE", "DELETE", Y81=0, 0, Y81&gt;0,LOG10(Y81))</f>
        <v>DELETE</v>
      </c>
      <c r="AC81" s="161" t="str" cm="1">
        <f t="array" ref="AC81">_xlfn.IFS(Y81="DELETE", "DELETE", Y81=0, 0, Y81&gt;0, AA81/Y81/LN(10))</f>
        <v>DELETE</v>
      </c>
      <c r="AD81" s="120">
        <f>qPCR_Raw!U81</f>
        <v>35.661647796630859</v>
      </c>
      <c r="AE81" s="121" cm="1">
        <f t="array" ref="AE81">_xlfn.IFS(AD81="Undetermined", 0, qPCR_Raw!V81&lt;=1, 0, qPCR_Raw!V81&gt;1, qPCR_Raw!V81)</f>
        <v>1.1746944189071655</v>
      </c>
      <c r="AF81" s="122">
        <f>qPCR_Raw!X81</f>
        <v>38.538246154785156</v>
      </c>
      <c r="AG81" s="121" cm="1">
        <f t="array" ref="AG81">_xlfn.IFS(AF81="Undetermined", 0, qPCR_Raw!Y81&lt;=1, 0, qPCR_Raw!Y81&gt;1, qPCR_Raw!Y81)</f>
        <v>0</v>
      </c>
      <c r="AH81" s="123" t="str" cm="1">
        <f t="array" ref="AH81">_xlfn.IFS(AND(AD81="Undetermined", AF81="Undetermined"), "Undetermined", AND(AE81=0, AG81=0), "Undetermined", AND(AE81=0, AG81&gt;0), "Ten-Fold", AND(AE81&gt;0, AG81=0), "Undiluted", AND(AD81&lt;&gt;"Undetermined", AF81&lt;&gt;"Undetermined", AE81&gt;0, AG81&gt;0, AD81&lt;&gt;AF81), 100*(-1+10^(-1/(AD81-AF81))), AND(AD81&lt;&gt;"Undetermined", AF81&lt;&gt;"Undetermined", AD81=AF81&gt;0), -100)</f>
        <v>Undiluted</v>
      </c>
      <c r="AI81" s="124" cm="1">
        <f t="array" ref="AI81">_xlfn.IFS(AH81="Undetermined", 0, AH81="Undiluted", AE81*$G81/$F81*1000, AH81="Ten-Fold", AG81*$G81/$F81*1000*10, AH81&lt;0, AG81*$G81/$F81*1000*10, AH81&lt;120, AE81*$G81/$F81*1000, AH81&gt;120, AG81*$G81/$F81*1000*10)</f>
        <v>130.52160210079617</v>
      </c>
      <c r="AJ81" s="121" t="str">
        <f t="shared" si="25"/>
        <v>DELETE</v>
      </c>
      <c r="AK81" s="121" t="str">
        <f t="shared" si="26"/>
        <v>DELETE</v>
      </c>
      <c r="AL81" s="121" t="str">
        <f t="shared" si="27"/>
        <v>DELETE</v>
      </c>
      <c r="AM81" s="125" t="str" cm="1">
        <f t="array" ref="AM81">_xlfn.IFS(AJ81="DELETE", "DELETE", AJ81=0, 0, AJ81&gt;0,LOG10(AJ81))</f>
        <v>DELETE</v>
      </c>
      <c r="AN81" s="126" t="str" cm="1">
        <f t="array" ref="AN81">_xlfn.IFS(AJ81="DELETE", "DELETE", AJ81=0, 0, AJ81&gt;0, AL81/AJ81/LN(10))</f>
        <v>DELETE</v>
      </c>
      <c r="AO81" s="155">
        <f>qPCR_Raw!AA81</f>
        <v>29.584606170654297</v>
      </c>
      <c r="AP81" s="156" cm="1">
        <f t="array" ref="AP81">_xlfn.IFS(AO81="Undetermined", 0, qPCR_Raw!AB81&lt;=6, 0, qPCR_Raw!AB81&gt;6, qPCR_Raw!AB81)</f>
        <v>0</v>
      </c>
      <c r="AQ81" s="157" t="str">
        <f>qPCR_Raw!AD81</f>
        <v>Undetermined</v>
      </c>
      <c r="AR81" s="156" cm="1">
        <f t="array" ref="AR81">_xlfn.IFS(AQ81="Undetermined", 0, qPCR_Raw!AE81&lt;=6, 0, qPCR_Raw!AE81&gt;6, qPCR_Raw!AE81)</f>
        <v>0</v>
      </c>
      <c r="AS81" s="158" t="str" cm="1">
        <f t="array" ref="AS81">_xlfn.IFS(AND(AO81="Undetermined", AQ81="Undetermined"), "Undetermined", AND(AP81=0, AR81=0), "Undetermined", AND(AP81=0, AR81&gt;0), "Ten-Fold", AND(AP81&gt;0, AR81=0), "Undiluted", AND(AO81&lt;&gt;"Undetermined", AQ81&lt;&gt;"Undetermined", AP81&gt;0, AR81&gt;0, AO81&lt;&gt;AQ81), 100*(-1+10^(-1/(AO81-AQ81))), AND(AO81&lt;&gt;"Undetermined", AQ81&lt;&gt;"Undetermined", AO81=AQ81&gt;0), -100)</f>
        <v>Undetermined</v>
      </c>
      <c r="AT81" s="159" cm="1">
        <f t="array" ref="AT81">_xlfn.IFS(AS81="Undetermined", 0, AS81="Undiluted", AP81*$G81/$F81*1000, AS81="Ten-Fold", AR81*$G81/$F81*1000*10, AS81&lt;0, AR81*$G81/$F81*1000*10, AS81&lt;120, AP81*$G81/$F81*1000, AS81&gt;120, AR81*$G81/$F81*1000*10)</f>
        <v>0</v>
      </c>
      <c r="AU81" s="156" t="str">
        <f t="shared" si="34"/>
        <v>DELETE</v>
      </c>
      <c r="AV81" s="156" t="str">
        <f t="shared" si="35"/>
        <v>DELETE</v>
      </c>
      <c r="AW81" s="156" t="str">
        <f t="shared" si="36"/>
        <v>DELETE</v>
      </c>
      <c r="AX81" s="160" t="str" cm="1">
        <f t="array" ref="AX81">_xlfn.IFS(AU81="DELETE", "DELETE", AU81=0, 0, AU81&gt;0,LOG10(AU81))</f>
        <v>DELETE</v>
      </c>
      <c r="AY81" s="161" t="str" cm="1">
        <f t="array" ref="AY81">_xlfn.IFS(AU81="DELETE", "DELETE", AU81=0, 0, AU81&gt;0, AW81/AU81/LN(10))</f>
        <v>DELETE</v>
      </c>
      <c r="AZ81" s="120" t="str">
        <f>qPCR_Raw!AG81</f>
        <v>Undetermined</v>
      </c>
      <c r="BA81" s="121" cm="1">
        <f t="array" ref="BA81">_xlfn.IFS(AZ81="Undetermined", 0, qPCR_Raw!AH81&lt;=1, 0, qPCR_Raw!AH81&gt;1, qPCR_Raw!AH81)</f>
        <v>0</v>
      </c>
      <c r="BB81" s="122" t="str">
        <f>qPCR_Raw!AJ81</f>
        <v>Undetermined</v>
      </c>
      <c r="BC81" s="121" cm="1">
        <f t="array" ref="BC81">_xlfn.IFS(BB81="Undetermined", 0, qPCR_Raw!AK81&lt;=1, 0, qPCR_Raw!AK81&gt;1, qPCR_Raw!AK81)</f>
        <v>0</v>
      </c>
      <c r="BD81" s="123" t="str" cm="1">
        <f t="array" ref="BD81">_xlfn.IFS(AND(AZ81="Undetermined", BB81="Undetermined"), "Undetermined", AND(BA81=0, BC81=0), "Undetermined", AND(BA81=0, BC81&gt;0), "Ten-Fold", AND(BA81&gt;0, BC81=0), "Undiluted", AND(AZ81&lt;&gt;"Undetermined", BB81&lt;&gt;"Undetermined", BA81&gt;0, BC81&gt;0, AZ81&lt;&gt;BB81), 100*(-1+10^(-1/(AZ81-BB81))), AND(AZ81&lt;&gt;"Undetermined", BB81&lt;&gt;"Undetermined", AZ81=BB81&gt;0), -100)</f>
        <v>Undetermined</v>
      </c>
      <c r="BE81" s="124" cm="1">
        <f t="array" ref="BE81">_xlfn.IFS(BD81="Undetermined", 0, BD81="Undiluted", BA81*$G81/$F81*1000, BD81="Ten-Fold", BC81*$G81/$F81*1000*10, BD81&lt;0, BC81*$G81/$F81*1000*10, BD81&lt;120, BA81*$G81/$F81*1000, BD81&gt;120, BC81*$G81/$F81*1000*10)</f>
        <v>0</v>
      </c>
      <c r="BF81" s="121" t="str">
        <f t="shared" si="31"/>
        <v>DELETE</v>
      </c>
      <c r="BG81" s="121" t="str">
        <f t="shared" si="32"/>
        <v>DELETE</v>
      </c>
      <c r="BH81" s="121" t="str">
        <f t="shared" si="33"/>
        <v>DELETE</v>
      </c>
      <c r="BI81" s="125" t="str" cm="1">
        <f t="array" ref="BI81">_xlfn.IFS(BF81="DELETE", "DELETE", BF81=0, 0, BF81&gt;0,LOG10(BF81))</f>
        <v>DELETE</v>
      </c>
      <c r="BJ81" s="126" t="str" cm="1">
        <f t="array" ref="BJ81">_xlfn.IFS(BF81="DELETE", "DELETE", BF81=0, 0, BF81&gt;0, BH81/BF81/LN(10))</f>
        <v>DELETE</v>
      </c>
    </row>
    <row r="82" spans="1:62" s="114" customFormat="1" x14ac:dyDescent="0.3">
      <c r="A82" s="115" t="str">
        <f>UPPER(LEFT(SUBSTITUTE(SUBSTITUTE(qPCR_Raw!A82,"-","")," ",""),2))&amp;RIGHT(SUBSTITUTE(SUBSTITUTE(qPCR_Raw!A82,"-","")," ",""),LEN(SUBSTITUTE(SUBSTITUTE(qPCR_Raw!A82,"-","")," ",""))-2)</f>
        <v>MRT6</v>
      </c>
      <c r="B82" s="116" t="str" cm="1">
        <f t="array" ref="B82">_xlfn.IFS(LEFT(A82, LEN(A82)-1)="EP", "EP", LEFT(A82, LEN(A82)-1)="STa", "SPI", LEFT(A82, LEN(A82)-1)="STb", "SPO", LEFT(A82, LEN(A82)-1)="MRT", "MRT", LEFT(A82, LEN(A82)-1)="RG", "RN", LEFT(A82, LEN(A82)-1)="RT", "RU", LEFT(A82, LEN(A82)-1)="RW", "RL", LEFT(A82, LEN(A82)-1)="RC", "RS")</f>
        <v>MRT</v>
      </c>
      <c r="C82" s="117">
        <f>qPCR_Raw!B82</f>
        <v>44370</v>
      </c>
      <c r="D82" s="117" t="str">
        <f t="shared" si="17"/>
        <v>MRT44370</v>
      </c>
      <c r="E82" s="117" t="str">
        <f t="shared" si="18"/>
        <v>MRT443706</v>
      </c>
      <c r="F82" s="118">
        <f>qPCR_Raw!C82</f>
        <v>900</v>
      </c>
      <c r="G82" s="119">
        <f>qPCR_Raw!F82</f>
        <v>100</v>
      </c>
      <c r="H82" s="120">
        <f>qPCR_Raw!G82</f>
        <v>22.220300674438477</v>
      </c>
      <c r="I82" s="121" cm="1">
        <f t="array" ref="I82">_xlfn.IFS(H82="Undetermined", 0, qPCR_Raw!H82-qPCR_Raw!$H$242&lt;0, 0, qPCR_Raw!H82-qPCR_Raw!$H$242&gt;0, qPCR_Raw!H82-qPCR_Raw!$H$242)</f>
        <v>12596.832149251302</v>
      </c>
      <c r="J82" s="122">
        <f>qPCR_Raw!K82</f>
        <v>24.980480194091797</v>
      </c>
      <c r="K82" s="121" cm="1">
        <f t="array" ref="K82">_xlfn.IFS(J82="Undetermined", 0, qPCR_Raw!L82-qPCR_Raw!$H$242&lt;0, 0, qPCR_Raw!L82-qPCR_Raw!$H$242&gt;0, qPCR_Raw!L82-qPCR_Raw!$H$242)</f>
        <v>0</v>
      </c>
      <c r="L82" s="123" t="str" cm="1">
        <f t="array" ref="L82">_xlfn.IFS(AND(H82="Undetermined", J82="Undetermined"), "Undetermined", AND(I82=0, K82=0), "Undetermined", AND(I82=0, K82&gt;0), "Ten-Fold", AND(I82&gt;0, K82=0), "Undiluted", AND(H82&lt;&gt;"Undetermined", J82&lt;&gt;"Undetermined", I82&gt;0, K82&gt;0), 100*(-1+10^(-1/(H82-J82))))</f>
        <v>Undiluted</v>
      </c>
      <c r="M82" s="124" cm="1">
        <f t="array" ref="M82">_xlfn.IFS(L82="Undetermined", 0, L82="Undiluted", I82*$G82/$F82*1000, L82="Ten-Fold", K82*$G82/$F82*1000*10, L82&lt;0, K82*$G82/$F82*1000*10, L82&lt;120, I82*$G82/$F82*1000, L82&gt;120, K82*$G82/$F82*1000*10)</f>
        <v>1399648.0165834781</v>
      </c>
      <c r="N82" s="121">
        <f t="shared" si="19"/>
        <v>6951611.3340243362</v>
      </c>
      <c r="O82" s="121">
        <f t="shared" si="20"/>
        <v>7851661.8213227838</v>
      </c>
      <c r="P82" s="121">
        <f t="shared" si="21"/>
        <v>5551963.3174408581</v>
      </c>
      <c r="Q82" s="125" cm="1">
        <f t="array" ref="Q82">_xlfn.IFS(N82="DELETE", "DELETE", N82=0, 0, N82&gt;0,LOG10(N82))</f>
        <v>6.8420854826283053</v>
      </c>
      <c r="R82" s="126" cm="1">
        <f t="array" ref="R82">_xlfn.IFS(N82="DELETE", "DELETE", N82=0, 0, N82&gt;0, P82/N82/LN(10))</f>
        <v>0.34685296928100606</v>
      </c>
      <c r="S82" s="155" t="str">
        <f>qPCR_Raw!O82</f>
        <v>Undetermined</v>
      </c>
      <c r="T82" s="156" cm="1">
        <f t="array" ref="T82">_xlfn.IFS(S82="Undetermined", 0, qPCR_Raw!P82&lt;=1, 0, qPCR_Raw!P82&gt;1, qPCR_Raw!P82)</f>
        <v>0</v>
      </c>
      <c r="U82" s="157" t="str">
        <f>qPCR_Raw!R82</f>
        <v>Undetermined</v>
      </c>
      <c r="V82" s="156" cm="1">
        <f t="array" ref="V82">_xlfn.IFS(U82="Undetermined", 0, qPCR_Raw!S82&lt;=1, 0, qPCR_Raw!S82&gt;1, qPCR_Raw!S82)</f>
        <v>0</v>
      </c>
      <c r="W82" s="158" t="str" cm="1">
        <f t="array" ref="W82">_xlfn.IFS(AND(S82="Undetermined", U82="Undetermined"), "Undetermined", AND(T82=0, V82=0), "Undetermined", AND(T82=0, V82&gt;0), "Ten-Fold", AND(T82&gt;0, V82=0), "Undiluted", AND(S82&lt;&gt;"Undetermined", U82&lt;&gt;"Undetermined", T82&gt;0, V82&gt;0, S82&lt;&gt;U82), 100*(-1+10^(-1/(S82-U82))), AND(S82&lt;&gt;"Undetermined", U82&lt;&gt;"Undetermined", S82=U82&gt;0), -100)</f>
        <v>Undetermined</v>
      </c>
      <c r="X82" s="159" cm="1">
        <f t="array" ref="X82">_xlfn.IFS(W82="Undetermined", 0, W82="Undiluted", T82*$G82/$F82*1000, W82="Ten-Fold", V82*$G82/$F82*1000*10, W82&lt;0, V82*$G82/$F82*1000*10, W82&lt;120, T82*$G82/$F82*1000, W82&gt;120, V82*$G82/$F82*1000*10)</f>
        <v>0</v>
      </c>
      <c r="Y82" s="156">
        <f t="shared" si="22"/>
        <v>0</v>
      </c>
      <c r="Z82" s="156">
        <f t="shared" si="23"/>
        <v>0</v>
      </c>
      <c r="AA82" s="156">
        <f t="shared" si="24"/>
        <v>0</v>
      </c>
      <c r="AB82" s="160" cm="1">
        <f t="array" ref="AB82">_xlfn.IFS(Y82="DELETE", "DELETE", Y82=0, 0, Y82&gt;0,LOG10(Y82))</f>
        <v>0</v>
      </c>
      <c r="AC82" s="161" cm="1">
        <f t="array" ref="AC82">_xlfn.IFS(Y82="DELETE", "DELETE", Y82=0, 0, Y82&gt;0, AA82/Y82/LN(10))</f>
        <v>0</v>
      </c>
      <c r="AD82" s="120">
        <f>qPCR_Raw!U82</f>
        <v>35.457969665527344</v>
      </c>
      <c r="AE82" s="121" cm="1">
        <f t="array" ref="AE82">_xlfn.IFS(AD82="Undetermined", 0, qPCR_Raw!V82&lt;=1, 0, qPCR_Raw!V82&gt;1, qPCR_Raw!V82)</f>
        <v>1.339805006980896</v>
      </c>
      <c r="AF82" s="122">
        <f>qPCR_Raw!X82</f>
        <v>38.591323852539063</v>
      </c>
      <c r="AG82" s="121" cm="1">
        <f t="array" ref="AG82">_xlfn.IFS(AF82="Undetermined", 0, qPCR_Raw!Y82&lt;=1, 0, qPCR_Raw!Y82&gt;1, qPCR_Raw!Y82)</f>
        <v>0</v>
      </c>
      <c r="AH82" s="123" t="str" cm="1">
        <f t="array" ref="AH82">_xlfn.IFS(AND(AD82="Undetermined", AF82="Undetermined"), "Undetermined", AND(AE82=0, AG82=0), "Undetermined", AND(AE82=0, AG82&gt;0), "Ten-Fold", AND(AE82&gt;0, AG82=0), "Undiluted", AND(AD82&lt;&gt;"Undetermined", AF82&lt;&gt;"Undetermined", AE82&gt;0, AG82&gt;0, AD82&lt;&gt;AF82), 100*(-1+10^(-1/(AD82-AF82))), AND(AD82&lt;&gt;"Undetermined", AF82&lt;&gt;"Undetermined", AD82=AF82&gt;0), -100)</f>
        <v>Undiluted</v>
      </c>
      <c r="AI82" s="124" cm="1">
        <f t="array" ref="AI82">_xlfn.IFS(AH82="Undetermined", 0, AH82="Undiluted", AE82*$G82/$F82*1000, AH82="Ten-Fold", AG82*$G82/$F82*1000*10, AH82&lt;0, AG82*$G82/$F82*1000*10, AH82&lt;120, AE82*$G82/$F82*1000, AH82&gt;120, AG82*$G82/$F82*1000*10)</f>
        <v>148.86722299787732</v>
      </c>
      <c r="AJ82" s="121">
        <f t="shared" si="25"/>
        <v>182.28853667508744</v>
      </c>
      <c r="AK82" s="121">
        <f t="shared" si="26"/>
        <v>47.264875074635945</v>
      </c>
      <c r="AL82" s="121">
        <f t="shared" si="27"/>
        <v>33.421313677210101</v>
      </c>
      <c r="AM82" s="125" cm="1">
        <f t="array" ref="AM82">_xlfn.IFS(AJ82="DELETE", "DELETE", AJ82=0, 0, AJ82&gt;0,LOG10(AJ82))</f>
        <v>2.2607593586424297</v>
      </c>
      <c r="AN82" s="126" cm="1">
        <f t="array" ref="AN82">_xlfn.IFS(AJ82="DELETE", "DELETE", AJ82=0, 0, AJ82&gt;0, AL82/AJ82/LN(10))</f>
        <v>7.9624821026684348E-2</v>
      </c>
      <c r="AO82" s="155">
        <f>qPCR_Raw!AA82</f>
        <v>29.877767562866211</v>
      </c>
      <c r="AP82" s="156" cm="1">
        <f t="array" ref="AP82">_xlfn.IFS(AO82="Undetermined", 0, qPCR_Raw!AB82&lt;=6, 0, qPCR_Raw!AB82&gt;6, qPCR_Raw!AB82)</f>
        <v>0</v>
      </c>
      <c r="AQ82" s="157">
        <f>qPCR_Raw!AD82</f>
        <v>31.542179107666016</v>
      </c>
      <c r="AR82" s="156" cm="1">
        <f t="array" ref="AR82">_xlfn.IFS(AQ82="Undetermined", 0, qPCR_Raw!AE82&lt;=6, 0, qPCR_Raw!AE82&gt;6, qPCR_Raw!AE82)</f>
        <v>0</v>
      </c>
      <c r="AS82" s="158" t="str" cm="1">
        <f t="array" ref="AS82">_xlfn.IFS(AND(AO82="Undetermined", AQ82="Undetermined"), "Undetermined", AND(AP82=0, AR82=0), "Undetermined", AND(AP82=0, AR82&gt;0), "Ten-Fold", AND(AP82&gt;0, AR82=0), "Undiluted", AND(AO82&lt;&gt;"Undetermined", AQ82&lt;&gt;"Undetermined", AP82&gt;0, AR82&gt;0, AO82&lt;&gt;AQ82), 100*(-1+10^(-1/(AO82-AQ82))), AND(AO82&lt;&gt;"Undetermined", AQ82&lt;&gt;"Undetermined", AO82=AQ82&gt;0), -100)</f>
        <v>Undetermined</v>
      </c>
      <c r="AT82" s="159" cm="1">
        <f t="array" ref="AT82">_xlfn.IFS(AS82="Undetermined", 0, AS82="Undiluted", AP82*$G82/$F82*1000, AS82="Ten-Fold", AR82*$G82/$F82*1000*10, AS82&lt;0, AR82*$G82/$F82*1000*10, AS82&lt;120, AP82*$G82/$F82*1000, AS82&gt;120, AR82*$G82/$F82*1000*10)</f>
        <v>0</v>
      </c>
      <c r="AU82" s="156">
        <f t="shared" si="34"/>
        <v>0</v>
      </c>
      <c r="AV82" s="156">
        <f t="shared" si="35"/>
        <v>0</v>
      </c>
      <c r="AW82" s="156">
        <f t="shared" si="36"/>
        <v>0</v>
      </c>
      <c r="AX82" s="160" cm="1">
        <f t="array" ref="AX82">_xlfn.IFS(AU82="DELETE", "DELETE", AU82=0, 0, AU82&gt;0,LOG10(AU82))</f>
        <v>0</v>
      </c>
      <c r="AY82" s="161" cm="1">
        <f t="array" ref="AY82">_xlfn.IFS(AU82="DELETE", "DELETE", AU82=0, 0, AU82&gt;0, AW82/AU82/LN(10))</f>
        <v>0</v>
      </c>
      <c r="AZ82" s="120" t="str">
        <f>qPCR_Raw!AG82</f>
        <v>Undetermined</v>
      </c>
      <c r="BA82" s="121" cm="1">
        <f t="array" ref="BA82">_xlfn.IFS(AZ82="Undetermined", 0, qPCR_Raw!AH82&lt;=1, 0, qPCR_Raw!AH82&gt;1, qPCR_Raw!AH82)</f>
        <v>0</v>
      </c>
      <c r="BB82" s="122" t="str">
        <f>qPCR_Raw!AJ82</f>
        <v>Undetermined</v>
      </c>
      <c r="BC82" s="121" cm="1">
        <f t="array" ref="BC82">_xlfn.IFS(BB82="Undetermined", 0, qPCR_Raw!AK82&lt;=1, 0, qPCR_Raw!AK82&gt;1, qPCR_Raw!AK82)</f>
        <v>0</v>
      </c>
      <c r="BD82" s="123" t="str" cm="1">
        <f t="array" ref="BD82">_xlfn.IFS(AND(AZ82="Undetermined", BB82="Undetermined"), "Undetermined", AND(BA82=0, BC82=0), "Undetermined", AND(BA82=0, BC82&gt;0), "Ten-Fold", AND(BA82&gt;0, BC82=0), "Undiluted", AND(AZ82&lt;&gt;"Undetermined", BB82&lt;&gt;"Undetermined", BA82&gt;0, BC82&gt;0, AZ82&lt;&gt;BB82), 100*(-1+10^(-1/(AZ82-BB82))), AND(AZ82&lt;&gt;"Undetermined", BB82&lt;&gt;"Undetermined", AZ82=BB82&gt;0), -100)</f>
        <v>Undetermined</v>
      </c>
      <c r="BE82" s="124" cm="1">
        <f t="array" ref="BE82">_xlfn.IFS(BD82="Undetermined", 0, BD82="Undiluted", BA82*$G82/$F82*1000, BD82="Ten-Fold", BC82*$G82/$F82*1000*10, BD82&lt;0, BC82*$G82/$F82*1000*10, BD82&lt;120, BA82*$G82/$F82*1000, BD82&gt;120, BC82*$G82/$F82*1000*10)</f>
        <v>0</v>
      </c>
      <c r="BF82" s="121">
        <f t="shared" si="31"/>
        <v>0</v>
      </c>
      <c r="BG82" s="121">
        <f t="shared" si="32"/>
        <v>0</v>
      </c>
      <c r="BH82" s="121">
        <f t="shared" si="33"/>
        <v>0</v>
      </c>
      <c r="BI82" s="125" cm="1">
        <f t="array" ref="BI82">_xlfn.IFS(BF82="DELETE", "DELETE", BF82=0, 0, BF82&gt;0,LOG10(BF82))</f>
        <v>0</v>
      </c>
      <c r="BJ82" s="126" cm="1">
        <f t="array" ref="BJ82">_xlfn.IFS(BF82="DELETE", "DELETE", BF82=0, 0, BF82&gt;0, BH82/BF82/LN(10))</f>
        <v>0</v>
      </c>
    </row>
    <row r="83" spans="1:62" s="114" customFormat="1" x14ac:dyDescent="0.3">
      <c r="A83" s="115" t="str">
        <f>UPPER(LEFT(SUBSTITUTE(SUBSTITUTE(qPCR_Raw!A83,"-","")," ",""),2))&amp;RIGHT(SUBSTITUTE(SUBSTITUTE(qPCR_Raw!A83,"-","")," ",""),LEN(SUBSTITUTE(SUBSTITUTE(qPCR_Raw!A83,"-","")," ",""))-2)</f>
        <v>MRT7</v>
      </c>
      <c r="B83" s="116" t="str" cm="1">
        <f t="array" ref="B83">_xlfn.IFS(LEFT(A83, LEN(A83)-1)="EP", "EP", LEFT(A83, LEN(A83)-1)="STa", "SPI", LEFT(A83, LEN(A83)-1)="STb", "SPO", LEFT(A83, LEN(A83)-1)="MRT", "MRT", LEFT(A83, LEN(A83)-1)="RG", "RN", LEFT(A83, LEN(A83)-1)="RT", "RU", LEFT(A83, LEN(A83)-1)="RW", "RL", LEFT(A83, LEN(A83)-1)="RC", "RS")</f>
        <v>MRT</v>
      </c>
      <c r="C83" s="117">
        <f>qPCR_Raw!B83</f>
        <v>44370</v>
      </c>
      <c r="D83" s="117" t="str">
        <f t="shared" si="17"/>
        <v>MRT44370</v>
      </c>
      <c r="E83" s="117" t="str">
        <f t="shared" si="18"/>
        <v>MRT443707</v>
      </c>
      <c r="F83" s="118">
        <f>qPCR_Raw!C83</f>
        <v>930</v>
      </c>
      <c r="G83" s="119">
        <f>qPCR_Raw!F83</f>
        <v>100</v>
      </c>
      <c r="H83" s="120">
        <f>qPCR_Raw!G83</f>
        <v>19.734649658203125</v>
      </c>
      <c r="I83" s="121" cm="1">
        <f t="array" ref="I83">_xlfn.IFS(H83="Undetermined", 0, qPCR_Raw!H83-qPCR_Raw!$H$242&lt;0, 0, qPCR_Raw!H83-qPCR_Raw!$H$242&gt;0, qPCR_Raw!H83-qPCR_Raw!$H$242)</f>
        <v>116283.24425862631</v>
      </c>
      <c r="J83" s="122">
        <f>qPCR_Raw!K83</f>
        <v>24.639677047729492</v>
      </c>
      <c r="K83" s="121" cm="1">
        <f t="array" ref="K83">_xlfn.IFS(J83="Undetermined", 0, qPCR_Raw!L83-qPCR_Raw!$H$242&lt;0, 0, qPCR_Raw!L83-qPCR_Raw!$H$242&gt;0, qPCR_Raw!L83-qPCR_Raw!$H$242)</f>
        <v>0</v>
      </c>
      <c r="L83" s="123" t="str" cm="1">
        <f t="array" ref="L83">_xlfn.IFS(AND(H83="Undetermined", J83="Undetermined"), "Undetermined", AND(I83=0, K83=0), "Undetermined", AND(I83=0, K83&gt;0), "Ten-Fold", AND(I83&gt;0, K83=0), "Undiluted", AND(H83&lt;&gt;"Undetermined", J83&lt;&gt;"Undetermined", I83&gt;0, K83&gt;0), 100*(-1+10^(-1/(H83-J83))))</f>
        <v>Undiluted</v>
      </c>
      <c r="M83" s="124" cm="1">
        <f t="array" ref="M83">_xlfn.IFS(L83="Undetermined", 0, L83="Undiluted", I83*$G83/$F83*1000, L83="Ten-Fold", K83*$G83/$F83*1000*10, L83&lt;0, K83*$G83/$F83*1000*10, L83&lt;120, I83*$G83/$F83*1000, L83&gt;120, K83*$G83/$F83*1000*10)</f>
        <v>12503574.651465194</v>
      </c>
      <c r="N83" s="121" t="str">
        <f t="shared" si="19"/>
        <v>DELETE</v>
      </c>
      <c r="O83" s="121" t="str">
        <f t="shared" si="20"/>
        <v>DELETE</v>
      </c>
      <c r="P83" s="121" t="str">
        <f t="shared" si="21"/>
        <v>DELETE</v>
      </c>
      <c r="Q83" s="125" t="str" cm="1">
        <f t="array" ref="Q83">_xlfn.IFS(N83="DELETE", "DELETE", N83=0, 0, N83&gt;0,LOG10(N83))</f>
        <v>DELETE</v>
      </c>
      <c r="R83" s="126" t="str" cm="1">
        <f t="array" ref="R83">_xlfn.IFS(N83="DELETE", "DELETE", N83=0, 0, N83&gt;0, P83/N83/LN(10))</f>
        <v>DELETE</v>
      </c>
      <c r="S83" s="155" t="str">
        <f>qPCR_Raw!O83</f>
        <v>Undetermined</v>
      </c>
      <c r="T83" s="156" cm="1">
        <f t="array" ref="T83">_xlfn.IFS(S83="Undetermined", 0, qPCR_Raw!P83&lt;=1, 0, qPCR_Raw!P83&gt;1, qPCR_Raw!P83)</f>
        <v>0</v>
      </c>
      <c r="U83" s="157" t="str">
        <f>qPCR_Raw!R83</f>
        <v>Undetermined</v>
      </c>
      <c r="V83" s="156" cm="1">
        <f t="array" ref="V83">_xlfn.IFS(U83="Undetermined", 0, qPCR_Raw!S83&lt;=1, 0, qPCR_Raw!S83&gt;1, qPCR_Raw!S83)</f>
        <v>0</v>
      </c>
      <c r="W83" s="158" t="str" cm="1">
        <f t="array" ref="W83">_xlfn.IFS(AND(S83="Undetermined", U83="Undetermined"), "Undetermined", AND(T83=0, V83=0), "Undetermined", AND(T83=0, V83&gt;0), "Ten-Fold", AND(T83&gt;0, V83=0), "Undiluted", AND(S83&lt;&gt;"Undetermined", U83&lt;&gt;"Undetermined", T83&gt;0, V83&gt;0, S83&lt;&gt;U83), 100*(-1+10^(-1/(S83-U83))), AND(S83&lt;&gt;"Undetermined", U83&lt;&gt;"Undetermined", S83=U83&gt;0), -100)</f>
        <v>Undetermined</v>
      </c>
      <c r="X83" s="159" cm="1">
        <f t="array" ref="X83">_xlfn.IFS(W83="Undetermined", 0, W83="Undiluted", T83*$G83/$F83*1000, W83="Ten-Fold", V83*$G83/$F83*1000*10, W83&lt;0, V83*$G83/$F83*1000*10, W83&lt;120, T83*$G83/$F83*1000, W83&gt;120, V83*$G83/$F83*1000*10)</f>
        <v>0</v>
      </c>
      <c r="Y83" s="156" t="str">
        <f t="shared" si="22"/>
        <v>DELETE</v>
      </c>
      <c r="Z83" s="156" t="str">
        <f t="shared" si="23"/>
        <v>DELETE</v>
      </c>
      <c r="AA83" s="156" t="str">
        <f t="shared" si="24"/>
        <v>DELETE</v>
      </c>
      <c r="AB83" s="160" t="str" cm="1">
        <f t="array" ref="AB83">_xlfn.IFS(Y83="DELETE", "DELETE", Y83=0, 0, Y83&gt;0,LOG10(Y83))</f>
        <v>DELETE</v>
      </c>
      <c r="AC83" s="161" t="str" cm="1">
        <f t="array" ref="AC83">_xlfn.IFS(Y83="DELETE", "DELETE", Y83=0, 0, Y83&gt;0, AA83/Y83/LN(10))</f>
        <v>DELETE</v>
      </c>
      <c r="AD83" s="120">
        <f>qPCR_Raw!U83</f>
        <v>34.832809448242188</v>
      </c>
      <c r="AE83" s="121" cm="1">
        <f t="array" ref="AE83">_xlfn.IFS(AD83="Undetermined", 0, qPCR_Raw!V83&lt;=1, 0, qPCR_Raw!V83&gt;1, qPCR_Raw!V83)</f>
        <v>2.0061016082763672</v>
      </c>
      <c r="AF83" s="122">
        <f>qPCR_Raw!X83</f>
        <v>37.228263854980469</v>
      </c>
      <c r="AG83" s="121" cm="1">
        <f t="array" ref="AG83">_xlfn.IFS(AF83="Undetermined", 0, qPCR_Raw!Y83&lt;=1, 0, qPCR_Raw!Y83&gt;1, qPCR_Raw!Y83)</f>
        <v>0</v>
      </c>
      <c r="AH83" s="123" t="str" cm="1">
        <f t="array" ref="AH83">_xlfn.IFS(AND(AD83="Undetermined", AF83="Undetermined"), "Undetermined", AND(AE83=0, AG83=0), "Undetermined", AND(AE83=0, AG83&gt;0), "Ten-Fold", AND(AE83&gt;0, AG83=0), "Undiluted", AND(AD83&lt;&gt;"Undetermined", AF83&lt;&gt;"Undetermined", AE83&gt;0, AG83&gt;0, AD83&lt;&gt;AF83), 100*(-1+10^(-1/(AD83-AF83))), AND(AD83&lt;&gt;"Undetermined", AF83&lt;&gt;"Undetermined", AD83=AF83&gt;0), -100)</f>
        <v>Undiluted</v>
      </c>
      <c r="AI83" s="124" cm="1">
        <f t="array" ref="AI83">_xlfn.IFS(AH83="Undetermined", 0, AH83="Undiluted", AE83*$G83/$F83*1000, AH83="Ten-Fold", AG83*$G83/$F83*1000*10, AH83&lt;0, AG83*$G83/$F83*1000*10, AH83&lt;120, AE83*$G83/$F83*1000, AH83&gt;120, AG83*$G83/$F83*1000*10)</f>
        <v>215.70985035229756</v>
      </c>
      <c r="AJ83" s="121" t="str">
        <f t="shared" si="25"/>
        <v>DELETE</v>
      </c>
      <c r="AK83" s="121" t="str">
        <f t="shared" si="26"/>
        <v>DELETE</v>
      </c>
      <c r="AL83" s="121" t="str">
        <f t="shared" si="27"/>
        <v>DELETE</v>
      </c>
      <c r="AM83" s="125" t="str" cm="1">
        <f t="array" ref="AM83">_xlfn.IFS(AJ83="DELETE", "DELETE", AJ83=0, 0, AJ83&gt;0,LOG10(AJ83))</f>
        <v>DELETE</v>
      </c>
      <c r="AN83" s="126" t="str" cm="1">
        <f t="array" ref="AN83">_xlfn.IFS(AJ83="DELETE", "DELETE", AJ83=0, 0, AJ83&gt;0, AL83/AJ83/LN(10))</f>
        <v>DELETE</v>
      </c>
      <c r="AO83" s="155">
        <f>qPCR_Raw!AA83</f>
        <v>30.152444839477539</v>
      </c>
      <c r="AP83" s="156" cm="1">
        <f t="array" ref="AP83">_xlfn.IFS(AO83="Undetermined", 0, qPCR_Raw!AB83&lt;=6, 0, qPCR_Raw!AB83&gt;6, qPCR_Raw!AB83)</f>
        <v>0</v>
      </c>
      <c r="AQ83" s="157" t="str">
        <f>qPCR_Raw!AD83</f>
        <v>Undetermined</v>
      </c>
      <c r="AR83" s="156" cm="1">
        <f t="array" ref="AR83">_xlfn.IFS(AQ83="Undetermined", 0, qPCR_Raw!AE83&lt;=6, 0, qPCR_Raw!AE83&gt;6, qPCR_Raw!AE83)</f>
        <v>0</v>
      </c>
      <c r="AS83" s="158" t="str" cm="1">
        <f t="array" ref="AS83">_xlfn.IFS(AND(AO83="Undetermined", AQ83="Undetermined"), "Undetermined", AND(AP83=0, AR83=0), "Undetermined", AND(AP83=0, AR83&gt;0), "Ten-Fold", AND(AP83&gt;0, AR83=0), "Undiluted", AND(AO83&lt;&gt;"Undetermined", AQ83&lt;&gt;"Undetermined", AP83&gt;0, AR83&gt;0, AO83&lt;&gt;AQ83), 100*(-1+10^(-1/(AO83-AQ83))), AND(AO83&lt;&gt;"Undetermined", AQ83&lt;&gt;"Undetermined", AO83=AQ83&gt;0), -100)</f>
        <v>Undetermined</v>
      </c>
      <c r="AT83" s="159" cm="1">
        <f t="array" ref="AT83">_xlfn.IFS(AS83="Undetermined", 0, AS83="Undiluted", AP83*$G83/$F83*1000, AS83="Ten-Fold", AR83*$G83/$F83*1000*10, AS83&lt;0, AR83*$G83/$F83*1000*10, AS83&lt;120, AP83*$G83/$F83*1000, AS83&gt;120, AR83*$G83/$F83*1000*10)</f>
        <v>0</v>
      </c>
      <c r="AU83" s="156" t="str">
        <f t="shared" si="34"/>
        <v>DELETE</v>
      </c>
      <c r="AV83" s="156" t="str">
        <f t="shared" si="35"/>
        <v>DELETE</v>
      </c>
      <c r="AW83" s="156" t="str">
        <f t="shared" si="36"/>
        <v>DELETE</v>
      </c>
      <c r="AX83" s="160" t="str" cm="1">
        <f t="array" ref="AX83">_xlfn.IFS(AU83="DELETE", "DELETE", AU83=0, 0, AU83&gt;0,LOG10(AU83))</f>
        <v>DELETE</v>
      </c>
      <c r="AY83" s="161" t="str" cm="1">
        <f t="array" ref="AY83">_xlfn.IFS(AU83="DELETE", "DELETE", AU83=0, 0, AU83&gt;0, AW83/AU83/LN(10))</f>
        <v>DELETE</v>
      </c>
      <c r="AZ83" s="120" t="str">
        <f>qPCR_Raw!AG83</f>
        <v>Undetermined</v>
      </c>
      <c r="BA83" s="121" cm="1">
        <f t="array" ref="BA83">_xlfn.IFS(AZ83="Undetermined", 0, qPCR_Raw!AH83&lt;=1, 0, qPCR_Raw!AH83&gt;1, qPCR_Raw!AH83)</f>
        <v>0</v>
      </c>
      <c r="BB83" s="122" t="str">
        <f>qPCR_Raw!AJ83</f>
        <v>Undetermined</v>
      </c>
      <c r="BC83" s="121" cm="1">
        <f t="array" ref="BC83">_xlfn.IFS(BB83="Undetermined", 0, qPCR_Raw!AK83&lt;=1, 0, qPCR_Raw!AK83&gt;1, qPCR_Raw!AK83)</f>
        <v>0</v>
      </c>
      <c r="BD83" s="123" t="str" cm="1">
        <f t="array" ref="BD83">_xlfn.IFS(AND(AZ83="Undetermined", BB83="Undetermined"), "Undetermined", AND(BA83=0, BC83=0), "Undetermined", AND(BA83=0, BC83&gt;0), "Ten-Fold", AND(BA83&gt;0, BC83=0), "Undiluted", AND(AZ83&lt;&gt;"Undetermined", BB83&lt;&gt;"Undetermined", BA83&gt;0, BC83&gt;0, AZ83&lt;&gt;BB83), 100*(-1+10^(-1/(AZ83-BB83))), AND(AZ83&lt;&gt;"Undetermined", BB83&lt;&gt;"Undetermined", AZ83=BB83&gt;0), -100)</f>
        <v>Undetermined</v>
      </c>
      <c r="BE83" s="124" cm="1">
        <f t="array" ref="BE83">_xlfn.IFS(BD83="Undetermined", 0, BD83="Undiluted", BA83*$G83/$F83*1000, BD83="Ten-Fold", BC83*$G83/$F83*1000*10, BD83&lt;0, BC83*$G83/$F83*1000*10, BD83&lt;120, BA83*$G83/$F83*1000, BD83&gt;120, BC83*$G83/$F83*1000*10)</f>
        <v>0</v>
      </c>
      <c r="BF83" s="121" t="str">
        <f t="shared" si="31"/>
        <v>DELETE</v>
      </c>
      <c r="BG83" s="121" t="str">
        <f t="shared" si="32"/>
        <v>DELETE</v>
      </c>
      <c r="BH83" s="121" t="str">
        <f t="shared" si="33"/>
        <v>DELETE</v>
      </c>
      <c r="BI83" s="125" t="str" cm="1">
        <f t="array" ref="BI83">_xlfn.IFS(BF83="DELETE", "DELETE", BF83=0, 0, BF83&gt;0,LOG10(BF83))</f>
        <v>DELETE</v>
      </c>
      <c r="BJ83" s="126" t="str" cm="1">
        <f t="array" ref="BJ83">_xlfn.IFS(BF83="DELETE", "DELETE", BF83=0, 0, BF83&gt;0, BH83/BF83/LN(10))</f>
        <v>DELETE</v>
      </c>
    </row>
    <row r="84" spans="1:62" s="114" customFormat="1" x14ac:dyDescent="0.3">
      <c r="A84" s="115" t="str">
        <f>UPPER(LEFT(SUBSTITUTE(SUBSTITUTE(qPCR_Raw!A84,"-","")," ",""),2))&amp;RIGHT(SUBSTITUTE(SUBSTITUTE(qPCR_Raw!A84,"-","")," ",""),LEN(SUBSTITUTE(SUBSTITUTE(qPCR_Raw!A84,"-","")," ",""))-2)</f>
        <v>RT6</v>
      </c>
      <c r="B84" s="116" t="str" cm="1">
        <f t="array" ref="B84">_xlfn.IFS(LEFT(A84, LEN(A84)-1)="EP", "EP", LEFT(A84, LEN(A84)-1)="STa", "SPI", LEFT(A84, LEN(A84)-1)="STb", "SPO", LEFT(A84, LEN(A84)-1)="MRT", "MRT", LEFT(A84, LEN(A84)-1)="RG", "RN", LEFT(A84, LEN(A84)-1)="RT", "RU", LEFT(A84, LEN(A84)-1)="RW", "RL", LEFT(A84, LEN(A84)-1)="RC", "RS")</f>
        <v>RU</v>
      </c>
      <c r="C84" s="117">
        <f>qPCR_Raw!B84</f>
        <v>44370</v>
      </c>
      <c r="D84" s="117" t="str">
        <f t="shared" si="17"/>
        <v>RU44370</v>
      </c>
      <c r="E84" s="117" t="str">
        <f t="shared" si="18"/>
        <v>RU443706</v>
      </c>
      <c r="F84" s="118">
        <f>qPCR_Raw!C84</f>
        <v>860</v>
      </c>
      <c r="G84" s="119">
        <f>qPCR_Raw!F84</f>
        <v>100</v>
      </c>
      <c r="H84" s="120">
        <f>qPCR_Raw!G84</f>
        <v>20.499090194702148</v>
      </c>
      <c r="I84" s="121" cm="1">
        <f t="array" ref="I84">_xlfn.IFS(H84="Undetermined", 0, qPCR_Raw!H84-qPCR_Raw!$H$242&lt;0, 0, qPCR_Raw!H84-qPCR_Raw!$H$242&gt;0, qPCR_Raw!H84-qPCR_Raw!$H$242)</f>
        <v>65559.033321126306</v>
      </c>
      <c r="J84" s="122">
        <f>qPCR_Raw!K84</f>
        <v>23.756057739257813</v>
      </c>
      <c r="K84" s="121" cm="1">
        <f t="array" ref="K84">_xlfn.IFS(J84="Undetermined", 0, qPCR_Raw!L84-qPCR_Raw!$H$242&lt;0, 0, qPCR_Raw!L84-qPCR_Raw!$H$242&gt;0, qPCR_Raw!L84-qPCR_Raw!$H$242)</f>
        <v>0</v>
      </c>
      <c r="L84" s="123" t="str" cm="1">
        <f t="array" ref="L84">_xlfn.IFS(AND(H84="Undetermined", J84="Undetermined"), "Undetermined", AND(I84=0, K84=0), "Undetermined", AND(I84=0, K84&gt;0), "Ten-Fold", AND(I84&gt;0, K84=0), "Undiluted", AND(H84&lt;&gt;"Undetermined", J84&lt;&gt;"Undetermined", I84&gt;0, K84&gt;0), 100*(-1+10^(-1/(H84-J84))))</f>
        <v>Undiluted</v>
      </c>
      <c r="M84" s="124" cm="1">
        <f t="array" ref="M84">_xlfn.IFS(L84="Undetermined", 0, L84="Undiluted", I84*$G84/$F84*1000, L84="Ten-Fold", K84*$G84/$F84*1000*10, L84&lt;0, K84*$G84/$F84*1000*10, L84&lt;120, I84*$G84/$F84*1000, L84&gt;120, K84*$G84/$F84*1000*10)</f>
        <v>7623143.4094332913</v>
      </c>
      <c r="N84" s="121">
        <f t="shared" si="19"/>
        <v>5144906.1596131269</v>
      </c>
      <c r="O84" s="121">
        <f t="shared" si="20"/>
        <v>3504756.7294738763</v>
      </c>
      <c r="P84" s="121">
        <f t="shared" si="21"/>
        <v>2478237.2498201639</v>
      </c>
      <c r="Q84" s="125" cm="1">
        <f t="array" ref="Q84">_xlfn.IFS(N84="DELETE", "DELETE", N84=0, 0, N84&gt;0,LOG10(N84))</f>
        <v>6.7113774578673802</v>
      </c>
      <c r="R84" s="126" cm="1">
        <f t="array" ref="R84">_xlfn.IFS(N84="DELETE", "DELETE", N84=0, 0, N84&gt;0, P84/N84/LN(10))</f>
        <v>0.20919424554186997</v>
      </c>
      <c r="S84" s="155" t="str">
        <f>qPCR_Raw!O84</f>
        <v>Undetermined</v>
      </c>
      <c r="T84" s="156" cm="1">
        <f t="array" ref="T84">_xlfn.IFS(S84="Undetermined", 0, qPCR_Raw!P84&lt;=1, 0, qPCR_Raw!P84&gt;1, qPCR_Raw!P84)</f>
        <v>0</v>
      </c>
      <c r="U84" s="157" t="str">
        <f>qPCR_Raw!R84</f>
        <v>Undetermined</v>
      </c>
      <c r="V84" s="156" cm="1">
        <f t="array" ref="V84">_xlfn.IFS(U84="Undetermined", 0, qPCR_Raw!S84&lt;=1, 0, qPCR_Raw!S84&gt;1, qPCR_Raw!S84)</f>
        <v>0</v>
      </c>
      <c r="W84" s="158" t="str" cm="1">
        <f t="array" ref="W84">_xlfn.IFS(AND(S84="Undetermined", U84="Undetermined"), "Undetermined", AND(T84=0, V84=0), "Undetermined", AND(T84=0, V84&gt;0), "Ten-Fold", AND(T84&gt;0, V84=0), "Undiluted", AND(S84&lt;&gt;"Undetermined", U84&lt;&gt;"Undetermined", T84&gt;0, V84&gt;0, S84&lt;&gt;U84), 100*(-1+10^(-1/(S84-U84))), AND(S84&lt;&gt;"Undetermined", U84&lt;&gt;"Undetermined", S84=U84&gt;0), -100)</f>
        <v>Undetermined</v>
      </c>
      <c r="X84" s="159" cm="1">
        <f t="array" ref="X84">_xlfn.IFS(W84="Undetermined", 0, W84="Undiluted", T84*$G84/$F84*1000, W84="Ten-Fold", V84*$G84/$F84*1000*10, W84&lt;0, V84*$G84/$F84*1000*10, W84&lt;120, T84*$G84/$F84*1000, W84&gt;120, V84*$G84/$F84*1000*10)</f>
        <v>0</v>
      </c>
      <c r="Y84" s="156">
        <f t="shared" si="22"/>
        <v>0</v>
      </c>
      <c r="Z84" s="156">
        <f t="shared" si="23"/>
        <v>0</v>
      </c>
      <c r="AA84" s="156">
        <f t="shared" si="24"/>
        <v>0</v>
      </c>
      <c r="AB84" s="160" cm="1">
        <f t="array" ref="AB84">_xlfn.IFS(Y84="DELETE", "DELETE", Y84=0, 0, Y84&gt;0,LOG10(Y84))</f>
        <v>0</v>
      </c>
      <c r="AC84" s="161" cm="1">
        <f t="array" ref="AC84">_xlfn.IFS(Y84="DELETE", "DELETE", Y84=0, 0, Y84&gt;0, AA84/Y84/LN(10))</f>
        <v>0</v>
      </c>
      <c r="AD84" s="120">
        <f>qPCR_Raw!U84</f>
        <v>27.111778259277344</v>
      </c>
      <c r="AE84" s="121" cm="1">
        <f t="array" ref="AE84">_xlfn.IFS(AD84="Undetermined", 0, qPCR_Raw!V84&lt;=1, 0, qPCR_Raw!V84&gt;1, qPCR_Raw!V84)</f>
        <v>293.44906616210938</v>
      </c>
      <c r="AF84" s="122">
        <f>qPCR_Raw!X84</f>
        <v>29.908065795898438</v>
      </c>
      <c r="AG84" s="121" cm="1">
        <f t="array" ref="AG84">_xlfn.IFS(AF84="Undetermined", 0, qPCR_Raw!Y84&lt;=1, 0, qPCR_Raw!Y84&gt;1, qPCR_Raw!Y84)</f>
        <v>48.237003326416016</v>
      </c>
      <c r="AH84" s="123" cm="1">
        <f t="array" ref="AH84">_xlfn.IFS(AND(AD84="Undetermined", AF84="Undetermined"), "Undetermined", AND(AE84=0, AG84=0), "Undetermined", AND(AE84=0, AG84&gt;0), "Ten-Fold", AND(AE84&gt;0, AG84=0), "Undiluted", AND(AD84&lt;&gt;"Undetermined", AF84&lt;&gt;"Undetermined", AE84&gt;0, AG84&gt;0, AD84&lt;&gt;AF84), 100*(-1+10^(-1/(AD84-AF84))), AND(AD84&lt;&gt;"Undetermined", AF84&lt;&gt;"Undetermined", AD84=AF84&gt;0), -100)</f>
        <v>127.83320224821222</v>
      </c>
      <c r="AI84" s="124" cm="1">
        <f t="array" ref="AI84">_xlfn.IFS(AH84="Undetermined", 0, AH84="Undiluted", AE84*$G84/$F84*1000, AH84="Ten-Fold", AG84*$G84/$F84*1000*10, AH84&lt;0, AG84*$G84/$F84*1000*10, AH84&lt;120, AE84*$G84/$F84*1000, AH84&gt;120, AG84*$G84/$F84*1000*10)</f>
        <v>56089.538751646534</v>
      </c>
      <c r="AJ84" s="121">
        <f t="shared" si="25"/>
        <v>33779.142436861119</v>
      </c>
      <c r="AK84" s="121">
        <f t="shared" si="26"/>
        <v>31551.665050288255</v>
      </c>
      <c r="AL84" s="121">
        <f t="shared" si="27"/>
        <v>22310.396314785416</v>
      </c>
      <c r="AM84" s="125" cm="1">
        <f t="array" ref="AM84">_xlfn.IFS(AJ84="DELETE", "DELETE", AJ84=0, 0, AJ84&gt;0,LOG10(AJ84))</f>
        <v>4.528648619786007</v>
      </c>
      <c r="AN84" s="126" cm="1">
        <f t="array" ref="AN84">_xlfn.IFS(AJ84="DELETE", "DELETE", AJ84=0, 0, AJ84&gt;0, AL84/AJ84/LN(10))</f>
        <v>0.28684215493915644</v>
      </c>
      <c r="AO84" s="155">
        <f>qPCR_Raw!AA84</f>
        <v>31.036720275878906</v>
      </c>
      <c r="AP84" s="156" cm="1">
        <f t="array" ref="AP84">_xlfn.IFS(AO84="Undetermined", 0, qPCR_Raw!AB84&lt;=6, 0, qPCR_Raw!AB84&gt;6, qPCR_Raw!AB84)</f>
        <v>0</v>
      </c>
      <c r="AQ84" s="157" t="str">
        <f>qPCR_Raw!AD84</f>
        <v>Undetermined</v>
      </c>
      <c r="AR84" s="156" cm="1">
        <f t="array" ref="AR84">_xlfn.IFS(AQ84="Undetermined", 0, qPCR_Raw!AE84&lt;=6, 0, qPCR_Raw!AE84&gt;6, qPCR_Raw!AE84)</f>
        <v>0</v>
      </c>
      <c r="AS84" s="158" t="str" cm="1">
        <f t="array" ref="AS84">_xlfn.IFS(AND(AO84="Undetermined", AQ84="Undetermined"), "Undetermined", AND(AP84=0, AR84=0), "Undetermined", AND(AP84=0, AR84&gt;0), "Ten-Fold", AND(AP84&gt;0, AR84=0), "Undiluted", AND(AO84&lt;&gt;"Undetermined", AQ84&lt;&gt;"Undetermined", AP84&gt;0, AR84&gt;0, AO84&lt;&gt;AQ84), 100*(-1+10^(-1/(AO84-AQ84))), AND(AO84&lt;&gt;"Undetermined", AQ84&lt;&gt;"Undetermined", AO84=AQ84&gt;0), -100)</f>
        <v>Undetermined</v>
      </c>
      <c r="AT84" s="159" cm="1">
        <f t="array" ref="AT84">_xlfn.IFS(AS84="Undetermined", 0, AS84="Undiluted", AP84*$G84/$F84*1000, AS84="Ten-Fold", AR84*$G84/$F84*1000*10, AS84&lt;0, AR84*$G84/$F84*1000*10, AS84&lt;120, AP84*$G84/$F84*1000, AS84&gt;120, AR84*$G84/$F84*1000*10)</f>
        <v>0</v>
      </c>
      <c r="AU84" s="156">
        <f t="shared" si="34"/>
        <v>0</v>
      </c>
      <c r="AV84" s="156">
        <f t="shared" si="35"/>
        <v>0</v>
      </c>
      <c r="AW84" s="156">
        <f t="shared" si="36"/>
        <v>0</v>
      </c>
      <c r="AX84" s="160" cm="1">
        <f t="array" ref="AX84">_xlfn.IFS(AU84="DELETE", "DELETE", AU84=0, 0, AU84&gt;0,LOG10(AU84))</f>
        <v>0</v>
      </c>
      <c r="AY84" s="161" cm="1">
        <f t="array" ref="AY84">_xlfn.IFS(AU84="DELETE", "DELETE", AU84=0, 0, AU84&gt;0, AW84/AU84/LN(10))</f>
        <v>0</v>
      </c>
      <c r="AZ84" s="120">
        <f>qPCR_Raw!AG84</f>
        <v>33.077507019042969</v>
      </c>
      <c r="BA84" s="121" cm="1">
        <f t="array" ref="BA84">_xlfn.IFS(AZ84="Undetermined", 0, qPCR_Raw!AH84&lt;=1, 0, qPCR_Raw!AH84&gt;1, qPCR_Raw!AH84)</f>
        <v>18.97705078125</v>
      </c>
      <c r="BB84" s="122">
        <f>qPCR_Raw!AJ84</f>
        <v>35.534523010253906</v>
      </c>
      <c r="BC84" s="121" cm="1">
        <f t="array" ref="BC84">_xlfn.IFS(BB84="Undetermined", 0, qPCR_Raw!AK84&lt;=1, 0, qPCR_Raw!AK84&gt;1, qPCR_Raw!AK84)</f>
        <v>4.121945858001709</v>
      </c>
      <c r="BD84" s="123" cm="1">
        <f t="array" ref="BD84">_xlfn.IFS(AND(AZ84="Undetermined", BB84="Undetermined"), "Undetermined", AND(BA84=0, BC84=0), "Undetermined", AND(BA84=0, BC84&gt;0), "Ten-Fold", AND(BA84&gt;0, BC84=0), "Undiluted", AND(AZ84&lt;&gt;"Undetermined", BB84&lt;&gt;"Undetermined", BA84&gt;0, BC84&gt;0, AZ84&lt;&gt;BB84), 100*(-1+10^(-1/(AZ84-BB84))), AND(AZ84&lt;&gt;"Undetermined", BB84&lt;&gt;"Undetermined", AZ84=BB84&gt;0), -100)</f>
        <v>155.268812513603</v>
      </c>
      <c r="BE84" s="124" cm="1">
        <f t="array" ref="BE84">_xlfn.IFS(BD84="Undetermined", 0, BD84="Undiluted", BA84*$G84/$F84*1000, BD84="Ten-Fold", BC84*$G84/$F84*1000*10, BD84&lt;0, BC84*$G84/$F84*1000*10, BD84&lt;120, BA84*$G84/$F84*1000, BD84&gt;120, BC84*$G84/$F84*1000*10)</f>
        <v>4792.960300001987</v>
      </c>
      <c r="BF84" s="121">
        <f t="shared" si="31"/>
        <v>4889.5274954100705</v>
      </c>
      <c r="BG84" s="121">
        <f t="shared" si="32"/>
        <v>136.5666374264446</v>
      </c>
      <c r="BH84" s="121">
        <f t="shared" si="33"/>
        <v>96.567195408083521</v>
      </c>
      <c r="BI84" s="125" cm="1">
        <f t="array" ref="BI84">_xlfn.IFS(BF84="DELETE", "DELETE", BF84=0, 0, BF84&gt;0,LOG10(BF84))</f>
        <v>3.6892668926510406</v>
      </c>
      <c r="BJ84" s="126" cm="1">
        <f t="array" ref="BJ84">_xlfn.IFS(BF84="DELETE", "DELETE", BF84=0, 0, BF84&gt;0, BH84/BF84/LN(10))</f>
        <v>8.5772296276015597E-3</v>
      </c>
    </row>
    <row r="85" spans="1:62" s="114" customFormat="1" x14ac:dyDescent="0.3">
      <c r="A85" s="115" t="str">
        <f>UPPER(LEFT(SUBSTITUTE(SUBSTITUTE(qPCR_Raw!A85,"-","")," ",""),2))&amp;RIGHT(SUBSTITUTE(SUBSTITUTE(qPCR_Raw!A85,"-","")," ",""),LEN(SUBSTITUTE(SUBSTITUTE(qPCR_Raw!A85,"-","")," ",""))-2)</f>
        <v>RT7</v>
      </c>
      <c r="B85" s="116" t="str" cm="1">
        <f t="array" ref="B85">_xlfn.IFS(LEFT(A85, LEN(A85)-1)="EP", "EP", LEFT(A85, LEN(A85)-1)="STa", "SPI", LEFT(A85, LEN(A85)-1)="STb", "SPO", LEFT(A85, LEN(A85)-1)="MRT", "MRT", LEFT(A85, LEN(A85)-1)="RG", "RN", LEFT(A85, LEN(A85)-1)="RT", "RU", LEFT(A85, LEN(A85)-1)="RW", "RL", LEFT(A85, LEN(A85)-1)="RC", "RS")</f>
        <v>RU</v>
      </c>
      <c r="C85" s="117">
        <f>qPCR_Raw!B85</f>
        <v>44370</v>
      </c>
      <c r="D85" s="117" t="str">
        <f t="shared" si="17"/>
        <v>RU44370</v>
      </c>
      <c r="E85" s="117" t="str">
        <f t="shared" si="18"/>
        <v>RU443707</v>
      </c>
      <c r="F85" s="118">
        <f>qPCR_Raw!C85</f>
        <v>905</v>
      </c>
      <c r="G85" s="119">
        <f>qPCR_Raw!F85</f>
        <v>100</v>
      </c>
      <c r="H85" s="120">
        <f>qPCR_Raw!G85</f>
        <v>21.649154663085938</v>
      </c>
      <c r="I85" s="121" cm="1">
        <f t="array" ref="I85">_xlfn.IFS(H85="Undetermined", 0, qPCR_Raw!H85-qPCR_Raw!$H$242&lt;0, 0, qPCR_Raw!H85-qPCR_Raw!$H$242&gt;0, qPCR_Raw!H85-qPCR_Raw!$H$242)</f>
        <v>24133.353633626302</v>
      </c>
      <c r="J85" s="122">
        <f>qPCR_Raw!K85</f>
        <v>24.423263549804688</v>
      </c>
      <c r="K85" s="121" cm="1">
        <f t="array" ref="K85">_xlfn.IFS(J85="Undetermined", 0, qPCR_Raw!L85-qPCR_Raw!$H$242&lt;0, 0, qPCR_Raw!L85-qPCR_Raw!$H$242&gt;0, qPCR_Raw!L85-qPCR_Raw!$H$242)</f>
        <v>0</v>
      </c>
      <c r="L85" s="123" t="str" cm="1">
        <f t="array" ref="L85">_xlfn.IFS(AND(H85="Undetermined", J85="Undetermined"), "Undetermined", AND(I85=0, K85=0), "Undetermined", AND(I85=0, K85&gt;0), "Ten-Fold", AND(I85&gt;0, K85=0), "Undiluted", AND(H85&lt;&gt;"Undetermined", J85&lt;&gt;"Undetermined", I85&gt;0, K85&gt;0), 100*(-1+10^(-1/(H85-J85))))</f>
        <v>Undiluted</v>
      </c>
      <c r="M85" s="124" cm="1">
        <f t="array" ref="M85">_xlfn.IFS(L85="Undetermined", 0, L85="Undiluted", I85*$G85/$F85*1000, L85="Ten-Fold", K85*$G85/$F85*1000*10, L85&lt;0, K85*$G85/$F85*1000*10, L85&lt;120, I85*$G85/$F85*1000, L85&gt;120, K85*$G85/$F85*1000*10)</f>
        <v>2666668.9097929616</v>
      </c>
      <c r="N85" s="121" t="str">
        <f t="shared" si="19"/>
        <v>DELETE</v>
      </c>
      <c r="O85" s="121" t="str">
        <f t="shared" si="20"/>
        <v>DELETE</v>
      </c>
      <c r="P85" s="121" t="str">
        <f t="shared" si="21"/>
        <v>DELETE</v>
      </c>
      <c r="Q85" s="125" t="str" cm="1">
        <f t="array" ref="Q85">_xlfn.IFS(N85="DELETE", "DELETE", N85=0, 0, N85&gt;0,LOG10(N85))</f>
        <v>DELETE</v>
      </c>
      <c r="R85" s="126" t="str" cm="1">
        <f t="array" ref="R85">_xlfn.IFS(N85="DELETE", "DELETE", N85=0, 0, N85&gt;0, P85/N85/LN(10))</f>
        <v>DELETE</v>
      </c>
      <c r="S85" s="155" t="str">
        <f>qPCR_Raw!O85</f>
        <v>Undetermined</v>
      </c>
      <c r="T85" s="156" cm="1">
        <f t="array" ref="T85">_xlfn.IFS(S85="Undetermined", 0, qPCR_Raw!P85&lt;=1, 0, qPCR_Raw!P85&gt;1, qPCR_Raw!P85)</f>
        <v>0</v>
      </c>
      <c r="U85" s="157" t="str">
        <f>qPCR_Raw!R85</f>
        <v>Undetermined</v>
      </c>
      <c r="V85" s="156" cm="1">
        <f t="array" ref="V85">_xlfn.IFS(U85="Undetermined", 0, qPCR_Raw!S85&lt;=1, 0, qPCR_Raw!S85&gt;1, qPCR_Raw!S85)</f>
        <v>0</v>
      </c>
      <c r="W85" s="158" t="str" cm="1">
        <f t="array" ref="W85">_xlfn.IFS(AND(S85="Undetermined", U85="Undetermined"), "Undetermined", AND(T85=0, V85=0), "Undetermined", AND(T85=0, V85&gt;0), "Ten-Fold", AND(T85&gt;0, V85=0), "Undiluted", AND(S85&lt;&gt;"Undetermined", U85&lt;&gt;"Undetermined", T85&gt;0, V85&gt;0, S85&lt;&gt;U85), 100*(-1+10^(-1/(S85-U85))), AND(S85&lt;&gt;"Undetermined", U85&lt;&gt;"Undetermined", S85=U85&gt;0), -100)</f>
        <v>Undetermined</v>
      </c>
      <c r="X85" s="159" cm="1">
        <f t="array" ref="X85">_xlfn.IFS(W85="Undetermined", 0, W85="Undiluted", T85*$G85/$F85*1000, W85="Ten-Fold", V85*$G85/$F85*1000*10, W85&lt;0, V85*$G85/$F85*1000*10, W85&lt;120, T85*$G85/$F85*1000, W85&gt;120, V85*$G85/$F85*1000*10)</f>
        <v>0</v>
      </c>
      <c r="Y85" s="156" t="str">
        <f t="shared" si="22"/>
        <v>DELETE</v>
      </c>
      <c r="Z85" s="156" t="str">
        <f t="shared" si="23"/>
        <v>DELETE</v>
      </c>
      <c r="AA85" s="156" t="str">
        <f t="shared" si="24"/>
        <v>DELETE</v>
      </c>
      <c r="AB85" s="160" t="str" cm="1">
        <f t="array" ref="AB85">_xlfn.IFS(Y85="DELETE", "DELETE", Y85=0, 0, Y85&gt;0,LOG10(Y85))</f>
        <v>DELETE</v>
      </c>
      <c r="AC85" s="161" t="str" cm="1">
        <f t="array" ref="AC85">_xlfn.IFS(Y85="DELETE", "DELETE", Y85=0, 0, Y85&gt;0, AA85/Y85/LN(10))</f>
        <v>DELETE</v>
      </c>
      <c r="AD85" s="120">
        <f>qPCR_Raw!U85</f>
        <v>31.224580764770508</v>
      </c>
      <c r="AE85" s="121" cm="1">
        <f t="array" ref="AE85">_xlfn.IFS(AD85="Undetermined", 0, qPCR_Raw!V85&lt;=1, 0, qPCR_Raw!V85&gt;1, qPCR_Raw!V85)</f>
        <v>20.615550994873047</v>
      </c>
      <c r="AF85" s="122">
        <f>qPCR_Raw!X85</f>
        <v>32.287357330322266</v>
      </c>
      <c r="AG85" s="121" cm="1">
        <f t="array" ref="AG85">_xlfn.IFS(AF85="Undetermined", 0, qPCR_Raw!Y85&lt;=1, 0, qPCR_Raw!Y85&gt;1, qPCR_Raw!Y85)</f>
        <v>10.379215240478516</v>
      </c>
      <c r="AH85" s="123" cm="1">
        <f t="array" ref="AH85">_xlfn.IFS(AND(AD85="Undetermined", AF85="Undetermined"), "Undetermined", AND(AE85=0, AG85=0), "Undetermined", AND(AE85=0, AG85&gt;0), "Ten-Fold", AND(AE85&gt;0, AG85=0), "Undiluted", AND(AD85&lt;&gt;"Undetermined", AF85&lt;&gt;"Undetermined", AE85&gt;0, AG85&gt;0, AD85&lt;&gt;AF85), 100*(-1+10^(-1/(AD85-AF85))), AND(AD85&lt;&gt;"Undetermined", AF85&lt;&gt;"Undetermined", AD85=AF85&gt;0), -100)</f>
        <v>772.83378637751503</v>
      </c>
      <c r="AI85" s="124" cm="1">
        <f t="array" ref="AI85">_xlfn.IFS(AH85="Undetermined", 0, AH85="Undiluted", AE85*$G85/$F85*1000, AH85="Ten-Fold", AG85*$G85/$F85*1000*10, AH85&lt;0, AG85*$G85/$F85*1000*10, AH85&lt;120, AE85*$G85/$F85*1000, AH85&gt;120, AG85*$G85/$F85*1000*10)</f>
        <v>11468.746122075709</v>
      </c>
      <c r="AJ85" s="121" t="str">
        <f t="shared" si="25"/>
        <v>DELETE</v>
      </c>
      <c r="AK85" s="121" t="str">
        <f t="shared" si="26"/>
        <v>DELETE</v>
      </c>
      <c r="AL85" s="121" t="str">
        <f t="shared" si="27"/>
        <v>DELETE</v>
      </c>
      <c r="AM85" s="125" t="str" cm="1">
        <f t="array" ref="AM85">_xlfn.IFS(AJ85="DELETE", "DELETE", AJ85=0, 0, AJ85&gt;0,LOG10(AJ85))</f>
        <v>DELETE</v>
      </c>
      <c r="AN85" s="126" t="str" cm="1">
        <f t="array" ref="AN85">_xlfn.IFS(AJ85="DELETE", "DELETE", AJ85=0, 0, AJ85&gt;0, AL85/AJ85/LN(10))</f>
        <v>DELETE</v>
      </c>
      <c r="AO85" s="155">
        <f>qPCR_Raw!AA85</f>
        <v>30.200454711914063</v>
      </c>
      <c r="AP85" s="156" cm="1">
        <f t="array" ref="AP85">_xlfn.IFS(AO85="Undetermined", 0, qPCR_Raw!AB85&lt;=6, 0, qPCR_Raw!AB85&gt;6, qPCR_Raw!AB85)</f>
        <v>0</v>
      </c>
      <c r="AQ85" s="157" t="str">
        <f>qPCR_Raw!AD85</f>
        <v>Undetermined</v>
      </c>
      <c r="AR85" s="156" cm="1">
        <f t="array" ref="AR85">_xlfn.IFS(AQ85="Undetermined", 0, qPCR_Raw!AE85&lt;=6, 0, qPCR_Raw!AE85&gt;6, qPCR_Raw!AE85)</f>
        <v>0</v>
      </c>
      <c r="AS85" s="158" t="str" cm="1">
        <f t="array" ref="AS85">_xlfn.IFS(AND(AO85="Undetermined", AQ85="Undetermined"), "Undetermined", AND(AP85=0, AR85=0), "Undetermined", AND(AP85=0, AR85&gt;0), "Ten-Fold", AND(AP85&gt;0, AR85=0), "Undiluted", AND(AO85&lt;&gt;"Undetermined", AQ85&lt;&gt;"Undetermined", AP85&gt;0, AR85&gt;0, AO85&lt;&gt;AQ85), 100*(-1+10^(-1/(AO85-AQ85))), AND(AO85&lt;&gt;"Undetermined", AQ85&lt;&gt;"Undetermined", AO85=AQ85&gt;0), -100)</f>
        <v>Undetermined</v>
      </c>
      <c r="AT85" s="159" cm="1">
        <f t="array" ref="AT85">_xlfn.IFS(AS85="Undetermined", 0, AS85="Undiluted", AP85*$G85/$F85*1000, AS85="Ten-Fold", AR85*$G85/$F85*1000*10, AS85&lt;0, AR85*$G85/$F85*1000*10, AS85&lt;120, AP85*$G85/$F85*1000, AS85&gt;120, AR85*$G85/$F85*1000*10)</f>
        <v>0</v>
      </c>
      <c r="AU85" s="156" t="str">
        <f t="shared" si="34"/>
        <v>DELETE</v>
      </c>
      <c r="AV85" s="156" t="str">
        <f t="shared" si="35"/>
        <v>DELETE</v>
      </c>
      <c r="AW85" s="156" t="str">
        <f t="shared" si="36"/>
        <v>DELETE</v>
      </c>
      <c r="AX85" s="160" t="str" cm="1">
        <f t="array" ref="AX85">_xlfn.IFS(AU85="DELETE", "DELETE", AU85=0, 0, AU85&gt;0,LOG10(AU85))</f>
        <v>DELETE</v>
      </c>
      <c r="AY85" s="161" t="str" cm="1">
        <f t="array" ref="AY85">_xlfn.IFS(AU85="DELETE", "DELETE", AU85=0, 0, AU85&gt;0, AW85/AU85/LN(10))</f>
        <v>DELETE</v>
      </c>
      <c r="AZ85" s="120">
        <f>qPCR_Raw!AG85</f>
        <v>31.683683395385742</v>
      </c>
      <c r="BA85" s="121" cm="1">
        <f t="array" ref="BA85">_xlfn.IFS(AZ85="Undetermined", 0, qPCR_Raw!AH85&lt;=1, 0, qPCR_Raw!AH85&gt;1, qPCR_Raw!AH85)</f>
        <v>45.124156951904297</v>
      </c>
      <c r="BB85" s="122" t="str">
        <f>qPCR_Raw!AJ85</f>
        <v>Undetermined</v>
      </c>
      <c r="BC85" s="121" cm="1">
        <f t="array" ref="BC85">_xlfn.IFS(BB85="Undetermined", 0, qPCR_Raw!AK85&lt;=1, 0, qPCR_Raw!AK85&gt;1, qPCR_Raw!AK85)</f>
        <v>0</v>
      </c>
      <c r="BD85" s="123" t="str" cm="1">
        <f t="array" ref="BD85">_xlfn.IFS(AND(AZ85="Undetermined", BB85="Undetermined"), "Undetermined", AND(BA85=0, BC85=0), "Undetermined", AND(BA85=0, BC85&gt;0), "Ten-Fold", AND(BA85&gt;0, BC85=0), "Undiluted", AND(AZ85&lt;&gt;"Undetermined", BB85&lt;&gt;"Undetermined", BA85&gt;0, BC85&gt;0, AZ85&lt;&gt;BB85), 100*(-1+10^(-1/(AZ85-BB85))), AND(AZ85&lt;&gt;"Undetermined", BB85&lt;&gt;"Undetermined", AZ85=BB85&gt;0), -100)</f>
        <v>Undiluted</v>
      </c>
      <c r="BE85" s="124" cm="1">
        <f t="array" ref="BE85">_xlfn.IFS(BD85="Undetermined", 0, BD85="Undiluted", BA85*$G85/$F85*1000, BD85="Ten-Fold", BC85*$G85/$F85*1000*10, BD85&lt;0, BC85*$G85/$F85*1000*10, BD85&lt;120, BA85*$G85/$F85*1000, BD85&gt;120, BC85*$G85/$F85*1000*10)</f>
        <v>4986.094690818154</v>
      </c>
      <c r="BF85" s="121" t="str">
        <f t="shared" si="31"/>
        <v>DELETE</v>
      </c>
      <c r="BG85" s="121" t="str">
        <f t="shared" si="32"/>
        <v>DELETE</v>
      </c>
      <c r="BH85" s="121" t="str">
        <f t="shared" si="33"/>
        <v>DELETE</v>
      </c>
      <c r="BI85" s="125" t="str" cm="1">
        <f t="array" ref="BI85">_xlfn.IFS(BF85="DELETE", "DELETE", BF85=0, 0, BF85&gt;0,LOG10(BF85))</f>
        <v>DELETE</v>
      </c>
      <c r="BJ85" s="126" t="str" cm="1">
        <f t="array" ref="BJ85">_xlfn.IFS(BF85="DELETE", "DELETE", BF85=0, 0, BF85&gt;0, BH85/BF85/LN(10))</f>
        <v>DELETE</v>
      </c>
    </row>
    <row r="86" spans="1:62" s="114" customFormat="1" x14ac:dyDescent="0.3">
      <c r="A86" s="115" t="str">
        <f>UPPER(LEFT(SUBSTITUTE(SUBSTITUTE(qPCR_Raw!A86,"-","")," ",""),2))&amp;RIGHT(SUBSTITUTE(SUBSTITUTE(qPCR_Raw!A86,"-","")," ",""),LEN(SUBSTITUTE(SUBSTITUTE(qPCR_Raw!A86,"-","")," ",""))-2)</f>
        <v>STb6</v>
      </c>
      <c r="B86" s="116" t="str" cm="1">
        <f t="array" ref="B86">_xlfn.IFS(LEFT(A86, LEN(A86)-1)="EP", "EP", LEFT(A86, LEN(A86)-1)="STa", "SPI", LEFT(A86, LEN(A86)-1)="STb", "SPO", LEFT(A86, LEN(A86)-1)="MRT", "MRT", LEFT(A86, LEN(A86)-1)="RG", "RN", LEFT(A86, LEN(A86)-1)="RT", "RU", LEFT(A86, LEN(A86)-1)="RW", "RL", LEFT(A86, LEN(A86)-1)="RC", "RS")</f>
        <v>SPO</v>
      </c>
      <c r="C86" s="117">
        <f>qPCR_Raw!B86</f>
        <v>44370</v>
      </c>
      <c r="D86" s="117" t="str">
        <f t="shared" si="17"/>
        <v>SPO44370</v>
      </c>
      <c r="E86" s="117" t="str">
        <f t="shared" si="18"/>
        <v>SPO443706</v>
      </c>
      <c r="F86" s="118">
        <f>qPCR_Raw!C86</f>
        <v>905</v>
      </c>
      <c r="G86" s="119">
        <f>qPCR_Raw!F86</f>
        <v>100</v>
      </c>
      <c r="H86" s="120">
        <f>qPCR_Raw!G86</f>
        <v>23.049032211303711</v>
      </c>
      <c r="I86" s="121" cm="1">
        <f t="array" ref="I86">_xlfn.IFS(H86="Undetermined", 0, qPCR_Raw!H86-qPCR_Raw!$H$242&lt;0, 0, qPCR_Raw!H86-qPCR_Raw!$H$242&gt;0, qPCR_Raw!H86-qPCR_Raw!$H$242)</f>
        <v>1921.5899617513023</v>
      </c>
      <c r="J86" s="122">
        <f>qPCR_Raw!K86</f>
        <v>25.978614807128906</v>
      </c>
      <c r="K86" s="121" cm="1">
        <f t="array" ref="K86">_xlfn.IFS(J86="Undetermined", 0, qPCR_Raw!L86-qPCR_Raw!$H$242&lt;0, 0, qPCR_Raw!L86-qPCR_Raw!$H$242&gt;0, qPCR_Raw!L86-qPCR_Raw!$H$242)</f>
        <v>0</v>
      </c>
      <c r="L86" s="123" t="str" cm="1">
        <f t="array" ref="L86">_xlfn.IFS(AND(H86="Undetermined", J86="Undetermined"), "Undetermined", AND(I86=0, K86=0), "Undetermined", AND(I86=0, K86&gt;0), "Ten-Fold", AND(I86&gt;0, K86=0), "Undiluted", AND(H86&lt;&gt;"Undetermined", J86&lt;&gt;"Undetermined", I86&gt;0, K86&gt;0), 100*(-1+10^(-1/(H86-J86))))</f>
        <v>Undiluted</v>
      </c>
      <c r="M86" s="124" cm="1">
        <f t="array" ref="M86">_xlfn.IFS(L86="Undetermined", 0, L86="Undiluted", I86*$G86/$F86*1000, L86="Ten-Fold", K86*$G86/$F86*1000*10, L86&lt;0, K86*$G86/$F86*1000*10, L86&lt;120, I86*$G86/$F86*1000, L86&gt;120, K86*$G86/$F86*1000*10)</f>
        <v>212330.38251395608</v>
      </c>
      <c r="N86" s="121">
        <f t="shared" si="19"/>
        <v>106165.19125697804</v>
      </c>
      <c r="O86" s="121">
        <f t="shared" si="20"/>
        <v>150140.25332755188</v>
      </c>
      <c r="P86" s="121">
        <f t="shared" si="21"/>
        <v>106165.19125697804</v>
      </c>
      <c r="Q86" s="125" cm="1">
        <f t="array" ref="Q86">_xlfn.IFS(N86="DELETE", "DELETE", N86=0, 0, N86&gt;0,LOG10(N86))</f>
        <v>5.025982146472221</v>
      </c>
      <c r="R86" s="126" cm="1">
        <f t="array" ref="R86">_xlfn.IFS(N86="DELETE", "DELETE", N86=0, 0, N86&gt;0, P86/N86/LN(10))</f>
        <v>0.43429448190325176</v>
      </c>
      <c r="S86" s="155" t="str">
        <f>qPCR_Raw!O86</f>
        <v>Undetermined</v>
      </c>
      <c r="T86" s="156" cm="1">
        <f t="array" ref="T86">_xlfn.IFS(S86="Undetermined", 0, qPCR_Raw!P86&lt;=1, 0, qPCR_Raw!P86&gt;1, qPCR_Raw!P86)</f>
        <v>0</v>
      </c>
      <c r="U86" s="157" t="str">
        <f>qPCR_Raw!R86</f>
        <v>Undetermined</v>
      </c>
      <c r="V86" s="156" cm="1">
        <f t="array" ref="V86">_xlfn.IFS(U86="Undetermined", 0, qPCR_Raw!S86&lt;=1, 0, qPCR_Raw!S86&gt;1, qPCR_Raw!S86)</f>
        <v>0</v>
      </c>
      <c r="W86" s="158" t="str" cm="1">
        <f t="array" ref="W86">_xlfn.IFS(AND(S86="Undetermined", U86="Undetermined"), "Undetermined", AND(T86=0, V86=0), "Undetermined", AND(T86=0, V86&gt;0), "Ten-Fold", AND(T86&gt;0, V86=0), "Undiluted", AND(S86&lt;&gt;"Undetermined", U86&lt;&gt;"Undetermined", T86&gt;0, V86&gt;0, S86&lt;&gt;U86), 100*(-1+10^(-1/(S86-U86))), AND(S86&lt;&gt;"Undetermined", U86&lt;&gt;"Undetermined", S86=U86&gt;0), -100)</f>
        <v>Undetermined</v>
      </c>
      <c r="X86" s="159" cm="1">
        <f t="array" ref="X86">_xlfn.IFS(W86="Undetermined", 0, W86="Undiluted", T86*$G86/$F86*1000, W86="Ten-Fold", V86*$G86/$F86*1000*10, W86&lt;0, V86*$G86/$F86*1000*10, W86&lt;120, T86*$G86/$F86*1000, W86&gt;120, V86*$G86/$F86*1000*10)</f>
        <v>0</v>
      </c>
      <c r="Y86" s="156">
        <f t="shared" si="22"/>
        <v>0</v>
      </c>
      <c r="Z86" s="156">
        <f t="shared" si="23"/>
        <v>0</v>
      </c>
      <c r="AA86" s="156">
        <f t="shared" si="24"/>
        <v>0</v>
      </c>
      <c r="AB86" s="160" cm="1">
        <f t="array" ref="AB86">_xlfn.IFS(Y86="DELETE", "DELETE", Y86=0, 0, Y86&gt;0,LOG10(Y86))</f>
        <v>0</v>
      </c>
      <c r="AC86" s="161" cm="1">
        <f t="array" ref="AC86">_xlfn.IFS(Y86="DELETE", "DELETE", Y86=0, 0, Y86&gt;0, AA86/Y86/LN(10))</f>
        <v>0</v>
      </c>
      <c r="AD86" s="120" t="str">
        <f>qPCR_Raw!U86</f>
        <v>Undetermined</v>
      </c>
      <c r="AE86" s="121" cm="1">
        <f t="array" ref="AE86">_xlfn.IFS(AD86="Undetermined", 0, qPCR_Raw!V86&lt;=1, 0, qPCR_Raw!V86&gt;1, qPCR_Raw!V86)</f>
        <v>0</v>
      </c>
      <c r="AF86" s="122" t="str">
        <f>qPCR_Raw!X86</f>
        <v>Undetermined</v>
      </c>
      <c r="AG86" s="121" cm="1">
        <f t="array" ref="AG86">_xlfn.IFS(AF86="Undetermined", 0, qPCR_Raw!Y86&lt;=1, 0, qPCR_Raw!Y86&gt;1, qPCR_Raw!Y86)</f>
        <v>0</v>
      </c>
      <c r="AH86" s="123" t="str" cm="1">
        <f t="array" ref="AH86">_xlfn.IFS(AND(AD86="Undetermined", AF86="Undetermined"), "Undetermined", AND(AE86=0, AG86=0), "Undetermined", AND(AE86=0, AG86&gt;0), "Ten-Fold", AND(AE86&gt;0, AG86=0), "Undiluted", AND(AD86&lt;&gt;"Undetermined", AF86&lt;&gt;"Undetermined", AE86&gt;0, AG86&gt;0, AD86&lt;&gt;AF86), 100*(-1+10^(-1/(AD86-AF86))), AND(AD86&lt;&gt;"Undetermined", AF86&lt;&gt;"Undetermined", AD86=AF86&gt;0), -100)</f>
        <v>Undetermined</v>
      </c>
      <c r="AI86" s="124" cm="1">
        <f t="array" ref="AI86">_xlfn.IFS(AH86="Undetermined", 0, AH86="Undiluted", AE86*$G86/$F86*1000, AH86="Ten-Fold", AG86*$G86/$F86*1000*10, AH86&lt;0, AG86*$G86/$F86*1000*10, AH86&lt;120, AE86*$G86/$F86*1000, AH86&gt;120, AG86*$G86/$F86*1000*10)</f>
        <v>0</v>
      </c>
      <c r="AJ86" s="121">
        <f t="shared" si="25"/>
        <v>0</v>
      </c>
      <c r="AK86" s="121">
        <f t="shared" si="26"/>
        <v>0</v>
      </c>
      <c r="AL86" s="121">
        <f t="shared" si="27"/>
        <v>0</v>
      </c>
      <c r="AM86" s="125" cm="1">
        <f t="array" ref="AM86">_xlfn.IFS(AJ86="DELETE", "DELETE", AJ86=0, 0, AJ86&gt;0,LOG10(AJ86))</f>
        <v>0</v>
      </c>
      <c r="AN86" s="126" cm="1">
        <f t="array" ref="AN86">_xlfn.IFS(AJ86="DELETE", "DELETE", AJ86=0, 0, AJ86&gt;0, AL86/AJ86/LN(10))</f>
        <v>0</v>
      </c>
      <c r="AO86" s="155">
        <f>qPCR_Raw!AA86</f>
        <v>30.56675910949707</v>
      </c>
      <c r="AP86" s="156" cm="1">
        <f t="array" ref="AP86">_xlfn.IFS(AO86="Undetermined", 0, qPCR_Raw!AB86&lt;=6, 0, qPCR_Raw!AB86&gt;6, qPCR_Raw!AB86)</f>
        <v>0</v>
      </c>
      <c r="AQ86" s="157" t="str">
        <f>qPCR_Raw!AD86</f>
        <v>Undetermined</v>
      </c>
      <c r="AR86" s="156" cm="1">
        <f t="array" ref="AR86">_xlfn.IFS(AQ86="Undetermined", 0, qPCR_Raw!AE86&lt;=6, 0, qPCR_Raw!AE86&gt;6, qPCR_Raw!AE86)</f>
        <v>0</v>
      </c>
      <c r="AS86" s="158" t="str" cm="1">
        <f t="array" ref="AS86">_xlfn.IFS(AND(AO86="Undetermined", AQ86="Undetermined"), "Undetermined", AND(AP86=0, AR86=0), "Undetermined", AND(AP86=0, AR86&gt;0), "Ten-Fold", AND(AP86&gt;0, AR86=0), "Undiluted", AND(AO86&lt;&gt;"Undetermined", AQ86&lt;&gt;"Undetermined", AP86&gt;0, AR86&gt;0, AO86&lt;&gt;AQ86), 100*(-1+10^(-1/(AO86-AQ86))), AND(AO86&lt;&gt;"Undetermined", AQ86&lt;&gt;"Undetermined", AO86=AQ86&gt;0), -100)</f>
        <v>Undetermined</v>
      </c>
      <c r="AT86" s="159" cm="1">
        <f t="array" ref="AT86">_xlfn.IFS(AS86="Undetermined", 0, AS86="Undiluted", AP86*$G86/$F86*1000, AS86="Ten-Fold", AR86*$G86/$F86*1000*10, AS86&lt;0, AR86*$G86/$F86*1000*10, AS86&lt;120, AP86*$G86/$F86*1000, AS86&gt;120, AR86*$G86/$F86*1000*10)</f>
        <v>0</v>
      </c>
      <c r="AU86" s="156">
        <f t="shared" si="34"/>
        <v>0</v>
      </c>
      <c r="AV86" s="156">
        <f t="shared" si="35"/>
        <v>0</v>
      </c>
      <c r="AW86" s="156">
        <f t="shared" si="36"/>
        <v>0</v>
      </c>
      <c r="AX86" s="160" cm="1">
        <f t="array" ref="AX86">_xlfn.IFS(AU86="DELETE", "DELETE", AU86=0, 0, AU86&gt;0,LOG10(AU86))</f>
        <v>0</v>
      </c>
      <c r="AY86" s="161" cm="1">
        <f t="array" ref="AY86">_xlfn.IFS(AU86="DELETE", "DELETE", AU86=0, 0, AU86&gt;0, AW86/AU86/LN(10))</f>
        <v>0</v>
      </c>
      <c r="AZ86" s="120" t="str">
        <f>qPCR_Raw!AG86</f>
        <v>Undetermined</v>
      </c>
      <c r="BA86" s="121" cm="1">
        <f t="array" ref="BA86">_xlfn.IFS(AZ86="Undetermined", 0, qPCR_Raw!AH86&lt;=1, 0, qPCR_Raw!AH86&gt;1, qPCR_Raw!AH86)</f>
        <v>0</v>
      </c>
      <c r="BB86" s="122" t="str">
        <f>qPCR_Raw!AJ86</f>
        <v>Undetermined</v>
      </c>
      <c r="BC86" s="121" cm="1">
        <f t="array" ref="BC86">_xlfn.IFS(BB86="Undetermined", 0, qPCR_Raw!AK86&lt;=1, 0, qPCR_Raw!AK86&gt;1, qPCR_Raw!AK86)</f>
        <v>0</v>
      </c>
      <c r="BD86" s="123" t="str" cm="1">
        <f t="array" ref="BD86">_xlfn.IFS(AND(AZ86="Undetermined", BB86="Undetermined"), "Undetermined", AND(BA86=0, BC86=0), "Undetermined", AND(BA86=0, BC86&gt;0), "Ten-Fold", AND(BA86&gt;0, BC86=0), "Undiluted", AND(AZ86&lt;&gt;"Undetermined", BB86&lt;&gt;"Undetermined", BA86&gt;0, BC86&gt;0, AZ86&lt;&gt;BB86), 100*(-1+10^(-1/(AZ86-BB86))), AND(AZ86&lt;&gt;"Undetermined", BB86&lt;&gt;"Undetermined", AZ86=BB86&gt;0), -100)</f>
        <v>Undetermined</v>
      </c>
      <c r="BE86" s="124" cm="1">
        <f t="array" ref="BE86">_xlfn.IFS(BD86="Undetermined", 0, BD86="Undiluted", BA86*$G86/$F86*1000, BD86="Ten-Fold", BC86*$G86/$F86*1000*10, BD86&lt;0, BC86*$G86/$F86*1000*10, BD86&lt;120, BA86*$G86/$F86*1000, BD86&gt;120, BC86*$G86/$F86*1000*10)</f>
        <v>0</v>
      </c>
      <c r="BF86" s="121">
        <f t="shared" si="31"/>
        <v>0</v>
      </c>
      <c r="BG86" s="121">
        <f t="shared" si="32"/>
        <v>0</v>
      </c>
      <c r="BH86" s="121">
        <f t="shared" si="33"/>
        <v>0</v>
      </c>
      <c r="BI86" s="125" cm="1">
        <f t="array" ref="BI86">_xlfn.IFS(BF86="DELETE", "DELETE", BF86=0, 0, BF86&gt;0,LOG10(BF86))</f>
        <v>0</v>
      </c>
      <c r="BJ86" s="126" cm="1">
        <f t="array" ref="BJ86">_xlfn.IFS(BF86="DELETE", "DELETE", BF86=0, 0, BF86&gt;0, BH86/BF86/LN(10))</f>
        <v>0</v>
      </c>
    </row>
    <row r="87" spans="1:62" s="114" customFormat="1" x14ac:dyDescent="0.3">
      <c r="A87" s="115" t="str">
        <f>UPPER(LEFT(SUBSTITUTE(SUBSTITUTE(qPCR_Raw!A87,"-","")," ",""),2))&amp;RIGHT(SUBSTITUTE(SUBSTITUTE(qPCR_Raw!A87,"-","")," ",""),LEN(SUBSTITUTE(SUBSTITUTE(qPCR_Raw!A87,"-","")," ",""))-2)</f>
        <v>STb7</v>
      </c>
      <c r="B87" s="116" t="str" cm="1">
        <f t="array" ref="B87">_xlfn.IFS(LEFT(A87, LEN(A87)-1)="EP", "EP", LEFT(A87, LEN(A87)-1)="STa", "SPI", LEFT(A87, LEN(A87)-1)="STb", "SPO", LEFT(A87, LEN(A87)-1)="MRT", "MRT", LEFT(A87, LEN(A87)-1)="RG", "RN", LEFT(A87, LEN(A87)-1)="RT", "RU", LEFT(A87, LEN(A87)-1)="RW", "RL", LEFT(A87, LEN(A87)-1)="RC", "RS")</f>
        <v>SPO</v>
      </c>
      <c r="C87" s="117">
        <f>qPCR_Raw!B87</f>
        <v>44370</v>
      </c>
      <c r="D87" s="117" t="str">
        <f t="shared" si="17"/>
        <v>SPO44370</v>
      </c>
      <c r="E87" s="117" t="str">
        <f t="shared" si="18"/>
        <v>SPO443707</v>
      </c>
      <c r="F87" s="118">
        <f>qPCR_Raw!C87</f>
        <v>970</v>
      </c>
      <c r="G87" s="119">
        <f>qPCR_Raw!F87</f>
        <v>100</v>
      </c>
      <c r="H87" s="120">
        <f>qPCR_Raw!G87</f>
        <v>23.298141479492188</v>
      </c>
      <c r="I87" s="121" cm="1">
        <f t="array" ref="I87">_xlfn.IFS(H87="Undetermined", 0, qPCR_Raw!H87-qPCR_Raw!$H$242&lt;0, 0, qPCR_Raw!H87-qPCR_Raw!$H$242&gt;0, qPCR_Raw!H87-qPCR_Raw!$H$242)</f>
        <v>0</v>
      </c>
      <c r="J87" s="122">
        <f>qPCR_Raw!K87</f>
        <v>26.240047454833984</v>
      </c>
      <c r="K87" s="121" cm="1">
        <f t="array" ref="K87">_xlfn.IFS(J87="Undetermined", 0, qPCR_Raw!L87-qPCR_Raw!$H$242&lt;0, 0, qPCR_Raw!L87-qPCR_Raw!$H$242&gt;0, qPCR_Raw!L87-qPCR_Raw!$H$242)</f>
        <v>0</v>
      </c>
      <c r="L87" s="123" t="str" cm="1">
        <f t="array" ref="L87">_xlfn.IFS(AND(H87="Undetermined", J87="Undetermined"), "Undetermined", AND(I87=0, K87=0), "Undetermined", AND(I87=0, K87&gt;0), "Ten-Fold", AND(I87&gt;0, K87=0), "Undiluted", AND(H87&lt;&gt;"Undetermined", J87&lt;&gt;"Undetermined", I87&gt;0, K87&gt;0), 100*(-1+10^(-1/(H87-J87))))</f>
        <v>Undetermined</v>
      </c>
      <c r="M87" s="124" cm="1">
        <f t="array" ref="M87">_xlfn.IFS(L87="Undetermined", 0, L87="Undiluted", I87*$G87/$F87*1000, L87="Ten-Fold", K87*$G87/$F87*1000*10, L87&lt;0, K87*$G87/$F87*1000*10, L87&lt;120, I87*$G87/$F87*1000, L87&gt;120, K87*$G87/$F87*1000*10)</f>
        <v>0</v>
      </c>
      <c r="N87" s="121" t="str">
        <f t="shared" si="19"/>
        <v>DELETE</v>
      </c>
      <c r="O87" s="121" t="str">
        <f t="shared" si="20"/>
        <v>DELETE</v>
      </c>
      <c r="P87" s="121" t="str">
        <f t="shared" si="21"/>
        <v>DELETE</v>
      </c>
      <c r="Q87" s="125" t="str" cm="1">
        <f t="array" ref="Q87">_xlfn.IFS(N87="DELETE", "DELETE", N87=0, 0, N87&gt;0,LOG10(N87))</f>
        <v>DELETE</v>
      </c>
      <c r="R87" s="126" t="str" cm="1">
        <f t="array" ref="R87">_xlfn.IFS(N87="DELETE", "DELETE", N87=0, 0, N87&gt;0, P87/N87/LN(10))</f>
        <v>DELETE</v>
      </c>
      <c r="S87" s="155" t="str">
        <f>qPCR_Raw!O87</f>
        <v>Undetermined</v>
      </c>
      <c r="T87" s="156" cm="1">
        <f t="array" ref="T87">_xlfn.IFS(S87="Undetermined", 0, qPCR_Raw!P87&lt;=1, 0, qPCR_Raw!P87&gt;1, qPCR_Raw!P87)</f>
        <v>0</v>
      </c>
      <c r="U87" s="157" t="str">
        <f>qPCR_Raw!R87</f>
        <v>Undetermined</v>
      </c>
      <c r="V87" s="156" cm="1">
        <f t="array" ref="V87">_xlfn.IFS(U87="Undetermined", 0, qPCR_Raw!S87&lt;=1, 0, qPCR_Raw!S87&gt;1, qPCR_Raw!S87)</f>
        <v>0</v>
      </c>
      <c r="W87" s="158" t="str" cm="1">
        <f t="array" ref="W87">_xlfn.IFS(AND(S87="Undetermined", U87="Undetermined"), "Undetermined", AND(T87=0, V87=0), "Undetermined", AND(T87=0, V87&gt;0), "Ten-Fold", AND(T87&gt;0, V87=0), "Undiluted", AND(S87&lt;&gt;"Undetermined", U87&lt;&gt;"Undetermined", T87&gt;0, V87&gt;0, S87&lt;&gt;U87), 100*(-1+10^(-1/(S87-U87))), AND(S87&lt;&gt;"Undetermined", U87&lt;&gt;"Undetermined", S87=U87&gt;0), -100)</f>
        <v>Undetermined</v>
      </c>
      <c r="X87" s="159" cm="1">
        <f t="array" ref="X87">_xlfn.IFS(W87="Undetermined", 0, W87="Undiluted", T87*$G87/$F87*1000, W87="Ten-Fold", V87*$G87/$F87*1000*10, W87&lt;0, V87*$G87/$F87*1000*10, W87&lt;120, T87*$G87/$F87*1000, W87&gt;120, V87*$G87/$F87*1000*10)</f>
        <v>0</v>
      </c>
      <c r="Y87" s="156" t="str">
        <f t="shared" si="22"/>
        <v>DELETE</v>
      </c>
      <c r="Z87" s="156" t="str">
        <f t="shared" si="23"/>
        <v>DELETE</v>
      </c>
      <c r="AA87" s="156" t="str">
        <f t="shared" si="24"/>
        <v>DELETE</v>
      </c>
      <c r="AB87" s="160" t="str" cm="1">
        <f t="array" ref="AB87">_xlfn.IFS(Y87="DELETE", "DELETE", Y87=0, 0, Y87&gt;0,LOG10(Y87))</f>
        <v>DELETE</v>
      </c>
      <c r="AC87" s="161" t="str" cm="1">
        <f t="array" ref="AC87">_xlfn.IFS(Y87="DELETE", "DELETE", Y87=0, 0, Y87&gt;0, AA87/Y87/LN(10))</f>
        <v>DELETE</v>
      </c>
      <c r="AD87" s="120" t="str">
        <f>qPCR_Raw!U87</f>
        <v>Undetermined</v>
      </c>
      <c r="AE87" s="121" cm="1">
        <f t="array" ref="AE87">_xlfn.IFS(AD87="Undetermined", 0, qPCR_Raw!V87&lt;=1, 0, qPCR_Raw!V87&gt;1, qPCR_Raw!V87)</f>
        <v>0</v>
      </c>
      <c r="AF87" s="122" t="str">
        <f>qPCR_Raw!X87</f>
        <v>Undetermined</v>
      </c>
      <c r="AG87" s="121" cm="1">
        <f t="array" ref="AG87">_xlfn.IFS(AF87="Undetermined", 0, qPCR_Raw!Y87&lt;=1, 0, qPCR_Raw!Y87&gt;1, qPCR_Raw!Y87)</f>
        <v>0</v>
      </c>
      <c r="AH87" s="123" t="str" cm="1">
        <f t="array" ref="AH87">_xlfn.IFS(AND(AD87="Undetermined", AF87="Undetermined"), "Undetermined", AND(AE87=0, AG87=0), "Undetermined", AND(AE87=0, AG87&gt;0), "Ten-Fold", AND(AE87&gt;0, AG87=0), "Undiluted", AND(AD87&lt;&gt;"Undetermined", AF87&lt;&gt;"Undetermined", AE87&gt;0, AG87&gt;0, AD87&lt;&gt;AF87), 100*(-1+10^(-1/(AD87-AF87))), AND(AD87&lt;&gt;"Undetermined", AF87&lt;&gt;"Undetermined", AD87=AF87&gt;0), -100)</f>
        <v>Undetermined</v>
      </c>
      <c r="AI87" s="124" cm="1">
        <f t="array" ref="AI87">_xlfn.IFS(AH87="Undetermined", 0, AH87="Undiluted", AE87*$G87/$F87*1000, AH87="Ten-Fold", AG87*$G87/$F87*1000*10, AH87&lt;0, AG87*$G87/$F87*1000*10, AH87&lt;120, AE87*$G87/$F87*1000, AH87&gt;120, AG87*$G87/$F87*1000*10)</f>
        <v>0</v>
      </c>
      <c r="AJ87" s="121" t="str">
        <f t="shared" si="25"/>
        <v>DELETE</v>
      </c>
      <c r="AK87" s="121" t="str">
        <f t="shared" si="26"/>
        <v>DELETE</v>
      </c>
      <c r="AL87" s="121" t="str">
        <f t="shared" si="27"/>
        <v>DELETE</v>
      </c>
      <c r="AM87" s="125" t="str" cm="1">
        <f t="array" ref="AM87">_xlfn.IFS(AJ87="DELETE", "DELETE", AJ87=0, 0, AJ87&gt;0,LOG10(AJ87))</f>
        <v>DELETE</v>
      </c>
      <c r="AN87" s="126" t="str" cm="1">
        <f t="array" ref="AN87">_xlfn.IFS(AJ87="DELETE", "DELETE", AJ87=0, 0, AJ87&gt;0, AL87/AJ87/LN(10))</f>
        <v>DELETE</v>
      </c>
      <c r="AO87" s="155">
        <f>qPCR_Raw!AA87</f>
        <v>29.879581451416016</v>
      </c>
      <c r="AP87" s="156" cm="1">
        <f t="array" ref="AP87">_xlfn.IFS(AO87="Undetermined", 0, qPCR_Raw!AB87&lt;=6, 0, qPCR_Raw!AB87&gt;6, qPCR_Raw!AB87)</f>
        <v>0</v>
      </c>
      <c r="AQ87" s="157" t="str">
        <f>qPCR_Raw!AD87</f>
        <v>Undetermined</v>
      </c>
      <c r="AR87" s="156" cm="1">
        <f t="array" ref="AR87">_xlfn.IFS(AQ87="Undetermined", 0, qPCR_Raw!AE87&lt;=6, 0, qPCR_Raw!AE87&gt;6, qPCR_Raw!AE87)</f>
        <v>0</v>
      </c>
      <c r="AS87" s="158" t="str" cm="1">
        <f t="array" ref="AS87">_xlfn.IFS(AND(AO87="Undetermined", AQ87="Undetermined"), "Undetermined", AND(AP87=0, AR87=0), "Undetermined", AND(AP87=0, AR87&gt;0), "Ten-Fold", AND(AP87&gt;0, AR87=0), "Undiluted", AND(AO87&lt;&gt;"Undetermined", AQ87&lt;&gt;"Undetermined", AP87&gt;0, AR87&gt;0, AO87&lt;&gt;AQ87), 100*(-1+10^(-1/(AO87-AQ87))), AND(AO87&lt;&gt;"Undetermined", AQ87&lt;&gt;"Undetermined", AO87=AQ87&gt;0), -100)</f>
        <v>Undetermined</v>
      </c>
      <c r="AT87" s="159" cm="1">
        <f t="array" ref="AT87">_xlfn.IFS(AS87="Undetermined", 0, AS87="Undiluted", AP87*$G87/$F87*1000, AS87="Ten-Fold", AR87*$G87/$F87*1000*10, AS87&lt;0, AR87*$G87/$F87*1000*10, AS87&lt;120, AP87*$G87/$F87*1000, AS87&gt;120, AR87*$G87/$F87*1000*10)</f>
        <v>0</v>
      </c>
      <c r="AU87" s="156" t="str">
        <f t="shared" si="34"/>
        <v>DELETE</v>
      </c>
      <c r="AV87" s="156" t="str">
        <f t="shared" si="35"/>
        <v>DELETE</v>
      </c>
      <c r="AW87" s="156" t="str">
        <f t="shared" si="36"/>
        <v>DELETE</v>
      </c>
      <c r="AX87" s="160" t="str" cm="1">
        <f t="array" ref="AX87">_xlfn.IFS(AU87="DELETE", "DELETE", AU87=0, 0, AU87&gt;0,LOG10(AU87))</f>
        <v>DELETE</v>
      </c>
      <c r="AY87" s="161" t="str" cm="1">
        <f t="array" ref="AY87">_xlfn.IFS(AU87="DELETE", "DELETE", AU87=0, 0, AU87&gt;0, AW87/AU87/LN(10))</f>
        <v>DELETE</v>
      </c>
      <c r="AZ87" s="120" t="str">
        <f>qPCR_Raw!AG87</f>
        <v>Undetermined</v>
      </c>
      <c r="BA87" s="121" cm="1">
        <f t="array" ref="BA87">_xlfn.IFS(AZ87="Undetermined", 0, qPCR_Raw!AH87&lt;=1, 0, qPCR_Raw!AH87&gt;1, qPCR_Raw!AH87)</f>
        <v>0</v>
      </c>
      <c r="BB87" s="122" t="str">
        <f>qPCR_Raw!AJ87</f>
        <v>Undetermined</v>
      </c>
      <c r="BC87" s="121" cm="1">
        <f t="array" ref="BC87">_xlfn.IFS(BB87="Undetermined", 0, qPCR_Raw!AK87&lt;=1, 0, qPCR_Raw!AK87&gt;1, qPCR_Raw!AK87)</f>
        <v>0</v>
      </c>
      <c r="BD87" s="123" t="str" cm="1">
        <f t="array" ref="BD87">_xlfn.IFS(AND(AZ87="Undetermined", BB87="Undetermined"), "Undetermined", AND(BA87=0, BC87=0), "Undetermined", AND(BA87=0, BC87&gt;0), "Ten-Fold", AND(BA87&gt;0, BC87=0), "Undiluted", AND(AZ87&lt;&gt;"Undetermined", BB87&lt;&gt;"Undetermined", BA87&gt;0, BC87&gt;0, AZ87&lt;&gt;BB87), 100*(-1+10^(-1/(AZ87-BB87))), AND(AZ87&lt;&gt;"Undetermined", BB87&lt;&gt;"Undetermined", AZ87=BB87&gt;0), -100)</f>
        <v>Undetermined</v>
      </c>
      <c r="BE87" s="124" cm="1">
        <f t="array" ref="BE87">_xlfn.IFS(BD87="Undetermined", 0, BD87="Undiluted", BA87*$G87/$F87*1000, BD87="Ten-Fold", BC87*$G87/$F87*1000*10, BD87&lt;0, BC87*$G87/$F87*1000*10, BD87&lt;120, BA87*$G87/$F87*1000, BD87&gt;120, BC87*$G87/$F87*1000*10)</f>
        <v>0</v>
      </c>
      <c r="BF87" s="121" t="str">
        <f t="shared" si="31"/>
        <v>DELETE</v>
      </c>
      <c r="BG87" s="121" t="str">
        <f t="shared" si="32"/>
        <v>DELETE</v>
      </c>
      <c r="BH87" s="121" t="str">
        <f t="shared" si="33"/>
        <v>DELETE</v>
      </c>
      <c r="BI87" s="125" t="str" cm="1">
        <f t="array" ref="BI87">_xlfn.IFS(BF87="DELETE", "DELETE", BF87=0, 0, BF87&gt;0,LOG10(BF87))</f>
        <v>DELETE</v>
      </c>
      <c r="BJ87" s="126" t="str" cm="1">
        <f t="array" ref="BJ87">_xlfn.IFS(BF87="DELETE", "DELETE", BF87=0, 0, BF87&gt;0, BH87/BF87/LN(10))</f>
        <v>DELETE</v>
      </c>
    </row>
    <row r="88" spans="1:62" s="114" customFormat="1" x14ac:dyDescent="0.3">
      <c r="A88" s="115" t="str">
        <f>UPPER(LEFT(SUBSTITUTE(SUBSTITUTE(qPCR_Raw!A88,"-","")," ",""),2))&amp;RIGHT(SUBSTITUTE(SUBSTITUTE(qPCR_Raw!A88,"-","")," ",""),LEN(SUBSTITUTE(SUBSTITUTE(qPCR_Raw!A88,"-","")," ",""))-2)</f>
        <v>RC6</v>
      </c>
      <c r="B88" s="116" t="str" cm="1">
        <f t="array" ref="B88">_xlfn.IFS(LEFT(A88, LEN(A88)-1)="EP", "EP", LEFT(A88, LEN(A88)-1)="STa", "SPI", LEFT(A88, LEN(A88)-1)="STb", "SPO", LEFT(A88, LEN(A88)-1)="MRT", "MRT", LEFT(A88, LEN(A88)-1)="RG", "RN", LEFT(A88, LEN(A88)-1)="RT", "RU", LEFT(A88, LEN(A88)-1)="RW", "RL", LEFT(A88, LEN(A88)-1)="RC", "RS")</f>
        <v>RS</v>
      </c>
      <c r="C88" s="117">
        <f>qPCR_Raw!B88</f>
        <v>44370</v>
      </c>
      <c r="D88" s="117" t="str">
        <f t="shared" si="17"/>
        <v>RS44370</v>
      </c>
      <c r="E88" s="117" t="str">
        <f t="shared" si="18"/>
        <v>RS443706</v>
      </c>
      <c r="F88" s="118">
        <f>qPCR_Raw!C88</f>
        <v>1000</v>
      </c>
      <c r="G88" s="119">
        <f>qPCR_Raw!F88</f>
        <v>100</v>
      </c>
      <c r="H88" s="120">
        <f>qPCR_Raw!G88</f>
        <v>12.476798057556152</v>
      </c>
      <c r="I88" s="121" cm="1">
        <f t="array" ref="I88">_xlfn.IFS(H88="Undetermined", 0, qPCR_Raw!H88-qPCR_Raw!$H$242&lt;0, 0, qPCR_Raw!H88-qPCR_Raw!$H$242&gt;0, qPCR_Raw!H88-qPCR_Raw!$H$242)</f>
        <v>14639221.361446125</v>
      </c>
      <c r="J88" s="122">
        <f>qPCR_Raw!K88</f>
        <v>15.264969825744629</v>
      </c>
      <c r="K88" s="121" cm="1">
        <f t="array" ref="K88">_xlfn.IFS(J88="Undetermined", 0, qPCR_Raw!L88-qPCR_Raw!$H$242&lt;0, 0, qPCR_Raw!L88-qPCR_Raw!$H$242&gt;0, qPCR_Raw!L88-qPCR_Raw!$H$242)</f>
        <v>2367574.3614461264</v>
      </c>
      <c r="L88" s="123" cm="1">
        <f t="array" ref="L88">_xlfn.IFS(AND(H88="Undetermined", J88="Undetermined"), "Undetermined", AND(I88=0, K88=0), "Undetermined", AND(I88=0, K88&gt;0), "Ten-Fold", AND(I88&gt;0, K88=0), "Undiluted", AND(H88&lt;&gt;"Undetermined", J88&lt;&gt;"Undetermined", I88&gt;0, K88&gt;0), 100*(-1+10^(-1/(H88-J88))))</f>
        <v>128.37994316224032</v>
      </c>
      <c r="M88" s="124" cm="1">
        <f t="array" ref="M88">_xlfn.IFS(L88="Undetermined", 0, L88="Undiluted", I88*$G88/$F88*1000, L88="Ten-Fold", K88*$G88/$F88*1000*10, L88&lt;0, K88*$G88/$F88*1000*10, L88&lt;120, I88*$G88/$F88*1000, L88&gt;120, K88*$G88/$F88*1000*10)</f>
        <v>2367574361.4461265</v>
      </c>
      <c r="N88" s="121">
        <f t="shared" si="19"/>
        <v>1278923530.0453696</v>
      </c>
      <c r="O88" s="121">
        <f t="shared" si="20"/>
        <v>1539584770.4556959</v>
      </c>
      <c r="P88" s="121">
        <f t="shared" si="21"/>
        <v>1088650831.4007566</v>
      </c>
      <c r="Q88" s="125" cm="1">
        <f t="array" ref="Q88">_xlfn.IFS(N88="DELETE", "DELETE", N88=0, 0, N88&gt;0,LOG10(N88))</f>
        <v>9.1068445777294933</v>
      </c>
      <c r="R88" s="126" cm="1">
        <f t="array" ref="R88">_xlfn.IFS(N88="DELETE", "DELETE", N88=0, 0, N88&gt;0, P88/N88/LN(10))</f>
        <v>0.36968203155974744</v>
      </c>
      <c r="S88" s="155">
        <f>qPCR_Raw!O88</f>
        <v>30.483665466308594</v>
      </c>
      <c r="T88" s="156" cm="1">
        <f t="array" ref="T88">_xlfn.IFS(S88="Undetermined", 0, qPCR_Raw!P88&lt;=1, 0, qPCR_Raw!P88&gt;1, qPCR_Raw!P88)</f>
        <v>788.104248046875</v>
      </c>
      <c r="U88" s="157">
        <f>qPCR_Raw!R88</f>
        <v>33.8331298828125</v>
      </c>
      <c r="V88" s="156" cm="1">
        <f t="array" ref="V88">_xlfn.IFS(U88="Undetermined", 0, qPCR_Raw!S88&lt;=1, 0, qPCR_Raw!S88&gt;1, qPCR_Raw!S88)</f>
        <v>102.47057342529297</v>
      </c>
      <c r="W88" s="158" cm="1">
        <f t="array" ref="W88">_xlfn.IFS(AND(S88="Undetermined", U88="Undetermined"), "Undetermined", AND(T88=0, V88=0), "Undetermined", AND(T88=0, V88&gt;0), "Ten-Fold", AND(T88&gt;0, V88=0), "Undiluted", AND(S88&lt;&gt;"Undetermined", U88&lt;&gt;"Undetermined", T88&gt;0, V88&gt;0, S88&lt;&gt;U88), 100*(-1+10^(-1/(S88-U88))), AND(S88&lt;&gt;"Undetermined", U88&lt;&gt;"Undetermined", S88=U88&gt;0), -100)</f>
        <v>98.863552962729131</v>
      </c>
      <c r="X88" s="159" cm="1">
        <f t="array" ref="X88">_xlfn.IFS(W88="Undetermined", 0, W88="Undiluted", T88*$G88/$F88*1000, W88="Ten-Fold", V88*$G88/$F88*1000*10, W88&lt;0, V88*$G88/$F88*1000*10, W88&lt;120, T88*$G88/$F88*1000, W88&gt;120, V88*$G88/$F88*1000*10)</f>
        <v>78810.4248046875</v>
      </c>
      <c r="Y88" s="156">
        <f t="shared" si="22"/>
        <v>54195.428466796875</v>
      </c>
      <c r="Z88" s="156">
        <f t="shared" si="23"/>
        <v>34810.861658808986</v>
      </c>
      <c r="AA88" s="156">
        <f t="shared" si="24"/>
        <v>24614.996337890621</v>
      </c>
      <c r="AB88" s="160" cm="1">
        <f t="array" ref="AB88">_xlfn.IFS(Y88="DELETE", "DELETE", Y88=0, 0, Y88&gt;0,LOG10(Y88))</f>
        <v>4.7339626541513349</v>
      </c>
      <c r="AC88" s="161" cm="1">
        <f t="array" ref="AC88">_xlfn.IFS(Y88="DELETE", "DELETE", Y88=0, 0, Y88&gt;0, AA88/Y88/LN(10))</f>
        <v>0.1972520078545745</v>
      </c>
      <c r="AD88" s="120">
        <f>qPCR_Raw!U88</f>
        <v>24.879140853881836</v>
      </c>
      <c r="AE88" s="121" cm="1">
        <f t="array" ref="AE88">_xlfn.IFS(AD88="Undetermined", 0, qPCR_Raw!V88&lt;=1, 0, qPCR_Raw!V88&gt;1, qPCR_Raw!V88)</f>
        <v>1240.5745849609375</v>
      </c>
      <c r="AF88" s="122">
        <f>qPCR_Raw!X88</f>
        <v>28.153751373291016</v>
      </c>
      <c r="AG88" s="121" cm="1">
        <f t="array" ref="AG88">_xlfn.IFS(AF88="Undetermined", 0, qPCR_Raw!Y88&lt;=1, 0, qPCR_Raw!Y88&gt;1, qPCR_Raw!Y88)</f>
        <v>149.73941040039063</v>
      </c>
      <c r="AH88" s="123" cm="1">
        <f t="array" ref="AH88">_xlfn.IFS(AND(AD88="Undetermined", AF88="Undetermined"), "Undetermined", AND(AE88=0, AG88=0), "Undetermined", AND(AE88=0, AG88&gt;0), "Ten-Fold", AND(AE88&gt;0, AG88=0), "Undiluted", AND(AD88&lt;&gt;"Undetermined", AF88&lt;&gt;"Undetermined", AE88&gt;0, AG88&gt;0, AD88&lt;&gt;AF88), 100*(-1+10^(-1/(AD88-AF88))), AND(AD88&lt;&gt;"Undetermined", AF88&lt;&gt;"Undetermined", AD88=AF88&gt;0), -100)</f>
        <v>102.01323753831875</v>
      </c>
      <c r="AI88" s="124" cm="1">
        <f t="array" ref="AI88">_xlfn.IFS(AH88="Undetermined", 0, AH88="Undiluted", AE88*$G88/$F88*1000, AH88="Ten-Fold", AG88*$G88/$F88*1000*10, AH88&lt;0, AG88*$G88/$F88*1000*10, AH88&lt;120, AE88*$G88/$F88*1000, AH88&gt;120, AG88*$G88/$F88*1000*10)</f>
        <v>124057.45849609375</v>
      </c>
      <c r="AJ88" s="121">
        <f t="shared" si="25"/>
        <v>80209.956359863281</v>
      </c>
      <c r="AK88" s="121">
        <f t="shared" si="26"/>
        <v>62009.732197240388</v>
      </c>
      <c r="AL88" s="121">
        <f t="shared" si="27"/>
        <v>43847.502136230469</v>
      </c>
      <c r="AM88" s="125" cm="1">
        <f t="array" ref="AM88">_xlfn.IFS(AJ88="DELETE", "DELETE", AJ88=0, 0, AJ88&gt;0,LOG10(AJ88))</f>
        <v>4.9042282800518882</v>
      </c>
      <c r="AN88" s="126" cm="1">
        <f t="array" ref="AN88">_xlfn.IFS(AJ88="DELETE", "DELETE", AJ88=0, 0, AJ88&gt;0, AL88/AJ88/LN(10))</f>
        <v>0.23741102834628694</v>
      </c>
      <c r="AO88" s="155">
        <f>qPCR_Raw!AA88</f>
        <v>27.986703872680664</v>
      </c>
      <c r="AP88" s="156" cm="1">
        <f t="array" ref="AP88">_xlfn.IFS(AO88="Undetermined", 0, qPCR_Raw!AB88&lt;=6, 0, qPCR_Raw!AB88&gt;6, qPCR_Raw!AB88)</f>
        <v>7.6025185585021973</v>
      </c>
      <c r="AQ88" s="157">
        <f>qPCR_Raw!AD88</f>
        <v>31.325004577636719</v>
      </c>
      <c r="AR88" s="156" cm="1">
        <f t="array" ref="AR88">_xlfn.IFS(AQ88="Undetermined", 0, qPCR_Raw!AE88&lt;=6, 0, qPCR_Raw!AE88&gt;6, qPCR_Raw!AE88)</f>
        <v>0</v>
      </c>
      <c r="AS88" s="158" t="str" cm="1">
        <f t="array" ref="AS88">_xlfn.IFS(AND(AO88="Undetermined", AQ88="Undetermined"), "Undetermined", AND(AP88=0, AR88=0), "Undetermined", AND(AP88=0, AR88&gt;0), "Ten-Fold", AND(AP88&gt;0, AR88=0), "Undiluted", AND(AO88&lt;&gt;"Undetermined", AQ88&lt;&gt;"Undetermined", AP88&gt;0, AR88&gt;0, AO88&lt;&gt;AQ88), 100*(-1+10^(-1/(AO88-AQ88))), AND(AO88&lt;&gt;"Undetermined", AQ88&lt;&gt;"Undetermined", AO88=AQ88&gt;0), -100)</f>
        <v>Undiluted</v>
      </c>
      <c r="AT88" s="159" cm="1">
        <f t="array" ref="AT88">_xlfn.IFS(AS88="Undetermined", 0, AS88="Undiluted", AP88*$G88/$F88*1000, AS88="Ten-Fold", AR88*$G88/$F88*1000*10, AS88&lt;0, AR88*$G88/$F88*1000*10, AS88&lt;120, AP88*$G88/$F88*1000, AS88&gt;120, AR88*$G88/$F88*1000*10)</f>
        <v>760.25185585021973</v>
      </c>
      <c r="AU88" s="156">
        <f t="shared" si="34"/>
        <v>380.12592792510986</v>
      </c>
      <c r="AV88" s="156">
        <f t="shared" si="35"/>
        <v>537.57924268134798</v>
      </c>
      <c r="AW88" s="156">
        <f t="shared" si="36"/>
        <v>380.12592792510981</v>
      </c>
      <c r="AX88" s="160" cm="1">
        <f t="array" ref="AX88">_xlfn.IFS(AU88="DELETE", "DELETE", AU88=0, 0, AU88&gt;0,LOG10(AU88))</f>
        <v>2.5799274933094076</v>
      </c>
      <c r="AY88" s="161" cm="1">
        <f t="array" ref="AY88">_xlfn.IFS(AU88="DELETE", "DELETE", AU88=0, 0, AU88&gt;0, AW88/AU88/LN(10))</f>
        <v>0.43429448190325176</v>
      </c>
      <c r="AZ88" s="120">
        <f>qPCR_Raw!AG88</f>
        <v>23.696506500244141</v>
      </c>
      <c r="BA88" s="121" cm="1">
        <f t="array" ref="BA88">_xlfn.IFS(AZ88="Undetermined", 0, qPCR_Raw!AH88&lt;=1, 0, qPCR_Raw!AH88&gt;1, qPCR_Raw!AH88)</f>
        <v>6457.671875</v>
      </c>
      <c r="BB88" s="122">
        <f>qPCR_Raw!AJ88</f>
        <v>27.228456497192383</v>
      </c>
      <c r="BC88" s="121" cm="1">
        <f t="array" ref="BC88">_xlfn.IFS(BB88="Undetermined", 0, qPCR_Raw!AK88&lt;=1, 0, qPCR_Raw!AK88&gt;1, qPCR_Raw!AK88)</f>
        <v>719.17498779296875</v>
      </c>
      <c r="BD88" s="123" cm="1">
        <f t="array" ref="BD88">_xlfn.IFS(AND(AZ88="Undetermined", BB88="Undetermined"), "Undetermined", AND(BA88=0, BC88=0), "Undetermined", AND(BA88=0, BC88&gt;0), "Ten-Fold", AND(BA88&gt;0, BC88=0), "Undiluted", AND(AZ88&lt;&gt;"Undetermined", BB88&lt;&gt;"Undetermined", BA88&gt;0, BC88&gt;0, AZ88&lt;&gt;BB88), 100*(-1+10^(-1/(AZ88-BB88))), AND(AZ88&lt;&gt;"Undetermined", BB88&lt;&gt;"Undetermined", AZ88=BB88&gt;0), -100)</f>
        <v>91.924189887207959</v>
      </c>
      <c r="BE88" s="124" cm="1">
        <f t="array" ref="BE88">_xlfn.IFS(BD88="Undetermined", 0, BD88="Undiluted", BA88*$G88/$F88*1000, BD88="Ten-Fold", BC88*$G88/$F88*1000*10, BD88&lt;0, BC88*$G88/$F88*1000*10, BD88&lt;120, BA88*$G88/$F88*1000, BD88&gt;120, BC88*$G88/$F88*1000*10)</f>
        <v>645767.1875</v>
      </c>
      <c r="BF88" s="121">
        <f t="shared" si="31"/>
        <v>614565.2099609375</v>
      </c>
      <c r="BG88" s="121">
        <f t="shared" si="32"/>
        <v>44126.259808602874</v>
      </c>
      <c r="BH88" s="121">
        <f t="shared" si="33"/>
        <v>31201.977539062496</v>
      </c>
      <c r="BI88" s="125" cm="1">
        <f t="array" ref="BI88">_xlfn.IFS(BF88="DELETE", "DELETE", BF88=0, 0, BF88&gt;0,LOG10(BF88))</f>
        <v>5.7885679715571321</v>
      </c>
      <c r="BJ88" s="126" cm="1">
        <f t="array" ref="BJ88">_xlfn.IFS(BF88="DELETE", "DELETE", BF88=0, 0, BF88&gt;0, BH88/BF88/LN(10))</f>
        <v>2.2049485473714589E-2</v>
      </c>
    </row>
    <row r="89" spans="1:62" s="114" customFormat="1" x14ac:dyDescent="0.3">
      <c r="A89" s="115" t="str">
        <f>UPPER(LEFT(SUBSTITUTE(SUBSTITUTE(qPCR_Raw!A89,"-","")," ",""),2))&amp;RIGHT(SUBSTITUTE(SUBSTITUTE(qPCR_Raw!A89,"-","")," ",""),LEN(SUBSTITUTE(SUBSTITUTE(qPCR_Raw!A89,"-","")," ",""))-2)</f>
        <v>RC7</v>
      </c>
      <c r="B89" s="116" t="str" cm="1">
        <f t="array" ref="B89">_xlfn.IFS(LEFT(A89, LEN(A89)-1)="EP", "EP", LEFT(A89, LEN(A89)-1)="STa", "SPI", LEFT(A89, LEN(A89)-1)="STb", "SPO", LEFT(A89, LEN(A89)-1)="MRT", "MRT", LEFT(A89, LEN(A89)-1)="RG", "RN", LEFT(A89, LEN(A89)-1)="RT", "RU", LEFT(A89, LEN(A89)-1)="RW", "RL", LEFT(A89, LEN(A89)-1)="RC", "RS")</f>
        <v>RS</v>
      </c>
      <c r="C89" s="117">
        <f>qPCR_Raw!B89</f>
        <v>44370</v>
      </c>
      <c r="D89" s="117" t="str">
        <f t="shared" si="17"/>
        <v>RS44370</v>
      </c>
      <c r="E89" s="117" t="str">
        <f t="shared" si="18"/>
        <v>RS443707</v>
      </c>
      <c r="F89" s="118">
        <f>qPCR_Raw!C89</f>
        <v>1000</v>
      </c>
      <c r="G89" s="119">
        <f>qPCR_Raw!F89</f>
        <v>100</v>
      </c>
      <c r="H89" s="120">
        <f>qPCR_Raw!G89</f>
        <v>15.598285675048828</v>
      </c>
      <c r="I89" s="121" cm="1">
        <f t="array" ref="I89">_xlfn.IFS(H89="Undetermined", 0, qPCR_Raw!H89-qPCR_Raw!$H$242&lt;0, 0, qPCR_Raw!H89-qPCR_Raw!$H$242&gt;0, qPCR_Raw!H89-qPCR_Raw!$H$242)</f>
        <v>1902726.9864461264</v>
      </c>
      <c r="J89" s="122">
        <f>qPCR_Raw!K89</f>
        <v>19.794778823852539</v>
      </c>
      <c r="K89" s="121" cm="1">
        <f t="array" ref="K89">_xlfn.IFS(J89="Undetermined", 0, qPCR_Raw!L89-qPCR_Raw!$H$242&lt;0, 0, qPCR_Raw!L89-qPCR_Raw!$H$242&gt;0, qPCR_Raw!L89-qPCR_Raw!$H$242)</f>
        <v>111315.22082112631</v>
      </c>
      <c r="L89" s="123" cm="1">
        <f t="array" ref="L89">_xlfn.IFS(AND(H89="Undetermined", J89="Undetermined"), "Undetermined", AND(I89=0, K89=0), "Undetermined", AND(I89=0, K89&gt;0), "Ten-Fold", AND(I89&gt;0, K89=0), "Undiluted", AND(H89&lt;&gt;"Undetermined", J89&lt;&gt;"Undetermined", I89&gt;0, K89&gt;0), 100*(-1+10^(-1/(H89-J89))))</f>
        <v>73.098859051271162</v>
      </c>
      <c r="M89" s="124" cm="1">
        <f t="array" ref="M89">_xlfn.IFS(L89="Undetermined", 0, L89="Undiluted", I89*$G89/$F89*1000, L89="Ten-Fold", K89*$G89/$F89*1000*10, L89&lt;0, K89*$G89/$F89*1000*10, L89&lt;120, I89*$G89/$F89*1000, L89&gt;120, K89*$G89/$F89*1000*10)</f>
        <v>190272698.64461264</v>
      </c>
      <c r="N89" s="121" t="str">
        <f t="shared" si="19"/>
        <v>DELETE</v>
      </c>
      <c r="O89" s="121" t="str">
        <f t="shared" si="20"/>
        <v>DELETE</v>
      </c>
      <c r="P89" s="121" t="str">
        <f t="shared" si="21"/>
        <v>DELETE</v>
      </c>
      <c r="Q89" s="125" t="str" cm="1">
        <f t="array" ref="Q89">_xlfn.IFS(N89="DELETE", "DELETE", N89=0, 0, N89&gt;0,LOG10(N89))</f>
        <v>DELETE</v>
      </c>
      <c r="R89" s="126" t="str" cm="1">
        <f t="array" ref="R89">_xlfn.IFS(N89="DELETE", "DELETE", N89=0, 0, N89&gt;0, P89/N89/LN(10))</f>
        <v>DELETE</v>
      </c>
      <c r="S89" s="155">
        <f>qPCR_Raw!O89</f>
        <v>32.092567443847656</v>
      </c>
      <c r="T89" s="156" cm="1">
        <f t="array" ref="T89">_xlfn.IFS(S89="Undetermined", 0, qPCR_Raw!P89&lt;=1, 0, qPCR_Raw!P89&gt;1, qPCR_Raw!P89)</f>
        <v>295.8043212890625</v>
      </c>
      <c r="U89" s="157">
        <f>qPCR_Raw!R89</f>
        <v>35.055202484130859</v>
      </c>
      <c r="V89" s="156" cm="1">
        <f t="array" ref="V89">_xlfn.IFS(U89="Undetermined", 0, qPCR_Raw!S89&lt;=1, 0, qPCR_Raw!S89&gt;1, qPCR_Raw!S89)</f>
        <v>48.679073333740234</v>
      </c>
      <c r="W89" s="158" cm="1">
        <f t="array" ref="W89">_xlfn.IFS(AND(S89="Undetermined", U89="Undetermined"), "Undetermined", AND(T89=0, V89=0), "Undetermined", AND(T89=0, V89&gt;0), "Ten-Fold", AND(T89&gt;0, V89=0), "Undiluted", AND(S89&lt;&gt;"Undetermined", U89&lt;&gt;"Undetermined", T89&gt;0, V89&gt;0, S89&lt;&gt;U89), 100*(-1+10^(-1/(S89-U89))), AND(S89&lt;&gt;"Undetermined", U89&lt;&gt;"Undetermined", S89=U89&gt;0), -100)</f>
        <v>117.53911459344968</v>
      </c>
      <c r="X89" s="159" cm="1">
        <f t="array" ref="X89">_xlfn.IFS(W89="Undetermined", 0, W89="Undiluted", T89*$G89/$F89*1000, W89="Ten-Fold", V89*$G89/$F89*1000*10, W89&lt;0, V89*$G89/$F89*1000*10, W89&lt;120, T89*$G89/$F89*1000, W89&gt;120, V89*$G89/$F89*1000*10)</f>
        <v>29580.43212890625</v>
      </c>
      <c r="Y89" s="156" t="str">
        <f t="shared" si="22"/>
        <v>DELETE</v>
      </c>
      <c r="Z89" s="156" t="str">
        <f t="shared" si="23"/>
        <v>DELETE</v>
      </c>
      <c r="AA89" s="156" t="str">
        <f t="shared" si="24"/>
        <v>DELETE</v>
      </c>
      <c r="AB89" s="160" t="str" cm="1">
        <f t="array" ref="AB89">_xlfn.IFS(Y89="DELETE", "DELETE", Y89=0, 0, Y89&gt;0,LOG10(Y89))</f>
        <v>DELETE</v>
      </c>
      <c r="AC89" s="161" t="str" cm="1">
        <f t="array" ref="AC89">_xlfn.IFS(Y89="DELETE", "DELETE", Y89=0, 0, Y89&gt;0, AA89/Y89/LN(10))</f>
        <v>DELETE</v>
      </c>
      <c r="AD89" s="120">
        <f>qPCR_Raw!U89</f>
        <v>26.77971076965332</v>
      </c>
      <c r="AE89" s="121" cm="1">
        <f t="array" ref="AE89">_xlfn.IFS(AD89="Undetermined", 0, qPCR_Raw!V89&lt;=1, 0, qPCR_Raw!V89&gt;1, qPCR_Raw!V89)</f>
        <v>363.62454223632813</v>
      </c>
      <c r="AF89" s="122">
        <f>qPCR_Raw!X89</f>
        <v>29.882286071777344</v>
      </c>
      <c r="AG89" s="121" cm="1">
        <f t="array" ref="AG89">_xlfn.IFS(AF89="Undetermined", 0, qPCR_Raw!Y89&lt;=1, 0, qPCR_Raw!Y89&gt;1, qPCR_Raw!Y89)</f>
        <v>49.046680450439453</v>
      </c>
      <c r="AH89" s="123" cm="1">
        <f t="array" ref="AH89">_xlfn.IFS(AND(AD89="Undetermined", AF89="Undetermined"), "Undetermined", AND(AE89=0, AG89=0), "Undetermined", AND(AE89=0, AG89&gt;0), "Ten-Fold", AND(AE89&gt;0, AG89=0), "Undiluted", AND(AD89&lt;&gt;"Undetermined", AF89&lt;&gt;"Undetermined", AE89&gt;0, AG89&gt;0, AD89&lt;&gt;AF89), 100*(-1+10^(-1/(AD89-AF89))), AND(AD89&lt;&gt;"Undetermined", AF89&lt;&gt;"Undetermined", AD89=AF89&gt;0), -100)</f>
        <v>110.04526031903823</v>
      </c>
      <c r="AI89" s="124" cm="1">
        <f t="array" ref="AI89">_xlfn.IFS(AH89="Undetermined", 0, AH89="Undiluted", AE89*$G89/$F89*1000, AH89="Ten-Fold", AG89*$G89/$F89*1000*10, AH89&lt;0, AG89*$G89/$F89*1000*10, AH89&lt;120, AE89*$G89/$F89*1000, AH89&gt;120, AG89*$G89/$F89*1000*10)</f>
        <v>36362.454223632813</v>
      </c>
      <c r="AJ89" s="121" t="str">
        <f t="shared" si="25"/>
        <v>DELETE</v>
      </c>
      <c r="AK89" s="121" t="str">
        <f t="shared" si="26"/>
        <v>DELETE</v>
      </c>
      <c r="AL89" s="121" t="str">
        <f t="shared" si="27"/>
        <v>DELETE</v>
      </c>
      <c r="AM89" s="125" t="str" cm="1">
        <f t="array" ref="AM89">_xlfn.IFS(AJ89="DELETE", "DELETE", AJ89=0, 0, AJ89&gt;0,LOG10(AJ89))</f>
        <v>DELETE</v>
      </c>
      <c r="AN89" s="126" t="str" cm="1">
        <f t="array" ref="AN89">_xlfn.IFS(AJ89="DELETE", "DELETE", AJ89=0, 0, AJ89&gt;0, AL89/AJ89/LN(10))</f>
        <v>DELETE</v>
      </c>
      <c r="AO89" s="155">
        <f>qPCR_Raw!AA89</f>
        <v>30.245218276977539</v>
      </c>
      <c r="AP89" s="156" cm="1">
        <f t="array" ref="AP89">_xlfn.IFS(AO89="Undetermined", 0, qPCR_Raw!AB89&lt;=6, 0, qPCR_Raw!AB89&gt;6, qPCR_Raw!AB89)</f>
        <v>0</v>
      </c>
      <c r="AQ89" s="157">
        <f>qPCR_Raw!AD89</f>
        <v>32.211994171142578</v>
      </c>
      <c r="AR89" s="156" cm="1">
        <f t="array" ref="AR89">_xlfn.IFS(AQ89="Undetermined", 0, qPCR_Raw!AE89&lt;=6, 0, qPCR_Raw!AE89&gt;6, qPCR_Raw!AE89)</f>
        <v>0</v>
      </c>
      <c r="AS89" s="158" t="str" cm="1">
        <f t="array" ref="AS89">_xlfn.IFS(AND(AO89="Undetermined", AQ89="Undetermined"), "Undetermined", AND(AP89=0, AR89=0), "Undetermined", AND(AP89=0, AR89&gt;0), "Ten-Fold", AND(AP89&gt;0, AR89=0), "Undiluted", AND(AO89&lt;&gt;"Undetermined", AQ89&lt;&gt;"Undetermined", AP89&gt;0, AR89&gt;0, AO89&lt;&gt;AQ89), 100*(-1+10^(-1/(AO89-AQ89))), AND(AO89&lt;&gt;"Undetermined", AQ89&lt;&gt;"Undetermined", AO89=AQ89&gt;0), -100)</f>
        <v>Undetermined</v>
      </c>
      <c r="AT89" s="159" cm="1">
        <f t="array" ref="AT89">_xlfn.IFS(AS89="Undetermined", 0, AS89="Undiluted", AP89*$G89/$F89*1000, AS89="Ten-Fold", AR89*$G89/$F89*1000*10, AS89&lt;0, AR89*$G89/$F89*1000*10, AS89&lt;120, AP89*$G89/$F89*1000, AS89&gt;120, AR89*$G89/$F89*1000*10)</f>
        <v>0</v>
      </c>
      <c r="AU89" s="156" t="str">
        <f t="shared" si="34"/>
        <v>DELETE</v>
      </c>
      <c r="AV89" s="156" t="str">
        <f t="shared" si="35"/>
        <v>DELETE</v>
      </c>
      <c r="AW89" s="156" t="str">
        <f t="shared" si="36"/>
        <v>DELETE</v>
      </c>
      <c r="AX89" s="160" t="str" cm="1">
        <f t="array" ref="AX89">_xlfn.IFS(AU89="DELETE", "DELETE", AU89=0, 0, AU89&gt;0,LOG10(AU89))</f>
        <v>DELETE</v>
      </c>
      <c r="AY89" s="161" t="str" cm="1">
        <f t="array" ref="AY89">_xlfn.IFS(AU89="DELETE", "DELETE", AU89=0, 0, AU89&gt;0, AW89/AU89/LN(10))</f>
        <v>DELETE</v>
      </c>
      <c r="AZ89" s="120">
        <f>qPCR_Raw!AG89</f>
        <v>23.860042572021484</v>
      </c>
      <c r="BA89" s="121" cm="1">
        <f t="array" ref="BA89">_xlfn.IFS(AZ89="Undetermined", 0, qPCR_Raw!AH89&lt;=1, 0, qPCR_Raw!AH89&gt;1, qPCR_Raw!AH89)</f>
        <v>5833.63232421875</v>
      </c>
      <c r="BB89" s="122">
        <f>qPCR_Raw!AJ89</f>
        <v>27.652048110961914</v>
      </c>
      <c r="BC89" s="121" cm="1">
        <f t="array" ref="BC89">_xlfn.IFS(BB89="Undetermined", 0, qPCR_Raw!AK89&lt;=1, 0, qPCR_Raw!AK89&gt;1, qPCR_Raw!AK89)</f>
        <v>552.72747802734375</v>
      </c>
      <c r="BD89" s="123" cm="1">
        <f t="array" ref="BD89">_xlfn.IFS(AND(AZ89="Undetermined", BB89="Undetermined"), "Undetermined", AND(BA89=0, BC89=0), "Undetermined", AND(BA89=0, BC89&gt;0), "Ten-Fold", AND(BA89&gt;0, BC89=0), "Undiluted", AND(AZ89&lt;&gt;"Undetermined", BB89&lt;&gt;"Undetermined", BA89&gt;0, BC89&gt;0, AZ89&lt;&gt;BB89), 100*(-1+10^(-1/(AZ89-BB89))), AND(AZ89&lt;&gt;"Undetermined", BB89&lt;&gt;"Undetermined", AZ89=BB89&gt;0), -100)</f>
        <v>83.532379368033588</v>
      </c>
      <c r="BE89" s="124" cm="1">
        <f t="array" ref="BE89">_xlfn.IFS(BD89="Undetermined", 0, BD89="Undiluted", BA89*$G89/$F89*1000, BD89="Ten-Fold", BC89*$G89/$F89*1000*10, BD89&lt;0, BC89*$G89/$F89*1000*10, BD89&lt;120, BA89*$G89/$F89*1000, BD89&gt;120, BC89*$G89/$F89*1000*10)</f>
        <v>583363.232421875</v>
      </c>
      <c r="BF89" s="121" t="str">
        <f t="shared" si="31"/>
        <v>DELETE</v>
      </c>
      <c r="BG89" s="121" t="str">
        <f t="shared" si="32"/>
        <v>DELETE</v>
      </c>
      <c r="BH89" s="121" t="str">
        <f t="shared" si="33"/>
        <v>DELETE</v>
      </c>
      <c r="BI89" s="125" t="str" cm="1">
        <f t="array" ref="BI89">_xlfn.IFS(BF89="DELETE", "DELETE", BF89=0, 0, BF89&gt;0,LOG10(BF89))</f>
        <v>DELETE</v>
      </c>
      <c r="BJ89" s="126" t="str" cm="1">
        <f t="array" ref="BJ89">_xlfn.IFS(BF89="DELETE", "DELETE", BF89=0, 0, BF89&gt;0, BH89/BF89/LN(10))</f>
        <v>DELETE</v>
      </c>
    </row>
    <row r="90" spans="1:62" s="114" customFormat="1" x14ac:dyDescent="0.3">
      <c r="A90" s="115" t="str">
        <f>UPPER(LEFT(SUBSTITUTE(SUBSTITUTE(qPCR_Raw!A90,"-","")," ",""),2))&amp;RIGHT(SUBSTITUTE(SUBSTITUTE(qPCR_Raw!A90,"-","")," ",""),LEN(SUBSTITUTE(SUBSTITUTE(qPCR_Raw!A90,"-","")," ",""))-2)</f>
        <v>RG6</v>
      </c>
      <c r="B90" s="116" t="str" cm="1">
        <f t="array" ref="B90">_xlfn.IFS(LEFT(A90, LEN(A90)-1)="EP", "EP", LEFT(A90, LEN(A90)-1)="STa", "SPI", LEFT(A90, LEN(A90)-1)="STb", "SPO", LEFT(A90, LEN(A90)-1)="MRT", "MRT", LEFT(A90, LEN(A90)-1)="RG", "RN", LEFT(A90, LEN(A90)-1)="RT", "RU", LEFT(A90, LEN(A90)-1)="RW", "RL", LEFT(A90, LEN(A90)-1)="RC", "RS")</f>
        <v>RN</v>
      </c>
      <c r="C90" s="117">
        <f>qPCR_Raw!B90</f>
        <v>44370</v>
      </c>
      <c r="D90" s="117" t="str">
        <f t="shared" si="17"/>
        <v>RN44370</v>
      </c>
      <c r="E90" s="117" t="str">
        <f t="shared" si="18"/>
        <v>RN443706</v>
      </c>
      <c r="F90" s="118">
        <f>qPCR_Raw!C90</f>
        <v>1000</v>
      </c>
      <c r="G90" s="119">
        <f>qPCR_Raw!F90</f>
        <v>100</v>
      </c>
      <c r="H90" s="120">
        <f>qPCR_Raw!G90</f>
        <v>13.652145385742188</v>
      </c>
      <c r="I90" s="121" cm="1">
        <f t="array" ref="I90">_xlfn.IFS(H90="Undetermined", 0, qPCR_Raw!H90-qPCR_Raw!$H$242&lt;0, 0, qPCR_Raw!H90-qPCR_Raw!$H$242&gt;0, qPCR_Raw!H90-qPCR_Raw!$H$242)</f>
        <v>6797960.8614461264</v>
      </c>
      <c r="J90" s="122">
        <f>qPCR_Raw!K90</f>
        <v>16.423955917358398</v>
      </c>
      <c r="K90" s="121" cm="1">
        <f t="array" ref="K90">_xlfn.IFS(J90="Undetermined", 0, qPCR_Raw!L90-qPCR_Raw!$H$242&lt;0, 0, qPCR_Raw!L90-qPCR_Raw!$H$242&gt;0, qPCR_Raw!L90-qPCR_Raw!$H$242)</f>
        <v>1105461.1114461264</v>
      </c>
      <c r="L90" s="123" cm="1">
        <f t="array" ref="L90">_xlfn.IFS(AND(H90="Undetermined", J90="Undetermined"), "Undetermined", AND(I90=0, K90=0), "Undetermined", AND(I90=0, K90&gt;0), "Ten-Fold", AND(I90&gt;0, K90=0), "Undiluted", AND(H90&lt;&gt;"Undetermined", J90&lt;&gt;"Undetermined", I90&gt;0, K90&gt;0), 100*(-1+10^(-1/(H90-J90))))</f>
        <v>129.49594694660885</v>
      </c>
      <c r="M90" s="124" cm="1">
        <f t="array" ref="M90">_xlfn.IFS(L90="Undetermined", 0, L90="Undiluted", I90*$G90/$F90*1000, L90="Ten-Fold", K90*$G90/$F90*1000*10, L90&lt;0, K90*$G90/$F90*1000*10, L90&lt;120, I90*$G90/$F90*1000, L90&gt;120, K90*$G90/$F90*1000*10)</f>
        <v>1105461111.4461265</v>
      </c>
      <c r="N90" s="121">
        <f t="shared" si="19"/>
        <v>887407127.34477782</v>
      </c>
      <c r="O90" s="121">
        <f t="shared" si="20"/>
        <v>308374901.64561439</v>
      </c>
      <c r="P90" s="121">
        <f t="shared" si="21"/>
        <v>218053984.10134855</v>
      </c>
      <c r="Q90" s="125" cm="1">
        <f t="array" ref="Q90">_xlfn.IFS(N90="DELETE", "DELETE", N90=0, 0, N90&gt;0,LOG10(N90))</f>
        <v>8.9481229124964674</v>
      </c>
      <c r="R90" s="126" cm="1">
        <f t="array" ref="R90">_xlfn.IFS(N90="DELETE", "DELETE", N90=0, 0, N90&gt;0, P90/N90/LN(10))</f>
        <v>0.10671498924691655</v>
      </c>
      <c r="S90" s="155" t="str">
        <f>qPCR_Raw!O90</f>
        <v>Undetermined</v>
      </c>
      <c r="T90" s="156" cm="1">
        <f t="array" ref="T90">_xlfn.IFS(S90="Undetermined", 0, qPCR_Raw!P90&lt;=1, 0, qPCR_Raw!P90&gt;1, qPCR_Raw!P90)</f>
        <v>0</v>
      </c>
      <c r="U90" s="157" t="str">
        <f>qPCR_Raw!R90</f>
        <v>Undetermined</v>
      </c>
      <c r="V90" s="156" cm="1">
        <f t="array" ref="V90">_xlfn.IFS(U90="Undetermined", 0, qPCR_Raw!S90&lt;=1, 0, qPCR_Raw!S90&gt;1, qPCR_Raw!S90)</f>
        <v>0</v>
      </c>
      <c r="W90" s="158" t="str" cm="1">
        <f t="array" ref="W90">_xlfn.IFS(AND(S90="Undetermined", U90="Undetermined"), "Undetermined", AND(T90=0, V90=0), "Undetermined", AND(T90=0, V90&gt;0), "Ten-Fold", AND(T90&gt;0, V90=0), "Undiluted", AND(S90&lt;&gt;"Undetermined", U90&lt;&gt;"Undetermined", T90&gt;0, V90&gt;0, S90&lt;&gt;U90), 100*(-1+10^(-1/(S90-U90))), AND(S90&lt;&gt;"Undetermined", U90&lt;&gt;"Undetermined", S90=U90&gt;0), -100)</f>
        <v>Undetermined</v>
      </c>
      <c r="X90" s="159" cm="1">
        <f t="array" ref="X90">_xlfn.IFS(W90="Undetermined", 0, W90="Undiluted", T90*$G90/$F90*1000, W90="Ten-Fold", V90*$G90/$F90*1000*10, W90&lt;0, V90*$G90/$F90*1000*10, W90&lt;120, T90*$G90/$F90*1000, W90&gt;120, V90*$G90/$F90*1000*10)</f>
        <v>0</v>
      </c>
      <c r="Y90" s="156">
        <f t="shared" si="22"/>
        <v>0</v>
      </c>
      <c r="Z90" s="156">
        <f t="shared" si="23"/>
        <v>0</v>
      </c>
      <c r="AA90" s="156">
        <f t="shared" si="24"/>
        <v>0</v>
      </c>
      <c r="AB90" s="160" cm="1">
        <f t="array" ref="AB90">_xlfn.IFS(Y90="DELETE", "DELETE", Y90=0, 0, Y90&gt;0,LOG10(Y90))</f>
        <v>0</v>
      </c>
      <c r="AC90" s="161" cm="1">
        <f t="array" ref="AC90">_xlfn.IFS(Y90="DELETE", "DELETE", Y90=0, 0, Y90&gt;0, AA90/Y90/LN(10))</f>
        <v>0</v>
      </c>
      <c r="AD90" s="120">
        <f>qPCR_Raw!U90</f>
        <v>25.294754028320313</v>
      </c>
      <c r="AE90" s="121" cm="1">
        <f t="array" ref="AE90">_xlfn.IFS(AD90="Undetermined", 0, qPCR_Raw!V90&lt;=1, 0, qPCR_Raw!V90&gt;1, qPCR_Raw!V90)</f>
        <v>948.58013916015625</v>
      </c>
      <c r="AF90" s="122">
        <f>qPCR_Raw!X90</f>
        <v>28.55333137512207</v>
      </c>
      <c r="AG90" s="121" cm="1">
        <f t="array" ref="AG90">_xlfn.IFS(AF90="Undetermined", 0, qPCR_Raw!Y90&lt;=1, 0, qPCR_Raw!Y90&gt;1, qPCR_Raw!Y90)</f>
        <v>115.68669128417969</v>
      </c>
      <c r="AH90" s="123" cm="1">
        <f t="array" ref="AH90">_xlfn.IFS(AND(AD90="Undetermined", AF90="Undetermined"), "Undetermined", AND(AE90=0, AG90=0), "Undetermined", AND(AE90=0, AG90&gt;0), "Ten-Fold", AND(AE90&gt;0, AG90=0), "Undiluted", AND(AD90&lt;&gt;"Undetermined", AF90&lt;&gt;"Undetermined", AE90&gt;0, AG90&gt;0, AD90&lt;&gt;AF90), 100*(-1+10^(-1/(AD90-AF90))), AND(AD90&lt;&gt;"Undetermined", AF90&lt;&gt;"Undetermined", AD90=AF90&gt;0), -100)</f>
        <v>102.71336771287363</v>
      </c>
      <c r="AI90" s="124" cm="1">
        <f t="array" ref="AI90">_xlfn.IFS(AH90="Undetermined", 0, AH90="Undiluted", AE90*$G90/$F90*1000, AH90="Ten-Fold", AG90*$G90/$F90*1000*10, AH90&lt;0, AG90*$G90/$F90*1000*10, AH90&lt;120, AE90*$G90/$F90*1000, AH90&gt;120, AG90*$G90/$F90*1000*10)</f>
        <v>94858.013916015625</v>
      </c>
      <c r="AJ90" s="121">
        <f t="shared" si="25"/>
        <v>93902.081015675329</v>
      </c>
      <c r="AK90" s="121">
        <f t="shared" si="26"/>
        <v>1351.893272379885</v>
      </c>
      <c r="AL90" s="121">
        <f t="shared" si="27"/>
        <v>955.93290034028905</v>
      </c>
      <c r="AM90" s="125" cm="1">
        <f t="array" ref="AM90">_xlfn.IFS(AJ90="DELETE", "DELETE", AJ90=0, 0, AJ90&gt;0,LOG10(AJ90))</f>
        <v>4.972675217011691</v>
      </c>
      <c r="AN90" s="126" cm="1">
        <f t="array" ref="AN90">_xlfn.IFS(AJ90="DELETE", "DELETE", AJ90=0, 0, AJ90&gt;0, AL90/AJ90/LN(10))</f>
        <v>4.4211627601549687E-3</v>
      </c>
      <c r="AO90" s="155">
        <f>qPCR_Raw!AA90</f>
        <v>30.00355339050293</v>
      </c>
      <c r="AP90" s="156" cm="1">
        <f t="array" ref="AP90">_xlfn.IFS(AO90="Undetermined", 0, qPCR_Raw!AB90&lt;=6, 0, qPCR_Raw!AB90&gt;6, qPCR_Raw!AB90)</f>
        <v>0</v>
      </c>
      <c r="AQ90" s="157" t="str">
        <f>qPCR_Raw!AD90</f>
        <v>Undetermined</v>
      </c>
      <c r="AR90" s="156" cm="1">
        <f t="array" ref="AR90">_xlfn.IFS(AQ90="Undetermined", 0, qPCR_Raw!AE90&lt;=6, 0, qPCR_Raw!AE90&gt;6, qPCR_Raw!AE90)</f>
        <v>0</v>
      </c>
      <c r="AS90" s="158" t="str" cm="1">
        <f t="array" ref="AS90">_xlfn.IFS(AND(AO90="Undetermined", AQ90="Undetermined"), "Undetermined", AND(AP90=0, AR90=0), "Undetermined", AND(AP90=0, AR90&gt;0), "Ten-Fold", AND(AP90&gt;0, AR90=0), "Undiluted", AND(AO90&lt;&gt;"Undetermined", AQ90&lt;&gt;"Undetermined", AP90&gt;0, AR90&gt;0, AO90&lt;&gt;AQ90), 100*(-1+10^(-1/(AO90-AQ90))), AND(AO90&lt;&gt;"Undetermined", AQ90&lt;&gt;"Undetermined", AO90=AQ90&gt;0), -100)</f>
        <v>Undetermined</v>
      </c>
      <c r="AT90" s="159" cm="1">
        <f t="array" ref="AT90">_xlfn.IFS(AS90="Undetermined", 0, AS90="Undiluted", AP90*$G90/$F90*1000, AS90="Ten-Fold", AR90*$G90/$F90*1000*10, AS90&lt;0, AR90*$G90/$F90*1000*10, AS90&lt;120, AP90*$G90/$F90*1000, AS90&gt;120, AR90*$G90/$F90*1000*10)</f>
        <v>0</v>
      </c>
      <c r="AU90" s="156">
        <f t="shared" si="34"/>
        <v>0</v>
      </c>
      <c r="AV90" s="156">
        <f t="shared" si="35"/>
        <v>0</v>
      </c>
      <c r="AW90" s="156">
        <f t="shared" si="36"/>
        <v>0</v>
      </c>
      <c r="AX90" s="160" cm="1">
        <f t="array" ref="AX90">_xlfn.IFS(AU90="DELETE", "DELETE", AU90=0, 0, AU90&gt;0,LOG10(AU90))</f>
        <v>0</v>
      </c>
      <c r="AY90" s="161" cm="1">
        <f t="array" ref="AY90">_xlfn.IFS(AU90="DELETE", "DELETE", AU90=0, 0, AU90&gt;0, AW90/AU90/LN(10))</f>
        <v>0</v>
      </c>
      <c r="AZ90" s="120">
        <f>qPCR_Raw!AG90</f>
        <v>21.404985427856445</v>
      </c>
      <c r="BA90" s="121" cm="1">
        <f t="array" ref="BA90">_xlfn.IFS(AZ90="Undetermined", 0, qPCR_Raw!AH90&lt;=1, 0, qPCR_Raw!AH90&gt;1, qPCR_Raw!AH90)</f>
        <v>26824.818359375</v>
      </c>
      <c r="BB90" s="122">
        <f>qPCR_Raw!AJ90</f>
        <v>24.580738067626953</v>
      </c>
      <c r="BC90" s="121" cm="1">
        <f t="array" ref="BC90">_xlfn.IFS(BB90="Undetermined", 0, qPCR_Raw!AK90&lt;=1, 0, qPCR_Raw!AK90&gt;1, qPCR_Raw!AK90)</f>
        <v>3727.604736328125</v>
      </c>
      <c r="BD90" s="123" cm="1">
        <f t="array" ref="BD90">_xlfn.IFS(AND(AZ90="Undetermined", BB90="Undetermined"), "Undetermined", AND(BA90=0, BC90=0), "Undetermined", AND(BA90=0, BC90&gt;0), "Ten-Fold", AND(BA90&gt;0, BC90=0), "Undiluted", AND(AZ90&lt;&gt;"Undetermined", BB90&lt;&gt;"Undetermined", BA90&gt;0, BC90&gt;0, AZ90&lt;&gt;BB90), 100*(-1+10^(-1/(AZ90-BB90))), AND(AZ90&lt;&gt;"Undetermined", BB90&lt;&gt;"Undetermined", AZ90=BB90&gt;0), -100)</f>
        <v>106.48380071563848</v>
      </c>
      <c r="BE90" s="124" cm="1">
        <f t="array" ref="BE90">_xlfn.IFS(BD90="Undetermined", 0, BD90="Undiluted", BA90*$G90/$F90*1000, BD90="Ten-Fold", BC90*$G90/$F90*1000*10, BD90&lt;0, BC90*$G90/$F90*1000*10, BD90&lt;120, BA90*$G90/$F90*1000, BD90&gt;120, BC90*$G90/$F90*1000*10)</f>
        <v>2682481.8359375</v>
      </c>
      <c r="BF90" s="121">
        <f t="shared" si="31"/>
        <v>2653870.0859777704</v>
      </c>
      <c r="BG90" s="121">
        <f t="shared" si="32"/>
        <v>40463.124836277144</v>
      </c>
      <c r="BH90" s="121">
        <f t="shared" si="33"/>
        <v>28611.749959729375</v>
      </c>
      <c r="BI90" s="125" cm="1">
        <f t="array" ref="BI90">_xlfn.IFS(BF90="DELETE", "DELETE", BF90=0, 0, BF90&gt;0,LOG10(BF90))</f>
        <v>6.4238796591750136</v>
      </c>
      <c r="BJ90" s="126" cm="1">
        <f t="array" ref="BJ90">_xlfn.IFS(BF90="DELETE", "DELETE", BF90=0, 0, BF90&gt;0, BH90/BF90/LN(10))</f>
        <v>4.6821904322901118E-3</v>
      </c>
    </row>
    <row r="91" spans="1:62" s="114" customFormat="1" x14ac:dyDescent="0.3">
      <c r="A91" s="115" t="str">
        <f>UPPER(LEFT(SUBSTITUTE(SUBSTITUTE(qPCR_Raw!A91,"-","")," ",""),2))&amp;RIGHT(SUBSTITUTE(SUBSTITUTE(qPCR_Raw!A91,"-","")," ",""),LEN(SUBSTITUTE(SUBSTITUTE(qPCR_Raw!A91,"-","")," ",""))-2)</f>
        <v>RG7</v>
      </c>
      <c r="B91" s="116" t="str" cm="1">
        <f t="array" ref="B91">_xlfn.IFS(LEFT(A91, LEN(A91)-1)="EP", "EP", LEFT(A91, LEN(A91)-1)="STa", "SPI", LEFT(A91, LEN(A91)-1)="STb", "SPO", LEFT(A91, LEN(A91)-1)="MRT", "MRT", LEFT(A91, LEN(A91)-1)="RG", "RN", LEFT(A91, LEN(A91)-1)="RT", "RU", LEFT(A91, LEN(A91)-1)="RW", "RL", LEFT(A91, LEN(A91)-1)="RC", "RS")</f>
        <v>RN</v>
      </c>
      <c r="C91" s="117">
        <f>qPCR_Raw!B91</f>
        <v>44370</v>
      </c>
      <c r="D91" s="117" t="str">
        <f t="shared" si="17"/>
        <v>RN44370</v>
      </c>
      <c r="E91" s="117" t="str">
        <f t="shared" si="18"/>
        <v>RN443707</v>
      </c>
      <c r="F91" s="118">
        <f>qPCR_Raw!C91</f>
        <v>970</v>
      </c>
      <c r="G91" s="119">
        <f>qPCR_Raw!F91</f>
        <v>100</v>
      </c>
      <c r="H91" s="120">
        <f>qPCR_Raw!G91</f>
        <v>14.449809074401855</v>
      </c>
      <c r="I91" s="121" cm="1">
        <f t="array" ref="I91">_xlfn.IFS(H91="Undetermined", 0, qPCR_Raw!H91-qPCR_Raw!$H$242&lt;0, 0, qPCR_Raw!H91-qPCR_Raw!$H$242&gt;0, qPCR_Raw!H91-qPCR_Raw!$H$242)</f>
        <v>4036684.3614461264</v>
      </c>
      <c r="J91" s="122">
        <f>qPCR_Raw!K91</f>
        <v>17.227981567382813</v>
      </c>
      <c r="K91" s="121" cm="1">
        <f t="array" ref="K91">_xlfn.IFS(J91="Undetermined", 0, qPCR_Raw!L91-qPCR_Raw!$H$242&lt;0, 0, qPCR_Raw!L91-qPCR_Raw!$H$242&gt;0, qPCR_Raw!L91-qPCR_Raw!$H$242)</f>
        <v>649272.54894612625</v>
      </c>
      <c r="L91" s="123" cm="1">
        <f t="array" ref="L91">_xlfn.IFS(AND(H91="Undetermined", J91="Undetermined"), "Undetermined", AND(I91=0, K91=0), "Undetermined", AND(I91=0, K91&gt;0), "Ten-Fold", AND(I91&gt;0, K91=0), "Undiluted", AND(H91&lt;&gt;"Undetermined", J91&lt;&gt;"Undetermined", I91&gt;0, K91&gt;0), 100*(-1+10^(-1/(H91-J91))))</f>
        <v>129.05978681008204</v>
      </c>
      <c r="M91" s="124" cm="1">
        <f t="array" ref="M91">_xlfn.IFS(L91="Undetermined", 0, L91="Undiluted", I91*$G91/$F91*1000, L91="Ten-Fold", K91*$G91/$F91*1000*10, L91&lt;0, K91*$G91/$F91*1000*10, L91&lt;120, I91*$G91/$F91*1000, L91&gt;120, K91*$G91/$F91*1000*10)</f>
        <v>669353143.24342906</v>
      </c>
      <c r="N91" s="121" t="str">
        <f t="shared" si="19"/>
        <v>DELETE</v>
      </c>
      <c r="O91" s="121" t="str">
        <f t="shared" si="20"/>
        <v>DELETE</v>
      </c>
      <c r="P91" s="121" t="str">
        <f t="shared" si="21"/>
        <v>DELETE</v>
      </c>
      <c r="Q91" s="125" t="str" cm="1">
        <f t="array" ref="Q91">_xlfn.IFS(N91="DELETE", "DELETE", N91=0, 0, N91&gt;0,LOG10(N91))</f>
        <v>DELETE</v>
      </c>
      <c r="R91" s="126" t="str" cm="1">
        <f t="array" ref="R91">_xlfn.IFS(N91="DELETE", "DELETE", N91=0, 0, N91&gt;0, P91/N91/LN(10))</f>
        <v>DELETE</v>
      </c>
      <c r="S91" s="155" t="str">
        <f>qPCR_Raw!O91</f>
        <v>Undetermined</v>
      </c>
      <c r="T91" s="156" cm="1">
        <f t="array" ref="T91">_xlfn.IFS(S91="Undetermined", 0, qPCR_Raw!P91&lt;=1, 0, qPCR_Raw!P91&gt;1, qPCR_Raw!P91)</f>
        <v>0</v>
      </c>
      <c r="U91" s="157" t="str">
        <f>qPCR_Raw!R91</f>
        <v>Undetermined</v>
      </c>
      <c r="V91" s="156" cm="1">
        <f t="array" ref="V91">_xlfn.IFS(U91="Undetermined", 0, qPCR_Raw!S91&lt;=1, 0, qPCR_Raw!S91&gt;1, qPCR_Raw!S91)</f>
        <v>0</v>
      </c>
      <c r="W91" s="158" t="str" cm="1">
        <f t="array" ref="W91">_xlfn.IFS(AND(S91="Undetermined", U91="Undetermined"), "Undetermined", AND(T91=0, V91=0), "Undetermined", AND(T91=0, V91&gt;0), "Ten-Fold", AND(T91&gt;0, V91=0), "Undiluted", AND(S91&lt;&gt;"Undetermined", U91&lt;&gt;"Undetermined", T91&gt;0, V91&gt;0, S91&lt;&gt;U91), 100*(-1+10^(-1/(S91-U91))), AND(S91&lt;&gt;"Undetermined", U91&lt;&gt;"Undetermined", S91=U91&gt;0), -100)</f>
        <v>Undetermined</v>
      </c>
      <c r="X91" s="159" cm="1">
        <f t="array" ref="X91">_xlfn.IFS(W91="Undetermined", 0, W91="Undiluted", T91*$G91/$F91*1000, W91="Ten-Fold", V91*$G91/$F91*1000*10, W91&lt;0, V91*$G91/$F91*1000*10, W91&lt;120, T91*$G91/$F91*1000, W91&gt;120, V91*$G91/$F91*1000*10)</f>
        <v>0</v>
      </c>
      <c r="Y91" s="156" t="str">
        <f t="shared" si="22"/>
        <v>DELETE</v>
      </c>
      <c r="Z91" s="156" t="str">
        <f t="shared" si="23"/>
        <v>DELETE</v>
      </c>
      <c r="AA91" s="156" t="str">
        <f t="shared" si="24"/>
        <v>DELETE</v>
      </c>
      <c r="AB91" s="160" t="str" cm="1">
        <f t="array" ref="AB91">_xlfn.IFS(Y91="DELETE", "DELETE", Y91=0, 0, Y91&gt;0,LOG10(Y91))</f>
        <v>DELETE</v>
      </c>
      <c r="AC91" s="161" t="str" cm="1">
        <f t="array" ref="AC91">_xlfn.IFS(Y91="DELETE", "DELETE", Y91=0, 0, Y91&gt;0, AA91/Y91/LN(10))</f>
        <v>DELETE</v>
      </c>
      <c r="AD91" s="120">
        <f>qPCR_Raw!U91</f>
        <v>25.373458862304688</v>
      </c>
      <c r="AE91" s="121" cm="1">
        <f t="array" ref="AE91">_xlfn.IFS(AD91="Undetermined", 0, qPCR_Raw!V91&lt;=1, 0, qPCR_Raw!V91&gt;1, qPCR_Raw!V91)</f>
        <v>901.57763671875</v>
      </c>
      <c r="AF91" s="122">
        <f>qPCR_Raw!X91</f>
        <v>28.489355087280273</v>
      </c>
      <c r="AG91" s="121" cm="1">
        <f t="array" ref="AG91">_xlfn.IFS(AF91="Undetermined", 0, qPCR_Raw!Y91&lt;=1, 0, qPCR_Raw!Y91&gt;1, qPCR_Raw!Y91)</f>
        <v>120.56577301025391</v>
      </c>
      <c r="AH91" s="123" cm="1">
        <f t="array" ref="AH91">_xlfn.IFS(AND(AD91="Undetermined", AF91="Undetermined"), "Undetermined", AND(AE91=0, AG91=0), "Undetermined", AND(AE91=0, AG91&gt;0), "Ten-Fold", AND(AE91&gt;0, AG91=0), "Undiluted", AND(AD91&lt;&gt;"Undetermined", AF91&lt;&gt;"Undetermined", AE91&gt;0, AG91&gt;0, AD91&lt;&gt;AF91), 100*(-1+10^(-1/(AD91-AF91))), AND(AD91&lt;&gt;"Undetermined", AF91&lt;&gt;"Undetermined", AD91=AF91&gt;0), -100)</f>
        <v>109.37988178465154</v>
      </c>
      <c r="AI91" s="124" cm="1">
        <f t="array" ref="AI91">_xlfn.IFS(AH91="Undetermined", 0, AH91="Undiluted", AE91*$G91/$F91*1000, AH91="Ten-Fold", AG91*$G91/$F91*1000*10, AH91&lt;0, AG91*$G91/$F91*1000*10, AH91&lt;120, AE91*$G91/$F91*1000, AH91&gt;120, AG91*$G91/$F91*1000*10)</f>
        <v>92946.148115335047</v>
      </c>
      <c r="AJ91" s="121" t="str">
        <f t="shared" si="25"/>
        <v>DELETE</v>
      </c>
      <c r="AK91" s="121" t="str">
        <f t="shared" si="26"/>
        <v>DELETE</v>
      </c>
      <c r="AL91" s="121" t="str">
        <f t="shared" si="27"/>
        <v>DELETE</v>
      </c>
      <c r="AM91" s="125" t="str" cm="1">
        <f t="array" ref="AM91">_xlfn.IFS(AJ91="DELETE", "DELETE", AJ91=0, 0, AJ91&gt;0,LOG10(AJ91))</f>
        <v>DELETE</v>
      </c>
      <c r="AN91" s="126" t="str" cm="1">
        <f t="array" ref="AN91">_xlfn.IFS(AJ91="DELETE", "DELETE", AJ91=0, 0, AJ91&gt;0, AL91/AJ91/LN(10))</f>
        <v>DELETE</v>
      </c>
      <c r="AO91" s="155">
        <f>qPCR_Raw!AA91</f>
        <v>29.954742431640625</v>
      </c>
      <c r="AP91" s="156" cm="1">
        <f t="array" ref="AP91">_xlfn.IFS(AO91="Undetermined", 0, qPCR_Raw!AB91&lt;=6, 0, qPCR_Raw!AB91&gt;6, qPCR_Raw!AB91)</f>
        <v>0</v>
      </c>
      <c r="AQ91" s="157" t="str">
        <f>qPCR_Raw!AD91</f>
        <v>Undetermined</v>
      </c>
      <c r="AR91" s="156" cm="1">
        <f t="array" ref="AR91">_xlfn.IFS(AQ91="Undetermined", 0, qPCR_Raw!AE91&lt;=6, 0, qPCR_Raw!AE91&gt;6, qPCR_Raw!AE91)</f>
        <v>0</v>
      </c>
      <c r="AS91" s="158" t="str" cm="1">
        <f t="array" ref="AS91">_xlfn.IFS(AND(AO91="Undetermined", AQ91="Undetermined"), "Undetermined", AND(AP91=0, AR91=0), "Undetermined", AND(AP91=0, AR91&gt;0), "Ten-Fold", AND(AP91&gt;0, AR91=0), "Undiluted", AND(AO91&lt;&gt;"Undetermined", AQ91&lt;&gt;"Undetermined", AP91&gt;0, AR91&gt;0, AO91&lt;&gt;AQ91), 100*(-1+10^(-1/(AO91-AQ91))), AND(AO91&lt;&gt;"Undetermined", AQ91&lt;&gt;"Undetermined", AO91=AQ91&gt;0), -100)</f>
        <v>Undetermined</v>
      </c>
      <c r="AT91" s="159" cm="1">
        <f t="array" ref="AT91">_xlfn.IFS(AS91="Undetermined", 0, AS91="Undiluted", AP91*$G91/$F91*1000, AS91="Ten-Fold", AR91*$G91/$F91*1000*10, AS91&lt;0, AR91*$G91/$F91*1000*10, AS91&lt;120, AP91*$G91/$F91*1000, AS91&gt;120, AR91*$G91/$F91*1000*10)</f>
        <v>0</v>
      </c>
      <c r="AU91" s="156" t="str">
        <f t="shared" si="34"/>
        <v>DELETE</v>
      </c>
      <c r="AV91" s="156" t="str">
        <f t="shared" si="35"/>
        <v>DELETE</v>
      </c>
      <c r="AW91" s="156" t="str">
        <f t="shared" si="36"/>
        <v>DELETE</v>
      </c>
      <c r="AX91" s="160" t="str" cm="1">
        <f t="array" ref="AX91">_xlfn.IFS(AU91="DELETE", "DELETE", AU91=0, 0, AU91&gt;0,LOG10(AU91))</f>
        <v>DELETE</v>
      </c>
      <c r="AY91" s="161" t="str" cm="1">
        <f t="array" ref="AY91">_xlfn.IFS(AU91="DELETE", "DELETE", AU91=0, 0, AU91&gt;0, AW91/AU91/LN(10))</f>
        <v>DELETE</v>
      </c>
      <c r="AZ91" s="120">
        <f>qPCR_Raw!AG91</f>
        <v>21.488697052001953</v>
      </c>
      <c r="BA91" s="121" cm="1">
        <f t="array" ref="BA91">_xlfn.IFS(AZ91="Undetermined", 0, qPCR_Raw!AH91&lt;=1, 0, qPCR_Raw!AH91&gt;1, qPCR_Raw!AH91)</f>
        <v>25465.005859375</v>
      </c>
      <c r="BB91" s="122">
        <f>qPCR_Raw!AJ91</f>
        <v>24.889122009277344</v>
      </c>
      <c r="BC91" s="121" cm="1">
        <f t="array" ref="BC91">_xlfn.IFS(BB91="Undetermined", 0, qPCR_Raw!AK91&lt;=1, 0, qPCR_Raw!AK91&gt;1, qPCR_Raw!AK91)</f>
        <v>3077.512451171875</v>
      </c>
      <c r="BD91" s="123" cm="1">
        <f t="array" ref="BD91">_xlfn.IFS(AND(AZ91="Undetermined", BB91="Undetermined"), "Undetermined", AND(BA91=0, BC91=0), "Undetermined", AND(BA91=0, BC91&gt;0), "Ten-Fold", AND(BA91&gt;0, BC91=0), "Undiluted", AND(AZ91&lt;&gt;"Undetermined", BB91&lt;&gt;"Undetermined", BA91&gt;0, BC91&gt;0, AZ91&lt;&gt;BB91), 100*(-1+10^(-1/(AZ91-BB91))), AND(AZ91&lt;&gt;"Undetermined", BB91&lt;&gt;"Undetermined", AZ91=BB91&gt;0), -100)</f>
        <v>96.825285759872614</v>
      </c>
      <c r="BE91" s="124" cm="1">
        <f t="array" ref="BE91">_xlfn.IFS(BD91="Undetermined", 0, BD91="Undiluted", BA91*$G91/$F91*1000, BD91="Ten-Fold", BC91*$G91/$F91*1000*10, BD91&lt;0, BC91*$G91/$F91*1000*10, BD91&lt;120, BA91*$G91/$F91*1000, BD91&gt;120, BC91*$G91/$F91*1000*10)</f>
        <v>2625258.3360180412</v>
      </c>
      <c r="BF91" s="121" t="str">
        <f t="shared" si="31"/>
        <v>DELETE</v>
      </c>
      <c r="BG91" s="121" t="str">
        <f t="shared" si="32"/>
        <v>DELETE</v>
      </c>
      <c r="BH91" s="121" t="str">
        <f t="shared" si="33"/>
        <v>DELETE</v>
      </c>
      <c r="BI91" s="125" t="str" cm="1">
        <f t="array" ref="BI91">_xlfn.IFS(BF91="DELETE", "DELETE", BF91=0, 0, BF91&gt;0,LOG10(BF91))</f>
        <v>DELETE</v>
      </c>
      <c r="BJ91" s="126" t="str" cm="1">
        <f t="array" ref="BJ91">_xlfn.IFS(BF91="DELETE", "DELETE", BF91=0, 0, BF91&gt;0, BH91/BF91/LN(10))</f>
        <v>DELETE</v>
      </c>
    </row>
    <row r="92" spans="1:62" s="114" customFormat="1" x14ac:dyDescent="0.3">
      <c r="A92" s="115" t="str">
        <f>UPPER(LEFT(SUBSTITUTE(SUBSTITUTE(qPCR_Raw!A92,"-","")," ",""),2))&amp;RIGHT(SUBSTITUTE(SUBSTITUTE(qPCR_Raw!A92,"-","")," ",""),LEN(SUBSTITUTE(SUBSTITUTE(qPCR_Raw!A92,"-","")," ",""))-2)</f>
        <v>STa6</v>
      </c>
      <c r="B92" s="116" t="str" cm="1">
        <f t="array" ref="B92">_xlfn.IFS(LEFT(A92, LEN(A92)-1)="EP", "EP", LEFT(A92, LEN(A92)-1)="STa", "SPI", LEFT(A92, LEN(A92)-1)="STb", "SPO", LEFT(A92, LEN(A92)-1)="MRT", "MRT", LEFT(A92, LEN(A92)-1)="RG", "RN", LEFT(A92, LEN(A92)-1)="RT", "RU", LEFT(A92, LEN(A92)-1)="RW", "RL", LEFT(A92, LEN(A92)-1)="RC", "RS")</f>
        <v>SPI</v>
      </c>
      <c r="C92" s="117">
        <f>qPCR_Raw!B92</f>
        <v>44370</v>
      </c>
      <c r="D92" s="117" t="str">
        <f t="shared" si="17"/>
        <v>SPI44370</v>
      </c>
      <c r="E92" s="117" t="str">
        <f t="shared" si="18"/>
        <v>SPI443706</v>
      </c>
      <c r="F92" s="118">
        <f>qPCR_Raw!C92</f>
        <v>918</v>
      </c>
      <c r="G92" s="119">
        <f>qPCR_Raw!F92</f>
        <v>100</v>
      </c>
      <c r="H92" s="120">
        <f>qPCR_Raw!G92</f>
        <v>21.996402740478516</v>
      </c>
      <c r="I92" s="121" cm="1">
        <f t="array" ref="I92">_xlfn.IFS(H92="Undetermined", 0, qPCR_Raw!H92-qPCR_Raw!$H$242&lt;0, 0, qPCR_Raw!H92-qPCR_Raw!$H$242&gt;0, qPCR_Raw!H92-qPCR_Raw!$H$242)</f>
        <v>16615.777461751302</v>
      </c>
      <c r="J92" s="122">
        <f>qPCR_Raw!K92</f>
        <v>24.977598190307617</v>
      </c>
      <c r="K92" s="121" cm="1">
        <f t="array" ref="K92">_xlfn.IFS(J92="Undetermined", 0, qPCR_Raw!L92-qPCR_Raw!$H$242&lt;0, 0, qPCR_Raw!L92-qPCR_Raw!$H$242&gt;0, qPCR_Raw!L92-qPCR_Raw!$H$242)</f>
        <v>0</v>
      </c>
      <c r="L92" s="123" t="str" cm="1">
        <f t="array" ref="L92">_xlfn.IFS(AND(H92="Undetermined", J92="Undetermined"), "Undetermined", AND(I92=0, K92=0), "Undetermined", AND(I92=0, K92&gt;0), "Ten-Fold", AND(I92&gt;0, K92=0), "Undiluted", AND(H92&lt;&gt;"Undetermined", J92&lt;&gt;"Undetermined", I92&gt;0, K92&gt;0), 100*(-1+10^(-1/(H92-J92))))</f>
        <v>Undiluted</v>
      </c>
      <c r="M92" s="124" cm="1">
        <f t="array" ref="M92">_xlfn.IFS(L92="Undetermined", 0, L92="Undiluted", I92*$G92/$F92*1000, L92="Ten-Fold", K92*$G92/$F92*1000*10, L92&lt;0, K92*$G92/$F92*1000*10, L92&lt;120, I92*$G92/$F92*1000, L92&gt;120, K92*$G92/$F92*1000*10)</f>
        <v>1809997.5448530829</v>
      </c>
      <c r="N92" s="121">
        <f t="shared" si="19"/>
        <v>1079688.9856161503</v>
      </c>
      <c r="O92" s="121">
        <f t="shared" si="20"/>
        <v>1032812.2691900248</v>
      </c>
      <c r="P92" s="121">
        <f t="shared" si="21"/>
        <v>730308.55923693243</v>
      </c>
      <c r="Q92" s="125" cm="1">
        <f t="array" ref="Q92">_xlfn.IFS(N92="DELETE", "DELETE", N92=0, 0, N92&gt;0,LOG10(N92))</f>
        <v>6.0332986709654914</v>
      </c>
      <c r="R92" s="126" cm="1">
        <f t="array" ref="R92">_xlfn.IFS(N92="DELETE", "DELETE", N92=0, 0, N92&gt;0, P92/N92/LN(10))</f>
        <v>0.2937595748300737</v>
      </c>
      <c r="S92" s="155" t="str">
        <f>qPCR_Raw!O92</f>
        <v>Undetermined</v>
      </c>
      <c r="T92" s="156" cm="1">
        <f t="array" ref="T92">_xlfn.IFS(S92="Undetermined", 0, qPCR_Raw!P92&lt;=1, 0, qPCR_Raw!P92&gt;1, qPCR_Raw!P92)</f>
        <v>0</v>
      </c>
      <c r="U92" s="157" t="str">
        <f>qPCR_Raw!R92</f>
        <v>Undetermined</v>
      </c>
      <c r="V92" s="156" cm="1">
        <f t="array" ref="V92">_xlfn.IFS(U92="Undetermined", 0, qPCR_Raw!S92&lt;=1, 0, qPCR_Raw!S92&gt;1, qPCR_Raw!S92)</f>
        <v>0</v>
      </c>
      <c r="W92" s="158" t="str" cm="1">
        <f t="array" ref="W92">_xlfn.IFS(AND(S92="Undetermined", U92="Undetermined"), "Undetermined", AND(T92=0, V92=0), "Undetermined", AND(T92=0, V92&gt;0), "Ten-Fold", AND(T92&gt;0, V92=0), "Undiluted", AND(S92&lt;&gt;"Undetermined", U92&lt;&gt;"Undetermined", T92&gt;0, V92&gt;0, S92&lt;&gt;U92), 100*(-1+10^(-1/(S92-U92))), AND(S92&lt;&gt;"Undetermined", U92&lt;&gt;"Undetermined", S92=U92&gt;0), -100)</f>
        <v>Undetermined</v>
      </c>
      <c r="X92" s="159" cm="1">
        <f t="array" ref="X92">_xlfn.IFS(W92="Undetermined", 0, W92="Undiluted", T92*$G92/$F92*1000, W92="Ten-Fold", V92*$G92/$F92*1000*10, W92&lt;0, V92*$G92/$F92*1000*10, W92&lt;120, T92*$G92/$F92*1000, W92&gt;120, V92*$G92/$F92*1000*10)</f>
        <v>0</v>
      </c>
      <c r="Y92" s="156">
        <f t="shared" si="22"/>
        <v>0</v>
      </c>
      <c r="Z92" s="156">
        <f t="shared" si="23"/>
        <v>0</v>
      </c>
      <c r="AA92" s="156">
        <f t="shared" si="24"/>
        <v>0</v>
      </c>
      <c r="AB92" s="160" cm="1">
        <f t="array" ref="AB92">_xlfn.IFS(Y92="DELETE", "DELETE", Y92=0, 0, Y92&gt;0,LOG10(Y92))</f>
        <v>0</v>
      </c>
      <c r="AC92" s="161" cm="1">
        <f t="array" ref="AC92">_xlfn.IFS(Y92="DELETE", "DELETE", Y92=0, 0, Y92&gt;0, AA92/Y92/LN(10))</f>
        <v>0</v>
      </c>
      <c r="AD92" s="120">
        <f>qPCR_Raw!U92</f>
        <v>35.554244995117188</v>
      </c>
      <c r="AE92" s="121" cm="1">
        <f t="array" ref="AE92">_xlfn.IFS(AD92="Undetermined", 0, qPCR_Raw!V92&lt;=1, 0, qPCR_Raw!V92&gt;1, qPCR_Raw!V92)</f>
        <v>1.2590514421463013</v>
      </c>
      <c r="AF92" s="122" t="str">
        <f>qPCR_Raw!X92</f>
        <v>Undetermined</v>
      </c>
      <c r="AG92" s="121" cm="1">
        <f t="array" ref="AG92">_xlfn.IFS(AF92="Undetermined", 0, qPCR_Raw!Y92&lt;=1, 0, qPCR_Raw!Y92&gt;1, qPCR_Raw!Y92)</f>
        <v>0</v>
      </c>
      <c r="AH92" s="123" t="str" cm="1">
        <f t="array" ref="AH92">_xlfn.IFS(AND(AD92="Undetermined", AF92="Undetermined"), "Undetermined", AND(AE92=0, AG92=0), "Undetermined", AND(AE92=0, AG92&gt;0), "Ten-Fold", AND(AE92&gt;0, AG92=0), "Undiluted", AND(AD92&lt;&gt;"Undetermined", AF92&lt;&gt;"Undetermined", AE92&gt;0, AG92&gt;0, AD92&lt;&gt;AF92), 100*(-1+10^(-1/(AD92-AF92))), AND(AD92&lt;&gt;"Undetermined", AF92&lt;&gt;"Undetermined", AD92=AF92&gt;0), -100)</f>
        <v>Undiluted</v>
      </c>
      <c r="AI92" s="124" cm="1">
        <f t="array" ref="AI92">_xlfn.IFS(AH92="Undetermined", 0, AH92="Undiluted", AE92*$G92/$F92*1000, AH92="Ten-Fold", AG92*$G92/$F92*1000*10, AH92&lt;0, AG92*$G92/$F92*1000*10, AH92&lt;120, AE92*$G92/$F92*1000, AH92&gt;120, AG92*$G92/$F92*1000*10)</f>
        <v>137.15157321855133</v>
      </c>
      <c r="AJ92" s="121">
        <f t="shared" si="25"/>
        <v>68.575786609275667</v>
      </c>
      <c r="AK92" s="121">
        <f t="shared" si="26"/>
        <v>96.98080747324093</v>
      </c>
      <c r="AL92" s="121">
        <f t="shared" si="27"/>
        <v>68.575786609275667</v>
      </c>
      <c r="AM92" s="125" cm="1">
        <f t="array" ref="AM92">_xlfn.IFS(AJ92="DELETE", "DELETE", AJ92=0, 0, AJ92&gt;0,LOG10(AJ92))</f>
        <v>1.8361707979478543</v>
      </c>
      <c r="AN92" s="126" cm="1">
        <f t="array" ref="AN92">_xlfn.IFS(AJ92="DELETE", "DELETE", AJ92=0, 0, AJ92&gt;0, AL92/AJ92/LN(10))</f>
        <v>0.43429448190325176</v>
      </c>
      <c r="AO92" s="155">
        <f>qPCR_Raw!AA92</f>
        <v>30.744760513305664</v>
      </c>
      <c r="AP92" s="156" cm="1">
        <f t="array" ref="AP92">_xlfn.IFS(AO92="Undetermined", 0, qPCR_Raw!AB92&lt;=6, 0, qPCR_Raw!AB92&gt;6, qPCR_Raw!AB92)</f>
        <v>0</v>
      </c>
      <c r="AQ92" s="157" t="str">
        <f>qPCR_Raw!AD92</f>
        <v>Undetermined</v>
      </c>
      <c r="AR92" s="156" cm="1">
        <f t="array" ref="AR92">_xlfn.IFS(AQ92="Undetermined", 0, qPCR_Raw!AE92&lt;=6, 0, qPCR_Raw!AE92&gt;6, qPCR_Raw!AE92)</f>
        <v>0</v>
      </c>
      <c r="AS92" s="158" t="str" cm="1">
        <f t="array" ref="AS92">_xlfn.IFS(AND(AO92="Undetermined", AQ92="Undetermined"), "Undetermined", AND(AP92=0, AR92=0), "Undetermined", AND(AP92=0, AR92&gt;0), "Ten-Fold", AND(AP92&gt;0, AR92=0), "Undiluted", AND(AO92&lt;&gt;"Undetermined", AQ92&lt;&gt;"Undetermined", AP92&gt;0, AR92&gt;0, AO92&lt;&gt;AQ92), 100*(-1+10^(-1/(AO92-AQ92))), AND(AO92&lt;&gt;"Undetermined", AQ92&lt;&gt;"Undetermined", AO92=AQ92&gt;0), -100)</f>
        <v>Undetermined</v>
      </c>
      <c r="AT92" s="159" cm="1">
        <f t="array" ref="AT92">_xlfn.IFS(AS92="Undetermined", 0, AS92="Undiluted", AP92*$G92/$F92*1000, AS92="Ten-Fold", AR92*$G92/$F92*1000*10, AS92&lt;0, AR92*$G92/$F92*1000*10, AS92&lt;120, AP92*$G92/$F92*1000, AS92&gt;120, AR92*$G92/$F92*1000*10)</f>
        <v>0</v>
      </c>
      <c r="AU92" s="156">
        <f t="shared" si="34"/>
        <v>0</v>
      </c>
      <c r="AV92" s="156">
        <f t="shared" si="35"/>
        <v>0</v>
      </c>
      <c r="AW92" s="156">
        <f t="shared" si="36"/>
        <v>0</v>
      </c>
      <c r="AX92" s="160" cm="1">
        <f t="array" ref="AX92">_xlfn.IFS(AU92="DELETE", "DELETE", AU92=0, 0, AU92&gt;0,LOG10(AU92))</f>
        <v>0</v>
      </c>
      <c r="AY92" s="161" cm="1">
        <f t="array" ref="AY92">_xlfn.IFS(AU92="DELETE", "DELETE", AU92=0, 0, AU92&gt;0, AW92/AU92/LN(10))</f>
        <v>0</v>
      </c>
      <c r="AZ92" s="120">
        <f>qPCR_Raw!AG92</f>
        <v>35.866790771484375</v>
      </c>
      <c r="BA92" s="121" cm="1">
        <f t="array" ref="BA92">_xlfn.IFS(AZ92="Undetermined", 0, qPCR_Raw!AH92&lt;=1, 0, qPCR_Raw!AH92&gt;1, qPCR_Raw!AH92)</f>
        <v>3.3529434204101563</v>
      </c>
      <c r="BB92" s="122">
        <f>qPCR_Raw!AJ92</f>
        <v>38.273433685302734</v>
      </c>
      <c r="BC92" s="121" cm="1">
        <f t="array" ref="BC92">_xlfn.IFS(BB92="Undetermined", 0, qPCR_Raw!AK92&lt;=1, 0, qPCR_Raw!AK92&gt;1, qPCR_Raw!AK92)</f>
        <v>0</v>
      </c>
      <c r="BD92" s="123" t="str" cm="1">
        <f t="array" ref="BD92">_xlfn.IFS(AND(AZ92="Undetermined", BB92="Undetermined"), "Undetermined", AND(BA92=0, BC92=0), "Undetermined", AND(BA92=0, BC92&gt;0), "Ten-Fold", AND(BA92&gt;0, BC92=0), "Undiluted", AND(AZ92&lt;&gt;"Undetermined", BB92&lt;&gt;"Undetermined", BA92&gt;0, BC92&gt;0, AZ92&lt;&gt;BB92), 100*(-1+10^(-1/(AZ92-BB92))), AND(AZ92&lt;&gt;"Undetermined", BB92&lt;&gt;"Undetermined", AZ92=BB92&gt;0), -100)</f>
        <v>Undiluted</v>
      </c>
      <c r="BE92" s="124" cm="1">
        <f t="array" ref="BE92">_xlfn.IFS(BD92="Undetermined", 0, BD92="Undiluted", BA92*$G92/$F92*1000, BD92="Ten-Fold", BC92*$G92/$F92*1000*10, BD92&lt;0, BC92*$G92/$F92*1000*10, BD92&lt;120, BA92*$G92/$F92*1000, BD92&gt;120, BC92*$G92/$F92*1000*10)</f>
        <v>365.24438130829589</v>
      </c>
      <c r="BF92" s="121">
        <f t="shared" si="31"/>
        <v>182.62219065414794</v>
      </c>
      <c r="BG92" s="121">
        <f t="shared" si="32"/>
        <v>258.26677881338111</v>
      </c>
      <c r="BH92" s="121">
        <f t="shared" si="33"/>
        <v>182.62219065414794</v>
      </c>
      <c r="BI92" s="125" cm="1">
        <f t="array" ref="BI92">_xlfn.IFS(BF92="DELETE", "DELETE", BF92=0, 0, BF92&gt;0,LOG10(BF92))</f>
        <v>2.2615535480783655</v>
      </c>
      <c r="BJ92" s="126" cm="1">
        <f t="array" ref="BJ92">_xlfn.IFS(BF92="DELETE", "DELETE", BF92=0, 0, BF92&gt;0, BH92/BF92/LN(10))</f>
        <v>0.43429448190325176</v>
      </c>
    </row>
    <row r="93" spans="1:62" s="114" customFormat="1" x14ac:dyDescent="0.3">
      <c r="A93" s="115" t="str">
        <f>UPPER(LEFT(SUBSTITUTE(SUBSTITUTE(qPCR_Raw!A93,"-","")," ",""),2))&amp;RIGHT(SUBSTITUTE(SUBSTITUTE(qPCR_Raw!A93,"-","")," ",""),LEN(SUBSTITUTE(SUBSTITUTE(qPCR_Raw!A93,"-","")," ",""))-2)</f>
        <v>STa7</v>
      </c>
      <c r="B93" s="116" t="str" cm="1">
        <f t="array" ref="B93">_xlfn.IFS(LEFT(A93, LEN(A93)-1)="EP", "EP", LEFT(A93, LEN(A93)-1)="STa", "SPI", LEFT(A93, LEN(A93)-1)="STb", "SPO", LEFT(A93, LEN(A93)-1)="MRT", "MRT", LEFT(A93, LEN(A93)-1)="RG", "RN", LEFT(A93, LEN(A93)-1)="RT", "RU", LEFT(A93, LEN(A93)-1)="RW", "RL", LEFT(A93, LEN(A93)-1)="RC", "RS")</f>
        <v>SPI</v>
      </c>
      <c r="C93" s="117">
        <f>qPCR_Raw!B93</f>
        <v>44370</v>
      </c>
      <c r="D93" s="117" t="str">
        <f t="shared" si="17"/>
        <v>SPI44370</v>
      </c>
      <c r="E93" s="117" t="str">
        <f t="shared" si="18"/>
        <v>SPI443707</v>
      </c>
      <c r="F93" s="118">
        <f>qPCR_Raw!C93</f>
        <v>920</v>
      </c>
      <c r="G93" s="119">
        <f>qPCR_Raw!F93</f>
        <v>100</v>
      </c>
      <c r="H93" s="120">
        <f>qPCR_Raw!G93</f>
        <v>22.921415328979492</v>
      </c>
      <c r="I93" s="121" cm="1">
        <f t="array" ref="I93">_xlfn.IFS(H93="Undetermined", 0, qPCR_Raw!H93-qPCR_Raw!$H$242&lt;0, 0, qPCR_Raw!H93-qPCR_Raw!$H$242&gt;0, qPCR_Raw!H93-qPCR_Raw!$H$242)</f>
        <v>3214.2999226888023</v>
      </c>
      <c r="J93" s="122">
        <f>qPCR_Raw!K93</f>
        <v>25.724477767944336</v>
      </c>
      <c r="K93" s="121" cm="1">
        <f t="array" ref="K93">_xlfn.IFS(J93="Undetermined", 0, qPCR_Raw!L93-qPCR_Raw!$H$242&lt;0, 0, qPCR_Raw!L93-qPCR_Raw!$H$242&gt;0, qPCR_Raw!L93-qPCR_Raw!$H$242)</f>
        <v>0</v>
      </c>
      <c r="L93" s="123" t="str" cm="1">
        <f t="array" ref="L93">_xlfn.IFS(AND(H93="Undetermined", J93="Undetermined"), "Undetermined", AND(I93=0, K93=0), "Undetermined", AND(I93=0, K93&gt;0), "Ten-Fold", AND(I93&gt;0, K93=0), "Undiluted", AND(H93&lt;&gt;"Undetermined", J93&lt;&gt;"Undetermined", I93&gt;0, K93&gt;0), 100*(-1+10^(-1/(H93-J93))))</f>
        <v>Undiluted</v>
      </c>
      <c r="M93" s="124" cm="1">
        <f t="array" ref="M93">_xlfn.IFS(L93="Undetermined", 0, L93="Undiluted", I93*$G93/$F93*1000, L93="Ten-Fold", K93*$G93/$F93*1000*10, L93&lt;0, K93*$G93/$F93*1000*10, L93&lt;120, I93*$G93/$F93*1000, L93&gt;120, K93*$G93/$F93*1000*10)</f>
        <v>349380.42637921771</v>
      </c>
      <c r="N93" s="121" t="str">
        <f t="shared" si="19"/>
        <v>DELETE</v>
      </c>
      <c r="O93" s="121" t="str">
        <f t="shared" si="20"/>
        <v>DELETE</v>
      </c>
      <c r="P93" s="121" t="str">
        <f t="shared" si="21"/>
        <v>DELETE</v>
      </c>
      <c r="Q93" s="125" t="str" cm="1">
        <f t="array" ref="Q93">_xlfn.IFS(N93="DELETE", "DELETE", N93=0, 0, N93&gt;0,LOG10(N93))</f>
        <v>DELETE</v>
      </c>
      <c r="R93" s="126" t="str" cm="1">
        <f t="array" ref="R93">_xlfn.IFS(N93="DELETE", "DELETE", N93=0, 0, N93&gt;0, P93/N93/LN(10))</f>
        <v>DELETE</v>
      </c>
      <c r="S93" s="155" t="str">
        <f>qPCR_Raw!O93</f>
        <v>Undetermined</v>
      </c>
      <c r="T93" s="156" cm="1">
        <f t="array" ref="T93">_xlfn.IFS(S93="Undetermined", 0, qPCR_Raw!P93&lt;=1, 0, qPCR_Raw!P93&gt;1, qPCR_Raw!P93)</f>
        <v>0</v>
      </c>
      <c r="U93" s="157" t="str">
        <f>qPCR_Raw!R93</f>
        <v>Undetermined</v>
      </c>
      <c r="V93" s="156" cm="1">
        <f t="array" ref="V93">_xlfn.IFS(U93="Undetermined", 0, qPCR_Raw!S93&lt;=1, 0, qPCR_Raw!S93&gt;1, qPCR_Raw!S93)</f>
        <v>0</v>
      </c>
      <c r="W93" s="158" t="str" cm="1">
        <f t="array" ref="W93">_xlfn.IFS(AND(S93="Undetermined", U93="Undetermined"), "Undetermined", AND(T93=0, V93=0), "Undetermined", AND(T93=0, V93&gt;0), "Ten-Fold", AND(T93&gt;0, V93=0), "Undiluted", AND(S93&lt;&gt;"Undetermined", U93&lt;&gt;"Undetermined", T93&gt;0, V93&gt;0, S93&lt;&gt;U93), 100*(-1+10^(-1/(S93-U93))), AND(S93&lt;&gt;"Undetermined", U93&lt;&gt;"Undetermined", S93=U93&gt;0), -100)</f>
        <v>Undetermined</v>
      </c>
      <c r="X93" s="159" cm="1">
        <f t="array" ref="X93">_xlfn.IFS(W93="Undetermined", 0, W93="Undiluted", T93*$G93/$F93*1000, W93="Ten-Fold", V93*$G93/$F93*1000*10, W93&lt;0, V93*$G93/$F93*1000*10, W93&lt;120, T93*$G93/$F93*1000, W93&gt;120, V93*$G93/$F93*1000*10)</f>
        <v>0</v>
      </c>
      <c r="Y93" s="156" t="str">
        <f t="shared" si="22"/>
        <v>DELETE</v>
      </c>
      <c r="Z93" s="156" t="str">
        <f t="shared" si="23"/>
        <v>DELETE</v>
      </c>
      <c r="AA93" s="156" t="str">
        <f t="shared" si="24"/>
        <v>DELETE</v>
      </c>
      <c r="AB93" s="160" t="str" cm="1">
        <f t="array" ref="AB93">_xlfn.IFS(Y93="DELETE", "DELETE", Y93=0, 0, Y93&gt;0,LOG10(Y93))</f>
        <v>DELETE</v>
      </c>
      <c r="AC93" s="161" t="str" cm="1">
        <f t="array" ref="AC93">_xlfn.IFS(Y93="DELETE", "DELETE", Y93=0, 0, Y93&gt;0, AA93/Y93/LN(10))</f>
        <v>DELETE</v>
      </c>
      <c r="AD93" s="120" t="str">
        <f>qPCR_Raw!U93</f>
        <v>Undetermined</v>
      </c>
      <c r="AE93" s="121" cm="1">
        <f t="array" ref="AE93">_xlfn.IFS(AD93="Undetermined", 0, qPCR_Raw!V93&lt;=1, 0, qPCR_Raw!V93&gt;1, qPCR_Raw!V93)</f>
        <v>0</v>
      </c>
      <c r="AF93" s="122" t="str">
        <f>qPCR_Raw!X93</f>
        <v>Undetermined</v>
      </c>
      <c r="AG93" s="121" cm="1">
        <f t="array" ref="AG93">_xlfn.IFS(AF93="Undetermined", 0, qPCR_Raw!Y93&lt;=1, 0, qPCR_Raw!Y93&gt;1, qPCR_Raw!Y93)</f>
        <v>0</v>
      </c>
      <c r="AH93" s="123" t="str" cm="1">
        <f t="array" ref="AH93">_xlfn.IFS(AND(AD93="Undetermined", AF93="Undetermined"), "Undetermined", AND(AE93=0, AG93=0), "Undetermined", AND(AE93=0, AG93&gt;0), "Ten-Fold", AND(AE93&gt;0, AG93=0), "Undiluted", AND(AD93&lt;&gt;"Undetermined", AF93&lt;&gt;"Undetermined", AE93&gt;0, AG93&gt;0, AD93&lt;&gt;AF93), 100*(-1+10^(-1/(AD93-AF93))), AND(AD93&lt;&gt;"Undetermined", AF93&lt;&gt;"Undetermined", AD93=AF93&gt;0), -100)</f>
        <v>Undetermined</v>
      </c>
      <c r="AI93" s="124" cm="1">
        <f t="array" ref="AI93">_xlfn.IFS(AH93="Undetermined", 0, AH93="Undiluted", AE93*$G93/$F93*1000, AH93="Ten-Fold", AG93*$G93/$F93*1000*10, AH93&lt;0, AG93*$G93/$F93*1000*10, AH93&lt;120, AE93*$G93/$F93*1000, AH93&gt;120, AG93*$G93/$F93*1000*10)</f>
        <v>0</v>
      </c>
      <c r="AJ93" s="121" t="str">
        <f t="shared" si="25"/>
        <v>DELETE</v>
      </c>
      <c r="AK93" s="121" t="str">
        <f t="shared" si="26"/>
        <v>DELETE</v>
      </c>
      <c r="AL93" s="121" t="str">
        <f t="shared" si="27"/>
        <v>DELETE</v>
      </c>
      <c r="AM93" s="125" t="str" cm="1">
        <f t="array" ref="AM93">_xlfn.IFS(AJ93="DELETE", "DELETE", AJ93=0, 0, AJ93&gt;0,LOG10(AJ93))</f>
        <v>DELETE</v>
      </c>
      <c r="AN93" s="126" t="str" cm="1">
        <f t="array" ref="AN93">_xlfn.IFS(AJ93="DELETE", "DELETE", AJ93=0, 0, AJ93&gt;0, AL93/AJ93/LN(10))</f>
        <v>DELETE</v>
      </c>
      <c r="AO93" s="155">
        <f>qPCR_Raw!AA93</f>
        <v>30.04420280456543</v>
      </c>
      <c r="AP93" s="156" cm="1">
        <f t="array" ref="AP93">_xlfn.IFS(AO93="Undetermined", 0, qPCR_Raw!AB93&lt;=6, 0, qPCR_Raw!AB93&gt;6, qPCR_Raw!AB93)</f>
        <v>0</v>
      </c>
      <c r="AQ93" s="157" t="str">
        <f>qPCR_Raw!AD93</f>
        <v>Undetermined</v>
      </c>
      <c r="AR93" s="156" cm="1">
        <f t="array" ref="AR93">_xlfn.IFS(AQ93="Undetermined", 0, qPCR_Raw!AE93&lt;=6, 0, qPCR_Raw!AE93&gt;6, qPCR_Raw!AE93)</f>
        <v>0</v>
      </c>
      <c r="AS93" s="158" t="str" cm="1">
        <f t="array" ref="AS93">_xlfn.IFS(AND(AO93="Undetermined", AQ93="Undetermined"), "Undetermined", AND(AP93=0, AR93=0), "Undetermined", AND(AP93=0, AR93&gt;0), "Ten-Fold", AND(AP93&gt;0, AR93=0), "Undiluted", AND(AO93&lt;&gt;"Undetermined", AQ93&lt;&gt;"Undetermined", AP93&gt;0, AR93&gt;0, AO93&lt;&gt;AQ93), 100*(-1+10^(-1/(AO93-AQ93))), AND(AO93&lt;&gt;"Undetermined", AQ93&lt;&gt;"Undetermined", AO93=AQ93&gt;0), -100)</f>
        <v>Undetermined</v>
      </c>
      <c r="AT93" s="159" cm="1">
        <f t="array" ref="AT93">_xlfn.IFS(AS93="Undetermined", 0, AS93="Undiluted", AP93*$G93/$F93*1000, AS93="Ten-Fold", AR93*$G93/$F93*1000*10, AS93&lt;0, AR93*$G93/$F93*1000*10, AS93&lt;120, AP93*$G93/$F93*1000, AS93&gt;120, AR93*$G93/$F93*1000*10)</f>
        <v>0</v>
      </c>
      <c r="AU93" s="156" t="str">
        <f t="shared" si="34"/>
        <v>DELETE</v>
      </c>
      <c r="AV93" s="156" t="str">
        <f t="shared" si="35"/>
        <v>DELETE</v>
      </c>
      <c r="AW93" s="156" t="str">
        <f t="shared" si="36"/>
        <v>DELETE</v>
      </c>
      <c r="AX93" s="160" t="str" cm="1">
        <f t="array" ref="AX93">_xlfn.IFS(AU93="DELETE", "DELETE", AU93=0, 0, AU93&gt;0,LOG10(AU93))</f>
        <v>DELETE</v>
      </c>
      <c r="AY93" s="161" t="str" cm="1">
        <f t="array" ref="AY93">_xlfn.IFS(AU93="DELETE", "DELETE", AU93=0, 0, AU93&gt;0, AW93/AU93/LN(10))</f>
        <v>DELETE</v>
      </c>
      <c r="AZ93" s="120" t="str">
        <f>qPCR_Raw!AG93</f>
        <v>Undetermined</v>
      </c>
      <c r="BA93" s="121" cm="1">
        <f t="array" ref="BA93">_xlfn.IFS(AZ93="Undetermined", 0, qPCR_Raw!AH93&lt;=1, 0, qPCR_Raw!AH93&gt;1, qPCR_Raw!AH93)</f>
        <v>0</v>
      </c>
      <c r="BB93" s="122" t="str">
        <f>qPCR_Raw!AJ93</f>
        <v>Undetermined</v>
      </c>
      <c r="BC93" s="121" cm="1">
        <f t="array" ref="BC93">_xlfn.IFS(BB93="Undetermined", 0, qPCR_Raw!AK93&lt;=1, 0, qPCR_Raw!AK93&gt;1, qPCR_Raw!AK93)</f>
        <v>0</v>
      </c>
      <c r="BD93" s="123" t="str" cm="1">
        <f t="array" ref="BD93">_xlfn.IFS(AND(AZ93="Undetermined", BB93="Undetermined"), "Undetermined", AND(BA93=0, BC93=0), "Undetermined", AND(BA93=0, BC93&gt;0), "Ten-Fold", AND(BA93&gt;0, BC93=0), "Undiluted", AND(AZ93&lt;&gt;"Undetermined", BB93&lt;&gt;"Undetermined", BA93&gt;0, BC93&gt;0, AZ93&lt;&gt;BB93), 100*(-1+10^(-1/(AZ93-BB93))), AND(AZ93&lt;&gt;"Undetermined", BB93&lt;&gt;"Undetermined", AZ93=BB93&gt;0), -100)</f>
        <v>Undetermined</v>
      </c>
      <c r="BE93" s="124" cm="1">
        <f t="array" ref="BE93">_xlfn.IFS(BD93="Undetermined", 0, BD93="Undiluted", BA93*$G93/$F93*1000, BD93="Ten-Fold", BC93*$G93/$F93*1000*10, BD93&lt;0, BC93*$G93/$F93*1000*10, BD93&lt;120, BA93*$G93/$F93*1000, BD93&gt;120, BC93*$G93/$F93*1000*10)</f>
        <v>0</v>
      </c>
      <c r="BF93" s="121" t="str">
        <f t="shared" si="31"/>
        <v>DELETE</v>
      </c>
      <c r="BG93" s="121" t="str">
        <f t="shared" si="32"/>
        <v>DELETE</v>
      </c>
      <c r="BH93" s="121" t="str">
        <f t="shared" si="33"/>
        <v>DELETE</v>
      </c>
      <c r="BI93" s="125" t="str" cm="1">
        <f t="array" ref="BI93">_xlfn.IFS(BF93="DELETE", "DELETE", BF93=0, 0, BF93&gt;0,LOG10(BF93))</f>
        <v>DELETE</v>
      </c>
      <c r="BJ93" s="126" t="str" cm="1">
        <f t="array" ref="BJ93">_xlfn.IFS(BF93="DELETE", "DELETE", BF93=0, 0, BF93&gt;0, BH93/BF93/LN(10))</f>
        <v>DELETE</v>
      </c>
    </row>
    <row r="94" spans="1:62" s="114" customFormat="1" x14ac:dyDescent="0.3">
      <c r="A94" s="115" t="str">
        <f>UPPER(LEFT(SUBSTITUTE(SUBSTITUTE(qPCR_Raw!A94,"-","")," ",""),2))&amp;RIGHT(SUBSTITUTE(SUBSTITUTE(qPCR_Raw!A94,"-","")," ",""),LEN(SUBSTITUTE(SUBSTITUTE(qPCR_Raw!A94,"-","")," ",""))-2)</f>
        <v>EP6</v>
      </c>
      <c r="B94" s="116" t="str" cm="1">
        <f t="array" ref="B94">_xlfn.IFS(LEFT(A94, LEN(A94)-1)="EP", "EP", LEFT(A94, LEN(A94)-1)="STa", "SPI", LEFT(A94, LEN(A94)-1)="STb", "SPO", LEFT(A94, LEN(A94)-1)="MRT", "MRT", LEFT(A94, LEN(A94)-1)="RG", "RN", LEFT(A94, LEN(A94)-1)="RT", "RU", LEFT(A94, LEN(A94)-1)="RW", "RL", LEFT(A94, LEN(A94)-1)="RC", "RS")</f>
        <v>EP</v>
      </c>
      <c r="C94" s="117">
        <f>qPCR_Raw!B94</f>
        <v>44377</v>
      </c>
      <c r="D94" s="117" t="str">
        <f t="shared" si="17"/>
        <v>EP44377</v>
      </c>
      <c r="E94" s="117" t="str">
        <f t="shared" si="18"/>
        <v>EP443776</v>
      </c>
      <c r="F94" s="118">
        <f>qPCR_Raw!C94</f>
        <v>940</v>
      </c>
      <c r="G94" s="119">
        <f>qPCR_Raw!F94</f>
        <v>100</v>
      </c>
      <c r="H94" s="120">
        <f>qPCR_Raw!G94</f>
        <v>11.523473739624023</v>
      </c>
      <c r="I94" s="121" cm="1">
        <f t="array" ref="I94">_xlfn.IFS(H94="Undetermined", 0, qPCR_Raw!H94-qPCR_Raw!$H$242&lt;0, 0, qPCR_Raw!H94-qPCR_Raw!$H$242&gt;0, qPCR_Raw!H94-qPCR_Raw!$H$242)</f>
        <v>27261245.361446127</v>
      </c>
      <c r="J94" s="122">
        <f>qPCR_Raw!K94</f>
        <v>23.809911727905273</v>
      </c>
      <c r="K94" s="121" cm="1">
        <f t="array" ref="K94">_xlfn.IFS(J94="Undetermined", 0, qPCR_Raw!L94-qPCR_Raw!$H$242&lt;0, 0, qPCR_Raw!L94-qPCR_Raw!$H$242&gt;0, qPCR_Raw!L94-qPCR_Raw!$H$242)</f>
        <v>0</v>
      </c>
      <c r="L94" s="123" t="str" cm="1">
        <f t="array" ref="L94">_xlfn.IFS(AND(H94="Undetermined", J94="Undetermined"), "Undetermined", AND(I94=0, K94=0), "Undetermined", AND(I94=0, K94&gt;0), "Ten-Fold", AND(I94&gt;0, K94=0), "Undiluted", AND(H94&lt;&gt;"Undetermined", J94&lt;&gt;"Undetermined", I94&gt;0, K94&gt;0), 100*(-1+10^(-1/(H94-J94))))</f>
        <v>Undiluted</v>
      </c>
      <c r="M94" s="124" cm="1">
        <f t="array" ref="M94">_xlfn.IFS(L94="Undetermined", 0, L94="Undiluted", I94*$G94/$F94*1000, L94="Ten-Fold", K94*$G94/$F94*1000*10, L94&lt;0, K94*$G94/$F94*1000*10, L94&lt;120, I94*$G94/$F94*1000, L94&gt;120, K94*$G94/$F94*1000*10)</f>
        <v>2900132485.2602262</v>
      </c>
      <c r="N94" s="186">
        <f>M95</f>
        <v>4684351.6805013027</v>
      </c>
      <c r="O94" s="186">
        <v>0</v>
      </c>
      <c r="P94" s="186">
        <f t="shared" si="21"/>
        <v>0</v>
      </c>
      <c r="Q94" s="187" cm="1">
        <f t="array" ref="Q94">_xlfn.IFS(N94="DELETE", "DELETE", N94=0, 0, N94&gt;0,LOG10(N94))</f>
        <v>6.6706494925420223</v>
      </c>
      <c r="R94" s="188" cm="1">
        <f t="array" ref="R94">_xlfn.IFS(N94="DELETE", "DELETE", N94=0, 0, N94&gt;0, P94/N94/LN(10))</f>
        <v>0</v>
      </c>
      <c r="S94" s="155">
        <f>qPCR_Raw!O94</f>
        <v>39.214462280273438</v>
      </c>
      <c r="T94" s="156" cm="1">
        <f t="array" ref="T94">_xlfn.IFS(S94="Undetermined", 0, qPCR_Raw!P94&lt;=1, 0, qPCR_Raw!P94&gt;1, qPCR_Raw!P94)</f>
        <v>3.8650448322296143</v>
      </c>
      <c r="U94" s="157">
        <f>qPCR_Raw!R94</f>
        <v>38.780956268310547</v>
      </c>
      <c r="V94" s="156" cm="1">
        <f t="array" ref="V94">_xlfn.IFS(U94="Undetermined", 0, qPCR_Raw!S94&lt;=1, 0, qPCR_Raw!S94&gt;1, qPCR_Raw!S94)</f>
        <v>5.0329604148864746</v>
      </c>
      <c r="W94" s="158" cm="1">
        <f t="array" ref="W94">_xlfn.IFS(AND(S94="Undetermined", U94="Undetermined"), "Undetermined", AND(T94=0, V94=0), "Undetermined", AND(T94=0, V94&gt;0), "Ten-Fold", AND(T94&gt;0, V94=0), "Undiluted", AND(S94&lt;&gt;"Undetermined", U94&lt;&gt;"Undetermined", T94&gt;0, V94&gt;0, S94&lt;&gt;U94), 100*(-1+10^(-1/(S94-U94))), AND(S94&lt;&gt;"Undetermined", U94&lt;&gt;"Undetermined", S94=U94&gt;0), -100)</f>
        <v>-99.506568448269803</v>
      </c>
      <c r="X94" s="159" cm="1">
        <f t="array" ref="X94">_xlfn.IFS(W94="Undetermined", 0, W94="Undiluted", T94*$G94/$F94*1000, W94="Ten-Fold", V94*$G94/$F94*1000*10, W94&lt;0, V94*$G94/$F94*1000*10, W94&lt;120, T94*$G94/$F94*1000, W94&gt;120, V94*$G94/$F94*1000*10)</f>
        <v>5354.2132073260373</v>
      </c>
      <c r="Y94" s="156">
        <f t="shared" si="22"/>
        <v>2815.9367766786131</v>
      </c>
      <c r="Z94" s="156">
        <f t="shared" si="23"/>
        <v>3589.6649532735582</v>
      </c>
      <c r="AA94" s="156">
        <f t="shared" si="24"/>
        <v>2538.2764306474241</v>
      </c>
      <c r="AB94" s="160" cm="1">
        <f t="array" ref="AB94">_xlfn.IFS(Y94="DELETE", "DELETE", Y94=0, 0, Y94&gt;0,LOG10(Y94))</f>
        <v>3.4496228998138809</v>
      </c>
      <c r="AC94" s="161" cm="1">
        <f t="array" ref="AC94">_xlfn.IFS(Y94="DELETE", "DELETE", Y94=0, 0, Y94&gt;0, AA94/Y94/LN(10))</f>
        <v>0.39147166104896969</v>
      </c>
      <c r="AD94" s="120">
        <f>qPCR_Raw!U94</f>
        <v>32.153369903564453</v>
      </c>
      <c r="AE94" s="121" cm="1">
        <f t="array" ref="AE94">_xlfn.IFS(AD94="Undetermined", 0, qPCR_Raw!V94&lt;=1, 0, qPCR_Raw!V94&gt;1, qPCR_Raw!V94)</f>
        <v>11.317176818847656</v>
      </c>
      <c r="AF94" s="122">
        <f>qPCR_Raw!X94</f>
        <v>35.803688049316406</v>
      </c>
      <c r="AG94" s="121" cm="1">
        <f t="array" ref="AG94">_xlfn.IFS(AF94="Undetermined", 0, qPCR_Raw!Y94&lt;=1, 0, qPCR_Raw!Y94&gt;1, qPCR_Raw!Y94)</f>
        <v>1.0717489719390869</v>
      </c>
      <c r="AH94" s="123" cm="1">
        <f t="array" ref="AH94">_xlfn.IFS(AND(AD94="Undetermined", AF94="Undetermined"), "Undetermined", AND(AE94=0, AG94=0), "Undetermined", AND(AE94=0, AG94&gt;0), "Ten-Fold", AND(AE94&gt;0, AG94=0), "Undiluted", AND(AD94&lt;&gt;"Undetermined", AF94&lt;&gt;"Undetermined", AE94&gt;0, AG94&gt;0, AD94&lt;&gt;AF94), 100*(-1+10^(-1/(AD94-AF94))), AND(AD94&lt;&gt;"Undetermined", AF94&lt;&gt;"Undetermined", AD94=AF94&gt;0), -100)</f>
        <v>87.909494604560862</v>
      </c>
      <c r="AI94" s="124" cm="1">
        <f t="array" ref="AI94">_xlfn.IFS(AH94="Undetermined", 0, AH94="Undiluted", AE94*$G94/$F94*1000, AH94="Ten-Fold", AG94*$G94/$F94*1000*10, AH94&lt;0, AG94*$G94/$F94*1000*10, AH94&lt;120, AE94*$G94/$F94*1000, AH94&gt;120, AG94*$G94/$F94*1000*10)</f>
        <v>1203.9549807284741</v>
      </c>
      <c r="AJ94" s="121">
        <f t="shared" si="25"/>
        <v>1257.7391614305211</v>
      </c>
      <c r="AK94" s="121">
        <f t="shared" si="26"/>
        <v>76.06231778996036</v>
      </c>
      <c r="AL94" s="121">
        <f t="shared" si="27"/>
        <v>53.784180702047138</v>
      </c>
      <c r="AM94" s="125" cm="1">
        <f t="array" ref="AM94">_xlfn.IFS(AJ94="DELETE", "DELETE", AJ94=0, 0, AJ94&gt;0,LOG10(AJ94))</f>
        <v>3.0995905834804347</v>
      </c>
      <c r="AN94" s="126" cm="1">
        <f t="array" ref="AN94">_xlfn.IFS(AJ94="DELETE", "DELETE", AJ94=0, 0, AJ94&gt;0, AL94/AJ94/LN(10))</f>
        <v>1.8571555700006535E-2</v>
      </c>
      <c r="AO94" s="155">
        <f>qPCR_Raw!AA94</f>
        <v>30.484640121459961</v>
      </c>
      <c r="AP94" s="156" cm="1">
        <f t="array" ref="AP94">_xlfn.IFS(AO94="Undetermined", 0, qPCR_Raw!AB94&lt;=6, 0, qPCR_Raw!AB94&gt;6, qPCR_Raw!AB94)</f>
        <v>0</v>
      </c>
      <c r="AQ94" s="157" t="str">
        <f>qPCR_Raw!AD94</f>
        <v>Undetermined</v>
      </c>
      <c r="AR94" s="156" cm="1">
        <f t="array" ref="AR94">_xlfn.IFS(AQ94="Undetermined", 0, qPCR_Raw!AE94&lt;=6, 0, qPCR_Raw!AE94&gt;6, qPCR_Raw!AE94)</f>
        <v>0</v>
      </c>
      <c r="AS94" s="158" t="str" cm="1">
        <f t="array" ref="AS94">_xlfn.IFS(AND(AO94="Undetermined", AQ94="Undetermined"), "Undetermined", AND(AP94=0, AR94=0), "Undetermined", AND(AP94=0, AR94&gt;0), "Ten-Fold", AND(AP94&gt;0, AR94=0), "Undiluted", AND(AO94&lt;&gt;"Undetermined", AQ94&lt;&gt;"Undetermined", AP94&gt;0, AR94&gt;0, AO94&lt;&gt;AQ94), 100*(-1+10^(-1/(AO94-AQ94))), AND(AO94&lt;&gt;"Undetermined", AQ94&lt;&gt;"Undetermined", AO94=AQ94&gt;0), -100)</f>
        <v>Undetermined</v>
      </c>
      <c r="AT94" s="159" cm="1">
        <f t="array" ref="AT94">_xlfn.IFS(AS94="Undetermined", 0, AS94="Undiluted", AP94*$G94/$F94*1000, AS94="Ten-Fold", AR94*$G94/$F94*1000*10, AS94&lt;0, AR94*$G94/$F94*1000*10, AS94&lt;120, AP94*$G94/$F94*1000, AS94&gt;120, AR94*$G94/$F94*1000*10)</f>
        <v>0</v>
      </c>
      <c r="AU94" s="156">
        <f t="shared" si="34"/>
        <v>0</v>
      </c>
      <c r="AV94" s="156">
        <f t="shared" si="35"/>
        <v>0</v>
      </c>
      <c r="AW94" s="156">
        <f t="shared" si="36"/>
        <v>0</v>
      </c>
      <c r="AX94" s="160" cm="1">
        <f t="array" ref="AX94">_xlfn.IFS(AU94="DELETE", "DELETE", AU94=0, 0, AU94&gt;0,LOG10(AU94))</f>
        <v>0</v>
      </c>
      <c r="AY94" s="161" cm="1">
        <f t="array" ref="AY94">_xlfn.IFS(AU94="DELETE", "DELETE", AU94=0, 0, AU94&gt;0, AW94/AU94/LN(10))</f>
        <v>0</v>
      </c>
      <c r="AZ94" s="120" t="str">
        <f>qPCR_Raw!AG94</f>
        <v>Undetermined</v>
      </c>
      <c r="BA94" s="121" cm="1">
        <f t="array" ref="BA94">_xlfn.IFS(AZ94="Undetermined", 0, qPCR_Raw!AH94&lt;=1, 0, qPCR_Raw!AH94&gt;1, qPCR_Raw!AH94)</f>
        <v>0</v>
      </c>
      <c r="BB94" s="122" t="str">
        <f>qPCR_Raw!AJ94</f>
        <v>Undetermined</v>
      </c>
      <c r="BC94" s="121" cm="1">
        <f t="array" ref="BC94">_xlfn.IFS(BB94="Undetermined", 0, qPCR_Raw!AK94&lt;=1, 0, qPCR_Raw!AK94&gt;1, qPCR_Raw!AK94)</f>
        <v>0</v>
      </c>
      <c r="BD94" s="123" t="str" cm="1">
        <f t="array" ref="BD94">_xlfn.IFS(AND(AZ94="Undetermined", BB94="Undetermined"), "Undetermined", AND(BA94=0, BC94=0), "Undetermined", AND(BA94=0, BC94&gt;0), "Ten-Fold", AND(BA94&gt;0, BC94=0), "Undiluted", AND(AZ94&lt;&gt;"Undetermined", BB94&lt;&gt;"Undetermined", BA94&gt;0, BC94&gt;0, AZ94&lt;&gt;BB94), 100*(-1+10^(-1/(AZ94-BB94))), AND(AZ94&lt;&gt;"Undetermined", BB94&lt;&gt;"Undetermined", AZ94=BB94&gt;0), -100)</f>
        <v>Undetermined</v>
      </c>
      <c r="BE94" s="124" cm="1">
        <f t="array" ref="BE94">_xlfn.IFS(BD94="Undetermined", 0, BD94="Undiluted", BA94*$G94/$F94*1000, BD94="Ten-Fold", BC94*$G94/$F94*1000*10, BD94&lt;0, BC94*$G94/$F94*1000*10, BD94&lt;120, BA94*$G94/$F94*1000, BD94&gt;120, BC94*$G94/$F94*1000*10)</f>
        <v>0</v>
      </c>
      <c r="BF94" s="121">
        <f t="shared" si="31"/>
        <v>142.99451112747192</v>
      </c>
      <c r="BG94" s="121">
        <f t="shared" si="32"/>
        <v>202.22477698138124</v>
      </c>
      <c r="BH94" s="121">
        <f t="shared" si="33"/>
        <v>142.9945111274719</v>
      </c>
      <c r="BI94" s="125" cm="1">
        <f t="array" ref="BI94">_xlfn.IFS(BF94="DELETE", "DELETE", BF94=0, 0, BF94&gt;0,LOG10(BF94))</f>
        <v>2.1553193673056121</v>
      </c>
      <c r="BJ94" s="126" cm="1">
        <f t="array" ref="BJ94">_xlfn.IFS(BF94="DELETE", "DELETE", BF94=0, 0, BF94&gt;0, BH94/BF94/LN(10))</f>
        <v>0.43429448190325171</v>
      </c>
    </row>
    <row r="95" spans="1:62" s="114" customFormat="1" x14ac:dyDescent="0.3">
      <c r="A95" s="115" t="str">
        <f>UPPER(LEFT(SUBSTITUTE(SUBSTITUTE(qPCR_Raw!A95,"-","")," ",""),2))&amp;RIGHT(SUBSTITUTE(SUBSTITUTE(qPCR_Raw!A95,"-","")," ",""),LEN(SUBSTITUTE(SUBSTITUTE(qPCR_Raw!A95,"-","")," ",""))-2)</f>
        <v>EP7</v>
      </c>
      <c r="B95" s="116" t="str" cm="1">
        <f t="array" ref="B95">_xlfn.IFS(LEFT(A95, LEN(A95)-1)="EP", "EP", LEFT(A95, LEN(A95)-1)="STa", "SPI", LEFT(A95, LEN(A95)-1)="STb", "SPO", LEFT(A95, LEN(A95)-1)="MRT", "MRT", LEFT(A95, LEN(A95)-1)="RG", "RN", LEFT(A95, LEN(A95)-1)="RT", "RU", LEFT(A95, LEN(A95)-1)="RW", "RL", LEFT(A95, LEN(A95)-1)="RC", "RS")</f>
        <v>EP</v>
      </c>
      <c r="C95" s="117">
        <f>qPCR_Raw!B95</f>
        <v>44377</v>
      </c>
      <c r="D95" s="117" t="str">
        <f t="shared" si="17"/>
        <v>EP44377</v>
      </c>
      <c r="E95" s="117" t="str">
        <f t="shared" si="18"/>
        <v>EP443777</v>
      </c>
      <c r="F95" s="118">
        <f>qPCR_Raw!C95</f>
        <v>1000</v>
      </c>
      <c r="G95" s="119">
        <f>qPCR_Raw!F95</f>
        <v>100</v>
      </c>
      <c r="H95" s="120">
        <f>qPCR_Raw!G95</f>
        <v>19.647445678710938</v>
      </c>
      <c r="I95" s="121" cm="1">
        <f t="array" ref="I95">_xlfn.IFS(H95="Undetermined", 0, qPCR_Raw!H95-qPCR_Raw!$H$242&lt;0, 0, qPCR_Raw!H95-qPCR_Raw!$H$242&gt;0, qPCR_Raw!H95-qPCR_Raw!$H$242)</f>
        <v>107169.26769612631</v>
      </c>
      <c r="J95" s="122">
        <f>qPCR_Raw!K95</f>
        <v>22.496660232543945</v>
      </c>
      <c r="K95" s="121" cm="1">
        <f t="array" ref="K95">_xlfn.IFS(J95="Undetermined", 0, qPCR_Raw!L95-qPCR_Raw!$H$242&lt;0, 0, qPCR_Raw!L95-qPCR_Raw!$H$242&gt;0, qPCR_Raw!L95-qPCR_Raw!$H$242)</f>
        <v>4684.3516805013023</v>
      </c>
      <c r="L95" s="123" cm="1">
        <f t="array" ref="L95">_xlfn.IFS(AND(H95="Undetermined", J95="Undetermined"), "Undetermined", AND(I95=0, K95=0), "Undetermined", AND(I95=0, K95&gt;0), "Ten-Fold", AND(I95&gt;0, K95=0), "Undiluted", AND(H95&lt;&gt;"Undetermined", J95&lt;&gt;"Undetermined", I95&gt;0, K95&gt;0), 100*(-1+10^(-1/(H95-J95))))</f>
        <v>124.37471779391399</v>
      </c>
      <c r="M95" s="124" cm="1">
        <f t="array" ref="M95">_xlfn.IFS(L95="Undetermined", 0, L95="Undiluted", I95*$G95/$F95*1000, L95="Ten-Fold", K95*$G95/$F95*1000*10, L95&lt;0, K95*$G95/$F95*1000*10, L95&lt;120, I95*$G95/$F95*1000, L95&gt;120, K95*$G95/$F95*1000*10)</f>
        <v>4684351.6805013027</v>
      </c>
      <c r="N95" s="121" t="str">
        <f t="shared" si="19"/>
        <v>DELETE</v>
      </c>
      <c r="O95" s="121" t="str">
        <f t="shared" si="20"/>
        <v>DELETE</v>
      </c>
      <c r="P95" s="121" t="str">
        <f t="shared" si="21"/>
        <v>DELETE</v>
      </c>
      <c r="Q95" s="125" t="str" cm="1">
        <f t="array" ref="Q95">_xlfn.IFS(N95="DELETE", "DELETE", N95=0, 0, N95&gt;0,LOG10(N95))</f>
        <v>DELETE</v>
      </c>
      <c r="R95" s="126" t="str" cm="1">
        <f t="array" ref="R95">_xlfn.IFS(N95="DELETE", "DELETE", N95=0, 0, N95&gt;0, P95/N95/LN(10))</f>
        <v>DELETE</v>
      </c>
      <c r="S95" s="155">
        <f>qPCR_Raw!O95</f>
        <v>36.441604614257813</v>
      </c>
      <c r="T95" s="156" cm="1">
        <f t="array" ref="T95">_xlfn.IFS(S95="Undetermined", 0, qPCR_Raw!P95&lt;=1, 0, qPCR_Raw!P95&gt;1, qPCR_Raw!P95)</f>
        <v>2.7766034603118896</v>
      </c>
      <c r="U95" s="157" t="str">
        <f>qPCR_Raw!R95</f>
        <v>Undetermined</v>
      </c>
      <c r="V95" s="156" cm="1">
        <f t="array" ref="V95">_xlfn.IFS(U95="Undetermined", 0, qPCR_Raw!S95&lt;=1, 0, qPCR_Raw!S95&gt;1, qPCR_Raw!S95)</f>
        <v>0</v>
      </c>
      <c r="W95" s="158" t="str" cm="1">
        <f t="array" ref="W95">_xlfn.IFS(AND(S95="Undetermined", U95="Undetermined"), "Undetermined", AND(T95=0, V95=0), "Undetermined", AND(T95=0, V95&gt;0), "Ten-Fold", AND(T95&gt;0, V95=0), "Undiluted", AND(S95&lt;&gt;"Undetermined", U95&lt;&gt;"Undetermined", T95&gt;0, V95&gt;0, S95&lt;&gt;U95), 100*(-1+10^(-1/(S95-U95))), AND(S95&lt;&gt;"Undetermined", U95&lt;&gt;"Undetermined", S95=U95&gt;0), -100)</f>
        <v>Undiluted</v>
      </c>
      <c r="X95" s="159" cm="1">
        <f t="array" ref="X95">_xlfn.IFS(W95="Undetermined", 0, W95="Undiluted", T95*$G95/$F95*1000, W95="Ten-Fold", V95*$G95/$F95*1000*10, W95&lt;0, V95*$G95/$F95*1000*10, W95&lt;120, T95*$G95/$F95*1000, W95&gt;120, V95*$G95/$F95*1000*10)</f>
        <v>277.66034603118896</v>
      </c>
      <c r="Y95" s="156" t="str">
        <f t="shared" si="22"/>
        <v>DELETE</v>
      </c>
      <c r="Z95" s="156" t="str">
        <f t="shared" si="23"/>
        <v>DELETE</v>
      </c>
      <c r="AA95" s="156" t="str">
        <f t="shared" si="24"/>
        <v>DELETE</v>
      </c>
      <c r="AB95" s="160" t="str" cm="1">
        <f t="array" ref="AB95">_xlfn.IFS(Y95="DELETE", "DELETE", Y95=0, 0, Y95&gt;0,LOG10(Y95))</f>
        <v>DELETE</v>
      </c>
      <c r="AC95" s="161" t="str" cm="1">
        <f t="array" ref="AC95">_xlfn.IFS(Y95="DELETE", "DELETE", Y95=0, 0, Y95&gt;0, AA95/Y95/LN(10))</f>
        <v>DELETE</v>
      </c>
      <c r="AD95" s="120">
        <f>qPCR_Raw!U95</f>
        <v>30.243192672729492</v>
      </c>
      <c r="AE95" s="121" cm="1">
        <f t="array" ref="AE95">_xlfn.IFS(AD95="Undetermined", 0, qPCR_Raw!V95&lt;=1, 0, qPCR_Raw!V95&gt;1, qPCR_Raw!V95)</f>
        <v>13.115233421325684</v>
      </c>
      <c r="AF95" s="122">
        <f>qPCR_Raw!X95</f>
        <v>33.521812438964844</v>
      </c>
      <c r="AG95" s="121" cm="1">
        <f t="array" ref="AG95">_xlfn.IFS(AF95="Undetermined", 0, qPCR_Raw!Y95&lt;=1, 0, qPCR_Raw!Y95&gt;1, qPCR_Raw!Y95)</f>
        <v>1.4536746740341187</v>
      </c>
      <c r="AH95" s="123" cm="1">
        <f t="array" ref="AH95">_xlfn.IFS(AND(AD95="Undetermined", AF95="Undetermined"), "Undetermined", AND(AE95=0, AG95=0), "Undetermined", AND(AE95=0, AG95&gt;0), "Ten-Fold", AND(AE95&gt;0, AG95=0), "Undiluted", AND(AD95&lt;&gt;"Undetermined", AF95&lt;&gt;"Undetermined", AE95&gt;0, AG95&gt;0, AD95&lt;&gt;AF95), 100*(-1+10^(-1/(AD95-AF95))), AND(AD95&lt;&gt;"Undetermined", AF95&lt;&gt;"Undetermined", AD95=AF95&gt;0), -100)</f>
        <v>101.83960908230456</v>
      </c>
      <c r="AI95" s="124" cm="1">
        <f t="array" ref="AI95">_xlfn.IFS(AH95="Undetermined", 0, AH95="Undiluted", AE95*$G95/$F95*1000, AH95="Ten-Fold", AG95*$G95/$F95*1000*10, AH95&lt;0, AG95*$G95/$F95*1000*10, AH95&lt;120, AE95*$G95/$F95*1000, AH95&gt;120, AG95*$G95/$F95*1000*10)</f>
        <v>1311.5233421325684</v>
      </c>
      <c r="AJ95" s="121" t="str">
        <f t="shared" si="25"/>
        <v>DELETE</v>
      </c>
      <c r="AK95" s="121" t="str">
        <f t="shared" si="26"/>
        <v>DELETE</v>
      </c>
      <c r="AL95" s="121" t="str">
        <f t="shared" si="27"/>
        <v>DELETE</v>
      </c>
      <c r="AM95" s="125" t="str" cm="1">
        <f t="array" ref="AM95">_xlfn.IFS(AJ95="DELETE", "DELETE", AJ95=0, 0, AJ95&gt;0,LOG10(AJ95))</f>
        <v>DELETE</v>
      </c>
      <c r="AN95" s="126" t="str" cm="1">
        <f t="array" ref="AN95">_xlfn.IFS(AJ95="DELETE", "DELETE", AJ95=0, 0, AJ95&gt;0, AL95/AJ95/LN(10))</f>
        <v>DELETE</v>
      </c>
      <c r="AO95" s="155">
        <f>qPCR_Raw!AA95</f>
        <v>30.866870880126953</v>
      </c>
      <c r="AP95" s="156" cm="1">
        <f t="array" ref="AP95">_xlfn.IFS(AO95="Undetermined", 0, qPCR_Raw!AB95&lt;=6, 0, qPCR_Raw!AB95&gt;6, qPCR_Raw!AB95)</f>
        <v>0</v>
      </c>
      <c r="AQ95" s="157">
        <f>qPCR_Raw!AD95</f>
        <v>32.271266937255859</v>
      </c>
      <c r="AR95" s="156" cm="1">
        <f t="array" ref="AR95">_xlfn.IFS(AQ95="Undetermined", 0, qPCR_Raw!AE95&lt;=6, 0, qPCR_Raw!AE95&gt;6, qPCR_Raw!AE95)</f>
        <v>0</v>
      </c>
      <c r="AS95" s="158" t="str" cm="1">
        <f t="array" ref="AS95">_xlfn.IFS(AND(AO95="Undetermined", AQ95="Undetermined"), "Undetermined", AND(AP95=0, AR95=0), "Undetermined", AND(AP95=0, AR95&gt;0), "Ten-Fold", AND(AP95&gt;0, AR95=0), "Undiluted", AND(AO95&lt;&gt;"Undetermined", AQ95&lt;&gt;"Undetermined", AP95&gt;0, AR95&gt;0, AO95&lt;&gt;AQ95), 100*(-1+10^(-1/(AO95-AQ95))), AND(AO95&lt;&gt;"Undetermined", AQ95&lt;&gt;"Undetermined", AO95=AQ95&gt;0), -100)</f>
        <v>Undetermined</v>
      </c>
      <c r="AT95" s="159" cm="1">
        <f t="array" ref="AT95">_xlfn.IFS(AS95="Undetermined", 0, AS95="Undiluted", AP95*$G95/$F95*1000, AS95="Ten-Fold", AR95*$G95/$F95*1000*10, AS95&lt;0, AR95*$G95/$F95*1000*10, AS95&lt;120, AP95*$G95/$F95*1000, AS95&gt;120, AR95*$G95/$F95*1000*10)</f>
        <v>0</v>
      </c>
      <c r="AU95" s="156" t="str">
        <f t="shared" si="34"/>
        <v>DELETE</v>
      </c>
      <c r="AV95" s="156" t="str">
        <f t="shared" si="35"/>
        <v>DELETE</v>
      </c>
      <c r="AW95" s="156" t="str">
        <f t="shared" si="36"/>
        <v>DELETE</v>
      </c>
      <c r="AX95" s="160" t="str" cm="1">
        <f t="array" ref="AX95">_xlfn.IFS(AU95="DELETE", "DELETE", AU95=0, 0, AU95&gt;0,LOG10(AU95))</f>
        <v>DELETE</v>
      </c>
      <c r="AY95" s="161" t="str" cm="1">
        <f t="array" ref="AY95">_xlfn.IFS(AU95="DELETE", "DELETE", AU95=0, 0, AU95&gt;0, AW95/AU95/LN(10))</f>
        <v>DELETE</v>
      </c>
      <c r="AZ95" s="120">
        <f>qPCR_Raw!AG95</f>
        <v>35.790481567382813</v>
      </c>
      <c r="BA95" s="121" cm="1">
        <f t="array" ref="BA95">_xlfn.IFS(AZ95="Undetermined", 0, qPCR_Raw!AH95&lt;=1, 0, qPCR_Raw!AH95&gt;1, qPCR_Raw!AH95)</f>
        <v>2.8598902225494385</v>
      </c>
      <c r="BB95" s="122" t="str">
        <f>qPCR_Raw!AJ95</f>
        <v>Undetermined</v>
      </c>
      <c r="BC95" s="121" cm="1">
        <f t="array" ref="BC95">_xlfn.IFS(BB95="Undetermined", 0, qPCR_Raw!AK95&lt;=1, 0, qPCR_Raw!AK95&gt;1, qPCR_Raw!AK95)</f>
        <v>0</v>
      </c>
      <c r="BD95" s="123" t="str" cm="1">
        <f t="array" ref="BD95">_xlfn.IFS(AND(AZ95="Undetermined", BB95="Undetermined"), "Undetermined", AND(BA95=0, BC95=0), "Undetermined", AND(BA95=0, BC95&gt;0), "Ten-Fold", AND(BA95&gt;0, BC95=0), "Undiluted", AND(AZ95&lt;&gt;"Undetermined", BB95&lt;&gt;"Undetermined", BA95&gt;0, BC95&gt;0, AZ95&lt;&gt;BB95), 100*(-1+10^(-1/(AZ95-BB95))), AND(AZ95&lt;&gt;"Undetermined", BB95&lt;&gt;"Undetermined", AZ95=BB95&gt;0), -100)</f>
        <v>Undiluted</v>
      </c>
      <c r="BE95" s="124" cm="1">
        <f t="array" ref="BE95">_xlfn.IFS(BD95="Undetermined", 0, BD95="Undiluted", BA95*$G95/$F95*1000, BD95="Ten-Fold", BC95*$G95/$F95*1000*10, BD95&lt;0, BC95*$G95/$F95*1000*10, BD95&lt;120, BA95*$G95/$F95*1000, BD95&gt;120, BC95*$G95/$F95*1000*10)</f>
        <v>285.98902225494385</v>
      </c>
      <c r="BF95" s="121" t="str">
        <f t="shared" si="31"/>
        <v>DELETE</v>
      </c>
      <c r="BG95" s="121" t="str">
        <f t="shared" si="32"/>
        <v>DELETE</v>
      </c>
      <c r="BH95" s="121" t="str">
        <f t="shared" si="33"/>
        <v>DELETE</v>
      </c>
      <c r="BI95" s="125" t="str" cm="1">
        <f t="array" ref="BI95">_xlfn.IFS(BF95="DELETE", "DELETE", BF95=0, 0, BF95&gt;0,LOG10(BF95))</f>
        <v>DELETE</v>
      </c>
      <c r="BJ95" s="126" t="str" cm="1">
        <f t="array" ref="BJ95">_xlfn.IFS(BF95="DELETE", "DELETE", BF95=0, 0, BF95&gt;0, BH95/BF95/LN(10))</f>
        <v>DELETE</v>
      </c>
    </row>
    <row r="96" spans="1:62" s="114" customFormat="1" x14ac:dyDescent="0.3">
      <c r="A96" s="115" t="str">
        <f>UPPER(LEFT(SUBSTITUTE(SUBSTITUTE(qPCR_Raw!A96,"-","")," ",""),2))&amp;RIGHT(SUBSTITUTE(SUBSTITUTE(qPCR_Raw!A96,"-","")," ",""),LEN(SUBSTITUTE(SUBSTITUTE(qPCR_Raw!A96,"-","")," ",""))-2)</f>
        <v>MRT6</v>
      </c>
      <c r="B96" s="116" t="str" cm="1">
        <f t="array" ref="B96">_xlfn.IFS(LEFT(A96, LEN(A96)-1)="EP", "EP", LEFT(A96, LEN(A96)-1)="STa", "SPI", LEFT(A96, LEN(A96)-1)="STb", "SPO", LEFT(A96, LEN(A96)-1)="MRT", "MRT", LEFT(A96, LEN(A96)-1)="RG", "RN", LEFT(A96, LEN(A96)-1)="RT", "RU", LEFT(A96, LEN(A96)-1)="RW", "RL", LEFT(A96, LEN(A96)-1)="RC", "RS")</f>
        <v>MRT</v>
      </c>
      <c r="C96" s="117">
        <f>qPCR_Raw!B96</f>
        <v>44377</v>
      </c>
      <c r="D96" s="117" t="str">
        <f t="shared" si="17"/>
        <v>MRT44377</v>
      </c>
      <c r="E96" s="117" t="str">
        <f t="shared" si="18"/>
        <v>MRT443776</v>
      </c>
      <c r="F96" s="118">
        <f>qPCR_Raw!C96</f>
        <v>900</v>
      </c>
      <c r="G96" s="119">
        <f>qPCR_Raw!F96</f>
        <v>100</v>
      </c>
      <c r="H96" s="120">
        <f>qPCR_Raw!G96</f>
        <v>20.821691513061523</v>
      </c>
      <c r="I96" s="121" cm="1">
        <f t="array" ref="I96">_xlfn.IFS(H96="Undetermined", 0, qPCR_Raw!H96-qPCR_Raw!$H$242&lt;0, 0, qPCR_Raw!H96-qPCR_Raw!$H$242&gt;0, qPCR_Raw!H96-qPCR_Raw!$H$242)</f>
        <v>50665.263789876306</v>
      </c>
      <c r="J96" s="122">
        <f>qPCR_Raw!K96</f>
        <v>23.382656097412109</v>
      </c>
      <c r="K96" s="121" cm="1">
        <f t="array" ref="K96">_xlfn.IFS(J96="Undetermined", 0, qPCR_Raw!L96-qPCR_Raw!$H$242&lt;0, 0, qPCR_Raw!L96-qPCR_Raw!$H$242&gt;0, qPCR_Raw!L96-qPCR_Raw!$H$242)</f>
        <v>0</v>
      </c>
      <c r="L96" s="123" t="str" cm="1">
        <f t="array" ref="L96">_xlfn.IFS(AND(H96="Undetermined", J96="Undetermined"), "Undetermined", AND(I96=0, K96=0), "Undetermined", AND(I96=0, K96&gt;0), "Ten-Fold", AND(I96&gt;0, K96=0), "Undiluted", AND(H96&lt;&gt;"Undetermined", J96&lt;&gt;"Undetermined", I96&gt;0, K96&gt;0), 100*(-1+10^(-1/(H96-J96))))</f>
        <v>Undiluted</v>
      </c>
      <c r="M96" s="124" cm="1">
        <f t="array" ref="M96">_xlfn.IFS(L96="Undetermined", 0, L96="Undiluted", I96*$G96/$F96*1000, L96="Ten-Fold", K96*$G96/$F96*1000*10, L96&lt;0, K96*$G96/$F96*1000*10, L96&lt;120, I96*$G96/$F96*1000, L96&gt;120, K96*$G96/$F96*1000*10)</f>
        <v>5629473.754430701</v>
      </c>
      <c r="N96" s="121">
        <f t="shared" si="19"/>
        <v>6165448.363805701</v>
      </c>
      <c r="O96" s="121">
        <f t="shared" si="20"/>
        <v>757982.56166574685</v>
      </c>
      <c r="P96" s="121">
        <f t="shared" si="21"/>
        <v>535974.609375</v>
      </c>
      <c r="Q96" s="125" cm="1">
        <f t="array" ref="Q96">_xlfn.IFS(N96="DELETE", "DELETE", N96=0, 0, N96&gt;0,LOG10(N96))</f>
        <v>6.7899646648484158</v>
      </c>
      <c r="R96" s="126" cm="1">
        <f t="array" ref="R96">_xlfn.IFS(N96="DELETE", "DELETE", N96=0, 0, N96&gt;0, P96/N96/LN(10))</f>
        <v>3.7754077490664874E-2</v>
      </c>
      <c r="S96" s="155">
        <f>qPCR_Raw!O96</f>
        <v>38.848655700683594</v>
      </c>
      <c r="T96" s="156" cm="1">
        <f t="array" ref="T96">_xlfn.IFS(S96="Undetermined", 0, qPCR_Raw!P96&lt;=1, 0, qPCR_Raw!P96&gt;1, qPCR_Raw!P96)</f>
        <v>4.829653263092041</v>
      </c>
      <c r="U96" s="157" t="str">
        <f>qPCR_Raw!R96</f>
        <v>Undetermined</v>
      </c>
      <c r="V96" s="156" cm="1">
        <f t="array" ref="V96">_xlfn.IFS(U96="Undetermined", 0, qPCR_Raw!S96&lt;=1, 0, qPCR_Raw!S96&gt;1, qPCR_Raw!S96)</f>
        <v>0</v>
      </c>
      <c r="W96" s="158" t="str" cm="1">
        <f t="array" ref="W96">_xlfn.IFS(AND(S96="Undetermined", U96="Undetermined"), "Undetermined", AND(T96=0, V96=0), "Undetermined", AND(T96=0, V96&gt;0), "Ten-Fold", AND(T96&gt;0, V96=0), "Undiluted", AND(S96&lt;&gt;"Undetermined", U96&lt;&gt;"Undetermined", T96&gt;0, V96&gt;0, S96&lt;&gt;U96), 100*(-1+10^(-1/(S96-U96))), AND(S96&lt;&gt;"Undetermined", U96&lt;&gt;"Undetermined", S96=U96&gt;0), -100)</f>
        <v>Undiluted</v>
      </c>
      <c r="X96" s="159" cm="1">
        <f t="array" ref="X96">_xlfn.IFS(W96="Undetermined", 0, W96="Undiluted", T96*$G96/$F96*1000, W96="Ten-Fold", V96*$G96/$F96*1000*10, W96&lt;0, V96*$G96/$F96*1000*10, W96&lt;120, T96*$G96/$F96*1000, W96&gt;120, V96*$G96/$F96*1000*10)</f>
        <v>536.62814034356006</v>
      </c>
      <c r="Y96" s="156">
        <f t="shared" si="22"/>
        <v>268.31407017178003</v>
      </c>
      <c r="Z96" s="156">
        <f t="shared" si="23"/>
        <v>379.45339701245763</v>
      </c>
      <c r="AA96" s="156">
        <f t="shared" si="24"/>
        <v>268.31407017178003</v>
      </c>
      <c r="AB96" s="160" cm="1">
        <f t="array" ref="AB96">_xlfn.IFS(Y96="DELETE", "DELETE", Y96=0, 0, Y96&gt;0,LOG10(Y96))</f>
        <v>2.4286434473187644</v>
      </c>
      <c r="AC96" s="161" cm="1">
        <f t="array" ref="AC96">_xlfn.IFS(Y96="DELETE", "DELETE", Y96=0, 0, Y96&gt;0, AA96/Y96/LN(10))</f>
        <v>0.43429448190325176</v>
      </c>
      <c r="AD96" s="120">
        <f>qPCR_Raw!U96</f>
        <v>37.102287292480469</v>
      </c>
      <c r="AE96" s="121" cm="1">
        <f t="array" ref="AE96">_xlfn.IFS(AD96="Undetermined", 0, qPCR_Raw!V96&lt;=1, 0, qPCR_Raw!V96&gt;1, qPCR_Raw!V96)</f>
        <v>0</v>
      </c>
      <c r="AF96" s="122" t="str">
        <f>qPCR_Raw!X96</f>
        <v>Undetermined</v>
      </c>
      <c r="AG96" s="121" cm="1">
        <f t="array" ref="AG96">_xlfn.IFS(AF96="Undetermined", 0, qPCR_Raw!Y96&lt;=1, 0, qPCR_Raw!Y96&gt;1, qPCR_Raw!Y96)</f>
        <v>0</v>
      </c>
      <c r="AH96" s="123" t="str" cm="1">
        <f t="array" ref="AH96">_xlfn.IFS(AND(AD96="Undetermined", AF96="Undetermined"), "Undetermined", AND(AE96=0, AG96=0), "Undetermined", AND(AE96=0, AG96&gt;0), "Ten-Fold", AND(AE96&gt;0, AG96=0), "Undiluted", AND(AD96&lt;&gt;"Undetermined", AF96&lt;&gt;"Undetermined", AE96&gt;0, AG96&gt;0, AD96&lt;&gt;AF96), 100*(-1+10^(-1/(AD96-AF96))), AND(AD96&lt;&gt;"Undetermined", AF96&lt;&gt;"Undetermined", AD96=AF96&gt;0), -100)</f>
        <v>Undetermined</v>
      </c>
      <c r="AI96" s="124" cm="1">
        <f t="array" ref="AI96">_xlfn.IFS(AH96="Undetermined", 0, AH96="Undiluted", AE96*$G96/$F96*1000, AH96="Ten-Fold", AG96*$G96/$F96*1000*10, AH96&lt;0, AG96*$G96/$F96*1000*10, AH96&lt;120, AE96*$G96/$F96*1000, AH96&gt;120, AG96*$G96/$F96*1000*10)</f>
        <v>0</v>
      </c>
      <c r="AJ96" s="121">
        <f t="shared" si="25"/>
        <v>0</v>
      </c>
      <c r="AK96" s="121">
        <f t="shared" si="26"/>
        <v>0</v>
      </c>
      <c r="AL96" s="121">
        <f t="shared" si="27"/>
        <v>0</v>
      </c>
      <c r="AM96" s="125" cm="1">
        <f t="array" ref="AM96">_xlfn.IFS(AJ96="DELETE", "DELETE", AJ96=0, 0, AJ96&gt;0,LOG10(AJ96))</f>
        <v>0</v>
      </c>
      <c r="AN96" s="126" cm="1">
        <f t="array" ref="AN96">_xlfn.IFS(AJ96="DELETE", "DELETE", AJ96=0, 0, AJ96&gt;0, AL96/AJ96/LN(10))</f>
        <v>0</v>
      </c>
      <c r="AO96" s="155">
        <f>qPCR_Raw!AA96</f>
        <v>30.733753204345703</v>
      </c>
      <c r="AP96" s="156" cm="1">
        <f t="array" ref="AP96">_xlfn.IFS(AO96="Undetermined", 0, qPCR_Raw!AB96&lt;=6, 0, qPCR_Raw!AB96&gt;6, qPCR_Raw!AB96)</f>
        <v>0</v>
      </c>
      <c r="AQ96" s="157" t="str">
        <f>qPCR_Raw!AD96</f>
        <v>Undetermined</v>
      </c>
      <c r="AR96" s="156" cm="1">
        <f t="array" ref="AR96">_xlfn.IFS(AQ96="Undetermined", 0, qPCR_Raw!AE96&lt;=6, 0, qPCR_Raw!AE96&gt;6, qPCR_Raw!AE96)</f>
        <v>0</v>
      </c>
      <c r="AS96" s="158" t="str" cm="1">
        <f t="array" ref="AS96">_xlfn.IFS(AND(AO96="Undetermined", AQ96="Undetermined"), "Undetermined", AND(AP96=0, AR96=0), "Undetermined", AND(AP96=0, AR96&gt;0), "Ten-Fold", AND(AP96&gt;0, AR96=0), "Undiluted", AND(AO96&lt;&gt;"Undetermined", AQ96&lt;&gt;"Undetermined", AP96&gt;0, AR96&gt;0, AO96&lt;&gt;AQ96), 100*(-1+10^(-1/(AO96-AQ96))), AND(AO96&lt;&gt;"Undetermined", AQ96&lt;&gt;"Undetermined", AO96=AQ96&gt;0), -100)</f>
        <v>Undetermined</v>
      </c>
      <c r="AT96" s="159" cm="1">
        <f t="array" ref="AT96">_xlfn.IFS(AS96="Undetermined", 0, AS96="Undiluted", AP96*$G96/$F96*1000, AS96="Ten-Fold", AR96*$G96/$F96*1000*10, AS96&lt;0, AR96*$G96/$F96*1000*10, AS96&lt;120, AP96*$G96/$F96*1000, AS96&gt;120, AR96*$G96/$F96*1000*10)</f>
        <v>0</v>
      </c>
      <c r="AU96" s="156">
        <f t="shared" si="34"/>
        <v>0</v>
      </c>
      <c r="AV96" s="156">
        <f t="shared" si="35"/>
        <v>0</v>
      </c>
      <c r="AW96" s="156">
        <f t="shared" si="36"/>
        <v>0</v>
      </c>
      <c r="AX96" s="160" cm="1">
        <f t="array" ref="AX96">_xlfn.IFS(AU96="DELETE", "DELETE", AU96=0, 0, AU96&gt;0,LOG10(AU96))</f>
        <v>0</v>
      </c>
      <c r="AY96" s="161" cm="1">
        <f t="array" ref="AY96">_xlfn.IFS(AU96="DELETE", "DELETE", AU96=0, 0, AU96&gt;0, AW96/AU96/LN(10))</f>
        <v>0</v>
      </c>
      <c r="AZ96" s="120" t="str">
        <f>qPCR_Raw!AG96</f>
        <v>Undetermined</v>
      </c>
      <c r="BA96" s="121" cm="1">
        <f t="array" ref="BA96">_xlfn.IFS(AZ96="Undetermined", 0, qPCR_Raw!AH96&lt;=1, 0, qPCR_Raw!AH96&gt;1, qPCR_Raw!AH96)</f>
        <v>0</v>
      </c>
      <c r="BB96" s="122" t="str">
        <f>qPCR_Raw!AJ96</f>
        <v>Undetermined</v>
      </c>
      <c r="BC96" s="121" cm="1">
        <f t="array" ref="BC96">_xlfn.IFS(BB96="Undetermined", 0, qPCR_Raw!AK96&lt;=1, 0, qPCR_Raw!AK96&gt;1, qPCR_Raw!AK96)</f>
        <v>0</v>
      </c>
      <c r="BD96" s="123" t="str" cm="1">
        <f t="array" ref="BD96">_xlfn.IFS(AND(AZ96="Undetermined", BB96="Undetermined"), "Undetermined", AND(BA96=0, BC96=0), "Undetermined", AND(BA96=0, BC96&gt;0), "Ten-Fold", AND(BA96&gt;0, BC96=0), "Undiluted", AND(AZ96&lt;&gt;"Undetermined", BB96&lt;&gt;"Undetermined", BA96&gt;0, BC96&gt;0, AZ96&lt;&gt;BB96), 100*(-1+10^(-1/(AZ96-BB96))), AND(AZ96&lt;&gt;"Undetermined", BB96&lt;&gt;"Undetermined", AZ96=BB96&gt;0), -100)</f>
        <v>Undetermined</v>
      </c>
      <c r="BE96" s="124" cm="1">
        <f t="array" ref="BE96">_xlfn.IFS(BD96="Undetermined", 0, BD96="Undiluted", BA96*$G96/$F96*1000, BD96="Ten-Fold", BC96*$G96/$F96*1000*10, BD96&lt;0, BC96*$G96/$F96*1000*10, BD96&lt;120, BA96*$G96/$F96*1000, BD96&gt;120, BC96*$G96/$F96*1000*10)</f>
        <v>0</v>
      </c>
      <c r="BF96" s="121">
        <f t="shared" si="31"/>
        <v>322.4329948425293</v>
      </c>
      <c r="BG96" s="121">
        <f t="shared" si="32"/>
        <v>455.98911426287913</v>
      </c>
      <c r="BH96" s="121">
        <f t="shared" si="33"/>
        <v>322.43299484252924</v>
      </c>
      <c r="BI96" s="125" cm="1">
        <f t="array" ref="BI96">_xlfn.IFS(BF96="DELETE", "DELETE", BF96=0, 0, BF96&gt;0,LOG10(BF96))</f>
        <v>2.5084394771307048</v>
      </c>
      <c r="BJ96" s="126" cm="1">
        <f t="array" ref="BJ96">_xlfn.IFS(BF96="DELETE", "DELETE", BF96=0, 0, BF96&gt;0, BH96/BF96/LN(10))</f>
        <v>0.43429448190325171</v>
      </c>
    </row>
    <row r="97" spans="1:62" s="114" customFormat="1" x14ac:dyDescent="0.3">
      <c r="A97" s="115" t="str">
        <f>UPPER(LEFT(SUBSTITUTE(SUBSTITUTE(qPCR_Raw!A97,"-","")," ",""),2))&amp;RIGHT(SUBSTITUTE(SUBSTITUTE(qPCR_Raw!A97,"-","")," ",""),LEN(SUBSTITUTE(SUBSTITUTE(qPCR_Raw!A97,"-","")," ",""))-2)</f>
        <v>MRT7</v>
      </c>
      <c r="B97" s="116" t="str" cm="1">
        <f t="array" ref="B97">_xlfn.IFS(LEFT(A97, LEN(A97)-1)="EP", "EP", LEFT(A97, LEN(A97)-1)="STa", "SPI", LEFT(A97, LEN(A97)-1)="STb", "SPO", LEFT(A97, LEN(A97)-1)="MRT", "MRT", LEFT(A97, LEN(A97)-1)="RG", "RN", LEFT(A97, LEN(A97)-1)="RT", "RU", LEFT(A97, LEN(A97)-1)="RW", "RL", LEFT(A97, LEN(A97)-1)="RC", "RS")</f>
        <v>MRT</v>
      </c>
      <c r="C97" s="117">
        <f>qPCR_Raw!B97</f>
        <v>44377</v>
      </c>
      <c r="D97" s="117" t="str">
        <f t="shared" si="17"/>
        <v>MRT44377</v>
      </c>
      <c r="E97" s="117" t="str">
        <f t="shared" si="18"/>
        <v>MRT443777</v>
      </c>
      <c r="F97" s="118">
        <f>qPCR_Raw!C97</f>
        <v>900</v>
      </c>
      <c r="G97" s="119">
        <f>qPCR_Raw!F97</f>
        <v>100</v>
      </c>
      <c r="H97" s="120">
        <f>qPCR_Raw!G97</f>
        <v>20.605155944824219</v>
      </c>
      <c r="I97" s="121" cm="1">
        <f t="array" ref="I97">_xlfn.IFS(H97="Undetermined", 0, qPCR_Raw!H97-qPCR_Raw!$H$242&lt;0, 0, qPCR_Raw!H97-qPCR_Raw!$H$242&gt;0, qPCR_Raw!H97-qPCR_Raw!$H$242)</f>
        <v>60312.806758626306</v>
      </c>
      <c r="J97" s="122">
        <f>qPCR_Raw!K97</f>
        <v>23.299659729003906</v>
      </c>
      <c r="K97" s="121" cm="1">
        <f t="array" ref="K97">_xlfn.IFS(J97="Undetermined", 0, qPCR_Raw!L97-qPCR_Raw!$H$242&lt;0, 0, qPCR_Raw!L97-qPCR_Raw!$H$242&gt;0, qPCR_Raw!L97-qPCR_Raw!$H$242)</f>
        <v>0</v>
      </c>
      <c r="L97" s="123" t="str" cm="1">
        <f t="array" ref="L97">_xlfn.IFS(AND(H97="Undetermined", J97="Undetermined"), "Undetermined", AND(I97=0, K97=0), "Undetermined", AND(I97=0, K97&gt;0), "Ten-Fold", AND(I97&gt;0, K97=0), "Undiluted", AND(H97&lt;&gt;"Undetermined", J97&lt;&gt;"Undetermined", I97&gt;0, K97&gt;0), 100*(-1+10^(-1/(H97-J97))))</f>
        <v>Undiluted</v>
      </c>
      <c r="M97" s="124" cm="1">
        <f t="array" ref="M97">_xlfn.IFS(L97="Undetermined", 0, L97="Undiluted", I97*$G97/$F97*1000, L97="Ten-Fold", K97*$G97/$F97*1000*10, L97&lt;0, K97*$G97/$F97*1000*10, L97&lt;120, I97*$G97/$F97*1000, L97&gt;120, K97*$G97/$F97*1000*10)</f>
        <v>6701422.973180701</v>
      </c>
      <c r="N97" s="121" t="str">
        <f t="shared" si="19"/>
        <v>DELETE</v>
      </c>
      <c r="O97" s="121" t="str">
        <f t="shared" si="20"/>
        <v>DELETE</v>
      </c>
      <c r="P97" s="121" t="str">
        <f t="shared" si="21"/>
        <v>DELETE</v>
      </c>
      <c r="Q97" s="125" t="str" cm="1">
        <f t="array" ref="Q97">_xlfn.IFS(N97="DELETE", "DELETE", N97=0, 0, N97&gt;0,LOG10(N97))</f>
        <v>DELETE</v>
      </c>
      <c r="R97" s="126" t="str" cm="1">
        <f t="array" ref="R97">_xlfn.IFS(N97="DELETE", "DELETE", N97=0, 0, N97&gt;0, P97/N97/LN(10))</f>
        <v>DELETE</v>
      </c>
      <c r="S97" s="155" t="str">
        <f>qPCR_Raw!O97</f>
        <v>Undetermined</v>
      </c>
      <c r="T97" s="156" cm="1">
        <f t="array" ref="T97">_xlfn.IFS(S97="Undetermined", 0, qPCR_Raw!P97&lt;=1, 0, qPCR_Raw!P97&gt;1, qPCR_Raw!P97)</f>
        <v>0</v>
      </c>
      <c r="U97" s="157" t="str">
        <f>qPCR_Raw!R97</f>
        <v>Undetermined</v>
      </c>
      <c r="V97" s="156" cm="1">
        <f t="array" ref="V97">_xlfn.IFS(U97="Undetermined", 0, qPCR_Raw!S97&lt;=1, 0, qPCR_Raw!S97&gt;1, qPCR_Raw!S97)</f>
        <v>0</v>
      </c>
      <c r="W97" s="158" t="str" cm="1">
        <f t="array" ref="W97">_xlfn.IFS(AND(S97="Undetermined", U97="Undetermined"), "Undetermined", AND(T97=0, V97=0), "Undetermined", AND(T97=0, V97&gt;0), "Ten-Fold", AND(T97&gt;0, V97=0), "Undiluted", AND(S97&lt;&gt;"Undetermined", U97&lt;&gt;"Undetermined", T97&gt;0, V97&gt;0, S97&lt;&gt;U97), 100*(-1+10^(-1/(S97-U97))), AND(S97&lt;&gt;"Undetermined", U97&lt;&gt;"Undetermined", S97=U97&gt;0), -100)</f>
        <v>Undetermined</v>
      </c>
      <c r="X97" s="159" cm="1">
        <f t="array" ref="X97">_xlfn.IFS(W97="Undetermined", 0, W97="Undiluted", T97*$G97/$F97*1000, W97="Ten-Fold", V97*$G97/$F97*1000*10, W97&lt;0, V97*$G97/$F97*1000*10, W97&lt;120, T97*$G97/$F97*1000, W97&gt;120, V97*$G97/$F97*1000*10)</f>
        <v>0</v>
      </c>
      <c r="Y97" s="156" t="str">
        <f t="shared" si="22"/>
        <v>DELETE</v>
      </c>
      <c r="Z97" s="156" t="str">
        <f t="shared" si="23"/>
        <v>DELETE</v>
      </c>
      <c r="AA97" s="156" t="str">
        <f t="shared" si="24"/>
        <v>DELETE</v>
      </c>
      <c r="AB97" s="160" t="str" cm="1">
        <f t="array" ref="AB97">_xlfn.IFS(Y97="DELETE", "DELETE", Y97=0, 0, Y97&gt;0,LOG10(Y97))</f>
        <v>DELETE</v>
      </c>
      <c r="AC97" s="161" t="str" cm="1">
        <f t="array" ref="AC97">_xlfn.IFS(Y97="DELETE", "DELETE", Y97=0, 0, Y97&gt;0, AA97/Y97/LN(10))</f>
        <v>DELETE</v>
      </c>
      <c r="AD97" s="120">
        <f>qPCR_Raw!U97</f>
        <v>36.306987762451172</v>
      </c>
      <c r="AE97" s="121" cm="1">
        <f t="array" ref="AE97">_xlfn.IFS(AD97="Undetermined", 0, qPCR_Raw!V97&lt;=1, 0, qPCR_Raw!V97&gt;1, qPCR_Raw!V97)</f>
        <v>0</v>
      </c>
      <c r="AF97" s="122" t="str">
        <f>qPCR_Raw!X97</f>
        <v>Undetermined</v>
      </c>
      <c r="AG97" s="121" cm="1">
        <f t="array" ref="AG97">_xlfn.IFS(AF97="Undetermined", 0, qPCR_Raw!Y97&lt;=1, 0, qPCR_Raw!Y97&gt;1, qPCR_Raw!Y97)</f>
        <v>0</v>
      </c>
      <c r="AH97" s="123" t="str" cm="1">
        <f t="array" ref="AH97">_xlfn.IFS(AND(AD97="Undetermined", AF97="Undetermined"), "Undetermined", AND(AE97=0, AG97=0), "Undetermined", AND(AE97=0, AG97&gt;0), "Ten-Fold", AND(AE97&gt;0, AG97=0), "Undiluted", AND(AD97&lt;&gt;"Undetermined", AF97&lt;&gt;"Undetermined", AE97&gt;0, AG97&gt;0, AD97&lt;&gt;AF97), 100*(-1+10^(-1/(AD97-AF97))), AND(AD97&lt;&gt;"Undetermined", AF97&lt;&gt;"Undetermined", AD97=AF97&gt;0), -100)</f>
        <v>Undetermined</v>
      </c>
      <c r="AI97" s="124" cm="1">
        <f t="array" ref="AI97">_xlfn.IFS(AH97="Undetermined", 0, AH97="Undiluted", AE97*$G97/$F97*1000, AH97="Ten-Fold", AG97*$G97/$F97*1000*10, AH97&lt;0, AG97*$G97/$F97*1000*10, AH97&lt;120, AE97*$G97/$F97*1000, AH97&gt;120, AG97*$G97/$F97*1000*10)</f>
        <v>0</v>
      </c>
      <c r="AJ97" s="121" t="str">
        <f t="shared" si="25"/>
        <v>DELETE</v>
      </c>
      <c r="AK97" s="121" t="str">
        <f t="shared" si="26"/>
        <v>DELETE</v>
      </c>
      <c r="AL97" s="121" t="str">
        <f t="shared" si="27"/>
        <v>DELETE</v>
      </c>
      <c r="AM97" s="125" t="str" cm="1">
        <f t="array" ref="AM97">_xlfn.IFS(AJ97="DELETE", "DELETE", AJ97=0, 0, AJ97&gt;0,LOG10(AJ97))</f>
        <v>DELETE</v>
      </c>
      <c r="AN97" s="126" t="str" cm="1">
        <f t="array" ref="AN97">_xlfn.IFS(AJ97="DELETE", "DELETE", AJ97=0, 0, AJ97&gt;0, AL97/AJ97/LN(10))</f>
        <v>DELETE</v>
      </c>
      <c r="AO97" s="155">
        <f>qPCR_Raw!AA97</f>
        <v>30.571506500244141</v>
      </c>
      <c r="AP97" s="156" cm="1">
        <f t="array" ref="AP97">_xlfn.IFS(AO97="Undetermined", 0, qPCR_Raw!AB97&lt;=6, 0, qPCR_Raw!AB97&gt;6, qPCR_Raw!AB97)</f>
        <v>0</v>
      </c>
      <c r="AQ97" s="157" t="str">
        <f>qPCR_Raw!AD97</f>
        <v>Undetermined</v>
      </c>
      <c r="AR97" s="156" cm="1">
        <f t="array" ref="AR97">_xlfn.IFS(AQ97="Undetermined", 0, qPCR_Raw!AE97&lt;=6, 0, qPCR_Raw!AE97&gt;6, qPCR_Raw!AE97)</f>
        <v>0</v>
      </c>
      <c r="AS97" s="158" t="str" cm="1">
        <f t="array" ref="AS97">_xlfn.IFS(AND(AO97="Undetermined", AQ97="Undetermined"), "Undetermined", AND(AP97=0, AR97=0), "Undetermined", AND(AP97=0, AR97&gt;0), "Ten-Fold", AND(AP97&gt;0, AR97=0), "Undiluted", AND(AO97&lt;&gt;"Undetermined", AQ97&lt;&gt;"Undetermined", AP97&gt;0, AR97&gt;0, AO97&lt;&gt;AQ97), 100*(-1+10^(-1/(AO97-AQ97))), AND(AO97&lt;&gt;"Undetermined", AQ97&lt;&gt;"Undetermined", AO97=AQ97&gt;0), -100)</f>
        <v>Undetermined</v>
      </c>
      <c r="AT97" s="159" cm="1">
        <f t="array" ref="AT97">_xlfn.IFS(AS97="Undetermined", 0, AS97="Undiluted", AP97*$G97/$F97*1000, AS97="Ten-Fold", AR97*$G97/$F97*1000*10, AS97&lt;0, AR97*$G97/$F97*1000*10, AS97&lt;120, AP97*$G97/$F97*1000, AS97&gt;120, AR97*$G97/$F97*1000*10)</f>
        <v>0</v>
      </c>
      <c r="AU97" s="156" t="str">
        <f t="shared" si="34"/>
        <v>DELETE</v>
      </c>
      <c r="AV97" s="156" t="str">
        <f t="shared" si="35"/>
        <v>DELETE</v>
      </c>
      <c r="AW97" s="156" t="str">
        <f t="shared" si="36"/>
        <v>DELETE</v>
      </c>
      <c r="AX97" s="160" t="str" cm="1">
        <f t="array" ref="AX97">_xlfn.IFS(AU97="DELETE", "DELETE", AU97=0, 0, AU97&gt;0,LOG10(AU97))</f>
        <v>DELETE</v>
      </c>
      <c r="AY97" s="161" t="str" cm="1">
        <f t="array" ref="AY97">_xlfn.IFS(AU97="DELETE", "DELETE", AU97=0, 0, AU97&gt;0, AW97/AU97/LN(10))</f>
        <v>DELETE</v>
      </c>
      <c r="AZ97" s="120">
        <f>qPCR_Raw!AG97</f>
        <v>34.983894348144531</v>
      </c>
      <c r="BA97" s="121" cm="1">
        <f t="array" ref="BA97">_xlfn.IFS(AZ97="Undetermined", 0, qPCR_Raw!AH97&lt;=1, 0, qPCR_Raw!AH97&gt;1, qPCR_Raw!AH97)</f>
        <v>5.8037939071655273</v>
      </c>
      <c r="BB97" s="122" t="str">
        <f>qPCR_Raw!AJ97</f>
        <v>Undetermined</v>
      </c>
      <c r="BC97" s="121" cm="1">
        <f t="array" ref="BC97">_xlfn.IFS(BB97="Undetermined", 0, qPCR_Raw!AK97&lt;=1, 0, qPCR_Raw!AK97&gt;1, qPCR_Raw!AK97)</f>
        <v>0</v>
      </c>
      <c r="BD97" s="123" t="str" cm="1">
        <f t="array" ref="BD97">_xlfn.IFS(AND(AZ97="Undetermined", BB97="Undetermined"), "Undetermined", AND(BA97=0, BC97=0), "Undetermined", AND(BA97=0, BC97&gt;0), "Ten-Fold", AND(BA97&gt;0, BC97=0), "Undiluted", AND(AZ97&lt;&gt;"Undetermined", BB97&lt;&gt;"Undetermined", BA97&gt;0, BC97&gt;0, AZ97&lt;&gt;BB97), 100*(-1+10^(-1/(AZ97-BB97))), AND(AZ97&lt;&gt;"Undetermined", BB97&lt;&gt;"Undetermined", AZ97=BB97&gt;0), -100)</f>
        <v>Undiluted</v>
      </c>
      <c r="BE97" s="124" cm="1">
        <f t="array" ref="BE97">_xlfn.IFS(BD97="Undetermined", 0, BD97="Undiluted", BA97*$G97/$F97*1000, BD97="Ten-Fold", BC97*$G97/$F97*1000*10, BD97&lt;0, BC97*$G97/$F97*1000*10, BD97&lt;120, BA97*$G97/$F97*1000, BD97&gt;120, BC97*$G97/$F97*1000*10)</f>
        <v>644.86598968505859</v>
      </c>
      <c r="BF97" s="121" t="str">
        <f t="shared" si="31"/>
        <v>DELETE</v>
      </c>
      <c r="BG97" s="121" t="str">
        <f t="shared" si="32"/>
        <v>DELETE</v>
      </c>
      <c r="BH97" s="121" t="str">
        <f t="shared" si="33"/>
        <v>DELETE</v>
      </c>
      <c r="BI97" s="125" t="str" cm="1">
        <f t="array" ref="BI97">_xlfn.IFS(BF97="DELETE", "DELETE", BF97=0, 0, BF97&gt;0,LOG10(BF97))</f>
        <v>DELETE</v>
      </c>
      <c r="BJ97" s="126" t="str" cm="1">
        <f t="array" ref="BJ97">_xlfn.IFS(BF97="DELETE", "DELETE", BF97=0, 0, BF97&gt;0, BH97/BF97/LN(10))</f>
        <v>DELETE</v>
      </c>
    </row>
    <row r="98" spans="1:62" s="114" customFormat="1" x14ac:dyDescent="0.3">
      <c r="A98" s="115" t="str">
        <f>UPPER(LEFT(SUBSTITUTE(SUBSTITUTE(qPCR_Raw!A98,"-","")," ",""),2))&amp;RIGHT(SUBSTITUTE(SUBSTITUTE(qPCR_Raw!A98,"-","")," ",""),LEN(SUBSTITUTE(SUBSTITUTE(qPCR_Raw!A98,"-","")," ",""))-2)</f>
        <v>RT6</v>
      </c>
      <c r="B98" s="116" t="str" cm="1">
        <f t="array" ref="B98">_xlfn.IFS(LEFT(A98, LEN(A98)-1)="EP", "EP", LEFT(A98, LEN(A98)-1)="STa", "SPI", LEFT(A98, LEN(A98)-1)="STb", "SPO", LEFT(A98, LEN(A98)-1)="MRT", "MRT", LEFT(A98, LEN(A98)-1)="RG", "RN", LEFT(A98, LEN(A98)-1)="RT", "RU", LEFT(A98, LEN(A98)-1)="RW", "RL", LEFT(A98, LEN(A98)-1)="RC", "RS")</f>
        <v>RU</v>
      </c>
      <c r="C98" s="117">
        <f>qPCR_Raw!B98</f>
        <v>44377</v>
      </c>
      <c r="D98" s="117" t="str">
        <f t="shared" si="17"/>
        <v>RU44377</v>
      </c>
      <c r="E98" s="117" t="str">
        <f t="shared" si="18"/>
        <v>RU443776</v>
      </c>
      <c r="F98" s="118">
        <f>qPCR_Raw!C98</f>
        <v>910</v>
      </c>
      <c r="G98" s="119">
        <f>qPCR_Raw!F98</f>
        <v>100</v>
      </c>
      <c r="H98" s="120">
        <f>qPCR_Raw!G98</f>
        <v>21.100299835205078</v>
      </c>
      <c r="I98" s="121" cm="1">
        <f t="array" ref="I98">_xlfn.IFS(H98="Undetermined", 0, qPCR_Raw!H98-qPCR_Raw!$H$242&lt;0, 0, qPCR_Raw!H98-qPCR_Raw!$H$242&gt;0, qPCR_Raw!H98-qPCR_Raw!$H$242)</f>
        <v>40096.123164876306</v>
      </c>
      <c r="J98" s="122">
        <f>qPCR_Raw!K98</f>
        <v>24.132472991943359</v>
      </c>
      <c r="K98" s="121" cm="1">
        <f t="array" ref="K98">_xlfn.IFS(J98="Undetermined", 0, qPCR_Raw!L98-qPCR_Raw!$H$242&lt;0, 0, qPCR_Raw!L98-qPCR_Raw!$H$242&gt;0, qPCR_Raw!L98-qPCR_Raw!$H$242)</f>
        <v>0</v>
      </c>
      <c r="L98" s="123" t="str" cm="1">
        <f t="array" ref="L98">_xlfn.IFS(AND(H98="Undetermined", J98="Undetermined"), "Undetermined", AND(I98=0, K98=0), "Undetermined", AND(I98=0, K98&gt;0), "Ten-Fold", AND(I98&gt;0, K98=0), "Undiluted", AND(H98&lt;&gt;"Undetermined", J98&lt;&gt;"Undetermined", I98&gt;0, K98&gt;0), 100*(-1+10^(-1/(H98-J98))))</f>
        <v>Undiluted</v>
      </c>
      <c r="M98" s="124" cm="1">
        <f t="array" ref="M98">_xlfn.IFS(L98="Undetermined", 0, L98="Undiluted", I98*$G98/$F98*1000, L98="Ten-Fold", K98*$G98/$F98*1000*10, L98&lt;0, K98*$G98/$F98*1000*10, L98&lt;120, I98*$G98/$F98*1000, L98&gt;120, K98*$G98/$F98*1000*10)</f>
        <v>4406167.3807556378</v>
      </c>
      <c r="N98" s="121">
        <f t="shared" si="19"/>
        <v>3310752.8625485878</v>
      </c>
      <c r="O98" s="121">
        <f t="shared" si="20"/>
        <v>1549150.0680687996</v>
      </c>
      <c r="P98" s="121">
        <f t="shared" si="21"/>
        <v>1095414.5182070497</v>
      </c>
      <c r="Q98" s="125" cm="1">
        <f t="array" ref="Q98">_xlfn.IFS(N98="DELETE", "DELETE", N98=0, 0, N98&gt;0,LOG10(N98))</f>
        <v>6.5199267632234479</v>
      </c>
      <c r="R98" s="126" cm="1">
        <f t="array" ref="R98">_xlfn.IFS(N98="DELETE", "DELETE", N98=0, 0, N98&gt;0, P98/N98/LN(10))</f>
        <v>0.14369314183355147</v>
      </c>
      <c r="S98" s="155" t="str">
        <f>qPCR_Raw!O98</f>
        <v>Undetermined</v>
      </c>
      <c r="T98" s="156" cm="1">
        <f t="array" ref="T98">_xlfn.IFS(S98="Undetermined", 0, qPCR_Raw!P98&lt;=1, 0, qPCR_Raw!P98&gt;1, qPCR_Raw!P98)</f>
        <v>0</v>
      </c>
      <c r="U98" s="157" t="str">
        <f>qPCR_Raw!R98</f>
        <v>Undetermined</v>
      </c>
      <c r="V98" s="156" cm="1">
        <f t="array" ref="V98">_xlfn.IFS(U98="Undetermined", 0, qPCR_Raw!S98&lt;=1, 0, qPCR_Raw!S98&gt;1, qPCR_Raw!S98)</f>
        <v>0</v>
      </c>
      <c r="W98" s="158" t="str" cm="1">
        <f t="array" ref="W98">_xlfn.IFS(AND(S98="Undetermined", U98="Undetermined"), "Undetermined", AND(T98=0, V98=0), "Undetermined", AND(T98=0, V98&gt;0), "Ten-Fold", AND(T98&gt;0, V98=0), "Undiluted", AND(S98&lt;&gt;"Undetermined", U98&lt;&gt;"Undetermined", T98&gt;0, V98&gt;0, S98&lt;&gt;U98), 100*(-1+10^(-1/(S98-U98))), AND(S98&lt;&gt;"Undetermined", U98&lt;&gt;"Undetermined", S98=U98&gt;0), -100)</f>
        <v>Undetermined</v>
      </c>
      <c r="X98" s="159" cm="1">
        <f t="array" ref="X98">_xlfn.IFS(W98="Undetermined", 0, W98="Undiluted", T98*$G98/$F98*1000, W98="Ten-Fold", V98*$G98/$F98*1000*10, W98&lt;0, V98*$G98/$F98*1000*10, W98&lt;120, T98*$G98/$F98*1000, W98&gt;120, V98*$G98/$F98*1000*10)</f>
        <v>0</v>
      </c>
      <c r="Y98" s="156">
        <f t="shared" si="22"/>
        <v>0</v>
      </c>
      <c r="Z98" s="156">
        <f t="shared" si="23"/>
        <v>0</v>
      </c>
      <c r="AA98" s="156">
        <f t="shared" si="24"/>
        <v>0</v>
      </c>
      <c r="AB98" s="160" cm="1">
        <f t="array" ref="AB98">_xlfn.IFS(Y98="DELETE", "DELETE", Y98=0, 0, Y98&gt;0,LOG10(Y98))</f>
        <v>0</v>
      </c>
      <c r="AC98" s="161" cm="1">
        <f t="array" ref="AC98">_xlfn.IFS(Y98="DELETE", "DELETE", Y98=0, 0, Y98&gt;0, AA98/Y98/LN(10))</f>
        <v>0</v>
      </c>
      <c r="AD98" s="120">
        <f>qPCR_Raw!U98</f>
        <v>27.300243377685547</v>
      </c>
      <c r="AE98" s="121" cm="1">
        <f t="array" ref="AE98">_xlfn.IFS(AD98="Undetermined", 0, qPCR_Raw!V98&lt;=1, 0, qPCR_Raw!V98&gt;1, qPCR_Raw!V98)</f>
        <v>259.82574462890625</v>
      </c>
      <c r="AF98" s="122">
        <f>qPCR_Raw!X98</f>
        <v>30.846567153930664</v>
      </c>
      <c r="AG98" s="121" cm="1">
        <f t="array" ref="AG98">_xlfn.IFS(AF98="Undetermined", 0, qPCR_Raw!Y98&lt;=1, 0, qPCR_Raw!Y98&gt;1, qPCR_Raw!Y98)</f>
        <v>26.314788818359375</v>
      </c>
      <c r="AH98" s="123" cm="1">
        <f t="array" ref="AH98">_xlfn.IFS(AND(AD98="Undetermined", AF98="Undetermined"), "Undetermined", AND(AE98=0, AG98=0), "Undetermined", AND(AE98=0, AG98&gt;0), "Ten-Fold", AND(AE98&gt;0, AG98=0), "Undiluted", AND(AD98&lt;&gt;"Undetermined", AF98&lt;&gt;"Undetermined", AE98&gt;0, AG98&gt;0, AD98&lt;&gt;AF98), 100*(-1+10^(-1/(AD98-AF98))), AND(AD98&lt;&gt;"Undetermined", AF98&lt;&gt;"Undetermined", AD98=AF98&gt;0), -100)</f>
        <v>91.417724477414168</v>
      </c>
      <c r="AI98" s="124" cm="1">
        <f t="array" ref="AI98">_xlfn.IFS(AH98="Undetermined", 0, AH98="Undiluted", AE98*$G98/$F98*1000, AH98="Ten-Fold", AG98*$G98/$F98*1000*10, AH98&lt;0, AG98*$G98/$F98*1000*10, AH98&lt;120, AE98*$G98/$F98*1000, AH98&gt;120, AG98*$G98/$F98*1000*10)</f>
        <v>28552.279629550139</v>
      </c>
      <c r="AJ98" s="121">
        <f t="shared" si="25"/>
        <v>17428.499808002136</v>
      </c>
      <c r="AK98" s="121">
        <f t="shared" si="26"/>
        <v>15731.400288485358</v>
      </c>
      <c r="AL98" s="121">
        <f t="shared" si="27"/>
        <v>11123.779821548005</v>
      </c>
      <c r="AM98" s="125" cm="1">
        <f t="array" ref="AM98">_xlfn.IFS(AJ98="DELETE", "DELETE", AJ98=0, 0, AJ98&gt;0,LOG10(AJ98))</f>
        <v>4.2412600059771011</v>
      </c>
      <c r="AN98" s="126" cm="1">
        <f t="array" ref="AN98">_xlfn.IFS(AJ98="DELETE", "DELETE", AJ98=0, 0, AJ98&gt;0, AL98/AJ98/LN(10))</f>
        <v>0.27718944531226547</v>
      </c>
      <c r="AO98" s="155">
        <f>qPCR_Raw!AA98</f>
        <v>30.701475143432617</v>
      </c>
      <c r="AP98" s="156" cm="1">
        <f t="array" ref="AP98">_xlfn.IFS(AO98="Undetermined", 0, qPCR_Raw!AB98&lt;=6, 0, qPCR_Raw!AB98&gt;6, qPCR_Raw!AB98)</f>
        <v>0</v>
      </c>
      <c r="AQ98" s="157" t="str">
        <f>qPCR_Raw!AD98</f>
        <v>Undetermined</v>
      </c>
      <c r="AR98" s="156" cm="1">
        <f t="array" ref="AR98">_xlfn.IFS(AQ98="Undetermined", 0, qPCR_Raw!AE98&lt;=6, 0, qPCR_Raw!AE98&gt;6, qPCR_Raw!AE98)</f>
        <v>0</v>
      </c>
      <c r="AS98" s="158" t="str" cm="1">
        <f t="array" ref="AS98">_xlfn.IFS(AND(AO98="Undetermined", AQ98="Undetermined"), "Undetermined", AND(AP98=0, AR98=0), "Undetermined", AND(AP98=0, AR98&gt;0), "Ten-Fold", AND(AP98&gt;0, AR98=0), "Undiluted", AND(AO98&lt;&gt;"Undetermined", AQ98&lt;&gt;"Undetermined", AP98&gt;0, AR98&gt;0, AO98&lt;&gt;AQ98), 100*(-1+10^(-1/(AO98-AQ98))), AND(AO98&lt;&gt;"Undetermined", AQ98&lt;&gt;"Undetermined", AO98=AQ98&gt;0), -100)</f>
        <v>Undetermined</v>
      </c>
      <c r="AT98" s="159" cm="1">
        <f t="array" ref="AT98">_xlfn.IFS(AS98="Undetermined", 0, AS98="Undiluted", AP98*$G98/$F98*1000, AS98="Ten-Fold", AR98*$G98/$F98*1000*10, AS98&lt;0, AR98*$G98/$F98*1000*10, AS98&lt;120, AP98*$G98/$F98*1000, AS98&gt;120, AR98*$G98/$F98*1000*10)</f>
        <v>0</v>
      </c>
      <c r="AU98" s="156">
        <f t="shared" si="34"/>
        <v>0</v>
      </c>
      <c r="AV98" s="156">
        <f t="shared" si="35"/>
        <v>0</v>
      </c>
      <c r="AW98" s="156">
        <f t="shared" si="36"/>
        <v>0</v>
      </c>
      <c r="AX98" s="160" cm="1">
        <f t="array" ref="AX98">_xlfn.IFS(AU98="DELETE", "DELETE", AU98=0, 0, AU98&gt;0,LOG10(AU98))</f>
        <v>0</v>
      </c>
      <c r="AY98" s="161" cm="1">
        <f t="array" ref="AY98">_xlfn.IFS(AU98="DELETE", "DELETE", AU98=0, 0, AU98&gt;0, AW98/AU98/LN(10))</f>
        <v>0</v>
      </c>
      <c r="AZ98" s="120">
        <f>qPCR_Raw!AG98</f>
        <v>32.915802001953125</v>
      </c>
      <c r="BA98" s="121" cm="1">
        <f t="array" ref="BA98">_xlfn.IFS(AZ98="Undetermined", 0, qPCR_Raw!AH98&lt;=1, 0, qPCR_Raw!AH98&gt;1, qPCR_Raw!AH98)</f>
        <v>20.983184814453125</v>
      </c>
      <c r="BB98" s="122" t="str">
        <f>qPCR_Raw!AJ98</f>
        <v>Undetermined</v>
      </c>
      <c r="BC98" s="121" cm="1">
        <f t="array" ref="BC98">_xlfn.IFS(BB98="Undetermined", 0, qPCR_Raw!AK98&lt;=1, 0, qPCR_Raw!AK98&gt;1, qPCR_Raw!AK98)</f>
        <v>0</v>
      </c>
      <c r="BD98" s="123" t="str" cm="1">
        <f t="array" ref="BD98">_xlfn.IFS(AND(AZ98="Undetermined", BB98="Undetermined"), "Undetermined", AND(BA98=0, BC98=0), "Undetermined", AND(BA98=0, BC98&gt;0), "Ten-Fold", AND(BA98&gt;0, BC98=0), "Undiluted", AND(AZ98&lt;&gt;"Undetermined", BB98&lt;&gt;"Undetermined", BA98&gt;0, BC98&gt;0, AZ98&lt;&gt;BB98), 100*(-1+10^(-1/(AZ98-BB98))), AND(AZ98&lt;&gt;"Undetermined", BB98&lt;&gt;"Undetermined", AZ98=BB98&gt;0), -100)</f>
        <v>Undiluted</v>
      </c>
      <c r="BE98" s="124" cm="1">
        <f t="array" ref="BE98">_xlfn.IFS(BD98="Undetermined", 0, BD98="Undiluted", BA98*$G98/$F98*1000, BD98="Ten-Fold", BC98*$G98/$F98*1000*10, BD98&lt;0, BC98*$G98/$F98*1000*10, BD98&lt;120, BA98*$G98/$F98*1000, BD98&gt;120, BC98*$G98/$F98*1000*10)</f>
        <v>2305.8444851047389</v>
      </c>
      <c r="BF98" s="121">
        <f t="shared" si="31"/>
        <v>1152.9222425523694</v>
      </c>
      <c r="BG98" s="121">
        <f t="shared" si="32"/>
        <v>1630.4782717791638</v>
      </c>
      <c r="BH98" s="121">
        <f t="shared" si="33"/>
        <v>1152.9222425523692</v>
      </c>
      <c r="BI98" s="125" cm="1">
        <f t="array" ref="BI98">_xlfn.IFS(BF98="DELETE", "DELETE", BF98=0, 0, BF98&gt;0,LOG10(BF98))</f>
        <v>3.0618000178157891</v>
      </c>
      <c r="BJ98" s="126" cm="1">
        <f t="array" ref="BJ98">_xlfn.IFS(BF98="DELETE", "DELETE", BF98=0, 0, BF98&gt;0, BH98/BF98/LN(10))</f>
        <v>0.43429448190325171</v>
      </c>
    </row>
    <row r="99" spans="1:62" s="114" customFormat="1" x14ac:dyDescent="0.3">
      <c r="A99" s="115" t="str">
        <f>UPPER(LEFT(SUBSTITUTE(SUBSTITUTE(qPCR_Raw!A99,"-","")," ",""),2))&amp;RIGHT(SUBSTITUTE(SUBSTITUTE(qPCR_Raw!A99,"-","")," ",""),LEN(SUBSTITUTE(SUBSTITUTE(qPCR_Raw!A99,"-","")," ",""))-2)</f>
        <v>RT7</v>
      </c>
      <c r="B99" s="116" t="str" cm="1">
        <f t="array" ref="B99">_xlfn.IFS(LEFT(A99, LEN(A99)-1)="EP", "EP", LEFT(A99, LEN(A99)-1)="STa", "SPI", LEFT(A99, LEN(A99)-1)="STb", "SPO", LEFT(A99, LEN(A99)-1)="MRT", "MRT", LEFT(A99, LEN(A99)-1)="RG", "RN", LEFT(A99, LEN(A99)-1)="RT", "RU", LEFT(A99, LEN(A99)-1)="RW", "RL", LEFT(A99, LEN(A99)-1)="RC", "RS")</f>
        <v>RU</v>
      </c>
      <c r="C99" s="117">
        <f>qPCR_Raw!B99</f>
        <v>44377</v>
      </c>
      <c r="D99" s="117" t="str">
        <f t="shared" si="17"/>
        <v>RU44377</v>
      </c>
      <c r="E99" s="117" t="str">
        <f t="shared" si="18"/>
        <v>RU443777</v>
      </c>
      <c r="F99" s="118">
        <f>qPCR_Raw!C99</f>
        <v>930</v>
      </c>
      <c r="G99" s="119">
        <f>qPCR_Raw!F99</f>
        <v>100</v>
      </c>
      <c r="H99" s="120">
        <f>qPCR_Raw!G99</f>
        <v>21.802520751953125</v>
      </c>
      <c r="I99" s="121" cm="1">
        <f t="array" ref="I99">_xlfn.IFS(H99="Undetermined", 0, qPCR_Raw!H99-qPCR_Raw!$H$242&lt;0, 0, qPCR_Raw!H99-qPCR_Raw!$H$242&gt;0, qPCR_Raw!H99-qPCR_Raw!$H$242)</f>
        <v>20602.646602376302</v>
      </c>
      <c r="J99" s="122">
        <f>qPCR_Raw!K99</f>
        <v>24.792131423950195</v>
      </c>
      <c r="K99" s="121" cm="1">
        <f t="array" ref="K99">_xlfn.IFS(J99="Undetermined", 0, qPCR_Raw!L99-qPCR_Raw!$H$242&lt;0, 0, qPCR_Raw!L99-qPCR_Raw!$H$242&gt;0, qPCR_Raw!L99-qPCR_Raw!$H$242)</f>
        <v>0</v>
      </c>
      <c r="L99" s="123" t="str" cm="1">
        <f t="array" ref="L99">_xlfn.IFS(AND(H99="Undetermined", J99="Undetermined"), "Undetermined", AND(I99=0, K99=0), "Undetermined", AND(I99=0, K99&gt;0), "Ten-Fold", AND(I99&gt;0, K99=0), "Undiluted", AND(H99&lt;&gt;"Undetermined", J99&lt;&gt;"Undetermined", I99&gt;0, K99&gt;0), 100*(-1+10^(-1/(H99-J99))))</f>
        <v>Undiluted</v>
      </c>
      <c r="M99" s="124" cm="1">
        <f t="array" ref="M99">_xlfn.IFS(L99="Undetermined", 0, L99="Undiluted", I99*$G99/$F99*1000, L99="Ten-Fold", K99*$G99/$F99*1000*10, L99&lt;0, K99*$G99/$F99*1000*10, L99&lt;120, I99*$G99/$F99*1000, L99&gt;120, K99*$G99/$F99*1000*10)</f>
        <v>2215338.3443415379</v>
      </c>
      <c r="N99" s="121" t="str">
        <f t="shared" si="19"/>
        <v>DELETE</v>
      </c>
      <c r="O99" s="121" t="str">
        <f t="shared" si="20"/>
        <v>DELETE</v>
      </c>
      <c r="P99" s="121" t="str">
        <f t="shared" si="21"/>
        <v>DELETE</v>
      </c>
      <c r="Q99" s="125" t="str" cm="1">
        <f t="array" ref="Q99">_xlfn.IFS(N99="DELETE", "DELETE", N99=0, 0, N99&gt;0,LOG10(N99))</f>
        <v>DELETE</v>
      </c>
      <c r="R99" s="126" t="str" cm="1">
        <f t="array" ref="R99">_xlfn.IFS(N99="DELETE", "DELETE", N99=0, 0, N99&gt;0, P99/N99/LN(10))</f>
        <v>DELETE</v>
      </c>
      <c r="S99" s="155" t="str">
        <f>qPCR_Raw!O99</f>
        <v>Undetermined</v>
      </c>
      <c r="T99" s="156" cm="1">
        <f t="array" ref="T99">_xlfn.IFS(S99="Undetermined", 0, qPCR_Raw!P99&lt;=1, 0, qPCR_Raw!P99&gt;1, qPCR_Raw!P99)</f>
        <v>0</v>
      </c>
      <c r="U99" s="157" t="str">
        <f>qPCR_Raw!R99</f>
        <v>Undetermined</v>
      </c>
      <c r="V99" s="156" cm="1">
        <f t="array" ref="V99">_xlfn.IFS(U99="Undetermined", 0, qPCR_Raw!S99&lt;=1, 0, qPCR_Raw!S99&gt;1, qPCR_Raw!S99)</f>
        <v>0</v>
      </c>
      <c r="W99" s="158" t="str" cm="1">
        <f t="array" ref="W99">_xlfn.IFS(AND(S99="Undetermined", U99="Undetermined"), "Undetermined", AND(T99=0, V99=0), "Undetermined", AND(T99=0, V99&gt;0), "Ten-Fold", AND(T99&gt;0, V99=0), "Undiluted", AND(S99&lt;&gt;"Undetermined", U99&lt;&gt;"Undetermined", T99&gt;0, V99&gt;0, S99&lt;&gt;U99), 100*(-1+10^(-1/(S99-U99))), AND(S99&lt;&gt;"Undetermined", U99&lt;&gt;"Undetermined", S99=U99&gt;0), -100)</f>
        <v>Undetermined</v>
      </c>
      <c r="X99" s="159" cm="1">
        <f t="array" ref="X99">_xlfn.IFS(W99="Undetermined", 0, W99="Undiluted", T99*$G99/$F99*1000, W99="Ten-Fold", V99*$G99/$F99*1000*10, W99&lt;0, V99*$G99/$F99*1000*10, W99&lt;120, T99*$G99/$F99*1000, W99&gt;120, V99*$G99/$F99*1000*10)</f>
        <v>0</v>
      </c>
      <c r="Y99" s="156" t="str">
        <f t="shared" si="22"/>
        <v>DELETE</v>
      </c>
      <c r="Z99" s="156" t="str">
        <f t="shared" si="23"/>
        <v>DELETE</v>
      </c>
      <c r="AA99" s="156" t="str">
        <f t="shared" si="24"/>
        <v>DELETE</v>
      </c>
      <c r="AB99" s="160" t="str" cm="1">
        <f t="array" ref="AB99">_xlfn.IFS(Y99="DELETE", "DELETE", Y99=0, 0, Y99&gt;0,LOG10(Y99))</f>
        <v>DELETE</v>
      </c>
      <c r="AC99" s="161" t="str" cm="1">
        <f t="array" ref="AC99">_xlfn.IFS(Y99="DELETE", "DELETE", Y99=0, 0, Y99&gt;0, AA99/Y99/LN(10))</f>
        <v>DELETE</v>
      </c>
      <c r="AD99" s="120">
        <f>qPCR_Raw!U99</f>
        <v>29.605781555175781</v>
      </c>
      <c r="AE99" s="121" cm="1">
        <f t="array" ref="AE99">_xlfn.IFS(AD99="Undetermined", 0, qPCR_Raw!V99&lt;=1, 0, qPCR_Raw!V99&gt;1, qPCR_Raw!V99)</f>
        <v>58.633895874023438</v>
      </c>
      <c r="AF99" s="122">
        <f>qPCR_Raw!X99</f>
        <v>32.584564208984375</v>
      </c>
      <c r="AG99" s="121" cm="1">
        <f t="array" ref="AG99">_xlfn.IFS(AF99="Undetermined", 0, qPCR_Raw!Y99&lt;=1, 0, qPCR_Raw!Y99&gt;1, qPCR_Raw!Y99)</f>
        <v>8.5668249130249023</v>
      </c>
      <c r="AH99" s="123" cm="1">
        <f t="array" ref="AH99">_xlfn.IFS(AND(AD99="Undetermined", AF99="Undetermined"), "Undetermined", AND(AE99=0, AG99=0), "Undetermined", AND(AE99=0, AG99&gt;0), "Ten-Fold", AND(AE99&gt;0, AG99=0), "Undiluted", AND(AD99&lt;&gt;"Undetermined", AF99&lt;&gt;"Undetermined", AE99&gt;0, AG99&gt;0, AD99&lt;&gt;AF99), 100*(-1+10^(-1/(AD99-AF99))), AND(AD99&lt;&gt;"Undetermined", AF99&lt;&gt;"Undetermined", AD99=AF99&gt;0), -100)</f>
        <v>116.62451739333299</v>
      </c>
      <c r="AI99" s="124" cm="1">
        <f t="array" ref="AI99">_xlfn.IFS(AH99="Undetermined", 0, AH99="Undiluted", AE99*$G99/$F99*1000, AH99="Ten-Fold", AG99*$G99/$F99*1000*10, AH99&lt;0, AG99*$G99/$F99*1000*10, AH99&lt;120, AE99*$G99/$F99*1000, AH99&gt;120, AG99*$G99/$F99*1000*10)</f>
        <v>6304.7199864541326</v>
      </c>
      <c r="AJ99" s="121" t="str">
        <f t="shared" si="25"/>
        <v>DELETE</v>
      </c>
      <c r="AK99" s="121" t="str">
        <f t="shared" si="26"/>
        <v>DELETE</v>
      </c>
      <c r="AL99" s="121" t="str">
        <f t="shared" si="27"/>
        <v>DELETE</v>
      </c>
      <c r="AM99" s="125" t="str" cm="1">
        <f t="array" ref="AM99">_xlfn.IFS(AJ99="DELETE", "DELETE", AJ99=0, 0, AJ99&gt;0,LOG10(AJ99))</f>
        <v>DELETE</v>
      </c>
      <c r="AN99" s="126" t="str" cm="1">
        <f t="array" ref="AN99">_xlfn.IFS(AJ99="DELETE", "DELETE", AJ99=0, 0, AJ99&gt;0, AL99/AJ99/LN(10))</f>
        <v>DELETE</v>
      </c>
      <c r="AO99" s="155">
        <f>qPCR_Raw!AA99</f>
        <v>30.489641189575195</v>
      </c>
      <c r="AP99" s="156" cm="1">
        <f t="array" ref="AP99">_xlfn.IFS(AO99="Undetermined", 0, qPCR_Raw!AB99&lt;=6, 0, qPCR_Raw!AB99&gt;6, qPCR_Raw!AB99)</f>
        <v>0</v>
      </c>
      <c r="AQ99" s="157">
        <f>qPCR_Raw!AD99</f>
        <v>31.167684555053711</v>
      </c>
      <c r="AR99" s="156" cm="1">
        <f t="array" ref="AR99">_xlfn.IFS(AQ99="Undetermined", 0, qPCR_Raw!AE99&lt;=6, 0, qPCR_Raw!AE99&gt;6, qPCR_Raw!AE99)</f>
        <v>0</v>
      </c>
      <c r="AS99" s="158" t="str" cm="1">
        <f t="array" ref="AS99">_xlfn.IFS(AND(AO99="Undetermined", AQ99="Undetermined"), "Undetermined", AND(AP99=0, AR99=0), "Undetermined", AND(AP99=0, AR99&gt;0), "Ten-Fold", AND(AP99&gt;0, AR99=0), "Undiluted", AND(AO99&lt;&gt;"Undetermined", AQ99&lt;&gt;"Undetermined", AP99&gt;0, AR99&gt;0, AO99&lt;&gt;AQ99), 100*(-1+10^(-1/(AO99-AQ99))), AND(AO99&lt;&gt;"Undetermined", AQ99&lt;&gt;"Undetermined", AO99=AQ99&gt;0), -100)</f>
        <v>Undetermined</v>
      </c>
      <c r="AT99" s="159" cm="1">
        <f t="array" ref="AT99">_xlfn.IFS(AS99="Undetermined", 0, AS99="Undiluted", AP99*$G99/$F99*1000, AS99="Ten-Fold", AR99*$G99/$F99*1000*10, AS99&lt;0, AR99*$G99/$F99*1000*10, AS99&lt;120, AP99*$G99/$F99*1000, AS99&gt;120, AR99*$G99/$F99*1000*10)</f>
        <v>0</v>
      </c>
      <c r="AU99" s="156" t="str">
        <f t="shared" si="34"/>
        <v>DELETE</v>
      </c>
      <c r="AV99" s="156" t="str">
        <f t="shared" si="35"/>
        <v>DELETE</v>
      </c>
      <c r="AW99" s="156" t="str">
        <f t="shared" si="36"/>
        <v>DELETE</v>
      </c>
      <c r="AX99" s="160" t="str" cm="1">
        <f t="array" ref="AX99">_xlfn.IFS(AU99="DELETE", "DELETE", AU99=0, 0, AU99&gt;0,LOG10(AU99))</f>
        <v>DELETE</v>
      </c>
      <c r="AY99" s="161" t="str" cm="1">
        <f t="array" ref="AY99">_xlfn.IFS(AU99="DELETE", "DELETE", AU99=0, 0, AU99&gt;0, AW99/AU99/LN(10))</f>
        <v>DELETE</v>
      </c>
      <c r="AZ99" s="120" t="str">
        <f>qPCR_Raw!AG99</f>
        <v>Undetermined</v>
      </c>
      <c r="BA99" s="121" cm="1">
        <f t="array" ref="BA99">_xlfn.IFS(AZ99="Undetermined", 0, qPCR_Raw!AH99&lt;=1, 0, qPCR_Raw!AH99&gt;1, qPCR_Raw!AH99)</f>
        <v>0</v>
      </c>
      <c r="BB99" s="122" t="str">
        <f>qPCR_Raw!AJ99</f>
        <v>Undetermined</v>
      </c>
      <c r="BC99" s="121" cm="1">
        <f t="array" ref="BC99">_xlfn.IFS(BB99="Undetermined", 0, qPCR_Raw!AK99&lt;=1, 0, qPCR_Raw!AK99&gt;1, qPCR_Raw!AK99)</f>
        <v>0</v>
      </c>
      <c r="BD99" s="123" t="str" cm="1">
        <f t="array" ref="BD99">_xlfn.IFS(AND(AZ99="Undetermined", BB99="Undetermined"), "Undetermined", AND(BA99=0, BC99=0), "Undetermined", AND(BA99=0, BC99&gt;0), "Ten-Fold", AND(BA99&gt;0, BC99=0), "Undiluted", AND(AZ99&lt;&gt;"Undetermined", BB99&lt;&gt;"Undetermined", BA99&gt;0, BC99&gt;0, AZ99&lt;&gt;BB99), 100*(-1+10^(-1/(AZ99-BB99))), AND(AZ99&lt;&gt;"Undetermined", BB99&lt;&gt;"Undetermined", AZ99=BB99&gt;0), -100)</f>
        <v>Undetermined</v>
      </c>
      <c r="BE99" s="124" cm="1">
        <f t="array" ref="BE99">_xlfn.IFS(BD99="Undetermined", 0, BD99="Undiluted", BA99*$G99/$F99*1000, BD99="Ten-Fold", BC99*$G99/$F99*1000*10, BD99&lt;0, BC99*$G99/$F99*1000*10, BD99&lt;120, BA99*$G99/$F99*1000, BD99&gt;120, BC99*$G99/$F99*1000*10)</f>
        <v>0</v>
      </c>
      <c r="BF99" s="121" t="str">
        <f t="shared" si="31"/>
        <v>DELETE</v>
      </c>
      <c r="BG99" s="121" t="str">
        <f t="shared" si="32"/>
        <v>DELETE</v>
      </c>
      <c r="BH99" s="121" t="str">
        <f t="shared" si="33"/>
        <v>DELETE</v>
      </c>
      <c r="BI99" s="125" t="str" cm="1">
        <f t="array" ref="BI99">_xlfn.IFS(BF99="DELETE", "DELETE", BF99=0, 0, BF99&gt;0,LOG10(BF99))</f>
        <v>DELETE</v>
      </c>
      <c r="BJ99" s="126" t="str" cm="1">
        <f t="array" ref="BJ99">_xlfn.IFS(BF99="DELETE", "DELETE", BF99=0, 0, BF99&gt;0, BH99/BF99/LN(10))</f>
        <v>DELETE</v>
      </c>
    </row>
    <row r="100" spans="1:62" s="114" customFormat="1" x14ac:dyDescent="0.3">
      <c r="A100" s="115" t="str">
        <f>UPPER(LEFT(SUBSTITUTE(SUBSTITUTE(qPCR_Raw!A100,"-","")," ",""),2))&amp;RIGHT(SUBSTITUTE(SUBSTITUTE(qPCR_Raw!A100,"-","")," ",""),LEN(SUBSTITUTE(SUBSTITUTE(qPCR_Raw!A100,"-","")," ",""))-2)</f>
        <v>STb6</v>
      </c>
      <c r="B100" s="116" t="str" cm="1">
        <f t="array" ref="B100">_xlfn.IFS(LEFT(A100, LEN(A100)-1)="EP", "EP", LEFT(A100, LEN(A100)-1)="STa", "SPI", LEFT(A100, LEN(A100)-1)="STb", "SPO", LEFT(A100, LEN(A100)-1)="MRT", "MRT", LEFT(A100, LEN(A100)-1)="RG", "RN", LEFT(A100, LEN(A100)-1)="RT", "RU", LEFT(A100, LEN(A100)-1)="RW", "RL", LEFT(A100, LEN(A100)-1)="RC", "RS")</f>
        <v>SPO</v>
      </c>
      <c r="C100" s="117">
        <f>qPCR_Raw!B100</f>
        <v>44377</v>
      </c>
      <c r="D100" s="117" t="str">
        <f t="shared" si="17"/>
        <v>SPO44377</v>
      </c>
      <c r="E100" s="117" t="str">
        <f t="shared" si="18"/>
        <v>SPO443776</v>
      </c>
      <c r="F100" s="118">
        <f>qPCR_Raw!C100</f>
        <v>900</v>
      </c>
      <c r="G100" s="119">
        <f>qPCR_Raw!F100</f>
        <v>100</v>
      </c>
      <c r="H100" s="120">
        <f>qPCR_Raw!G100</f>
        <v>23.16162109375</v>
      </c>
      <c r="I100" s="121" cm="1">
        <f t="array" ref="I100">_xlfn.IFS(H100="Undetermined", 0, qPCR_Raw!H100-qPCR_Raw!$H$242&lt;0, 0, qPCR_Raw!H100-qPCR_Raw!$H$242&gt;0, qPCR_Raw!H100-qPCR_Raw!$H$242)</f>
        <v>867.04699300130233</v>
      </c>
      <c r="J100" s="122">
        <f>qPCR_Raw!K100</f>
        <v>25.915138244628906</v>
      </c>
      <c r="K100" s="121" cm="1">
        <f t="array" ref="K100">_xlfn.IFS(J100="Undetermined", 0, qPCR_Raw!L100-qPCR_Raw!$H$242&lt;0, 0, qPCR_Raw!L100-qPCR_Raw!$H$242&gt;0, qPCR_Raw!L100-qPCR_Raw!$H$242)</f>
        <v>0</v>
      </c>
      <c r="L100" s="123" t="str" cm="1">
        <f t="array" ref="L100">_xlfn.IFS(AND(H100="Undetermined", J100="Undetermined"), "Undetermined", AND(I100=0, K100=0), "Undetermined", AND(I100=0, K100&gt;0), "Ten-Fold", AND(I100&gt;0, K100=0), "Undiluted", AND(H100&lt;&gt;"Undetermined", J100&lt;&gt;"Undetermined", I100&gt;0, K100&gt;0), 100*(-1+10^(-1/(H100-J100))))</f>
        <v>Undiluted</v>
      </c>
      <c r="M100" s="124" cm="1">
        <f t="array" ref="M100">_xlfn.IFS(L100="Undetermined", 0, L100="Undiluted", I100*$G100/$F100*1000, L100="Ten-Fold", K100*$G100/$F100*1000*10, L100&lt;0, K100*$G100/$F100*1000*10, L100&lt;120, I100*$G100/$F100*1000, L100&gt;120, K100*$G100/$F100*1000*10)</f>
        <v>96338.554777922487</v>
      </c>
      <c r="N100" s="121">
        <f t="shared" si="19"/>
        <v>48169.277388961244</v>
      </c>
      <c r="O100" s="121">
        <f t="shared" si="20"/>
        <v>68121.645373180669</v>
      </c>
      <c r="P100" s="121">
        <f t="shared" si="21"/>
        <v>48169.277388961251</v>
      </c>
      <c r="Q100" s="125" cm="1">
        <f t="array" ref="Q100">_xlfn.IFS(N100="DELETE", "DELETE", N100=0, 0, N100&gt;0,LOG10(N100))</f>
        <v>4.682770131298021</v>
      </c>
      <c r="R100" s="126" cm="1">
        <f t="array" ref="R100">_xlfn.IFS(N100="DELETE", "DELETE", N100=0, 0, N100&gt;0, P100/N100/LN(10))</f>
        <v>0.43429448190325187</v>
      </c>
      <c r="S100" s="155" t="str">
        <f>qPCR_Raw!O100</f>
        <v>Undetermined</v>
      </c>
      <c r="T100" s="156" cm="1">
        <f t="array" ref="T100">_xlfn.IFS(S100="Undetermined", 0, qPCR_Raw!P100&lt;=1, 0, qPCR_Raw!P100&gt;1, qPCR_Raw!P100)</f>
        <v>0</v>
      </c>
      <c r="U100" s="157" t="str">
        <f>qPCR_Raw!R100</f>
        <v>Undetermined</v>
      </c>
      <c r="V100" s="156" cm="1">
        <f t="array" ref="V100">_xlfn.IFS(U100="Undetermined", 0, qPCR_Raw!S100&lt;=1, 0, qPCR_Raw!S100&gt;1, qPCR_Raw!S100)</f>
        <v>0</v>
      </c>
      <c r="W100" s="158" t="str" cm="1">
        <f t="array" ref="W100">_xlfn.IFS(AND(S100="Undetermined", U100="Undetermined"), "Undetermined", AND(T100=0, V100=0), "Undetermined", AND(T100=0, V100&gt;0), "Ten-Fold", AND(T100&gt;0, V100=0), "Undiluted", AND(S100&lt;&gt;"Undetermined", U100&lt;&gt;"Undetermined", T100&gt;0, V100&gt;0, S100&lt;&gt;U100), 100*(-1+10^(-1/(S100-U100))), AND(S100&lt;&gt;"Undetermined", U100&lt;&gt;"Undetermined", S100=U100&gt;0), -100)</f>
        <v>Undetermined</v>
      </c>
      <c r="X100" s="159" cm="1">
        <f t="array" ref="X100">_xlfn.IFS(W100="Undetermined", 0, W100="Undiluted", T100*$G100/$F100*1000, W100="Ten-Fold", V100*$G100/$F100*1000*10, W100&lt;0, V100*$G100/$F100*1000*10, W100&lt;120, T100*$G100/$F100*1000, W100&gt;120, V100*$G100/$F100*1000*10)</f>
        <v>0</v>
      </c>
      <c r="Y100" s="156">
        <f t="shared" si="22"/>
        <v>0</v>
      </c>
      <c r="Z100" s="156">
        <f t="shared" si="23"/>
        <v>0</v>
      </c>
      <c r="AA100" s="156">
        <f t="shared" si="24"/>
        <v>0</v>
      </c>
      <c r="AB100" s="160" cm="1">
        <f t="array" ref="AB100">_xlfn.IFS(Y100="DELETE", "DELETE", Y100=0, 0, Y100&gt;0,LOG10(Y100))</f>
        <v>0</v>
      </c>
      <c r="AC100" s="161" cm="1">
        <f t="array" ref="AC100">_xlfn.IFS(Y100="DELETE", "DELETE", Y100=0, 0, Y100&gt;0, AA100/Y100/LN(10))</f>
        <v>0</v>
      </c>
      <c r="AD100" s="120">
        <f>qPCR_Raw!U100</f>
        <v>38.076160430908203</v>
      </c>
      <c r="AE100" s="121" cm="1">
        <f t="array" ref="AE100">_xlfn.IFS(AD100="Undetermined", 0, qPCR_Raw!V100&lt;=1, 0, qPCR_Raw!V100&gt;1, qPCR_Raw!V100)</f>
        <v>0</v>
      </c>
      <c r="AF100" s="122">
        <f>qPCR_Raw!X100</f>
        <v>25.851436614990234</v>
      </c>
      <c r="AG100" s="121" cm="1">
        <f t="array" ref="AG100">_xlfn.IFS(AF100="Undetermined", 0, qPCR_Raw!Y100&lt;=1, 0, qPCR_Raw!Y100&gt;1, qPCR_Raw!Y100)</f>
        <v>662.1640625</v>
      </c>
      <c r="AH100" s="123" t="str" cm="1">
        <f t="array" ref="AH100">_xlfn.IFS(AND(AD100="Undetermined", AF100="Undetermined"), "Undetermined", AND(AE100=0, AG100=0), "Undetermined", AND(AE100=0, AG100&gt;0), "Ten-Fold", AND(AE100&gt;0, AG100=0), "Undiluted", AND(AD100&lt;&gt;"Undetermined", AF100&lt;&gt;"Undetermined", AE100&gt;0, AG100&gt;0, AD100&lt;&gt;AF100), 100*(-1+10^(-1/(AD100-AF100))), AND(AD100&lt;&gt;"Undetermined", AF100&lt;&gt;"Undetermined", AD100=AF100&gt;0), -100)</f>
        <v>Ten-Fold</v>
      </c>
      <c r="AI100" s="124" cm="1">
        <f t="array" ref="AI100">_xlfn.IFS(AH100="Undetermined", 0, AH100="Undiluted", AE100*$G100/$F100*1000, AH100="Ten-Fold", AG100*$G100/$F100*1000*10, AH100&lt;0, AG100*$G100/$F100*1000*10, AH100&lt;120, AE100*$G100/$F100*1000, AH100&gt;120, AG100*$G100/$F100*1000*10)</f>
        <v>735737.84722222236</v>
      </c>
      <c r="AJ100" s="186">
        <v>0</v>
      </c>
      <c r="AK100" s="186">
        <v>0</v>
      </c>
      <c r="AL100" s="186">
        <f t="shared" si="27"/>
        <v>0</v>
      </c>
      <c r="AM100" s="187" cm="1">
        <f t="array" ref="AM100">_xlfn.IFS(AJ100="DELETE", "DELETE", AJ100=0, 0, AJ100&gt;0,LOG10(AJ100))</f>
        <v>0</v>
      </c>
      <c r="AN100" s="188" cm="1">
        <f t="array" ref="AN100">_xlfn.IFS(AJ100="DELETE", "DELETE", AJ100=0, 0, AJ100&gt;0, AL100/AJ100/LN(10))</f>
        <v>0</v>
      </c>
      <c r="AO100" s="155">
        <f>qPCR_Raw!AA100</f>
        <v>29.718647003173828</v>
      </c>
      <c r="AP100" s="156" cm="1">
        <f t="array" ref="AP100">_xlfn.IFS(AO100="Undetermined", 0, qPCR_Raw!AB100&lt;=6, 0, qPCR_Raw!AB100&gt;6, qPCR_Raw!AB100)</f>
        <v>0</v>
      </c>
      <c r="AQ100" s="157" t="str">
        <f>qPCR_Raw!AD100</f>
        <v>Undetermined</v>
      </c>
      <c r="AR100" s="156" cm="1">
        <f t="array" ref="AR100">_xlfn.IFS(AQ100="Undetermined", 0, qPCR_Raw!AE100&lt;=6, 0, qPCR_Raw!AE100&gt;6, qPCR_Raw!AE100)</f>
        <v>0</v>
      </c>
      <c r="AS100" s="158" t="str" cm="1">
        <f t="array" ref="AS100">_xlfn.IFS(AND(AO100="Undetermined", AQ100="Undetermined"), "Undetermined", AND(AP100=0, AR100=0), "Undetermined", AND(AP100=0, AR100&gt;0), "Ten-Fold", AND(AP100&gt;0, AR100=0), "Undiluted", AND(AO100&lt;&gt;"Undetermined", AQ100&lt;&gt;"Undetermined", AP100&gt;0, AR100&gt;0, AO100&lt;&gt;AQ100), 100*(-1+10^(-1/(AO100-AQ100))), AND(AO100&lt;&gt;"Undetermined", AQ100&lt;&gt;"Undetermined", AO100=AQ100&gt;0), -100)</f>
        <v>Undetermined</v>
      </c>
      <c r="AT100" s="159" cm="1">
        <f t="array" ref="AT100">_xlfn.IFS(AS100="Undetermined", 0, AS100="Undiluted", AP100*$G100/$F100*1000, AS100="Ten-Fold", AR100*$G100/$F100*1000*10, AS100&lt;0, AR100*$G100/$F100*1000*10, AS100&lt;120, AP100*$G100/$F100*1000, AS100&gt;120, AR100*$G100/$F100*1000*10)</f>
        <v>0</v>
      </c>
      <c r="AU100" s="156">
        <f t="shared" si="34"/>
        <v>0</v>
      </c>
      <c r="AV100" s="156">
        <f t="shared" si="35"/>
        <v>0</v>
      </c>
      <c r="AW100" s="156">
        <f t="shared" si="36"/>
        <v>0</v>
      </c>
      <c r="AX100" s="160" cm="1">
        <f t="array" ref="AX100">_xlfn.IFS(AU100="DELETE", "DELETE", AU100=0, 0, AU100&gt;0,LOG10(AU100))</f>
        <v>0</v>
      </c>
      <c r="AY100" s="161" cm="1">
        <f t="array" ref="AY100">_xlfn.IFS(AU100="DELETE", "DELETE", AU100=0, 0, AU100&gt;0, AW100/AU100/LN(10))</f>
        <v>0</v>
      </c>
      <c r="AZ100" s="120" t="str">
        <f>qPCR_Raw!AG100</f>
        <v>Undetermined</v>
      </c>
      <c r="BA100" s="121" cm="1">
        <f t="array" ref="BA100">_xlfn.IFS(AZ100="Undetermined", 0, qPCR_Raw!AH100&lt;=1, 0, qPCR_Raw!AH100&gt;1, qPCR_Raw!AH100)</f>
        <v>0</v>
      </c>
      <c r="BB100" s="122" t="str">
        <f>qPCR_Raw!AJ100</f>
        <v>Undetermined</v>
      </c>
      <c r="BC100" s="121" cm="1">
        <f t="array" ref="BC100">_xlfn.IFS(BB100="Undetermined", 0, qPCR_Raw!AK100&lt;=1, 0, qPCR_Raw!AK100&gt;1, qPCR_Raw!AK100)</f>
        <v>0</v>
      </c>
      <c r="BD100" s="123" t="str" cm="1">
        <f t="array" ref="BD100">_xlfn.IFS(AND(AZ100="Undetermined", BB100="Undetermined"), "Undetermined", AND(BA100=0, BC100=0), "Undetermined", AND(BA100=0, BC100&gt;0), "Ten-Fold", AND(BA100&gt;0, BC100=0), "Undiluted", AND(AZ100&lt;&gt;"Undetermined", BB100&lt;&gt;"Undetermined", BA100&gt;0, BC100&gt;0, AZ100&lt;&gt;BB100), 100*(-1+10^(-1/(AZ100-BB100))), AND(AZ100&lt;&gt;"Undetermined", BB100&lt;&gt;"Undetermined", AZ100=BB100&gt;0), -100)</f>
        <v>Undetermined</v>
      </c>
      <c r="BE100" s="124" cm="1">
        <f t="array" ref="BE100">_xlfn.IFS(BD100="Undetermined", 0, BD100="Undiluted", BA100*$G100/$F100*1000, BD100="Ten-Fold", BC100*$G100/$F100*1000*10, BD100&lt;0, BC100*$G100/$F100*1000*10, BD100&lt;120, BA100*$G100/$F100*1000, BD100&gt;120, BC100*$G100/$F100*1000*10)</f>
        <v>0</v>
      </c>
      <c r="BF100" s="121">
        <f t="shared" si="31"/>
        <v>0</v>
      </c>
      <c r="BG100" s="121">
        <f t="shared" si="32"/>
        <v>0</v>
      </c>
      <c r="BH100" s="121">
        <f t="shared" si="33"/>
        <v>0</v>
      </c>
      <c r="BI100" s="125" cm="1">
        <f t="array" ref="BI100">_xlfn.IFS(BF100="DELETE", "DELETE", BF100=0, 0, BF100&gt;0,LOG10(BF100))</f>
        <v>0</v>
      </c>
      <c r="BJ100" s="126" cm="1">
        <f t="array" ref="BJ100">_xlfn.IFS(BF100="DELETE", "DELETE", BF100=0, 0, BF100&gt;0, BH100/BF100/LN(10))</f>
        <v>0</v>
      </c>
    </row>
    <row r="101" spans="1:62" s="114" customFormat="1" x14ac:dyDescent="0.3">
      <c r="A101" s="115" t="str">
        <f>UPPER(LEFT(SUBSTITUTE(SUBSTITUTE(qPCR_Raw!A101,"-","")," ",""),2))&amp;RIGHT(SUBSTITUTE(SUBSTITUTE(qPCR_Raw!A101,"-","")," ",""),LEN(SUBSTITUTE(SUBSTITUTE(qPCR_Raw!A101,"-","")," ",""))-2)</f>
        <v>STb7</v>
      </c>
      <c r="B101" s="116" t="str" cm="1">
        <f t="array" ref="B101">_xlfn.IFS(LEFT(A101, LEN(A101)-1)="EP", "EP", LEFT(A101, LEN(A101)-1)="STa", "SPI", LEFT(A101, LEN(A101)-1)="STb", "SPO", LEFT(A101, LEN(A101)-1)="MRT", "MRT", LEFT(A101, LEN(A101)-1)="RG", "RN", LEFT(A101, LEN(A101)-1)="RT", "RU", LEFT(A101, LEN(A101)-1)="RW", "RL", LEFT(A101, LEN(A101)-1)="RC", "RS")</f>
        <v>SPO</v>
      </c>
      <c r="C101" s="117">
        <f>qPCR_Raw!B101</f>
        <v>44377</v>
      </c>
      <c r="D101" s="117" t="str">
        <f t="shared" si="17"/>
        <v>SPO44377</v>
      </c>
      <c r="E101" s="117" t="str">
        <f t="shared" si="18"/>
        <v>SPO443777</v>
      </c>
      <c r="F101" s="118">
        <f>qPCR_Raw!C101</f>
        <v>1000</v>
      </c>
      <c r="G101" s="119">
        <f>qPCR_Raw!F101</f>
        <v>100</v>
      </c>
      <c r="H101" s="120" t="str">
        <f>qPCR_Raw!G101</f>
        <v>Undetermined</v>
      </c>
      <c r="I101" s="121" cm="1">
        <f t="array" ref="I101">_xlfn.IFS(H101="Undetermined", 0, qPCR_Raw!H101-qPCR_Raw!$H$242&lt;0, 0, qPCR_Raw!H101-qPCR_Raw!$H$242&gt;0, qPCR_Raw!H101-qPCR_Raw!$H$242)</f>
        <v>0</v>
      </c>
      <c r="J101" s="122">
        <f>qPCR_Raw!K101</f>
        <v>26.275590896606445</v>
      </c>
      <c r="K101" s="121" cm="1">
        <f t="array" ref="K101">_xlfn.IFS(J101="Undetermined", 0, qPCR_Raw!L101-qPCR_Raw!$H$242&lt;0, 0, qPCR_Raw!L101-qPCR_Raw!$H$242&gt;0, qPCR_Raw!L101-qPCR_Raw!$H$242)</f>
        <v>0</v>
      </c>
      <c r="L101" s="123" t="str" cm="1">
        <f t="array" ref="L101">_xlfn.IFS(AND(H101="Undetermined", J101="Undetermined"), "Undetermined", AND(I101=0, K101=0), "Undetermined", AND(I101=0, K101&gt;0), "Ten-Fold", AND(I101&gt;0, K101=0), "Undiluted", AND(H101&lt;&gt;"Undetermined", J101&lt;&gt;"Undetermined", I101&gt;0, K101&gt;0), 100*(-1+10^(-1/(H101-J101))))</f>
        <v>Undetermined</v>
      </c>
      <c r="M101" s="124" cm="1">
        <f t="array" ref="M101">_xlfn.IFS(L101="Undetermined", 0, L101="Undiluted", I101*$G101/$F101*1000, L101="Ten-Fold", K101*$G101/$F101*1000*10, L101&lt;0, K101*$G101/$F101*1000*10, L101&lt;120, I101*$G101/$F101*1000, L101&gt;120, K101*$G101/$F101*1000*10)</f>
        <v>0</v>
      </c>
      <c r="N101" s="121" t="str">
        <f t="shared" si="19"/>
        <v>DELETE</v>
      </c>
      <c r="O101" s="121" t="str">
        <f t="shared" si="20"/>
        <v>DELETE</v>
      </c>
      <c r="P101" s="121" t="str">
        <f t="shared" si="21"/>
        <v>DELETE</v>
      </c>
      <c r="Q101" s="125" t="str" cm="1">
        <f t="array" ref="Q101">_xlfn.IFS(N101="DELETE", "DELETE", N101=0, 0, N101&gt;0,LOG10(N101))</f>
        <v>DELETE</v>
      </c>
      <c r="R101" s="126" t="str" cm="1">
        <f t="array" ref="R101">_xlfn.IFS(N101="DELETE", "DELETE", N101=0, 0, N101&gt;0, P101/N101/LN(10))</f>
        <v>DELETE</v>
      </c>
      <c r="S101" s="155" t="str">
        <f>qPCR_Raw!O101</f>
        <v>Undetermined</v>
      </c>
      <c r="T101" s="156" cm="1">
        <f t="array" ref="T101">_xlfn.IFS(S101="Undetermined", 0, qPCR_Raw!P101&lt;=1, 0, qPCR_Raw!P101&gt;1, qPCR_Raw!P101)</f>
        <v>0</v>
      </c>
      <c r="U101" s="157" t="str">
        <f>qPCR_Raw!R101</f>
        <v>Undetermined</v>
      </c>
      <c r="V101" s="156" cm="1">
        <f t="array" ref="V101">_xlfn.IFS(U101="Undetermined", 0, qPCR_Raw!S101&lt;=1, 0, qPCR_Raw!S101&gt;1, qPCR_Raw!S101)</f>
        <v>0</v>
      </c>
      <c r="W101" s="158" t="str" cm="1">
        <f t="array" ref="W101">_xlfn.IFS(AND(S101="Undetermined", U101="Undetermined"), "Undetermined", AND(T101=0, V101=0), "Undetermined", AND(T101=0, V101&gt;0), "Ten-Fold", AND(T101&gt;0, V101=0), "Undiluted", AND(S101&lt;&gt;"Undetermined", U101&lt;&gt;"Undetermined", T101&gt;0, V101&gt;0, S101&lt;&gt;U101), 100*(-1+10^(-1/(S101-U101))), AND(S101&lt;&gt;"Undetermined", U101&lt;&gt;"Undetermined", S101=U101&gt;0), -100)</f>
        <v>Undetermined</v>
      </c>
      <c r="X101" s="159" cm="1">
        <f t="array" ref="X101">_xlfn.IFS(W101="Undetermined", 0, W101="Undiluted", T101*$G101/$F101*1000, W101="Ten-Fold", V101*$G101/$F101*1000*10, W101&lt;0, V101*$G101/$F101*1000*10, W101&lt;120, T101*$G101/$F101*1000, W101&gt;120, V101*$G101/$F101*1000*10)</f>
        <v>0</v>
      </c>
      <c r="Y101" s="156" t="str">
        <f t="shared" si="22"/>
        <v>DELETE</v>
      </c>
      <c r="Z101" s="156" t="str">
        <f t="shared" si="23"/>
        <v>DELETE</v>
      </c>
      <c r="AA101" s="156" t="str">
        <f t="shared" si="24"/>
        <v>DELETE</v>
      </c>
      <c r="AB101" s="160" t="str" cm="1">
        <f t="array" ref="AB101">_xlfn.IFS(Y101="DELETE", "DELETE", Y101=0, 0, Y101&gt;0,LOG10(Y101))</f>
        <v>DELETE</v>
      </c>
      <c r="AC101" s="161" t="str" cm="1">
        <f t="array" ref="AC101">_xlfn.IFS(Y101="DELETE", "DELETE", Y101=0, 0, Y101&gt;0, AA101/Y101/LN(10))</f>
        <v>DELETE</v>
      </c>
      <c r="AD101" s="120" t="str">
        <f>qPCR_Raw!U101</f>
        <v>Undetermined</v>
      </c>
      <c r="AE101" s="121" cm="1">
        <f t="array" ref="AE101">_xlfn.IFS(AD101="Undetermined", 0, qPCR_Raw!V101&lt;=1, 0, qPCR_Raw!V101&gt;1, qPCR_Raw!V101)</f>
        <v>0</v>
      </c>
      <c r="AF101" s="122" t="str">
        <f>qPCR_Raw!X101</f>
        <v>Undetermined</v>
      </c>
      <c r="AG101" s="121" cm="1">
        <f t="array" ref="AG101">_xlfn.IFS(AF101="Undetermined", 0, qPCR_Raw!Y101&lt;=1, 0, qPCR_Raw!Y101&gt;1, qPCR_Raw!Y101)</f>
        <v>0</v>
      </c>
      <c r="AH101" s="123" t="str" cm="1">
        <f t="array" ref="AH101">_xlfn.IFS(AND(AD101="Undetermined", AF101="Undetermined"), "Undetermined", AND(AE101=0, AG101=0), "Undetermined", AND(AE101=0, AG101&gt;0), "Ten-Fold", AND(AE101&gt;0, AG101=0), "Undiluted", AND(AD101&lt;&gt;"Undetermined", AF101&lt;&gt;"Undetermined", AE101&gt;0, AG101&gt;0, AD101&lt;&gt;AF101), 100*(-1+10^(-1/(AD101-AF101))), AND(AD101&lt;&gt;"Undetermined", AF101&lt;&gt;"Undetermined", AD101=AF101&gt;0), -100)</f>
        <v>Undetermined</v>
      </c>
      <c r="AI101" s="124" cm="1">
        <f t="array" ref="AI101">_xlfn.IFS(AH101="Undetermined", 0, AH101="Undiluted", AE101*$G101/$F101*1000, AH101="Ten-Fold", AG101*$G101/$F101*1000*10, AH101&lt;0, AG101*$G101/$F101*1000*10, AH101&lt;120, AE101*$G101/$F101*1000, AH101&gt;120, AG101*$G101/$F101*1000*10)</f>
        <v>0</v>
      </c>
      <c r="AJ101" s="121" t="str">
        <f t="shared" si="25"/>
        <v>DELETE</v>
      </c>
      <c r="AK101" s="121" t="str">
        <f t="shared" si="26"/>
        <v>DELETE</v>
      </c>
      <c r="AL101" s="121" t="str">
        <f t="shared" si="27"/>
        <v>DELETE</v>
      </c>
      <c r="AM101" s="125" t="str" cm="1">
        <f t="array" ref="AM101">_xlfn.IFS(AJ101="DELETE", "DELETE", AJ101=0, 0, AJ101&gt;0,LOG10(AJ101))</f>
        <v>DELETE</v>
      </c>
      <c r="AN101" s="126" t="str" cm="1">
        <f t="array" ref="AN101">_xlfn.IFS(AJ101="DELETE", "DELETE", AJ101=0, 0, AJ101&gt;0, AL101/AJ101/LN(10))</f>
        <v>DELETE</v>
      </c>
      <c r="AO101" s="155">
        <f>qPCR_Raw!AA101</f>
        <v>30.554409027099609</v>
      </c>
      <c r="AP101" s="156" cm="1">
        <f t="array" ref="AP101">_xlfn.IFS(AO101="Undetermined", 0, qPCR_Raw!AB101&lt;=6, 0, qPCR_Raw!AB101&gt;6, qPCR_Raw!AB101)</f>
        <v>0</v>
      </c>
      <c r="AQ101" s="157" t="str">
        <f>qPCR_Raw!AD101</f>
        <v>Undetermined</v>
      </c>
      <c r="AR101" s="156" cm="1">
        <f t="array" ref="AR101">_xlfn.IFS(AQ101="Undetermined", 0, qPCR_Raw!AE101&lt;=6, 0, qPCR_Raw!AE101&gt;6, qPCR_Raw!AE101)</f>
        <v>0</v>
      </c>
      <c r="AS101" s="158" t="str" cm="1">
        <f t="array" ref="AS101">_xlfn.IFS(AND(AO101="Undetermined", AQ101="Undetermined"), "Undetermined", AND(AP101=0, AR101=0), "Undetermined", AND(AP101=0, AR101&gt;0), "Ten-Fold", AND(AP101&gt;0, AR101=0), "Undiluted", AND(AO101&lt;&gt;"Undetermined", AQ101&lt;&gt;"Undetermined", AP101&gt;0, AR101&gt;0, AO101&lt;&gt;AQ101), 100*(-1+10^(-1/(AO101-AQ101))), AND(AO101&lt;&gt;"Undetermined", AQ101&lt;&gt;"Undetermined", AO101=AQ101&gt;0), -100)</f>
        <v>Undetermined</v>
      </c>
      <c r="AT101" s="159" cm="1">
        <f t="array" ref="AT101">_xlfn.IFS(AS101="Undetermined", 0, AS101="Undiluted", AP101*$G101/$F101*1000, AS101="Ten-Fold", AR101*$G101/$F101*1000*10, AS101&lt;0, AR101*$G101/$F101*1000*10, AS101&lt;120, AP101*$G101/$F101*1000, AS101&gt;120, AR101*$G101/$F101*1000*10)</f>
        <v>0</v>
      </c>
      <c r="AU101" s="156" t="str">
        <f t="shared" si="34"/>
        <v>DELETE</v>
      </c>
      <c r="AV101" s="156" t="str">
        <f t="shared" si="35"/>
        <v>DELETE</v>
      </c>
      <c r="AW101" s="156" t="str">
        <f t="shared" si="36"/>
        <v>DELETE</v>
      </c>
      <c r="AX101" s="160" t="str" cm="1">
        <f t="array" ref="AX101">_xlfn.IFS(AU101="DELETE", "DELETE", AU101=0, 0, AU101&gt;0,LOG10(AU101))</f>
        <v>DELETE</v>
      </c>
      <c r="AY101" s="161" t="str" cm="1">
        <f t="array" ref="AY101">_xlfn.IFS(AU101="DELETE", "DELETE", AU101=0, 0, AU101&gt;0, AW101/AU101/LN(10))</f>
        <v>DELETE</v>
      </c>
      <c r="AZ101" s="120" t="str">
        <f>qPCR_Raw!AG101</f>
        <v>Undetermined</v>
      </c>
      <c r="BA101" s="121" cm="1">
        <f t="array" ref="BA101">_xlfn.IFS(AZ101="Undetermined", 0, qPCR_Raw!AH101&lt;=1, 0, qPCR_Raw!AH101&gt;1, qPCR_Raw!AH101)</f>
        <v>0</v>
      </c>
      <c r="BB101" s="122" t="str">
        <f>qPCR_Raw!AJ101</f>
        <v>Undetermined</v>
      </c>
      <c r="BC101" s="121" cm="1">
        <f t="array" ref="BC101">_xlfn.IFS(BB101="Undetermined", 0, qPCR_Raw!AK101&lt;=1, 0, qPCR_Raw!AK101&gt;1, qPCR_Raw!AK101)</f>
        <v>0</v>
      </c>
      <c r="BD101" s="123" t="str" cm="1">
        <f t="array" ref="BD101">_xlfn.IFS(AND(AZ101="Undetermined", BB101="Undetermined"), "Undetermined", AND(BA101=0, BC101=0), "Undetermined", AND(BA101=0, BC101&gt;0), "Ten-Fold", AND(BA101&gt;0, BC101=0), "Undiluted", AND(AZ101&lt;&gt;"Undetermined", BB101&lt;&gt;"Undetermined", BA101&gt;0, BC101&gt;0, AZ101&lt;&gt;BB101), 100*(-1+10^(-1/(AZ101-BB101))), AND(AZ101&lt;&gt;"Undetermined", BB101&lt;&gt;"Undetermined", AZ101=BB101&gt;0), -100)</f>
        <v>Undetermined</v>
      </c>
      <c r="BE101" s="124" cm="1">
        <f t="array" ref="BE101">_xlfn.IFS(BD101="Undetermined", 0, BD101="Undiluted", BA101*$G101/$F101*1000, BD101="Ten-Fold", BC101*$G101/$F101*1000*10, BD101&lt;0, BC101*$G101/$F101*1000*10, BD101&lt;120, BA101*$G101/$F101*1000, BD101&gt;120, BC101*$G101/$F101*1000*10)</f>
        <v>0</v>
      </c>
      <c r="BF101" s="121" t="str">
        <f t="shared" si="31"/>
        <v>DELETE</v>
      </c>
      <c r="BG101" s="121" t="str">
        <f t="shared" si="32"/>
        <v>DELETE</v>
      </c>
      <c r="BH101" s="121" t="str">
        <f t="shared" si="33"/>
        <v>DELETE</v>
      </c>
      <c r="BI101" s="125" t="str" cm="1">
        <f t="array" ref="BI101">_xlfn.IFS(BF101="DELETE", "DELETE", BF101=0, 0, BF101&gt;0,LOG10(BF101))</f>
        <v>DELETE</v>
      </c>
      <c r="BJ101" s="126" t="str" cm="1">
        <f t="array" ref="BJ101">_xlfn.IFS(BF101="DELETE", "DELETE", BF101=0, 0, BF101&gt;0, BH101/BF101/LN(10))</f>
        <v>DELETE</v>
      </c>
    </row>
    <row r="102" spans="1:62" s="114" customFormat="1" x14ac:dyDescent="0.3">
      <c r="A102" s="115" t="str">
        <f>UPPER(LEFT(SUBSTITUTE(SUBSTITUTE(qPCR_Raw!A102,"-","")," ",""),2))&amp;RIGHT(SUBSTITUTE(SUBSTITUTE(qPCR_Raw!A102,"-","")," ",""),LEN(SUBSTITUTE(SUBSTITUTE(qPCR_Raw!A102,"-","")," ",""))-2)</f>
        <v>RC6</v>
      </c>
      <c r="B102" s="116" t="str" cm="1">
        <f t="array" ref="B102">_xlfn.IFS(LEFT(A102, LEN(A102)-1)="EP", "EP", LEFT(A102, LEN(A102)-1)="STa", "SPI", LEFT(A102, LEN(A102)-1)="STb", "SPO", LEFT(A102, LEN(A102)-1)="MRT", "MRT", LEFT(A102, LEN(A102)-1)="RG", "RN", LEFT(A102, LEN(A102)-1)="RT", "RU", LEFT(A102, LEN(A102)-1)="RW", "RL", LEFT(A102, LEN(A102)-1)="RC", "RS")</f>
        <v>RS</v>
      </c>
      <c r="C102" s="117">
        <f>qPCR_Raw!B102</f>
        <v>44377</v>
      </c>
      <c r="D102" s="117" t="str">
        <f t="shared" si="17"/>
        <v>RS44377</v>
      </c>
      <c r="E102" s="117" t="str">
        <f t="shared" si="18"/>
        <v>RS443776</v>
      </c>
      <c r="F102" s="118">
        <f>qPCR_Raw!C102</f>
        <v>960</v>
      </c>
      <c r="G102" s="119">
        <f>qPCR_Raw!F102</f>
        <v>100</v>
      </c>
      <c r="H102" s="120">
        <f>qPCR_Raw!G102</f>
        <v>16.263738632202148</v>
      </c>
      <c r="I102" s="121" cm="1">
        <f t="array" ref="I102">_xlfn.IFS(H102="Undetermined", 0, qPCR_Raw!H102-qPCR_Raw!$H$242&lt;0, 0, qPCR_Raw!H102-qPCR_Raw!$H$242&gt;0, qPCR_Raw!H102-qPCR_Raw!$H$242)</f>
        <v>1228571.1114461264</v>
      </c>
      <c r="J102" s="122">
        <f>qPCR_Raw!K102</f>
        <v>18.995187759399414</v>
      </c>
      <c r="K102" s="121" cm="1">
        <f t="array" ref="K102">_xlfn.IFS(J102="Undetermined", 0, qPCR_Raw!L102-qPCR_Raw!$H$242&lt;0, 0, qPCR_Raw!L102-qPCR_Raw!$H$242&gt;0, qPCR_Raw!L102-qPCR_Raw!$H$242)</f>
        <v>196330.83019612631</v>
      </c>
      <c r="L102" s="123" cm="1">
        <f t="array" ref="L102">_xlfn.IFS(AND(H102="Undetermined", J102="Undetermined"), "Undetermined", AND(I102=0, K102=0), "Undetermined", AND(I102=0, K102&gt;0), "Ten-Fold", AND(I102&gt;0, K102=0), "Undiluted", AND(H102&lt;&gt;"Undetermined", J102&lt;&gt;"Undetermined", I102&gt;0, K102&gt;0), 100*(-1+10^(-1/(H102-J102))))</f>
        <v>132.33039533711656</v>
      </c>
      <c r="M102" s="124" cm="1">
        <f t="array" ref="M102">_xlfn.IFS(L102="Undetermined", 0, L102="Undiluted", I102*$G102/$F102*1000, L102="Ten-Fold", K102*$G102/$F102*1000*10, L102&lt;0, K102*$G102/$F102*1000*10, L102&lt;120, I102*$G102/$F102*1000, L102&gt;120, K102*$G102/$F102*1000*10)</f>
        <v>204511281.45429823</v>
      </c>
      <c r="N102" s="121">
        <f t="shared" si="19"/>
        <v>143376061.67969105</v>
      </c>
      <c r="O102" s="121">
        <f t="shared" si="20"/>
        <v>86458256.943909243</v>
      </c>
      <c r="P102" s="121">
        <f t="shared" si="21"/>
        <v>61135219.774607129</v>
      </c>
      <c r="Q102" s="125" cm="1">
        <f t="array" ref="Q102">_xlfn.IFS(N102="DELETE", "DELETE", N102=0, 0, N102&gt;0,LOG10(N102))</f>
        <v>8.15647664681115</v>
      </c>
      <c r="R102" s="126" cm="1">
        <f t="array" ref="R102">_xlfn.IFS(N102="DELETE", "DELETE", N102=0, 0, N102&gt;0, P102/N102/LN(10))</f>
        <v>0.18518215863237994</v>
      </c>
      <c r="S102" s="155">
        <f>qPCR_Raw!O102</f>
        <v>30.515840530395508</v>
      </c>
      <c r="T102" s="156" cm="1">
        <f t="array" ref="T102">_xlfn.IFS(S102="Undetermined", 0, qPCR_Raw!P102&lt;=1, 0, qPCR_Raw!P102&gt;1, qPCR_Raw!P102)</f>
        <v>772.81024169921875</v>
      </c>
      <c r="U102" s="157">
        <f>qPCR_Raw!R102</f>
        <v>34.171127319335938</v>
      </c>
      <c r="V102" s="156" cm="1">
        <f t="array" ref="V102">_xlfn.IFS(U102="Undetermined", 0, qPCR_Raw!S102&lt;=1, 0, qPCR_Raw!S102&gt;1, qPCR_Raw!S102)</f>
        <v>83.405303955078125</v>
      </c>
      <c r="W102" s="158" cm="1">
        <f t="array" ref="W102">_xlfn.IFS(AND(S102="Undetermined", U102="Undetermined"), "Undetermined", AND(T102=0, V102=0), "Undetermined", AND(T102=0, V102&gt;0), "Ten-Fold", AND(T102&gt;0, V102=0), "Undiluted", AND(S102&lt;&gt;"Undetermined", U102&lt;&gt;"Undetermined", T102&gt;0, V102&gt;0, S102&lt;&gt;U102), 100*(-1+10^(-1/(S102-U102))), AND(S102&lt;&gt;"Undetermined", U102&lt;&gt;"Undetermined", S102=U102&gt;0), -100)</f>
        <v>87.748443438830151</v>
      </c>
      <c r="X102" s="159" cm="1">
        <f t="array" ref="X102">_xlfn.IFS(W102="Undetermined", 0, W102="Undiluted", T102*$G102/$F102*1000, W102="Ten-Fold", V102*$G102/$F102*1000*10, W102&lt;0, V102*$G102/$F102*1000*10, W102&lt;120, T102*$G102/$F102*1000, W102&gt;120, V102*$G102/$F102*1000*10)</f>
        <v>80501.066843668625</v>
      </c>
      <c r="Y102" s="156">
        <f t="shared" si="22"/>
        <v>57434.004095447803</v>
      </c>
      <c r="Z102" s="156">
        <f t="shared" si="23"/>
        <v>32621.752982645095</v>
      </c>
      <c r="AA102" s="156">
        <f t="shared" si="24"/>
        <v>23067.062748220829</v>
      </c>
      <c r="AB102" s="160" cm="1">
        <f t="array" ref="AB102">_xlfn.IFS(Y102="DELETE", "DELETE", Y102=0, 0, Y102&gt;0,LOG10(Y102))</f>
        <v>4.7591690948104999</v>
      </c>
      <c r="AC102" s="161" cm="1">
        <f t="array" ref="AC102">_xlfn.IFS(Y102="DELETE", "DELETE", Y102=0, 0, Y102&gt;0, AA102/Y102/LN(10))</f>
        <v>0.17442451075881682</v>
      </c>
      <c r="AD102" s="120">
        <f>qPCR_Raw!U102</f>
        <v>24.350997924804688</v>
      </c>
      <c r="AE102" s="121" cm="1">
        <f t="array" ref="AE102">_xlfn.IFS(AD102="Undetermined", 0, qPCR_Raw!V102&lt;=1, 0, qPCR_Raw!V102&gt;1, qPCR_Raw!V102)</f>
        <v>1744.7291259765625</v>
      </c>
      <c r="AF102" s="122">
        <f>qPCR_Raw!X102</f>
        <v>27.467241287231445</v>
      </c>
      <c r="AG102" s="121" cm="1">
        <f t="array" ref="AG102">_xlfn.IFS(AF102="Undetermined", 0, qPCR_Raw!Y102&lt;=1, 0, qPCR_Raw!Y102&gt;1, qPCR_Raw!Y102)</f>
        <v>233.26606750488281</v>
      </c>
      <c r="AH102" s="123" cm="1">
        <f t="array" ref="AH102">_xlfn.IFS(AND(AD102="Undetermined", AF102="Undetermined"), "Undetermined", AND(AE102=0, AG102=0), "Undetermined", AND(AE102=0, AG102&gt;0), "Ten-Fold", AND(AE102&gt;0, AG102=0), "Undiluted", AND(AD102&lt;&gt;"Undetermined", AF102&lt;&gt;"Undetermined", AE102&gt;0, AG102&gt;0, AD102&lt;&gt;AF102), 100*(-1+10^(-1/(AD102-AF102))), AND(AD102&lt;&gt;"Undetermined", AF102&lt;&gt;"Undetermined", AD102=AF102&gt;0), -100)</f>
        <v>109.36264644356544</v>
      </c>
      <c r="AI102" s="124" cm="1">
        <f t="array" ref="AI102">_xlfn.IFS(AH102="Undetermined", 0, AH102="Undiluted", AE102*$G102/$F102*1000, AH102="Ten-Fold", AG102*$G102/$F102*1000*10, AH102&lt;0, AG102*$G102/$F102*1000*10, AH102&lt;120, AE102*$G102/$F102*1000, AH102&gt;120, AG102*$G102/$F102*1000*10)</f>
        <v>181742.61728922525</v>
      </c>
      <c r="AJ102" s="121">
        <f t="shared" si="25"/>
        <v>107100.73275443834</v>
      </c>
      <c r="AK102" s="121">
        <f t="shared" si="26"/>
        <v>105559.56543018222</v>
      </c>
      <c r="AL102" s="121">
        <f t="shared" si="27"/>
        <v>74641.884534786906</v>
      </c>
      <c r="AM102" s="125" cm="1">
        <f t="array" ref="AM102">_xlfn.IFS(AJ102="DELETE", "DELETE", AJ102=0, 0, AJ102&gt;0,LOG10(AJ102))</f>
        <v>5.0297924421681817</v>
      </c>
      <c r="AN102" s="126" cm="1">
        <f t="array" ref="AN102">_xlfn.IFS(AJ102="DELETE", "DELETE", AJ102=0, 0, AJ102&gt;0, AL102/AJ102/LN(10))</f>
        <v>0.30267354609648317</v>
      </c>
      <c r="AO102" s="155">
        <f>qPCR_Raw!AA102</f>
        <v>29.726537704467773</v>
      </c>
      <c r="AP102" s="156" cm="1">
        <f t="array" ref="AP102">_xlfn.IFS(AO102="Undetermined", 0, qPCR_Raw!AB102&lt;=6, 0, qPCR_Raw!AB102&gt;6, qPCR_Raw!AB102)</f>
        <v>0</v>
      </c>
      <c r="AQ102" s="157" t="str">
        <f>qPCR_Raw!AD102</f>
        <v>Undetermined</v>
      </c>
      <c r="AR102" s="156" cm="1">
        <f t="array" ref="AR102">_xlfn.IFS(AQ102="Undetermined", 0, qPCR_Raw!AE102&lt;=6, 0, qPCR_Raw!AE102&gt;6, qPCR_Raw!AE102)</f>
        <v>0</v>
      </c>
      <c r="AS102" s="158" t="str" cm="1">
        <f t="array" ref="AS102">_xlfn.IFS(AND(AO102="Undetermined", AQ102="Undetermined"), "Undetermined", AND(AP102=0, AR102=0), "Undetermined", AND(AP102=0, AR102&gt;0), "Ten-Fold", AND(AP102&gt;0, AR102=0), "Undiluted", AND(AO102&lt;&gt;"Undetermined", AQ102&lt;&gt;"Undetermined", AP102&gt;0, AR102&gt;0, AO102&lt;&gt;AQ102), 100*(-1+10^(-1/(AO102-AQ102))), AND(AO102&lt;&gt;"Undetermined", AQ102&lt;&gt;"Undetermined", AO102=AQ102&gt;0), -100)</f>
        <v>Undetermined</v>
      </c>
      <c r="AT102" s="159" cm="1">
        <f t="array" ref="AT102">_xlfn.IFS(AS102="Undetermined", 0, AS102="Undiluted", AP102*$G102/$F102*1000, AS102="Ten-Fold", AR102*$G102/$F102*1000*10, AS102&lt;0, AR102*$G102/$F102*1000*10, AS102&lt;120, AP102*$G102/$F102*1000, AS102&gt;120, AR102*$G102/$F102*1000*10)</f>
        <v>0</v>
      </c>
      <c r="AU102" s="156">
        <f t="shared" si="34"/>
        <v>0</v>
      </c>
      <c r="AV102" s="156">
        <f t="shared" si="35"/>
        <v>0</v>
      </c>
      <c r="AW102" s="156">
        <f t="shared" si="36"/>
        <v>0</v>
      </c>
      <c r="AX102" s="160" cm="1">
        <f t="array" ref="AX102">_xlfn.IFS(AU102="DELETE", "DELETE", AU102=0, 0, AU102&gt;0,LOG10(AU102))</f>
        <v>0</v>
      </c>
      <c r="AY102" s="161" cm="1">
        <f t="array" ref="AY102">_xlfn.IFS(AU102="DELETE", "DELETE", AU102=0, 0, AU102&gt;0, AW102/AU102/LN(10))</f>
        <v>0</v>
      </c>
      <c r="AZ102" s="120">
        <f>qPCR_Raw!AG102</f>
        <v>22.534446716308594</v>
      </c>
      <c r="BA102" s="121" cm="1">
        <f t="array" ref="BA102">_xlfn.IFS(AZ102="Undetermined", 0, qPCR_Raw!AH102&lt;=1, 0, qPCR_Raw!AH102&gt;1, qPCR_Raw!AH102)</f>
        <v>13295.5224609375</v>
      </c>
      <c r="BB102" s="122">
        <f>qPCR_Raw!AJ102</f>
        <v>26.915779113769531</v>
      </c>
      <c r="BC102" s="121" cm="1">
        <f t="array" ref="BC102">_xlfn.IFS(BB102="Undetermined", 0, qPCR_Raw!AK102&lt;=1, 0, qPCR_Raw!AK102&gt;1, qPCR_Raw!AK102)</f>
        <v>873.4205322265625</v>
      </c>
      <c r="BD102" s="123" cm="1">
        <f t="array" ref="BD102">_xlfn.IFS(AND(AZ102="Undetermined", BB102="Undetermined"), "Undetermined", AND(BA102=0, BC102=0), "Undetermined", AND(BA102=0, BC102&gt;0), "Ten-Fold", AND(BA102&gt;0, BC102=0), "Undiluted", AND(AZ102&lt;&gt;"Undetermined", BB102&lt;&gt;"Undetermined", BA102&gt;0, BC102&gt;0, AZ102&lt;&gt;BB102), 100*(-1+10^(-1/(AZ102-BB102))), AND(AZ102&lt;&gt;"Undetermined", BB102&lt;&gt;"Undetermined", AZ102=BB102&gt;0), -100)</f>
        <v>69.137953411013228</v>
      </c>
      <c r="BE102" s="124" cm="1">
        <f t="array" ref="BE102">_xlfn.IFS(BD102="Undetermined", 0, BD102="Undiluted", BA102*$G102/$F102*1000, BD102="Ten-Fold", BC102*$G102/$F102*1000*10, BD102&lt;0, BC102*$G102/$F102*1000*10, BD102&lt;120, BA102*$G102/$F102*1000, BD102&gt;120, BC102*$G102/$F102*1000*10)</f>
        <v>1384950.2563476563</v>
      </c>
      <c r="BF102" s="121">
        <f t="shared" si="31"/>
        <v>952376.10366318247</v>
      </c>
      <c r="BG102" s="121">
        <f t="shared" si="32"/>
        <v>611752.23345843283</v>
      </c>
      <c r="BH102" s="121">
        <f t="shared" si="33"/>
        <v>432574.15268447378</v>
      </c>
      <c r="BI102" s="125" cm="1">
        <f t="array" ref="BI102">_xlfn.IFS(BF102="DELETE", "DELETE", BF102=0, 0, BF102&gt;0,LOG10(BF102))</f>
        <v>5.9788084898644929</v>
      </c>
      <c r="BJ102" s="126" cm="1">
        <f t="array" ref="BJ102">_xlfn.IFS(BF102="DELETE", "DELETE", BF102=0, 0, BF102&gt;0, BH102/BF102/LN(10))</f>
        <v>0.19725880017594594</v>
      </c>
    </row>
    <row r="103" spans="1:62" s="114" customFormat="1" x14ac:dyDescent="0.3">
      <c r="A103" s="115" t="str">
        <f>UPPER(LEFT(SUBSTITUTE(SUBSTITUTE(qPCR_Raw!A103,"-","")," ",""),2))&amp;RIGHT(SUBSTITUTE(SUBSTITUTE(qPCR_Raw!A103,"-","")," ",""),LEN(SUBSTITUTE(SUBSTITUTE(qPCR_Raw!A103,"-","")," ",""))-2)</f>
        <v>RC7</v>
      </c>
      <c r="B103" s="116" t="str" cm="1">
        <f t="array" ref="B103">_xlfn.IFS(LEFT(A103, LEN(A103)-1)="EP", "EP", LEFT(A103, LEN(A103)-1)="STa", "SPI", LEFT(A103, LEN(A103)-1)="STb", "SPO", LEFT(A103, LEN(A103)-1)="MRT", "MRT", LEFT(A103, LEN(A103)-1)="RG", "RN", LEFT(A103, LEN(A103)-1)="RT", "RU", LEFT(A103, LEN(A103)-1)="RW", "RL", LEFT(A103, LEN(A103)-1)="RC", "RS")</f>
        <v>RS</v>
      </c>
      <c r="C103" s="117">
        <f>qPCR_Raw!B103</f>
        <v>44377</v>
      </c>
      <c r="D103" s="117" t="str">
        <f t="shared" si="17"/>
        <v>RS44377</v>
      </c>
      <c r="E103" s="117" t="str">
        <f t="shared" si="18"/>
        <v>RS443777</v>
      </c>
      <c r="F103" s="118">
        <f>qPCR_Raw!C103</f>
        <v>910</v>
      </c>
      <c r="G103" s="119">
        <f>qPCR_Raw!F103</f>
        <v>100</v>
      </c>
      <c r="H103" s="120">
        <f>qPCR_Raw!G103</f>
        <v>17.808736801147461</v>
      </c>
      <c r="I103" s="121" cm="1">
        <f t="array" ref="I103">_xlfn.IFS(H103="Undetermined", 0, qPCR_Raw!H103-qPCR_Raw!$H$242&lt;0, 0, qPCR_Raw!H103-qPCR_Raw!$H$242&gt;0, qPCR_Raw!H103-qPCR_Raw!$H$242)</f>
        <v>440578.54894612631</v>
      </c>
      <c r="J103" s="122">
        <f>qPCR_Raw!K103</f>
        <v>20.327741622924805</v>
      </c>
      <c r="K103" s="121" cm="1">
        <f t="array" ref="K103">_xlfn.IFS(J103="Undetermined", 0, qPCR_Raw!L103-qPCR_Raw!$H$242&lt;0, 0, qPCR_Raw!L103-qPCR_Raw!$H$242&gt;0, qPCR_Raw!L103-qPCR_Raw!$H$242)</f>
        <v>74839.166133626306</v>
      </c>
      <c r="L103" s="123" cm="1">
        <f t="array" ref="L103">_xlfn.IFS(AND(H103="Undetermined", J103="Undetermined"), "Undetermined", AND(I103=0, K103=0), "Undetermined", AND(I103=0, K103&gt;0), "Ten-Fold", AND(I103&gt;0, K103=0), "Undiluted", AND(H103&lt;&gt;"Undetermined", J103&lt;&gt;"Undetermined", I103&gt;0, K103&gt;0), 100*(-1+10^(-1/(H103-J103))))</f>
        <v>149.44923123403018</v>
      </c>
      <c r="M103" s="124" cm="1">
        <f t="array" ref="M103">_xlfn.IFS(L103="Undetermined", 0, L103="Undiluted", I103*$G103/$F103*1000, L103="Ten-Fold", K103*$G103/$F103*1000*10, L103&lt;0, K103*$G103/$F103*1000*10, L103&lt;120, I103*$G103/$F103*1000, L103&gt;120, K103*$G103/$F103*1000*10)</f>
        <v>82240841.90508385</v>
      </c>
      <c r="N103" s="121" t="str">
        <f t="shared" si="19"/>
        <v>DELETE</v>
      </c>
      <c r="O103" s="121" t="str">
        <f t="shared" si="20"/>
        <v>DELETE</v>
      </c>
      <c r="P103" s="121" t="str">
        <f t="shared" si="21"/>
        <v>DELETE</v>
      </c>
      <c r="Q103" s="125" t="str" cm="1">
        <f t="array" ref="Q103">_xlfn.IFS(N103="DELETE", "DELETE", N103=0, 0, N103&gt;0,LOG10(N103))</f>
        <v>DELETE</v>
      </c>
      <c r="R103" s="126" t="str" cm="1">
        <f t="array" ref="R103">_xlfn.IFS(N103="DELETE", "DELETE", N103=0, 0, N103&gt;0, P103/N103/LN(10))</f>
        <v>DELETE</v>
      </c>
      <c r="S103" s="155">
        <f>qPCR_Raw!O103</f>
        <v>32.001163482666016</v>
      </c>
      <c r="T103" s="156" cm="1">
        <f t="array" ref="T103">_xlfn.IFS(S103="Undetermined", 0, qPCR_Raw!P103&lt;=1, 0, qPCR_Raw!P103&gt;1, qPCR_Raw!P103)</f>
        <v>312.73916625976563</v>
      </c>
      <c r="U103" s="157">
        <f>qPCR_Raw!R103</f>
        <v>35.710300445556641</v>
      </c>
      <c r="V103" s="156" cm="1">
        <f t="array" ref="V103">_xlfn.IFS(U103="Undetermined", 0, qPCR_Raw!S103&lt;=1, 0, qPCR_Raw!S103&gt;1, qPCR_Raw!S103)</f>
        <v>32.663211822509766</v>
      </c>
      <c r="W103" s="158" cm="1">
        <f t="array" ref="W103">_xlfn.IFS(AND(S103="Undetermined", U103="Undetermined"), "Undetermined", AND(T103=0, V103=0), "Undetermined", AND(T103=0, V103&gt;0), "Ten-Fold", AND(T103&gt;0, V103=0), "Undiluted", AND(S103&lt;&gt;"Undetermined", U103&lt;&gt;"Undetermined", T103&gt;0, V103&gt;0, S103&lt;&gt;U103), 100*(-1+10^(-1/(S103-U103))), AND(S103&lt;&gt;"Undetermined", U103&lt;&gt;"Undetermined", S103=U103&gt;0), -100)</f>
        <v>86.039213835735268</v>
      </c>
      <c r="X103" s="159" cm="1">
        <f t="array" ref="X103">_xlfn.IFS(W103="Undetermined", 0, W103="Undiluted", T103*$G103/$F103*1000, W103="Ten-Fold", V103*$G103/$F103*1000*10, W103&lt;0, V103*$G103/$F103*1000*10, W103&lt;120, T103*$G103/$F103*1000, W103&gt;120, V103*$G103/$F103*1000*10)</f>
        <v>34366.941347226988</v>
      </c>
      <c r="Y103" s="156" t="str">
        <f t="shared" si="22"/>
        <v>DELETE</v>
      </c>
      <c r="Z103" s="156" t="str">
        <f t="shared" si="23"/>
        <v>DELETE</v>
      </c>
      <c r="AA103" s="156" t="str">
        <f t="shared" si="24"/>
        <v>DELETE</v>
      </c>
      <c r="AB103" s="160" t="str" cm="1">
        <f t="array" ref="AB103">_xlfn.IFS(Y103="DELETE", "DELETE", Y103=0, 0, Y103&gt;0,LOG10(Y103))</f>
        <v>DELETE</v>
      </c>
      <c r="AC103" s="161" t="str" cm="1">
        <f t="array" ref="AC103">_xlfn.IFS(Y103="DELETE", "DELETE", Y103=0, 0, Y103&gt;0, AA103/Y103/LN(10))</f>
        <v>DELETE</v>
      </c>
      <c r="AD103" s="120">
        <f>qPCR_Raw!U103</f>
        <v>27.101644515991211</v>
      </c>
      <c r="AE103" s="121" cm="1">
        <f t="array" ref="AE103">_xlfn.IFS(AD103="Undetermined", 0, qPCR_Raw!V103&lt;=1, 0, qPCR_Raw!V103&gt;1, qPCR_Raw!V103)</f>
        <v>295.37551879882813</v>
      </c>
      <c r="AF103" s="122">
        <f>qPCR_Raw!X103</f>
        <v>30.263975143432617</v>
      </c>
      <c r="AG103" s="121" cm="1">
        <f t="array" ref="AG103">_xlfn.IFS(AF103="Undetermined", 0, qPCR_Raw!Y103&lt;=1, 0, qPCR_Raw!Y103&gt;1, qPCR_Raw!Y103)</f>
        <v>38.333103179931641</v>
      </c>
      <c r="AH103" s="123" cm="1">
        <f t="array" ref="AH103">_xlfn.IFS(AND(AD103="Undetermined", AF103="Undetermined"), "Undetermined", AND(AE103=0, AG103=0), "Undetermined", AND(AE103=0, AG103&gt;0), "Ten-Fold", AND(AE103&gt;0, AG103=0), "Undiluted", AND(AD103&lt;&gt;"Undetermined", AF103&lt;&gt;"Undetermined", AE103&gt;0, AG103&gt;0, AD103&lt;&gt;AF103), 100*(-1+10^(-1/(AD103-AF103))), AND(AD103&lt;&gt;"Undetermined", AF103&lt;&gt;"Undetermined", AD103=AF103&gt;0), -100)</f>
        <v>107.12020600267751</v>
      </c>
      <c r="AI103" s="124" cm="1">
        <f t="array" ref="AI103">_xlfn.IFS(AH103="Undetermined", 0, AH103="Undiluted", AE103*$G103/$F103*1000, AH103="Ten-Fold", AG103*$G103/$F103*1000*10, AH103&lt;0, AG103*$G103/$F103*1000*10, AH103&lt;120, AE103*$G103/$F103*1000, AH103&gt;120, AG103*$G103/$F103*1000*10)</f>
        <v>32458.848219651445</v>
      </c>
      <c r="AJ103" s="121" t="str">
        <f t="shared" si="25"/>
        <v>DELETE</v>
      </c>
      <c r="AK103" s="121" t="str">
        <f t="shared" si="26"/>
        <v>DELETE</v>
      </c>
      <c r="AL103" s="121" t="str">
        <f t="shared" si="27"/>
        <v>DELETE</v>
      </c>
      <c r="AM103" s="125" t="str" cm="1">
        <f t="array" ref="AM103">_xlfn.IFS(AJ103="DELETE", "DELETE", AJ103=0, 0, AJ103&gt;0,LOG10(AJ103))</f>
        <v>DELETE</v>
      </c>
      <c r="AN103" s="126" t="str" cm="1">
        <f t="array" ref="AN103">_xlfn.IFS(AJ103="DELETE", "DELETE", AJ103=0, 0, AJ103&gt;0, AL103/AJ103/LN(10))</f>
        <v>DELETE</v>
      </c>
      <c r="AO103" s="155">
        <f>qPCR_Raw!AA103</f>
        <v>30.796298980712891</v>
      </c>
      <c r="AP103" s="156" cm="1">
        <f t="array" ref="AP103">_xlfn.IFS(AO103="Undetermined", 0, qPCR_Raw!AB103&lt;=6, 0, qPCR_Raw!AB103&gt;6, qPCR_Raw!AB103)</f>
        <v>0</v>
      </c>
      <c r="AQ103" s="157" t="str">
        <f>qPCR_Raw!AD103</f>
        <v>Undetermined</v>
      </c>
      <c r="AR103" s="156" cm="1">
        <f t="array" ref="AR103">_xlfn.IFS(AQ103="Undetermined", 0, qPCR_Raw!AE103&lt;=6, 0, qPCR_Raw!AE103&gt;6, qPCR_Raw!AE103)</f>
        <v>0</v>
      </c>
      <c r="AS103" s="158" t="str" cm="1">
        <f t="array" ref="AS103">_xlfn.IFS(AND(AO103="Undetermined", AQ103="Undetermined"), "Undetermined", AND(AP103=0, AR103=0), "Undetermined", AND(AP103=0, AR103&gt;0), "Ten-Fold", AND(AP103&gt;0, AR103=0), "Undiluted", AND(AO103&lt;&gt;"Undetermined", AQ103&lt;&gt;"Undetermined", AP103&gt;0, AR103&gt;0, AO103&lt;&gt;AQ103), 100*(-1+10^(-1/(AO103-AQ103))), AND(AO103&lt;&gt;"Undetermined", AQ103&lt;&gt;"Undetermined", AO103=AQ103&gt;0), -100)</f>
        <v>Undetermined</v>
      </c>
      <c r="AT103" s="159" cm="1">
        <f t="array" ref="AT103">_xlfn.IFS(AS103="Undetermined", 0, AS103="Undiluted", AP103*$G103/$F103*1000, AS103="Ten-Fold", AR103*$G103/$F103*1000*10, AS103&lt;0, AR103*$G103/$F103*1000*10, AS103&lt;120, AP103*$G103/$F103*1000, AS103&gt;120, AR103*$G103/$F103*1000*10)</f>
        <v>0</v>
      </c>
      <c r="AU103" s="156" t="str">
        <f t="shared" si="34"/>
        <v>DELETE</v>
      </c>
      <c r="AV103" s="156" t="str">
        <f t="shared" si="35"/>
        <v>DELETE</v>
      </c>
      <c r="AW103" s="156" t="str">
        <f t="shared" si="36"/>
        <v>DELETE</v>
      </c>
      <c r="AX103" s="160" t="str" cm="1">
        <f t="array" ref="AX103">_xlfn.IFS(AU103="DELETE", "DELETE", AU103=0, 0, AU103&gt;0,LOG10(AU103))</f>
        <v>DELETE</v>
      </c>
      <c r="AY103" s="161" t="str" cm="1">
        <f t="array" ref="AY103">_xlfn.IFS(AU103="DELETE", "DELETE", AU103=0, 0, AU103&gt;0, AW103/AU103/LN(10))</f>
        <v>DELETE</v>
      </c>
      <c r="AZ103" s="120">
        <f>qPCR_Raw!AG103</f>
        <v>24.197437286376953</v>
      </c>
      <c r="BA103" s="121" cm="1">
        <f t="array" ref="BA103">_xlfn.IFS(AZ103="Undetermined", 0, qPCR_Raw!AH103&lt;=1, 0, qPCR_Raw!AH103&gt;1, qPCR_Raw!AH103)</f>
        <v>4730.19775390625</v>
      </c>
      <c r="BB103" s="122">
        <f>qPCR_Raw!AJ103</f>
        <v>28.51739501953125</v>
      </c>
      <c r="BC103" s="121" cm="1">
        <f t="array" ref="BC103">_xlfn.IFS(BB103="Undetermined", 0, qPCR_Raw!AK103&lt;=1, 0, qPCR_Raw!AK103&gt;1, qPCR_Raw!AK103)</f>
        <v>322.82095336914063</v>
      </c>
      <c r="BD103" s="123" cm="1">
        <f t="array" ref="BD103">_xlfn.IFS(AND(AZ103="Undetermined", BB103="Undetermined"), "Undetermined", AND(BA103=0, BC103=0), "Undetermined", AND(BA103=0, BC103&gt;0), "Ten-Fold", AND(BA103&gt;0, BC103=0), "Undiluted", AND(AZ103&lt;&gt;"Undetermined", BB103&lt;&gt;"Undetermined", BA103&gt;0, BC103&gt;0, AZ103&lt;&gt;BB103), 100*(-1+10^(-1/(AZ103-BB103))), AND(AZ103&lt;&gt;"Undetermined", BB103&lt;&gt;"Undetermined", AZ103=BB103&gt;0), -100)</f>
        <v>70.405554301002866</v>
      </c>
      <c r="BE103" s="124" cm="1">
        <f t="array" ref="BE103">_xlfn.IFS(BD103="Undetermined", 0, BD103="Undiluted", BA103*$G103/$F103*1000, BD103="Ten-Fold", BC103*$G103/$F103*1000*10, BD103&lt;0, BC103*$G103/$F103*1000*10, BD103&lt;120, BA103*$G103/$F103*1000, BD103&gt;120, BC103*$G103/$F103*1000*10)</f>
        <v>519801.95097870874</v>
      </c>
      <c r="BF103" s="121" t="str">
        <f t="shared" si="31"/>
        <v>DELETE</v>
      </c>
      <c r="BG103" s="121" t="str">
        <f t="shared" si="32"/>
        <v>DELETE</v>
      </c>
      <c r="BH103" s="121" t="str">
        <f t="shared" si="33"/>
        <v>DELETE</v>
      </c>
      <c r="BI103" s="125" t="str" cm="1">
        <f t="array" ref="BI103">_xlfn.IFS(BF103="DELETE", "DELETE", BF103=0, 0, BF103&gt;0,LOG10(BF103))</f>
        <v>DELETE</v>
      </c>
      <c r="BJ103" s="126" t="str" cm="1">
        <f t="array" ref="BJ103">_xlfn.IFS(BF103="DELETE", "DELETE", BF103=0, 0, BF103&gt;0, BH103/BF103/LN(10))</f>
        <v>DELETE</v>
      </c>
    </row>
    <row r="104" spans="1:62" s="114" customFormat="1" x14ac:dyDescent="0.3">
      <c r="A104" s="115" t="str">
        <f>UPPER(LEFT(SUBSTITUTE(SUBSTITUTE(qPCR_Raw!A104,"-","")," ",""),2))&amp;RIGHT(SUBSTITUTE(SUBSTITUTE(qPCR_Raw!A104,"-","")," ",""),LEN(SUBSTITUTE(SUBSTITUTE(qPCR_Raw!A104,"-","")," ",""))-2)</f>
        <v>RG6</v>
      </c>
      <c r="B104" s="116" t="str" cm="1">
        <f t="array" ref="B104">_xlfn.IFS(LEFT(A104, LEN(A104)-1)="EP", "EP", LEFT(A104, LEN(A104)-1)="STa", "SPI", LEFT(A104, LEN(A104)-1)="STb", "SPO", LEFT(A104, LEN(A104)-1)="MRT", "MRT", LEFT(A104, LEN(A104)-1)="RG", "RN", LEFT(A104, LEN(A104)-1)="RT", "RU", LEFT(A104, LEN(A104)-1)="RW", "RL", LEFT(A104, LEN(A104)-1)="RC", "RS")</f>
        <v>RN</v>
      </c>
      <c r="C104" s="117">
        <f>qPCR_Raw!B104</f>
        <v>44377</v>
      </c>
      <c r="D104" s="117" t="str">
        <f t="shared" si="17"/>
        <v>RN44377</v>
      </c>
      <c r="E104" s="117" t="str">
        <f t="shared" si="18"/>
        <v>RN443776</v>
      </c>
      <c r="F104" s="118">
        <f>qPCR_Raw!C104</f>
        <v>1000</v>
      </c>
      <c r="G104" s="119">
        <f>qPCR_Raw!F104</f>
        <v>100</v>
      </c>
      <c r="H104" s="120">
        <f>qPCR_Raw!G104</f>
        <v>14.275776863098145</v>
      </c>
      <c r="I104" s="121" cm="1">
        <f t="array" ref="I104">_xlfn.IFS(H104="Undetermined", 0, qPCR_Raw!H104-qPCR_Raw!$H$242&lt;0, 0, qPCR_Raw!H104-qPCR_Raw!$H$242&gt;0, qPCR_Raw!H104-qPCR_Raw!$H$242)</f>
        <v>4523101.8614461264</v>
      </c>
      <c r="J104" s="122">
        <f>qPCR_Raw!K104</f>
        <v>16.832061767578125</v>
      </c>
      <c r="K104" s="121" cm="1">
        <f t="array" ref="K104">_xlfn.IFS(J104="Undetermined", 0, qPCR_Raw!L104-qPCR_Raw!$H$242&lt;0, 0, qPCR_Raw!L104-qPCR_Raw!$H$242&gt;0, qPCR_Raw!L104-qPCR_Raw!$H$242)</f>
        <v>844242.79894612625</v>
      </c>
      <c r="L104" s="123" cm="1">
        <f t="array" ref="L104">_xlfn.IFS(AND(H104="Undetermined", J104="Undetermined"), "Undetermined", AND(I104=0, K104=0), "Undetermined", AND(I104=0, K104&gt;0), "Ten-Fold", AND(I104&gt;0, K104=0), "Undiluted", AND(H104&lt;&gt;"Undetermined", J104&lt;&gt;"Undetermined", I104&gt;0, K104&gt;0), 100*(-1+10^(-1/(H104-J104))))</f>
        <v>146.14595453810443</v>
      </c>
      <c r="M104" s="124" cm="1">
        <f t="array" ref="M104">_xlfn.IFS(L104="Undetermined", 0, L104="Undiluted", I104*$G104/$F104*1000, L104="Ten-Fold", K104*$G104/$F104*1000*10, L104&lt;0, K104*$G104/$F104*1000*10, L104&lt;120, I104*$G104/$F104*1000, L104&gt;120, K104*$G104/$F104*1000*10)</f>
        <v>844242798.94612622</v>
      </c>
      <c r="N104" s="121">
        <f t="shared" si="19"/>
        <v>615711260.39890146</v>
      </c>
      <c r="O104" s="121">
        <f t="shared" si="20"/>
        <v>323192401.24347478</v>
      </c>
      <c r="P104" s="121">
        <f t="shared" si="21"/>
        <v>228531538.54722458</v>
      </c>
      <c r="Q104" s="125" cm="1">
        <f t="array" ref="Q104">_xlfn.IFS(N104="DELETE", "DELETE", N104=0, 0, N104&gt;0,LOG10(N104))</f>
        <v>8.7893770962330091</v>
      </c>
      <c r="R104" s="126" cm="1">
        <f t="array" ref="R104">_xlfn.IFS(N104="DELETE", "DELETE", N104=0, 0, N104&gt;0, P104/N104/LN(10))</f>
        <v>0.16119566510383246</v>
      </c>
      <c r="S104" s="155" t="str">
        <f>qPCR_Raw!O104</f>
        <v>Undetermined</v>
      </c>
      <c r="T104" s="156" cm="1">
        <f t="array" ref="T104">_xlfn.IFS(S104="Undetermined", 0, qPCR_Raw!P104&lt;=1, 0, qPCR_Raw!P104&gt;1, qPCR_Raw!P104)</f>
        <v>0</v>
      </c>
      <c r="U104" s="157" t="str">
        <f>qPCR_Raw!R104</f>
        <v>Undetermined</v>
      </c>
      <c r="V104" s="156" cm="1">
        <f t="array" ref="V104">_xlfn.IFS(U104="Undetermined", 0, qPCR_Raw!S104&lt;=1, 0, qPCR_Raw!S104&gt;1, qPCR_Raw!S104)</f>
        <v>0</v>
      </c>
      <c r="W104" s="158" t="str" cm="1">
        <f t="array" ref="W104">_xlfn.IFS(AND(S104="Undetermined", U104="Undetermined"), "Undetermined", AND(T104=0, V104=0), "Undetermined", AND(T104=0, V104&gt;0), "Ten-Fold", AND(T104&gt;0, V104=0), "Undiluted", AND(S104&lt;&gt;"Undetermined", U104&lt;&gt;"Undetermined", T104&gt;0, V104&gt;0, S104&lt;&gt;U104), 100*(-1+10^(-1/(S104-U104))), AND(S104&lt;&gt;"Undetermined", U104&lt;&gt;"Undetermined", S104=U104&gt;0), -100)</f>
        <v>Undetermined</v>
      </c>
      <c r="X104" s="159" cm="1">
        <f t="array" ref="X104">_xlfn.IFS(W104="Undetermined", 0, W104="Undiluted", T104*$G104/$F104*1000, W104="Ten-Fold", V104*$G104/$F104*1000*10, W104&lt;0, V104*$G104/$F104*1000*10, W104&lt;120, T104*$G104/$F104*1000, W104&gt;120, V104*$G104/$F104*1000*10)</f>
        <v>0</v>
      </c>
      <c r="Y104" s="156">
        <f t="shared" si="22"/>
        <v>0</v>
      </c>
      <c r="Z104" s="156">
        <f t="shared" si="23"/>
        <v>0</v>
      </c>
      <c r="AA104" s="156">
        <f t="shared" si="24"/>
        <v>0</v>
      </c>
      <c r="AB104" s="160" cm="1">
        <f t="array" ref="AB104">_xlfn.IFS(Y104="DELETE", "DELETE", Y104=0, 0, Y104&gt;0,LOG10(Y104))</f>
        <v>0</v>
      </c>
      <c r="AC104" s="161" cm="1">
        <f t="array" ref="AC104">_xlfn.IFS(Y104="DELETE", "DELETE", Y104=0, 0, Y104&gt;0, AA104/Y104/LN(10))</f>
        <v>0</v>
      </c>
      <c r="AD104" s="120">
        <f>qPCR_Raw!U104</f>
        <v>24.047388076782227</v>
      </c>
      <c r="AE104" s="121" cm="1">
        <f t="array" ref="AE104">_xlfn.IFS(AD104="Undetermined", 0, qPCR_Raw!V104&lt;=1, 0, qPCR_Raw!V104&gt;1, qPCR_Raw!V104)</f>
        <v>2122.60009765625</v>
      </c>
      <c r="AF104" s="122">
        <f>qPCR_Raw!X104</f>
        <v>27.573244094848633</v>
      </c>
      <c r="AG104" s="121" cm="1">
        <f t="array" ref="AG104">_xlfn.IFS(AF104="Undetermined", 0, qPCR_Raw!Y104&lt;=1, 0, qPCR_Raw!Y104&gt;1, qPCR_Raw!Y104)</f>
        <v>217.83396911621094</v>
      </c>
      <c r="AH104" s="123" cm="1">
        <f t="array" ref="AH104">_xlfn.IFS(AND(AD104="Undetermined", AF104="Undetermined"), "Undetermined", AND(AE104=0, AG104=0), "Undetermined", AND(AE104=0, AG104&gt;0), "Ten-Fold", AND(AE104&gt;0, AG104=0), "Undiluted", AND(AD104&lt;&gt;"Undetermined", AF104&lt;&gt;"Undetermined", AE104&gt;0, AG104&gt;0, AD104&lt;&gt;AF104), 100*(-1+10^(-1/(AD104-AF104))), AND(AD104&lt;&gt;"Undetermined", AF104&lt;&gt;"Undetermined", AD104=AF104&gt;0), -100)</f>
        <v>92.140567302648009</v>
      </c>
      <c r="AI104" s="124" cm="1">
        <f t="array" ref="AI104">_xlfn.IFS(AH104="Undetermined", 0, AH104="Undiluted", AE104*$G104/$F104*1000, AH104="Ten-Fold", AG104*$G104/$F104*1000*10, AH104&lt;0, AG104*$G104/$F104*1000*10, AH104&lt;120, AE104*$G104/$F104*1000, AH104&gt;120, AG104*$G104/$F104*1000*10)</f>
        <v>212260.009765625</v>
      </c>
      <c r="AJ104" s="121">
        <f t="shared" si="25"/>
        <v>170585.00498348905</v>
      </c>
      <c r="AK104" s="121">
        <f t="shared" si="26"/>
        <v>58937.356974860231</v>
      </c>
      <c r="AL104" s="121">
        <f t="shared" si="27"/>
        <v>41675.004782135933</v>
      </c>
      <c r="AM104" s="125" cm="1">
        <f t="array" ref="AM104">_xlfn.IFS(AJ104="DELETE", "DELETE", AJ104=0, 0, AJ104&gt;0,LOG10(AJ104))</f>
        <v>5.2319408525106175</v>
      </c>
      <c r="AN104" s="126" cm="1">
        <f t="array" ref="AN104">_xlfn.IFS(AJ104="DELETE", "DELETE", AJ104=0, 0, AJ104&gt;0, AL104/AJ104/LN(10))</f>
        <v>0.10610091204631435</v>
      </c>
      <c r="AO104" s="155">
        <f>qPCR_Raw!AA104</f>
        <v>28.365436553955078</v>
      </c>
      <c r="AP104" s="156" cm="1">
        <f t="array" ref="AP104">_xlfn.IFS(AO104="Undetermined", 0, qPCR_Raw!AB104&lt;=6, 0, qPCR_Raw!AB104&gt;6, qPCR_Raw!AB104)</f>
        <v>0</v>
      </c>
      <c r="AQ104" s="157">
        <f>qPCR_Raw!AD104</f>
        <v>32.085742950439453</v>
      </c>
      <c r="AR104" s="156" cm="1">
        <f t="array" ref="AR104">_xlfn.IFS(AQ104="Undetermined", 0, qPCR_Raw!AE104&lt;=6, 0, qPCR_Raw!AE104&gt;6, qPCR_Raw!AE104)</f>
        <v>0</v>
      </c>
      <c r="AS104" s="158" t="str" cm="1">
        <f t="array" ref="AS104">_xlfn.IFS(AND(AO104="Undetermined", AQ104="Undetermined"), "Undetermined", AND(AP104=0, AR104=0), "Undetermined", AND(AP104=0, AR104&gt;0), "Ten-Fold", AND(AP104&gt;0, AR104=0), "Undiluted", AND(AO104&lt;&gt;"Undetermined", AQ104&lt;&gt;"Undetermined", AP104&gt;0, AR104&gt;0, AO104&lt;&gt;AQ104), 100*(-1+10^(-1/(AO104-AQ104))), AND(AO104&lt;&gt;"Undetermined", AQ104&lt;&gt;"Undetermined", AO104=AQ104&gt;0), -100)</f>
        <v>Undetermined</v>
      </c>
      <c r="AT104" s="159" cm="1">
        <f t="array" ref="AT104">_xlfn.IFS(AS104="Undetermined", 0, AS104="Undiluted", AP104*$G104/$F104*1000, AS104="Ten-Fold", AR104*$G104/$F104*1000*10, AS104&lt;0, AR104*$G104/$F104*1000*10, AS104&lt;120, AP104*$G104/$F104*1000, AS104&gt;120, AR104*$G104/$F104*1000*10)</f>
        <v>0</v>
      </c>
      <c r="AU104" s="156">
        <f t="shared" si="34"/>
        <v>0</v>
      </c>
      <c r="AV104" s="156">
        <f t="shared" si="35"/>
        <v>0</v>
      </c>
      <c r="AW104" s="156">
        <f t="shared" si="36"/>
        <v>0</v>
      </c>
      <c r="AX104" s="160" cm="1">
        <f t="array" ref="AX104">_xlfn.IFS(AU104="DELETE", "DELETE", AU104=0, 0, AU104&gt;0,LOG10(AU104))</f>
        <v>0</v>
      </c>
      <c r="AY104" s="161" cm="1">
        <f t="array" ref="AY104">_xlfn.IFS(AU104="DELETE", "DELETE", AU104=0, 0, AU104&gt;0, AW104/AU104/LN(10))</f>
        <v>0</v>
      </c>
      <c r="AZ104" s="120">
        <f>qPCR_Raw!AG104</f>
        <v>19.797880172729492</v>
      </c>
      <c r="BA104" s="121" cm="1">
        <f t="array" ref="BA104">_xlfn.IFS(AZ104="Undetermined", 0, qPCR_Raw!AH104&lt;=1, 0, qPCR_Raw!AH104&gt;1, qPCR_Raw!AH104)</f>
        <v>72824.9140625</v>
      </c>
      <c r="BB104" s="122">
        <f>qPCR_Raw!AJ104</f>
        <v>23.0506591796875</v>
      </c>
      <c r="BC104" s="121" cm="1">
        <f t="array" ref="BC104">_xlfn.IFS(BB104="Undetermined", 0, qPCR_Raw!AK104&lt;=1, 0, qPCR_Raw!AK104&gt;1, qPCR_Raw!AK104)</f>
        <v>9646.8232421875</v>
      </c>
      <c r="BD104" s="123" cm="1">
        <f t="array" ref="BD104">_xlfn.IFS(AND(AZ104="Undetermined", BB104="Undetermined"), "Undetermined", AND(BA104=0, BC104=0), "Undetermined", AND(BA104=0, BC104&gt;0), "Ten-Fold", AND(BA104&gt;0, BC104=0), "Undiluted", AND(AZ104&lt;&gt;"Undetermined", BB104&lt;&gt;"Undetermined", BA104&gt;0, BC104&gt;0, AZ104&lt;&gt;BB104), 100*(-1+10^(-1/(AZ104-BB104))), AND(AZ104&lt;&gt;"Undetermined", BB104&lt;&gt;"Undetermined", AZ104=BB104&gt;0), -100)</f>
        <v>102.96886876974813</v>
      </c>
      <c r="BE104" s="124" cm="1">
        <f t="array" ref="BE104">_xlfn.IFS(BD104="Undetermined", 0, BD104="Undiluted", BA104*$G104/$F104*1000, BD104="Ten-Fold", BC104*$G104/$F104*1000*10, BD104&lt;0, BC104*$G104/$F104*1000*10, BD104&lt;120, BA104*$G104/$F104*1000, BD104&gt;120, BC104*$G104/$F104*1000*10)</f>
        <v>7282491.40625</v>
      </c>
      <c r="BF104" s="121">
        <f t="shared" si="31"/>
        <v>5579348.3529317006</v>
      </c>
      <c r="BG104" s="121">
        <f t="shared" si="32"/>
        <v>2408608.0046642637</v>
      </c>
      <c r="BH104" s="121">
        <f t="shared" si="33"/>
        <v>1703143.0533183003</v>
      </c>
      <c r="BI104" s="125" cm="1">
        <f t="array" ref="BI104">_xlfn.IFS(BF104="DELETE", "DELETE", BF104=0, 0, BF104&gt;0,LOG10(BF104))</f>
        <v>6.7465834779246157</v>
      </c>
      <c r="BJ104" s="126" cm="1">
        <f t="array" ref="BJ104">_xlfn.IFS(BF104="DELETE", "DELETE", BF104=0, 0, BF104&gt;0, BH104/BF104/LN(10))</f>
        <v>0.13257204661890881</v>
      </c>
    </row>
    <row r="105" spans="1:62" s="114" customFormat="1" x14ac:dyDescent="0.3">
      <c r="A105" s="115" t="str">
        <f>UPPER(LEFT(SUBSTITUTE(SUBSTITUTE(qPCR_Raw!A105,"-","")," ",""),2))&amp;RIGHT(SUBSTITUTE(SUBSTITUTE(qPCR_Raw!A105,"-","")," ",""),LEN(SUBSTITUTE(SUBSTITUTE(qPCR_Raw!A105,"-","")," ",""))-2)</f>
        <v>RG7</v>
      </c>
      <c r="B105" s="116" t="str" cm="1">
        <f t="array" ref="B105">_xlfn.IFS(LEFT(A105, LEN(A105)-1)="EP", "EP", LEFT(A105, LEN(A105)-1)="STa", "SPI", LEFT(A105, LEN(A105)-1)="STb", "SPO", LEFT(A105, LEN(A105)-1)="MRT", "MRT", LEFT(A105, LEN(A105)-1)="RG", "RN", LEFT(A105, LEN(A105)-1)="RT", "RU", LEFT(A105, LEN(A105)-1)="RW", "RL", LEFT(A105, LEN(A105)-1)="RC", "RS")</f>
        <v>RN</v>
      </c>
      <c r="C105" s="117">
        <f>qPCR_Raw!B105</f>
        <v>44377</v>
      </c>
      <c r="D105" s="117" t="str">
        <f t="shared" si="17"/>
        <v>RN44377</v>
      </c>
      <c r="E105" s="117" t="str">
        <f t="shared" si="18"/>
        <v>RN443777</v>
      </c>
      <c r="F105" s="118">
        <f>qPCR_Raw!C105</f>
        <v>970</v>
      </c>
      <c r="G105" s="119">
        <f>qPCR_Raw!F105</f>
        <v>100</v>
      </c>
      <c r="H105" s="120">
        <f>qPCR_Raw!G105</f>
        <v>15.259673118591309</v>
      </c>
      <c r="I105" s="121" cm="1">
        <f t="array" ref="I105">_xlfn.IFS(H105="Undetermined", 0, qPCR_Raw!H105-qPCR_Raw!$H$242&lt;0, 0, qPCR_Raw!H105-qPCR_Raw!$H$242&gt;0, qPCR_Raw!H105-qPCR_Raw!$H$242)</f>
        <v>2375806.8614461264</v>
      </c>
      <c r="J105" s="122">
        <f>qPCR_Raw!K105</f>
        <v>18.046113967895508</v>
      </c>
      <c r="K105" s="121" cm="1">
        <f t="array" ref="K105">_xlfn.IFS(J105="Undetermined", 0, qPCR_Raw!L105-qPCR_Raw!$H$242&lt;0, 0, qPCR_Raw!L105-qPCR_Raw!$H$242&gt;0, qPCR_Raw!L105-qPCR_Raw!$H$242)</f>
        <v>375564.33019612631</v>
      </c>
      <c r="L105" s="123" cm="1">
        <f t="array" ref="L105">_xlfn.IFS(AND(H105="Undetermined", J105="Undetermined"), "Undetermined", AND(I105=0, K105=0), "Undetermined", AND(I105=0, K105&gt;0), "Ten-Fold", AND(I105&gt;0, K105=0), "Undiluted", AND(H105&lt;&gt;"Undetermined", J105&lt;&gt;"Undetermined", I105&gt;0, K105&gt;0), 100*(-1+10^(-1/(H105-J105))))</f>
        <v>128.49713366418408</v>
      </c>
      <c r="M105" s="124" cm="1">
        <f t="array" ref="M105">_xlfn.IFS(L105="Undetermined", 0, L105="Undiluted", I105*$G105/$F105*1000, L105="Ten-Fold", K105*$G105/$F105*1000*10, L105&lt;0, K105*$G105/$F105*1000*10, L105&lt;120, I105*$G105/$F105*1000, L105&gt;120, K105*$G105/$F105*1000*10)</f>
        <v>387179721.85167664</v>
      </c>
      <c r="N105" s="121" t="str">
        <f t="shared" si="19"/>
        <v>DELETE</v>
      </c>
      <c r="O105" s="121" t="str">
        <f t="shared" si="20"/>
        <v>DELETE</v>
      </c>
      <c r="P105" s="121" t="str">
        <f t="shared" si="21"/>
        <v>DELETE</v>
      </c>
      <c r="Q105" s="125" t="str" cm="1">
        <f t="array" ref="Q105">_xlfn.IFS(N105="DELETE", "DELETE", N105=0, 0, N105&gt;0,LOG10(N105))</f>
        <v>DELETE</v>
      </c>
      <c r="R105" s="126" t="str" cm="1">
        <f t="array" ref="R105">_xlfn.IFS(N105="DELETE", "DELETE", N105=0, 0, N105&gt;0, P105/N105/LN(10))</f>
        <v>DELETE</v>
      </c>
      <c r="S105" s="155" t="str">
        <f>qPCR_Raw!O105</f>
        <v>Undetermined</v>
      </c>
      <c r="T105" s="156" cm="1">
        <f t="array" ref="T105">_xlfn.IFS(S105="Undetermined", 0, qPCR_Raw!P105&lt;=1, 0, qPCR_Raw!P105&gt;1, qPCR_Raw!P105)</f>
        <v>0</v>
      </c>
      <c r="U105" s="157" t="str">
        <f>qPCR_Raw!R105</f>
        <v>Undetermined</v>
      </c>
      <c r="V105" s="156" cm="1">
        <f t="array" ref="V105">_xlfn.IFS(U105="Undetermined", 0, qPCR_Raw!S105&lt;=1, 0, qPCR_Raw!S105&gt;1, qPCR_Raw!S105)</f>
        <v>0</v>
      </c>
      <c r="W105" s="158" t="str" cm="1">
        <f t="array" ref="W105">_xlfn.IFS(AND(S105="Undetermined", U105="Undetermined"), "Undetermined", AND(T105=0, V105=0), "Undetermined", AND(T105=0, V105&gt;0), "Ten-Fold", AND(T105&gt;0, V105=0), "Undiluted", AND(S105&lt;&gt;"Undetermined", U105&lt;&gt;"Undetermined", T105&gt;0, V105&gt;0, S105&lt;&gt;U105), 100*(-1+10^(-1/(S105-U105))), AND(S105&lt;&gt;"Undetermined", U105&lt;&gt;"Undetermined", S105=U105&gt;0), -100)</f>
        <v>Undetermined</v>
      </c>
      <c r="X105" s="159" cm="1">
        <f t="array" ref="X105">_xlfn.IFS(W105="Undetermined", 0, W105="Undiluted", T105*$G105/$F105*1000, W105="Ten-Fold", V105*$G105/$F105*1000*10, W105&lt;0, V105*$G105/$F105*1000*10, W105&lt;120, T105*$G105/$F105*1000, W105&gt;120, V105*$G105/$F105*1000*10)</f>
        <v>0</v>
      </c>
      <c r="Y105" s="156" t="str">
        <f t="shared" si="22"/>
        <v>DELETE</v>
      </c>
      <c r="Z105" s="156" t="str">
        <f t="shared" si="23"/>
        <v>DELETE</v>
      </c>
      <c r="AA105" s="156" t="str">
        <f t="shared" si="24"/>
        <v>DELETE</v>
      </c>
      <c r="AB105" s="160" t="str" cm="1">
        <f t="array" ref="AB105">_xlfn.IFS(Y105="DELETE", "DELETE", Y105=0, 0, Y105&gt;0,LOG10(Y105))</f>
        <v>DELETE</v>
      </c>
      <c r="AC105" s="161" t="str" cm="1">
        <f t="array" ref="AC105">_xlfn.IFS(Y105="DELETE", "DELETE", Y105=0, 0, Y105&gt;0, AA105/Y105/LN(10))</f>
        <v>DELETE</v>
      </c>
      <c r="AD105" s="120">
        <f>qPCR_Raw!U105</f>
        <v>24.866889953613281</v>
      </c>
      <c r="AE105" s="121" cm="1">
        <f t="array" ref="AE105">_xlfn.IFS(AD105="Undetermined", 0, qPCR_Raw!V105&lt;=1, 0, qPCR_Raw!V105&gt;1, qPCR_Raw!V105)</f>
        <v>1250.427001953125</v>
      </c>
      <c r="AF105" s="122">
        <f>qPCR_Raw!X105</f>
        <v>28.010686874389648</v>
      </c>
      <c r="AG105" s="121" cm="1">
        <f t="array" ref="AG105">_xlfn.IFS(AF105="Undetermined", 0, qPCR_Raw!Y105&lt;=1, 0, qPCR_Raw!Y105&gt;1, qPCR_Raw!Y105)</f>
        <v>164.23101806640625</v>
      </c>
      <c r="AH105" s="123" cm="1">
        <f t="array" ref="AH105">_xlfn.IFS(AND(AD105="Undetermined", AF105="Undetermined"), "Undetermined", AND(AE105=0, AG105=0), "Undetermined", AND(AE105=0, AG105&gt;0), "Ten-Fold", AND(AE105&gt;0, AG105=0), "Undiluted", AND(AD105&lt;&gt;"Undetermined", AF105&lt;&gt;"Undetermined", AE105&gt;0, AG105&gt;0, AD105&lt;&gt;AF105), 100*(-1+10^(-1/(AD105-AF105))), AND(AD105&lt;&gt;"Undetermined", AF105&lt;&gt;"Undetermined", AD105=AF105&gt;0), -100)</f>
        <v>108.01119252644278</v>
      </c>
      <c r="AI105" s="124" cm="1">
        <f t="array" ref="AI105">_xlfn.IFS(AH105="Undetermined", 0, AH105="Undiluted", AE105*$G105/$F105*1000, AH105="Ten-Fold", AG105*$G105/$F105*1000*10, AH105&lt;0, AG105*$G105/$F105*1000*10, AH105&lt;120, AE105*$G105/$F105*1000, AH105&gt;120, AG105*$G105/$F105*1000*10)</f>
        <v>128910.00020135309</v>
      </c>
      <c r="AJ105" s="121" t="str">
        <f t="shared" si="25"/>
        <v>DELETE</v>
      </c>
      <c r="AK105" s="121" t="str">
        <f t="shared" si="26"/>
        <v>DELETE</v>
      </c>
      <c r="AL105" s="121" t="str">
        <f t="shared" si="27"/>
        <v>DELETE</v>
      </c>
      <c r="AM105" s="125" t="str" cm="1">
        <f t="array" ref="AM105">_xlfn.IFS(AJ105="DELETE", "DELETE", AJ105=0, 0, AJ105&gt;0,LOG10(AJ105))</f>
        <v>DELETE</v>
      </c>
      <c r="AN105" s="126" t="str" cm="1">
        <f t="array" ref="AN105">_xlfn.IFS(AJ105="DELETE", "DELETE", AJ105=0, 0, AJ105&gt;0, AL105/AJ105/LN(10))</f>
        <v>DELETE</v>
      </c>
      <c r="AO105" s="155">
        <f>qPCR_Raw!AA105</f>
        <v>28.556039810180664</v>
      </c>
      <c r="AP105" s="156" cm="1">
        <f t="array" ref="AP105">_xlfn.IFS(AO105="Undetermined", 0, qPCR_Raw!AB105&lt;=6, 0, qPCR_Raw!AB105&gt;6, qPCR_Raw!AB105)</f>
        <v>0</v>
      </c>
      <c r="AQ105" s="157">
        <f>qPCR_Raw!AD105</f>
        <v>31.425956726074219</v>
      </c>
      <c r="AR105" s="156" cm="1">
        <f t="array" ref="AR105">_xlfn.IFS(AQ105="Undetermined", 0, qPCR_Raw!AE105&lt;=6, 0, qPCR_Raw!AE105&gt;6, qPCR_Raw!AE105)</f>
        <v>0</v>
      </c>
      <c r="AS105" s="158" t="str" cm="1">
        <f t="array" ref="AS105">_xlfn.IFS(AND(AO105="Undetermined", AQ105="Undetermined"), "Undetermined", AND(AP105=0, AR105=0), "Undetermined", AND(AP105=0, AR105&gt;0), "Ten-Fold", AND(AP105&gt;0, AR105=0), "Undiluted", AND(AO105&lt;&gt;"Undetermined", AQ105&lt;&gt;"Undetermined", AP105&gt;0, AR105&gt;0, AO105&lt;&gt;AQ105), 100*(-1+10^(-1/(AO105-AQ105))), AND(AO105&lt;&gt;"Undetermined", AQ105&lt;&gt;"Undetermined", AO105=AQ105&gt;0), -100)</f>
        <v>Undetermined</v>
      </c>
      <c r="AT105" s="159" cm="1">
        <f t="array" ref="AT105">_xlfn.IFS(AS105="Undetermined", 0, AS105="Undiluted", AP105*$G105/$F105*1000, AS105="Ten-Fold", AR105*$G105/$F105*1000*10, AS105&lt;0, AR105*$G105/$F105*1000*10, AS105&lt;120, AP105*$G105/$F105*1000, AS105&gt;120, AR105*$G105/$F105*1000*10)</f>
        <v>0</v>
      </c>
      <c r="AU105" s="156" t="str">
        <f t="shared" si="34"/>
        <v>DELETE</v>
      </c>
      <c r="AV105" s="156" t="str">
        <f t="shared" si="35"/>
        <v>DELETE</v>
      </c>
      <c r="AW105" s="156" t="str">
        <f t="shared" si="36"/>
        <v>DELETE</v>
      </c>
      <c r="AX105" s="160" t="str" cm="1">
        <f t="array" ref="AX105">_xlfn.IFS(AU105="DELETE", "DELETE", AU105=0, 0, AU105&gt;0,LOG10(AU105))</f>
        <v>DELETE</v>
      </c>
      <c r="AY105" s="161" t="str" cm="1">
        <f t="array" ref="AY105">_xlfn.IFS(AU105="DELETE", "DELETE", AU105=0, 0, AU105&gt;0, AW105/AU105/LN(10))</f>
        <v>DELETE</v>
      </c>
      <c r="AZ105" s="120">
        <f>qPCR_Raw!AG105</f>
        <v>20.861648559570313</v>
      </c>
      <c r="BA105" s="121" cm="1">
        <f t="array" ref="BA105">_xlfn.IFS(AZ105="Undetermined", 0, qPCR_Raw!AH105&lt;=1, 0, qPCR_Raw!AH105&gt;1, qPCR_Raw!AH105)</f>
        <v>37599.19140625</v>
      </c>
      <c r="BB105" s="122">
        <f>qPCR_Raw!AJ105</f>
        <v>24.719596862792969</v>
      </c>
      <c r="BC105" s="121" cm="1">
        <f t="array" ref="BC105">_xlfn.IFS(BB105="Undetermined", 0, qPCR_Raw!AK105&lt;=1, 0, qPCR_Raw!AK105&gt;1, qPCR_Raw!AK105)</f>
        <v>3419.42529296875</v>
      </c>
      <c r="BD105" s="123" cm="1">
        <f t="array" ref="BD105">_xlfn.IFS(AND(AZ105="Undetermined", BB105="Undetermined"), "Undetermined", AND(BA105=0, BC105=0), "Undetermined", AND(BA105=0, BC105&gt;0), "Ten-Fold", AND(BA105&gt;0, BC105=0), "Undiluted", AND(AZ105&lt;&gt;"Undetermined", BB105&lt;&gt;"Undetermined", BA105&gt;0, BC105&gt;0, AZ105&lt;&gt;BB105), 100*(-1+10^(-1/(AZ105-BB105))), AND(AZ105&lt;&gt;"Undetermined", BB105&lt;&gt;"Undetermined", AZ105=BB105&gt;0), -100)</f>
        <v>81.637339577441708</v>
      </c>
      <c r="BE105" s="124" cm="1">
        <f t="array" ref="BE105">_xlfn.IFS(BD105="Undetermined", 0, BD105="Undiluted", BA105*$G105/$F105*1000, BD105="Ten-Fold", BC105*$G105/$F105*1000*10, BD105&lt;0, BC105*$G105/$F105*1000*10, BD105&lt;120, BA105*$G105/$F105*1000, BD105&gt;120, BC105*$G105/$F105*1000*10)</f>
        <v>3876205.2996134022</v>
      </c>
      <c r="BF105" s="121" t="str">
        <f t="shared" si="31"/>
        <v>DELETE</v>
      </c>
      <c r="BG105" s="121" t="str">
        <f t="shared" si="32"/>
        <v>DELETE</v>
      </c>
      <c r="BH105" s="121" t="str">
        <f t="shared" si="33"/>
        <v>DELETE</v>
      </c>
      <c r="BI105" s="125" t="str" cm="1">
        <f t="array" ref="BI105">_xlfn.IFS(BF105="DELETE", "DELETE", BF105=0, 0, BF105&gt;0,LOG10(BF105))</f>
        <v>DELETE</v>
      </c>
      <c r="BJ105" s="126" t="str" cm="1">
        <f t="array" ref="BJ105">_xlfn.IFS(BF105="DELETE", "DELETE", BF105=0, 0, BF105&gt;0, BH105/BF105/LN(10))</f>
        <v>DELETE</v>
      </c>
    </row>
    <row r="106" spans="1:62" s="114" customFormat="1" x14ac:dyDescent="0.3">
      <c r="A106" s="115" t="str">
        <f>UPPER(LEFT(SUBSTITUTE(SUBSTITUTE(qPCR_Raw!A106,"-","")," ",""),2))&amp;RIGHT(SUBSTITUTE(SUBSTITUTE(qPCR_Raw!A106,"-","")," ",""),LEN(SUBSTITUTE(SUBSTITUTE(qPCR_Raw!A106,"-","")," ",""))-2)</f>
        <v>STa6</v>
      </c>
      <c r="B106" s="116" t="str" cm="1">
        <f t="array" ref="B106">_xlfn.IFS(LEFT(A106, LEN(A106)-1)="EP", "EP", LEFT(A106, LEN(A106)-1)="STa", "SPI", LEFT(A106, LEN(A106)-1)="STb", "SPO", LEFT(A106, LEN(A106)-1)="MRT", "MRT", LEFT(A106, LEN(A106)-1)="RG", "RN", LEFT(A106, LEN(A106)-1)="RT", "RU", LEFT(A106, LEN(A106)-1)="RW", "RL", LEFT(A106, LEN(A106)-1)="RC", "RS")</f>
        <v>SPI</v>
      </c>
      <c r="C106" s="117">
        <f>qPCR_Raw!B106</f>
        <v>44377</v>
      </c>
      <c r="D106" s="117" t="str">
        <f t="shared" si="17"/>
        <v>SPI44377</v>
      </c>
      <c r="E106" s="117" t="str">
        <f t="shared" si="18"/>
        <v>SPI443776</v>
      </c>
      <c r="F106" s="118">
        <f>qPCR_Raw!C106</f>
        <v>900</v>
      </c>
      <c r="G106" s="119">
        <f>qPCR_Raw!F106</f>
        <v>100</v>
      </c>
      <c r="H106" s="120">
        <f>qPCR_Raw!G106</f>
        <v>23.277133941650391</v>
      </c>
      <c r="I106" s="121" cm="1">
        <f t="array" ref="I106">_xlfn.IFS(H106="Undetermined", 0, qPCR_Raw!H106-qPCR_Raw!$H$242&lt;0, 0, qPCR_Raw!H106-qPCR_Raw!$H$242&gt;0, qPCR_Raw!H106-qPCR_Raw!$H$242)</f>
        <v>0</v>
      </c>
      <c r="J106" s="122">
        <f>qPCR_Raw!K106</f>
        <v>26.259952545166016</v>
      </c>
      <c r="K106" s="121" cm="1">
        <f t="array" ref="K106">_xlfn.IFS(J106="Undetermined", 0, qPCR_Raw!L106-qPCR_Raw!$H$242&lt;0, 0, qPCR_Raw!L106-qPCR_Raw!$H$242&gt;0, qPCR_Raw!L106-qPCR_Raw!$H$242)</f>
        <v>0</v>
      </c>
      <c r="L106" s="123" t="str" cm="1">
        <f t="array" ref="L106">_xlfn.IFS(AND(H106="Undetermined", J106="Undetermined"), "Undetermined", AND(I106=0, K106=0), "Undetermined", AND(I106=0, K106&gt;0), "Ten-Fold", AND(I106&gt;0, K106=0), "Undiluted", AND(H106&lt;&gt;"Undetermined", J106&lt;&gt;"Undetermined", I106&gt;0, K106&gt;0), 100*(-1+10^(-1/(H106-J106))))</f>
        <v>Undetermined</v>
      </c>
      <c r="M106" s="124" cm="1">
        <f t="array" ref="M106">_xlfn.IFS(L106="Undetermined", 0, L106="Undiluted", I106*$G106/$F106*1000, L106="Ten-Fold", K106*$G106/$F106*1000*10, L106&lt;0, K106*$G106/$F106*1000*10, L106&lt;120, I106*$G106/$F106*1000, L106&gt;120, K106*$G106/$F106*1000*10)</f>
        <v>0</v>
      </c>
      <c r="N106" s="121">
        <f t="shared" si="19"/>
        <v>445554.91106951679</v>
      </c>
      <c r="O106" s="121">
        <f t="shared" si="20"/>
        <v>630109.79801644885</v>
      </c>
      <c r="P106" s="121">
        <f t="shared" si="21"/>
        <v>445554.91106951673</v>
      </c>
      <c r="Q106" s="125" cm="1">
        <f t="array" ref="Q106">_xlfn.IFS(N106="DELETE", "DELETE", N106=0, 0, N106&gt;0,LOG10(N106))</f>
        <v>5.6489012349832528</v>
      </c>
      <c r="R106" s="126" cm="1">
        <f t="array" ref="R106">_xlfn.IFS(N106="DELETE", "DELETE", N106=0, 0, N106&gt;0, P106/N106/LN(10))</f>
        <v>0.43429448190325176</v>
      </c>
      <c r="S106" s="155" t="str">
        <f>qPCR_Raw!O106</f>
        <v>Undetermined</v>
      </c>
      <c r="T106" s="156" cm="1">
        <f t="array" ref="T106">_xlfn.IFS(S106="Undetermined", 0, qPCR_Raw!P106&lt;=1, 0, qPCR_Raw!P106&gt;1, qPCR_Raw!P106)</f>
        <v>0</v>
      </c>
      <c r="U106" s="157" t="str">
        <f>qPCR_Raw!R106</f>
        <v>Undetermined</v>
      </c>
      <c r="V106" s="156" cm="1">
        <f t="array" ref="V106">_xlfn.IFS(U106="Undetermined", 0, qPCR_Raw!S106&lt;=1, 0, qPCR_Raw!S106&gt;1, qPCR_Raw!S106)</f>
        <v>0</v>
      </c>
      <c r="W106" s="158" t="str" cm="1">
        <f t="array" ref="W106">_xlfn.IFS(AND(S106="Undetermined", U106="Undetermined"), "Undetermined", AND(T106=0, V106=0), "Undetermined", AND(T106=0, V106&gt;0), "Ten-Fold", AND(T106&gt;0, V106=0), "Undiluted", AND(S106&lt;&gt;"Undetermined", U106&lt;&gt;"Undetermined", T106&gt;0, V106&gt;0, S106&lt;&gt;U106), 100*(-1+10^(-1/(S106-U106))), AND(S106&lt;&gt;"Undetermined", U106&lt;&gt;"Undetermined", S106=U106&gt;0), -100)</f>
        <v>Undetermined</v>
      </c>
      <c r="X106" s="159" cm="1">
        <f t="array" ref="X106">_xlfn.IFS(W106="Undetermined", 0, W106="Undiluted", T106*$G106/$F106*1000, W106="Ten-Fold", V106*$G106/$F106*1000*10, W106&lt;0, V106*$G106/$F106*1000*10, W106&lt;120, T106*$G106/$F106*1000, W106&gt;120, V106*$G106/$F106*1000*10)</f>
        <v>0</v>
      </c>
      <c r="Y106" s="156">
        <f t="shared" si="22"/>
        <v>470.35959031846784</v>
      </c>
      <c r="Z106" s="156">
        <f t="shared" si="23"/>
        <v>665.18891182062998</v>
      </c>
      <c r="AA106" s="156">
        <f t="shared" si="24"/>
        <v>470.35959031846784</v>
      </c>
      <c r="AB106" s="160" cm="1">
        <f t="array" ref="AB106">_xlfn.IFS(Y106="DELETE", "DELETE", Y106=0, 0, Y106&gt;0,LOG10(Y106))</f>
        <v>2.6724300034261792</v>
      </c>
      <c r="AC106" s="161" cm="1">
        <f t="array" ref="AC106">_xlfn.IFS(Y106="DELETE", "DELETE", Y106=0, 0, Y106&gt;0, AA106/Y106/LN(10))</f>
        <v>0.43429448190325176</v>
      </c>
      <c r="AD106" s="120" t="str">
        <f>qPCR_Raw!U106</f>
        <v>Undetermined</v>
      </c>
      <c r="AE106" s="121" cm="1">
        <f t="array" ref="AE106">_xlfn.IFS(AD106="Undetermined", 0, qPCR_Raw!V106&lt;=1, 0, qPCR_Raw!V106&gt;1, qPCR_Raw!V106)</f>
        <v>0</v>
      </c>
      <c r="AF106" s="122" t="str">
        <f>qPCR_Raw!X106</f>
        <v>Undetermined</v>
      </c>
      <c r="AG106" s="121" cm="1">
        <f t="array" ref="AG106">_xlfn.IFS(AF106="Undetermined", 0, qPCR_Raw!Y106&lt;=1, 0, qPCR_Raw!Y106&gt;1, qPCR_Raw!Y106)</f>
        <v>0</v>
      </c>
      <c r="AH106" s="123" t="str" cm="1">
        <f t="array" ref="AH106">_xlfn.IFS(AND(AD106="Undetermined", AF106="Undetermined"), "Undetermined", AND(AE106=0, AG106=0), "Undetermined", AND(AE106=0, AG106&gt;0), "Ten-Fold", AND(AE106&gt;0, AG106=0), "Undiluted", AND(AD106&lt;&gt;"Undetermined", AF106&lt;&gt;"Undetermined", AE106&gt;0, AG106&gt;0, AD106&lt;&gt;AF106), 100*(-1+10^(-1/(AD106-AF106))), AND(AD106&lt;&gt;"Undetermined", AF106&lt;&gt;"Undetermined", AD106=AF106&gt;0), -100)</f>
        <v>Undetermined</v>
      </c>
      <c r="AI106" s="124" cm="1">
        <f t="array" ref="AI106">_xlfn.IFS(AH106="Undetermined", 0, AH106="Undiluted", AE106*$G106/$F106*1000, AH106="Ten-Fold", AG106*$G106/$F106*1000*10, AH106&lt;0, AG106*$G106/$F106*1000*10, AH106&lt;120, AE106*$G106/$F106*1000, AH106&gt;120, AG106*$G106/$F106*1000*10)</f>
        <v>0</v>
      </c>
      <c r="AJ106" s="121">
        <f t="shared" si="25"/>
        <v>0</v>
      </c>
      <c r="AK106" s="121">
        <f t="shared" si="26"/>
        <v>0</v>
      </c>
      <c r="AL106" s="121">
        <f t="shared" si="27"/>
        <v>0</v>
      </c>
      <c r="AM106" s="125" cm="1">
        <f t="array" ref="AM106">_xlfn.IFS(AJ106="DELETE", "DELETE", AJ106=0, 0, AJ106&gt;0,LOG10(AJ106))</f>
        <v>0</v>
      </c>
      <c r="AN106" s="126" cm="1">
        <f t="array" ref="AN106">_xlfn.IFS(AJ106="DELETE", "DELETE", AJ106=0, 0, AJ106&gt;0, AL106/AJ106/LN(10))</f>
        <v>0</v>
      </c>
      <c r="AO106" s="155">
        <f>qPCR_Raw!AA106</f>
        <v>30.959602355957031</v>
      </c>
      <c r="AP106" s="156" cm="1">
        <f t="array" ref="AP106">_xlfn.IFS(AO106="Undetermined", 0, qPCR_Raw!AB106&lt;=6, 0, qPCR_Raw!AB106&gt;6, qPCR_Raw!AB106)</f>
        <v>0</v>
      </c>
      <c r="AQ106" s="157" t="str">
        <f>qPCR_Raw!AD106</f>
        <v>Undetermined</v>
      </c>
      <c r="AR106" s="156" cm="1">
        <f t="array" ref="AR106">_xlfn.IFS(AQ106="Undetermined", 0, qPCR_Raw!AE106&lt;=6, 0, qPCR_Raw!AE106&gt;6, qPCR_Raw!AE106)</f>
        <v>0</v>
      </c>
      <c r="AS106" s="158" t="str" cm="1">
        <f t="array" ref="AS106">_xlfn.IFS(AND(AO106="Undetermined", AQ106="Undetermined"), "Undetermined", AND(AP106=0, AR106=0), "Undetermined", AND(AP106=0, AR106&gt;0), "Ten-Fold", AND(AP106&gt;0, AR106=0), "Undiluted", AND(AO106&lt;&gt;"Undetermined", AQ106&lt;&gt;"Undetermined", AP106&gt;0, AR106&gt;0, AO106&lt;&gt;AQ106), 100*(-1+10^(-1/(AO106-AQ106))), AND(AO106&lt;&gt;"Undetermined", AQ106&lt;&gt;"Undetermined", AO106=AQ106&gt;0), -100)</f>
        <v>Undetermined</v>
      </c>
      <c r="AT106" s="159" cm="1">
        <f t="array" ref="AT106">_xlfn.IFS(AS106="Undetermined", 0, AS106="Undiluted", AP106*$G106/$F106*1000, AS106="Ten-Fold", AR106*$G106/$F106*1000*10, AS106&lt;0, AR106*$G106/$F106*1000*10, AS106&lt;120, AP106*$G106/$F106*1000, AS106&gt;120, AR106*$G106/$F106*1000*10)</f>
        <v>0</v>
      </c>
      <c r="AU106" s="156">
        <f t="shared" si="34"/>
        <v>0</v>
      </c>
      <c r="AV106" s="156">
        <f t="shared" si="35"/>
        <v>0</v>
      </c>
      <c r="AW106" s="156">
        <f t="shared" si="36"/>
        <v>0</v>
      </c>
      <c r="AX106" s="160" cm="1">
        <f t="array" ref="AX106">_xlfn.IFS(AU106="DELETE", "DELETE", AU106=0, 0, AU106&gt;0,LOG10(AU106))</f>
        <v>0</v>
      </c>
      <c r="AY106" s="161" cm="1">
        <f t="array" ref="AY106">_xlfn.IFS(AU106="DELETE", "DELETE", AU106=0, 0, AU106&gt;0, AW106/AU106/LN(10))</f>
        <v>0</v>
      </c>
      <c r="AZ106" s="120" t="str">
        <f>qPCR_Raw!AG106</f>
        <v>Undetermined</v>
      </c>
      <c r="BA106" s="121" cm="1">
        <f t="array" ref="BA106">_xlfn.IFS(AZ106="Undetermined", 0, qPCR_Raw!AH106&lt;=1, 0, qPCR_Raw!AH106&gt;1, qPCR_Raw!AH106)</f>
        <v>0</v>
      </c>
      <c r="BB106" s="122" t="str">
        <f>qPCR_Raw!AJ106</f>
        <v>Undetermined</v>
      </c>
      <c r="BC106" s="121" cm="1">
        <f t="array" ref="BC106">_xlfn.IFS(BB106="Undetermined", 0, qPCR_Raw!AK106&lt;=1, 0, qPCR_Raw!AK106&gt;1, qPCR_Raw!AK106)</f>
        <v>0</v>
      </c>
      <c r="BD106" s="123" t="str" cm="1">
        <f t="array" ref="BD106">_xlfn.IFS(AND(AZ106="Undetermined", BB106="Undetermined"), "Undetermined", AND(BA106=0, BC106=0), "Undetermined", AND(BA106=0, BC106&gt;0), "Ten-Fold", AND(BA106&gt;0, BC106=0), "Undiluted", AND(AZ106&lt;&gt;"Undetermined", BB106&lt;&gt;"Undetermined", BA106&gt;0, BC106&gt;0, AZ106&lt;&gt;BB106), 100*(-1+10^(-1/(AZ106-BB106))), AND(AZ106&lt;&gt;"Undetermined", BB106&lt;&gt;"Undetermined", AZ106=BB106&gt;0), -100)</f>
        <v>Undetermined</v>
      </c>
      <c r="BE106" s="124" cm="1">
        <f t="array" ref="BE106">_xlfn.IFS(BD106="Undetermined", 0, BD106="Undiluted", BA106*$G106/$F106*1000, BD106="Ten-Fold", BC106*$G106/$F106*1000*10, BD106&lt;0, BC106*$G106/$F106*1000*10, BD106&lt;120, BA106*$G106/$F106*1000, BD106&gt;120, BC106*$G106/$F106*1000*10)</f>
        <v>0</v>
      </c>
      <c r="BF106" s="121">
        <f t="shared" si="31"/>
        <v>0</v>
      </c>
      <c r="BG106" s="121">
        <f t="shared" si="32"/>
        <v>0</v>
      </c>
      <c r="BH106" s="121">
        <f t="shared" si="33"/>
        <v>0</v>
      </c>
      <c r="BI106" s="125" cm="1">
        <f t="array" ref="BI106">_xlfn.IFS(BF106="DELETE", "DELETE", BF106=0, 0, BF106&gt;0,LOG10(BF106))</f>
        <v>0</v>
      </c>
      <c r="BJ106" s="126" cm="1">
        <f t="array" ref="BJ106">_xlfn.IFS(BF106="DELETE", "DELETE", BF106=0, 0, BF106&gt;0, BH106/BF106/LN(10))</f>
        <v>0</v>
      </c>
    </row>
    <row r="107" spans="1:62" s="114" customFormat="1" x14ac:dyDescent="0.3">
      <c r="A107" s="115" t="str">
        <f>UPPER(LEFT(SUBSTITUTE(SUBSTITUTE(qPCR_Raw!A107,"-","")," ",""),2))&amp;RIGHT(SUBSTITUTE(SUBSTITUTE(qPCR_Raw!A107,"-","")," ",""),LEN(SUBSTITUTE(SUBSTITUTE(qPCR_Raw!A107,"-","")," ",""))-2)</f>
        <v>STa7</v>
      </c>
      <c r="B107" s="116" t="str" cm="1">
        <f t="array" ref="B107">_xlfn.IFS(LEFT(A107, LEN(A107)-1)="EP", "EP", LEFT(A107, LEN(A107)-1)="STa", "SPI", LEFT(A107, LEN(A107)-1)="STb", "SPO", LEFT(A107, LEN(A107)-1)="MRT", "MRT", LEFT(A107, LEN(A107)-1)="RG", "RN", LEFT(A107, LEN(A107)-1)="RT", "RU", LEFT(A107, LEN(A107)-1)="RW", "RL", LEFT(A107, LEN(A107)-1)="RC", "RS")</f>
        <v>SPI</v>
      </c>
      <c r="C107" s="117">
        <f>qPCR_Raw!B107</f>
        <v>44377</v>
      </c>
      <c r="D107" s="117" t="str">
        <f t="shared" si="17"/>
        <v>SPI44377</v>
      </c>
      <c r="E107" s="117" t="str">
        <f t="shared" si="18"/>
        <v>SPI443777</v>
      </c>
      <c r="F107" s="118">
        <f>qPCR_Raw!C107</f>
        <v>900</v>
      </c>
      <c r="G107" s="119">
        <f>qPCR_Raw!F107</f>
        <v>100</v>
      </c>
      <c r="H107" s="120">
        <f>qPCR_Raw!G107</f>
        <v>22.359464645385742</v>
      </c>
      <c r="I107" s="121" cm="1">
        <f t="array" ref="I107">_xlfn.IFS(H107="Undetermined", 0, qPCR_Raw!H107-qPCR_Raw!$H$242&lt;0, 0, qPCR_Raw!H107-qPCR_Raw!$H$242&gt;0, qPCR_Raw!H107-qPCR_Raw!$H$242)</f>
        <v>8019.9883992513023</v>
      </c>
      <c r="J107" s="122">
        <f>qPCR_Raw!K107</f>
        <v>25.043767929077148</v>
      </c>
      <c r="K107" s="121" cm="1">
        <f t="array" ref="K107">_xlfn.IFS(J107="Undetermined", 0, qPCR_Raw!L107-qPCR_Raw!$H$242&lt;0, 0, qPCR_Raw!L107-qPCR_Raw!$H$242&gt;0, qPCR_Raw!L107-qPCR_Raw!$H$242)</f>
        <v>0</v>
      </c>
      <c r="L107" s="123" t="str" cm="1">
        <f t="array" ref="L107">_xlfn.IFS(AND(H107="Undetermined", J107="Undetermined"), "Undetermined", AND(I107=0, K107=0), "Undetermined", AND(I107=0, K107&gt;0), "Ten-Fold", AND(I107&gt;0, K107=0), "Undiluted", AND(H107&lt;&gt;"Undetermined", J107&lt;&gt;"Undetermined", I107&gt;0, K107&gt;0), 100*(-1+10^(-1/(H107-J107))))</f>
        <v>Undiluted</v>
      </c>
      <c r="M107" s="124" cm="1">
        <f t="array" ref="M107">_xlfn.IFS(L107="Undetermined", 0, L107="Undiluted", I107*$G107/$F107*1000, L107="Ten-Fold", K107*$G107/$F107*1000*10, L107&lt;0, K107*$G107/$F107*1000*10, L107&lt;120, I107*$G107/$F107*1000, L107&gt;120, K107*$G107/$F107*1000*10)</f>
        <v>891109.82213903358</v>
      </c>
      <c r="N107" s="121" t="str">
        <f t="shared" si="19"/>
        <v>DELETE</v>
      </c>
      <c r="O107" s="121" t="str">
        <f t="shared" si="20"/>
        <v>DELETE</v>
      </c>
      <c r="P107" s="121" t="str">
        <f t="shared" si="21"/>
        <v>DELETE</v>
      </c>
      <c r="Q107" s="125" t="str" cm="1">
        <f t="array" ref="Q107">_xlfn.IFS(N107="DELETE", "DELETE", N107=0, 0, N107&gt;0,LOG10(N107))</f>
        <v>DELETE</v>
      </c>
      <c r="R107" s="126" t="str" cm="1">
        <f t="array" ref="R107">_xlfn.IFS(N107="DELETE", "DELETE", N107=0, 0, N107&gt;0, P107/N107/LN(10))</f>
        <v>DELETE</v>
      </c>
      <c r="S107" s="155">
        <f>qPCR_Raw!O107</f>
        <v>34.670635223388672</v>
      </c>
      <c r="T107" s="156" cm="1">
        <f t="array" ref="T107">_xlfn.IFS(S107="Undetermined", 0, qPCR_Raw!P107&lt;=1, 0, qPCR_Raw!P107&gt;1, qPCR_Raw!P107)</f>
        <v>8.4664726257324219</v>
      </c>
      <c r="U107" s="157">
        <f>qPCR_Raw!R107</f>
        <v>38.25531005859375</v>
      </c>
      <c r="V107" s="156" cm="1">
        <f t="array" ref="V107">_xlfn.IFS(U107="Undetermined", 0, qPCR_Raw!S107&lt;=1, 0, qPCR_Raw!S107&gt;1, qPCR_Raw!S107)</f>
        <v>0</v>
      </c>
      <c r="W107" s="158" t="str" cm="1">
        <f t="array" ref="W107">_xlfn.IFS(AND(S107="Undetermined", U107="Undetermined"), "Undetermined", AND(T107=0, V107=0), "Undetermined", AND(T107=0, V107&gt;0), "Ten-Fold", AND(T107&gt;0, V107=0), "Undiluted", AND(S107&lt;&gt;"Undetermined", U107&lt;&gt;"Undetermined", T107&gt;0, V107&gt;0, S107&lt;&gt;U107), 100*(-1+10^(-1/(S107-U107))), AND(S107&lt;&gt;"Undetermined", U107&lt;&gt;"Undetermined", S107=U107&gt;0), -100)</f>
        <v>Undiluted</v>
      </c>
      <c r="X107" s="159" cm="1">
        <f t="array" ref="X107">_xlfn.IFS(W107="Undetermined", 0, W107="Undiluted", T107*$G107/$F107*1000, W107="Ten-Fold", V107*$G107/$F107*1000*10, W107&lt;0, V107*$G107/$F107*1000*10, W107&lt;120, T107*$G107/$F107*1000, W107&gt;120, V107*$G107/$F107*1000*10)</f>
        <v>940.71918063693568</v>
      </c>
      <c r="Y107" s="156" t="str">
        <f t="shared" si="22"/>
        <v>DELETE</v>
      </c>
      <c r="Z107" s="156" t="str">
        <f t="shared" si="23"/>
        <v>DELETE</v>
      </c>
      <c r="AA107" s="156" t="str">
        <f t="shared" si="24"/>
        <v>DELETE</v>
      </c>
      <c r="AB107" s="160" t="str" cm="1">
        <f t="array" ref="AB107">_xlfn.IFS(Y107="DELETE", "DELETE", Y107=0, 0, Y107&gt;0,LOG10(Y107))</f>
        <v>DELETE</v>
      </c>
      <c r="AC107" s="161" t="str" cm="1">
        <f t="array" ref="AC107">_xlfn.IFS(Y107="DELETE", "DELETE", Y107=0, 0, Y107&gt;0, AA107/Y107/LN(10))</f>
        <v>DELETE</v>
      </c>
      <c r="AD107" s="120" t="str">
        <f>qPCR_Raw!U107</f>
        <v>Undetermined</v>
      </c>
      <c r="AE107" s="121" cm="1">
        <f t="array" ref="AE107">_xlfn.IFS(AD107="Undetermined", 0, qPCR_Raw!V107&lt;=1, 0, qPCR_Raw!V107&gt;1, qPCR_Raw!V107)</f>
        <v>0</v>
      </c>
      <c r="AF107" s="122" t="str">
        <f>qPCR_Raw!X107</f>
        <v>Undetermined</v>
      </c>
      <c r="AG107" s="121" cm="1">
        <f t="array" ref="AG107">_xlfn.IFS(AF107="Undetermined", 0, qPCR_Raw!Y107&lt;=1, 0, qPCR_Raw!Y107&gt;1, qPCR_Raw!Y107)</f>
        <v>0</v>
      </c>
      <c r="AH107" s="123" t="str" cm="1">
        <f t="array" ref="AH107">_xlfn.IFS(AND(AD107="Undetermined", AF107="Undetermined"), "Undetermined", AND(AE107=0, AG107=0), "Undetermined", AND(AE107=0, AG107&gt;0), "Ten-Fold", AND(AE107&gt;0, AG107=0), "Undiluted", AND(AD107&lt;&gt;"Undetermined", AF107&lt;&gt;"Undetermined", AE107&gt;0, AG107&gt;0, AD107&lt;&gt;AF107), 100*(-1+10^(-1/(AD107-AF107))), AND(AD107&lt;&gt;"Undetermined", AF107&lt;&gt;"Undetermined", AD107=AF107&gt;0), -100)</f>
        <v>Undetermined</v>
      </c>
      <c r="AI107" s="124" cm="1">
        <f t="array" ref="AI107">_xlfn.IFS(AH107="Undetermined", 0, AH107="Undiluted", AE107*$G107/$F107*1000, AH107="Ten-Fold", AG107*$G107/$F107*1000*10, AH107&lt;0, AG107*$G107/$F107*1000*10, AH107&lt;120, AE107*$G107/$F107*1000, AH107&gt;120, AG107*$G107/$F107*1000*10)</f>
        <v>0</v>
      </c>
      <c r="AJ107" s="121" t="str">
        <f t="shared" si="25"/>
        <v>DELETE</v>
      </c>
      <c r="AK107" s="121" t="str">
        <f t="shared" si="26"/>
        <v>DELETE</v>
      </c>
      <c r="AL107" s="121" t="str">
        <f t="shared" si="27"/>
        <v>DELETE</v>
      </c>
      <c r="AM107" s="125" t="str" cm="1">
        <f t="array" ref="AM107">_xlfn.IFS(AJ107="DELETE", "DELETE", AJ107=0, 0, AJ107&gt;0,LOG10(AJ107))</f>
        <v>DELETE</v>
      </c>
      <c r="AN107" s="126" t="str" cm="1">
        <f t="array" ref="AN107">_xlfn.IFS(AJ107="DELETE", "DELETE", AJ107=0, 0, AJ107&gt;0, AL107/AJ107/LN(10))</f>
        <v>DELETE</v>
      </c>
      <c r="AO107" s="155">
        <f>qPCR_Raw!AA107</f>
        <v>31.047718048095703</v>
      </c>
      <c r="AP107" s="156" cm="1">
        <f t="array" ref="AP107">_xlfn.IFS(AO107="Undetermined", 0, qPCR_Raw!AB107&lt;=6, 0, qPCR_Raw!AB107&gt;6, qPCR_Raw!AB107)</f>
        <v>0</v>
      </c>
      <c r="AQ107" s="157">
        <f>qPCR_Raw!AD107</f>
        <v>32.607612609863281</v>
      </c>
      <c r="AR107" s="156" cm="1">
        <f t="array" ref="AR107">_xlfn.IFS(AQ107="Undetermined", 0, qPCR_Raw!AE107&lt;=6, 0, qPCR_Raw!AE107&gt;6, qPCR_Raw!AE107)</f>
        <v>0</v>
      </c>
      <c r="AS107" s="158" t="str" cm="1">
        <f t="array" ref="AS107">_xlfn.IFS(AND(AO107="Undetermined", AQ107="Undetermined"), "Undetermined", AND(AP107=0, AR107=0), "Undetermined", AND(AP107=0, AR107&gt;0), "Ten-Fold", AND(AP107&gt;0, AR107=0), "Undiluted", AND(AO107&lt;&gt;"Undetermined", AQ107&lt;&gt;"Undetermined", AP107&gt;0, AR107&gt;0, AO107&lt;&gt;AQ107), 100*(-1+10^(-1/(AO107-AQ107))), AND(AO107&lt;&gt;"Undetermined", AQ107&lt;&gt;"Undetermined", AO107=AQ107&gt;0), -100)</f>
        <v>Undetermined</v>
      </c>
      <c r="AT107" s="159" cm="1">
        <f t="array" ref="AT107">_xlfn.IFS(AS107="Undetermined", 0, AS107="Undiluted", AP107*$G107/$F107*1000, AS107="Ten-Fold", AR107*$G107/$F107*1000*10, AS107&lt;0, AR107*$G107/$F107*1000*10, AS107&lt;120, AP107*$G107/$F107*1000, AS107&gt;120, AR107*$G107/$F107*1000*10)</f>
        <v>0</v>
      </c>
      <c r="AU107" s="156" t="str">
        <f t="shared" si="34"/>
        <v>DELETE</v>
      </c>
      <c r="AV107" s="156" t="str">
        <f t="shared" si="35"/>
        <v>DELETE</v>
      </c>
      <c r="AW107" s="156" t="str">
        <f t="shared" si="36"/>
        <v>DELETE</v>
      </c>
      <c r="AX107" s="160" t="str" cm="1">
        <f t="array" ref="AX107">_xlfn.IFS(AU107="DELETE", "DELETE", AU107=0, 0, AU107&gt;0,LOG10(AU107))</f>
        <v>DELETE</v>
      </c>
      <c r="AY107" s="161" t="str" cm="1">
        <f t="array" ref="AY107">_xlfn.IFS(AU107="DELETE", "DELETE", AU107=0, 0, AU107&gt;0, AW107/AU107/LN(10))</f>
        <v>DELETE</v>
      </c>
      <c r="AZ107" s="120" t="str">
        <f>qPCR_Raw!AG107</f>
        <v>Undetermined</v>
      </c>
      <c r="BA107" s="121" cm="1">
        <f t="array" ref="BA107">_xlfn.IFS(AZ107="Undetermined", 0, qPCR_Raw!AH107&lt;=1, 0, qPCR_Raw!AH107&gt;1, qPCR_Raw!AH107)</f>
        <v>0</v>
      </c>
      <c r="BB107" s="122" t="str">
        <f>qPCR_Raw!AJ107</f>
        <v>Undetermined</v>
      </c>
      <c r="BC107" s="121" cm="1">
        <f t="array" ref="BC107">_xlfn.IFS(BB107="Undetermined", 0, qPCR_Raw!AK107&lt;=1, 0, qPCR_Raw!AK107&gt;1, qPCR_Raw!AK107)</f>
        <v>0</v>
      </c>
      <c r="BD107" s="123" t="str" cm="1">
        <f t="array" ref="BD107">_xlfn.IFS(AND(AZ107="Undetermined", BB107="Undetermined"), "Undetermined", AND(BA107=0, BC107=0), "Undetermined", AND(BA107=0, BC107&gt;0), "Ten-Fold", AND(BA107&gt;0, BC107=0), "Undiluted", AND(AZ107&lt;&gt;"Undetermined", BB107&lt;&gt;"Undetermined", BA107&gt;0, BC107&gt;0, AZ107&lt;&gt;BB107), 100*(-1+10^(-1/(AZ107-BB107))), AND(AZ107&lt;&gt;"Undetermined", BB107&lt;&gt;"Undetermined", AZ107=BB107&gt;0), -100)</f>
        <v>Undetermined</v>
      </c>
      <c r="BE107" s="124" cm="1">
        <f t="array" ref="BE107">_xlfn.IFS(BD107="Undetermined", 0, BD107="Undiluted", BA107*$G107/$F107*1000, BD107="Ten-Fold", BC107*$G107/$F107*1000*10, BD107&lt;0, BC107*$G107/$F107*1000*10, BD107&lt;120, BA107*$G107/$F107*1000, BD107&gt;120, BC107*$G107/$F107*1000*10)</f>
        <v>0</v>
      </c>
      <c r="BF107" s="121" t="str">
        <f t="shared" si="31"/>
        <v>DELETE</v>
      </c>
      <c r="BG107" s="121" t="str">
        <f t="shared" si="32"/>
        <v>DELETE</v>
      </c>
      <c r="BH107" s="121" t="str">
        <f t="shared" si="33"/>
        <v>DELETE</v>
      </c>
      <c r="BI107" s="125" t="str" cm="1">
        <f t="array" ref="BI107">_xlfn.IFS(BF107="DELETE", "DELETE", BF107=0, 0, BF107&gt;0,LOG10(BF107))</f>
        <v>DELETE</v>
      </c>
      <c r="BJ107" s="126" t="str" cm="1">
        <f t="array" ref="BJ107">_xlfn.IFS(BF107="DELETE", "DELETE", BF107=0, 0, BF107&gt;0, BH107/BF107/LN(10))</f>
        <v>DELETE</v>
      </c>
    </row>
    <row r="108" spans="1:62" s="114" customFormat="1" x14ac:dyDescent="0.3">
      <c r="A108" s="115" t="str">
        <f>UPPER(LEFT(SUBSTITUTE(SUBSTITUTE(qPCR_Raw!A108,"-","")," ",""),2))&amp;RIGHT(SUBSTITUTE(SUBSTITUTE(qPCR_Raw!A108,"-","")," ",""),LEN(SUBSTITUTE(SUBSTITUTE(qPCR_Raw!A108,"-","")," ",""))-2)</f>
        <v>EP6</v>
      </c>
      <c r="B108" s="116" t="str" cm="1">
        <f t="array" ref="B108">_xlfn.IFS(LEFT(A108, LEN(A108)-1)="EP", "EP", LEFT(A108, LEN(A108)-1)="STa", "SPI", LEFT(A108, LEN(A108)-1)="STb", "SPO", LEFT(A108, LEN(A108)-1)="MRT", "MRT", LEFT(A108, LEN(A108)-1)="RG", "RN", LEFT(A108, LEN(A108)-1)="RT", "RU", LEFT(A108, LEN(A108)-1)="RW", "RL", LEFT(A108, LEN(A108)-1)="RC", "RS")</f>
        <v>EP</v>
      </c>
      <c r="C108" s="117">
        <f>qPCR_Raw!B108</f>
        <v>44385</v>
      </c>
      <c r="D108" s="117" t="str">
        <f t="shared" si="17"/>
        <v>EP44385</v>
      </c>
      <c r="E108" s="117" t="str">
        <f t="shared" si="18"/>
        <v>EP443856</v>
      </c>
      <c r="F108" s="118">
        <f>qPCR_Raw!C108</f>
        <v>960</v>
      </c>
      <c r="G108" s="119">
        <f>qPCR_Raw!F108</f>
        <v>100</v>
      </c>
      <c r="H108" s="120">
        <f>qPCR_Raw!G108</f>
        <v>17.738994598388672</v>
      </c>
      <c r="I108" s="121" cm="1">
        <f t="array" ref="I108">_xlfn.IFS(H108="Undetermined", 0, qPCR_Raw!H108-qPCR_Raw!$H$242&lt;0, 0, qPCR_Raw!H108-qPCR_Raw!$H$242&gt;0, qPCR_Raw!H108-qPCR_Raw!$H$242)</f>
        <v>403235.01769612631</v>
      </c>
      <c r="J108" s="122">
        <f>qPCR_Raw!K108</f>
        <v>21.418540954589844</v>
      </c>
      <c r="K108" s="121" cm="1">
        <f t="array" ref="K108">_xlfn.IFS(J108="Undetermined", 0, qPCR_Raw!L108-qPCR_Raw!$H$242&lt;0, 0, qPCR_Raw!L108-qPCR_Raw!$H$242&gt;0, qPCR_Raw!L108-qPCR_Raw!$H$242)</f>
        <v>25601.373164876302</v>
      </c>
      <c r="L108" s="123" cm="1">
        <f t="array" ref="L108">_xlfn.IFS(AND(H108="Undetermined", J108="Undetermined"), "Undetermined", AND(I108=0, K108=0), "Undetermined", AND(I108=0, K108&gt;0), "Ten-Fold", AND(I108&gt;0, K108=0), "Undiluted", AND(H108&lt;&gt;"Undetermined", J108&lt;&gt;"Undetermined", I108&gt;0, K108&gt;0), 100*(-1+10^(-1/(H108-J108))))</f>
        <v>86.970303325479321</v>
      </c>
      <c r="M108" s="124" cm="1">
        <f t="array" ref="M108">_xlfn.IFS(L108="Undetermined", 0, L108="Undiluted", I108*$G108/$F108*1000, L108="Ten-Fold", K108*$G108/$F108*1000*10, L108&lt;0, K108*$G108/$F108*1000*10, L108&lt;120, I108*$G108/$F108*1000, L108&gt;120, K108*$G108/$F108*1000*10)</f>
        <v>42003647.67667982</v>
      </c>
      <c r="N108" s="121">
        <f t="shared" si="19"/>
        <v>67800048.633661866</v>
      </c>
      <c r="O108" s="121">
        <f t="shared" si="20"/>
        <v>36481620.093778349</v>
      </c>
      <c r="P108" s="121">
        <f t="shared" si="21"/>
        <v>25796400.95698208</v>
      </c>
      <c r="Q108" s="125" cm="1">
        <f t="array" ref="Q108">_xlfn.IFS(N108="DELETE", "DELETE", N108=0, 0, N108&gt;0,LOG10(N108))</f>
        <v>7.8312300053910073</v>
      </c>
      <c r="R108" s="126" cm="1">
        <f t="array" ref="R108">_xlfn.IFS(N108="DELETE", "DELETE", N108=0, 0, N108&gt;0, P108/N108/LN(10))</f>
        <v>0.16523932968123001</v>
      </c>
      <c r="S108" s="155">
        <f>qPCR_Raw!O108</f>
        <v>32.303829193115234</v>
      </c>
      <c r="T108" s="156" cm="1">
        <f t="array" ref="T108">_xlfn.IFS(S108="Undetermined", 0, qPCR_Raw!P108&lt;=1, 0, qPCR_Raw!P108&gt;1, qPCR_Raw!P108)</f>
        <v>37.566017150878906</v>
      </c>
      <c r="U108" s="157">
        <f>qPCR_Raw!R108</f>
        <v>35.909423828125</v>
      </c>
      <c r="V108" s="156" cm="1">
        <f t="array" ref="V108">_xlfn.IFS(U108="Undetermined", 0, qPCR_Raw!S108&lt;=1, 0, qPCR_Raw!S108&gt;1, qPCR_Raw!S108)</f>
        <v>3.8816251754760742</v>
      </c>
      <c r="W108" s="158" cm="1">
        <f t="array" ref="W108">_xlfn.IFS(AND(S108="Undetermined", U108="Undetermined"), "Undetermined", AND(T108=0, V108=0), "Undetermined", AND(T108=0, V108&gt;0), "Ten-Fold", AND(T108&gt;0, V108=0), "Undiluted", AND(S108&lt;&gt;"Undetermined", U108&lt;&gt;"Undetermined", T108&gt;0, V108&gt;0, S108&lt;&gt;U108), 100*(-1+10^(-1/(S108-U108))), AND(S108&lt;&gt;"Undetermined", U108&lt;&gt;"Undetermined", S108=U108&gt;0), -100)</f>
        <v>89.385516540439269</v>
      </c>
      <c r="X108" s="159" cm="1">
        <f t="array" ref="X108">_xlfn.IFS(W108="Undetermined", 0, W108="Undiluted", T108*$G108/$F108*1000, W108="Ten-Fold", V108*$G108/$F108*1000*10, W108&lt;0, V108*$G108/$F108*1000*10, W108&lt;120, T108*$G108/$F108*1000, W108&gt;120, V108*$G108/$F108*1000*10)</f>
        <v>3913.1267865498862</v>
      </c>
      <c r="Y108" s="156">
        <f t="shared" si="22"/>
        <v>3291.3459990055644</v>
      </c>
      <c r="Z108" s="156">
        <f t="shared" si="23"/>
        <v>879.3308225682066</v>
      </c>
      <c r="AA108" s="156">
        <f t="shared" si="24"/>
        <v>621.78078754432363</v>
      </c>
      <c r="AB108" s="160" cm="1">
        <f t="array" ref="AB108">_xlfn.IFS(Y108="DELETE", "DELETE", Y108=0, 0, Y108&gt;0,LOG10(Y108))</f>
        <v>3.5173735394078167</v>
      </c>
      <c r="AC108" s="161" cm="1">
        <f t="array" ref="AC108">_xlfn.IFS(Y108="DELETE", "DELETE", Y108=0, 0, Y108&gt;0, AA108/Y108/LN(10))</f>
        <v>8.2044235114006742E-2</v>
      </c>
      <c r="AD108" s="120">
        <f>qPCR_Raw!U108</f>
        <v>32.232421875</v>
      </c>
      <c r="AE108" s="121" cm="1">
        <f t="array" ref="AE108">_xlfn.IFS(AD108="Undetermined", 0, qPCR_Raw!V108&lt;=1, 0, qPCR_Raw!V108&gt;1, qPCR_Raw!V108)</f>
        <v>6.9720220565795898</v>
      </c>
      <c r="AF108" s="122">
        <f>qPCR_Raw!X108</f>
        <v>35.483757019042969</v>
      </c>
      <c r="AG108" s="121" cm="1">
        <f t="array" ref="AG108">_xlfn.IFS(AF108="Undetermined", 0, qPCR_Raw!Y108&lt;=1, 0, qPCR_Raw!Y108&gt;1, qPCR_Raw!Y108)</f>
        <v>0</v>
      </c>
      <c r="AH108" s="123" t="str" cm="1">
        <f t="array" ref="AH108">_xlfn.IFS(AND(AD108="Undetermined", AF108="Undetermined"), "Undetermined", AND(AE108=0, AG108=0), "Undetermined", AND(AE108=0, AG108&gt;0), "Ten-Fold", AND(AE108&gt;0, AG108=0), "Undiluted", AND(AD108&lt;&gt;"Undetermined", AF108&lt;&gt;"Undetermined", AE108&gt;0, AG108&gt;0, AD108&lt;&gt;AF108), 100*(-1+10^(-1/(AD108-AF108))), AND(AD108&lt;&gt;"Undetermined", AF108&lt;&gt;"Undetermined", AD108=AF108&gt;0), -100)</f>
        <v>Undiluted</v>
      </c>
      <c r="AI108" s="124" cm="1">
        <f t="array" ref="AI108">_xlfn.IFS(AH108="Undetermined", 0, AH108="Undiluted", AE108*$G108/$F108*1000, AH108="Ten-Fold", AG108*$G108/$F108*1000*10, AH108&lt;0, AG108*$G108/$F108*1000*10, AH108&lt;120, AE108*$G108/$F108*1000, AH108&gt;120, AG108*$G108/$F108*1000*10)</f>
        <v>726.2522975603739</v>
      </c>
      <c r="AJ108" s="121">
        <f t="shared" si="25"/>
        <v>1053.8266904416253</v>
      </c>
      <c r="AK108" s="121">
        <f t="shared" si="26"/>
        <v>463.2601490987991</v>
      </c>
      <c r="AL108" s="121">
        <f t="shared" si="27"/>
        <v>327.57439288125192</v>
      </c>
      <c r="AM108" s="125" cm="1">
        <f t="array" ref="AM108">_xlfn.IFS(AJ108="DELETE", "DELETE", AJ108=0, 0, AJ108&gt;0,LOG10(AJ108))</f>
        <v>3.0227691938237178</v>
      </c>
      <c r="AN108" s="126" cm="1">
        <f t="array" ref="AN108">_xlfn.IFS(AJ108="DELETE", "DELETE", AJ108=0, 0, AJ108&gt;0, AL108/AJ108/LN(10))</f>
        <v>0.13499729370255115</v>
      </c>
      <c r="AO108" s="155">
        <f>qPCR_Raw!AA108</f>
        <v>32.089389801025391</v>
      </c>
      <c r="AP108" s="156" cm="1">
        <f t="array" ref="AP108">_xlfn.IFS(AO108="Undetermined", 0, qPCR_Raw!AB108&lt;=6, 0, qPCR_Raw!AB108&gt;6, qPCR_Raw!AB108)</f>
        <v>0</v>
      </c>
      <c r="AQ108" s="157">
        <f>qPCR_Raw!AD108</f>
        <v>34.249492645263672</v>
      </c>
      <c r="AR108" s="156" cm="1">
        <f t="array" ref="AR108">_xlfn.IFS(AQ108="Undetermined", 0, qPCR_Raw!AE108&lt;=6, 0, qPCR_Raw!AE108&gt;6, qPCR_Raw!AE108)</f>
        <v>0</v>
      </c>
      <c r="AS108" s="158" t="str" cm="1">
        <f t="array" ref="AS108">_xlfn.IFS(AND(AO108="Undetermined", AQ108="Undetermined"), "Undetermined", AND(AP108=0, AR108=0), "Undetermined", AND(AP108=0, AR108&gt;0), "Ten-Fold", AND(AP108&gt;0, AR108=0), "Undiluted", AND(AO108&lt;&gt;"Undetermined", AQ108&lt;&gt;"Undetermined", AP108&gt;0, AR108&gt;0, AO108&lt;&gt;AQ108), 100*(-1+10^(-1/(AO108-AQ108))), AND(AO108&lt;&gt;"Undetermined", AQ108&lt;&gt;"Undetermined", AO108=AQ108&gt;0), -100)</f>
        <v>Undetermined</v>
      </c>
      <c r="AT108" s="159" cm="1">
        <f t="array" ref="AT108">_xlfn.IFS(AS108="Undetermined", 0, AS108="Undiluted", AP108*$G108/$F108*1000, AS108="Ten-Fold", AR108*$G108/$F108*1000*10, AS108&lt;0, AR108*$G108/$F108*1000*10, AS108&lt;120, AP108*$G108/$F108*1000, AS108&gt;120, AR108*$G108/$F108*1000*10)</f>
        <v>0</v>
      </c>
      <c r="AU108" s="156">
        <f t="shared" si="34"/>
        <v>468.02621979953193</v>
      </c>
      <c r="AV108" s="156">
        <f t="shared" si="35"/>
        <v>661.88902758670918</v>
      </c>
      <c r="AW108" s="156">
        <f t="shared" si="36"/>
        <v>468.02621979953187</v>
      </c>
      <c r="AX108" s="160" cm="1">
        <f t="array" ref="AX108">_xlfn.IFS(AU108="DELETE", "DELETE", AU108=0, 0, AU108&gt;0,LOG10(AU108))</f>
        <v>2.6702701838332747</v>
      </c>
      <c r="AY108" s="161" cm="1">
        <f t="array" ref="AY108">_xlfn.IFS(AU108="DELETE", "DELETE", AU108=0, 0, AU108&gt;0, AW108/AU108/LN(10))</f>
        <v>0.43429448190325176</v>
      </c>
      <c r="AZ108" s="120">
        <f>qPCR_Raw!AG108</f>
        <v>35.507946014404297</v>
      </c>
      <c r="BA108" s="121" cm="1">
        <f t="array" ref="BA108">_xlfn.IFS(AZ108="Undetermined", 0, qPCR_Raw!AH108&lt;=1, 0, qPCR_Raw!AH108&gt;1, qPCR_Raw!AH108)</f>
        <v>2.2129566669464111</v>
      </c>
      <c r="BB108" s="122">
        <f>qPCR_Raw!AJ108</f>
        <v>15.784412384033203</v>
      </c>
      <c r="BC108" s="121" cm="1">
        <f t="array" ref="BC108">_xlfn.IFS(BB108="Undetermined", 0, qPCR_Raw!AK108&lt;=1, 0, qPCR_Raw!AK108&gt;1, qPCR_Raw!AK108)</f>
        <v>457993.65625</v>
      </c>
      <c r="BD108" s="123" cm="1">
        <f t="array" ref="BD108">_xlfn.IFS(AND(AZ108="Undetermined", BB108="Undetermined"), "Undetermined", AND(BA108=0, BC108=0), "Undetermined", AND(BA108=0, BC108&gt;0), "Ten-Fold", AND(BA108&gt;0, BC108=0), "Undiluted", AND(AZ108&lt;&gt;"Undetermined", BB108&lt;&gt;"Undetermined", BA108&gt;0, BC108&gt;0, AZ108&lt;&gt;BB108), 100*(-1+10^(-1/(AZ108-BB108))), AND(AZ108&lt;&gt;"Undetermined", BB108&lt;&gt;"Undetermined", AZ108=BB108&gt;0), -100)</f>
        <v>-11.01861814179086</v>
      </c>
      <c r="BE108" s="124" cm="1">
        <f t="array" ref="BE108">_xlfn.IFS(BD108="Undetermined", 0, BD108="Undiluted", BA108*$G108/$F108*1000, BD108="Ten-Fold", BC108*$G108/$F108*1000*10, BD108&lt;0, BC108*$G108/$F108*1000*10, BD108&lt;120, BA108*$G108/$F108*1000, BD108&gt;120, BC108*$G108/$F108*1000*10)</f>
        <v>477076725.26041663</v>
      </c>
      <c r="BF108" s="186">
        <v>0</v>
      </c>
      <c r="BG108" s="186">
        <v>0</v>
      </c>
      <c r="BH108" s="186">
        <v>0</v>
      </c>
      <c r="BI108" s="187" cm="1">
        <f t="array" ref="BI108">_xlfn.IFS(BF108="DELETE", "DELETE", BF108=0, 0, BF108&gt;0,LOG10(BF108))</f>
        <v>0</v>
      </c>
      <c r="BJ108" s="188" cm="1">
        <f t="array" ref="BJ108">_xlfn.IFS(BF108="DELETE", "DELETE", BF108=0, 0, BF108&gt;0, BH108/BF108/LN(10))</f>
        <v>0</v>
      </c>
    </row>
    <row r="109" spans="1:62" s="114" customFormat="1" x14ac:dyDescent="0.3">
      <c r="A109" s="115" t="str">
        <f>UPPER(LEFT(SUBSTITUTE(SUBSTITUTE(qPCR_Raw!A109,"-","")," ",""),2))&amp;RIGHT(SUBSTITUTE(SUBSTITUTE(qPCR_Raw!A109,"-","")," ",""),LEN(SUBSTITUTE(SUBSTITUTE(qPCR_Raw!A109,"-","")," ",""))-2)</f>
        <v>EP7</v>
      </c>
      <c r="B109" s="116" t="str" cm="1">
        <f t="array" ref="B109">_xlfn.IFS(LEFT(A109, LEN(A109)-1)="EP", "EP", LEFT(A109, LEN(A109)-1)="STa", "SPI", LEFT(A109, LEN(A109)-1)="STb", "SPO", LEFT(A109, LEN(A109)-1)="MRT", "MRT", LEFT(A109, LEN(A109)-1)="RG", "RN", LEFT(A109, LEN(A109)-1)="RT", "RU", LEFT(A109, LEN(A109)-1)="RW", "RL", LEFT(A109, LEN(A109)-1)="RC", "RS")</f>
        <v>EP</v>
      </c>
      <c r="C109" s="117">
        <f>qPCR_Raw!B109</f>
        <v>44385</v>
      </c>
      <c r="D109" s="117" t="str">
        <f t="shared" si="17"/>
        <v>EP44385</v>
      </c>
      <c r="E109" s="117" t="str">
        <f t="shared" si="18"/>
        <v>EP443857</v>
      </c>
      <c r="F109" s="118">
        <f>qPCR_Raw!C109</f>
        <v>895</v>
      </c>
      <c r="G109" s="119">
        <f>qPCR_Raw!F109</f>
        <v>100</v>
      </c>
      <c r="H109" s="120">
        <f>qPCR_Raw!G109</f>
        <v>17.678739547729492</v>
      </c>
      <c r="I109" s="121" cm="1">
        <f t="array" ref="I109">_xlfn.IFS(H109="Undetermined", 0, qPCR_Raw!H109-qPCR_Raw!$H$242&lt;0, 0, qPCR_Raw!H109-qPCR_Raw!$H$242&gt;0, qPCR_Raw!H109-qPCR_Raw!$H$242)</f>
        <v>419765.42394612631</v>
      </c>
      <c r="J109" s="122">
        <f>qPCR_Raw!K109</f>
        <v>19.996292114257813</v>
      </c>
      <c r="K109" s="121" cm="1">
        <f t="array" ref="K109">_xlfn.IFS(J109="Undetermined", 0, qPCR_Raw!L109-qPCR_Raw!$H$242&lt;0, 0, qPCR_Raw!L109-qPCR_Raw!$H$242&gt;0, qPCR_Raw!L109-qPCR_Raw!$H$242)</f>
        <v>83768.822383626306</v>
      </c>
      <c r="L109" s="123" cm="1">
        <f t="array" ref="L109">_xlfn.IFS(AND(H109="Undetermined", J109="Undetermined"), "Undetermined", AND(I109=0, K109=0), "Undetermined", AND(I109=0, K109&gt;0), "Ten-Fold", AND(I109&gt;0, K109=0), "Undiluted", AND(H109&lt;&gt;"Undetermined", J109&lt;&gt;"Undetermined", I109&gt;0, K109&gt;0), 100*(-1+10^(-1/(H109-J109))))</f>
        <v>170.0782888632626</v>
      </c>
      <c r="M109" s="124" cm="1">
        <f t="array" ref="M109">_xlfn.IFS(L109="Undetermined", 0, L109="Undiluted", I109*$G109/$F109*1000, L109="Ten-Fold", K109*$G109/$F109*1000*10, L109&lt;0, K109*$G109/$F109*1000*10, L109&lt;120, I109*$G109/$F109*1000, L109&gt;120, K109*$G109/$F109*1000*10)</f>
        <v>93596449.590643927</v>
      </c>
      <c r="N109" s="121" t="str">
        <f t="shared" si="19"/>
        <v>DELETE</v>
      </c>
      <c r="O109" s="121" t="str">
        <f t="shared" si="20"/>
        <v>DELETE</v>
      </c>
      <c r="P109" s="121" t="str">
        <f t="shared" si="21"/>
        <v>DELETE</v>
      </c>
      <c r="Q109" s="125" t="str" cm="1">
        <f t="array" ref="Q109">_xlfn.IFS(N109="DELETE", "DELETE", N109=0, 0, N109&gt;0,LOG10(N109))</f>
        <v>DELETE</v>
      </c>
      <c r="R109" s="126" t="str" cm="1">
        <f t="array" ref="R109">_xlfn.IFS(N109="DELETE", "DELETE", N109=0, 0, N109&gt;0, P109/N109/LN(10))</f>
        <v>DELETE</v>
      </c>
      <c r="S109" s="155">
        <f>qPCR_Raw!O109</f>
        <v>33.022663116455078</v>
      </c>
      <c r="T109" s="156" cm="1">
        <f t="array" ref="T109">_xlfn.IFS(S109="Undetermined", 0, qPCR_Raw!P109&lt;=1, 0, qPCR_Raw!P109&gt;1, qPCR_Raw!P109)</f>
        <v>23.892608642578125</v>
      </c>
      <c r="U109" s="157">
        <f>qPCR_Raw!R109</f>
        <v>36.820053100585938</v>
      </c>
      <c r="V109" s="156" cm="1">
        <f t="array" ref="V109">_xlfn.IFS(U109="Undetermined", 0, qPCR_Raw!S109&lt;=1, 0, qPCR_Raw!S109&gt;1, qPCR_Raw!S109)</f>
        <v>2.187985897064209</v>
      </c>
      <c r="W109" s="158" cm="1">
        <f t="array" ref="W109">_xlfn.IFS(AND(S109="Undetermined", U109="Undetermined"), "Undetermined", AND(T109=0, V109=0), "Undetermined", AND(T109=0, V109&gt;0), "Ten-Fold", AND(T109&gt;0, V109=0), "Undiluted", AND(S109&lt;&gt;"Undetermined", U109&lt;&gt;"Undetermined", T109&gt;0, V109&gt;0, S109&lt;&gt;U109), 100*(-1+10^(-1/(S109-U109))), AND(S109&lt;&gt;"Undetermined", U109&lt;&gt;"Undetermined", S109=U109&gt;0), -100)</f>
        <v>83.374426240142725</v>
      </c>
      <c r="X109" s="159" cm="1">
        <f t="array" ref="X109">_xlfn.IFS(W109="Undetermined", 0, W109="Undiluted", T109*$G109/$F109*1000, W109="Ten-Fold", V109*$G109/$F109*1000*10, W109&lt;0, V109*$G109/$F109*1000*10, W109&lt;120, T109*$G109/$F109*1000, W109&gt;120, V109*$G109/$F109*1000*10)</f>
        <v>2669.5652114612431</v>
      </c>
      <c r="Y109" s="156" t="str">
        <f t="shared" si="22"/>
        <v>DELETE</v>
      </c>
      <c r="Z109" s="156" t="str">
        <f t="shared" si="23"/>
        <v>DELETE</v>
      </c>
      <c r="AA109" s="156" t="str">
        <f t="shared" si="24"/>
        <v>DELETE</v>
      </c>
      <c r="AB109" s="160" t="str" cm="1">
        <f t="array" ref="AB109">_xlfn.IFS(Y109="DELETE", "DELETE", Y109=0, 0, Y109&gt;0,LOG10(Y109))</f>
        <v>DELETE</v>
      </c>
      <c r="AC109" s="161" t="str" cm="1">
        <f t="array" ref="AC109">_xlfn.IFS(Y109="DELETE", "DELETE", Y109=0, 0, Y109&gt;0, AA109/Y109/LN(10))</f>
        <v>DELETE</v>
      </c>
      <c r="AD109" s="120">
        <f>qPCR_Raw!U109</f>
        <v>31.354089736938477</v>
      </c>
      <c r="AE109" s="121" cm="1">
        <f t="array" ref="AE109">_xlfn.IFS(AD109="Undetermined", 0, qPCR_Raw!V109&lt;=1, 0, qPCR_Raw!V109&gt;1, qPCR_Raw!V109)</f>
        <v>12.363539695739746</v>
      </c>
      <c r="AF109" s="122">
        <f>qPCR_Raw!X109</f>
        <v>34.44244384765625</v>
      </c>
      <c r="AG109" s="121" cm="1">
        <f t="array" ref="AG109">_xlfn.IFS(AF109="Undetermined", 0, qPCR_Raw!Y109&lt;=1, 0, qPCR_Raw!Y109&gt;1, qPCR_Raw!Y109)</f>
        <v>1.6496008634567261</v>
      </c>
      <c r="AH109" s="123" cm="1">
        <f t="array" ref="AH109">_xlfn.IFS(AND(AD109="Undetermined", AF109="Undetermined"), "Undetermined", AND(AE109=0, AG109=0), "Undetermined", AND(AE109=0, AG109&gt;0), "Ten-Fold", AND(AE109&gt;0, AG109=0), "Undiluted", AND(AD109&lt;&gt;"Undetermined", AF109&lt;&gt;"Undetermined", AE109&gt;0, AG109&gt;0, AD109&lt;&gt;AF109), 100*(-1+10^(-1/(AD109-AF109))), AND(AD109&lt;&gt;"Undetermined", AF109&lt;&gt;"Undetermined", AD109=AF109&gt;0), -100)</f>
        <v>110.76430757975091</v>
      </c>
      <c r="AI109" s="124" cm="1">
        <f t="array" ref="AI109">_xlfn.IFS(AH109="Undetermined", 0, AH109="Undiluted", AE109*$G109/$F109*1000, AH109="Ten-Fold", AG109*$G109/$F109*1000*10, AH109&lt;0, AG109*$G109/$F109*1000*10, AH109&lt;120, AE109*$G109/$F109*1000, AH109&gt;120, AG109*$G109/$F109*1000*10)</f>
        <v>1381.4010833228767</v>
      </c>
      <c r="AJ109" s="121" t="str">
        <f t="shared" si="25"/>
        <v>DELETE</v>
      </c>
      <c r="AK109" s="121" t="str">
        <f t="shared" si="26"/>
        <v>DELETE</v>
      </c>
      <c r="AL109" s="121" t="str">
        <f t="shared" si="27"/>
        <v>DELETE</v>
      </c>
      <c r="AM109" s="125" t="str" cm="1">
        <f t="array" ref="AM109">_xlfn.IFS(AJ109="DELETE", "DELETE", AJ109=0, 0, AJ109&gt;0,LOG10(AJ109))</f>
        <v>DELETE</v>
      </c>
      <c r="AN109" s="126" t="str" cm="1">
        <f t="array" ref="AN109">_xlfn.IFS(AJ109="DELETE", "DELETE", AJ109=0, 0, AJ109&gt;0, AL109/AJ109/LN(10))</f>
        <v>DELETE</v>
      </c>
      <c r="AO109" s="155">
        <f>qPCR_Raw!AA109</f>
        <v>29.866630554199219</v>
      </c>
      <c r="AP109" s="156" cm="1">
        <f t="array" ref="AP109">_xlfn.IFS(AO109="Undetermined", 0, qPCR_Raw!AB109&lt;=6, 0, qPCR_Raw!AB109&gt;6, qPCR_Raw!AB109)</f>
        <v>8.3776693344116211</v>
      </c>
      <c r="AQ109" s="157" t="str">
        <f>qPCR_Raw!AD109</f>
        <v>Undetermined</v>
      </c>
      <c r="AR109" s="156" cm="1">
        <f t="array" ref="AR109">_xlfn.IFS(AQ109="Undetermined", 0, qPCR_Raw!AE109&lt;=6, 0, qPCR_Raw!AE109&gt;6, qPCR_Raw!AE109)</f>
        <v>0</v>
      </c>
      <c r="AS109" s="158" t="str" cm="1">
        <f t="array" ref="AS109">_xlfn.IFS(AND(AO109="Undetermined", AQ109="Undetermined"), "Undetermined", AND(AP109=0, AR109=0), "Undetermined", AND(AP109=0, AR109&gt;0), "Ten-Fold", AND(AP109&gt;0, AR109=0), "Undiluted", AND(AO109&lt;&gt;"Undetermined", AQ109&lt;&gt;"Undetermined", AP109&gt;0, AR109&gt;0, AO109&lt;&gt;AQ109), 100*(-1+10^(-1/(AO109-AQ109))), AND(AO109&lt;&gt;"Undetermined", AQ109&lt;&gt;"Undetermined", AO109=AQ109&gt;0), -100)</f>
        <v>Undiluted</v>
      </c>
      <c r="AT109" s="159" cm="1">
        <f t="array" ref="AT109">_xlfn.IFS(AS109="Undetermined", 0, AS109="Undiluted", AP109*$G109/$F109*1000, AS109="Ten-Fold", AR109*$G109/$F109*1000*10, AS109&lt;0, AR109*$G109/$F109*1000*10, AS109&lt;120, AP109*$G109/$F109*1000, AS109&gt;120, AR109*$G109/$F109*1000*10)</f>
        <v>936.05243959906386</v>
      </c>
      <c r="AU109" s="156" t="str">
        <f t="shared" si="34"/>
        <v>DELETE</v>
      </c>
      <c r="AV109" s="156" t="str">
        <f t="shared" si="35"/>
        <v>DELETE</v>
      </c>
      <c r="AW109" s="156" t="str">
        <f t="shared" si="36"/>
        <v>DELETE</v>
      </c>
      <c r="AX109" s="160" t="str" cm="1">
        <f t="array" ref="AX109">_xlfn.IFS(AU109="DELETE", "DELETE", AU109=0, 0, AU109&gt;0,LOG10(AU109))</f>
        <v>DELETE</v>
      </c>
      <c r="AY109" s="161" t="str" cm="1">
        <f t="array" ref="AY109">_xlfn.IFS(AU109="DELETE", "DELETE", AU109=0, 0, AU109&gt;0, AW109/AU109/LN(10))</f>
        <v>DELETE</v>
      </c>
      <c r="AZ109" s="120" t="str">
        <f>qPCR_Raw!AG109</f>
        <v>Undetermined</v>
      </c>
      <c r="BA109" s="121" cm="1">
        <f t="array" ref="BA109">_xlfn.IFS(AZ109="Undetermined", 0, qPCR_Raw!AH109&lt;=1, 0, qPCR_Raw!AH109&gt;1, qPCR_Raw!AH109)</f>
        <v>0</v>
      </c>
      <c r="BB109" s="122" t="str">
        <f>qPCR_Raw!AJ109</f>
        <v>Undetermined</v>
      </c>
      <c r="BC109" s="121" cm="1">
        <f t="array" ref="BC109">_xlfn.IFS(BB109="Undetermined", 0, qPCR_Raw!AK109&lt;=1, 0, qPCR_Raw!AK109&gt;1, qPCR_Raw!AK109)</f>
        <v>0</v>
      </c>
      <c r="BD109" s="123" t="str" cm="1">
        <f t="array" ref="BD109">_xlfn.IFS(AND(AZ109="Undetermined", BB109="Undetermined"), "Undetermined", AND(BA109=0, BC109=0), "Undetermined", AND(BA109=0, BC109&gt;0), "Ten-Fold", AND(BA109&gt;0, BC109=0), "Undiluted", AND(AZ109&lt;&gt;"Undetermined", BB109&lt;&gt;"Undetermined", BA109&gt;0, BC109&gt;0, AZ109&lt;&gt;BB109), 100*(-1+10^(-1/(AZ109-BB109))), AND(AZ109&lt;&gt;"Undetermined", BB109&lt;&gt;"Undetermined", AZ109=BB109&gt;0), -100)</f>
        <v>Undetermined</v>
      </c>
      <c r="BE109" s="124" cm="1">
        <f t="array" ref="BE109">_xlfn.IFS(BD109="Undetermined", 0, BD109="Undiluted", BA109*$G109/$F109*1000, BD109="Ten-Fold", BC109*$G109/$F109*1000*10, BD109&lt;0, BC109*$G109/$F109*1000*10, BD109&lt;120, BA109*$G109/$F109*1000, BD109&gt;120, BC109*$G109/$F109*1000*10)</f>
        <v>0</v>
      </c>
      <c r="BF109" s="121" t="str">
        <f t="shared" si="31"/>
        <v>DELETE</v>
      </c>
      <c r="BG109" s="121" t="str">
        <f t="shared" si="32"/>
        <v>DELETE</v>
      </c>
      <c r="BH109" s="121" t="str">
        <f t="shared" si="33"/>
        <v>DELETE</v>
      </c>
      <c r="BI109" s="125" t="str" cm="1">
        <f t="array" ref="BI109">_xlfn.IFS(BF109="DELETE", "DELETE", BF109=0, 0, BF109&gt;0,LOG10(BF109))</f>
        <v>DELETE</v>
      </c>
      <c r="BJ109" s="126" t="str" cm="1">
        <f t="array" ref="BJ109">_xlfn.IFS(BF109="DELETE", "DELETE", BF109=0, 0, BF109&gt;0, BH109/BF109/LN(10))</f>
        <v>DELETE</v>
      </c>
    </row>
    <row r="110" spans="1:62" s="114" customFormat="1" x14ac:dyDescent="0.3">
      <c r="A110" s="115" t="str">
        <f>UPPER(LEFT(SUBSTITUTE(SUBSTITUTE(qPCR_Raw!A110,"-","")," ",""),2))&amp;RIGHT(SUBSTITUTE(SUBSTITUTE(qPCR_Raw!A110,"-","")," ",""),LEN(SUBSTITUTE(SUBSTITUTE(qPCR_Raw!A110,"-","")," ",""))-2)</f>
        <v>RW6</v>
      </c>
      <c r="B110" s="116" t="str" cm="1">
        <f t="array" ref="B110">_xlfn.IFS(LEFT(A110, LEN(A110)-1)="EP", "EP", LEFT(A110, LEN(A110)-1)="STa", "SPI", LEFT(A110, LEN(A110)-1)="STb", "SPO", LEFT(A110, LEN(A110)-1)="MRT", "MRT", LEFT(A110, LEN(A110)-1)="RG", "RN", LEFT(A110, LEN(A110)-1)="RT", "RU", LEFT(A110, LEN(A110)-1)="RW", "RL", LEFT(A110, LEN(A110)-1)="RC", "RS")</f>
        <v>RL</v>
      </c>
      <c r="C110" s="117">
        <f>qPCR_Raw!B110</f>
        <v>44385</v>
      </c>
      <c r="D110" s="117" t="str">
        <f t="shared" si="17"/>
        <v>RL44385</v>
      </c>
      <c r="E110" s="117" t="str">
        <f t="shared" si="18"/>
        <v>RL443856</v>
      </c>
      <c r="F110" s="118">
        <f>qPCR_Raw!C110</f>
        <v>900</v>
      </c>
      <c r="G110" s="119">
        <f>qPCR_Raw!F110</f>
        <v>100</v>
      </c>
      <c r="H110" s="120">
        <f>qPCR_Raw!G110</f>
        <v>18.123594284057617</v>
      </c>
      <c r="I110" s="121" cm="1">
        <f t="array" ref="I110">_xlfn.IFS(H110="Undetermined", 0, qPCR_Raw!H110-qPCR_Raw!$H$242&lt;0, 0, qPCR_Raw!H110-qPCR_Raw!$H$242&gt;0, qPCR_Raw!H110-qPCR_Raw!$H$242)</f>
        <v>311623.42394612631</v>
      </c>
      <c r="J110" s="122">
        <f>qPCR_Raw!K110</f>
        <v>21.367551803588867</v>
      </c>
      <c r="K110" s="121" cm="1">
        <f t="array" ref="K110">_xlfn.IFS(J110="Undetermined", 0, qPCR_Raw!L110-qPCR_Raw!$H$242&lt;0, 0, qPCR_Raw!L110-qPCR_Raw!$H$242&gt;0, qPCR_Raw!L110-qPCR_Raw!$H$242)</f>
        <v>26894.220821126302</v>
      </c>
      <c r="L110" s="123" cm="1">
        <f t="array" ref="L110">_xlfn.IFS(AND(H110="Undetermined", J110="Undetermined"), "Undetermined", AND(I110=0, K110=0), "Undetermined", AND(I110=0, K110&gt;0), "Ten-Fold", AND(I110&gt;0, K110=0), "Undiluted", AND(H110&lt;&gt;"Undetermined", J110&lt;&gt;"Undetermined", I110&gt;0, K110&gt;0), 100*(-1+10^(-1/(H110-J110))))</f>
        <v>103.35995749450126</v>
      </c>
      <c r="M110" s="124" cm="1">
        <f t="array" ref="M110">_xlfn.IFS(L110="Undetermined", 0, L110="Undiluted", I110*$G110/$F110*1000, L110="Ten-Fold", K110*$G110/$F110*1000*10, L110&lt;0, K110*$G110/$F110*1000*10, L110&lt;120, I110*$G110/$F110*1000, L110&gt;120, K110*$G110/$F110*1000*10)</f>
        <v>34624824.88290292</v>
      </c>
      <c r="N110" s="121">
        <f t="shared" si="19"/>
        <v>27416233.737069584</v>
      </c>
      <c r="O110" s="121">
        <f t="shared" si="20"/>
        <v>10194487.364040112</v>
      </c>
      <c r="P110" s="121">
        <f t="shared" si="21"/>
        <v>7208591.1458333349</v>
      </c>
      <c r="Q110" s="125" cm="1">
        <f t="array" ref="Q110">_xlfn.IFS(N110="DELETE", "DELETE", N110=0, 0, N110&gt;0,LOG10(N110))</f>
        <v>7.4380077940147062</v>
      </c>
      <c r="R110" s="126" cm="1">
        <f t="array" ref="R110">_xlfn.IFS(N110="DELETE", "DELETE", N110=0, 0, N110&gt;0, P110/N110/LN(10))</f>
        <v>0.11418969457862084</v>
      </c>
      <c r="S110" s="155">
        <f>qPCR_Raw!O110</f>
        <v>35.227874755859375</v>
      </c>
      <c r="T110" s="156" cm="1">
        <f t="array" ref="T110">_xlfn.IFS(S110="Undetermined", 0, qPCR_Raw!P110&lt;=1, 0, qPCR_Raw!P110&gt;1, qPCR_Raw!P110)</f>
        <v>5.9614429473876953</v>
      </c>
      <c r="U110" s="157">
        <f>qPCR_Raw!R110</f>
        <v>37.034992218017578</v>
      </c>
      <c r="V110" s="156" cm="1">
        <f t="array" ref="V110">_xlfn.IFS(U110="Undetermined", 0, qPCR_Raw!S110&lt;=1, 0, qPCR_Raw!S110&gt;1, qPCR_Raw!S110)</f>
        <v>1.9110826253890991</v>
      </c>
      <c r="W110" s="158" cm="1">
        <f t="array" ref="W110">_xlfn.IFS(AND(S110="Undetermined", U110="Undetermined"), "Undetermined", AND(T110=0, V110=0), "Undetermined", AND(T110=0, V110&gt;0), "Ten-Fold", AND(T110&gt;0, V110=0), "Undiluted", AND(S110&lt;&gt;"Undetermined", U110&lt;&gt;"Undetermined", T110&gt;0, V110&gt;0, S110&lt;&gt;U110), 100*(-1+10^(-1/(S110-U110))), AND(S110&lt;&gt;"Undetermined", U110&lt;&gt;"Undetermined", S110=U110&gt;0), -100)</f>
        <v>257.57525747089994</v>
      </c>
      <c r="X110" s="159" cm="1">
        <f t="array" ref="X110">_xlfn.IFS(W110="Undetermined", 0, W110="Undiluted", T110*$G110/$F110*1000, W110="Ten-Fold", V110*$G110/$F110*1000*10, W110&lt;0, V110*$G110/$F110*1000*10, W110&lt;120, T110*$G110/$F110*1000, W110&gt;120, V110*$G110/$F110*1000*10)</f>
        <v>2123.4251393212212</v>
      </c>
      <c r="Y110" s="156">
        <f t="shared" si="22"/>
        <v>2020.580596394009</v>
      </c>
      <c r="Z110" s="156">
        <f t="shared" si="23"/>
        <v>145.44414742372541</v>
      </c>
      <c r="AA110" s="156">
        <f t="shared" si="24"/>
        <v>102.84454292721216</v>
      </c>
      <c r="AB110" s="160" cm="1">
        <f t="array" ref="AB110">_xlfn.IFS(Y110="DELETE", "DELETE", Y110=0, 0, Y110&gt;0,LOG10(Y110))</f>
        <v>3.305476178149656</v>
      </c>
      <c r="AC110" s="161" cm="1">
        <f t="array" ref="AC110">_xlfn.IFS(Y110="DELETE", "DELETE", Y110=0, 0, Y110&gt;0, AA110/Y110/LN(10))</f>
        <v>2.210494229572459E-2</v>
      </c>
      <c r="AD110" s="120">
        <f>qPCR_Raw!U110</f>
        <v>36.8582763671875</v>
      </c>
      <c r="AE110" s="121" cm="1">
        <f t="array" ref="AE110">_xlfn.IFS(AD110="Undetermined", 0, qPCR_Raw!V110&lt;=1, 0, qPCR_Raw!V110&gt;1, qPCR_Raw!V110)</f>
        <v>0</v>
      </c>
      <c r="AF110" s="122" t="str">
        <f>qPCR_Raw!X110</f>
        <v>Undetermined</v>
      </c>
      <c r="AG110" s="121" cm="1">
        <f t="array" ref="AG110">_xlfn.IFS(AF110="Undetermined", 0, qPCR_Raw!Y110&lt;=1, 0, qPCR_Raw!Y110&gt;1, qPCR_Raw!Y110)</f>
        <v>0</v>
      </c>
      <c r="AH110" s="123" t="str" cm="1">
        <f t="array" ref="AH110">_xlfn.IFS(AND(AD110="Undetermined", AF110="Undetermined"), "Undetermined", AND(AE110=0, AG110=0), "Undetermined", AND(AE110=0, AG110&gt;0), "Ten-Fold", AND(AE110&gt;0, AG110=0), "Undiluted", AND(AD110&lt;&gt;"Undetermined", AF110&lt;&gt;"Undetermined", AE110&gt;0, AG110&gt;0, AD110&lt;&gt;AF110), 100*(-1+10^(-1/(AD110-AF110))), AND(AD110&lt;&gt;"Undetermined", AF110&lt;&gt;"Undetermined", AD110=AF110&gt;0), -100)</f>
        <v>Undetermined</v>
      </c>
      <c r="AI110" s="124" cm="1">
        <f t="array" ref="AI110">_xlfn.IFS(AH110="Undetermined", 0, AH110="Undiluted", AE110*$G110/$F110*1000, AH110="Ten-Fold", AG110*$G110/$F110*1000*10, AH110&lt;0, AG110*$G110/$F110*1000*10, AH110&lt;120, AE110*$G110/$F110*1000, AH110&gt;120, AG110*$G110/$F110*1000*10)</f>
        <v>0</v>
      </c>
      <c r="AJ110" s="121">
        <f t="shared" si="25"/>
        <v>0</v>
      </c>
      <c r="AK110" s="121">
        <f t="shared" si="26"/>
        <v>0</v>
      </c>
      <c r="AL110" s="121">
        <f t="shared" si="27"/>
        <v>0</v>
      </c>
      <c r="AM110" s="125" cm="1">
        <f t="array" ref="AM110">_xlfn.IFS(AJ110="DELETE", "DELETE", AJ110=0, 0, AJ110&gt;0,LOG10(AJ110))</f>
        <v>0</v>
      </c>
      <c r="AN110" s="126" cm="1">
        <f t="array" ref="AN110">_xlfn.IFS(AJ110="DELETE", "DELETE", AJ110=0, 0, AJ110&gt;0, AL110/AJ110/LN(10))</f>
        <v>0</v>
      </c>
      <c r="AO110" s="155">
        <f>qPCR_Raw!AA110</f>
        <v>31.190708160400391</v>
      </c>
      <c r="AP110" s="156" cm="1">
        <f t="array" ref="AP110">_xlfn.IFS(AO110="Undetermined", 0, qPCR_Raw!AB110&lt;=6, 0, qPCR_Raw!AB110&gt;6, qPCR_Raw!AB110)</f>
        <v>0</v>
      </c>
      <c r="AQ110" s="157" t="str">
        <f>qPCR_Raw!AD110</f>
        <v>Undetermined</v>
      </c>
      <c r="AR110" s="156" cm="1">
        <f t="array" ref="AR110">_xlfn.IFS(AQ110="Undetermined", 0, qPCR_Raw!AE110&lt;=6, 0, qPCR_Raw!AE110&gt;6, qPCR_Raw!AE110)</f>
        <v>0</v>
      </c>
      <c r="AS110" s="158" t="str" cm="1">
        <f t="array" ref="AS110">_xlfn.IFS(AND(AO110="Undetermined", AQ110="Undetermined"), "Undetermined", AND(AP110=0, AR110=0), "Undetermined", AND(AP110=0, AR110&gt;0), "Ten-Fold", AND(AP110&gt;0, AR110=0), "Undiluted", AND(AO110&lt;&gt;"Undetermined", AQ110&lt;&gt;"Undetermined", AP110&gt;0, AR110&gt;0, AO110&lt;&gt;AQ110), 100*(-1+10^(-1/(AO110-AQ110))), AND(AO110&lt;&gt;"Undetermined", AQ110&lt;&gt;"Undetermined", AO110=AQ110&gt;0), -100)</f>
        <v>Undetermined</v>
      </c>
      <c r="AT110" s="159" cm="1">
        <f t="array" ref="AT110">_xlfn.IFS(AS110="Undetermined", 0, AS110="Undiluted", AP110*$G110/$F110*1000, AS110="Ten-Fold", AR110*$G110/$F110*1000*10, AS110&lt;0, AR110*$G110/$F110*1000*10, AS110&lt;120, AP110*$G110/$F110*1000, AS110&gt;120, AR110*$G110/$F110*1000*10)</f>
        <v>0</v>
      </c>
      <c r="AU110" s="156">
        <f t="shared" si="34"/>
        <v>0</v>
      </c>
      <c r="AV110" s="156">
        <f t="shared" si="35"/>
        <v>0</v>
      </c>
      <c r="AW110" s="156">
        <f t="shared" si="36"/>
        <v>0</v>
      </c>
      <c r="AX110" s="160" cm="1">
        <f t="array" ref="AX110">_xlfn.IFS(AU110="DELETE", "DELETE", AU110=0, 0, AU110&gt;0,LOG10(AU110))</f>
        <v>0</v>
      </c>
      <c r="AY110" s="161" cm="1">
        <f t="array" ref="AY110">_xlfn.IFS(AU110="DELETE", "DELETE", AU110=0, 0, AU110&gt;0, AW110/AU110/LN(10))</f>
        <v>0</v>
      </c>
      <c r="AZ110" s="120" t="str">
        <f>qPCR_Raw!AG110</f>
        <v>Undetermined</v>
      </c>
      <c r="BA110" s="121" cm="1">
        <f t="array" ref="BA110">_xlfn.IFS(AZ110="Undetermined", 0, qPCR_Raw!AH110&lt;=1, 0, qPCR_Raw!AH110&gt;1, qPCR_Raw!AH110)</f>
        <v>0</v>
      </c>
      <c r="BB110" s="122" t="str">
        <f>qPCR_Raw!AJ110</f>
        <v>Undetermined</v>
      </c>
      <c r="BC110" s="121" cm="1">
        <f t="array" ref="BC110">_xlfn.IFS(BB110="Undetermined", 0, qPCR_Raw!AK110&lt;=1, 0, qPCR_Raw!AK110&gt;1, qPCR_Raw!AK110)</f>
        <v>0</v>
      </c>
      <c r="BD110" s="123" t="str" cm="1">
        <f t="array" ref="BD110">_xlfn.IFS(AND(AZ110="Undetermined", BB110="Undetermined"), "Undetermined", AND(BA110=0, BC110=0), "Undetermined", AND(BA110=0, BC110&gt;0), "Ten-Fold", AND(BA110&gt;0, BC110=0), "Undiluted", AND(AZ110&lt;&gt;"Undetermined", BB110&lt;&gt;"Undetermined", BA110&gt;0, BC110&gt;0, AZ110&lt;&gt;BB110), 100*(-1+10^(-1/(AZ110-BB110))), AND(AZ110&lt;&gt;"Undetermined", BB110&lt;&gt;"Undetermined", AZ110=BB110&gt;0), -100)</f>
        <v>Undetermined</v>
      </c>
      <c r="BE110" s="124" cm="1">
        <f t="array" ref="BE110">_xlfn.IFS(BD110="Undetermined", 0, BD110="Undiluted", BA110*$G110/$F110*1000, BD110="Ten-Fold", BC110*$G110/$F110*1000*10, BD110&lt;0, BC110*$G110/$F110*1000*10, BD110&lt;120, BA110*$G110/$F110*1000, BD110&gt;120, BC110*$G110/$F110*1000*10)</f>
        <v>0</v>
      </c>
      <c r="BF110" s="121">
        <f t="shared" si="31"/>
        <v>0</v>
      </c>
      <c r="BG110" s="121">
        <f t="shared" si="32"/>
        <v>0</v>
      </c>
      <c r="BH110" s="121">
        <f t="shared" si="33"/>
        <v>0</v>
      </c>
      <c r="BI110" s="125" cm="1">
        <f t="array" ref="BI110">_xlfn.IFS(BF110="DELETE", "DELETE", BF110=0, 0, BF110&gt;0,LOG10(BF110))</f>
        <v>0</v>
      </c>
      <c r="BJ110" s="126" cm="1">
        <f t="array" ref="BJ110">_xlfn.IFS(BF110="DELETE", "DELETE", BF110=0, 0, BF110&gt;0, BH110/BF110/LN(10))</f>
        <v>0</v>
      </c>
    </row>
    <row r="111" spans="1:62" s="114" customFormat="1" x14ac:dyDescent="0.3">
      <c r="A111" s="115" t="str">
        <f>UPPER(LEFT(SUBSTITUTE(SUBSTITUTE(qPCR_Raw!A111,"-","")," ",""),2))&amp;RIGHT(SUBSTITUTE(SUBSTITUTE(qPCR_Raw!A111,"-","")," ",""),LEN(SUBSTITUTE(SUBSTITUTE(qPCR_Raw!A111,"-","")," ",""))-2)</f>
        <v>RW7</v>
      </c>
      <c r="B111" s="116" t="str" cm="1">
        <f t="array" ref="B111">_xlfn.IFS(LEFT(A111, LEN(A111)-1)="EP", "EP", LEFT(A111, LEN(A111)-1)="STa", "SPI", LEFT(A111, LEN(A111)-1)="STb", "SPO", LEFT(A111, LEN(A111)-1)="MRT", "MRT", LEFT(A111, LEN(A111)-1)="RG", "RN", LEFT(A111, LEN(A111)-1)="RT", "RU", LEFT(A111, LEN(A111)-1)="RW", "RL", LEFT(A111, LEN(A111)-1)="RC", "RS")</f>
        <v>RL</v>
      </c>
      <c r="C111" s="117">
        <f>qPCR_Raw!B111</f>
        <v>44385</v>
      </c>
      <c r="D111" s="117" t="str">
        <f t="shared" si="17"/>
        <v>RL44385</v>
      </c>
      <c r="E111" s="117" t="str">
        <f t="shared" si="18"/>
        <v>RL443857</v>
      </c>
      <c r="F111" s="118">
        <f>qPCR_Raw!C111</f>
        <v>900</v>
      </c>
      <c r="G111" s="119">
        <f>qPCR_Raw!F111</f>
        <v>100</v>
      </c>
      <c r="H111" s="120">
        <f>qPCR_Raw!G111</f>
        <v>18.913188934326172</v>
      </c>
      <c r="I111" s="121" cm="1">
        <f t="array" ref="I111">_xlfn.IFS(H111="Undetermined", 0, qPCR_Raw!H111-qPCR_Raw!$H$242&lt;0, 0, qPCR_Raw!H111-qPCR_Raw!$H$242&gt;0, qPCR_Raw!H111-qPCR_Raw!$H$242)</f>
        <v>181868.78332112631</v>
      </c>
      <c r="J111" s="122">
        <f>qPCR_Raw!K111</f>
        <v>22.196495056152344</v>
      </c>
      <c r="K111" s="121" cm="1">
        <f t="array" ref="K111">_xlfn.IFS(J111="Undetermined", 0, qPCR_Raw!L111-qPCR_Raw!$H$242&lt;0, 0, qPCR_Raw!L111-qPCR_Raw!$H$242&gt;0, qPCR_Raw!L111-qPCR_Raw!$H$242)</f>
        <v>10353.127071126302</v>
      </c>
      <c r="L111" s="123" cm="1">
        <f t="array" ref="L111">_xlfn.IFS(AND(H111="Undetermined", J111="Undetermined"), "Undetermined", AND(I111=0, K111=0), "Undetermined", AND(I111=0, K111&gt;0), "Ten-Fold", AND(I111&gt;0, K111=0), "Undiluted", AND(H111&lt;&gt;"Undetermined", J111&lt;&gt;"Undetermined", I111&gt;0, K111&gt;0), 100*(-1+10^(-1/(H111-J111))))</f>
        <v>101.63738296632663</v>
      </c>
      <c r="M111" s="124" cm="1">
        <f t="array" ref="M111">_xlfn.IFS(L111="Undetermined", 0, L111="Undiluted", I111*$G111/$F111*1000, L111="Ten-Fold", K111*$G111/$F111*1000*10, L111&lt;0, K111*$G111/$F111*1000*10, L111&lt;120, I111*$G111/$F111*1000, L111&gt;120, K111*$G111/$F111*1000*10)</f>
        <v>20207642.591236252</v>
      </c>
      <c r="N111" s="121" t="str">
        <f t="shared" si="19"/>
        <v>DELETE</v>
      </c>
      <c r="O111" s="121" t="str">
        <f t="shared" si="20"/>
        <v>DELETE</v>
      </c>
      <c r="P111" s="121" t="str">
        <f t="shared" si="21"/>
        <v>DELETE</v>
      </c>
      <c r="Q111" s="125" t="str" cm="1">
        <f t="array" ref="Q111">_xlfn.IFS(N111="DELETE", "DELETE", N111=0, 0, N111&gt;0,LOG10(N111))</f>
        <v>DELETE</v>
      </c>
      <c r="R111" s="126" t="str" cm="1">
        <f t="array" ref="R111">_xlfn.IFS(N111="DELETE", "DELETE", N111=0, 0, N111&gt;0, P111/N111/LN(10))</f>
        <v>DELETE</v>
      </c>
      <c r="S111" s="155">
        <f>qPCR_Raw!O111</f>
        <v>33.539234161376953</v>
      </c>
      <c r="T111" s="156" cm="1">
        <f t="array" ref="T111">_xlfn.IFS(S111="Undetermined", 0, qPCR_Raw!P111&lt;=1, 0, qPCR_Raw!P111&gt;1, qPCR_Raw!P111)</f>
        <v>17.259624481201172</v>
      </c>
      <c r="U111" s="157">
        <f>qPCR_Raw!R111</f>
        <v>37.894886016845703</v>
      </c>
      <c r="V111" s="156" cm="1">
        <f t="array" ref="V111">_xlfn.IFS(U111="Undetermined", 0, qPCR_Raw!S111&lt;=1, 0, qPCR_Raw!S111&gt;1, qPCR_Raw!S111)</f>
        <v>1.1121968030929565</v>
      </c>
      <c r="W111" s="158" cm="1">
        <f t="array" ref="W111">_xlfn.IFS(AND(S111="Undetermined", U111="Undetermined"), "Undetermined", AND(T111=0, V111=0), "Undetermined", AND(T111=0, V111&gt;0), "Ten-Fold", AND(T111&gt;0, V111=0), "Undiluted", AND(S111&lt;&gt;"Undetermined", U111&lt;&gt;"Undetermined", T111&gt;0, V111&gt;0, S111&lt;&gt;U111), 100*(-1+10^(-1/(S111-U111))), AND(S111&lt;&gt;"Undetermined", U111&lt;&gt;"Undetermined", S111=U111&gt;0), -100)</f>
        <v>69.662851028157917</v>
      </c>
      <c r="X111" s="159" cm="1">
        <f t="array" ref="X111">_xlfn.IFS(W111="Undetermined", 0, W111="Undiluted", T111*$G111/$F111*1000, W111="Ten-Fold", V111*$G111/$F111*1000*10, W111&lt;0, V111*$G111/$F111*1000*10, W111&lt;120, T111*$G111/$F111*1000, W111&gt;120, V111*$G111/$F111*1000*10)</f>
        <v>1917.7360534667969</v>
      </c>
      <c r="Y111" s="156" t="str">
        <f t="shared" si="22"/>
        <v>DELETE</v>
      </c>
      <c r="Z111" s="156" t="str">
        <f t="shared" si="23"/>
        <v>DELETE</v>
      </c>
      <c r="AA111" s="156" t="str">
        <f t="shared" si="24"/>
        <v>DELETE</v>
      </c>
      <c r="AB111" s="160" t="str" cm="1">
        <f t="array" ref="AB111">_xlfn.IFS(Y111="DELETE", "DELETE", Y111=0, 0, Y111&gt;0,LOG10(Y111))</f>
        <v>DELETE</v>
      </c>
      <c r="AC111" s="161" t="str" cm="1">
        <f t="array" ref="AC111">_xlfn.IFS(Y111="DELETE", "DELETE", Y111=0, 0, Y111&gt;0, AA111/Y111/LN(10))</f>
        <v>DELETE</v>
      </c>
      <c r="AD111" s="120">
        <f>qPCR_Raw!U111</f>
        <v>37.267982482910156</v>
      </c>
      <c r="AE111" s="121" cm="1">
        <f t="array" ref="AE111">_xlfn.IFS(AD111="Undetermined", 0, qPCR_Raw!V111&lt;=1, 0, qPCR_Raw!V111&gt;1, qPCR_Raw!V111)</f>
        <v>0</v>
      </c>
      <c r="AF111" s="122" t="str">
        <f>qPCR_Raw!X111</f>
        <v>Undetermined</v>
      </c>
      <c r="AG111" s="121" cm="1">
        <f t="array" ref="AG111">_xlfn.IFS(AF111="Undetermined", 0, qPCR_Raw!Y111&lt;=1, 0, qPCR_Raw!Y111&gt;1, qPCR_Raw!Y111)</f>
        <v>0</v>
      </c>
      <c r="AH111" s="123" t="str" cm="1">
        <f t="array" ref="AH111">_xlfn.IFS(AND(AD111="Undetermined", AF111="Undetermined"), "Undetermined", AND(AE111=0, AG111=0), "Undetermined", AND(AE111=0, AG111&gt;0), "Ten-Fold", AND(AE111&gt;0, AG111=0), "Undiluted", AND(AD111&lt;&gt;"Undetermined", AF111&lt;&gt;"Undetermined", AE111&gt;0, AG111&gt;0, AD111&lt;&gt;AF111), 100*(-1+10^(-1/(AD111-AF111))), AND(AD111&lt;&gt;"Undetermined", AF111&lt;&gt;"Undetermined", AD111=AF111&gt;0), -100)</f>
        <v>Undetermined</v>
      </c>
      <c r="AI111" s="124" cm="1">
        <f t="array" ref="AI111">_xlfn.IFS(AH111="Undetermined", 0, AH111="Undiluted", AE111*$G111/$F111*1000, AH111="Ten-Fold", AG111*$G111/$F111*1000*10, AH111&lt;0, AG111*$G111/$F111*1000*10, AH111&lt;120, AE111*$G111/$F111*1000, AH111&gt;120, AG111*$G111/$F111*1000*10)</f>
        <v>0</v>
      </c>
      <c r="AJ111" s="121" t="str">
        <f t="shared" si="25"/>
        <v>DELETE</v>
      </c>
      <c r="AK111" s="121" t="str">
        <f t="shared" si="26"/>
        <v>DELETE</v>
      </c>
      <c r="AL111" s="121" t="str">
        <f t="shared" si="27"/>
        <v>DELETE</v>
      </c>
      <c r="AM111" s="125" t="str" cm="1">
        <f t="array" ref="AM111">_xlfn.IFS(AJ111="DELETE", "DELETE", AJ111=0, 0, AJ111&gt;0,LOG10(AJ111))</f>
        <v>DELETE</v>
      </c>
      <c r="AN111" s="126" t="str" cm="1">
        <f t="array" ref="AN111">_xlfn.IFS(AJ111="DELETE", "DELETE", AJ111=0, 0, AJ111&gt;0, AL111/AJ111/LN(10))</f>
        <v>DELETE</v>
      </c>
      <c r="AO111" s="155">
        <f>qPCR_Raw!AA111</f>
        <v>31.183084487915039</v>
      </c>
      <c r="AP111" s="156" cm="1">
        <f t="array" ref="AP111">_xlfn.IFS(AO111="Undetermined", 0, qPCR_Raw!AB111&lt;=6, 0, qPCR_Raw!AB111&gt;6, qPCR_Raw!AB111)</f>
        <v>0</v>
      </c>
      <c r="AQ111" s="157" t="str">
        <f>qPCR_Raw!AD111</f>
        <v>Undetermined</v>
      </c>
      <c r="AR111" s="156" cm="1">
        <f t="array" ref="AR111">_xlfn.IFS(AQ111="Undetermined", 0, qPCR_Raw!AE111&lt;=6, 0, qPCR_Raw!AE111&gt;6, qPCR_Raw!AE111)</f>
        <v>0</v>
      </c>
      <c r="AS111" s="158" t="str" cm="1">
        <f t="array" ref="AS111">_xlfn.IFS(AND(AO111="Undetermined", AQ111="Undetermined"), "Undetermined", AND(AP111=0, AR111=0), "Undetermined", AND(AP111=0, AR111&gt;0), "Ten-Fold", AND(AP111&gt;0, AR111=0), "Undiluted", AND(AO111&lt;&gt;"Undetermined", AQ111&lt;&gt;"Undetermined", AP111&gt;0, AR111&gt;0, AO111&lt;&gt;AQ111), 100*(-1+10^(-1/(AO111-AQ111))), AND(AO111&lt;&gt;"Undetermined", AQ111&lt;&gt;"Undetermined", AO111=AQ111&gt;0), -100)</f>
        <v>Undetermined</v>
      </c>
      <c r="AT111" s="159" cm="1">
        <f t="array" ref="AT111">_xlfn.IFS(AS111="Undetermined", 0, AS111="Undiluted", AP111*$G111/$F111*1000, AS111="Ten-Fold", AR111*$G111/$F111*1000*10, AS111&lt;0, AR111*$G111/$F111*1000*10, AS111&lt;120, AP111*$G111/$F111*1000, AS111&gt;120, AR111*$G111/$F111*1000*10)</f>
        <v>0</v>
      </c>
      <c r="AU111" s="156" t="str">
        <f t="shared" si="34"/>
        <v>DELETE</v>
      </c>
      <c r="AV111" s="156" t="str">
        <f t="shared" si="35"/>
        <v>DELETE</v>
      </c>
      <c r="AW111" s="156" t="str">
        <f t="shared" si="36"/>
        <v>DELETE</v>
      </c>
      <c r="AX111" s="160" t="str" cm="1">
        <f t="array" ref="AX111">_xlfn.IFS(AU111="DELETE", "DELETE", AU111=0, 0, AU111&gt;0,LOG10(AU111))</f>
        <v>DELETE</v>
      </c>
      <c r="AY111" s="161" t="str" cm="1">
        <f t="array" ref="AY111">_xlfn.IFS(AU111="DELETE", "DELETE", AU111=0, 0, AU111&gt;0, AW111/AU111/LN(10))</f>
        <v>DELETE</v>
      </c>
      <c r="AZ111" s="120" t="str">
        <f>qPCR_Raw!AG111</f>
        <v>Undetermined</v>
      </c>
      <c r="BA111" s="121" cm="1">
        <f t="array" ref="BA111">_xlfn.IFS(AZ111="Undetermined", 0, qPCR_Raw!AH111&lt;=1, 0, qPCR_Raw!AH111&gt;1, qPCR_Raw!AH111)</f>
        <v>0</v>
      </c>
      <c r="BB111" s="122" t="str">
        <f>qPCR_Raw!AJ111</f>
        <v>Undetermined</v>
      </c>
      <c r="BC111" s="121" cm="1">
        <f t="array" ref="BC111">_xlfn.IFS(BB111="Undetermined", 0, qPCR_Raw!AK111&lt;=1, 0, qPCR_Raw!AK111&gt;1, qPCR_Raw!AK111)</f>
        <v>0</v>
      </c>
      <c r="BD111" s="123" t="str" cm="1">
        <f t="array" ref="BD111">_xlfn.IFS(AND(AZ111="Undetermined", BB111="Undetermined"), "Undetermined", AND(BA111=0, BC111=0), "Undetermined", AND(BA111=0, BC111&gt;0), "Ten-Fold", AND(BA111&gt;0, BC111=0), "Undiluted", AND(AZ111&lt;&gt;"Undetermined", BB111&lt;&gt;"Undetermined", BA111&gt;0, BC111&gt;0, AZ111&lt;&gt;BB111), 100*(-1+10^(-1/(AZ111-BB111))), AND(AZ111&lt;&gt;"Undetermined", BB111&lt;&gt;"Undetermined", AZ111=BB111&gt;0), -100)</f>
        <v>Undetermined</v>
      </c>
      <c r="BE111" s="124" cm="1">
        <f t="array" ref="BE111">_xlfn.IFS(BD111="Undetermined", 0, BD111="Undiluted", BA111*$G111/$F111*1000, BD111="Ten-Fold", BC111*$G111/$F111*1000*10, BD111&lt;0, BC111*$G111/$F111*1000*10, BD111&lt;120, BA111*$G111/$F111*1000, BD111&gt;120, BC111*$G111/$F111*1000*10)</f>
        <v>0</v>
      </c>
      <c r="BF111" s="121" t="str">
        <f t="shared" si="31"/>
        <v>DELETE</v>
      </c>
      <c r="BG111" s="121" t="str">
        <f t="shared" si="32"/>
        <v>DELETE</v>
      </c>
      <c r="BH111" s="121" t="str">
        <f t="shared" si="33"/>
        <v>DELETE</v>
      </c>
      <c r="BI111" s="125" t="str" cm="1">
        <f t="array" ref="BI111">_xlfn.IFS(BF111="DELETE", "DELETE", BF111=0, 0, BF111&gt;0,LOG10(BF111))</f>
        <v>DELETE</v>
      </c>
      <c r="BJ111" s="126" t="str" cm="1">
        <f t="array" ref="BJ111">_xlfn.IFS(BF111="DELETE", "DELETE", BF111=0, 0, BF111&gt;0, BH111/BF111/LN(10))</f>
        <v>DELETE</v>
      </c>
    </row>
    <row r="112" spans="1:62" s="114" customFormat="1" x14ac:dyDescent="0.3">
      <c r="A112" s="115" t="str">
        <f>UPPER(LEFT(SUBSTITUTE(SUBSTITUTE(qPCR_Raw!A112,"-","")," ",""),2))&amp;RIGHT(SUBSTITUTE(SUBSTITUTE(qPCR_Raw!A112,"-","")," ",""),LEN(SUBSTITUTE(SUBSTITUTE(qPCR_Raw!A112,"-","")," ",""))-2)</f>
        <v>MRT6</v>
      </c>
      <c r="B112" s="116" t="str" cm="1">
        <f t="array" ref="B112">_xlfn.IFS(LEFT(A112, LEN(A112)-1)="EP", "EP", LEFT(A112, LEN(A112)-1)="STa", "SPI", LEFT(A112, LEN(A112)-1)="STb", "SPO", LEFT(A112, LEN(A112)-1)="MRT", "MRT", LEFT(A112, LEN(A112)-1)="RG", "RN", LEFT(A112, LEN(A112)-1)="RT", "RU", LEFT(A112, LEN(A112)-1)="RW", "RL", LEFT(A112, LEN(A112)-1)="RC", "RS")</f>
        <v>MRT</v>
      </c>
      <c r="C112" s="117">
        <f>qPCR_Raw!B112</f>
        <v>44385</v>
      </c>
      <c r="D112" s="117" t="str">
        <f t="shared" si="17"/>
        <v>MRT44385</v>
      </c>
      <c r="E112" s="117" t="str">
        <f t="shared" si="18"/>
        <v>MRT443856</v>
      </c>
      <c r="F112" s="118">
        <f>qPCR_Raw!C112</f>
        <v>1000</v>
      </c>
      <c r="G112" s="119">
        <f>qPCR_Raw!F112</f>
        <v>100</v>
      </c>
      <c r="H112" s="120">
        <f>qPCR_Raw!G112</f>
        <v>21.322395324707031</v>
      </c>
      <c r="I112" s="121" cm="1">
        <f t="array" ref="I112">_xlfn.IFS(H112="Undetermined", 0, qPCR_Raw!H112-qPCR_Raw!$H$242&lt;0, 0, qPCR_Raw!H112-qPCR_Raw!$H$242&gt;0, qPCR_Raw!H112-qPCR_Raw!$H$242)</f>
        <v>28075.302852376302</v>
      </c>
      <c r="J112" s="122">
        <f>qPCR_Raw!K112</f>
        <v>24.354806900024414</v>
      </c>
      <c r="K112" s="121" cm="1">
        <f t="array" ref="K112">_xlfn.IFS(J112="Undetermined", 0, qPCR_Raw!L112-qPCR_Raw!$H$242&lt;0, 0, qPCR_Raw!L112-qPCR_Raw!$H$242&gt;0, qPCR_Raw!L112-qPCR_Raw!$H$242)</f>
        <v>0</v>
      </c>
      <c r="L112" s="123" t="str" cm="1">
        <f t="array" ref="L112">_xlfn.IFS(AND(H112="Undetermined", J112="Undetermined"), "Undetermined", AND(I112=0, K112=0), "Undetermined", AND(I112=0, K112&gt;0), "Ten-Fold", AND(I112&gt;0, K112=0), "Undiluted", AND(H112&lt;&gt;"Undetermined", J112&lt;&gt;"Undetermined", I112&gt;0, K112&gt;0), 100*(-1+10^(-1/(H112-J112))))</f>
        <v>Undiluted</v>
      </c>
      <c r="M112" s="124" cm="1">
        <f t="array" ref="M112">_xlfn.IFS(L112="Undetermined", 0, L112="Undiluted", I112*$G112/$F112*1000, L112="Ten-Fold", K112*$G112/$F112*1000*10, L112&lt;0, K112*$G112/$F112*1000*10, L112&lt;120, I112*$G112/$F112*1000, L112&gt;120, K112*$G112/$F112*1000*10)</f>
        <v>2807530.2852376304</v>
      </c>
      <c r="N112" s="121">
        <f t="shared" si="19"/>
        <v>7748489.6500424985</v>
      </c>
      <c r="O112" s="121">
        <f t="shared" si="20"/>
        <v>6987571.7448413968</v>
      </c>
      <c r="P112" s="121">
        <f t="shared" si="21"/>
        <v>4940959.3648048677</v>
      </c>
      <c r="Q112" s="125" cm="1">
        <f t="array" ref="Q112">_xlfn.IFS(N112="DELETE", "DELETE", N112=0, 0, N112&gt;0,LOG10(N112))</f>
        <v>6.8892170572706553</v>
      </c>
      <c r="R112" s="126" cm="1">
        <f t="array" ref="R112">_xlfn.IFS(N112="DELETE", "DELETE", N112=0, 0, N112&gt;0, P112/N112/LN(10))</f>
        <v>0.27693543959643552</v>
      </c>
      <c r="S112" s="155">
        <f>qPCR_Raw!O112</f>
        <v>34.022232055664063</v>
      </c>
      <c r="T112" s="156" cm="1">
        <f t="array" ref="T112">_xlfn.IFS(S112="Undetermined", 0, qPCR_Raw!P112&lt;=1, 0, qPCR_Raw!P112&gt;1, qPCR_Raw!P112)</f>
        <v>12.734389305114746</v>
      </c>
      <c r="U112" s="157">
        <f>qPCR_Raw!R112</f>
        <v>36.851978302001953</v>
      </c>
      <c r="V112" s="156" cm="1">
        <f t="array" ref="V112">_xlfn.IFS(U112="Undetermined", 0, qPCR_Raw!S112&lt;=1, 0, qPCR_Raw!S112&gt;1, qPCR_Raw!S112)</f>
        <v>2.1444506645202637</v>
      </c>
      <c r="W112" s="158" cm="1">
        <f t="array" ref="W112">_xlfn.IFS(AND(S112="Undetermined", U112="Undetermined"), "Undetermined", AND(T112=0, V112=0), "Undetermined", AND(T112=0, V112&gt;0), "Ten-Fold", AND(T112&gt;0, V112=0), "Undiluted", AND(S112&lt;&gt;"Undetermined", U112&lt;&gt;"Undetermined", T112&gt;0, V112&gt;0, S112&lt;&gt;U112), 100*(-1+10^(-1/(S112-U112))), AND(S112&lt;&gt;"Undetermined", U112&lt;&gt;"Undetermined", S112=U112&gt;0), -100)</f>
        <v>125.62570551559946</v>
      </c>
      <c r="X112" s="159" cm="1">
        <f t="array" ref="X112">_xlfn.IFS(W112="Undetermined", 0, W112="Undiluted", T112*$G112/$F112*1000, W112="Ten-Fold", V112*$G112/$F112*1000*10, W112&lt;0, V112*$G112/$F112*1000*10, W112&lt;120, T112*$G112/$F112*1000, W112&gt;120, V112*$G112/$F112*1000*10)</f>
        <v>2144.4506645202637</v>
      </c>
      <c r="Y112" s="156">
        <f t="shared" si="22"/>
        <v>1528.8693375057644</v>
      </c>
      <c r="Z112" s="156">
        <f t="shared" si="23"/>
        <v>870.56346140753203</v>
      </c>
      <c r="AA112" s="156">
        <f t="shared" si="24"/>
        <v>615.58132701449915</v>
      </c>
      <c r="AB112" s="160" cm="1">
        <f t="array" ref="AB112">_xlfn.IFS(Y112="DELETE", "DELETE", Y112=0, 0, Y112&gt;0,LOG10(Y112))</f>
        <v>3.1843703706804534</v>
      </c>
      <c r="AC112" s="161" cm="1">
        <f t="array" ref="AC112">_xlfn.IFS(Y112="DELETE", "DELETE", Y112=0, 0, Y112&gt;0, AA112/Y112/LN(10))</f>
        <v>0.17486358508649869</v>
      </c>
      <c r="AD112" s="120">
        <f>qPCR_Raw!U112</f>
        <v>36.698844909667969</v>
      </c>
      <c r="AE112" s="121" cm="1">
        <f t="array" ref="AE112">_xlfn.IFS(AD112="Undetermined", 0, qPCR_Raw!V112&lt;=1, 0, qPCR_Raw!V112&gt;1, qPCR_Raw!V112)</f>
        <v>0</v>
      </c>
      <c r="AF112" s="122" t="str">
        <f>qPCR_Raw!X112</f>
        <v>Undetermined</v>
      </c>
      <c r="AG112" s="121" cm="1">
        <f t="array" ref="AG112">_xlfn.IFS(AF112="Undetermined", 0, qPCR_Raw!Y112&lt;=1, 0, qPCR_Raw!Y112&gt;1, qPCR_Raw!Y112)</f>
        <v>0</v>
      </c>
      <c r="AH112" s="123" t="str" cm="1">
        <f t="array" ref="AH112">_xlfn.IFS(AND(AD112="Undetermined", AF112="Undetermined"), "Undetermined", AND(AE112=0, AG112=0), "Undetermined", AND(AE112=0, AG112&gt;0), "Ten-Fold", AND(AE112&gt;0, AG112=0), "Undiluted", AND(AD112&lt;&gt;"Undetermined", AF112&lt;&gt;"Undetermined", AE112&gt;0, AG112&gt;0, AD112&lt;&gt;AF112), 100*(-1+10^(-1/(AD112-AF112))), AND(AD112&lt;&gt;"Undetermined", AF112&lt;&gt;"Undetermined", AD112=AF112&gt;0), -100)</f>
        <v>Undetermined</v>
      </c>
      <c r="AI112" s="124" cm="1">
        <f t="array" ref="AI112">_xlfn.IFS(AH112="Undetermined", 0, AH112="Undiluted", AE112*$G112/$F112*1000, AH112="Ten-Fold", AG112*$G112/$F112*1000*10, AH112&lt;0, AG112*$G112/$F112*1000*10, AH112&lt;120, AE112*$G112/$F112*1000, AH112&gt;120, AG112*$G112/$F112*1000*10)</f>
        <v>0</v>
      </c>
      <c r="AJ112" s="121">
        <f t="shared" si="25"/>
        <v>0</v>
      </c>
      <c r="AK112" s="121">
        <f t="shared" si="26"/>
        <v>0</v>
      </c>
      <c r="AL112" s="121">
        <f t="shared" si="27"/>
        <v>0</v>
      </c>
      <c r="AM112" s="125" cm="1">
        <f t="array" ref="AM112">_xlfn.IFS(AJ112="DELETE", "DELETE", AJ112=0, 0, AJ112&gt;0,LOG10(AJ112))</f>
        <v>0</v>
      </c>
      <c r="AN112" s="126" cm="1">
        <f t="array" ref="AN112">_xlfn.IFS(AJ112="DELETE", "DELETE", AJ112=0, 0, AJ112&gt;0, AL112/AJ112/LN(10))</f>
        <v>0</v>
      </c>
      <c r="AO112" s="155">
        <f>qPCR_Raw!AA112</f>
        <v>29.818811416625977</v>
      </c>
      <c r="AP112" s="156" cm="1">
        <f t="array" ref="AP112">_xlfn.IFS(AO112="Undetermined", 0, qPCR_Raw!AB112&lt;=6, 0, qPCR_Raw!AB112&gt;6, qPCR_Raw!AB112)</f>
        <v>8.6335687637329102</v>
      </c>
      <c r="AQ112" s="157" t="str">
        <f>qPCR_Raw!AD112</f>
        <v>Undetermined</v>
      </c>
      <c r="AR112" s="156" cm="1">
        <f t="array" ref="AR112">_xlfn.IFS(AQ112="Undetermined", 0, qPCR_Raw!AE112&lt;=6, 0, qPCR_Raw!AE112&gt;6, qPCR_Raw!AE112)</f>
        <v>0</v>
      </c>
      <c r="AS112" s="158" t="str" cm="1">
        <f t="array" ref="AS112">_xlfn.IFS(AND(AO112="Undetermined", AQ112="Undetermined"), "Undetermined", AND(AP112=0, AR112=0), "Undetermined", AND(AP112=0, AR112&gt;0), "Ten-Fold", AND(AP112&gt;0, AR112=0), "Undiluted", AND(AO112&lt;&gt;"Undetermined", AQ112&lt;&gt;"Undetermined", AP112&gt;0, AR112&gt;0, AO112&lt;&gt;AQ112), 100*(-1+10^(-1/(AO112-AQ112))), AND(AO112&lt;&gt;"Undetermined", AQ112&lt;&gt;"Undetermined", AO112=AQ112&gt;0), -100)</f>
        <v>Undiluted</v>
      </c>
      <c r="AT112" s="159" cm="1">
        <f t="array" ref="AT112">_xlfn.IFS(AS112="Undetermined", 0, AS112="Undiluted", AP112*$G112/$F112*1000, AS112="Ten-Fold", AR112*$G112/$F112*1000*10, AS112&lt;0, AR112*$G112/$F112*1000*10, AS112&lt;120, AP112*$G112/$F112*1000, AS112&gt;120, AR112*$G112/$F112*1000*10)</f>
        <v>863.35687637329102</v>
      </c>
      <c r="AU112" s="156">
        <f t="shared" si="34"/>
        <v>431.67843818664551</v>
      </c>
      <c r="AV112" s="156">
        <f t="shared" si="35"/>
        <v>610.48550186758985</v>
      </c>
      <c r="AW112" s="156">
        <f t="shared" si="36"/>
        <v>431.67843818664545</v>
      </c>
      <c r="AX112" s="160" cm="1">
        <f t="array" ref="AX112">_xlfn.IFS(AU112="DELETE", "DELETE", AU112=0, 0, AU112&gt;0,LOG10(AU112))</f>
        <v>2.6351603567164474</v>
      </c>
      <c r="AY112" s="161" cm="1">
        <f t="array" ref="AY112">_xlfn.IFS(AU112="DELETE", "DELETE", AU112=0, 0, AU112&gt;0, AW112/AU112/LN(10))</f>
        <v>0.43429448190325176</v>
      </c>
      <c r="AZ112" s="120" t="str">
        <f>qPCR_Raw!AG112</f>
        <v>Undetermined</v>
      </c>
      <c r="BA112" s="121" cm="1">
        <f t="array" ref="BA112">_xlfn.IFS(AZ112="Undetermined", 0, qPCR_Raw!AH112&lt;=1, 0, qPCR_Raw!AH112&gt;1, qPCR_Raw!AH112)</f>
        <v>0</v>
      </c>
      <c r="BB112" s="122" t="str">
        <f>qPCR_Raw!AJ112</f>
        <v>Undetermined</v>
      </c>
      <c r="BC112" s="121" cm="1">
        <f t="array" ref="BC112">_xlfn.IFS(BB112="Undetermined", 0, qPCR_Raw!AK112&lt;=1, 0, qPCR_Raw!AK112&gt;1, qPCR_Raw!AK112)</f>
        <v>0</v>
      </c>
      <c r="BD112" s="123" t="str" cm="1">
        <f t="array" ref="BD112">_xlfn.IFS(AND(AZ112="Undetermined", BB112="Undetermined"), "Undetermined", AND(BA112=0, BC112=0), "Undetermined", AND(BA112=0, BC112&gt;0), "Ten-Fold", AND(BA112&gt;0, BC112=0), "Undiluted", AND(AZ112&lt;&gt;"Undetermined", BB112&lt;&gt;"Undetermined", BA112&gt;0, BC112&gt;0, AZ112&lt;&gt;BB112), 100*(-1+10^(-1/(AZ112-BB112))), AND(AZ112&lt;&gt;"Undetermined", BB112&lt;&gt;"Undetermined", AZ112=BB112&gt;0), -100)</f>
        <v>Undetermined</v>
      </c>
      <c r="BE112" s="124" cm="1">
        <f t="array" ref="BE112">_xlfn.IFS(BD112="Undetermined", 0, BD112="Undiluted", BA112*$G112/$F112*1000, BD112="Ten-Fold", BC112*$G112/$F112*1000*10, BD112&lt;0, BC112*$G112/$F112*1000*10, BD112&lt;120, BA112*$G112/$F112*1000, BD112&gt;120, BC112*$G112/$F112*1000*10)</f>
        <v>0</v>
      </c>
      <c r="BF112" s="121">
        <f t="shared" si="31"/>
        <v>0</v>
      </c>
      <c r="BG112" s="121">
        <f t="shared" si="32"/>
        <v>0</v>
      </c>
      <c r="BH112" s="121">
        <f t="shared" si="33"/>
        <v>0</v>
      </c>
      <c r="BI112" s="125" cm="1">
        <f t="array" ref="BI112">_xlfn.IFS(BF112="DELETE", "DELETE", BF112=0, 0, BF112&gt;0,LOG10(BF112))</f>
        <v>0</v>
      </c>
      <c r="BJ112" s="126" cm="1">
        <f t="array" ref="BJ112">_xlfn.IFS(BF112="DELETE", "DELETE", BF112=0, 0, BF112&gt;0, BH112/BF112/LN(10))</f>
        <v>0</v>
      </c>
    </row>
    <row r="113" spans="1:62" s="114" customFormat="1" x14ac:dyDescent="0.3">
      <c r="A113" s="115" t="str">
        <f>UPPER(LEFT(SUBSTITUTE(SUBSTITUTE(qPCR_Raw!A113,"-","")," ",""),2))&amp;RIGHT(SUBSTITUTE(SUBSTITUTE(qPCR_Raw!A113,"-","")," ",""),LEN(SUBSTITUTE(SUBSTITUTE(qPCR_Raw!A113,"-","")," ",""))-2)</f>
        <v>MRT7</v>
      </c>
      <c r="B113" s="116" t="str" cm="1">
        <f t="array" ref="B113">_xlfn.IFS(LEFT(A113, LEN(A113)-1)="EP", "EP", LEFT(A113, LEN(A113)-1)="STa", "SPI", LEFT(A113, LEN(A113)-1)="STb", "SPO", LEFT(A113, LEN(A113)-1)="MRT", "MRT", LEFT(A113, LEN(A113)-1)="RG", "RN", LEFT(A113, LEN(A113)-1)="RT", "RU", LEFT(A113, LEN(A113)-1)="RW", "RL", LEFT(A113, LEN(A113)-1)="RC", "RS")</f>
        <v>MRT</v>
      </c>
      <c r="C113" s="117">
        <f>qPCR_Raw!B113</f>
        <v>44385</v>
      </c>
      <c r="D113" s="117" t="str">
        <f t="shared" si="17"/>
        <v>MRT44385</v>
      </c>
      <c r="E113" s="117" t="str">
        <f t="shared" si="18"/>
        <v>MRT443857</v>
      </c>
      <c r="F113" s="118">
        <f>qPCR_Raw!C113</f>
        <v>900</v>
      </c>
      <c r="G113" s="119">
        <f>qPCR_Raw!F113</f>
        <v>100</v>
      </c>
      <c r="H113" s="120">
        <f>qPCR_Raw!G113</f>
        <v>19.573135375976563</v>
      </c>
      <c r="I113" s="121" cm="1">
        <f t="array" ref="I113">_xlfn.IFS(H113="Undetermined", 0, qPCR_Raw!H113-qPCR_Raw!$H$242&lt;0, 0, qPCR_Raw!H113-qPCR_Raw!$H$242&gt;0, qPCR_Raw!H113-qPCR_Raw!$H$242)</f>
        <v>114205.04113362631</v>
      </c>
      <c r="J113" s="122">
        <f>qPCR_Raw!K113</f>
        <v>22.539342880249023</v>
      </c>
      <c r="K113" s="121" cm="1">
        <f t="array" ref="K113">_xlfn.IFS(J113="Undetermined", 0, qPCR_Raw!L113-qPCR_Raw!$H$242&lt;0, 0, qPCR_Raw!L113-qPCR_Raw!$H$242&gt;0, qPCR_Raw!L113-qPCR_Raw!$H$242)</f>
        <v>5714.6505086263023</v>
      </c>
      <c r="L113" s="123" cm="1">
        <f t="array" ref="L113">_xlfn.IFS(AND(H113="Undetermined", J113="Undetermined"), "Undetermined", AND(I113=0, K113=0), "Undetermined", AND(I113=0, K113&gt;0), "Ten-Fold", AND(I113&gt;0, K113=0), "Undiluted", AND(H113&lt;&gt;"Undetermined", J113&lt;&gt;"Undetermined", I113&gt;0, K113&gt;0), 100*(-1+10^(-1/(H113-J113))))</f>
        <v>117.33558012207665</v>
      </c>
      <c r="M113" s="124" cm="1">
        <f t="array" ref="M113">_xlfn.IFS(L113="Undetermined", 0, L113="Undiluted", I113*$G113/$F113*1000, L113="Ten-Fold", K113*$G113/$F113*1000*10, L113&lt;0, K113*$G113/$F113*1000*10, L113&lt;120, I113*$G113/$F113*1000, L113&gt;120, K113*$G113/$F113*1000*10)</f>
        <v>12689449.014847366</v>
      </c>
      <c r="N113" s="121" t="str">
        <f t="shared" si="19"/>
        <v>DELETE</v>
      </c>
      <c r="O113" s="121" t="str">
        <f t="shared" si="20"/>
        <v>DELETE</v>
      </c>
      <c r="P113" s="121" t="str">
        <f t="shared" si="21"/>
        <v>DELETE</v>
      </c>
      <c r="Q113" s="125" t="str" cm="1">
        <f t="array" ref="Q113">_xlfn.IFS(N113="DELETE", "DELETE", N113=0, 0, N113&gt;0,LOG10(N113))</f>
        <v>DELETE</v>
      </c>
      <c r="R113" s="126" t="str" cm="1">
        <f t="array" ref="R113">_xlfn.IFS(N113="DELETE", "DELETE", N113=0, 0, N113&gt;0, P113/N113/LN(10))</f>
        <v>DELETE</v>
      </c>
      <c r="S113" s="155">
        <f>qPCR_Raw!O113</f>
        <v>34.717643737792969</v>
      </c>
      <c r="T113" s="156" cm="1">
        <f t="array" ref="T113">_xlfn.IFS(S113="Undetermined", 0, qPCR_Raw!P113&lt;=1, 0, qPCR_Raw!P113&gt;1, qPCR_Raw!P113)</f>
        <v>8.2195920944213867</v>
      </c>
      <c r="U113" s="157">
        <f>qPCR_Raw!R113</f>
        <v>38.2274169921875</v>
      </c>
      <c r="V113" s="156" cm="1">
        <f t="array" ref="V113">_xlfn.IFS(U113="Undetermined", 0, qPCR_Raw!S113&lt;=1, 0, qPCR_Raw!S113&gt;1, qPCR_Raw!S113)</f>
        <v>0</v>
      </c>
      <c r="W113" s="158" t="str" cm="1">
        <f t="array" ref="W113">_xlfn.IFS(AND(S113="Undetermined", U113="Undetermined"), "Undetermined", AND(T113=0, V113=0), "Undetermined", AND(T113=0, V113&gt;0), "Ten-Fold", AND(T113&gt;0, V113=0), "Undiluted", AND(S113&lt;&gt;"Undetermined", U113&lt;&gt;"Undetermined", T113&gt;0, V113&gt;0, S113&lt;&gt;U113), 100*(-1+10^(-1/(S113-U113))), AND(S113&lt;&gt;"Undetermined", U113&lt;&gt;"Undetermined", S113=U113&gt;0), -100)</f>
        <v>Undiluted</v>
      </c>
      <c r="X113" s="159" cm="1">
        <f t="array" ref="X113">_xlfn.IFS(W113="Undetermined", 0, W113="Undiluted", T113*$G113/$F113*1000, W113="Ten-Fold", V113*$G113/$F113*1000*10, W113&lt;0, V113*$G113/$F113*1000*10, W113&lt;120, T113*$G113/$F113*1000, W113&gt;120, V113*$G113/$F113*1000*10)</f>
        <v>913.28801049126514</v>
      </c>
      <c r="Y113" s="156" t="str">
        <f t="shared" si="22"/>
        <v>DELETE</v>
      </c>
      <c r="Z113" s="156" t="str">
        <f t="shared" si="23"/>
        <v>DELETE</v>
      </c>
      <c r="AA113" s="156" t="str">
        <f t="shared" si="24"/>
        <v>DELETE</v>
      </c>
      <c r="AB113" s="160" t="str" cm="1">
        <f t="array" ref="AB113">_xlfn.IFS(Y113="DELETE", "DELETE", Y113=0, 0, Y113&gt;0,LOG10(Y113))</f>
        <v>DELETE</v>
      </c>
      <c r="AC113" s="161" t="str" cm="1">
        <f t="array" ref="AC113">_xlfn.IFS(Y113="DELETE", "DELETE", Y113=0, 0, Y113&gt;0, AA113/Y113/LN(10))</f>
        <v>DELETE</v>
      </c>
      <c r="AD113" s="120">
        <f>qPCR_Raw!U113</f>
        <v>35.561237335205078</v>
      </c>
      <c r="AE113" s="121" cm="1">
        <f t="array" ref="AE113">_xlfn.IFS(AD113="Undetermined", 0, qPCR_Raw!V113&lt;=1, 0, qPCR_Raw!V113&gt;1, qPCR_Raw!V113)</f>
        <v>0</v>
      </c>
      <c r="AF113" s="122" t="str">
        <f>qPCR_Raw!X113</f>
        <v>Undetermined</v>
      </c>
      <c r="AG113" s="121" cm="1">
        <f t="array" ref="AG113">_xlfn.IFS(AF113="Undetermined", 0, qPCR_Raw!Y113&lt;=1, 0, qPCR_Raw!Y113&gt;1, qPCR_Raw!Y113)</f>
        <v>0</v>
      </c>
      <c r="AH113" s="123" t="str" cm="1">
        <f t="array" ref="AH113">_xlfn.IFS(AND(AD113="Undetermined", AF113="Undetermined"), "Undetermined", AND(AE113=0, AG113=0), "Undetermined", AND(AE113=0, AG113&gt;0), "Ten-Fold", AND(AE113&gt;0, AG113=0), "Undiluted", AND(AD113&lt;&gt;"Undetermined", AF113&lt;&gt;"Undetermined", AE113&gt;0, AG113&gt;0, AD113&lt;&gt;AF113), 100*(-1+10^(-1/(AD113-AF113))), AND(AD113&lt;&gt;"Undetermined", AF113&lt;&gt;"Undetermined", AD113=AF113&gt;0), -100)</f>
        <v>Undetermined</v>
      </c>
      <c r="AI113" s="124" cm="1">
        <f t="array" ref="AI113">_xlfn.IFS(AH113="Undetermined", 0, AH113="Undiluted", AE113*$G113/$F113*1000, AH113="Ten-Fold", AG113*$G113/$F113*1000*10, AH113&lt;0, AG113*$G113/$F113*1000*10, AH113&lt;120, AE113*$G113/$F113*1000, AH113&gt;120, AG113*$G113/$F113*1000*10)</f>
        <v>0</v>
      </c>
      <c r="AJ113" s="121" t="str">
        <f t="shared" si="25"/>
        <v>DELETE</v>
      </c>
      <c r="AK113" s="121" t="str">
        <f t="shared" si="26"/>
        <v>DELETE</v>
      </c>
      <c r="AL113" s="121" t="str">
        <f t="shared" si="27"/>
        <v>DELETE</v>
      </c>
      <c r="AM113" s="125" t="str" cm="1">
        <f t="array" ref="AM113">_xlfn.IFS(AJ113="DELETE", "DELETE", AJ113=0, 0, AJ113&gt;0,LOG10(AJ113))</f>
        <v>DELETE</v>
      </c>
      <c r="AN113" s="126" t="str" cm="1">
        <f t="array" ref="AN113">_xlfn.IFS(AJ113="DELETE", "DELETE", AJ113=0, 0, AJ113&gt;0, AL113/AJ113/LN(10))</f>
        <v>DELETE</v>
      </c>
      <c r="AO113" s="155">
        <f>qPCR_Raw!AA113</f>
        <v>31.16411018371582</v>
      </c>
      <c r="AP113" s="156" cm="1">
        <f t="array" ref="AP113">_xlfn.IFS(AO113="Undetermined", 0, qPCR_Raw!AB113&lt;=6, 0, qPCR_Raw!AB113&gt;6, qPCR_Raw!AB113)</f>
        <v>0</v>
      </c>
      <c r="AQ113" s="157" t="str">
        <f>qPCR_Raw!AD113</f>
        <v>Undetermined</v>
      </c>
      <c r="AR113" s="156" cm="1">
        <f t="array" ref="AR113">_xlfn.IFS(AQ113="Undetermined", 0, qPCR_Raw!AE113&lt;=6, 0, qPCR_Raw!AE113&gt;6, qPCR_Raw!AE113)</f>
        <v>0</v>
      </c>
      <c r="AS113" s="158" t="str" cm="1">
        <f t="array" ref="AS113">_xlfn.IFS(AND(AO113="Undetermined", AQ113="Undetermined"), "Undetermined", AND(AP113=0, AR113=0), "Undetermined", AND(AP113=0, AR113&gt;0), "Ten-Fold", AND(AP113&gt;0, AR113=0), "Undiluted", AND(AO113&lt;&gt;"Undetermined", AQ113&lt;&gt;"Undetermined", AP113&gt;0, AR113&gt;0, AO113&lt;&gt;AQ113), 100*(-1+10^(-1/(AO113-AQ113))), AND(AO113&lt;&gt;"Undetermined", AQ113&lt;&gt;"Undetermined", AO113=AQ113&gt;0), -100)</f>
        <v>Undetermined</v>
      </c>
      <c r="AT113" s="159" cm="1">
        <f t="array" ref="AT113">_xlfn.IFS(AS113="Undetermined", 0, AS113="Undiluted", AP113*$G113/$F113*1000, AS113="Ten-Fold", AR113*$G113/$F113*1000*10, AS113&lt;0, AR113*$G113/$F113*1000*10, AS113&lt;120, AP113*$G113/$F113*1000, AS113&gt;120, AR113*$G113/$F113*1000*10)</f>
        <v>0</v>
      </c>
      <c r="AU113" s="156" t="str">
        <f t="shared" si="34"/>
        <v>DELETE</v>
      </c>
      <c r="AV113" s="156" t="str">
        <f t="shared" si="35"/>
        <v>DELETE</v>
      </c>
      <c r="AW113" s="156" t="str">
        <f t="shared" si="36"/>
        <v>DELETE</v>
      </c>
      <c r="AX113" s="160" t="str" cm="1">
        <f t="array" ref="AX113">_xlfn.IFS(AU113="DELETE", "DELETE", AU113=0, 0, AU113&gt;0,LOG10(AU113))</f>
        <v>DELETE</v>
      </c>
      <c r="AY113" s="161" t="str" cm="1">
        <f t="array" ref="AY113">_xlfn.IFS(AU113="DELETE", "DELETE", AU113=0, 0, AU113&gt;0, AW113/AU113/LN(10))</f>
        <v>DELETE</v>
      </c>
      <c r="AZ113" s="120" t="str">
        <f>qPCR_Raw!AG113</f>
        <v>Undetermined</v>
      </c>
      <c r="BA113" s="121" cm="1">
        <f t="array" ref="BA113">_xlfn.IFS(AZ113="Undetermined", 0, qPCR_Raw!AH113&lt;=1, 0, qPCR_Raw!AH113&gt;1, qPCR_Raw!AH113)</f>
        <v>0</v>
      </c>
      <c r="BB113" s="122" t="str">
        <f>qPCR_Raw!AJ113</f>
        <v>Undetermined</v>
      </c>
      <c r="BC113" s="121" cm="1">
        <f t="array" ref="BC113">_xlfn.IFS(BB113="Undetermined", 0, qPCR_Raw!AK113&lt;=1, 0, qPCR_Raw!AK113&gt;1, qPCR_Raw!AK113)</f>
        <v>0</v>
      </c>
      <c r="BD113" s="123" t="str" cm="1">
        <f t="array" ref="BD113">_xlfn.IFS(AND(AZ113="Undetermined", BB113="Undetermined"), "Undetermined", AND(BA113=0, BC113=0), "Undetermined", AND(BA113=0, BC113&gt;0), "Ten-Fold", AND(BA113&gt;0, BC113=0), "Undiluted", AND(AZ113&lt;&gt;"Undetermined", BB113&lt;&gt;"Undetermined", BA113&gt;0, BC113&gt;0, AZ113&lt;&gt;BB113), 100*(-1+10^(-1/(AZ113-BB113))), AND(AZ113&lt;&gt;"Undetermined", BB113&lt;&gt;"Undetermined", AZ113=BB113&gt;0), -100)</f>
        <v>Undetermined</v>
      </c>
      <c r="BE113" s="124" cm="1">
        <f t="array" ref="BE113">_xlfn.IFS(BD113="Undetermined", 0, BD113="Undiluted", BA113*$G113/$F113*1000, BD113="Ten-Fold", BC113*$G113/$F113*1000*10, BD113&lt;0, BC113*$G113/$F113*1000*10, BD113&lt;120, BA113*$G113/$F113*1000, BD113&gt;120, BC113*$G113/$F113*1000*10)</f>
        <v>0</v>
      </c>
      <c r="BF113" s="121" t="str">
        <f t="shared" si="31"/>
        <v>DELETE</v>
      </c>
      <c r="BG113" s="121" t="str">
        <f t="shared" si="32"/>
        <v>DELETE</v>
      </c>
      <c r="BH113" s="121" t="str">
        <f t="shared" si="33"/>
        <v>DELETE</v>
      </c>
      <c r="BI113" s="125" t="str" cm="1">
        <f t="array" ref="BI113">_xlfn.IFS(BF113="DELETE", "DELETE", BF113=0, 0, BF113&gt;0,LOG10(BF113))</f>
        <v>DELETE</v>
      </c>
      <c r="BJ113" s="126" t="str" cm="1">
        <f t="array" ref="BJ113">_xlfn.IFS(BF113="DELETE", "DELETE", BF113=0, 0, BF113&gt;0, BH113/BF113/LN(10))</f>
        <v>DELETE</v>
      </c>
    </row>
    <row r="114" spans="1:62" s="114" customFormat="1" x14ac:dyDescent="0.3">
      <c r="A114" s="115" t="str">
        <f>UPPER(LEFT(SUBSTITUTE(SUBSTITUTE(qPCR_Raw!A114,"-","")," ",""),2))&amp;RIGHT(SUBSTITUTE(SUBSTITUTE(qPCR_Raw!A114,"-","")," ",""),LEN(SUBSTITUTE(SUBSTITUTE(qPCR_Raw!A114,"-","")," ",""))-2)</f>
        <v>RT6</v>
      </c>
      <c r="B114" s="116" t="str" cm="1">
        <f t="array" ref="B114">_xlfn.IFS(LEFT(A114, LEN(A114)-1)="EP", "EP", LEFT(A114, LEN(A114)-1)="STa", "SPI", LEFT(A114, LEN(A114)-1)="STb", "SPO", LEFT(A114, LEN(A114)-1)="MRT", "MRT", LEFT(A114, LEN(A114)-1)="RG", "RN", LEFT(A114, LEN(A114)-1)="RT", "RU", LEFT(A114, LEN(A114)-1)="RW", "RL", LEFT(A114, LEN(A114)-1)="RC", "RS")</f>
        <v>RU</v>
      </c>
      <c r="C114" s="117">
        <f>qPCR_Raw!B114</f>
        <v>44385</v>
      </c>
      <c r="D114" s="117" t="str">
        <f t="shared" si="17"/>
        <v>RU44385</v>
      </c>
      <c r="E114" s="117" t="str">
        <f t="shared" si="18"/>
        <v>RU443856</v>
      </c>
      <c r="F114" s="118">
        <f>qPCR_Raw!C114</f>
        <v>900</v>
      </c>
      <c r="G114" s="119">
        <f>qPCR_Raw!F114</f>
        <v>100</v>
      </c>
      <c r="H114" s="120">
        <f>qPCR_Raw!G114</f>
        <v>20.526371002197266</v>
      </c>
      <c r="I114" s="121" cm="1">
        <f t="array" ref="I114">_xlfn.IFS(H114="Undetermined", 0, qPCR_Raw!H114-qPCR_Raw!$H$242&lt;0, 0, qPCR_Raw!H114-qPCR_Raw!$H$242&gt;0, qPCR_Raw!H114-qPCR_Raw!$H$242)</f>
        <v>55701.291133626306</v>
      </c>
      <c r="J114" s="122">
        <f>qPCR_Raw!K114</f>
        <v>23.61421012878418</v>
      </c>
      <c r="K114" s="121" cm="1">
        <f t="array" ref="K114">_xlfn.IFS(J114="Undetermined", 0, qPCR_Raw!L114-qPCR_Raw!$H$242&lt;0, 0, qPCR_Raw!L114-qPCR_Raw!$H$242&gt;0, qPCR_Raw!L114-qPCR_Raw!$H$242)</f>
        <v>0</v>
      </c>
      <c r="L114" s="123" t="str" cm="1">
        <f t="array" ref="L114">_xlfn.IFS(AND(H114="Undetermined", J114="Undetermined"), "Undetermined", AND(I114=0, K114=0), "Undetermined", AND(I114=0, K114&gt;0), "Ten-Fold", AND(I114&gt;0, K114=0), "Undiluted", AND(H114&lt;&gt;"Undetermined", J114&lt;&gt;"Undetermined", I114&gt;0, K114&gt;0), 100*(-1+10^(-1/(H114-J114))))</f>
        <v>Undiluted</v>
      </c>
      <c r="M114" s="124" cm="1">
        <f t="array" ref="M114">_xlfn.IFS(L114="Undetermined", 0, L114="Undiluted", I114*$G114/$F114*1000, L114="Ten-Fold", K114*$G114/$F114*1000*10, L114&lt;0, K114*$G114/$F114*1000*10, L114&lt;120, I114*$G114/$F114*1000, L114&gt;120, K114*$G114/$F114*1000*10)</f>
        <v>6189032.348180701</v>
      </c>
      <c r="N114" s="121">
        <f t="shared" si="19"/>
        <v>5460775.3915549135</v>
      </c>
      <c r="O114" s="121">
        <f t="shared" si="20"/>
        <v>1029910.8649527448</v>
      </c>
      <c r="P114" s="121">
        <f t="shared" si="21"/>
        <v>728256.95662578836</v>
      </c>
      <c r="Q114" s="125" cm="1">
        <f t="array" ref="Q114">_xlfn.IFS(N114="DELETE", "DELETE", N114=0, 0, N114&gt;0,LOG10(N114))</f>
        <v>6.7372543138337742</v>
      </c>
      <c r="R114" s="126" cm="1">
        <f t="array" ref="R114">_xlfn.IFS(N114="DELETE", "DELETE", N114=0, 0, N114&gt;0, P114/N114/LN(10))</f>
        <v>5.7918144401133832E-2</v>
      </c>
      <c r="S114" s="155">
        <f>qPCR_Raw!O114</f>
        <v>34.649913787841797</v>
      </c>
      <c r="T114" s="156" cm="1">
        <f t="array" ref="T114">_xlfn.IFS(S114="Undetermined", 0, qPCR_Raw!P114&lt;=1, 0, qPCR_Raw!P114&gt;1, qPCR_Raw!P114)</f>
        <v>8.5776405334472656</v>
      </c>
      <c r="U114" s="157">
        <f>qPCR_Raw!R114</f>
        <v>38.096454620361328</v>
      </c>
      <c r="V114" s="156" cm="1">
        <f t="array" ref="V114">_xlfn.IFS(U114="Undetermined", 0, qPCR_Raw!S114&lt;=1, 0, qPCR_Raw!S114&gt;1, qPCR_Raw!S114)</f>
        <v>0</v>
      </c>
      <c r="W114" s="158" t="str" cm="1">
        <f t="array" ref="W114">_xlfn.IFS(AND(S114="Undetermined", U114="Undetermined"), "Undetermined", AND(T114=0, V114=0), "Undetermined", AND(T114=0, V114&gt;0), "Ten-Fold", AND(T114&gt;0, V114=0), "Undiluted", AND(S114&lt;&gt;"Undetermined", U114&lt;&gt;"Undetermined", T114&gt;0, V114&gt;0, S114&lt;&gt;U114), 100*(-1+10^(-1/(S114-U114))), AND(S114&lt;&gt;"Undetermined", U114&lt;&gt;"Undetermined", S114=U114&gt;0), -100)</f>
        <v>Undiluted</v>
      </c>
      <c r="X114" s="159" cm="1">
        <f t="array" ref="X114">_xlfn.IFS(W114="Undetermined", 0, W114="Undiluted", T114*$G114/$F114*1000, W114="Ten-Fold", V114*$G114/$F114*1000*10, W114&lt;0, V114*$G114/$F114*1000*10, W114&lt;120, T114*$G114/$F114*1000, W114&gt;120, V114*$G114/$F114*1000*10)</f>
        <v>953.07117038302943</v>
      </c>
      <c r="Y114" s="156">
        <f t="shared" si="22"/>
        <v>904.61397652674202</v>
      </c>
      <c r="Z114" s="156">
        <f t="shared" si="23"/>
        <v>68.528820746103861</v>
      </c>
      <c r="AA114" s="156">
        <f t="shared" si="24"/>
        <v>48.457193856287397</v>
      </c>
      <c r="AB114" s="160" cm="1">
        <f t="array" ref="AB114">_xlfn.IFS(Y114="DELETE", "DELETE", Y114=0, 0, Y114&gt;0,LOG10(Y114))</f>
        <v>2.9564632934270887</v>
      </c>
      <c r="AC114" s="161" cm="1">
        <f t="array" ref="AC114">_xlfn.IFS(Y114="DELETE", "DELETE", Y114=0, 0, Y114&gt;0, AA114/Y114/LN(10))</f>
        <v>2.3263726237242866E-2</v>
      </c>
      <c r="AD114" s="120">
        <f>qPCR_Raw!U114</f>
        <v>28.221012115478516</v>
      </c>
      <c r="AE114" s="121" cm="1">
        <f t="array" ref="AE114">_xlfn.IFS(AD114="Undetermined", 0, qPCR_Raw!V114&lt;=1, 0, qPCR_Raw!V114&gt;1, qPCR_Raw!V114)</f>
        <v>95.405746459960938</v>
      </c>
      <c r="AF114" s="122">
        <f>qPCR_Raw!X114</f>
        <v>31.265750885009766</v>
      </c>
      <c r="AG114" s="121" cm="1">
        <f t="array" ref="AG114">_xlfn.IFS(AF114="Undetermined", 0, qPCR_Raw!Y114&lt;=1, 0, qPCR_Raw!Y114&gt;1, qPCR_Raw!Y114)</f>
        <v>13.09677791595459</v>
      </c>
      <c r="AH114" s="123" cm="1">
        <f t="array" ref="AH114">_xlfn.IFS(AND(AD114="Undetermined", AF114="Undetermined"), "Undetermined", AND(AE114=0, AG114=0), "Undetermined", AND(AE114=0, AG114&gt;0), "Ten-Fold", AND(AE114&gt;0, AG114=0), "Undiluted", AND(AD114&lt;&gt;"Undetermined", AF114&lt;&gt;"Undetermined", AE114&gt;0, AG114&gt;0, AD114&lt;&gt;AF114), 100*(-1+10^(-1/(AD114-AF114))), AND(AD114&lt;&gt;"Undetermined", AF114&lt;&gt;"Undetermined", AD114=AF114&gt;0), -100)</f>
        <v>113.02736791445045</v>
      </c>
      <c r="AI114" s="124" cm="1">
        <f t="array" ref="AI114">_xlfn.IFS(AH114="Undetermined", 0, AH114="Undiluted", AE114*$G114/$F114*1000, AH114="Ten-Fold", AG114*$G114/$F114*1000*10, AH114&lt;0, AG114*$G114/$F114*1000*10, AH114&lt;120, AE114*$G114/$F114*1000, AH114&gt;120, AG114*$G114/$F114*1000*10)</f>
        <v>10600.638495551217</v>
      </c>
      <c r="AJ114" s="121">
        <f t="shared" si="25"/>
        <v>8722.075602020881</v>
      </c>
      <c r="AK114" s="121">
        <f t="shared" si="26"/>
        <v>2656.6891218014462</v>
      </c>
      <c r="AL114" s="121">
        <f t="shared" si="27"/>
        <v>1878.5628935303362</v>
      </c>
      <c r="AM114" s="125" cm="1">
        <f t="array" ref="AM114">_xlfn.IFS(AJ114="DELETE", "DELETE", AJ114=0, 0, AJ114&gt;0,LOG10(AJ114))</f>
        <v>3.9406198467719626</v>
      </c>
      <c r="AN114" s="126" cm="1">
        <f t="array" ref="AN114">_xlfn.IFS(AJ114="DELETE", "DELETE", AJ114=0, 0, AJ114&gt;0, AL114/AJ114/LN(10))</f>
        <v>9.3538457563862532E-2</v>
      </c>
      <c r="AO114" s="155">
        <f>qPCR_Raw!AA114</f>
        <v>30.998805999755859</v>
      </c>
      <c r="AP114" s="156" cm="1">
        <f t="array" ref="AP114">_xlfn.IFS(AO114="Undetermined", 0, qPCR_Raw!AB114&lt;=6, 0, qPCR_Raw!AB114&gt;6, qPCR_Raw!AB114)</f>
        <v>0</v>
      </c>
      <c r="AQ114" s="157" t="str">
        <f>qPCR_Raw!AD114</f>
        <v>Undetermined</v>
      </c>
      <c r="AR114" s="156" cm="1">
        <f t="array" ref="AR114">_xlfn.IFS(AQ114="Undetermined", 0, qPCR_Raw!AE114&lt;=6, 0, qPCR_Raw!AE114&gt;6, qPCR_Raw!AE114)</f>
        <v>0</v>
      </c>
      <c r="AS114" s="158" t="str" cm="1">
        <f t="array" ref="AS114">_xlfn.IFS(AND(AO114="Undetermined", AQ114="Undetermined"), "Undetermined", AND(AP114=0, AR114=0), "Undetermined", AND(AP114=0, AR114&gt;0), "Ten-Fold", AND(AP114&gt;0, AR114=0), "Undiluted", AND(AO114&lt;&gt;"Undetermined", AQ114&lt;&gt;"Undetermined", AP114&gt;0, AR114&gt;0, AO114&lt;&gt;AQ114), 100*(-1+10^(-1/(AO114-AQ114))), AND(AO114&lt;&gt;"Undetermined", AQ114&lt;&gt;"Undetermined", AO114=AQ114&gt;0), -100)</f>
        <v>Undetermined</v>
      </c>
      <c r="AT114" s="159" cm="1">
        <f t="array" ref="AT114">_xlfn.IFS(AS114="Undetermined", 0, AS114="Undiluted", AP114*$G114/$F114*1000, AS114="Ten-Fold", AR114*$G114/$F114*1000*10, AS114&lt;0, AR114*$G114/$F114*1000*10, AS114&lt;120, AP114*$G114/$F114*1000, AS114&gt;120, AR114*$G114/$F114*1000*10)</f>
        <v>0</v>
      </c>
      <c r="AU114" s="156">
        <f t="shared" si="34"/>
        <v>0</v>
      </c>
      <c r="AV114" s="156">
        <f t="shared" si="35"/>
        <v>0</v>
      </c>
      <c r="AW114" s="156">
        <f t="shared" si="36"/>
        <v>0</v>
      </c>
      <c r="AX114" s="160" cm="1">
        <f t="array" ref="AX114">_xlfn.IFS(AU114="DELETE", "DELETE", AU114=0, 0, AU114&gt;0,LOG10(AU114))</f>
        <v>0</v>
      </c>
      <c r="AY114" s="161" cm="1">
        <f t="array" ref="AY114">_xlfn.IFS(AU114="DELETE", "DELETE", AU114=0, 0, AU114&gt;0, AW114/AU114/LN(10))</f>
        <v>0</v>
      </c>
      <c r="AZ114" s="120" t="str">
        <f>qPCR_Raw!AG114</f>
        <v>Undetermined</v>
      </c>
      <c r="BA114" s="121" cm="1">
        <f t="array" ref="BA114">_xlfn.IFS(AZ114="Undetermined", 0, qPCR_Raw!AH114&lt;=1, 0, qPCR_Raw!AH114&gt;1, qPCR_Raw!AH114)</f>
        <v>0</v>
      </c>
      <c r="BB114" s="122" t="str">
        <f>qPCR_Raw!AJ114</f>
        <v>Undetermined</v>
      </c>
      <c r="BC114" s="121" cm="1">
        <f t="array" ref="BC114">_xlfn.IFS(BB114="Undetermined", 0, qPCR_Raw!AK114&lt;=1, 0, qPCR_Raw!AK114&gt;1, qPCR_Raw!AK114)</f>
        <v>0</v>
      </c>
      <c r="BD114" s="123" t="str" cm="1">
        <f t="array" ref="BD114">_xlfn.IFS(AND(AZ114="Undetermined", BB114="Undetermined"), "Undetermined", AND(BA114=0, BC114=0), "Undetermined", AND(BA114=0, BC114&gt;0), "Ten-Fold", AND(BA114&gt;0, BC114=0), "Undiluted", AND(AZ114&lt;&gt;"Undetermined", BB114&lt;&gt;"Undetermined", BA114&gt;0, BC114&gt;0, AZ114&lt;&gt;BB114), 100*(-1+10^(-1/(AZ114-BB114))), AND(AZ114&lt;&gt;"Undetermined", BB114&lt;&gt;"Undetermined", AZ114=BB114&gt;0), -100)</f>
        <v>Undetermined</v>
      </c>
      <c r="BE114" s="124" cm="1">
        <f t="array" ref="BE114">_xlfn.IFS(BD114="Undetermined", 0, BD114="Undiluted", BA114*$G114/$F114*1000, BD114="Ten-Fold", BC114*$G114/$F114*1000*10, BD114&lt;0, BC114*$G114/$F114*1000*10, BD114&lt;120, BA114*$G114/$F114*1000, BD114&gt;120, BC114*$G114/$F114*1000*10)</f>
        <v>0</v>
      </c>
      <c r="BF114" s="121">
        <f t="shared" si="31"/>
        <v>0</v>
      </c>
      <c r="BG114" s="121">
        <f t="shared" si="32"/>
        <v>0</v>
      </c>
      <c r="BH114" s="121">
        <f t="shared" si="33"/>
        <v>0</v>
      </c>
      <c r="BI114" s="125" cm="1">
        <f t="array" ref="BI114">_xlfn.IFS(BF114="DELETE", "DELETE", BF114=0, 0, BF114&gt;0,LOG10(BF114))</f>
        <v>0</v>
      </c>
      <c r="BJ114" s="126" cm="1">
        <f t="array" ref="BJ114">_xlfn.IFS(BF114="DELETE", "DELETE", BF114=0, 0, BF114&gt;0, BH114/BF114/LN(10))</f>
        <v>0</v>
      </c>
    </row>
    <row r="115" spans="1:62" s="114" customFormat="1" x14ac:dyDescent="0.3">
      <c r="A115" s="115" t="str">
        <f>UPPER(LEFT(SUBSTITUTE(SUBSTITUTE(qPCR_Raw!A115,"-","")," ",""),2))&amp;RIGHT(SUBSTITUTE(SUBSTITUTE(qPCR_Raw!A115,"-","")," ",""),LEN(SUBSTITUTE(SUBSTITUTE(qPCR_Raw!A115,"-","")," ",""))-2)</f>
        <v>RT7</v>
      </c>
      <c r="B115" s="116" t="str" cm="1">
        <f t="array" ref="B115">_xlfn.IFS(LEFT(A115, LEN(A115)-1)="EP", "EP", LEFT(A115, LEN(A115)-1)="STa", "SPI", LEFT(A115, LEN(A115)-1)="STb", "SPO", LEFT(A115, LEN(A115)-1)="MRT", "MRT", LEFT(A115, LEN(A115)-1)="RG", "RN", LEFT(A115, LEN(A115)-1)="RT", "RU", LEFT(A115, LEN(A115)-1)="RW", "RL", LEFT(A115, LEN(A115)-1)="RC", "RS")</f>
        <v>RU</v>
      </c>
      <c r="C115" s="117">
        <f>qPCR_Raw!B115</f>
        <v>44385</v>
      </c>
      <c r="D115" s="117" t="str">
        <f t="shared" si="17"/>
        <v>RU44385</v>
      </c>
      <c r="E115" s="117" t="str">
        <f t="shared" si="18"/>
        <v>RU443857</v>
      </c>
      <c r="F115" s="118">
        <f>qPCR_Raw!C115</f>
        <v>880</v>
      </c>
      <c r="G115" s="119">
        <f>qPCR_Raw!F115</f>
        <v>100</v>
      </c>
      <c r="H115" s="120">
        <f>qPCR_Raw!G115</f>
        <v>20.880582809448242</v>
      </c>
      <c r="I115" s="121" cm="1">
        <f t="array" ref="I115">_xlfn.IFS(H115="Undetermined", 0, qPCR_Raw!H115-qPCR_Raw!$H$242&lt;0, 0, qPCR_Raw!H115-qPCR_Raw!$H$242&gt;0, qPCR_Raw!H115-qPCR_Raw!$H$242)</f>
        <v>41646.162227376306</v>
      </c>
      <c r="J115" s="122">
        <f>qPCR_Raw!K115</f>
        <v>23.47974967956543</v>
      </c>
      <c r="K115" s="121" cm="1">
        <f t="array" ref="K115">_xlfn.IFS(J115="Undetermined", 0, qPCR_Raw!L115-qPCR_Raw!$H$242&lt;0, 0, qPCR_Raw!L115-qPCR_Raw!$H$242&gt;0, qPCR_Raw!L115-qPCR_Raw!$H$242)</f>
        <v>0</v>
      </c>
      <c r="L115" s="123" t="str" cm="1">
        <f t="array" ref="L115">_xlfn.IFS(AND(H115="Undetermined", J115="Undetermined"), "Undetermined", AND(I115=0, K115=0), "Undetermined", AND(I115=0, K115&gt;0), "Ten-Fold", AND(I115&gt;0, K115=0), "Undiluted", AND(H115&lt;&gt;"Undetermined", J115&lt;&gt;"Undetermined", I115&gt;0, K115&gt;0), 100*(-1+10^(-1/(H115-J115))))</f>
        <v>Undiluted</v>
      </c>
      <c r="M115" s="124" cm="1">
        <f t="array" ref="M115">_xlfn.IFS(L115="Undetermined", 0, L115="Undiluted", I115*$G115/$F115*1000, L115="Ten-Fold", K115*$G115/$F115*1000*10, L115&lt;0, K115*$G115/$F115*1000*10, L115&lt;120, I115*$G115/$F115*1000, L115&gt;120, K115*$G115/$F115*1000*10)</f>
        <v>4732518.4349291259</v>
      </c>
      <c r="N115" s="121" t="str">
        <f t="shared" si="19"/>
        <v>DELETE</v>
      </c>
      <c r="O115" s="121" t="str">
        <f t="shared" si="20"/>
        <v>DELETE</v>
      </c>
      <c r="P115" s="121" t="str">
        <f t="shared" si="21"/>
        <v>DELETE</v>
      </c>
      <c r="Q115" s="125" t="str" cm="1">
        <f t="array" ref="Q115">_xlfn.IFS(N115="DELETE", "DELETE", N115=0, 0, N115&gt;0,LOG10(N115))</f>
        <v>DELETE</v>
      </c>
      <c r="R115" s="126" t="str" cm="1">
        <f t="array" ref="R115">_xlfn.IFS(N115="DELETE", "DELETE", N115=0, 0, N115&gt;0, P115/N115/LN(10))</f>
        <v>DELETE</v>
      </c>
      <c r="S115" s="155">
        <f>qPCR_Raw!O115</f>
        <v>34.855953216552734</v>
      </c>
      <c r="T115" s="156" cm="1">
        <f t="array" ref="T115">_xlfn.IFS(S115="Undetermined", 0, qPCR_Raw!P115&lt;=1, 0, qPCR_Raw!P115&gt;1, qPCR_Raw!P115)</f>
        <v>7.5341796875</v>
      </c>
      <c r="U115" s="157">
        <f>qPCR_Raw!R115</f>
        <v>38.620132446289063</v>
      </c>
      <c r="V115" s="156" cm="1">
        <f t="array" ref="V115">_xlfn.IFS(U115="Undetermined", 0, qPCR_Raw!S115&lt;=1, 0, qPCR_Raw!S115&gt;1, qPCR_Raw!S115)</f>
        <v>0</v>
      </c>
      <c r="W115" s="158" t="str" cm="1">
        <f t="array" ref="W115">_xlfn.IFS(AND(S115="Undetermined", U115="Undetermined"), "Undetermined", AND(T115=0, V115=0), "Undetermined", AND(T115=0, V115&gt;0), "Ten-Fold", AND(T115&gt;0, V115=0), "Undiluted", AND(S115&lt;&gt;"Undetermined", U115&lt;&gt;"Undetermined", T115&gt;0, V115&gt;0, S115&lt;&gt;U115), 100*(-1+10^(-1/(S115-U115))), AND(S115&lt;&gt;"Undetermined", U115&lt;&gt;"Undetermined", S115=U115&gt;0), -100)</f>
        <v>Undiluted</v>
      </c>
      <c r="X115" s="159" cm="1">
        <f t="array" ref="X115">_xlfn.IFS(W115="Undetermined", 0, W115="Undiluted", T115*$G115/$F115*1000, W115="Ten-Fold", V115*$G115/$F115*1000*10, W115&lt;0, V115*$G115/$F115*1000*10, W115&lt;120, T115*$G115/$F115*1000, W115&gt;120, V115*$G115/$F115*1000*10)</f>
        <v>856.15678267045462</v>
      </c>
      <c r="Y115" s="156" t="str">
        <f t="shared" si="22"/>
        <v>DELETE</v>
      </c>
      <c r="Z115" s="156" t="str">
        <f t="shared" si="23"/>
        <v>DELETE</v>
      </c>
      <c r="AA115" s="156" t="str">
        <f t="shared" si="24"/>
        <v>DELETE</v>
      </c>
      <c r="AB115" s="160" t="str" cm="1">
        <f t="array" ref="AB115">_xlfn.IFS(Y115="DELETE", "DELETE", Y115=0, 0, Y115&gt;0,LOG10(Y115))</f>
        <v>DELETE</v>
      </c>
      <c r="AC115" s="161" t="str" cm="1">
        <f t="array" ref="AC115">_xlfn.IFS(Y115="DELETE", "DELETE", Y115=0, 0, Y115&gt;0, AA115/Y115/LN(10))</f>
        <v>DELETE</v>
      </c>
      <c r="AD115" s="120">
        <f>qPCR_Raw!U115</f>
        <v>29.606128692626953</v>
      </c>
      <c r="AE115" s="121" cm="1">
        <f t="array" ref="AE115">_xlfn.IFS(AD115="Undetermined", 0, qPCR_Raw!V115&lt;=1, 0, qPCR_Raw!V115&gt;1, qPCR_Raw!V115)</f>
        <v>38.658573150634766</v>
      </c>
      <c r="AF115" s="122">
        <f>qPCR_Raw!X115</f>
        <v>32.456951141357422</v>
      </c>
      <c r="AG115" s="121" cm="1">
        <f t="array" ref="AG115">_xlfn.IFS(AF115="Undetermined", 0, qPCR_Raw!Y115&lt;=1, 0, qPCR_Raw!Y115&gt;1, qPCR_Raw!Y115)</f>
        <v>6.0222911834716797</v>
      </c>
      <c r="AH115" s="123" cm="1">
        <f t="array" ref="AH115">_xlfn.IFS(AND(AD115="Undetermined", AF115="Undetermined"), "Undetermined", AND(AE115=0, AG115=0), "Undetermined", AND(AE115=0, AG115&gt;0), "Ten-Fold", AND(AE115&gt;0, AG115=0), "Undiluted", AND(AD115&lt;&gt;"Undetermined", AF115&lt;&gt;"Undetermined", AE115&gt;0, AG115&gt;0, AD115&lt;&gt;AF115), 100*(-1+10^(-1/(AD115-AF115))), AND(AD115&lt;&gt;"Undetermined", AF115&lt;&gt;"Undetermined", AD115=AF115&gt;0), -100)</f>
        <v>124.2724702302386</v>
      </c>
      <c r="AI115" s="124" cm="1">
        <f t="array" ref="AI115">_xlfn.IFS(AH115="Undetermined", 0, AH115="Undiluted", AE115*$G115/$F115*1000, AH115="Ten-Fold", AG115*$G115/$F115*1000*10, AH115&lt;0, AG115*$G115/$F115*1000*10, AH115&lt;120, AE115*$G115/$F115*1000, AH115&gt;120, AG115*$G115/$F115*1000*10)</f>
        <v>6843.5127084905453</v>
      </c>
      <c r="AJ115" s="121" t="str">
        <f t="shared" si="25"/>
        <v>DELETE</v>
      </c>
      <c r="AK115" s="121" t="str">
        <f t="shared" si="26"/>
        <v>DELETE</v>
      </c>
      <c r="AL115" s="121" t="str">
        <f t="shared" si="27"/>
        <v>DELETE</v>
      </c>
      <c r="AM115" s="125" t="str" cm="1">
        <f t="array" ref="AM115">_xlfn.IFS(AJ115="DELETE", "DELETE", AJ115=0, 0, AJ115&gt;0,LOG10(AJ115))</f>
        <v>DELETE</v>
      </c>
      <c r="AN115" s="126" t="str" cm="1">
        <f t="array" ref="AN115">_xlfn.IFS(AJ115="DELETE", "DELETE", AJ115=0, 0, AJ115&gt;0, AL115/AJ115/LN(10))</f>
        <v>DELETE</v>
      </c>
      <c r="AO115" s="155">
        <f>qPCR_Raw!AA115</f>
        <v>31.657726287841797</v>
      </c>
      <c r="AP115" s="156" cm="1">
        <f t="array" ref="AP115">_xlfn.IFS(AO115="Undetermined", 0, qPCR_Raw!AB115&lt;=6, 0, qPCR_Raw!AB115&gt;6, qPCR_Raw!AB115)</f>
        <v>0</v>
      </c>
      <c r="AQ115" s="157" t="str">
        <f>qPCR_Raw!AD115</f>
        <v>Undetermined</v>
      </c>
      <c r="AR115" s="156" cm="1">
        <f t="array" ref="AR115">_xlfn.IFS(AQ115="Undetermined", 0, qPCR_Raw!AE115&lt;=6, 0, qPCR_Raw!AE115&gt;6, qPCR_Raw!AE115)</f>
        <v>0</v>
      </c>
      <c r="AS115" s="158" t="str" cm="1">
        <f t="array" ref="AS115">_xlfn.IFS(AND(AO115="Undetermined", AQ115="Undetermined"), "Undetermined", AND(AP115=0, AR115=0), "Undetermined", AND(AP115=0, AR115&gt;0), "Ten-Fold", AND(AP115&gt;0, AR115=0), "Undiluted", AND(AO115&lt;&gt;"Undetermined", AQ115&lt;&gt;"Undetermined", AP115&gt;0, AR115&gt;0, AO115&lt;&gt;AQ115), 100*(-1+10^(-1/(AO115-AQ115))), AND(AO115&lt;&gt;"Undetermined", AQ115&lt;&gt;"Undetermined", AO115=AQ115&gt;0), -100)</f>
        <v>Undetermined</v>
      </c>
      <c r="AT115" s="159" cm="1">
        <f t="array" ref="AT115">_xlfn.IFS(AS115="Undetermined", 0, AS115="Undiluted", AP115*$G115/$F115*1000, AS115="Ten-Fold", AR115*$G115/$F115*1000*10, AS115&lt;0, AR115*$G115/$F115*1000*10, AS115&lt;120, AP115*$G115/$F115*1000, AS115&gt;120, AR115*$G115/$F115*1000*10)</f>
        <v>0</v>
      </c>
      <c r="AU115" s="156" t="str">
        <f t="shared" si="34"/>
        <v>DELETE</v>
      </c>
      <c r="AV115" s="156" t="str">
        <f t="shared" si="35"/>
        <v>DELETE</v>
      </c>
      <c r="AW115" s="156" t="str">
        <f t="shared" si="36"/>
        <v>DELETE</v>
      </c>
      <c r="AX115" s="160" t="str" cm="1">
        <f t="array" ref="AX115">_xlfn.IFS(AU115="DELETE", "DELETE", AU115=0, 0, AU115&gt;0,LOG10(AU115))</f>
        <v>DELETE</v>
      </c>
      <c r="AY115" s="161" t="str" cm="1">
        <f t="array" ref="AY115">_xlfn.IFS(AU115="DELETE", "DELETE", AU115=0, 0, AU115&gt;0, AW115/AU115/LN(10))</f>
        <v>DELETE</v>
      </c>
      <c r="AZ115" s="120">
        <f>qPCR_Raw!AG115</f>
        <v>37.508235931396484</v>
      </c>
      <c r="BA115" s="121" cm="1">
        <f t="array" ref="BA115">_xlfn.IFS(AZ115="Undetermined", 0, qPCR_Raw!AH115&lt;=1, 0, qPCR_Raw!AH115&gt;1, qPCR_Raw!AH115)</f>
        <v>0</v>
      </c>
      <c r="BB115" s="122" t="str">
        <f>qPCR_Raw!AJ115</f>
        <v>Undetermined</v>
      </c>
      <c r="BC115" s="121" cm="1">
        <f t="array" ref="BC115">_xlfn.IFS(BB115="Undetermined", 0, qPCR_Raw!AK115&lt;=1, 0, qPCR_Raw!AK115&gt;1, qPCR_Raw!AK115)</f>
        <v>0</v>
      </c>
      <c r="BD115" s="123" t="str" cm="1">
        <f t="array" ref="BD115">_xlfn.IFS(AND(AZ115="Undetermined", BB115="Undetermined"), "Undetermined", AND(BA115=0, BC115=0), "Undetermined", AND(BA115=0, BC115&gt;0), "Ten-Fold", AND(BA115&gt;0, BC115=0), "Undiluted", AND(AZ115&lt;&gt;"Undetermined", BB115&lt;&gt;"Undetermined", BA115&gt;0, BC115&gt;0, AZ115&lt;&gt;BB115), 100*(-1+10^(-1/(AZ115-BB115))), AND(AZ115&lt;&gt;"Undetermined", BB115&lt;&gt;"Undetermined", AZ115=BB115&gt;0), -100)</f>
        <v>Undetermined</v>
      </c>
      <c r="BE115" s="124" cm="1">
        <f t="array" ref="BE115">_xlfn.IFS(BD115="Undetermined", 0, BD115="Undiluted", BA115*$G115/$F115*1000, BD115="Ten-Fold", BC115*$G115/$F115*1000*10, BD115&lt;0, BC115*$G115/$F115*1000*10, BD115&lt;120, BA115*$G115/$F115*1000, BD115&gt;120, BC115*$G115/$F115*1000*10)</f>
        <v>0</v>
      </c>
      <c r="BF115" s="121" t="str">
        <f t="shared" si="31"/>
        <v>DELETE</v>
      </c>
      <c r="BG115" s="121" t="str">
        <f t="shared" si="32"/>
        <v>DELETE</v>
      </c>
      <c r="BH115" s="121" t="str">
        <f t="shared" si="33"/>
        <v>DELETE</v>
      </c>
      <c r="BI115" s="125" t="str" cm="1">
        <f t="array" ref="BI115">_xlfn.IFS(BF115="DELETE", "DELETE", BF115=0, 0, BF115&gt;0,LOG10(BF115))</f>
        <v>DELETE</v>
      </c>
      <c r="BJ115" s="126" t="str" cm="1">
        <f t="array" ref="BJ115">_xlfn.IFS(BF115="DELETE", "DELETE", BF115=0, 0, BF115&gt;0, BH115/BF115/LN(10))</f>
        <v>DELETE</v>
      </c>
    </row>
    <row r="116" spans="1:62" s="114" customFormat="1" x14ac:dyDescent="0.3">
      <c r="A116" s="115" t="str">
        <f>UPPER(LEFT(SUBSTITUTE(SUBSTITUTE(qPCR_Raw!A116,"-","")," ",""),2))&amp;RIGHT(SUBSTITUTE(SUBSTITUTE(qPCR_Raw!A116,"-","")," ",""),LEN(SUBSTITUTE(SUBSTITUTE(qPCR_Raw!A116,"-","")," ",""))-2)</f>
        <v>STb6</v>
      </c>
      <c r="B116" s="116" t="str" cm="1">
        <f t="array" ref="B116">_xlfn.IFS(LEFT(A116, LEN(A116)-1)="EP", "EP", LEFT(A116, LEN(A116)-1)="STa", "SPI", LEFT(A116, LEN(A116)-1)="STb", "SPO", LEFT(A116, LEN(A116)-1)="MRT", "MRT", LEFT(A116, LEN(A116)-1)="RG", "RN", LEFT(A116, LEN(A116)-1)="RT", "RU", LEFT(A116, LEN(A116)-1)="RW", "RL", LEFT(A116, LEN(A116)-1)="RC", "RS")</f>
        <v>SPO</v>
      </c>
      <c r="C116" s="117">
        <f>qPCR_Raw!B116</f>
        <v>44385</v>
      </c>
      <c r="D116" s="117" t="str">
        <f t="shared" si="17"/>
        <v>SPO44385</v>
      </c>
      <c r="E116" s="117" t="str">
        <f t="shared" si="18"/>
        <v>SPO443856</v>
      </c>
      <c r="F116" s="118">
        <f>qPCR_Raw!C116</f>
        <v>950</v>
      </c>
      <c r="G116" s="119">
        <f>qPCR_Raw!F116</f>
        <v>100</v>
      </c>
      <c r="H116" s="120">
        <f>qPCR_Raw!G116</f>
        <v>22.874536514282227</v>
      </c>
      <c r="I116" s="121" cm="1">
        <f t="array" ref="I116">_xlfn.IFS(H116="Undetermined", 0, qPCR_Raw!H116-qPCR_Raw!$H$242&lt;0, 0, qPCR_Raw!H116-qPCR_Raw!$H$242&gt;0, qPCR_Raw!H116-qPCR_Raw!$H$242)</f>
        <v>2072.4717976888023</v>
      </c>
      <c r="J116" s="122">
        <f>qPCR_Raw!K116</f>
        <v>25.496393203735352</v>
      </c>
      <c r="K116" s="121" cm="1">
        <f t="array" ref="K116">_xlfn.IFS(J116="Undetermined", 0, qPCR_Raw!L116-qPCR_Raw!$H$242&lt;0, 0, qPCR_Raw!L116-qPCR_Raw!$H$242&gt;0, qPCR_Raw!L116-qPCR_Raw!$H$242)</f>
        <v>0</v>
      </c>
      <c r="L116" s="123" t="str" cm="1">
        <f t="array" ref="L116">_xlfn.IFS(AND(H116="Undetermined", J116="Undetermined"), "Undetermined", AND(I116=0, K116=0), "Undetermined", AND(I116=0, K116&gt;0), "Ten-Fold", AND(I116&gt;0, K116=0), "Undiluted", AND(H116&lt;&gt;"Undetermined", J116&lt;&gt;"Undetermined", I116&gt;0, K116&gt;0), 100*(-1+10^(-1/(H116-J116))))</f>
        <v>Undiluted</v>
      </c>
      <c r="M116" s="124" cm="1">
        <f t="array" ref="M116">_xlfn.IFS(L116="Undetermined", 0, L116="Undiluted", I116*$G116/$F116*1000, L116="Ten-Fold", K116*$G116/$F116*1000*10, L116&lt;0, K116*$G116/$F116*1000*10, L116&lt;120, I116*$G116/$F116*1000, L116&gt;120, K116*$G116/$F116*1000*10)</f>
        <v>218154.92607250554</v>
      </c>
      <c r="N116" s="121">
        <f t="shared" si="19"/>
        <v>122492.91297526439</v>
      </c>
      <c r="O116" s="121">
        <f t="shared" si="20"/>
        <v>135286.51632603109</v>
      </c>
      <c r="P116" s="121">
        <f t="shared" si="21"/>
        <v>95662.013097241157</v>
      </c>
      <c r="Q116" s="125" cm="1">
        <f t="array" ref="Q116">_xlfn.IFS(N116="DELETE", "DELETE", N116=0, 0, N116&gt;0,LOG10(N116))</f>
        <v>5.0881109626207861</v>
      </c>
      <c r="R116" s="126" cm="1">
        <f t="array" ref="R116">_xlfn.IFS(N116="DELETE", "DELETE", N116=0, 0, N116&gt;0, P116/N116/LN(10))</f>
        <v>0.33916643344319786</v>
      </c>
      <c r="S116" s="155">
        <f>qPCR_Raw!O116</f>
        <v>34.725063323974609</v>
      </c>
      <c r="T116" s="156" cm="1">
        <f t="array" ref="T116">_xlfn.IFS(S116="Undetermined", 0, qPCR_Raw!P116&lt;=1, 0, qPCR_Raw!P116&gt;1, qPCR_Raw!P116)</f>
        <v>8.1812887191772461</v>
      </c>
      <c r="U116" s="157">
        <f>qPCR_Raw!R116</f>
        <v>38.671215057373047</v>
      </c>
      <c r="V116" s="156" cm="1">
        <f t="array" ref="V116">_xlfn.IFS(U116="Undetermined", 0, qPCR_Raw!S116&lt;=1, 0, qPCR_Raw!S116&gt;1, qPCR_Raw!S116)</f>
        <v>0</v>
      </c>
      <c r="W116" s="158" t="str" cm="1">
        <f t="array" ref="W116">_xlfn.IFS(AND(S116="Undetermined", U116="Undetermined"), "Undetermined", AND(T116=0, V116=0), "Undetermined", AND(T116=0, V116&gt;0), "Ten-Fold", AND(T116&gt;0, V116=0), "Undiluted", AND(S116&lt;&gt;"Undetermined", U116&lt;&gt;"Undetermined", T116&gt;0, V116&gt;0, S116&lt;&gt;U116), 100*(-1+10^(-1/(S116-U116))), AND(S116&lt;&gt;"Undetermined", U116&lt;&gt;"Undetermined", S116=U116&gt;0), -100)</f>
        <v>Undiluted</v>
      </c>
      <c r="X116" s="159" cm="1">
        <f t="array" ref="X116">_xlfn.IFS(W116="Undetermined", 0, W116="Undiluted", T116*$G116/$F116*1000, W116="Ten-Fold", V116*$G116/$F116*1000*10, W116&lt;0, V116*$G116/$F116*1000*10, W116&lt;120, T116*$G116/$F116*1000, W116&gt;120, V116*$G116/$F116*1000*10)</f>
        <v>861.18828622918375</v>
      </c>
      <c r="Y116" s="156">
        <f t="shared" si="22"/>
        <v>683.64194920765431</v>
      </c>
      <c r="Z116" s="156">
        <f t="shared" si="23"/>
        <v>251.08843776551157</v>
      </c>
      <c r="AA116" s="156">
        <f t="shared" si="24"/>
        <v>177.54633702152964</v>
      </c>
      <c r="AB116" s="160" cm="1">
        <f t="array" ref="AB116">_xlfn.IFS(Y116="DELETE", "DELETE", Y116=0, 0, Y116&gt;0,LOG10(Y116))</f>
        <v>2.8348287037714068</v>
      </c>
      <c r="AC116" s="161" cm="1">
        <f t="array" ref="AC116">_xlfn.IFS(Y116="DELETE", "DELETE", Y116=0, 0, Y116&gt;0, AA116/Y116/LN(10))</f>
        <v>0.11278915013912376</v>
      </c>
      <c r="AD116" s="120" t="str">
        <f>qPCR_Raw!U116</f>
        <v>Undetermined</v>
      </c>
      <c r="AE116" s="121" cm="1">
        <f t="array" ref="AE116">_xlfn.IFS(AD116="Undetermined", 0, qPCR_Raw!V116&lt;=1, 0, qPCR_Raw!V116&gt;1, qPCR_Raw!V116)</f>
        <v>0</v>
      </c>
      <c r="AF116" s="122" t="str">
        <f>qPCR_Raw!X116</f>
        <v>Undetermined</v>
      </c>
      <c r="AG116" s="121" cm="1">
        <f t="array" ref="AG116">_xlfn.IFS(AF116="Undetermined", 0, qPCR_Raw!Y116&lt;=1, 0, qPCR_Raw!Y116&gt;1, qPCR_Raw!Y116)</f>
        <v>0</v>
      </c>
      <c r="AH116" s="123" t="str" cm="1">
        <f t="array" ref="AH116">_xlfn.IFS(AND(AD116="Undetermined", AF116="Undetermined"), "Undetermined", AND(AE116=0, AG116=0), "Undetermined", AND(AE116=0, AG116&gt;0), "Ten-Fold", AND(AE116&gt;0, AG116=0), "Undiluted", AND(AD116&lt;&gt;"Undetermined", AF116&lt;&gt;"Undetermined", AE116&gt;0, AG116&gt;0, AD116&lt;&gt;AF116), 100*(-1+10^(-1/(AD116-AF116))), AND(AD116&lt;&gt;"Undetermined", AF116&lt;&gt;"Undetermined", AD116=AF116&gt;0), -100)</f>
        <v>Undetermined</v>
      </c>
      <c r="AI116" s="124" cm="1">
        <f t="array" ref="AI116">_xlfn.IFS(AH116="Undetermined", 0, AH116="Undiluted", AE116*$G116/$F116*1000, AH116="Ten-Fold", AG116*$G116/$F116*1000*10, AH116&lt;0, AG116*$G116/$F116*1000*10, AH116&lt;120, AE116*$G116/$F116*1000, AH116&gt;120, AG116*$G116/$F116*1000*10)</f>
        <v>0</v>
      </c>
      <c r="AJ116" s="121">
        <f t="shared" si="25"/>
        <v>0</v>
      </c>
      <c r="AK116" s="121">
        <f t="shared" si="26"/>
        <v>0</v>
      </c>
      <c r="AL116" s="121">
        <f t="shared" si="27"/>
        <v>0</v>
      </c>
      <c r="AM116" s="125" cm="1">
        <f t="array" ref="AM116">_xlfn.IFS(AJ116="DELETE", "DELETE", AJ116=0, 0, AJ116&gt;0,LOG10(AJ116))</f>
        <v>0</v>
      </c>
      <c r="AN116" s="126" cm="1">
        <f t="array" ref="AN116">_xlfn.IFS(AJ116="DELETE", "DELETE", AJ116=0, 0, AJ116&gt;0, AL116/AJ116/LN(10))</f>
        <v>0</v>
      </c>
      <c r="AO116" s="155">
        <f>qPCR_Raw!AA116</f>
        <v>31.524715423583984</v>
      </c>
      <c r="AP116" s="156" cm="1">
        <f t="array" ref="AP116">_xlfn.IFS(AO116="Undetermined", 0, qPCR_Raw!AB116&lt;=6, 0, qPCR_Raw!AB116&gt;6, qPCR_Raw!AB116)</f>
        <v>0</v>
      </c>
      <c r="AQ116" s="157">
        <f>qPCR_Raw!AD116</f>
        <v>32.690319061279297</v>
      </c>
      <c r="AR116" s="156" cm="1">
        <f t="array" ref="AR116">_xlfn.IFS(AQ116="Undetermined", 0, qPCR_Raw!AE116&lt;=6, 0, qPCR_Raw!AE116&gt;6, qPCR_Raw!AE116)</f>
        <v>0</v>
      </c>
      <c r="AS116" s="158" t="str" cm="1">
        <f t="array" ref="AS116">_xlfn.IFS(AND(AO116="Undetermined", AQ116="Undetermined"), "Undetermined", AND(AP116=0, AR116=0), "Undetermined", AND(AP116=0, AR116&gt;0), "Ten-Fold", AND(AP116&gt;0, AR116=0), "Undiluted", AND(AO116&lt;&gt;"Undetermined", AQ116&lt;&gt;"Undetermined", AP116&gt;0, AR116&gt;0, AO116&lt;&gt;AQ116), 100*(-1+10^(-1/(AO116-AQ116))), AND(AO116&lt;&gt;"Undetermined", AQ116&lt;&gt;"Undetermined", AO116=AQ116&gt;0), -100)</f>
        <v>Undetermined</v>
      </c>
      <c r="AT116" s="159" cm="1">
        <f t="array" ref="AT116">_xlfn.IFS(AS116="Undetermined", 0, AS116="Undiluted", AP116*$G116/$F116*1000, AS116="Ten-Fold", AR116*$G116/$F116*1000*10, AS116&lt;0, AR116*$G116/$F116*1000*10, AS116&lt;120, AP116*$G116/$F116*1000, AS116&gt;120, AR116*$G116/$F116*1000*10)</f>
        <v>0</v>
      </c>
      <c r="AU116" s="156">
        <f t="shared" si="34"/>
        <v>0</v>
      </c>
      <c r="AV116" s="156">
        <f t="shared" si="35"/>
        <v>0</v>
      </c>
      <c r="AW116" s="156">
        <f t="shared" si="36"/>
        <v>0</v>
      </c>
      <c r="AX116" s="160" cm="1">
        <f t="array" ref="AX116">_xlfn.IFS(AU116="DELETE", "DELETE", AU116=0, 0, AU116&gt;0,LOG10(AU116))</f>
        <v>0</v>
      </c>
      <c r="AY116" s="161" cm="1">
        <f t="array" ref="AY116">_xlfn.IFS(AU116="DELETE", "DELETE", AU116=0, 0, AU116&gt;0, AW116/AU116/LN(10))</f>
        <v>0</v>
      </c>
      <c r="AZ116" s="120" t="str">
        <f>qPCR_Raw!AG116</f>
        <v>Undetermined</v>
      </c>
      <c r="BA116" s="121" cm="1">
        <f t="array" ref="BA116">_xlfn.IFS(AZ116="Undetermined", 0, qPCR_Raw!AH116&lt;=1, 0, qPCR_Raw!AH116&gt;1, qPCR_Raw!AH116)</f>
        <v>0</v>
      </c>
      <c r="BB116" s="122" t="str">
        <f>qPCR_Raw!AJ116</f>
        <v>Undetermined</v>
      </c>
      <c r="BC116" s="121" cm="1">
        <f t="array" ref="BC116">_xlfn.IFS(BB116="Undetermined", 0, qPCR_Raw!AK116&lt;=1, 0, qPCR_Raw!AK116&gt;1, qPCR_Raw!AK116)</f>
        <v>0</v>
      </c>
      <c r="BD116" s="123" t="str" cm="1">
        <f t="array" ref="BD116">_xlfn.IFS(AND(AZ116="Undetermined", BB116="Undetermined"), "Undetermined", AND(BA116=0, BC116=0), "Undetermined", AND(BA116=0, BC116&gt;0), "Ten-Fold", AND(BA116&gt;0, BC116=0), "Undiluted", AND(AZ116&lt;&gt;"Undetermined", BB116&lt;&gt;"Undetermined", BA116&gt;0, BC116&gt;0, AZ116&lt;&gt;BB116), 100*(-1+10^(-1/(AZ116-BB116))), AND(AZ116&lt;&gt;"Undetermined", BB116&lt;&gt;"Undetermined", AZ116=BB116&gt;0), -100)</f>
        <v>Undetermined</v>
      </c>
      <c r="BE116" s="124" cm="1">
        <f t="array" ref="BE116">_xlfn.IFS(BD116="Undetermined", 0, BD116="Undiluted", BA116*$G116/$F116*1000, BD116="Ten-Fold", BC116*$G116/$F116*1000*10, BD116&lt;0, BC116*$G116/$F116*1000*10, BD116&lt;120, BA116*$G116/$F116*1000, BD116&gt;120, BC116*$G116/$F116*1000*10)</f>
        <v>0</v>
      </c>
      <c r="BF116" s="121">
        <f t="shared" si="31"/>
        <v>0</v>
      </c>
      <c r="BG116" s="121">
        <f t="shared" si="32"/>
        <v>0</v>
      </c>
      <c r="BH116" s="121">
        <f t="shared" si="33"/>
        <v>0</v>
      </c>
      <c r="BI116" s="125" cm="1">
        <f t="array" ref="BI116">_xlfn.IFS(BF116="DELETE", "DELETE", BF116=0, 0, BF116&gt;0,LOG10(BF116))</f>
        <v>0</v>
      </c>
      <c r="BJ116" s="126" cm="1">
        <f t="array" ref="BJ116">_xlfn.IFS(BF116="DELETE", "DELETE", BF116=0, 0, BF116&gt;0, BH116/BF116/LN(10))</f>
        <v>0</v>
      </c>
    </row>
    <row r="117" spans="1:62" s="114" customFormat="1" x14ac:dyDescent="0.3">
      <c r="A117" s="115" t="str">
        <f>UPPER(LEFT(SUBSTITUTE(SUBSTITUTE(qPCR_Raw!A117,"-","")," ",""),2))&amp;RIGHT(SUBSTITUTE(SUBSTITUTE(qPCR_Raw!A117,"-","")," ",""),LEN(SUBSTITUTE(SUBSTITUTE(qPCR_Raw!A117,"-","")," ",""))-2)</f>
        <v>STb7</v>
      </c>
      <c r="B117" s="116" t="str" cm="1">
        <f t="array" ref="B117">_xlfn.IFS(LEFT(A117, LEN(A117)-1)="EP", "EP", LEFT(A117, LEN(A117)-1)="STa", "SPI", LEFT(A117, LEN(A117)-1)="STb", "SPO", LEFT(A117, LEN(A117)-1)="MRT", "MRT", LEFT(A117, LEN(A117)-1)="RG", "RN", LEFT(A117, LEN(A117)-1)="RT", "RU", LEFT(A117, LEN(A117)-1)="RW", "RL", LEFT(A117, LEN(A117)-1)="RC", "RS")</f>
        <v>SPO</v>
      </c>
      <c r="C117" s="117">
        <f>qPCR_Raw!B117</f>
        <v>44385</v>
      </c>
      <c r="D117" s="117" t="str">
        <f t="shared" si="17"/>
        <v>SPO44385</v>
      </c>
      <c r="E117" s="117" t="str">
        <f t="shared" si="18"/>
        <v>SPO443857</v>
      </c>
      <c r="F117" s="118">
        <f>qPCR_Raw!C117</f>
        <v>870</v>
      </c>
      <c r="G117" s="119">
        <f>qPCR_Raw!F117</f>
        <v>100</v>
      </c>
      <c r="H117" s="120">
        <f>qPCR_Raw!G117</f>
        <v>23.07609748840332</v>
      </c>
      <c r="I117" s="121" cm="1">
        <f t="array" ref="I117">_xlfn.IFS(H117="Undetermined", 0, qPCR_Raw!H117-qPCR_Raw!$H$242&lt;0, 0, qPCR_Raw!H117-qPCR_Raw!$H$242&gt;0, qPCR_Raw!H117-qPCR_Raw!$H$242)</f>
        <v>233.42882893880233</v>
      </c>
      <c r="J117" s="122">
        <f>qPCR_Raw!K117</f>
        <v>26.057636260986328</v>
      </c>
      <c r="K117" s="121" cm="1">
        <f t="array" ref="K117">_xlfn.IFS(J117="Undetermined", 0, qPCR_Raw!L117-qPCR_Raw!$H$242&lt;0, 0, qPCR_Raw!L117-qPCR_Raw!$H$242&gt;0, qPCR_Raw!L117-qPCR_Raw!$H$242)</f>
        <v>0</v>
      </c>
      <c r="L117" s="123" t="str" cm="1">
        <f t="array" ref="L117">_xlfn.IFS(AND(H117="Undetermined", J117="Undetermined"), "Undetermined", AND(I117=0, K117=0), "Undetermined", AND(I117=0, K117&gt;0), "Ten-Fold", AND(I117&gt;0, K117=0), "Undiluted", AND(H117&lt;&gt;"Undetermined", J117&lt;&gt;"Undetermined", I117&gt;0, K117&gt;0), 100*(-1+10^(-1/(H117-J117))))</f>
        <v>Undiluted</v>
      </c>
      <c r="M117" s="124" cm="1">
        <f t="array" ref="M117">_xlfn.IFS(L117="Undetermined", 0, L117="Undiluted", I117*$G117/$F117*1000, L117="Ten-Fold", K117*$G117/$F117*1000*10, L117&lt;0, K117*$G117/$F117*1000*10, L117&lt;120, I117*$G117/$F117*1000, L117&gt;120, K117*$G117/$F117*1000*10)</f>
        <v>26830.899878023258</v>
      </c>
      <c r="N117" s="121" t="str">
        <f t="shared" si="19"/>
        <v>DELETE</v>
      </c>
      <c r="O117" s="121" t="str">
        <f t="shared" si="20"/>
        <v>DELETE</v>
      </c>
      <c r="P117" s="121" t="str">
        <f t="shared" si="21"/>
        <v>DELETE</v>
      </c>
      <c r="Q117" s="125" t="str" cm="1">
        <f t="array" ref="Q117">_xlfn.IFS(N117="DELETE", "DELETE", N117=0, 0, N117&gt;0,LOG10(N117))</f>
        <v>DELETE</v>
      </c>
      <c r="R117" s="126" t="str" cm="1">
        <f t="array" ref="R117">_xlfn.IFS(N117="DELETE", "DELETE", N117=0, 0, N117&gt;0, P117/N117/LN(10))</f>
        <v>DELETE</v>
      </c>
      <c r="S117" s="155">
        <f>qPCR_Raw!O117</f>
        <v>35.709213256835938</v>
      </c>
      <c r="T117" s="156" cm="1">
        <f t="array" ref="T117">_xlfn.IFS(S117="Undetermined", 0, qPCR_Raw!P117&lt;=1, 0, qPCR_Raw!P117&gt;1, qPCR_Raw!P117)</f>
        <v>4.4030318260192871</v>
      </c>
      <c r="U117" s="157">
        <f>qPCR_Raw!R117</f>
        <v>38.479698181152344</v>
      </c>
      <c r="V117" s="156" cm="1">
        <f t="array" ref="V117">_xlfn.IFS(U117="Undetermined", 0, qPCR_Raw!S117&lt;=1, 0, qPCR_Raw!S117&gt;1, qPCR_Raw!S117)</f>
        <v>0</v>
      </c>
      <c r="W117" s="158" t="str" cm="1">
        <f t="array" ref="W117">_xlfn.IFS(AND(S117="Undetermined", U117="Undetermined"), "Undetermined", AND(T117=0, V117=0), "Undetermined", AND(T117=0, V117&gt;0), "Ten-Fold", AND(T117&gt;0, V117=0), "Undiluted", AND(S117&lt;&gt;"Undetermined", U117&lt;&gt;"Undetermined", T117&gt;0, V117&gt;0, S117&lt;&gt;U117), 100*(-1+10^(-1/(S117-U117))), AND(S117&lt;&gt;"Undetermined", U117&lt;&gt;"Undetermined", S117=U117&gt;0), -100)</f>
        <v>Undiluted</v>
      </c>
      <c r="X117" s="159" cm="1">
        <f t="array" ref="X117">_xlfn.IFS(W117="Undetermined", 0, W117="Undiluted", T117*$G117/$F117*1000, W117="Ten-Fold", V117*$G117/$F117*1000*10, W117&lt;0, V117*$G117/$F117*1000*10, W117&lt;120, T117*$G117/$F117*1000, W117&gt;120, V117*$G117/$F117*1000*10)</f>
        <v>506.09561218612498</v>
      </c>
      <c r="Y117" s="156" t="str">
        <f t="shared" si="22"/>
        <v>DELETE</v>
      </c>
      <c r="Z117" s="156" t="str">
        <f t="shared" si="23"/>
        <v>DELETE</v>
      </c>
      <c r="AA117" s="156" t="str">
        <f t="shared" si="24"/>
        <v>DELETE</v>
      </c>
      <c r="AB117" s="160" t="str" cm="1">
        <f t="array" ref="AB117">_xlfn.IFS(Y117="DELETE", "DELETE", Y117=0, 0, Y117&gt;0,LOG10(Y117))</f>
        <v>DELETE</v>
      </c>
      <c r="AC117" s="161" t="str" cm="1">
        <f t="array" ref="AC117">_xlfn.IFS(Y117="DELETE", "DELETE", Y117=0, 0, Y117&gt;0, AA117/Y117/LN(10))</f>
        <v>DELETE</v>
      </c>
      <c r="AD117" s="120" t="str">
        <f>qPCR_Raw!U117</f>
        <v>Undetermined</v>
      </c>
      <c r="AE117" s="121" cm="1">
        <f t="array" ref="AE117">_xlfn.IFS(AD117="Undetermined", 0, qPCR_Raw!V117&lt;=1, 0, qPCR_Raw!V117&gt;1, qPCR_Raw!V117)</f>
        <v>0</v>
      </c>
      <c r="AF117" s="122" t="str">
        <f>qPCR_Raw!X117</f>
        <v>Undetermined</v>
      </c>
      <c r="AG117" s="121" cm="1">
        <f t="array" ref="AG117">_xlfn.IFS(AF117="Undetermined", 0, qPCR_Raw!Y117&lt;=1, 0, qPCR_Raw!Y117&gt;1, qPCR_Raw!Y117)</f>
        <v>0</v>
      </c>
      <c r="AH117" s="123" t="str" cm="1">
        <f t="array" ref="AH117">_xlfn.IFS(AND(AD117="Undetermined", AF117="Undetermined"), "Undetermined", AND(AE117=0, AG117=0), "Undetermined", AND(AE117=0, AG117&gt;0), "Ten-Fold", AND(AE117&gt;0, AG117=0), "Undiluted", AND(AD117&lt;&gt;"Undetermined", AF117&lt;&gt;"Undetermined", AE117&gt;0, AG117&gt;0, AD117&lt;&gt;AF117), 100*(-1+10^(-1/(AD117-AF117))), AND(AD117&lt;&gt;"Undetermined", AF117&lt;&gt;"Undetermined", AD117=AF117&gt;0), -100)</f>
        <v>Undetermined</v>
      </c>
      <c r="AI117" s="124" cm="1">
        <f t="array" ref="AI117">_xlfn.IFS(AH117="Undetermined", 0, AH117="Undiluted", AE117*$G117/$F117*1000, AH117="Ten-Fold", AG117*$G117/$F117*1000*10, AH117&lt;0, AG117*$G117/$F117*1000*10, AH117&lt;120, AE117*$G117/$F117*1000, AH117&gt;120, AG117*$G117/$F117*1000*10)</f>
        <v>0</v>
      </c>
      <c r="AJ117" s="121" t="str">
        <f t="shared" si="25"/>
        <v>DELETE</v>
      </c>
      <c r="AK117" s="121" t="str">
        <f t="shared" si="26"/>
        <v>DELETE</v>
      </c>
      <c r="AL117" s="121" t="str">
        <f t="shared" si="27"/>
        <v>DELETE</v>
      </c>
      <c r="AM117" s="125" t="str" cm="1">
        <f t="array" ref="AM117">_xlfn.IFS(AJ117="DELETE", "DELETE", AJ117=0, 0, AJ117&gt;0,LOG10(AJ117))</f>
        <v>DELETE</v>
      </c>
      <c r="AN117" s="126" t="str" cm="1">
        <f t="array" ref="AN117">_xlfn.IFS(AJ117="DELETE", "DELETE", AJ117=0, 0, AJ117&gt;0, AL117/AJ117/LN(10))</f>
        <v>DELETE</v>
      </c>
      <c r="AO117" s="155">
        <f>qPCR_Raw!AA117</f>
        <v>31.037567138671875</v>
      </c>
      <c r="AP117" s="156" cm="1">
        <f t="array" ref="AP117">_xlfn.IFS(AO117="Undetermined", 0, qPCR_Raw!AB117&lt;=6, 0, qPCR_Raw!AB117&gt;6, qPCR_Raw!AB117)</f>
        <v>0</v>
      </c>
      <c r="AQ117" s="157">
        <f>qPCR_Raw!AD117</f>
        <v>33.231311798095703</v>
      </c>
      <c r="AR117" s="156" cm="1">
        <f t="array" ref="AR117">_xlfn.IFS(AQ117="Undetermined", 0, qPCR_Raw!AE117&lt;=6, 0, qPCR_Raw!AE117&gt;6, qPCR_Raw!AE117)</f>
        <v>0</v>
      </c>
      <c r="AS117" s="158" t="str" cm="1">
        <f t="array" ref="AS117">_xlfn.IFS(AND(AO117="Undetermined", AQ117="Undetermined"), "Undetermined", AND(AP117=0, AR117=0), "Undetermined", AND(AP117=0, AR117&gt;0), "Ten-Fold", AND(AP117&gt;0, AR117=0), "Undiluted", AND(AO117&lt;&gt;"Undetermined", AQ117&lt;&gt;"Undetermined", AP117&gt;0, AR117&gt;0, AO117&lt;&gt;AQ117), 100*(-1+10^(-1/(AO117-AQ117))), AND(AO117&lt;&gt;"Undetermined", AQ117&lt;&gt;"Undetermined", AO117=AQ117&gt;0), -100)</f>
        <v>Undetermined</v>
      </c>
      <c r="AT117" s="159" cm="1">
        <f t="array" ref="AT117">_xlfn.IFS(AS117="Undetermined", 0, AS117="Undiluted", AP117*$G117/$F117*1000, AS117="Ten-Fold", AR117*$G117/$F117*1000*10, AS117&lt;0, AR117*$G117/$F117*1000*10, AS117&lt;120, AP117*$G117/$F117*1000, AS117&gt;120, AR117*$G117/$F117*1000*10)</f>
        <v>0</v>
      </c>
      <c r="AU117" s="156" t="str">
        <f t="shared" si="34"/>
        <v>DELETE</v>
      </c>
      <c r="AV117" s="156" t="str">
        <f t="shared" si="35"/>
        <v>DELETE</v>
      </c>
      <c r="AW117" s="156" t="str">
        <f t="shared" si="36"/>
        <v>DELETE</v>
      </c>
      <c r="AX117" s="160" t="str" cm="1">
        <f t="array" ref="AX117">_xlfn.IFS(AU117="DELETE", "DELETE", AU117=0, 0, AU117&gt;0,LOG10(AU117))</f>
        <v>DELETE</v>
      </c>
      <c r="AY117" s="161" t="str" cm="1">
        <f t="array" ref="AY117">_xlfn.IFS(AU117="DELETE", "DELETE", AU117=0, 0, AU117&gt;0, AW117/AU117/LN(10))</f>
        <v>DELETE</v>
      </c>
      <c r="AZ117" s="120" t="str">
        <f>qPCR_Raw!AG117</f>
        <v>Undetermined</v>
      </c>
      <c r="BA117" s="121" cm="1">
        <f t="array" ref="BA117">_xlfn.IFS(AZ117="Undetermined", 0, qPCR_Raw!AH117&lt;=1, 0, qPCR_Raw!AH117&gt;1, qPCR_Raw!AH117)</f>
        <v>0</v>
      </c>
      <c r="BB117" s="122" t="str">
        <f>qPCR_Raw!AJ117</f>
        <v>Undetermined</v>
      </c>
      <c r="BC117" s="121" cm="1">
        <f t="array" ref="BC117">_xlfn.IFS(BB117="Undetermined", 0, qPCR_Raw!AK117&lt;=1, 0, qPCR_Raw!AK117&gt;1, qPCR_Raw!AK117)</f>
        <v>0</v>
      </c>
      <c r="BD117" s="123" t="str" cm="1">
        <f t="array" ref="BD117">_xlfn.IFS(AND(AZ117="Undetermined", BB117="Undetermined"), "Undetermined", AND(BA117=0, BC117=0), "Undetermined", AND(BA117=0, BC117&gt;0), "Ten-Fold", AND(BA117&gt;0, BC117=0), "Undiluted", AND(AZ117&lt;&gt;"Undetermined", BB117&lt;&gt;"Undetermined", BA117&gt;0, BC117&gt;0, AZ117&lt;&gt;BB117), 100*(-1+10^(-1/(AZ117-BB117))), AND(AZ117&lt;&gt;"Undetermined", BB117&lt;&gt;"Undetermined", AZ117=BB117&gt;0), -100)</f>
        <v>Undetermined</v>
      </c>
      <c r="BE117" s="124" cm="1">
        <f t="array" ref="BE117">_xlfn.IFS(BD117="Undetermined", 0, BD117="Undiluted", BA117*$G117/$F117*1000, BD117="Ten-Fold", BC117*$G117/$F117*1000*10, BD117&lt;0, BC117*$G117/$F117*1000*10, BD117&lt;120, BA117*$G117/$F117*1000, BD117&gt;120, BC117*$G117/$F117*1000*10)</f>
        <v>0</v>
      </c>
      <c r="BF117" s="121" t="str">
        <f t="shared" si="31"/>
        <v>DELETE</v>
      </c>
      <c r="BG117" s="121" t="str">
        <f t="shared" si="32"/>
        <v>DELETE</v>
      </c>
      <c r="BH117" s="121" t="str">
        <f t="shared" si="33"/>
        <v>DELETE</v>
      </c>
      <c r="BI117" s="125" t="str" cm="1">
        <f t="array" ref="BI117">_xlfn.IFS(BF117="DELETE", "DELETE", BF117=0, 0, BF117&gt;0,LOG10(BF117))</f>
        <v>DELETE</v>
      </c>
      <c r="BJ117" s="126" t="str" cm="1">
        <f t="array" ref="BJ117">_xlfn.IFS(BF117="DELETE", "DELETE", BF117=0, 0, BF117&gt;0, BH117/BF117/LN(10))</f>
        <v>DELETE</v>
      </c>
    </row>
    <row r="118" spans="1:62" s="114" customFormat="1" x14ac:dyDescent="0.3">
      <c r="A118" s="115" t="str">
        <f>UPPER(LEFT(SUBSTITUTE(SUBSTITUTE(qPCR_Raw!A118,"-","")," ",""),2))&amp;RIGHT(SUBSTITUTE(SUBSTITUTE(qPCR_Raw!A118,"-","")," ",""),LEN(SUBSTITUTE(SUBSTITUTE(qPCR_Raw!A118,"-","")," ",""))-2)</f>
        <v>RC6</v>
      </c>
      <c r="B118" s="116" t="str" cm="1">
        <f t="array" ref="B118">_xlfn.IFS(LEFT(A118, LEN(A118)-1)="EP", "EP", LEFT(A118, LEN(A118)-1)="STa", "SPI", LEFT(A118, LEN(A118)-1)="STb", "SPO", LEFT(A118, LEN(A118)-1)="MRT", "MRT", LEFT(A118, LEN(A118)-1)="RG", "RN", LEFT(A118, LEN(A118)-1)="RT", "RU", LEFT(A118, LEN(A118)-1)="RW", "RL", LEFT(A118, LEN(A118)-1)="RC", "RS")</f>
        <v>RS</v>
      </c>
      <c r="C118" s="117">
        <f>qPCR_Raw!B118</f>
        <v>44385</v>
      </c>
      <c r="D118" s="117" t="str">
        <f t="shared" si="17"/>
        <v>RS44385</v>
      </c>
      <c r="E118" s="117" t="str">
        <f t="shared" si="18"/>
        <v>RS443856</v>
      </c>
      <c r="F118" s="118">
        <f>qPCR_Raw!C118</f>
        <v>1000</v>
      </c>
      <c r="G118" s="119">
        <f>qPCR_Raw!F118</f>
        <v>100</v>
      </c>
      <c r="H118" s="120">
        <f>qPCR_Raw!G118</f>
        <v>9.6141071319580078</v>
      </c>
      <c r="I118" s="121" cm="1">
        <f t="array" ref="I118">_xlfn.IFS(H118="Undetermined", 0, qPCR_Raw!H118-qPCR_Raw!$H$242&lt;0, 0, qPCR_Raw!H118-qPCR_Raw!$H$242&gt;0, qPCR_Raw!H118-qPCR_Raw!$H$242)</f>
        <v>79441553.361446127</v>
      </c>
      <c r="J118" s="122">
        <f>qPCR_Raw!K118</f>
        <v>11.008037567138672</v>
      </c>
      <c r="K118" s="121" cm="1">
        <f t="array" ref="K118">_xlfn.IFS(J118="Undetermined", 0, qPCR_Raw!L118-qPCR_Raw!$H$242&lt;0, 0, qPCR_Raw!L118-qPCR_Raw!$H$242&gt;0, qPCR_Raw!L118-qPCR_Raw!$H$242)</f>
        <v>32258433.361446127</v>
      </c>
      <c r="L118" s="123" cm="1">
        <f t="array" ref="L118">_xlfn.IFS(AND(H118="Undetermined", J118="Undetermined"), "Undetermined", AND(I118=0, K118=0), "Undetermined", AND(I118=0, K118&gt;0), "Ten-Fold", AND(I118&gt;0, K118=0), "Undiluted", AND(H118&lt;&gt;"Undetermined", J118&lt;&gt;"Undetermined", I118&gt;0, K118&gt;0), 100*(-1+10^(-1/(H118-J118))))</f>
        <v>421.67006343077367</v>
      </c>
      <c r="M118" s="124" cm="1">
        <f t="array" ref="M118">_xlfn.IFS(L118="Undetermined", 0, L118="Undiluted", I118*$G118/$F118*1000, L118="Ten-Fold", K118*$G118/$F118*1000*10, L118&lt;0, K118*$G118/$F118*1000*10, L118&lt;120, I118*$G118/$F118*1000, L118&gt;120, K118*$G118/$F118*1000*10)</f>
        <v>32258433361.446129</v>
      </c>
      <c r="N118" s="121">
        <f t="shared" si="19"/>
        <v>16409049987.985281</v>
      </c>
      <c r="O118" s="121">
        <f t="shared" si="20"/>
        <v>22414412921.99897</v>
      </c>
      <c r="P118" s="121">
        <f t="shared" si="21"/>
        <v>15849383373.460848</v>
      </c>
      <c r="Q118" s="125" cm="1">
        <f t="array" ref="Q118">_xlfn.IFS(N118="DELETE", "DELETE", N118=0, 0, N118&gt;0,LOG10(N118))</f>
        <v>10.215083438035487</v>
      </c>
      <c r="R118" s="126" cm="1">
        <f t="array" ref="R118">_xlfn.IFS(N118="DELETE", "DELETE", N118=0, 0, N118&gt;0, P118/N118/LN(10))</f>
        <v>0.4194819167290702</v>
      </c>
      <c r="S118" s="155">
        <f>qPCR_Raw!O118</f>
        <v>28.253978729248047</v>
      </c>
      <c r="T118" s="156" cm="1">
        <f t="array" ref="T118">_xlfn.IFS(S118="Undetermined", 0, qPCR_Raw!P118&lt;=1, 0, qPCR_Raw!P118&gt;1, qPCR_Raw!P118)</f>
        <v>480.88113403320313</v>
      </c>
      <c r="U118" s="157">
        <f>qPCR_Raw!R118</f>
        <v>30.560697555541992</v>
      </c>
      <c r="V118" s="156" cm="1">
        <f t="array" ref="V118">_xlfn.IFS(U118="Undetermined", 0, qPCR_Raw!S118&lt;=1, 0, qPCR_Raw!S118&gt;1, qPCR_Raw!S118)</f>
        <v>112.55716705322266</v>
      </c>
      <c r="W118" s="158" cm="1">
        <f t="array" ref="W118">_xlfn.IFS(AND(S118="Undetermined", U118="Undetermined"), "Undetermined", AND(T118=0, V118=0), "Undetermined", AND(T118=0, V118&gt;0), "Ten-Fold", AND(T118&gt;0, V118=0), "Undiluted", AND(S118&lt;&gt;"Undetermined", U118&lt;&gt;"Undetermined", T118&gt;0, V118&gt;0, S118&lt;&gt;U118), 100*(-1+10^(-1/(S118-U118))), AND(S118&lt;&gt;"Undetermined", U118&lt;&gt;"Undetermined", S118=U118&gt;0), -100)</f>
        <v>171.34149197880834</v>
      </c>
      <c r="X118" s="159" cm="1">
        <f t="array" ref="X118">_xlfn.IFS(W118="Undetermined", 0, W118="Undiluted", T118*$G118/$F118*1000, W118="Ten-Fold", V118*$G118/$F118*1000*10, W118&lt;0, V118*$G118/$F118*1000*10, W118&lt;120, T118*$G118/$F118*1000, W118&gt;120, V118*$G118/$F118*1000*10)</f>
        <v>112557.16705322266</v>
      </c>
      <c r="Y118" s="156">
        <f t="shared" si="22"/>
        <v>77360.772254058669</v>
      </c>
      <c r="Z118" s="156">
        <f t="shared" si="23"/>
        <v>49775.21887161558</v>
      </c>
      <c r="AA118" s="156">
        <f t="shared" si="24"/>
        <v>35196.394799163987</v>
      </c>
      <c r="AB118" s="160" cm="1">
        <f t="array" ref="AB118">_xlfn.IFS(Y118="DELETE", "DELETE", Y118=0, 0, Y118&gt;0,LOG10(Y118))</f>
        <v>4.8885207964420898</v>
      </c>
      <c r="AC118" s="161" cm="1">
        <f t="array" ref="AC118">_xlfn.IFS(Y118="DELETE", "DELETE", Y118=0, 0, Y118&gt;0, AA118/Y118/LN(10))</f>
        <v>0.19758851416278725</v>
      </c>
      <c r="AD118" s="120">
        <f>qPCR_Raw!U118</f>
        <v>25.355434417724609</v>
      </c>
      <c r="AE118" s="121" cm="1">
        <f t="array" ref="AE118">_xlfn.IFS(AD118="Undetermined", 0, qPCR_Raw!V118&lt;=1, 0, qPCR_Raw!V118&gt;1, qPCR_Raw!V118)</f>
        <v>618.35516357421875</v>
      </c>
      <c r="AF118" s="122">
        <f>qPCR_Raw!X118</f>
        <v>27.883893966674805</v>
      </c>
      <c r="AG118" s="121" cm="1">
        <f t="array" ref="AG118">_xlfn.IFS(AF118="Undetermined", 0, qPCR_Raw!Y118&lt;=1, 0, qPCR_Raw!Y118&gt;1, qPCR_Raw!Y118)</f>
        <v>118.86716461181641</v>
      </c>
      <c r="AH118" s="123" cm="1">
        <f t="array" ref="AH118">_xlfn.IFS(AND(AD118="Undetermined", AF118="Undetermined"), "Undetermined", AND(AE118=0, AG118=0), "Undetermined", AND(AE118=0, AG118&gt;0), "Ten-Fold", AND(AE118&gt;0, AG118=0), "Undiluted", AND(AD118&lt;&gt;"Undetermined", AF118&lt;&gt;"Undetermined", AE118&gt;0, AG118&gt;0, AD118&lt;&gt;AF118), 100*(-1+10^(-1/(AD118-AF118))), AND(AD118&lt;&gt;"Undetermined", AF118&lt;&gt;"Undetermined", AD118=AF118&gt;0), -100)</f>
        <v>148.59805431197643</v>
      </c>
      <c r="AI118" s="124" cm="1">
        <f t="array" ref="AI118">_xlfn.IFS(AH118="Undetermined", 0, AH118="Undiluted", AE118*$G118/$F118*1000, AH118="Ten-Fold", AG118*$G118/$F118*1000*10, AH118&lt;0, AG118*$G118/$F118*1000*10, AH118&lt;120, AE118*$G118/$F118*1000, AH118&gt;120, AG118*$G118/$F118*1000*10)</f>
        <v>118867.16461181641</v>
      </c>
      <c r="AJ118" s="121">
        <f t="shared" si="25"/>
        <v>66771.347657093022</v>
      </c>
      <c r="AK118" s="121">
        <f t="shared" si="26"/>
        <v>73674.610880276057</v>
      </c>
      <c r="AL118" s="121">
        <f t="shared" si="27"/>
        <v>52095.816954723392</v>
      </c>
      <c r="AM118" s="125" cm="1">
        <f t="array" ref="AM118">_xlfn.IFS(AJ118="DELETE", "DELETE", AJ118=0, 0, AJ118&gt;0,LOG10(AJ118))</f>
        <v>4.8245901417589065</v>
      </c>
      <c r="AN118" s="126" cm="1">
        <f t="array" ref="AN118">_xlfn.IFS(AJ118="DELETE", "DELETE", AJ118=0, 0, AJ118&gt;0, AL118/AJ118/LN(10))</f>
        <v>0.33884183302498949</v>
      </c>
      <c r="AO118" s="155">
        <f>qPCR_Raw!AA118</f>
        <v>31.050369262695313</v>
      </c>
      <c r="AP118" s="156" cm="1">
        <f t="array" ref="AP118">_xlfn.IFS(AO118="Undetermined", 0, qPCR_Raw!AB118&lt;=6, 0, qPCR_Raw!AB118&gt;6, qPCR_Raw!AB118)</f>
        <v>0</v>
      </c>
      <c r="AQ118" s="157" t="str">
        <f>qPCR_Raw!AD118</f>
        <v>Undetermined</v>
      </c>
      <c r="AR118" s="156" cm="1">
        <f t="array" ref="AR118">_xlfn.IFS(AQ118="Undetermined", 0, qPCR_Raw!AE118&lt;=6, 0, qPCR_Raw!AE118&gt;6, qPCR_Raw!AE118)</f>
        <v>0</v>
      </c>
      <c r="AS118" s="158" t="str" cm="1">
        <f t="array" ref="AS118">_xlfn.IFS(AND(AO118="Undetermined", AQ118="Undetermined"), "Undetermined", AND(AP118=0, AR118=0), "Undetermined", AND(AP118=0, AR118&gt;0), "Ten-Fold", AND(AP118&gt;0, AR118=0), "Undiluted", AND(AO118&lt;&gt;"Undetermined", AQ118&lt;&gt;"Undetermined", AP118&gt;0, AR118&gt;0, AO118&lt;&gt;AQ118), 100*(-1+10^(-1/(AO118-AQ118))), AND(AO118&lt;&gt;"Undetermined", AQ118&lt;&gt;"Undetermined", AO118=AQ118&gt;0), -100)</f>
        <v>Undetermined</v>
      </c>
      <c r="AT118" s="159" cm="1">
        <f t="array" ref="AT118">_xlfn.IFS(AS118="Undetermined", 0, AS118="Undiluted", AP118*$G118/$F118*1000, AS118="Ten-Fold", AR118*$G118/$F118*1000*10, AS118&lt;0, AR118*$G118/$F118*1000*10, AS118&lt;120, AP118*$G118/$F118*1000, AS118&gt;120, AR118*$G118/$F118*1000*10)</f>
        <v>0</v>
      </c>
      <c r="AU118" s="156">
        <f t="shared" si="34"/>
        <v>0</v>
      </c>
      <c r="AV118" s="156">
        <f t="shared" si="35"/>
        <v>0</v>
      </c>
      <c r="AW118" s="156">
        <f t="shared" si="36"/>
        <v>0</v>
      </c>
      <c r="AX118" s="160" cm="1">
        <f t="array" ref="AX118">_xlfn.IFS(AU118="DELETE", "DELETE", AU118=0, 0, AU118&gt;0,LOG10(AU118))</f>
        <v>0</v>
      </c>
      <c r="AY118" s="161" cm="1">
        <f t="array" ref="AY118">_xlfn.IFS(AU118="DELETE", "DELETE", AU118=0, 0, AU118&gt;0, AW118/AU118/LN(10))</f>
        <v>0</v>
      </c>
      <c r="AZ118" s="120">
        <f>qPCR_Raw!AG118</f>
        <v>23.626861572265625</v>
      </c>
      <c r="BA118" s="121" cm="1">
        <f t="array" ref="BA118">_xlfn.IFS(AZ118="Undetermined", 0, qPCR_Raw!AH118&lt;=1, 0, qPCR_Raw!AH118&gt;1, qPCR_Raw!AH118)</f>
        <v>3525.028564453125</v>
      </c>
      <c r="BB118" s="122">
        <f>qPCR_Raw!AJ118</f>
        <v>24.744146347045898</v>
      </c>
      <c r="BC118" s="121" cm="1">
        <f t="array" ref="BC118">_xlfn.IFS(BB118="Undetermined", 0, qPCR_Raw!AK118&lt;=1, 0, qPCR_Raw!AK118&gt;1, qPCR_Raw!AK118)</f>
        <v>1762.106201171875</v>
      </c>
      <c r="BD118" s="123" cm="1">
        <f t="array" ref="BD118">_xlfn.IFS(AND(AZ118="Undetermined", BB118="Undetermined"), "Undetermined", AND(BA118=0, BC118=0), "Undetermined", AND(BA118=0, BC118&gt;0), "Ten-Fold", AND(BA118&gt;0, BC118=0), "Undiluted", AND(AZ118&lt;&gt;"Undetermined", BB118&lt;&gt;"Undetermined", BA118&gt;0, BC118&gt;0, AZ118&lt;&gt;BB118), 100*(-1+10^(-1/(AZ118-BB118))), AND(AZ118&lt;&gt;"Undetermined", BB118&lt;&gt;"Undetermined", AZ118=BB118&gt;0), -100)</f>
        <v>685.28438914328478</v>
      </c>
      <c r="BE118" s="124" cm="1">
        <f t="array" ref="BE118">_xlfn.IFS(BD118="Undetermined", 0, BD118="Undiluted", BA118*$G118/$F118*1000, BD118="Ten-Fold", BC118*$G118/$F118*1000*10, BD118&lt;0, BC118*$G118/$F118*1000*10, BD118&lt;120, BA118*$G118/$F118*1000, BD118&gt;120, BC118*$G118/$F118*1000*10)</f>
        <v>1762106.201171875</v>
      </c>
      <c r="BF118" s="121">
        <f t="shared" si="31"/>
        <v>1283609.8329322773</v>
      </c>
      <c r="BG118" s="121">
        <f t="shared" si="32"/>
        <v>676696.05351070967</v>
      </c>
      <c r="BH118" s="121">
        <f t="shared" si="33"/>
        <v>478496.36823959759</v>
      </c>
      <c r="BI118" s="125" cm="1">
        <f t="array" ref="BI118">_xlfn.IFS(BF118="DELETE", "DELETE", BF118=0, 0, BF118&gt;0,LOG10(BF118))</f>
        <v>6.1084330352946665</v>
      </c>
      <c r="BJ118" s="126" cm="1">
        <f t="array" ref="BJ118">_xlfn.IFS(BF118="DELETE", "DELETE", BF118=0, 0, BF118&gt;0, BH118/BF118/LN(10))</f>
        <v>0.16189368997157527</v>
      </c>
    </row>
    <row r="119" spans="1:62" s="114" customFormat="1" x14ac:dyDescent="0.3">
      <c r="A119" s="115" t="str">
        <f>UPPER(LEFT(SUBSTITUTE(SUBSTITUTE(qPCR_Raw!A119,"-","")," ",""),2))&amp;RIGHT(SUBSTITUTE(SUBSTITUTE(qPCR_Raw!A119,"-","")," ",""),LEN(SUBSTITUTE(SUBSTITUTE(qPCR_Raw!A119,"-","")," ",""))-2)</f>
        <v>RC7</v>
      </c>
      <c r="B119" s="116" t="str" cm="1">
        <f t="array" ref="B119">_xlfn.IFS(LEFT(A119, LEN(A119)-1)="EP", "EP", LEFT(A119, LEN(A119)-1)="STa", "SPI", LEFT(A119, LEN(A119)-1)="STb", "SPO", LEFT(A119, LEN(A119)-1)="MRT", "MRT", LEFT(A119, LEN(A119)-1)="RG", "RN", LEFT(A119, LEN(A119)-1)="RT", "RU", LEFT(A119, LEN(A119)-1)="RW", "RL", LEFT(A119, LEN(A119)-1)="RC", "RS")</f>
        <v>RS</v>
      </c>
      <c r="C119" s="117">
        <f>qPCR_Raw!B119</f>
        <v>44385</v>
      </c>
      <c r="D119" s="117" t="str">
        <f t="shared" si="17"/>
        <v>RS44385</v>
      </c>
      <c r="E119" s="117" t="str">
        <f t="shared" si="18"/>
        <v>RS443857</v>
      </c>
      <c r="F119" s="118">
        <f>qPCR_Raw!C119</f>
        <v>905</v>
      </c>
      <c r="G119" s="119">
        <f>qPCR_Raw!F119</f>
        <v>100</v>
      </c>
      <c r="H119" s="120">
        <f>qPCR_Raw!G119</f>
        <v>13.869021415710449</v>
      </c>
      <c r="I119" s="121" cm="1">
        <f t="array" ref="I119">_xlfn.IFS(H119="Undetermined", 0, qPCR_Raw!H119-qPCR_Raw!$H$242&lt;0, 0, qPCR_Raw!H119-qPCR_Raw!$H$242&gt;0, qPCR_Raw!H119-qPCR_Raw!$H$242)</f>
        <v>5064982.8614461264</v>
      </c>
      <c r="J119" s="122">
        <f>qPCR_Raw!K119</f>
        <v>17.047136306762695</v>
      </c>
      <c r="K119" s="121" cm="1">
        <f t="array" ref="K119">_xlfn.IFS(J119="Undetermined", 0, qPCR_Raw!L119-qPCR_Raw!$H$242&lt;0, 0, qPCR_Raw!L119-qPCR_Raw!$H$242&gt;0, qPCR_Raw!L119-qPCR_Raw!$H$242)</f>
        <v>637951.79894612625</v>
      </c>
      <c r="L119" s="123" cm="1">
        <f t="array" ref="L119">_xlfn.IFS(AND(H119="Undetermined", J119="Undetermined"), "Undetermined", AND(I119=0, K119=0), "Undetermined", AND(I119=0, K119&gt;0), "Ten-Fold", AND(I119&gt;0, K119=0), "Undiluted", AND(H119&lt;&gt;"Undetermined", J119&lt;&gt;"Undetermined", I119&gt;0, K119&gt;0), 100*(-1+10^(-1/(H119-J119))))</f>
        <v>106.37255213299488</v>
      </c>
      <c r="M119" s="124" cm="1">
        <f t="array" ref="M119">_xlfn.IFS(L119="Undetermined", 0, L119="Undiluted", I119*$G119/$F119*1000, L119="Ten-Fold", K119*$G119/$F119*1000*10, L119&lt;0, K119*$G119/$F119*1000*10, L119&lt;120, I119*$G119/$F119*1000, L119&gt;120, K119*$G119/$F119*1000*10)</f>
        <v>559666614.52443385</v>
      </c>
      <c r="N119" s="121" t="str">
        <f t="shared" si="19"/>
        <v>DELETE</v>
      </c>
      <c r="O119" s="121" t="str">
        <f t="shared" si="20"/>
        <v>DELETE</v>
      </c>
      <c r="P119" s="121" t="str">
        <f t="shared" si="21"/>
        <v>DELETE</v>
      </c>
      <c r="Q119" s="125" t="str" cm="1">
        <f t="array" ref="Q119">_xlfn.IFS(N119="DELETE", "DELETE", N119=0, 0, N119&gt;0,LOG10(N119))</f>
        <v>DELETE</v>
      </c>
      <c r="R119" s="126" t="str" cm="1">
        <f t="array" ref="R119">_xlfn.IFS(N119="DELETE", "DELETE", N119=0, 0, N119&gt;0, P119/N119/LN(10))</f>
        <v>DELETE</v>
      </c>
      <c r="S119" s="155">
        <f>qPCR_Raw!O119</f>
        <v>28.621360778808594</v>
      </c>
      <c r="T119" s="156" cm="1">
        <f t="array" ref="T119">_xlfn.IFS(S119="Undetermined", 0, qPCR_Raw!P119&lt;=1, 0, qPCR_Raw!P119&gt;1, qPCR_Raw!P119)</f>
        <v>381.58761596679688</v>
      </c>
      <c r="U119" s="157">
        <f>qPCR_Raw!R119</f>
        <v>31.979305267333984</v>
      </c>
      <c r="V119" s="156" cm="1">
        <f t="array" ref="V119">_xlfn.IFS(U119="Undetermined", 0, qPCR_Raw!S119&lt;=1, 0, qPCR_Raw!S119&gt;1, qPCR_Raw!S119)</f>
        <v>46.080913543701172</v>
      </c>
      <c r="W119" s="158" cm="1">
        <f t="array" ref="W119">_xlfn.IFS(AND(S119="Undetermined", U119="Undetermined"), "Undetermined", AND(T119=0, V119=0), "Undetermined", AND(T119=0, V119&gt;0), "Ten-Fold", AND(T119&gt;0, V119=0), "Undiluted", AND(S119&lt;&gt;"Undetermined", U119&lt;&gt;"Undetermined", T119&gt;0, V119&gt;0, S119&lt;&gt;U119), 100*(-1+10^(-1/(S119-U119))), AND(S119&lt;&gt;"Undetermined", U119&lt;&gt;"Undetermined", S119=U119&gt;0), -100)</f>
        <v>98.518612123539867</v>
      </c>
      <c r="X119" s="159" cm="1">
        <f t="array" ref="X119">_xlfn.IFS(W119="Undetermined", 0, W119="Undiluted", T119*$G119/$F119*1000, W119="Ten-Fold", V119*$G119/$F119*1000*10, W119&lt;0, V119*$G119/$F119*1000*10, W119&lt;120, T119*$G119/$F119*1000, W119&gt;120, V119*$G119/$F119*1000*10)</f>
        <v>42164.377454894682</v>
      </c>
      <c r="Y119" s="156" t="str">
        <f t="shared" si="22"/>
        <v>DELETE</v>
      </c>
      <c r="Z119" s="156" t="str">
        <f t="shared" si="23"/>
        <v>DELETE</v>
      </c>
      <c r="AA119" s="156" t="str">
        <f t="shared" si="24"/>
        <v>DELETE</v>
      </c>
      <c r="AB119" s="160" t="str" cm="1">
        <f t="array" ref="AB119">_xlfn.IFS(Y119="DELETE", "DELETE", Y119=0, 0, Y119&gt;0,LOG10(Y119))</f>
        <v>DELETE</v>
      </c>
      <c r="AC119" s="161" t="str" cm="1">
        <f t="array" ref="AC119">_xlfn.IFS(Y119="DELETE", "DELETE", Y119=0, 0, Y119&gt;0, AA119/Y119/LN(10))</f>
        <v>DELETE</v>
      </c>
      <c r="AD119" s="120">
        <f>qPCR_Raw!U119</f>
        <v>27.71379280090332</v>
      </c>
      <c r="AE119" s="121" cm="1">
        <f t="array" ref="AE119">_xlfn.IFS(AD119="Undetermined", 0, qPCR_Raw!V119&lt;=1, 0, qPCR_Raw!V119&gt;1, qPCR_Raw!V119)</f>
        <v>132.81355285644531</v>
      </c>
      <c r="AF119" s="122">
        <f>qPCR_Raw!X119</f>
        <v>30.837604522705078</v>
      </c>
      <c r="AG119" s="121" cm="1">
        <f t="array" ref="AG119">_xlfn.IFS(AF119="Undetermined", 0, qPCR_Raw!Y119&lt;=1, 0, qPCR_Raw!Y119&gt;1, qPCR_Raw!Y119)</f>
        <v>17.315505981445313</v>
      </c>
      <c r="AH119" s="123" cm="1">
        <f t="array" ref="AH119">_xlfn.IFS(AND(AD119="Undetermined", AF119="Undetermined"), "Undetermined", AND(AE119=0, AG119=0), "Undetermined", AND(AE119=0, AG119&gt;0), "Ten-Fold", AND(AE119&gt;0, AG119=0), "Undiluted", AND(AD119&lt;&gt;"Undetermined", AF119&lt;&gt;"Undetermined", AE119&gt;0, AG119&gt;0, AD119&lt;&gt;AF119), 100*(-1+10^(-1/(AD119-AF119))), AND(AD119&lt;&gt;"Undetermined", AF119&lt;&gt;"Undetermined", AD119=AF119&gt;0), -100)</f>
        <v>108.9881810067015</v>
      </c>
      <c r="AI119" s="124" cm="1">
        <f t="array" ref="AI119">_xlfn.IFS(AH119="Undetermined", 0, AH119="Undiluted", AE119*$G119/$F119*1000, AH119="Ten-Fold", AG119*$G119/$F119*1000*10, AH119&lt;0, AG119*$G119/$F119*1000*10, AH119&lt;120, AE119*$G119/$F119*1000, AH119&gt;120, AG119*$G119/$F119*1000*10)</f>
        <v>14675.530702369648</v>
      </c>
      <c r="AJ119" s="121" t="str">
        <f t="shared" si="25"/>
        <v>DELETE</v>
      </c>
      <c r="AK119" s="121" t="str">
        <f t="shared" si="26"/>
        <v>DELETE</v>
      </c>
      <c r="AL119" s="121" t="str">
        <f t="shared" si="27"/>
        <v>DELETE</v>
      </c>
      <c r="AM119" s="125" t="str" cm="1">
        <f t="array" ref="AM119">_xlfn.IFS(AJ119="DELETE", "DELETE", AJ119=0, 0, AJ119&gt;0,LOG10(AJ119))</f>
        <v>DELETE</v>
      </c>
      <c r="AN119" s="126" t="str" cm="1">
        <f t="array" ref="AN119">_xlfn.IFS(AJ119="DELETE", "DELETE", AJ119=0, 0, AJ119&gt;0, AL119/AJ119/LN(10))</f>
        <v>DELETE</v>
      </c>
      <c r="AO119" s="155">
        <f>qPCR_Raw!AA119</f>
        <v>30.785818099975586</v>
      </c>
      <c r="AP119" s="156" cm="1">
        <f t="array" ref="AP119">_xlfn.IFS(AO119="Undetermined", 0, qPCR_Raw!AB119&lt;=6, 0, qPCR_Raw!AB119&gt;6, qPCR_Raw!AB119)</f>
        <v>0</v>
      </c>
      <c r="AQ119" s="157" t="str">
        <f>qPCR_Raw!AD119</f>
        <v>Undetermined</v>
      </c>
      <c r="AR119" s="156" cm="1">
        <f t="array" ref="AR119">_xlfn.IFS(AQ119="Undetermined", 0, qPCR_Raw!AE119&lt;=6, 0, qPCR_Raw!AE119&gt;6, qPCR_Raw!AE119)</f>
        <v>0</v>
      </c>
      <c r="AS119" s="158" t="str" cm="1">
        <f t="array" ref="AS119">_xlfn.IFS(AND(AO119="Undetermined", AQ119="Undetermined"), "Undetermined", AND(AP119=0, AR119=0), "Undetermined", AND(AP119=0, AR119&gt;0), "Ten-Fold", AND(AP119&gt;0, AR119=0), "Undiluted", AND(AO119&lt;&gt;"Undetermined", AQ119&lt;&gt;"Undetermined", AP119&gt;0, AR119&gt;0, AO119&lt;&gt;AQ119), 100*(-1+10^(-1/(AO119-AQ119))), AND(AO119&lt;&gt;"Undetermined", AQ119&lt;&gt;"Undetermined", AO119=AQ119&gt;0), -100)</f>
        <v>Undetermined</v>
      </c>
      <c r="AT119" s="159" cm="1">
        <f t="array" ref="AT119">_xlfn.IFS(AS119="Undetermined", 0, AS119="Undiluted", AP119*$G119/$F119*1000, AS119="Ten-Fold", AR119*$G119/$F119*1000*10, AS119&lt;0, AR119*$G119/$F119*1000*10, AS119&lt;120, AP119*$G119/$F119*1000, AS119&gt;120, AR119*$G119/$F119*1000*10)</f>
        <v>0</v>
      </c>
      <c r="AU119" s="156" t="str">
        <f t="shared" si="34"/>
        <v>DELETE</v>
      </c>
      <c r="AV119" s="156" t="str">
        <f t="shared" si="35"/>
        <v>DELETE</v>
      </c>
      <c r="AW119" s="156" t="str">
        <f t="shared" si="36"/>
        <v>DELETE</v>
      </c>
      <c r="AX119" s="160" t="str" cm="1">
        <f t="array" ref="AX119">_xlfn.IFS(AU119="DELETE", "DELETE", AU119=0, 0, AU119&gt;0,LOG10(AU119))</f>
        <v>DELETE</v>
      </c>
      <c r="AY119" s="161" t="str" cm="1">
        <f t="array" ref="AY119">_xlfn.IFS(AU119="DELETE", "DELETE", AU119=0, 0, AU119&gt;0, AW119/AU119/LN(10))</f>
        <v>DELETE</v>
      </c>
      <c r="AZ119" s="120">
        <f>qPCR_Raw!AG119</f>
        <v>22.456844329833984</v>
      </c>
      <c r="BA119" s="121" cm="1">
        <f t="array" ref="BA119">_xlfn.IFS(AZ119="Undetermined", 0, qPCR_Raw!AH119&lt;=1, 0, qPCR_Raw!AH119&gt;1, qPCR_Raw!AH119)</f>
        <v>7286.27685546875</v>
      </c>
      <c r="BB119" s="122">
        <f>qPCR_Raw!AJ119</f>
        <v>26.048336029052734</v>
      </c>
      <c r="BC119" s="121" cm="1">
        <f t="array" ref="BC119">_xlfn.IFS(BB119="Undetermined", 0, qPCR_Raw!AK119&lt;=1, 0, qPCR_Raw!AK119&gt;1, qPCR_Raw!AK119)</f>
        <v>784.38067626953125</v>
      </c>
      <c r="BD119" s="123" cm="1">
        <f t="array" ref="BD119">_xlfn.IFS(AND(AZ119="Undetermined", BB119="Undetermined"), "Undetermined", AND(BA119=0, BC119=0), "Undetermined", AND(BA119=0, BC119&gt;0), "Ten-Fold", AND(BA119&gt;0, BC119=0), "Undiluted", AND(AZ119&lt;&gt;"Undetermined", BB119&lt;&gt;"Undetermined", BA119&gt;0, BC119&gt;0, AZ119&lt;&gt;BB119), 100*(-1+10^(-1/(AZ119-BB119))), AND(AZ119&lt;&gt;"Undetermined", BB119&lt;&gt;"Undetermined", AZ119=BB119&gt;0), -100)</f>
        <v>89.861032245918324</v>
      </c>
      <c r="BE119" s="124" cm="1">
        <f t="array" ref="BE119">_xlfn.IFS(BD119="Undetermined", 0, BD119="Undiluted", BA119*$G119/$F119*1000, BD119="Ten-Fold", BC119*$G119/$F119*1000*10, BD119&lt;0, BC119*$G119/$F119*1000*10, BD119&lt;120, BA119*$G119/$F119*1000, BD119&gt;120, BC119*$G119/$F119*1000*10)</f>
        <v>805113.46469267958</v>
      </c>
      <c r="BF119" s="121" t="str">
        <f t="shared" si="31"/>
        <v>DELETE</v>
      </c>
      <c r="BG119" s="121" t="str">
        <f t="shared" si="32"/>
        <v>DELETE</v>
      </c>
      <c r="BH119" s="121" t="str">
        <f t="shared" si="33"/>
        <v>DELETE</v>
      </c>
      <c r="BI119" s="125" t="str" cm="1">
        <f t="array" ref="BI119">_xlfn.IFS(BF119="DELETE", "DELETE", BF119=0, 0, BF119&gt;0,LOG10(BF119))</f>
        <v>DELETE</v>
      </c>
      <c r="BJ119" s="126" t="str" cm="1">
        <f t="array" ref="BJ119">_xlfn.IFS(BF119="DELETE", "DELETE", BF119=0, 0, BF119&gt;0, BH119/BF119/LN(10))</f>
        <v>DELETE</v>
      </c>
    </row>
    <row r="120" spans="1:62" s="114" customFormat="1" x14ac:dyDescent="0.3">
      <c r="A120" s="115" t="str">
        <f>UPPER(LEFT(SUBSTITUTE(SUBSTITUTE(qPCR_Raw!A120,"-","")," ",""),2))&amp;RIGHT(SUBSTITUTE(SUBSTITUTE(qPCR_Raw!A120,"-","")," ",""),LEN(SUBSTITUTE(SUBSTITUTE(qPCR_Raw!A120,"-","")," ",""))-2)</f>
        <v>RG6</v>
      </c>
      <c r="B120" s="116" t="str" cm="1">
        <f t="array" ref="B120">_xlfn.IFS(LEFT(A120, LEN(A120)-1)="EP", "EP", LEFT(A120, LEN(A120)-1)="STa", "SPI", LEFT(A120, LEN(A120)-1)="STb", "SPO", LEFT(A120, LEN(A120)-1)="MRT", "MRT", LEFT(A120, LEN(A120)-1)="RG", "RN", LEFT(A120, LEN(A120)-1)="RT", "RU", LEFT(A120, LEN(A120)-1)="RW", "RL", LEFT(A120, LEN(A120)-1)="RC", "RS")</f>
        <v>RN</v>
      </c>
      <c r="C120" s="117">
        <f>qPCR_Raw!B120</f>
        <v>44385</v>
      </c>
      <c r="D120" s="117" t="str">
        <f t="shared" si="17"/>
        <v>RN44385</v>
      </c>
      <c r="E120" s="117" t="str">
        <f t="shared" si="18"/>
        <v>RN443856</v>
      </c>
      <c r="F120" s="118">
        <f>qPCR_Raw!C120</f>
        <v>900</v>
      </c>
      <c r="G120" s="119">
        <f>qPCR_Raw!F120</f>
        <v>100</v>
      </c>
      <c r="H120" s="120">
        <f>qPCR_Raw!G120</f>
        <v>13.526464462280273</v>
      </c>
      <c r="I120" s="121" cm="1">
        <f t="array" ref="I120">_xlfn.IFS(H120="Undetermined", 0, qPCR_Raw!H120-qPCR_Raw!$H$242&lt;0, 0, qPCR_Raw!H120-qPCR_Raw!$H$242&gt;0, qPCR_Raw!H120-qPCR_Raw!$H$242)</f>
        <v>6323547.3614461264</v>
      </c>
      <c r="J120" s="122">
        <f>qPCR_Raw!K120</f>
        <v>16.571016311645508</v>
      </c>
      <c r="K120" s="121" cm="1">
        <f t="array" ref="K120">_xlfn.IFS(J120="Undetermined", 0, qPCR_Raw!L120-qPCR_Raw!$H$242&lt;0, 0, qPCR_Raw!L120-qPCR_Raw!$H$242&gt;0, qPCR_Raw!L120-qPCR_Raw!$H$242)</f>
        <v>872525.29894612625</v>
      </c>
      <c r="L120" s="123" cm="1">
        <f t="array" ref="L120">_xlfn.IFS(AND(H120="Undetermined", J120="Undetermined"), "Undetermined", AND(I120=0, K120=0), "Undetermined", AND(I120=0, K120&gt;0), "Ten-Fold", AND(I120&gt;0, K120=0), "Undiluted", AND(H120&lt;&gt;"Undetermined", J120&lt;&gt;"Undetermined", I120&gt;0, K120&gt;0), 100*(-1+10^(-1/(H120-J120))))</f>
        <v>113.0372589990976</v>
      </c>
      <c r="M120" s="124" cm="1">
        <f t="array" ref="M120">_xlfn.IFS(L120="Undetermined", 0, L120="Undiluted", I120*$G120/$F120*1000, L120="Ten-Fold", K120*$G120/$F120*1000*10, L120&lt;0, K120*$G120/$F120*1000*10, L120&lt;120, I120*$G120/$F120*1000, L120&gt;120, K120*$G120/$F120*1000*10)</f>
        <v>702616373.49401402</v>
      </c>
      <c r="N120" s="121">
        <f t="shared" si="19"/>
        <v>552362214.71622205</v>
      </c>
      <c r="O120" s="121">
        <f t="shared" si="20"/>
        <v>212491469.14651397</v>
      </c>
      <c r="P120" s="121">
        <f t="shared" si="21"/>
        <v>150254158.77779207</v>
      </c>
      <c r="Q120" s="125" cm="1">
        <f t="array" ref="Q120">_xlfn.IFS(N120="DELETE", "DELETE", N120=0, 0, N120&gt;0,LOG10(N120))</f>
        <v>8.7422239622644788</v>
      </c>
      <c r="R120" s="126" cm="1">
        <f t="array" ref="R120">_xlfn.IFS(N120="DELETE", "DELETE", N120=0, 0, N120&gt;0, P120/N120/LN(10))</f>
        <v>0.1181372481709939</v>
      </c>
      <c r="S120" s="155">
        <f>qPCR_Raw!O120</f>
        <v>34.7249755859375</v>
      </c>
      <c r="T120" s="156" cm="1">
        <f t="array" ref="T120">_xlfn.IFS(S120="Undetermined", 0, qPCR_Raw!P120&lt;=1, 0, qPCR_Raw!P120&gt;1, qPCR_Raw!P120)</f>
        <v>8.1817407608032227</v>
      </c>
      <c r="U120" s="157">
        <f>qPCR_Raw!R120</f>
        <v>37.845359802246094</v>
      </c>
      <c r="V120" s="156" cm="1">
        <f t="array" ref="V120">_xlfn.IFS(U120="Undetermined", 0, qPCR_Raw!S120&lt;=1, 0, qPCR_Raw!S120&gt;1, qPCR_Raw!S120)</f>
        <v>1.1474196910858154</v>
      </c>
      <c r="W120" s="158" cm="1">
        <f t="array" ref="W120">_xlfn.IFS(AND(S120="Undetermined", U120="Undetermined"), "Undetermined", AND(T120=0, V120=0), "Undetermined", AND(T120=0, V120&gt;0), "Ten-Fold", AND(T120&gt;0, V120=0), "Undiluted", AND(S120&lt;&gt;"Undetermined", U120&lt;&gt;"Undetermined", T120&gt;0, V120&gt;0, S120&lt;&gt;U120), 100*(-1+10^(-1/(S120-U120))), AND(S120&lt;&gt;"Undetermined", U120&lt;&gt;"Undetermined", S120=U120&gt;0), -100)</f>
        <v>109.15745821109826</v>
      </c>
      <c r="X120" s="159" cm="1">
        <f t="array" ref="X120">_xlfn.IFS(W120="Undetermined", 0, W120="Undiluted", T120*$G120/$F120*1000, W120="Ten-Fold", V120*$G120/$F120*1000*10, W120&lt;0, V120*$G120/$F120*1000*10, W120&lt;120, T120*$G120/$F120*1000, W120&gt;120, V120*$G120/$F120*1000*10)</f>
        <v>909.08230675591358</v>
      </c>
      <c r="Y120" s="156">
        <f t="shared" si="22"/>
        <v>696.10249806964202</v>
      </c>
      <c r="Z120" s="156">
        <f t="shared" si="23"/>
        <v>301.19893395575258</v>
      </c>
      <c r="AA120" s="156">
        <f t="shared" si="24"/>
        <v>212.9798086862717</v>
      </c>
      <c r="AB120" s="160" cm="1">
        <f t="array" ref="AB120">_xlfn.IFS(Y120="DELETE", "DELETE", Y120=0, 0, Y120&gt;0,LOG10(Y120))</f>
        <v>2.8426731922953588</v>
      </c>
      <c r="AC120" s="161" cm="1">
        <f t="array" ref="AC120">_xlfn.IFS(Y120="DELETE", "DELETE", Y120=0, 0, Y120&gt;0, AA120/Y120/LN(10))</f>
        <v>0.13287691959985501</v>
      </c>
      <c r="AD120" s="120">
        <f>qPCR_Raw!U120</f>
        <v>26.205265045166016</v>
      </c>
      <c r="AE120" s="121" cm="1">
        <f t="array" ref="AE120">_xlfn.IFS(AD120="Undetermined", 0, qPCR_Raw!V120&lt;=1, 0, qPCR_Raw!V120&gt;1, qPCR_Raw!V120)</f>
        <v>355.24407958984375</v>
      </c>
      <c r="AF120" s="122">
        <f>qPCR_Raw!X120</f>
        <v>28.941120147705078</v>
      </c>
      <c r="AG120" s="121" cm="1">
        <f t="array" ref="AG120">_xlfn.IFS(AF120="Undetermined", 0, qPCR_Raw!Y120&lt;=1, 0, qPCR_Raw!Y120&gt;1, qPCR_Raw!Y120)</f>
        <v>59.649501800537109</v>
      </c>
      <c r="AH120" s="123" cm="1">
        <f t="array" ref="AH120">_xlfn.IFS(AND(AD120="Undetermined", AF120="Undetermined"), "Undetermined", AND(AE120=0, AG120=0), "Undetermined", AND(AE120=0, AG120&gt;0), "Ten-Fold", AND(AE120&gt;0, AG120=0), "Undiluted", AND(AD120&lt;&gt;"Undetermined", AF120&lt;&gt;"Undetermined", AE120&gt;0, AG120&gt;0, AD120&lt;&gt;AF120), 100*(-1+10^(-1/(AD120-AF120))), AND(AD120&lt;&gt;"Undetermined", AF120&lt;&gt;"Undetermined", AD120=AF120&gt;0), -100)</f>
        <v>132.01519780517822</v>
      </c>
      <c r="AI120" s="124" cm="1">
        <f t="array" ref="AI120">_xlfn.IFS(AH120="Undetermined", 0, AH120="Undiluted", AE120*$G120/$F120*1000, AH120="Ten-Fold", AG120*$G120/$F120*1000*10, AH120&lt;0, AG120*$G120/$F120*1000*10, AH120&lt;120, AE120*$G120/$F120*1000, AH120&gt;120, AG120*$G120/$F120*1000*10)</f>
        <v>66277.224222819015</v>
      </c>
      <c r="AJ120" s="121">
        <f t="shared" si="25"/>
        <v>50417.907242547903</v>
      </c>
      <c r="AK120" s="121">
        <f t="shared" si="26"/>
        <v>22428.461163473305</v>
      </c>
      <c r="AL120" s="121">
        <f t="shared" si="27"/>
        <v>15859.316980271096</v>
      </c>
      <c r="AM120" s="125" cm="1">
        <f t="array" ref="AM120">_xlfn.IFS(AJ120="DELETE", "DELETE", AJ120=0, 0, AJ120&gt;0,LOG10(AJ120))</f>
        <v>4.7025848149247986</v>
      </c>
      <c r="AN120" s="126" cm="1">
        <f t="array" ref="AN120">_xlfn.IFS(AJ120="DELETE", "DELETE", AJ120=0, 0, AJ120&gt;0, AL120/AJ120/LN(10))</f>
        <v>0.13661046695476067</v>
      </c>
      <c r="AO120" s="155">
        <f>qPCR_Raw!AA120</f>
        <v>30.948591232299805</v>
      </c>
      <c r="AP120" s="156" cm="1">
        <f t="array" ref="AP120">_xlfn.IFS(AO120="Undetermined", 0, qPCR_Raw!AB120&lt;=6, 0, qPCR_Raw!AB120&gt;6, qPCR_Raw!AB120)</f>
        <v>0</v>
      </c>
      <c r="AQ120" s="157" t="str">
        <f>qPCR_Raw!AD120</f>
        <v>Undetermined</v>
      </c>
      <c r="AR120" s="156" cm="1">
        <f t="array" ref="AR120">_xlfn.IFS(AQ120="Undetermined", 0, qPCR_Raw!AE120&lt;=6, 0, qPCR_Raw!AE120&gt;6, qPCR_Raw!AE120)</f>
        <v>0</v>
      </c>
      <c r="AS120" s="158" t="str" cm="1">
        <f t="array" ref="AS120">_xlfn.IFS(AND(AO120="Undetermined", AQ120="Undetermined"), "Undetermined", AND(AP120=0, AR120=0), "Undetermined", AND(AP120=0, AR120&gt;0), "Ten-Fold", AND(AP120&gt;0, AR120=0), "Undiluted", AND(AO120&lt;&gt;"Undetermined", AQ120&lt;&gt;"Undetermined", AP120&gt;0, AR120&gt;0, AO120&lt;&gt;AQ120), 100*(-1+10^(-1/(AO120-AQ120))), AND(AO120&lt;&gt;"Undetermined", AQ120&lt;&gt;"Undetermined", AO120=AQ120&gt;0), -100)</f>
        <v>Undetermined</v>
      </c>
      <c r="AT120" s="159" cm="1">
        <f t="array" ref="AT120">_xlfn.IFS(AS120="Undetermined", 0, AS120="Undiluted", AP120*$G120/$F120*1000, AS120="Ten-Fold", AR120*$G120/$F120*1000*10, AS120&lt;0, AR120*$G120/$F120*1000*10, AS120&lt;120, AP120*$G120/$F120*1000, AS120&gt;120, AR120*$G120/$F120*1000*10)</f>
        <v>0</v>
      </c>
      <c r="AU120" s="156">
        <f t="shared" si="34"/>
        <v>0</v>
      </c>
      <c r="AV120" s="156">
        <f t="shared" si="35"/>
        <v>0</v>
      </c>
      <c r="AW120" s="156">
        <f t="shared" si="36"/>
        <v>0</v>
      </c>
      <c r="AX120" s="160" cm="1">
        <f t="array" ref="AX120">_xlfn.IFS(AU120="DELETE", "DELETE", AU120=0, 0, AU120&gt;0,LOG10(AU120))</f>
        <v>0</v>
      </c>
      <c r="AY120" s="161" cm="1">
        <f t="array" ref="AY120">_xlfn.IFS(AU120="DELETE", "DELETE", AU120=0, 0, AU120&gt;0, AW120/AU120/LN(10))</f>
        <v>0</v>
      </c>
      <c r="AZ120" s="120">
        <f>qPCR_Raw!AG120</f>
        <v>19.322641372680664</v>
      </c>
      <c r="BA120" s="121" cm="1">
        <f t="array" ref="BA120">_xlfn.IFS(AZ120="Undetermined", 0, qPCR_Raw!AH120&lt;=1, 0, qPCR_Raw!AH120&gt;1, qPCR_Raw!AH120)</f>
        <v>50960.7734375</v>
      </c>
      <c r="BB120" s="122">
        <f>qPCR_Raw!AJ120</f>
        <v>23.376405715942383</v>
      </c>
      <c r="BC120" s="121" cm="1">
        <f t="array" ref="BC120">_xlfn.IFS(BB120="Undetermined", 0, qPCR_Raw!AK120&lt;=1, 0, qPCR_Raw!AK120&gt;1, qPCR_Raw!AK120)</f>
        <v>4117.80224609375</v>
      </c>
      <c r="BD120" s="123" cm="1">
        <f t="array" ref="BD120">_xlfn.IFS(AND(AZ120="Undetermined", BB120="Undetermined"), "Undetermined", AND(BA120=0, BC120=0), "Undetermined", AND(BA120=0, BC120&gt;0), "Ten-Fold", AND(BA120&gt;0, BC120=0), "Undiluted", AND(AZ120&lt;&gt;"Undetermined", BB120&lt;&gt;"Undetermined", BA120&gt;0, BC120&gt;0, AZ120&lt;&gt;BB120), 100*(-1+10^(-1/(AZ120-BB120))), AND(AZ120&lt;&gt;"Undetermined", BB120&lt;&gt;"Undetermined", AZ120=BB120&gt;0), -100)</f>
        <v>76.475448874043366</v>
      </c>
      <c r="BE120" s="124" cm="1">
        <f t="array" ref="BE120">_xlfn.IFS(BD120="Undetermined", 0, BD120="Undiluted", BA120*$G120/$F120*1000, BD120="Ten-Fold", BC120*$G120/$F120*1000*10, BD120&lt;0, BC120*$G120/$F120*1000*10, BD120&lt;120, BA120*$G120/$F120*1000, BD120&gt;120, BC120*$G120/$F120*1000*10)</f>
        <v>5662308.1597222229</v>
      </c>
      <c r="BF120" s="121">
        <f t="shared" si="31"/>
        <v>3831470.7093253974</v>
      </c>
      <c r="BG120" s="121">
        <f t="shared" si="32"/>
        <v>2589195.1528517692</v>
      </c>
      <c r="BH120" s="121">
        <f t="shared" si="33"/>
        <v>1830837.4503968253</v>
      </c>
      <c r="BI120" s="125" cm="1">
        <f t="array" ref="BI120">_xlfn.IFS(BF120="DELETE", "DELETE", BF120=0, 0, BF120&gt;0,LOG10(BF120))</f>
        <v>6.583365509828246</v>
      </c>
      <c r="BJ120" s="126" cm="1">
        <f t="array" ref="BJ120">_xlfn.IFS(BF120="DELETE", "DELETE", BF120=0, 0, BF120&gt;0, BH120/BF120/LN(10))</f>
        <v>0.20752412383942145</v>
      </c>
    </row>
    <row r="121" spans="1:62" s="114" customFormat="1" x14ac:dyDescent="0.3">
      <c r="A121" s="115" t="str">
        <f>UPPER(LEFT(SUBSTITUTE(SUBSTITUTE(qPCR_Raw!A121,"-","")," ",""),2))&amp;RIGHT(SUBSTITUTE(SUBSTITUTE(qPCR_Raw!A121,"-","")," ",""),LEN(SUBSTITUTE(SUBSTITUTE(qPCR_Raw!A121,"-","")," ",""))-2)</f>
        <v>RG7</v>
      </c>
      <c r="B121" s="116" t="str" cm="1">
        <f t="array" ref="B121">_xlfn.IFS(LEFT(A121, LEN(A121)-1)="EP", "EP", LEFT(A121, LEN(A121)-1)="STa", "SPI", LEFT(A121, LEN(A121)-1)="STb", "SPO", LEFT(A121, LEN(A121)-1)="MRT", "MRT", LEFT(A121, LEN(A121)-1)="RG", "RN", LEFT(A121, LEN(A121)-1)="RT", "RU", LEFT(A121, LEN(A121)-1)="RW", "RL", LEFT(A121, LEN(A121)-1)="RC", "RS")</f>
        <v>RN</v>
      </c>
      <c r="C121" s="117">
        <f>qPCR_Raw!B121</f>
        <v>44385</v>
      </c>
      <c r="D121" s="117" t="str">
        <f t="shared" si="17"/>
        <v>RN44385</v>
      </c>
      <c r="E121" s="117" t="str">
        <f t="shared" si="18"/>
        <v>RN443857</v>
      </c>
      <c r="F121" s="118">
        <f>qPCR_Raw!C121</f>
        <v>875</v>
      </c>
      <c r="G121" s="119">
        <f>qPCR_Raw!F121</f>
        <v>100</v>
      </c>
      <c r="H121" s="120">
        <f>qPCR_Raw!G121</f>
        <v>15.122015953063965</v>
      </c>
      <c r="I121" s="121" cm="1">
        <f t="array" ref="I121">_xlfn.IFS(H121="Undetermined", 0, qPCR_Raw!H121-qPCR_Raw!$H$242&lt;0, 0, qPCR_Raw!H121-qPCR_Raw!$H$242&gt;0, qPCR_Raw!H121-qPCR_Raw!$H$242)</f>
        <v>2246204.6114461264</v>
      </c>
      <c r="J121" s="122">
        <f>qPCR_Raw!K121</f>
        <v>17.942876815795898</v>
      </c>
      <c r="K121" s="121" cm="1">
        <f t="array" ref="K121">_xlfn.IFS(J121="Undetermined", 0, qPCR_Raw!L121-qPCR_Raw!$H$242&lt;0, 0, qPCR_Raw!L121-qPCR_Raw!$H$242&gt;0, qPCR_Raw!L121-qPCR_Raw!$H$242)</f>
        <v>351844.54894612631</v>
      </c>
      <c r="L121" s="123" cm="1">
        <f t="array" ref="L121">_xlfn.IFS(AND(H121="Undetermined", J121="Undetermined"), "Undetermined", AND(I121=0, K121=0), "Undetermined", AND(I121=0, K121&gt;0), "Ten-Fold", AND(I121&gt;0, K121=0), "Undiluted", AND(H121&lt;&gt;"Undetermined", J121&lt;&gt;"Undetermined", I121&gt;0, K121&gt;0), 100*(-1+10^(-1/(H121-J121))))</f>
        <v>126.20474472878431</v>
      </c>
      <c r="M121" s="124" cm="1">
        <f t="array" ref="M121">_xlfn.IFS(L121="Undetermined", 0, L121="Undiluted", I121*$G121/$F121*1000, L121="Ten-Fold", K121*$G121/$F121*1000*10, L121&lt;0, K121*$G121/$F121*1000*10, L121&lt;120, I121*$G121/$F121*1000, L121&gt;120, K121*$G121/$F121*1000*10)</f>
        <v>402108055.93843013</v>
      </c>
      <c r="N121" s="121" t="str">
        <f t="shared" si="19"/>
        <v>DELETE</v>
      </c>
      <c r="O121" s="121" t="str">
        <f t="shared" si="20"/>
        <v>DELETE</v>
      </c>
      <c r="P121" s="121" t="str">
        <f t="shared" si="21"/>
        <v>DELETE</v>
      </c>
      <c r="Q121" s="125" t="str" cm="1">
        <f t="array" ref="Q121">_xlfn.IFS(N121="DELETE", "DELETE", N121=0, 0, N121&gt;0,LOG10(N121))</f>
        <v>DELETE</v>
      </c>
      <c r="R121" s="126" t="str" cm="1">
        <f t="array" ref="R121">_xlfn.IFS(N121="DELETE", "DELETE", N121=0, 0, N121&gt;0, P121/N121/LN(10))</f>
        <v>DELETE</v>
      </c>
      <c r="S121" s="155">
        <f>qPCR_Raw!O121</f>
        <v>35.773902893066406</v>
      </c>
      <c r="T121" s="156" cm="1">
        <f t="array" ref="T121">_xlfn.IFS(S121="Undetermined", 0, qPCR_Raw!P121&lt;=1, 0, qPCR_Raw!P121&gt;1, qPCR_Raw!P121)</f>
        <v>4.2273235321044922</v>
      </c>
      <c r="U121" s="157">
        <f>qPCR_Raw!R121</f>
        <v>38.574142456054688</v>
      </c>
      <c r="V121" s="156" cm="1">
        <f t="array" ref="V121">_xlfn.IFS(U121="Undetermined", 0, qPCR_Raw!S121&lt;=1, 0, qPCR_Raw!S121&gt;1, qPCR_Raw!S121)</f>
        <v>0</v>
      </c>
      <c r="W121" s="158" t="str" cm="1">
        <f t="array" ref="W121">_xlfn.IFS(AND(S121="Undetermined", U121="Undetermined"), "Undetermined", AND(T121=0, V121=0), "Undetermined", AND(T121=0, V121&gt;0), "Ten-Fold", AND(T121&gt;0, V121=0), "Undiluted", AND(S121&lt;&gt;"Undetermined", U121&lt;&gt;"Undetermined", T121&gt;0, V121&gt;0, S121&lt;&gt;U121), 100*(-1+10^(-1/(S121-U121))), AND(S121&lt;&gt;"Undetermined", U121&lt;&gt;"Undetermined", S121=U121&gt;0), -100)</f>
        <v>Undiluted</v>
      </c>
      <c r="X121" s="159" cm="1">
        <f t="array" ref="X121">_xlfn.IFS(W121="Undetermined", 0, W121="Undiluted", T121*$G121/$F121*1000, W121="Ten-Fold", V121*$G121/$F121*1000*10, W121&lt;0, V121*$G121/$F121*1000*10, W121&lt;120, T121*$G121/$F121*1000, W121&gt;120, V121*$G121/$F121*1000*10)</f>
        <v>483.12268938337053</v>
      </c>
      <c r="Y121" s="156" t="str">
        <f t="shared" si="22"/>
        <v>DELETE</v>
      </c>
      <c r="Z121" s="156" t="str">
        <f t="shared" si="23"/>
        <v>DELETE</v>
      </c>
      <c r="AA121" s="156" t="str">
        <f t="shared" si="24"/>
        <v>DELETE</v>
      </c>
      <c r="AB121" s="160" t="str" cm="1">
        <f t="array" ref="AB121">_xlfn.IFS(Y121="DELETE", "DELETE", Y121=0, 0, Y121&gt;0,LOG10(Y121))</f>
        <v>DELETE</v>
      </c>
      <c r="AC121" s="161" t="str" cm="1">
        <f t="array" ref="AC121">_xlfn.IFS(Y121="DELETE", "DELETE", Y121=0, 0, Y121&gt;0, AA121/Y121/LN(10))</f>
        <v>DELETE</v>
      </c>
      <c r="AD121" s="120">
        <f>qPCR_Raw!U121</f>
        <v>26.452268600463867</v>
      </c>
      <c r="AE121" s="121" cm="1">
        <f t="array" ref="AE121">_xlfn.IFS(AD121="Undetermined", 0, qPCR_Raw!V121&lt;=1, 0, qPCR_Raw!V121&gt;1, qPCR_Raw!V121)</f>
        <v>302.38766479492188</v>
      </c>
      <c r="AF121" s="122">
        <f>qPCR_Raw!X121</f>
        <v>29.842483520507813</v>
      </c>
      <c r="AG121" s="121" cm="1">
        <f t="array" ref="AG121">_xlfn.IFS(AF121="Undetermined", 0, qPCR_Raw!Y121&lt;=1, 0, qPCR_Raw!Y121&gt;1, qPCR_Raw!Y121)</f>
        <v>33.135936737060547</v>
      </c>
      <c r="AH121" s="123" cm="1">
        <f t="array" ref="AH121">_xlfn.IFS(AND(AD121="Undetermined", AF121="Undetermined"), "Undetermined", AND(AE121=0, AG121=0), "Undetermined", AND(AE121=0, AG121&gt;0), "Ten-Fold", AND(AE121&gt;0, AG121=0), "Undiluted", AND(AD121&lt;&gt;"Undetermined", AF121&lt;&gt;"Undetermined", AE121&gt;0, AG121&gt;0, AD121&lt;&gt;AF121), 100*(-1+10^(-1/(AD121-AF121))), AND(AD121&lt;&gt;"Undetermined", AF121&lt;&gt;"Undetermined", AD121=AF121&gt;0), -100)</f>
        <v>97.227082477333141</v>
      </c>
      <c r="AI121" s="124" cm="1">
        <f t="array" ref="AI121">_xlfn.IFS(AH121="Undetermined", 0, AH121="Undiluted", AE121*$G121/$F121*1000, AH121="Ten-Fold", AG121*$G121/$F121*1000*10, AH121&lt;0, AG121*$G121/$F121*1000*10, AH121&lt;120, AE121*$G121/$F121*1000, AH121&gt;120, AG121*$G121/$F121*1000*10)</f>
        <v>34558.59026227679</v>
      </c>
      <c r="AJ121" s="121" t="str">
        <f t="shared" si="25"/>
        <v>DELETE</v>
      </c>
      <c r="AK121" s="121" t="str">
        <f t="shared" si="26"/>
        <v>DELETE</v>
      </c>
      <c r="AL121" s="121" t="str">
        <f t="shared" si="27"/>
        <v>DELETE</v>
      </c>
      <c r="AM121" s="125" t="str" cm="1">
        <f t="array" ref="AM121">_xlfn.IFS(AJ121="DELETE", "DELETE", AJ121=0, 0, AJ121&gt;0,LOG10(AJ121))</f>
        <v>DELETE</v>
      </c>
      <c r="AN121" s="126" t="str" cm="1">
        <f t="array" ref="AN121">_xlfn.IFS(AJ121="DELETE", "DELETE", AJ121=0, 0, AJ121&gt;0, AL121/AJ121/LN(10))</f>
        <v>DELETE</v>
      </c>
      <c r="AO121" s="155">
        <f>qPCR_Raw!AA121</f>
        <v>31.445781707763672</v>
      </c>
      <c r="AP121" s="156" cm="1">
        <f t="array" ref="AP121">_xlfn.IFS(AO121="Undetermined", 0, qPCR_Raw!AB121&lt;=6, 0, qPCR_Raw!AB121&gt;6, qPCR_Raw!AB121)</f>
        <v>0</v>
      </c>
      <c r="AQ121" s="157" t="str">
        <f>qPCR_Raw!AD121</f>
        <v>Undetermined</v>
      </c>
      <c r="AR121" s="156" cm="1">
        <f t="array" ref="AR121">_xlfn.IFS(AQ121="Undetermined", 0, qPCR_Raw!AE121&lt;=6, 0, qPCR_Raw!AE121&gt;6, qPCR_Raw!AE121)</f>
        <v>0</v>
      </c>
      <c r="AS121" s="158" t="str" cm="1">
        <f t="array" ref="AS121">_xlfn.IFS(AND(AO121="Undetermined", AQ121="Undetermined"), "Undetermined", AND(AP121=0, AR121=0), "Undetermined", AND(AP121=0, AR121&gt;0), "Ten-Fold", AND(AP121&gt;0, AR121=0), "Undiluted", AND(AO121&lt;&gt;"Undetermined", AQ121&lt;&gt;"Undetermined", AP121&gt;0, AR121&gt;0, AO121&lt;&gt;AQ121), 100*(-1+10^(-1/(AO121-AQ121))), AND(AO121&lt;&gt;"Undetermined", AQ121&lt;&gt;"Undetermined", AO121=AQ121&gt;0), -100)</f>
        <v>Undetermined</v>
      </c>
      <c r="AT121" s="159" cm="1">
        <f t="array" ref="AT121">_xlfn.IFS(AS121="Undetermined", 0, AS121="Undiluted", AP121*$G121/$F121*1000, AS121="Ten-Fold", AR121*$G121/$F121*1000*10, AS121&lt;0, AR121*$G121/$F121*1000*10, AS121&lt;120, AP121*$G121/$F121*1000, AS121&gt;120, AR121*$G121/$F121*1000*10)</f>
        <v>0</v>
      </c>
      <c r="AU121" s="156" t="str">
        <f t="shared" si="34"/>
        <v>DELETE</v>
      </c>
      <c r="AV121" s="156" t="str">
        <f t="shared" si="35"/>
        <v>DELETE</v>
      </c>
      <c r="AW121" s="156" t="str">
        <f t="shared" si="36"/>
        <v>DELETE</v>
      </c>
      <c r="AX121" s="160" t="str" cm="1">
        <f t="array" ref="AX121">_xlfn.IFS(AU121="DELETE", "DELETE", AU121=0, 0, AU121&gt;0,LOG10(AU121))</f>
        <v>DELETE</v>
      </c>
      <c r="AY121" s="161" t="str" cm="1">
        <f t="array" ref="AY121">_xlfn.IFS(AU121="DELETE", "DELETE", AU121=0, 0, AU121&gt;0, AW121/AU121/LN(10))</f>
        <v>DELETE</v>
      </c>
      <c r="AZ121" s="120">
        <f>qPCR_Raw!AG121</f>
        <v>21.044445037841797</v>
      </c>
      <c r="BA121" s="121" cm="1">
        <f t="array" ref="BA121">_xlfn.IFS(AZ121="Undetermined", 0, qPCR_Raw!AH121&lt;=1, 0, qPCR_Raw!AH121&gt;1, qPCR_Raw!AH121)</f>
        <v>17505.541015625</v>
      </c>
      <c r="BB121" s="122">
        <f>qPCR_Raw!AJ121</f>
        <v>25.175621032714844</v>
      </c>
      <c r="BC121" s="121" cm="1">
        <f t="array" ref="BC121">_xlfn.IFS(BB121="Undetermined", 0, qPCR_Raw!AK121&lt;=1, 0, qPCR_Raw!AK121&gt;1, qPCR_Raw!AK121)</f>
        <v>1348.15869140625</v>
      </c>
      <c r="BD121" s="123" cm="1">
        <f t="array" ref="BD121">_xlfn.IFS(AND(AZ121="Undetermined", BB121="Undetermined"), "Undetermined", AND(BA121=0, BC121=0), "Undetermined", AND(BA121=0, BC121&gt;0), "Ten-Fold", AND(BA121&gt;0, BC121=0), "Undiluted", AND(AZ121&lt;&gt;"Undetermined", BB121&lt;&gt;"Undetermined", BA121&gt;0, BC121&gt;0, AZ121&lt;&gt;BB121), 100*(-1+10^(-1/(AZ121-BB121))), AND(AZ121&lt;&gt;"Undetermined", BB121&lt;&gt;"Undetermined", AZ121=BB121&gt;0), -100)</f>
        <v>74.607070048419729</v>
      </c>
      <c r="BE121" s="124" cm="1">
        <f t="array" ref="BE121">_xlfn.IFS(BD121="Undetermined", 0, BD121="Undiluted", BA121*$G121/$F121*1000, BD121="Ten-Fold", BC121*$G121/$F121*1000*10, BD121&lt;0, BC121*$G121/$F121*1000*10, BD121&lt;120, BA121*$G121/$F121*1000, BD121&gt;120, BC121*$G121/$F121*1000*10)</f>
        <v>2000633.2589285714</v>
      </c>
      <c r="BF121" s="121" t="str">
        <f t="shared" si="31"/>
        <v>DELETE</v>
      </c>
      <c r="BG121" s="121" t="str">
        <f t="shared" si="32"/>
        <v>DELETE</v>
      </c>
      <c r="BH121" s="121" t="str">
        <f t="shared" si="33"/>
        <v>DELETE</v>
      </c>
      <c r="BI121" s="125" t="str" cm="1">
        <f t="array" ref="BI121">_xlfn.IFS(BF121="DELETE", "DELETE", BF121=0, 0, BF121&gt;0,LOG10(BF121))</f>
        <v>DELETE</v>
      </c>
      <c r="BJ121" s="126" t="str" cm="1">
        <f t="array" ref="BJ121">_xlfn.IFS(BF121="DELETE", "DELETE", BF121=0, 0, BF121&gt;0, BH121/BF121/LN(10))</f>
        <v>DELETE</v>
      </c>
    </row>
    <row r="122" spans="1:62" s="114" customFormat="1" x14ac:dyDescent="0.3">
      <c r="A122" s="115" t="str">
        <f>UPPER(LEFT(SUBSTITUTE(SUBSTITUTE(qPCR_Raw!A122,"-","")," ",""),2))&amp;RIGHT(SUBSTITUTE(SUBSTITUTE(qPCR_Raw!A122,"-","")," ",""),LEN(SUBSTITUTE(SUBSTITUTE(qPCR_Raw!A122,"-","")," ",""))-2)</f>
        <v>STa6</v>
      </c>
      <c r="B122" s="116" t="str" cm="1">
        <f t="array" ref="B122">_xlfn.IFS(LEFT(A122, LEN(A122)-1)="EP", "EP", LEFT(A122, LEN(A122)-1)="STa", "SPI", LEFT(A122, LEN(A122)-1)="STb", "SPO", LEFT(A122, LEN(A122)-1)="MRT", "MRT", LEFT(A122, LEN(A122)-1)="RG", "RN", LEFT(A122, LEN(A122)-1)="RT", "RU", LEFT(A122, LEN(A122)-1)="RW", "RL", LEFT(A122, LEN(A122)-1)="RC", "RS")</f>
        <v>SPI</v>
      </c>
      <c r="C122" s="117">
        <f>qPCR_Raw!B122</f>
        <v>44385</v>
      </c>
      <c r="D122" s="117" t="str">
        <f t="shared" si="17"/>
        <v>SPI44385</v>
      </c>
      <c r="E122" s="117" t="str">
        <f t="shared" si="18"/>
        <v>SPI443856</v>
      </c>
      <c r="F122" s="118">
        <f>qPCR_Raw!C122</f>
        <v>905</v>
      </c>
      <c r="G122" s="119">
        <f>qPCR_Raw!F122</f>
        <v>100</v>
      </c>
      <c r="H122" s="120">
        <f>qPCR_Raw!G122</f>
        <v>22.637889862060547</v>
      </c>
      <c r="I122" s="121" cm="1">
        <f t="array" ref="I122">_xlfn.IFS(H122="Undetermined", 0, qPCR_Raw!H122-qPCR_Raw!$H$242&lt;0, 0, qPCR_Raw!H122-qPCR_Raw!$H$242&gt;0, qPCR_Raw!H122-qPCR_Raw!$H$242)</f>
        <v>4560.8028523763023</v>
      </c>
      <c r="J122" s="122">
        <f>qPCR_Raw!K122</f>
        <v>25.810544967651367</v>
      </c>
      <c r="K122" s="121" cm="1">
        <f t="array" ref="K122">_xlfn.IFS(J122="Undetermined", 0, qPCR_Raw!L122-qPCR_Raw!$H$242&lt;0, 0, qPCR_Raw!L122-qPCR_Raw!$H$242&gt;0, qPCR_Raw!L122-qPCR_Raw!$H$242)</f>
        <v>0</v>
      </c>
      <c r="L122" s="123" t="str" cm="1">
        <f t="array" ref="L122">_xlfn.IFS(AND(H122="Undetermined", J122="Undetermined"), "Undetermined", AND(I122=0, K122=0), "Undetermined", AND(I122=0, K122&gt;0), "Ten-Fold", AND(I122&gt;0, K122=0), "Undiluted", AND(H122&lt;&gt;"Undetermined", J122&lt;&gt;"Undetermined", I122&gt;0, K122&gt;0), 100*(-1+10^(-1/(H122-J122))))</f>
        <v>Undiluted</v>
      </c>
      <c r="M122" s="124" cm="1">
        <f t="array" ref="M122">_xlfn.IFS(L122="Undetermined", 0, L122="Undiluted", I122*$G122/$F122*1000, L122="Ten-Fold", K122*$G122/$F122*1000*10, L122&lt;0, K122*$G122/$F122*1000*10, L122&lt;120, I122*$G122/$F122*1000, L122&gt;120, K122*$G122/$F122*1000*10)</f>
        <v>503956.11628467427</v>
      </c>
      <c r="N122" s="121">
        <f t="shared" si="19"/>
        <v>287961.82326668227</v>
      </c>
      <c r="O122" s="121">
        <f t="shared" si="20"/>
        <v>305462.05858123256</v>
      </c>
      <c r="P122" s="121">
        <f t="shared" si="21"/>
        <v>215994.29301799196</v>
      </c>
      <c r="Q122" s="125" cm="1">
        <f t="array" ref="Q122">_xlfn.IFS(N122="DELETE", "DELETE", N122=0, 0, N122&gt;0,LOG10(N122))</f>
        <v>5.4593349146911159</v>
      </c>
      <c r="R122" s="126" cm="1">
        <f t="array" ref="R122">_xlfn.IFS(N122="DELETE", "DELETE", N122=0, 0, N122&gt;0, P122/N122/LN(10))</f>
        <v>0.32575543700956072</v>
      </c>
      <c r="S122" s="155">
        <f>qPCR_Raw!O122</f>
        <v>36.978610992431641</v>
      </c>
      <c r="T122" s="156" cm="1">
        <f t="array" ref="T122">_xlfn.IFS(S122="Undetermined", 0, qPCR_Raw!P122&lt;=1, 0, qPCR_Raw!P122&gt;1, qPCR_Raw!P122)</f>
        <v>1.9801325798034668</v>
      </c>
      <c r="U122" s="157">
        <f>qPCR_Raw!R122</f>
        <v>38.073455810546875</v>
      </c>
      <c r="V122" s="156" cm="1">
        <f t="array" ref="V122">_xlfn.IFS(U122="Undetermined", 0, qPCR_Raw!S122&lt;=1, 0, qPCR_Raw!S122&gt;1, qPCR_Raw!S122)</f>
        <v>0</v>
      </c>
      <c r="W122" s="158" t="str" cm="1">
        <f t="array" ref="W122">_xlfn.IFS(AND(S122="Undetermined", U122="Undetermined"), "Undetermined", AND(T122=0, V122=0), "Undetermined", AND(T122=0, V122&gt;0), "Ten-Fold", AND(T122&gt;0, V122=0), "Undiluted", AND(S122&lt;&gt;"Undetermined", U122&lt;&gt;"Undetermined", T122&gt;0, V122&gt;0, S122&lt;&gt;U122), 100*(-1+10^(-1/(S122-U122))), AND(S122&lt;&gt;"Undetermined", U122&lt;&gt;"Undetermined", S122=U122&gt;0), -100)</f>
        <v>Undiluted</v>
      </c>
      <c r="X122" s="159" cm="1">
        <f t="array" ref="X122">_xlfn.IFS(W122="Undetermined", 0, W122="Undiluted", T122*$G122/$F122*1000, W122="Ten-Fold", V122*$G122/$F122*1000*10, W122&lt;0, V122*$G122/$F122*1000*10, W122&lt;120, T122*$G122/$F122*1000, W122&gt;120, V122*$G122/$F122*1000*10)</f>
        <v>218.79918008878084</v>
      </c>
      <c r="Y122" s="156">
        <f t="shared" si="22"/>
        <v>301.44047126265929</v>
      </c>
      <c r="Z122" s="156">
        <f t="shared" si="23"/>
        <v>116.87243479012274</v>
      </c>
      <c r="AA122" s="156">
        <f t="shared" si="24"/>
        <v>82.641291173878358</v>
      </c>
      <c r="AB122" s="160" cm="1">
        <f t="array" ref="AB122">_xlfn.IFS(Y122="DELETE", "DELETE", Y122=0, 0, Y122&gt;0,LOG10(Y122))</f>
        <v>2.4792015600758024</v>
      </c>
      <c r="AC122" s="161" cm="1">
        <f t="array" ref="AC122">_xlfn.IFS(Y122="DELETE", "DELETE", Y122=0, 0, Y122&gt;0, AA122/Y122/LN(10))</f>
        <v>0.11906382903343478</v>
      </c>
      <c r="AD122" s="120" t="str">
        <f>qPCR_Raw!U122</f>
        <v>Undetermined</v>
      </c>
      <c r="AE122" s="121" cm="1">
        <f t="array" ref="AE122">_xlfn.IFS(AD122="Undetermined", 0, qPCR_Raw!V122&lt;=1, 0, qPCR_Raw!V122&gt;1, qPCR_Raw!V122)</f>
        <v>0</v>
      </c>
      <c r="AF122" s="122" t="str">
        <f>qPCR_Raw!X122</f>
        <v>Undetermined</v>
      </c>
      <c r="AG122" s="121" cm="1">
        <f t="array" ref="AG122">_xlfn.IFS(AF122="Undetermined", 0, qPCR_Raw!Y122&lt;=1, 0, qPCR_Raw!Y122&gt;1, qPCR_Raw!Y122)</f>
        <v>0</v>
      </c>
      <c r="AH122" s="123" t="str" cm="1">
        <f t="array" ref="AH122">_xlfn.IFS(AND(AD122="Undetermined", AF122="Undetermined"), "Undetermined", AND(AE122=0, AG122=0), "Undetermined", AND(AE122=0, AG122&gt;0), "Ten-Fold", AND(AE122&gt;0, AG122=0), "Undiluted", AND(AD122&lt;&gt;"Undetermined", AF122&lt;&gt;"Undetermined", AE122&gt;0, AG122&gt;0, AD122&lt;&gt;AF122), 100*(-1+10^(-1/(AD122-AF122))), AND(AD122&lt;&gt;"Undetermined", AF122&lt;&gt;"Undetermined", AD122=AF122&gt;0), -100)</f>
        <v>Undetermined</v>
      </c>
      <c r="AI122" s="124" cm="1">
        <f t="array" ref="AI122">_xlfn.IFS(AH122="Undetermined", 0, AH122="Undiluted", AE122*$G122/$F122*1000, AH122="Ten-Fold", AG122*$G122/$F122*1000*10, AH122&lt;0, AG122*$G122/$F122*1000*10, AH122&lt;120, AE122*$G122/$F122*1000, AH122&gt;120, AG122*$G122/$F122*1000*10)</f>
        <v>0</v>
      </c>
      <c r="AJ122" s="121">
        <f t="shared" si="25"/>
        <v>0</v>
      </c>
      <c r="AK122" s="121">
        <f t="shared" si="26"/>
        <v>0</v>
      </c>
      <c r="AL122" s="121">
        <f t="shared" si="27"/>
        <v>0</v>
      </c>
      <c r="AM122" s="125" cm="1">
        <f t="array" ref="AM122">_xlfn.IFS(AJ122="DELETE", "DELETE", AJ122=0, 0, AJ122&gt;0,LOG10(AJ122))</f>
        <v>0</v>
      </c>
      <c r="AN122" s="126" cm="1">
        <f t="array" ref="AN122">_xlfn.IFS(AJ122="DELETE", "DELETE", AJ122=0, 0, AJ122&gt;0, AL122/AJ122/LN(10))</f>
        <v>0</v>
      </c>
      <c r="AO122" s="155">
        <f>qPCR_Raw!AA122</f>
        <v>30.982461929321289</v>
      </c>
      <c r="AP122" s="156" cm="1">
        <f t="array" ref="AP122">_xlfn.IFS(AO122="Undetermined", 0, qPCR_Raw!AB122&lt;=6, 0, qPCR_Raw!AB122&gt;6, qPCR_Raw!AB122)</f>
        <v>0</v>
      </c>
      <c r="AQ122" s="157" t="str">
        <f>qPCR_Raw!AD122</f>
        <v>Undetermined</v>
      </c>
      <c r="AR122" s="156" cm="1">
        <f t="array" ref="AR122">_xlfn.IFS(AQ122="Undetermined", 0, qPCR_Raw!AE122&lt;=6, 0, qPCR_Raw!AE122&gt;6, qPCR_Raw!AE122)</f>
        <v>0</v>
      </c>
      <c r="AS122" s="158" t="str" cm="1">
        <f t="array" ref="AS122">_xlfn.IFS(AND(AO122="Undetermined", AQ122="Undetermined"), "Undetermined", AND(AP122=0, AR122=0), "Undetermined", AND(AP122=0, AR122&gt;0), "Ten-Fold", AND(AP122&gt;0, AR122=0), "Undiluted", AND(AO122&lt;&gt;"Undetermined", AQ122&lt;&gt;"Undetermined", AP122&gt;0, AR122&gt;0, AO122&lt;&gt;AQ122), 100*(-1+10^(-1/(AO122-AQ122))), AND(AO122&lt;&gt;"Undetermined", AQ122&lt;&gt;"Undetermined", AO122=AQ122&gt;0), -100)</f>
        <v>Undetermined</v>
      </c>
      <c r="AT122" s="159" cm="1">
        <f t="array" ref="AT122">_xlfn.IFS(AS122="Undetermined", 0, AS122="Undiluted", AP122*$G122/$F122*1000, AS122="Ten-Fold", AR122*$G122/$F122*1000*10, AS122&lt;0, AR122*$G122/$F122*1000*10, AS122&lt;120, AP122*$G122/$F122*1000, AS122&gt;120, AR122*$G122/$F122*1000*10)</f>
        <v>0</v>
      </c>
      <c r="AU122" s="156">
        <f t="shared" si="34"/>
        <v>0</v>
      </c>
      <c r="AV122" s="156">
        <f t="shared" si="35"/>
        <v>0</v>
      </c>
      <c r="AW122" s="156">
        <f t="shared" si="36"/>
        <v>0</v>
      </c>
      <c r="AX122" s="160" cm="1">
        <f t="array" ref="AX122">_xlfn.IFS(AU122="DELETE", "DELETE", AU122=0, 0, AU122&gt;0,LOG10(AU122))</f>
        <v>0</v>
      </c>
      <c r="AY122" s="161" cm="1">
        <f t="array" ref="AY122">_xlfn.IFS(AU122="DELETE", "DELETE", AU122=0, 0, AU122&gt;0, AW122/AU122/LN(10))</f>
        <v>0</v>
      </c>
      <c r="AZ122" s="120" t="str">
        <f>qPCR_Raw!AG122</f>
        <v>Undetermined</v>
      </c>
      <c r="BA122" s="121" cm="1">
        <f t="array" ref="BA122">_xlfn.IFS(AZ122="Undetermined", 0, qPCR_Raw!AH122&lt;=1, 0, qPCR_Raw!AH122&gt;1, qPCR_Raw!AH122)</f>
        <v>0</v>
      </c>
      <c r="BB122" s="122">
        <f>qPCR_Raw!AJ122</f>
        <v>33.532440185546875</v>
      </c>
      <c r="BC122" s="121" cm="1">
        <f t="array" ref="BC122">_xlfn.IFS(BB122="Undetermined", 0, qPCR_Raw!AK122&lt;=1, 0, qPCR_Raw!AK122&gt;1, qPCR_Raw!AK122)</f>
        <v>7.5406923294067383</v>
      </c>
      <c r="BD122" s="123" t="str" cm="1">
        <f t="array" ref="BD122">_xlfn.IFS(AND(AZ122="Undetermined", BB122="Undetermined"), "Undetermined", AND(BA122=0, BC122=0), "Undetermined", AND(BA122=0, BC122&gt;0), "Ten-Fold", AND(BA122&gt;0, BC122=0), "Undiluted", AND(AZ122&lt;&gt;"Undetermined", BB122&lt;&gt;"Undetermined", BA122&gt;0, BC122&gt;0, AZ122&lt;&gt;BB122), 100*(-1+10^(-1/(AZ122-BB122))), AND(AZ122&lt;&gt;"Undetermined", BB122&lt;&gt;"Undetermined", AZ122=BB122&gt;0), -100)</f>
        <v>Ten-Fold</v>
      </c>
      <c r="BE122" s="124" cm="1">
        <f t="array" ref="BE122">_xlfn.IFS(BD122="Undetermined", 0, BD122="Undiluted", BA122*$G122/$F122*1000, BD122="Ten-Fold", BC122*$G122/$F122*1000*10, BD122&lt;0, BC122*$G122/$F122*1000*10, BD122&lt;120, BA122*$G122/$F122*1000, BD122&gt;120, BC122*$G122/$F122*1000*10)</f>
        <v>8332.2567175765071</v>
      </c>
      <c r="BF122" s="121">
        <f t="shared" si="31"/>
        <v>4166.1283587882535</v>
      </c>
      <c r="BG122" s="121">
        <f t="shared" si="32"/>
        <v>5891.7952275855123</v>
      </c>
      <c r="BH122" s="121">
        <f t="shared" si="33"/>
        <v>4166.1283587882535</v>
      </c>
      <c r="BI122" s="125" cm="1">
        <f t="array" ref="BI122">_xlfn.IFS(BF122="DELETE", "DELETE", BF122=0, 0, BF122&gt;0,LOG10(BF122))</f>
        <v>3.6197326464697857</v>
      </c>
      <c r="BJ122" s="126" cm="1">
        <f t="array" ref="BJ122">_xlfn.IFS(BF122="DELETE", "DELETE", BF122=0, 0, BF122&gt;0, BH122/BF122/LN(10))</f>
        <v>0.43429448190325176</v>
      </c>
    </row>
    <row r="123" spans="1:62" s="114" customFormat="1" x14ac:dyDescent="0.3">
      <c r="A123" s="115" t="str">
        <f>UPPER(LEFT(SUBSTITUTE(SUBSTITUTE(qPCR_Raw!A123,"-","")," ",""),2))&amp;RIGHT(SUBSTITUTE(SUBSTITUTE(qPCR_Raw!A123,"-","")," ",""),LEN(SUBSTITUTE(SUBSTITUTE(qPCR_Raw!A123,"-","")," ",""))-2)</f>
        <v>STa7</v>
      </c>
      <c r="B123" s="116" t="str" cm="1">
        <f t="array" ref="B123">_xlfn.IFS(LEFT(A123, LEN(A123)-1)="EP", "EP", LEFT(A123, LEN(A123)-1)="STa", "SPI", LEFT(A123, LEN(A123)-1)="STb", "SPO", LEFT(A123, LEN(A123)-1)="MRT", "MRT", LEFT(A123, LEN(A123)-1)="RG", "RN", LEFT(A123, LEN(A123)-1)="RT", "RU", LEFT(A123, LEN(A123)-1)="RW", "RL", LEFT(A123, LEN(A123)-1)="RC", "RS")</f>
        <v>SPI</v>
      </c>
      <c r="C123" s="117">
        <f>qPCR_Raw!B123</f>
        <v>44385</v>
      </c>
      <c r="D123" s="117" t="str">
        <f t="shared" si="17"/>
        <v>SPI44385</v>
      </c>
      <c r="E123" s="117" t="str">
        <f t="shared" si="18"/>
        <v>SPI443857</v>
      </c>
      <c r="F123" s="118">
        <f>qPCR_Raw!C123</f>
        <v>855</v>
      </c>
      <c r="G123" s="119">
        <f>qPCR_Raw!F123</f>
        <v>100</v>
      </c>
      <c r="H123" s="120">
        <f>qPCR_Raw!G123</f>
        <v>23.032026290893555</v>
      </c>
      <c r="I123" s="121" cm="1">
        <f t="array" ref="I123">_xlfn.IFS(H123="Undetermined", 0, qPCR_Raw!H123-qPCR_Raw!$H$242&lt;0, 0, qPCR_Raw!H123-qPCR_Raw!$H$242&gt;0, qPCR_Raw!H123-qPCR_Raw!$H$242)</f>
        <v>615.32238362630233</v>
      </c>
      <c r="J123" s="122">
        <f>qPCR_Raw!K123</f>
        <v>25.848634719848633</v>
      </c>
      <c r="K123" s="121" cm="1">
        <f t="array" ref="K123">_xlfn.IFS(J123="Undetermined", 0, qPCR_Raw!L123-qPCR_Raw!$H$242&lt;0, 0, qPCR_Raw!L123-qPCR_Raw!$H$242&gt;0, qPCR_Raw!L123-qPCR_Raw!$H$242)</f>
        <v>0</v>
      </c>
      <c r="L123" s="123" t="str" cm="1">
        <f t="array" ref="L123">_xlfn.IFS(AND(H123="Undetermined", J123="Undetermined"), "Undetermined", AND(I123=0, K123=0), "Undetermined", AND(I123=0, K123&gt;0), "Ten-Fold", AND(I123&gt;0, K123=0), "Undiluted", AND(H123&lt;&gt;"Undetermined", J123&lt;&gt;"Undetermined", I123&gt;0, K123&gt;0), 100*(-1+10^(-1/(H123-J123))))</f>
        <v>Undiluted</v>
      </c>
      <c r="M123" s="124" cm="1">
        <f t="array" ref="M123">_xlfn.IFS(L123="Undetermined", 0, L123="Undiluted", I123*$G123/$F123*1000, L123="Ten-Fold", K123*$G123/$F123*1000*10, L123&lt;0, K123*$G123/$F123*1000*10, L123&lt;120, I123*$G123/$F123*1000, L123&gt;120, K123*$G123/$F123*1000*10)</f>
        <v>71967.530248690324</v>
      </c>
      <c r="N123" s="121" t="str">
        <f t="shared" si="19"/>
        <v>DELETE</v>
      </c>
      <c r="O123" s="121" t="str">
        <f t="shared" si="20"/>
        <v>DELETE</v>
      </c>
      <c r="P123" s="121" t="str">
        <f t="shared" si="21"/>
        <v>DELETE</v>
      </c>
      <c r="Q123" s="125" t="str" cm="1">
        <f t="array" ref="Q123">_xlfn.IFS(N123="DELETE", "DELETE", N123=0, 0, N123&gt;0,LOG10(N123))</f>
        <v>DELETE</v>
      </c>
      <c r="R123" s="126" t="str" cm="1">
        <f t="array" ref="R123">_xlfn.IFS(N123="DELETE", "DELETE", N123=0, 0, N123&gt;0, P123/N123/LN(10))</f>
        <v>DELETE</v>
      </c>
      <c r="S123" s="155">
        <f>qPCR_Raw!O123</f>
        <v>36.175052642822266</v>
      </c>
      <c r="T123" s="156" cm="1">
        <f t="array" ref="T123">_xlfn.IFS(S123="Undetermined", 0, qPCR_Raw!P123&lt;=1, 0, qPCR_Raw!P123&gt;1, qPCR_Raw!P123)</f>
        <v>3.2838990688323975</v>
      </c>
      <c r="U123" s="157">
        <f>qPCR_Raw!R123</f>
        <v>38.884086608886719</v>
      </c>
      <c r="V123" s="156" cm="1">
        <f t="array" ref="V123">_xlfn.IFS(U123="Undetermined", 0, qPCR_Raw!S123&lt;=1, 0, qPCR_Raw!S123&gt;1, qPCR_Raw!S123)</f>
        <v>0</v>
      </c>
      <c r="W123" s="158" t="str" cm="1">
        <f t="array" ref="W123">_xlfn.IFS(AND(S123="Undetermined", U123="Undetermined"), "Undetermined", AND(T123=0, V123=0), "Undetermined", AND(T123=0, V123&gt;0), "Ten-Fold", AND(T123&gt;0, V123=0), "Undiluted", AND(S123&lt;&gt;"Undetermined", U123&lt;&gt;"Undetermined", T123&gt;0, V123&gt;0, S123&lt;&gt;U123), 100*(-1+10^(-1/(S123-U123))), AND(S123&lt;&gt;"Undetermined", U123&lt;&gt;"Undetermined", S123=U123&gt;0), -100)</f>
        <v>Undiluted</v>
      </c>
      <c r="X123" s="159" cm="1">
        <f t="array" ref="X123">_xlfn.IFS(W123="Undetermined", 0, W123="Undiluted", T123*$G123/$F123*1000, W123="Ten-Fold", V123*$G123/$F123*1000*10, W123&lt;0, V123*$G123/$F123*1000*10, W123&lt;120, T123*$G123/$F123*1000, W123&gt;120, V123*$G123/$F123*1000*10)</f>
        <v>384.0817624365377</v>
      </c>
      <c r="Y123" s="156" t="str">
        <f t="shared" si="22"/>
        <v>DELETE</v>
      </c>
      <c r="Z123" s="156" t="str">
        <f t="shared" si="23"/>
        <v>DELETE</v>
      </c>
      <c r="AA123" s="156" t="str">
        <f t="shared" si="24"/>
        <v>DELETE</v>
      </c>
      <c r="AB123" s="160" t="str" cm="1">
        <f t="array" ref="AB123">_xlfn.IFS(Y123="DELETE", "DELETE", Y123=0, 0, Y123&gt;0,LOG10(Y123))</f>
        <v>DELETE</v>
      </c>
      <c r="AC123" s="161" t="str" cm="1">
        <f t="array" ref="AC123">_xlfn.IFS(Y123="DELETE", "DELETE", Y123=0, 0, Y123&gt;0, AA123/Y123/LN(10))</f>
        <v>DELETE</v>
      </c>
      <c r="AD123" s="120" t="str">
        <f>qPCR_Raw!U123</f>
        <v>Undetermined</v>
      </c>
      <c r="AE123" s="121" cm="1">
        <f t="array" ref="AE123">_xlfn.IFS(AD123="Undetermined", 0, qPCR_Raw!V123&lt;=1, 0, qPCR_Raw!V123&gt;1, qPCR_Raw!V123)</f>
        <v>0</v>
      </c>
      <c r="AF123" s="122" t="str">
        <f>qPCR_Raw!X123</f>
        <v>Undetermined</v>
      </c>
      <c r="AG123" s="121" cm="1">
        <f t="array" ref="AG123">_xlfn.IFS(AF123="Undetermined", 0, qPCR_Raw!Y123&lt;=1, 0, qPCR_Raw!Y123&gt;1, qPCR_Raw!Y123)</f>
        <v>0</v>
      </c>
      <c r="AH123" s="123" t="str" cm="1">
        <f t="array" ref="AH123">_xlfn.IFS(AND(AD123="Undetermined", AF123="Undetermined"), "Undetermined", AND(AE123=0, AG123=0), "Undetermined", AND(AE123=0, AG123&gt;0), "Ten-Fold", AND(AE123&gt;0, AG123=0), "Undiluted", AND(AD123&lt;&gt;"Undetermined", AF123&lt;&gt;"Undetermined", AE123&gt;0, AG123&gt;0, AD123&lt;&gt;AF123), 100*(-1+10^(-1/(AD123-AF123))), AND(AD123&lt;&gt;"Undetermined", AF123&lt;&gt;"Undetermined", AD123=AF123&gt;0), -100)</f>
        <v>Undetermined</v>
      </c>
      <c r="AI123" s="124" cm="1">
        <f t="array" ref="AI123">_xlfn.IFS(AH123="Undetermined", 0, AH123="Undiluted", AE123*$G123/$F123*1000, AH123="Ten-Fold", AG123*$G123/$F123*1000*10, AH123&lt;0, AG123*$G123/$F123*1000*10, AH123&lt;120, AE123*$G123/$F123*1000, AH123&gt;120, AG123*$G123/$F123*1000*10)</f>
        <v>0</v>
      </c>
      <c r="AJ123" s="121" t="str">
        <f t="shared" si="25"/>
        <v>DELETE</v>
      </c>
      <c r="AK123" s="121" t="str">
        <f t="shared" si="26"/>
        <v>DELETE</v>
      </c>
      <c r="AL123" s="121" t="str">
        <f t="shared" si="27"/>
        <v>DELETE</v>
      </c>
      <c r="AM123" s="125" t="str" cm="1">
        <f t="array" ref="AM123">_xlfn.IFS(AJ123="DELETE", "DELETE", AJ123=0, 0, AJ123&gt;0,LOG10(AJ123))</f>
        <v>DELETE</v>
      </c>
      <c r="AN123" s="126" t="str" cm="1">
        <f t="array" ref="AN123">_xlfn.IFS(AJ123="DELETE", "DELETE", AJ123=0, 0, AJ123&gt;0, AL123/AJ123/LN(10))</f>
        <v>DELETE</v>
      </c>
      <c r="AO123" s="155">
        <f>qPCR_Raw!AA123</f>
        <v>31.245197296142578</v>
      </c>
      <c r="AP123" s="156" cm="1">
        <f t="array" ref="AP123">_xlfn.IFS(AO123="Undetermined", 0, qPCR_Raw!AB123&lt;=6, 0, qPCR_Raw!AB123&gt;6, qPCR_Raw!AB123)</f>
        <v>0</v>
      </c>
      <c r="AQ123" s="157" t="str">
        <f>qPCR_Raw!AD123</f>
        <v>Undetermined</v>
      </c>
      <c r="AR123" s="156" cm="1">
        <f t="array" ref="AR123">_xlfn.IFS(AQ123="Undetermined", 0, qPCR_Raw!AE123&lt;=6, 0, qPCR_Raw!AE123&gt;6, qPCR_Raw!AE123)</f>
        <v>0</v>
      </c>
      <c r="AS123" s="158" t="str" cm="1">
        <f t="array" ref="AS123">_xlfn.IFS(AND(AO123="Undetermined", AQ123="Undetermined"), "Undetermined", AND(AP123=0, AR123=0), "Undetermined", AND(AP123=0, AR123&gt;0), "Ten-Fold", AND(AP123&gt;0, AR123=0), "Undiluted", AND(AO123&lt;&gt;"Undetermined", AQ123&lt;&gt;"Undetermined", AP123&gt;0, AR123&gt;0, AO123&lt;&gt;AQ123), 100*(-1+10^(-1/(AO123-AQ123))), AND(AO123&lt;&gt;"Undetermined", AQ123&lt;&gt;"Undetermined", AO123=AQ123&gt;0), -100)</f>
        <v>Undetermined</v>
      </c>
      <c r="AT123" s="159" cm="1">
        <f t="array" ref="AT123">_xlfn.IFS(AS123="Undetermined", 0, AS123="Undiluted", AP123*$G123/$F123*1000, AS123="Ten-Fold", AR123*$G123/$F123*1000*10, AS123&lt;0, AR123*$G123/$F123*1000*10, AS123&lt;120, AP123*$G123/$F123*1000, AS123&gt;120, AR123*$G123/$F123*1000*10)</f>
        <v>0</v>
      </c>
      <c r="AU123" s="156" t="str">
        <f t="shared" si="34"/>
        <v>DELETE</v>
      </c>
      <c r="AV123" s="156" t="str">
        <f t="shared" si="35"/>
        <v>DELETE</v>
      </c>
      <c r="AW123" s="156" t="str">
        <f t="shared" si="36"/>
        <v>DELETE</v>
      </c>
      <c r="AX123" s="160" t="str" cm="1">
        <f t="array" ref="AX123">_xlfn.IFS(AU123="DELETE", "DELETE", AU123=0, 0, AU123&gt;0,LOG10(AU123))</f>
        <v>DELETE</v>
      </c>
      <c r="AY123" s="161" t="str" cm="1">
        <f t="array" ref="AY123">_xlfn.IFS(AU123="DELETE", "DELETE", AU123=0, 0, AU123&gt;0, AW123/AU123/LN(10))</f>
        <v>DELETE</v>
      </c>
      <c r="AZ123" s="120" t="str">
        <f>qPCR_Raw!AG123</f>
        <v>Undetermined</v>
      </c>
      <c r="BA123" s="121" cm="1">
        <f t="array" ref="BA123">_xlfn.IFS(AZ123="Undetermined", 0, qPCR_Raw!AH123&lt;=1, 0, qPCR_Raw!AH123&gt;1, qPCR_Raw!AH123)</f>
        <v>0</v>
      </c>
      <c r="BB123" s="122" t="str">
        <f>qPCR_Raw!AJ123</f>
        <v>Undetermined</v>
      </c>
      <c r="BC123" s="121" cm="1">
        <f t="array" ref="BC123">_xlfn.IFS(BB123="Undetermined", 0, qPCR_Raw!AK123&lt;=1, 0, qPCR_Raw!AK123&gt;1, qPCR_Raw!AK123)</f>
        <v>0</v>
      </c>
      <c r="BD123" s="123" t="str" cm="1">
        <f t="array" ref="BD123">_xlfn.IFS(AND(AZ123="Undetermined", BB123="Undetermined"), "Undetermined", AND(BA123=0, BC123=0), "Undetermined", AND(BA123=0, BC123&gt;0), "Ten-Fold", AND(BA123&gt;0, BC123=0), "Undiluted", AND(AZ123&lt;&gt;"Undetermined", BB123&lt;&gt;"Undetermined", BA123&gt;0, BC123&gt;0, AZ123&lt;&gt;BB123), 100*(-1+10^(-1/(AZ123-BB123))), AND(AZ123&lt;&gt;"Undetermined", BB123&lt;&gt;"Undetermined", AZ123=BB123&gt;0), -100)</f>
        <v>Undetermined</v>
      </c>
      <c r="BE123" s="124" cm="1">
        <f t="array" ref="BE123">_xlfn.IFS(BD123="Undetermined", 0, BD123="Undiluted", BA123*$G123/$F123*1000, BD123="Ten-Fold", BC123*$G123/$F123*1000*10, BD123&lt;0, BC123*$G123/$F123*1000*10, BD123&lt;120, BA123*$G123/$F123*1000, BD123&gt;120, BC123*$G123/$F123*1000*10)</f>
        <v>0</v>
      </c>
      <c r="BF123" s="121" t="str">
        <f t="shared" si="31"/>
        <v>DELETE</v>
      </c>
      <c r="BG123" s="121" t="str">
        <f t="shared" si="32"/>
        <v>DELETE</v>
      </c>
      <c r="BH123" s="121" t="str">
        <f t="shared" si="33"/>
        <v>DELETE</v>
      </c>
      <c r="BI123" s="125" t="str" cm="1">
        <f t="array" ref="BI123">_xlfn.IFS(BF123="DELETE", "DELETE", BF123=0, 0, BF123&gt;0,LOG10(BF123))</f>
        <v>DELETE</v>
      </c>
      <c r="BJ123" s="126" t="str" cm="1">
        <f t="array" ref="BJ123">_xlfn.IFS(BF123="DELETE", "DELETE", BF123=0, 0, BF123&gt;0, BH123/BF123/LN(10))</f>
        <v>DELETE</v>
      </c>
    </row>
    <row r="124" spans="1:62" s="114" customFormat="1" x14ac:dyDescent="0.3">
      <c r="A124" s="115" t="str">
        <f>UPPER(LEFT(SUBSTITUTE(SUBSTITUTE(qPCR_Raw!A124,"-","")," ",""),2))&amp;RIGHT(SUBSTITUTE(SUBSTITUTE(qPCR_Raw!A124,"-","")," ",""),LEN(SUBSTITUTE(SUBSTITUTE(qPCR_Raw!A124,"-","")," ",""))-2)</f>
        <v>EP6</v>
      </c>
      <c r="B124" s="116" t="str" cm="1">
        <f t="array" ref="B124">_xlfn.IFS(LEFT(A124, LEN(A124)-1)="EP", "EP", LEFT(A124, LEN(A124)-1)="STa", "SPI", LEFT(A124, LEN(A124)-1)="STb", "SPO", LEFT(A124, LEN(A124)-1)="MRT", "MRT", LEFT(A124, LEN(A124)-1)="RG", "RN", LEFT(A124, LEN(A124)-1)="RT", "RU", LEFT(A124, LEN(A124)-1)="RW", "RL", LEFT(A124, LEN(A124)-1)="RC", "RS")</f>
        <v>EP</v>
      </c>
      <c r="C124" s="117">
        <f>qPCR_Raw!B124</f>
        <v>44391</v>
      </c>
      <c r="D124" s="117" t="str">
        <f t="shared" si="17"/>
        <v>EP44391</v>
      </c>
      <c r="E124" s="117" t="str">
        <f t="shared" si="18"/>
        <v>EP443916</v>
      </c>
      <c r="F124" s="118">
        <f>qPCR_Raw!C124</f>
        <v>900</v>
      </c>
      <c r="G124" s="119">
        <f>qPCR_Raw!F124</f>
        <v>100</v>
      </c>
      <c r="H124" s="120">
        <f>qPCR_Raw!G124</f>
        <v>19.524177551269531</v>
      </c>
      <c r="I124" s="121" cm="1">
        <f t="array" ref="I124">_xlfn.IFS(H124="Undetermined", 0, qPCR_Raw!H124-qPCR_Raw!$H$242&lt;0, 0, qPCR_Raw!H124-qPCR_Raw!$H$242&gt;0, qPCR_Raw!H124-qPCR_Raw!$H$242)</f>
        <v>118294.28332112631</v>
      </c>
      <c r="J124" s="122">
        <f>qPCR_Raw!K124</f>
        <v>22.271015167236328</v>
      </c>
      <c r="K124" s="121" cm="1">
        <f t="array" ref="K124">_xlfn.IFS(J124="Undetermined", 0, qPCR_Raw!L124-qPCR_Raw!$H$242&lt;0, 0, qPCR_Raw!L124-qPCR_Raw!$H$242&gt;0, qPCR_Raw!L124-qPCR_Raw!$H$242)</f>
        <v>9255.7305867513023</v>
      </c>
      <c r="L124" s="123" cm="1">
        <f t="array" ref="L124">_xlfn.IFS(AND(H124="Undetermined", J124="Undetermined"), "Undetermined", AND(I124=0, K124=0), "Undetermined", AND(I124=0, K124&gt;0), "Ten-Fold", AND(I124&gt;0, K124=0), "Undiluted", AND(H124&lt;&gt;"Undetermined", J124&lt;&gt;"Undetermined", I124&gt;0, K124&gt;0), 100*(-1+10^(-1/(H124-J124))))</f>
        <v>131.23576751264051</v>
      </c>
      <c r="M124" s="124" cm="1">
        <f t="array" ref="M124">_xlfn.IFS(L124="Undetermined", 0, L124="Undiluted", I124*$G124/$F124*1000, L124="Ten-Fold", K124*$G124/$F124*1000*10, L124&lt;0, K124*$G124/$F124*1000*10, L124&lt;120, I124*$G124/$F124*1000, L124&gt;120, K124*$G124/$F124*1000*10)</f>
        <v>10284145.096390337</v>
      </c>
      <c r="N124" s="121">
        <f t="shared" si="19"/>
        <v>9534312.4342822526</v>
      </c>
      <c r="O124" s="121">
        <f t="shared" si="20"/>
        <v>1060423.520263575</v>
      </c>
      <c r="P124" s="121">
        <f t="shared" si="21"/>
        <v>749832.66210808419</v>
      </c>
      <c r="Q124" s="125" cm="1">
        <f t="array" ref="Q124">_xlfn.IFS(N124="DELETE", "DELETE", N124=0, 0, N124&gt;0,LOG10(N124))</f>
        <v>6.9792893794204227</v>
      </c>
      <c r="R124" s="126" cm="1">
        <f t="array" ref="R124">_xlfn.IFS(N124="DELETE", "DELETE", N124=0, 0, N124&gt;0, P124/N124/LN(10))</f>
        <v>3.4155392929378178E-2</v>
      </c>
      <c r="S124" s="155">
        <f>qPCR_Raw!O124</f>
        <v>33.117893218994141</v>
      </c>
      <c r="T124" s="156" cm="1">
        <f t="array" ref="T124">_xlfn.IFS(S124="Undetermined", 0, qPCR_Raw!P124&lt;=1, 0, qPCR_Raw!P124&gt;1, qPCR_Raw!P124)</f>
        <v>22.502323150634766</v>
      </c>
      <c r="U124" s="157">
        <f>qPCR_Raw!R124</f>
        <v>37.478874206542969</v>
      </c>
      <c r="V124" s="156" cm="1">
        <f t="array" ref="V124">_xlfn.IFS(U124="Undetermined", 0, qPCR_Raw!S124&lt;=1, 0, qPCR_Raw!S124&gt;1, qPCR_Raw!S124)</f>
        <v>1.4451757669448853</v>
      </c>
      <c r="W124" s="158" cm="1">
        <f t="array" ref="W124">_xlfn.IFS(AND(S124="Undetermined", U124="Undetermined"), "Undetermined", AND(T124=0, V124=0), "Undetermined", AND(T124=0, V124&gt;0), "Ten-Fold", AND(T124&gt;0, V124=0), "Undiluted", AND(S124&lt;&gt;"Undetermined", U124&lt;&gt;"Undetermined", T124&gt;0, V124&gt;0, S124&lt;&gt;U124), 100*(-1+10^(-1/(S124-U124))), AND(S124&lt;&gt;"Undetermined", U124&lt;&gt;"Undetermined", S124=U124&gt;0), -100)</f>
        <v>69.5532836397079</v>
      </c>
      <c r="X124" s="159" cm="1">
        <f t="array" ref="X124">_xlfn.IFS(W124="Undetermined", 0, W124="Undiluted", T124*$G124/$F124*1000, W124="Ten-Fold", V124*$G124/$F124*1000*10, W124&lt;0, V124*$G124/$F124*1000*10, W124&lt;120, T124*$G124/$F124*1000, W124&gt;120, V124*$G124/$F124*1000*10)</f>
        <v>2500.2581278483071</v>
      </c>
      <c r="Y124" s="156">
        <f t="shared" si="22"/>
        <v>3184.9360238938107</v>
      </c>
      <c r="Z124" s="156">
        <f t="shared" si="23"/>
        <v>968.28076644462453</v>
      </c>
      <c r="AA124" s="156">
        <f t="shared" si="24"/>
        <v>684.6778960455016</v>
      </c>
      <c r="AB124" s="160" cm="1">
        <f t="array" ref="AB124">_xlfn.IFS(Y124="DELETE", "DELETE", Y124=0, 0, Y124&gt;0,LOG10(Y124))</f>
        <v>3.5031007130453271</v>
      </c>
      <c r="AC124" s="161" cm="1">
        <f t="array" ref="AC124">_xlfn.IFS(Y124="DELETE", "DELETE", Y124=0, 0, Y124&gt;0, AA124/Y124/LN(10))</f>
        <v>9.3361948215887822E-2</v>
      </c>
      <c r="AD124" s="120">
        <f>qPCR_Raw!U124</f>
        <v>31.692266464233398</v>
      </c>
      <c r="AE124" s="121" cm="1">
        <f t="array" ref="AE124">_xlfn.IFS(AD124="Undetermined", 0, qPCR_Raw!V124&lt;=1, 0, qPCR_Raw!V124&gt;1, qPCR_Raw!V124)</f>
        <v>9.9164361953735352</v>
      </c>
      <c r="AF124" s="122">
        <f>qPCR_Raw!X124</f>
        <v>34.5980224609375</v>
      </c>
      <c r="AG124" s="121" cm="1">
        <f t="array" ref="AG124">_xlfn.IFS(AF124="Undetermined", 0, qPCR_Raw!Y124&lt;=1, 0, qPCR_Raw!Y124&gt;1, qPCR_Raw!Y124)</f>
        <v>1.4904308319091797</v>
      </c>
      <c r="AH124" s="123" cm="1">
        <f t="array" ref="AH124">_xlfn.IFS(AND(AD124="Undetermined", AF124="Undetermined"), "Undetermined", AND(AE124=0, AG124=0), "Undetermined", AND(AE124=0, AG124&gt;0), "Ten-Fold", AND(AE124&gt;0, AG124=0), "Undiluted", AND(AD124&lt;&gt;"Undetermined", AF124&lt;&gt;"Undetermined", AE124&gt;0, AG124&gt;0, AD124&lt;&gt;AF124), 100*(-1+10^(-1/(AD124-AF124))), AND(AD124&lt;&gt;"Undetermined", AF124&lt;&gt;"Undetermined", AD124=AF124&gt;0), -100)</f>
        <v>120.87396073657376</v>
      </c>
      <c r="AI124" s="124" cm="1">
        <f t="array" ref="AI124">_xlfn.IFS(AH124="Undetermined", 0, AH124="Undiluted", AE124*$G124/$F124*1000, AH124="Ten-Fold", AG124*$G124/$F124*1000*10, AH124&lt;0, AG124*$G124/$F124*1000*10, AH124&lt;120, AE124*$G124/$F124*1000, AH124&gt;120, AG124*$G124/$F124*1000*10)</f>
        <v>1656.0342576768664</v>
      </c>
      <c r="AJ124" s="121">
        <f t="shared" si="25"/>
        <v>1117.8190272951883</v>
      </c>
      <c r="AK124" s="121">
        <f t="shared" si="26"/>
        <v>761.15127828152913</v>
      </c>
      <c r="AL124" s="121">
        <f t="shared" si="27"/>
        <v>538.21523038167811</v>
      </c>
      <c r="AM124" s="125" cm="1">
        <f t="array" ref="AM124">_xlfn.IFS(AJ124="DELETE", "DELETE", AJ124=0, 0, AJ124&gt;0,LOG10(AJ124))</f>
        <v>3.048371497817886</v>
      </c>
      <c r="AN124" s="126" cm="1">
        <f t="array" ref="AN124">_xlfn.IFS(AJ124="DELETE", "DELETE", AJ124=0, 0, AJ124&gt;0, AL124/AJ124/LN(10))</f>
        <v>0.20910710850632552</v>
      </c>
      <c r="AO124" s="155">
        <f>qPCR_Raw!AA124</f>
        <v>30.088014602661133</v>
      </c>
      <c r="AP124" s="156" cm="1">
        <f t="array" ref="AP124">_xlfn.IFS(AO124="Undetermined", 0, qPCR_Raw!AB124&lt;=6, 0, qPCR_Raw!AB124&gt;6, qPCR_Raw!AB124)</f>
        <v>7.2883214950561523</v>
      </c>
      <c r="AQ124" s="157">
        <f>qPCR_Raw!AD124</f>
        <v>32.397274017333984</v>
      </c>
      <c r="AR124" s="156" cm="1">
        <f t="array" ref="AR124">_xlfn.IFS(AQ124="Undetermined", 0, qPCR_Raw!AE124&lt;=6, 0, qPCR_Raw!AE124&gt;6, qPCR_Raw!AE124)</f>
        <v>0</v>
      </c>
      <c r="AS124" s="158" t="str" cm="1">
        <f t="array" ref="AS124">_xlfn.IFS(AND(AO124="Undetermined", AQ124="Undetermined"), "Undetermined", AND(AP124=0, AR124=0), "Undetermined", AND(AP124=0, AR124&gt;0), "Ten-Fold", AND(AP124&gt;0, AR124=0), "Undiluted", AND(AO124&lt;&gt;"Undetermined", AQ124&lt;&gt;"Undetermined", AP124&gt;0, AR124&gt;0, AO124&lt;&gt;AQ124), 100*(-1+10^(-1/(AO124-AQ124))), AND(AO124&lt;&gt;"Undetermined", AQ124&lt;&gt;"Undetermined", AO124=AQ124&gt;0), -100)</f>
        <v>Undiluted</v>
      </c>
      <c r="AT124" s="159" cm="1">
        <f t="array" ref="AT124">_xlfn.IFS(AS124="Undetermined", 0, AS124="Undiluted", AP124*$G124/$F124*1000, AS124="Ten-Fold", AR124*$G124/$F124*1000*10, AS124&lt;0, AR124*$G124/$F124*1000*10, AS124&lt;120, AP124*$G124/$F124*1000, AS124&gt;120, AR124*$G124/$F124*1000*10)</f>
        <v>809.81349945068359</v>
      </c>
      <c r="AU124" s="156">
        <f t="shared" si="34"/>
        <v>1153.1784647987001</v>
      </c>
      <c r="AV124" s="156">
        <f t="shared" si="35"/>
        <v>485.59139083893365</v>
      </c>
      <c r="AW124" s="156">
        <f t="shared" si="36"/>
        <v>343.36496534801711</v>
      </c>
      <c r="AX124" s="160" cm="1">
        <f t="array" ref="AX124">_xlfn.IFS(AU124="DELETE", "DELETE", AU124=0, 0, AU124&gt;0,LOG10(AU124))</f>
        <v>3.06189652349555</v>
      </c>
      <c r="AY124" s="161" cm="1">
        <f t="array" ref="AY124">_xlfn.IFS(AU124="DELETE", "DELETE", AU124=0, 0, AU124&gt;0, AW124/AU124/LN(10))</f>
        <v>0.12931347079532557</v>
      </c>
      <c r="AZ124" s="120">
        <f>qPCR_Raw!AG124</f>
        <v>35.247604370117188</v>
      </c>
      <c r="BA124" s="121" cm="1">
        <f t="array" ref="BA124">_xlfn.IFS(AZ124="Undetermined", 0, qPCR_Raw!AH124&lt;=1, 0, qPCR_Raw!AH124&gt;1, qPCR_Raw!AH124)</f>
        <v>2.600999116897583</v>
      </c>
      <c r="BB124" s="122" t="str">
        <f>qPCR_Raw!AJ124</f>
        <v>Undetermined</v>
      </c>
      <c r="BC124" s="121" cm="1">
        <f t="array" ref="BC124">_xlfn.IFS(BB124="Undetermined", 0, qPCR_Raw!AK124&lt;=1, 0, qPCR_Raw!AK124&gt;1, qPCR_Raw!AK124)</f>
        <v>0</v>
      </c>
      <c r="BD124" s="123" t="str" cm="1">
        <f t="array" ref="BD124">_xlfn.IFS(AND(AZ124="Undetermined", BB124="Undetermined"), "Undetermined", AND(BA124=0, BC124=0), "Undetermined", AND(BA124=0, BC124&gt;0), "Ten-Fold", AND(BA124&gt;0, BC124=0), "Undiluted", AND(AZ124&lt;&gt;"Undetermined", BB124&lt;&gt;"Undetermined", BA124&gt;0, BC124&gt;0, AZ124&lt;&gt;BB124), 100*(-1+10^(-1/(AZ124-BB124))), AND(AZ124&lt;&gt;"Undetermined", BB124&lt;&gt;"Undetermined", AZ124=BB124&gt;0), -100)</f>
        <v>Undiluted</v>
      </c>
      <c r="BE124" s="124" cm="1">
        <f t="array" ref="BE124">_xlfn.IFS(BD124="Undetermined", 0, BD124="Undiluted", BA124*$G124/$F124*1000, BD124="Ten-Fold", BC124*$G124/$F124*1000*10, BD124&lt;0, BC124*$G124/$F124*1000*10, BD124&lt;120, BA124*$G124/$F124*1000, BD124&gt;120, BC124*$G124/$F124*1000*10)</f>
        <v>288.99990187750922</v>
      </c>
      <c r="BF124" s="121">
        <f t="shared" si="31"/>
        <v>225.24785333209567</v>
      </c>
      <c r="BG124" s="121">
        <f t="shared" si="32"/>
        <v>90.159011681991743</v>
      </c>
      <c r="BH124" s="121">
        <f t="shared" si="33"/>
        <v>63.752048545413516</v>
      </c>
      <c r="BI124" s="125" cm="1">
        <f t="array" ref="BI124">_xlfn.IFS(BF124="DELETE", "DELETE", BF124=0, 0, BF124&gt;0,LOG10(BF124))</f>
        <v>2.3526606607367042</v>
      </c>
      <c r="BJ124" s="126" cm="1">
        <f t="array" ref="BJ124">_xlfn.IFS(BF124="DELETE", "DELETE", BF124=0, 0, BF124&gt;0, BH124/BF124/LN(10))</f>
        <v>0.1229186537572927</v>
      </c>
    </row>
    <row r="125" spans="1:62" s="114" customFormat="1" x14ac:dyDescent="0.3">
      <c r="A125" s="115" t="str">
        <f>UPPER(LEFT(SUBSTITUTE(SUBSTITUTE(qPCR_Raw!A125,"-","")," ",""),2))&amp;RIGHT(SUBSTITUTE(SUBSTITUTE(qPCR_Raw!A125,"-","")," ",""),LEN(SUBSTITUTE(SUBSTITUTE(qPCR_Raw!A125,"-","")," ",""))-2)</f>
        <v>EP7</v>
      </c>
      <c r="B125" s="116" t="str" cm="1">
        <f t="array" ref="B125">_xlfn.IFS(LEFT(A125, LEN(A125)-1)="EP", "EP", LEFT(A125, LEN(A125)-1)="STa", "SPI", LEFT(A125, LEN(A125)-1)="STb", "SPO", LEFT(A125, LEN(A125)-1)="MRT", "MRT", LEFT(A125, LEN(A125)-1)="RG", "RN", LEFT(A125, LEN(A125)-1)="RT", "RU", LEFT(A125, LEN(A125)-1)="RW", "RL", LEFT(A125, LEN(A125)-1)="RC", "RS")</f>
        <v>EP</v>
      </c>
      <c r="C125" s="117">
        <f>qPCR_Raw!B125</f>
        <v>44391</v>
      </c>
      <c r="D125" s="117" t="str">
        <f t="shared" si="17"/>
        <v>EP44391</v>
      </c>
      <c r="E125" s="117" t="str">
        <f t="shared" si="18"/>
        <v>EP443917</v>
      </c>
      <c r="F125" s="118">
        <f>qPCR_Raw!C125</f>
        <v>840</v>
      </c>
      <c r="G125" s="119">
        <f>qPCR_Raw!F125</f>
        <v>100</v>
      </c>
      <c r="H125" s="120">
        <f>qPCR_Raw!G125</f>
        <v>19.596658706665039</v>
      </c>
      <c r="I125" s="121" cm="1">
        <f t="array" ref="I125">_xlfn.IFS(H125="Undetermined", 0, qPCR_Raw!H125-qPCR_Raw!$H$242&lt;0, 0, qPCR_Raw!H125-qPCR_Raw!$H$242&gt;0, qPCR_Raw!H125-qPCR_Raw!$H$242)</f>
        <v>112285.79113362631</v>
      </c>
      <c r="J125" s="122">
        <f>qPCR_Raw!K125</f>
        <v>22.407419204711914</v>
      </c>
      <c r="K125" s="121" cm="1">
        <f t="array" ref="K125">_xlfn.IFS(J125="Undetermined", 0, qPCR_Raw!L125-qPCR_Raw!$H$242&lt;0, 0, qPCR_Raw!L125-qPCR_Raw!$H$242&gt;0, qPCR_Raw!L125-qPCR_Raw!$H$242)</f>
        <v>7378.9630086263023</v>
      </c>
      <c r="L125" s="123" cm="1">
        <f t="array" ref="L125">_xlfn.IFS(AND(H125="Undetermined", J125="Undetermined"), "Undetermined", AND(I125=0, K125=0), "Undetermined", AND(I125=0, K125&gt;0), "Ten-Fold", AND(I125&gt;0, K125=0), "Undiluted", AND(H125&lt;&gt;"Undetermined", J125&lt;&gt;"Undetermined", I125&gt;0, K125&gt;0), 100*(-1+10^(-1/(H125-J125))))</f>
        <v>126.86923105273627</v>
      </c>
      <c r="M125" s="124" cm="1">
        <f t="array" ref="M125">_xlfn.IFS(L125="Undetermined", 0, L125="Undiluted", I125*$G125/$F125*1000, L125="Ten-Fold", K125*$G125/$F125*1000*10, L125&lt;0, K125*$G125/$F125*1000*10, L125&lt;120, I125*$G125/$F125*1000, L125&gt;120, K125*$G125/$F125*1000*10)</f>
        <v>8784479.7721741684</v>
      </c>
      <c r="N125" s="121" t="str">
        <f t="shared" si="19"/>
        <v>DELETE</v>
      </c>
      <c r="O125" s="121" t="str">
        <f t="shared" si="20"/>
        <v>DELETE</v>
      </c>
      <c r="P125" s="121" t="str">
        <f t="shared" si="21"/>
        <v>DELETE</v>
      </c>
      <c r="Q125" s="125" t="str" cm="1">
        <f t="array" ref="Q125">_xlfn.IFS(N125="DELETE", "DELETE", N125=0, 0, N125&gt;0,LOG10(N125))</f>
        <v>DELETE</v>
      </c>
      <c r="R125" s="126" t="str" cm="1">
        <f t="array" ref="R125">_xlfn.IFS(N125="DELETE", "DELETE", N125=0, 0, N125&gt;0, P125/N125/LN(10))</f>
        <v>DELETE</v>
      </c>
      <c r="S125" s="155">
        <f>qPCR_Raw!O125</f>
        <v>32.533702850341797</v>
      </c>
      <c r="T125" s="156" cm="1">
        <f t="array" ref="T125">_xlfn.IFS(S125="Undetermined", 0, qPCR_Raw!P125&lt;=1, 0, qPCR_Raw!P125&gt;1, qPCR_Raw!P125)</f>
        <v>32.504756927490234</v>
      </c>
      <c r="U125" s="157" t="str">
        <f>qPCR_Raw!R125</f>
        <v>Undetermined</v>
      </c>
      <c r="V125" s="156" cm="1">
        <f t="array" ref="V125">_xlfn.IFS(U125="Undetermined", 0, qPCR_Raw!S125&lt;=1, 0, qPCR_Raw!S125&gt;1, qPCR_Raw!S125)</f>
        <v>0</v>
      </c>
      <c r="W125" s="158" t="str" cm="1">
        <f t="array" ref="W125">_xlfn.IFS(AND(S125="Undetermined", U125="Undetermined"), "Undetermined", AND(T125=0, V125=0), "Undetermined", AND(T125=0, V125&gt;0), "Ten-Fold", AND(T125&gt;0, V125=0), "Undiluted", AND(S125&lt;&gt;"Undetermined", U125&lt;&gt;"Undetermined", T125&gt;0, V125&gt;0, S125&lt;&gt;U125), 100*(-1+10^(-1/(S125-U125))), AND(S125&lt;&gt;"Undetermined", U125&lt;&gt;"Undetermined", S125=U125&gt;0), -100)</f>
        <v>Undiluted</v>
      </c>
      <c r="X125" s="159" cm="1">
        <f t="array" ref="X125">_xlfn.IFS(W125="Undetermined", 0, W125="Undiluted", T125*$G125/$F125*1000, W125="Ten-Fold", V125*$G125/$F125*1000*10, W125&lt;0, V125*$G125/$F125*1000*10, W125&lt;120, T125*$G125/$F125*1000, W125&gt;120, V125*$G125/$F125*1000*10)</f>
        <v>3869.6139199393137</v>
      </c>
      <c r="Y125" s="156" t="str">
        <f t="shared" si="22"/>
        <v>DELETE</v>
      </c>
      <c r="Z125" s="156" t="str">
        <f t="shared" si="23"/>
        <v>DELETE</v>
      </c>
      <c r="AA125" s="156" t="str">
        <f t="shared" si="24"/>
        <v>DELETE</v>
      </c>
      <c r="AB125" s="160" t="str" cm="1">
        <f t="array" ref="AB125">_xlfn.IFS(Y125="DELETE", "DELETE", Y125=0, 0, Y125&gt;0,LOG10(Y125))</f>
        <v>DELETE</v>
      </c>
      <c r="AC125" s="161" t="str" cm="1">
        <f t="array" ref="AC125">_xlfn.IFS(Y125="DELETE", "DELETE", Y125=0, 0, Y125&gt;0, AA125/Y125/LN(10))</f>
        <v>DELETE</v>
      </c>
      <c r="AD125" s="120">
        <f>qPCR_Raw!U125</f>
        <v>32.782997131347656</v>
      </c>
      <c r="AE125" s="121" cm="1">
        <f t="array" ref="AE125">_xlfn.IFS(AD125="Undetermined", 0, qPCR_Raw!V125&lt;=1, 0, qPCR_Raw!V125&gt;1, qPCR_Raw!V125)</f>
        <v>4.8686718940734863</v>
      </c>
      <c r="AF125" s="122">
        <f>qPCR_Raw!X125</f>
        <v>36.031879425048828</v>
      </c>
      <c r="AG125" s="121" cm="1">
        <f t="array" ref="AG125">_xlfn.IFS(AF125="Undetermined", 0, qPCR_Raw!Y125&lt;=1, 0, qPCR_Raw!Y125&gt;1, qPCR_Raw!Y125)</f>
        <v>0</v>
      </c>
      <c r="AH125" s="123" t="str" cm="1">
        <f t="array" ref="AH125">_xlfn.IFS(AND(AD125="Undetermined", AF125="Undetermined"), "Undetermined", AND(AE125=0, AG125=0), "Undetermined", AND(AE125=0, AG125&gt;0), "Ten-Fold", AND(AE125&gt;0, AG125=0), "Undiluted", AND(AD125&lt;&gt;"Undetermined", AF125&lt;&gt;"Undetermined", AE125&gt;0, AG125&gt;0, AD125&lt;&gt;AF125), 100*(-1+10^(-1/(AD125-AF125))), AND(AD125&lt;&gt;"Undetermined", AF125&lt;&gt;"Undetermined", AD125=AF125&gt;0), -100)</f>
        <v>Undiluted</v>
      </c>
      <c r="AI125" s="124" cm="1">
        <f t="array" ref="AI125">_xlfn.IFS(AH125="Undetermined", 0, AH125="Undiluted", AE125*$G125/$F125*1000, AH125="Ten-Fold", AG125*$G125/$F125*1000*10, AH125&lt;0, AG125*$G125/$F125*1000*10, AH125&lt;120, AE125*$G125/$F125*1000, AH125&gt;120, AG125*$G125/$F125*1000*10)</f>
        <v>579.60379691351022</v>
      </c>
      <c r="AJ125" s="121" t="str">
        <f t="shared" si="25"/>
        <v>DELETE</v>
      </c>
      <c r="AK125" s="121" t="str">
        <f t="shared" si="26"/>
        <v>DELETE</v>
      </c>
      <c r="AL125" s="121" t="str">
        <f t="shared" si="27"/>
        <v>DELETE</v>
      </c>
      <c r="AM125" s="125" t="str" cm="1">
        <f t="array" ref="AM125">_xlfn.IFS(AJ125="DELETE", "DELETE", AJ125=0, 0, AJ125&gt;0,LOG10(AJ125))</f>
        <v>DELETE</v>
      </c>
      <c r="AN125" s="126" t="str" cm="1">
        <f t="array" ref="AN125">_xlfn.IFS(AJ125="DELETE", "DELETE", AJ125=0, 0, AJ125&gt;0, AL125/AJ125/LN(10))</f>
        <v>DELETE</v>
      </c>
      <c r="AO125" s="155">
        <f>qPCR_Raw!AA125</f>
        <v>29.221660614013672</v>
      </c>
      <c r="AP125" s="156" cm="1">
        <f t="array" ref="AP125">_xlfn.IFS(AO125="Undetermined", 0, qPCR_Raw!AB125&lt;=6, 0, qPCR_Raw!AB125&gt;6, qPCR_Raw!AB125)</f>
        <v>12.570964813232422</v>
      </c>
      <c r="AQ125" s="157">
        <f>qPCR_Raw!AD125</f>
        <v>32.272499084472656</v>
      </c>
      <c r="AR125" s="156" cm="1">
        <f t="array" ref="AR125">_xlfn.IFS(AQ125="Undetermined", 0, qPCR_Raw!AE125&lt;=6, 0, qPCR_Raw!AE125&gt;6, qPCR_Raw!AE125)</f>
        <v>0</v>
      </c>
      <c r="AS125" s="158" t="str" cm="1">
        <f t="array" ref="AS125">_xlfn.IFS(AND(AO125="Undetermined", AQ125="Undetermined"), "Undetermined", AND(AP125=0, AR125=0), "Undetermined", AND(AP125=0, AR125&gt;0), "Ten-Fold", AND(AP125&gt;0, AR125=0), "Undiluted", AND(AO125&lt;&gt;"Undetermined", AQ125&lt;&gt;"Undetermined", AP125&gt;0, AR125&gt;0, AO125&lt;&gt;AQ125), 100*(-1+10^(-1/(AO125-AQ125))), AND(AO125&lt;&gt;"Undetermined", AQ125&lt;&gt;"Undetermined", AO125=AQ125&gt;0), -100)</f>
        <v>Undiluted</v>
      </c>
      <c r="AT125" s="159" cm="1">
        <f t="array" ref="AT125">_xlfn.IFS(AS125="Undetermined", 0, AS125="Undiluted", AP125*$G125/$F125*1000, AS125="Ten-Fold", AR125*$G125/$F125*1000*10, AS125&lt;0, AR125*$G125/$F125*1000*10, AS125&lt;120, AP125*$G125/$F125*1000, AS125&gt;120, AR125*$G125/$F125*1000*10)</f>
        <v>1496.5434301467169</v>
      </c>
      <c r="AU125" s="156" t="str">
        <f t="shared" si="34"/>
        <v>DELETE</v>
      </c>
      <c r="AV125" s="156" t="str">
        <f t="shared" si="35"/>
        <v>DELETE</v>
      </c>
      <c r="AW125" s="156" t="str">
        <f t="shared" si="36"/>
        <v>DELETE</v>
      </c>
      <c r="AX125" s="160" t="str" cm="1">
        <f t="array" ref="AX125">_xlfn.IFS(AU125="DELETE", "DELETE", AU125=0, 0, AU125&gt;0,LOG10(AU125))</f>
        <v>DELETE</v>
      </c>
      <c r="AY125" s="161" t="str" cm="1">
        <f t="array" ref="AY125">_xlfn.IFS(AU125="DELETE", "DELETE", AU125=0, 0, AU125&gt;0, AW125/AU125/LN(10))</f>
        <v>DELETE</v>
      </c>
      <c r="AZ125" s="120">
        <f>qPCR_Raw!AG125</f>
        <v>36.296504974365234</v>
      </c>
      <c r="BA125" s="121" cm="1">
        <f t="array" ref="BA125">_xlfn.IFS(AZ125="Undetermined", 0, qPCR_Raw!AH125&lt;=1, 0, qPCR_Raw!AH125&gt;1, qPCR_Raw!AH125)</f>
        <v>1.3565647602081299</v>
      </c>
      <c r="BB125" s="122" t="str">
        <f>qPCR_Raw!AJ125</f>
        <v>Undetermined</v>
      </c>
      <c r="BC125" s="121" cm="1">
        <f t="array" ref="BC125">_xlfn.IFS(BB125="Undetermined", 0, qPCR_Raw!AK125&lt;=1, 0, qPCR_Raw!AK125&gt;1, qPCR_Raw!AK125)</f>
        <v>0</v>
      </c>
      <c r="BD125" s="123" t="str" cm="1">
        <f t="array" ref="BD125">_xlfn.IFS(AND(AZ125="Undetermined", BB125="Undetermined"), "Undetermined", AND(BA125=0, BC125=0), "Undetermined", AND(BA125=0, BC125&gt;0), "Ten-Fold", AND(BA125&gt;0, BC125=0), "Undiluted", AND(AZ125&lt;&gt;"Undetermined", BB125&lt;&gt;"Undetermined", BA125&gt;0, BC125&gt;0, AZ125&lt;&gt;BB125), 100*(-1+10^(-1/(AZ125-BB125))), AND(AZ125&lt;&gt;"Undetermined", BB125&lt;&gt;"Undetermined", AZ125=BB125&gt;0), -100)</f>
        <v>Undiluted</v>
      </c>
      <c r="BE125" s="124" cm="1">
        <f t="array" ref="BE125">_xlfn.IFS(BD125="Undetermined", 0, BD125="Undiluted", BA125*$G125/$F125*1000, BD125="Ten-Fold", BC125*$G125/$F125*1000*10, BD125&lt;0, BC125*$G125/$F125*1000*10, BD125&lt;120, BA125*$G125/$F125*1000, BD125&gt;120, BC125*$G125/$F125*1000*10)</f>
        <v>161.49580478668213</v>
      </c>
      <c r="BF125" s="121" t="str">
        <f t="shared" si="31"/>
        <v>DELETE</v>
      </c>
      <c r="BG125" s="121" t="str">
        <f t="shared" si="32"/>
        <v>DELETE</v>
      </c>
      <c r="BH125" s="121" t="str">
        <f t="shared" si="33"/>
        <v>DELETE</v>
      </c>
      <c r="BI125" s="125" t="str" cm="1">
        <f t="array" ref="BI125">_xlfn.IFS(BF125="DELETE", "DELETE", BF125=0, 0, BF125&gt;0,LOG10(BF125))</f>
        <v>DELETE</v>
      </c>
      <c r="BJ125" s="126" t="str" cm="1">
        <f t="array" ref="BJ125">_xlfn.IFS(BF125="DELETE", "DELETE", BF125=0, 0, BF125&gt;0, BH125/BF125/LN(10))</f>
        <v>DELETE</v>
      </c>
    </row>
    <row r="126" spans="1:62" s="114" customFormat="1" x14ac:dyDescent="0.3">
      <c r="A126" s="115" t="str">
        <f>UPPER(LEFT(SUBSTITUTE(SUBSTITUTE(qPCR_Raw!A126,"-","")," ",""),2))&amp;RIGHT(SUBSTITUTE(SUBSTITUTE(qPCR_Raw!A126,"-","")," ",""),LEN(SUBSTITUTE(SUBSTITUTE(qPCR_Raw!A126,"-","")," ",""))-2)</f>
        <v>RW6</v>
      </c>
      <c r="B126" s="116" t="str" cm="1">
        <f t="array" ref="B126">_xlfn.IFS(LEFT(A126, LEN(A126)-1)="EP", "EP", LEFT(A126, LEN(A126)-1)="STa", "SPI", LEFT(A126, LEN(A126)-1)="STb", "SPO", LEFT(A126, LEN(A126)-1)="MRT", "MRT", LEFT(A126, LEN(A126)-1)="RG", "RN", LEFT(A126, LEN(A126)-1)="RT", "RU", LEFT(A126, LEN(A126)-1)="RW", "RL", LEFT(A126, LEN(A126)-1)="RC", "RS")</f>
        <v>RL</v>
      </c>
      <c r="C126" s="117">
        <f>qPCR_Raw!B126</f>
        <v>44391</v>
      </c>
      <c r="D126" s="117" t="str">
        <f t="shared" si="17"/>
        <v>RL44391</v>
      </c>
      <c r="E126" s="117" t="str">
        <f t="shared" si="18"/>
        <v>RL443916</v>
      </c>
      <c r="F126" s="118">
        <f>qPCR_Raw!C126</f>
        <v>900</v>
      </c>
      <c r="G126" s="119">
        <f>qPCR_Raw!F126</f>
        <v>100</v>
      </c>
      <c r="H126" s="120">
        <f>qPCR_Raw!G126</f>
        <v>18.445796966552734</v>
      </c>
      <c r="I126" s="121" cm="1">
        <f t="array" ref="I126">_xlfn.IFS(H126="Undetermined", 0, qPCR_Raw!H126-qPCR_Raw!$H$242&lt;0, 0, qPCR_Raw!H126-qPCR_Raw!$H$242&gt;0, qPCR_Raw!H126-qPCR_Raw!$H$242)</f>
        <v>250595.08019612631</v>
      </c>
      <c r="J126" s="122">
        <f>qPCR_Raw!K126</f>
        <v>21.244417190551758</v>
      </c>
      <c r="K126" s="121" cm="1">
        <f t="array" ref="K126">_xlfn.IFS(J126="Undetermined", 0, qPCR_Raw!L126-qPCR_Raw!$H$242&lt;0, 0, qPCR_Raw!L126-qPCR_Raw!$H$242&gt;0, qPCR_Raw!L126-qPCR_Raw!$H$242)</f>
        <v>30197.795039876302</v>
      </c>
      <c r="L126" s="123" cm="1">
        <f t="array" ref="L126">_xlfn.IFS(AND(H126="Undetermined", J126="Undetermined"), "Undetermined", AND(I126=0, K126=0), "Undetermined", AND(I126=0, K126&gt;0), "Ten-Fold", AND(I126&gt;0, K126=0), "Undiluted", AND(H126&lt;&gt;"Undetermined", J126&lt;&gt;"Undetermined", I126&gt;0, K126&gt;0), 100*(-1+10^(-1/(H126-J126))))</f>
        <v>127.67688229496845</v>
      </c>
      <c r="M126" s="124" cm="1">
        <f t="array" ref="M126">_xlfn.IFS(L126="Undetermined", 0, L126="Undiluted", I126*$G126/$F126*1000, L126="Ten-Fold", K126*$G126/$F126*1000*10, L126&lt;0, K126*$G126/$F126*1000*10, L126&lt;120, I126*$G126/$F126*1000, L126&gt;120, K126*$G126/$F126*1000*10)</f>
        <v>33553105.599862561</v>
      </c>
      <c r="N126" s="121">
        <f t="shared" si="19"/>
        <v>415370905.20958984</v>
      </c>
      <c r="O126" s="121">
        <f t="shared" si="20"/>
        <v>539971910.5635289</v>
      </c>
      <c r="P126" s="121">
        <f t="shared" si="21"/>
        <v>381817799.6097272</v>
      </c>
      <c r="Q126" s="125" cm="1">
        <f t="array" ref="Q126">_xlfn.IFS(N126="DELETE", "DELETE", N126=0, 0, N126&gt;0,LOG10(N126))</f>
        <v>8.618436072965924</v>
      </c>
      <c r="R126" s="126" cm="1">
        <f t="array" ref="R126">_xlfn.IFS(N126="DELETE", "DELETE", N126=0, 0, N126&gt;0, P126/N126/LN(10))</f>
        <v>0.39921275511407123</v>
      </c>
      <c r="S126" s="155">
        <f>qPCR_Raw!O126</f>
        <v>35.772384643554688</v>
      </c>
      <c r="T126" s="156" cm="1">
        <f t="array" ref="T126">_xlfn.IFS(S126="Undetermined", 0, qPCR_Raw!P126&lt;=1, 0, qPCR_Raw!P126&gt;1, qPCR_Raw!P126)</f>
        <v>4.2313656806945801</v>
      </c>
      <c r="U126" s="157">
        <f>qPCR_Raw!R126</f>
        <v>39.119941711425781</v>
      </c>
      <c r="V126" s="156" cm="1">
        <f t="array" ref="V126">_xlfn.IFS(U126="Undetermined", 0, qPCR_Raw!S126&lt;=1, 0, qPCR_Raw!S126&gt;1, qPCR_Raw!S126)</f>
        <v>0</v>
      </c>
      <c r="W126" s="158" t="str" cm="1">
        <f t="array" ref="W126">_xlfn.IFS(AND(S126="Undetermined", U126="Undetermined"), "Undetermined", AND(T126=0, V126=0), "Undetermined", AND(T126=0, V126&gt;0), "Ten-Fold", AND(T126&gt;0, V126=0), "Undiluted", AND(S126&lt;&gt;"Undetermined", U126&lt;&gt;"Undetermined", T126&gt;0, V126&gt;0, S126&lt;&gt;U126), 100*(-1+10^(-1/(S126-U126))), AND(S126&lt;&gt;"Undetermined", U126&lt;&gt;"Undetermined", S126=U126&gt;0), -100)</f>
        <v>Undiluted</v>
      </c>
      <c r="X126" s="159" cm="1">
        <f t="array" ref="X126">_xlfn.IFS(W126="Undetermined", 0, W126="Undiluted", T126*$G126/$F126*1000, W126="Ten-Fold", V126*$G126/$F126*1000*10, W126&lt;0, V126*$G126/$F126*1000*10, W126&lt;120, T126*$G126/$F126*1000, W126&gt;120, V126*$G126/$F126*1000*10)</f>
        <v>470.15174229939777</v>
      </c>
      <c r="Y126" s="156">
        <f t="shared" si="22"/>
        <v>235.07587114969888</v>
      </c>
      <c r="Z126" s="156">
        <f t="shared" si="23"/>
        <v>332.44748516657432</v>
      </c>
      <c r="AA126" s="156">
        <f t="shared" si="24"/>
        <v>235.07587114969886</v>
      </c>
      <c r="AB126" s="160" cm="1">
        <f t="array" ref="AB126">_xlfn.IFS(Y126="DELETE", "DELETE", Y126=0, 0, Y126&gt;0,LOG10(Y126))</f>
        <v>2.371208054202266</v>
      </c>
      <c r="AC126" s="161" cm="1">
        <f t="array" ref="AC126">_xlfn.IFS(Y126="DELETE", "DELETE", Y126=0, 0, Y126&gt;0, AA126/Y126/LN(10))</f>
        <v>0.43429448190325176</v>
      </c>
      <c r="AD126" s="120">
        <f>qPCR_Raw!U126</f>
        <v>32.947036743164063</v>
      </c>
      <c r="AE126" s="121" cm="1">
        <f t="array" ref="AE126">_xlfn.IFS(AD126="Undetermined", 0, qPCR_Raw!V126&lt;=1, 0, qPCR_Raw!V126&gt;1, qPCR_Raw!V126)</f>
        <v>4.3746867179870605</v>
      </c>
      <c r="AF126" s="122">
        <f>qPCR_Raw!X126</f>
        <v>35.334278106689453</v>
      </c>
      <c r="AG126" s="121" cm="1">
        <f t="array" ref="AG126">_xlfn.IFS(AF126="Undetermined", 0, qPCR_Raw!Y126&lt;=1, 0, qPCR_Raw!Y126&gt;1, qPCR_Raw!Y126)</f>
        <v>0</v>
      </c>
      <c r="AH126" s="123" t="str" cm="1">
        <f t="array" ref="AH126">_xlfn.IFS(AND(AD126="Undetermined", AF126="Undetermined"), "Undetermined", AND(AE126=0, AG126=0), "Undetermined", AND(AE126=0, AG126&gt;0), "Ten-Fold", AND(AE126&gt;0, AG126=0), "Undiluted", AND(AD126&lt;&gt;"Undetermined", AF126&lt;&gt;"Undetermined", AE126&gt;0, AG126&gt;0, AD126&lt;&gt;AF126), 100*(-1+10^(-1/(AD126-AF126))), AND(AD126&lt;&gt;"Undetermined", AF126&lt;&gt;"Undetermined", AD126=AF126&gt;0), -100)</f>
        <v>Undiluted</v>
      </c>
      <c r="AI126" s="124" cm="1">
        <f t="array" ref="AI126">_xlfn.IFS(AH126="Undetermined", 0, AH126="Undiluted", AE126*$G126/$F126*1000, AH126="Ten-Fold", AG126*$G126/$F126*1000*10, AH126&lt;0, AG126*$G126/$F126*1000*10, AH126&lt;120, AE126*$G126/$F126*1000, AH126&gt;120, AG126*$G126/$F126*1000*10)</f>
        <v>486.07630199856226</v>
      </c>
      <c r="AJ126" s="121">
        <f t="shared" si="25"/>
        <v>243.03815099928113</v>
      </c>
      <c r="AK126" s="121">
        <f t="shared" si="26"/>
        <v>343.70784931726354</v>
      </c>
      <c r="AL126" s="121">
        <f t="shared" si="27"/>
        <v>243.0381509992811</v>
      </c>
      <c r="AM126" s="125" cm="1">
        <f t="array" ref="AM126">_xlfn.IFS(AJ126="DELETE", "DELETE", AJ126=0, 0, AJ126&gt;0,LOG10(AJ126))</f>
        <v>2.3856744524787841</v>
      </c>
      <c r="AN126" s="126" cm="1">
        <f t="array" ref="AN126">_xlfn.IFS(AJ126="DELETE", "DELETE", AJ126=0, 0, AJ126&gt;0, AL126/AJ126/LN(10))</f>
        <v>0.43429448190325176</v>
      </c>
      <c r="AO126" s="155">
        <f>qPCR_Raw!AA126</f>
        <v>31.2122802734375</v>
      </c>
      <c r="AP126" s="156" cm="1">
        <f t="array" ref="AP126">_xlfn.IFS(AO126="Undetermined", 0, qPCR_Raw!AB126&lt;=6, 0, qPCR_Raw!AB126&gt;6, qPCR_Raw!AB126)</f>
        <v>0</v>
      </c>
      <c r="AQ126" s="157" t="str">
        <f>qPCR_Raw!AD126</f>
        <v>Undetermined</v>
      </c>
      <c r="AR126" s="156" cm="1">
        <f t="array" ref="AR126">_xlfn.IFS(AQ126="Undetermined", 0, qPCR_Raw!AE126&lt;=6, 0, qPCR_Raw!AE126&gt;6, qPCR_Raw!AE126)</f>
        <v>0</v>
      </c>
      <c r="AS126" s="158" t="str" cm="1">
        <f t="array" ref="AS126">_xlfn.IFS(AND(AO126="Undetermined", AQ126="Undetermined"), "Undetermined", AND(AP126=0, AR126=0), "Undetermined", AND(AP126=0, AR126&gt;0), "Ten-Fold", AND(AP126&gt;0, AR126=0), "Undiluted", AND(AO126&lt;&gt;"Undetermined", AQ126&lt;&gt;"Undetermined", AP126&gt;0, AR126&gt;0, AO126&lt;&gt;AQ126), 100*(-1+10^(-1/(AO126-AQ126))), AND(AO126&lt;&gt;"Undetermined", AQ126&lt;&gt;"Undetermined", AO126=AQ126&gt;0), -100)</f>
        <v>Undetermined</v>
      </c>
      <c r="AT126" s="159" cm="1">
        <f t="array" ref="AT126">_xlfn.IFS(AS126="Undetermined", 0, AS126="Undiluted", AP126*$G126/$F126*1000, AS126="Ten-Fold", AR126*$G126/$F126*1000*10, AS126&lt;0, AR126*$G126/$F126*1000*10, AS126&lt;120, AP126*$G126/$F126*1000, AS126&gt;120, AR126*$G126/$F126*1000*10)</f>
        <v>0</v>
      </c>
      <c r="AU126" s="156">
        <f t="shared" si="34"/>
        <v>913144.19058866287</v>
      </c>
      <c r="AV126" s="156">
        <f t="shared" si="35"/>
        <v>1291380.8987326894</v>
      </c>
      <c r="AW126" s="156">
        <f t="shared" si="36"/>
        <v>913144.19058866287</v>
      </c>
      <c r="AX126" s="160" cm="1">
        <f t="array" ref="AX126">_xlfn.IFS(AU126="DELETE", "DELETE", AU126=0, 0, AU126&gt;0,LOG10(AU126))</f>
        <v>5.9605393604835006</v>
      </c>
      <c r="AY126" s="161" cm="1">
        <f t="array" ref="AY126">_xlfn.IFS(AU126="DELETE", "DELETE", AU126=0, 0, AU126&gt;0, AW126/AU126/LN(10))</f>
        <v>0.43429448190325176</v>
      </c>
      <c r="AZ126" s="120" t="str">
        <f>qPCR_Raw!AG126</f>
        <v>Undetermined</v>
      </c>
      <c r="BA126" s="121" cm="1">
        <f t="array" ref="BA126">_xlfn.IFS(AZ126="Undetermined", 0, qPCR_Raw!AH126&lt;=1, 0, qPCR_Raw!AH126&gt;1, qPCR_Raw!AH126)</f>
        <v>0</v>
      </c>
      <c r="BB126" s="122" t="str">
        <f>qPCR_Raw!AJ126</f>
        <v>Undetermined</v>
      </c>
      <c r="BC126" s="121" cm="1">
        <f t="array" ref="BC126">_xlfn.IFS(BB126="Undetermined", 0, qPCR_Raw!AK126&lt;=1, 0, qPCR_Raw!AK126&gt;1, qPCR_Raw!AK126)</f>
        <v>0</v>
      </c>
      <c r="BD126" s="123" t="str" cm="1">
        <f t="array" ref="BD126">_xlfn.IFS(AND(AZ126="Undetermined", BB126="Undetermined"), "Undetermined", AND(BA126=0, BC126=0), "Undetermined", AND(BA126=0, BC126&gt;0), "Ten-Fold", AND(BA126&gt;0, BC126=0), "Undiluted", AND(AZ126&lt;&gt;"Undetermined", BB126&lt;&gt;"Undetermined", BA126&gt;0, BC126&gt;0, AZ126&lt;&gt;BB126), 100*(-1+10^(-1/(AZ126-BB126))), AND(AZ126&lt;&gt;"Undetermined", BB126&lt;&gt;"Undetermined", AZ126=BB126&gt;0), -100)</f>
        <v>Undetermined</v>
      </c>
      <c r="BE126" s="124" cm="1">
        <f t="array" ref="BE126">_xlfn.IFS(BD126="Undetermined", 0, BD126="Undiluted", BA126*$G126/$F126*1000, BD126="Ten-Fold", BC126*$G126/$F126*1000*10, BD126&lt;0, BC126*$G126/$F126*1000*10, BD126&lt;120, BA126*$G126/$F126*1000, BD126&gt;120, BC126*$G126/$F126*1000*10)</f>
        <v>0</v>
      </c>
      <c r="BF126" s="121">
        <f t="shared" si="31"/>
        <v>2794.779455939004</v>
      </c>
      <c r="BG126" s="121">
        <f t="shared" si="32"/>
        <v>3952.4150104306391</v>
      </c>
      <c r="BH126" s="121">
        <f t="shared" si="33"/>
        <v>2794.7794559390036</v>
      </c>
      <c r="BI126" s="125" cm="1">
        <f t="array" ref="BI126">_xlfn.IFS(BF126="DELETE", "DELETE", BF126=0, 0, BF126&gt;0,LOG10(BF126))</f>
        <v>3.4463475421516776</v>
      </c>
      <c r="BJ126" s="126" cm="1">
        <f t="array" ref="BJ126">_xlfn.IFS(BF126="DELETE", "DELETE", BF126=0, 0, BF126&gt;0, BH126/BF126/LN(10))</f>
        <v>0.43429448190325176</v>
      </c>
    </row>
    <row r="127" spans="1:62" s="114" customFormat="1" x14ac:dyDescent="0.3">
      <c r="A127" s="115" t="str">
        <f>UPPER(LEFT(SUBSTITUTE(SUBSTITUTE(qPCR_Raw!A127,"-","")," ",""),2))&amp;RIGHT(SUBSTITUTE(SUBSTITUTE(qPCR_Raw!A127,"-","")," ",""),LEN(SUBSTITUTE(SUBSTITUTE(qPCR_Raw!A127,"-","")," ",""))-2)</f>
        <v>RW7</v>
      </c>
      <c r="B127" s="116" t="str" cm="1">
        <f t="array" ref="B127">_xlfn.IFS(LEFT(A127, LEN(A127)-1)="EP", "EP", LEFT(A127, LEN(A127)-1)="STa", "SPI", LEFT(A127, LEN(A127)-1)="STb", "SPO", LEFT(A127, LEN(A127)-1)="MRT", "MRT", LEFT(A127, LEN(A127)-1)="RG", "RN", LEFT(A127, LEN(A127)-1)="RT", "RU", LEFT(A127, LEN(A127)-1)="RW", "RL", LEFT(A127, LEN(A127)-1)="RC", "RS")</f>
        <v>RL</v>
      </c>
      <c r="C127" s="117">
        <f>qPCR_Raw!B127</f>
        <v>44391</v>
      </c>
      <c r="D127" s="117" t="str">
        <f t="shared" si="17"/>
        <v>RL44391</v>
      </c>
      <c r="E127" s="117" t="str">
        <f t="shared" si="18"/>
        <v>RL443917</v>
      </c>
      <c r="F127" s="118">
        <f>qPCR_Raw!C127</f>
        <v>860</v>
      </c>
      <c r="G127" s="119">
        <f>qPCR_Raw!F127</f>
        <v>100</v>
      </c>
      <c r="H127" s="120">
        <f>qPCR_Raw!G127</f>
        <v>13.401678085327148</v>
      </c>
      <c r="I127" s="121" cm="1">
        <f t="array" ref="I127">_xlfn.IFS(H127="Undetermined", 0, qPCR_Raw!H127-qPCR_Raw!$H$242&lt;0, 0, qPCR_Raw!H127-qPCR_Raw!$H$242&gt;0, qPCR_Raw!H127-qPCR_Raw!$H$242)</f>
        <v>6855822.8614461264</v>
      </c>
      <c r="J127" s="122">
        <f>qPCR_Raw!K127</f>
        <v>16.39689826965332</v>
      </c>
      <c r="K127" s="121" cm="1">
        <f t="array" ref="K127">_xlfn.IFS(J127="Undetermined", 0, qPCR_Raw!L127-qPCR_Raw!$H$242&lt;0, 0, qPCR_Raw!L127-qPCR_Raw!$H$242&gt;0, qPCR_Raw!L127-qPCR_Raw!$H$242)</f>
        <v>978010.04894612625</v>
      </c>
      <c r="L127" s="123" cm="1">
        <f t="array" ref="L127">_xlfn.IFS(AND(H127="Undetermined", J127="Undetermined"), "Undetermined", AND(I127=0, K127=0), "Undetermined", AND(I127=0, K127&gt;0), "Ten-Fold", AND(I127&gt;0, K127=0), "Undiluted", AND(H127&lt;&gt;"Undetermined", J127&lt;&gt;"Undetermined", I127&gt;0, K127&gt;0), 100*(-1+10^(-1/(H127-J127))))</f>
        <v>115.70751291540505</v>
      </c>
      <c r="M127" s="124" cm="1">
        <f t="array" ref="M127">_xlfn.IFS(L127="Undetermined", 0, L127="Undiluted", I127*$G127/$F127*1000, L127="Ten-Fold", K127*$G127/$F127*1000*10, L127&lt;0, K127*$G127/$F127*1000*10, L127&lt;120, I127*$G127/$F127*1000, L127&gt;120, K127*$G127/$F127*1000*10)</f>
        <v>797188704.8193171</v>
      </c>
      <c r="N127" s="121" t="str">
        <f t="shared" si="19"/>
        <v>DELETE</v>
      </c>
      <c r="O127" s="121" t="str">
        <f t="shared" si="20"/>
        <v>DELETE</v>
      </c>
      <c r="P127" s="121" t="str">
        <f t="shared" si="21"/>
        <v>DELETE</v>
      </c>
      <c r="Q127" s="125" t="str" cm="1">
        <f t="array" ref="Q127">_xlfn.IFS(N127="DELETE", "DELETE", N127=0, 0, N127&gt;0,LOG10(N127))</f>
        <v>DELETE</v>
      </c>
      <c r="R127" s="126" t="str" cm="1">
        <f t="array" ref="R127">_xlfn.IFS(N127="DELETE", "DELETE", N127=0, 0, N127&gt;0, P127/N127/LN(10))</f>
        <v>DELETE</v>
      </c>
      <c r="S127" s="155" t="str">
        <f>qPCR_Raw!O127</f>
        <v>Undetermined</v>
      </c>
      <c r="T127" s="156" cm="1">
        <f t="array" ref="T127">_xlfn.IFS(S127="Undetermined", 0, qPCR_Raw!P127&lt;=1, 0, qPCR_Raw!P127&gt;1, qPCR_Raw!P127)</f>
        <v>0</v>
      </c>
      <c r="U127" s="157" t="str">
        <f>qPCR_Raw!R127</f>
        <v>Undetermined</v>
      </c>
      <c r="V127" s="156" cm="1">
        <f t="array" ref="V127">_xlfn.IFS(U127="Undetermined", 0, qPCR_Raw!S127&lt;=1, 0, qPCR_Raw!S127&gt;1, qPCR_Raw!S127)</f>
        <v>0</v>
      </c>
      <c r="W127" s="158" t="str" cm="1">
        <f t="array" ref="W127">_xlfn.IFS(AND(S127="Undetermined", U127="Undetermined"), "Undetermined", AND(T127=0, V127=0), "Undetermined", AND(T127=0, V127&gt;0), "Ten-Fold", AND(T127&gt;0, V127=0), "Undiluted", AND(S127&lt;&gt;"Undetermined", U127&lt;&gt;"Undetermined", T127&gt;0, V127&gt;0, S127&lt;&gt;U127), 100*(-1+10^(-1/(S127-U127))), AND(S127&lt;&gt;"Undetermined", U127&lt;&gt;"Undetermined", S127=U127&gt;0), -100)</f>
        <v>Undetermined</v>
      </c>
      <c r="X127" s="159" cm="1">
        <f t="array" ref="X127">_xlfn.IFS(W127="Undetermined", 0, W127="Undiluted", T127*$G127/$F127*1000, W127="Ten-Fold", V127*$G127/$F127*1000*10, W127&lt;0, V127*$G127/$F127*1000*10, W127&lt;120, T127*$G127/$F127*1000, W127&gt;120, V127*$G127/$F127*1000*10)</f>
        <v>0</v>
      </c>
      <c r="Y127" s="156" t="str">
        <f t="shared" si="22"/>
        <v>DELETE</v>
      </c>
      <c r="Z127" s="156" t="str">
        <f t="shared" si="23"/>
        <v>DELETE</v>
      </c>
      <c r="AA127" s="156" t="str">
        <f t="shared" si="24"/>
        <v>DELETE</v>
      </c>
      <c r="AB127" s="160" t="str" cm="1">
        <f t="array" ref="AB127">_xlfn.IFS(Y127="DELETE", "DELETE", Y127=0, 0, Y127&gt;0,LOG10(Y127))</f>
        <v>DELETE</v>
      </c>
      <c r="AC127" s="161" t="str" cm="1">
        <f t="array" ref="AC127">_xlfn.IFS(Y127="DELETE", "DELETE", Y127=0, 0, Y127&gt;0, AA127/Y127/LN(10))</f>
        <v>DELETE</v>
      </c>
      <c r="AD127" s="120">
        <f>qPCR_Raw!U127</f>
        <v>35.490108489990234</v>
      </c>
      <c r="AE127" s="121" cm="1">
        <f t="array" ref="AE127">_xlfn.IFS(AD127="Undetermined", 0, qPCR_Raw!V127&lt;=1, 0, qPCR_Raw!V127&gt;1, qPCR_Raw!V127)</f>
        <v>0</v>
      </c>
      <c r="AF127" s="122">
        <f>qPCR_Raw!X127</f>
        <v>38.315303802490234</v>
      </c>
      <c r="AG127" s="121" cm="1">
        <f t="array" ref="AG127">_xlfn.IFS(AF127="Undetermined", 0, qPCR_Raw!Y127&lt;=1, 0, qPCR_Raw!Y127&gt;1, qPCR_Raw!Y127)</f>
        <v>0</v>
      </c>
      <c r="AH127" s="123" t="str" cm="1">
        <f t="array" ref="AH127">_xlfn.IFS(AND(AD127="Undetermined", AF127="Undetermined"), "Undetermined", AND(AE127=0, AG127=0), "Undetermined", AND(AE127=0, AG127&gt;0), "Ten-Fold", AND(AE127&gt;0, AG127=0), "Undiluted", AND(AD127&lt;&gt;"Undetermined", AF127&lt;&gt;"Undetermined", AE127&gt;0, AG127&gt;0, AD127&lt;&gt;AF127), 100*(-1+10^(-1/(AD127-AF127))), AND(AD127&lt;&gt;"Undetermined", AF127&lt;&gt;"Undetermined", AD127=AF127&gt;0), -100)</f>
        <v>Undetermined</v>
      </c>
      <c r="AI127" s="124" cm="1">
        <f t="array" ref="AI127">_xlfn.IFS(AH127="Undetermined", 0, AH127="Undiluted", AE127*$G127/$F127*1000, AH127="Ten-Fold", AG127*$G127/$F127*1000*10, AH127&lt;0, AG127*$G127/$F127*1000*10, AH127&lt;120, AE127*$G127/$F127*1000, AH127&gt;120, AG127*$G127/$F127*1000*10)</f>
        <v>0</v>
      </c>
      <c r="AJ127" s="121" t="str">
        <f t="shared" si="25"/>
        <v>DELETE</v>
      </c>
      <c r="AK127" s="121" t="str">
        <f t="shared" si="26"/>
        <v>DELETE</v>
      </c>
      <c r="AL127" s="121" t="str">
        <f t="shared" si="27"/>
        <v>DELETE</v>
      </c>
      <c r="AM127" s="125" t="str" cm="1">
        <f t="array" ref="AM127">_xlfn.IFS(AJ127="DELETE", "DELETE", AJ127=0, 0, AJ127&gt;0,LOG10(AJ127))</f>
        <v>DELETE</v>
      </c>
      <c r="AN127" s="126" t="str" cm="1">
        <f t="array" ref="AN127">_xlfn.IFS(AJ127="DELETE", "DELETE", AJ127=0, 0, AJ127&gt;0, AL127/AJ127/LN(10))</f>
        <v>DELETE</v>
      </c>
      <c r="AO127" s="155">
        <f>qPCR_Raw!AA127</f>
        <v>17.889289855957031</v>
      </c>
      <c r="AP127" s="156" cm="1">
        <f t="array" ref="AP127">_xlfn.IFS(AO127="Undetermined", 0, qPCR_Raw!AB127&lt;=6, 0, qPCR_Raw!AB127&gt;6, qPCR_Raw!AB127)</f>
        <v>15706.080078125</v>
      </c>
      <c r="AQ127" s="157">
        <f>qPCR_Raw!AD127</f>
        <v>21.679141998291016</v>
      </c>
      <c r="AR127" s="156" cm="1">
        <f t="array" ref="AR127">_xlfn.IFS(AQ127="Undetermined", 0, qPCR_Raw!AE127&lt;=6, 0, qPCR_Raw!AE127&gt;6, qPCR_Raw!AE127)</f>
        <v>1446.9302978515625</v>
      </c>
      <c r="AS127" s="158" cm="1">
        <f t="array" ref="AS127">_xlfn.IFS(AND(AO127="Undetermined", AQ127="Undetermined"), "Undetermined", AND(AP127=0, AR127=0), "Undetermined", AND(AP127=0, AR127&gt;0), "Ten-Fold", AND(AP127&gt;0, AR127=0), "Undiluted", AND(AO127&lt;&gt;"Undetermined", AQ127&lt;&gt;"Undetermined", AP127&gt;0, AR127&gt;0, AO127&lt;&gt;AQ127), 100*(-1+10^(-1/(AO127-AQ127))), AND(AO127&lt;&gt;"Undetermined", AQ127&lt;&gt;"Undetermined", AO127=AQ127&gt;0), -100)</f>
        <v>83.595713248967797</v>
      </c>
      <c r="AT127" s="159" cm="1">
        <f t="array" ref="AT127">_xlfn.IFS(AS127="Undetermined", 0, AS127="Undiluted", AP127*$G127/$F127*1000, AS127="Ten-Fold", AR127*$G127/$F127*1000*10, AS127&lt;0, AR127*$G127/$F127*1000*10, AS127&lt;120, AP127*$G127/$F127*1000, AS127&gt;120, AR127*$G127/$F127*1000*10)</f>
        <v>1826288.3811773257</v>
      </c>
      <c r="AU127" s="156" t="str">
        <f t="shared" si="34"/>
        <v>DELETE</v>
      </c>
      <c r="AV127" s="156" t="str">
        <f t="shared" si="35"/>
        <v>DELETE</v>
      </c>
      <c r="AW127" s="156" t="str">
        <f t="shared" si="36"/>
        <v>DELETE</v>
      </c>
      <c r="AX127" s="160" t="str" cm="1">
        <f t="array" ref="AX127">_xlfn.IFS(AU127="DELETE", "DELETE", AU127=0, 0, AU127&gt;0,LOG10(AU127))</f>
        <v>DELETE</v>
      </c>
      <c r="AY127" s="161" t="str" cm="1">
        <f t="array" ref="AY127">_xlfn.IFS(AU127="DELETE", "DELETE", AU127=0, 0, AU127&gt;0, AW127/AU127/LN(10))</f>
        <v>DELETE</v>
      </c>
      <c r="AZ127" s="120">
        <f>qPCR_Raw!AG127</f>
        <v>31.798086166381836</v>
      </c>
      <c r="BA127" s="121" cm="1">
        <f t="array" ref="BA127">_xlfn.IFS(AZ127="Undetermined", 0, qPCR_Raw!AH127&lt;=1, 0, qPCR_Raw!AH127&gt;1, qPCR_Raw!AH127)</f>
        <v>22.123523712158203</v>
      </c>
      <c r="BB127" s="122">
        <f>qPCR_Raw!AJ127</f>
        <v>34.2579345703125</v>
      </c>
      <c r="BC127" s="121" cm="1">
        <f t="array" ref="BC127">_xlfn.IFS(BB127="Undetermined", 0, qPCR_Raw!AK127&lt;=1, 0, qPCR_Raw!AK127&gt;1, qPCR_Raw!AK127)</f>
        <v>4.8070206642150879</v>
      </c>
      <c r="BD127" s="123" cm="1">
        <f t="array" ref="BD127">_xlfn.IFS(AND(AZ127="Undetermined", BB127="Undetermined"), "Undetermined", AND(BA127=0, BC127=0), "Undetermined", AND(BA127=0, BC127&gt;0), "Ten-Fold", AND(BA127&gt;0, BC127=0), "Undiluted", AND(AZ127&lt;&gt;"Undetermined", BB127&lt;&gt;"Undetermined", BA127&gt;0, BC127&gt;0, AZ127&lt;&gt;BB127), 100*(-1+10^(-1/(AZ127-BB127))), AND(AZ127&lt;&gt;"Undetermined", BB127&lt;&gt;"Undetermined", AZ127=BB127&gt;0), -100)</f>
        <v>154.99350418029562</v>
      </c>
      <c r="BE127" s="124" cm="1">
        <f t="array" ref="BE127">_xlfn.IFS(BD127="Undetermined", 0, BD127="Undiluted", BA127*$G127/$F127*1000, BD127="Ten-Fold", BC127*$G127/$F127*1000*10, BD127&lt;0, BC127*$G127/$F127*1000*10, BD127&lt;120, BA127*$G127/$F127*1000, BD127&gt;120, BC127*$G127/$F127*1000*10)</f>
        <v>5589.5589118780081</v>
      </c>
      <c r="BF127" s="121" t="str">
        <f t="shared" si="31"/>
        <v>DELETE</v>
      </c>
      <c r="BG127" s="121" t="str">
        <f t="shared" si="32"/>
        <v>DELETE</v>
      </c>
      <c r="BH127" s="121" t="str">
        <f t="shared" si="33"/>
        <v>DELETE</v>
      </c>
      <c r="BI127" s="125" t="str" cm="1">
        <f t="array" ref="BI127">_xlfn.IFS(BF127="DELETE", "DELETE", BF127=0, 0, BF127&gt;0,LOG10(BF127))</f>
        <v>DELETE</v>
      </c>
      <c r="BJ127" s="126" t="str" cm="1">
        <f t="array" ref="BJ127">_xlfn.IFS(BF127="DELETE", "DELETE", BF127=0, 0, BF127&gt;0, BH127/BF127/LN(10))</f>
        <v>DELETE</v>
      </c>
    </row>
    <row r="128" spans="1:62" s="114" customFormat="1" x14ac:dyDescent="0.3">
      <c r="A128" s="115" t="str">
        <f>UPPER(LEFT(SUBSTITUTE(SUBSTITUTE(qPCR_Raw!A128,"-","")," ",""),2))&amp;RIGHT(SUBSTITUTE(SUBSTITUTE(qPCR_Raw!A128,"-","")," ",""),LEN(SUBSTITUTE(SUBSTITUTE(qPCR_Raw!A128,"-","")," ",""))-2)</f>
        <v>MRT6</v>
      </c>
      <c r="B128" s="116" t="str" cm="1">
        <f t="array" ref="B128">_xlfn.IFS(LEFT(A128, LEN(A128)-1)="EP", "EP", LEFT(A128, LEN(A128)-1)="STa", "SPI", LEFT(A128, LEN(A128)-1)="STb", "SPO", LEFT(A128, LEN(A128)-1)="MRT", "MRT", LEFT(A128, LEN(A128)-1)="RG", "RN", LEFT(A128, LEN(A128)-1)="RT", "RU", LEFT(A128, LEN(A128)-1)="RW", "RL", LEFT(A128, LEN(A128)-1)="RC", "RS")</f>
        <v>MRT</v>
      </c>
      <c r="C128" s="117">
        <f>qPCR_Raw!B128</f>
        <v>44391</v>
      </c>
      <c r="D128" s="117" t="str">
        <f t="shared" si="17"/>
        <v>MRT44391</v>
      </c>
      <c r="E128" s="117" t="str">
        <f t="shared" si="18"/>
        <v>MRT443916</v>
      </c>
      <c r="F128" s="118">
        <f>qPCR_Raw!C128</f>
        <v>1000</v>
      </c>
      <c r="G128" s="119">
        <f>qPCR_Raw!F128</f>
        <v>100</v>
      </c>
      <c r="H128" s="120">
        <f>qPCR_Raw!G128</f>
        <v>18.239353179931641</v>
      </c>
      <c r="I128" s="121" cm="1">
        <f t="array" ref="I128">_xlfn.IFS(H128="Undetermined", 0, qPCR_Raw!H128-qPCR_Raw!$H$242&lt;0, 0, qPCR_Raw!H128-qPCR_Raw!$H$242&gt;0, qPCR_Raw!H128-qPCR_Raw!$H$242)</f>
        <v>288221.61144612631</v>
      </c>
      <c r="J128" s="122">
        <f>qPCR_Raw!K128</f>
        <v>21.533227920532227</v>
      </c>
      <c r="K128" s="121" cm="1">
        <f t="array" ref="K128">_xlfn.IFS(J128="Undetermined", 0, qPCR_Raw!L128-qPCR_Raw!$H$242&lt;0, 0, qPCR_Raw!L128-qPCR_Raw!$H$242&gt;0, qPCR_Raw!L128-qPCR_Raw!$H$242)</f>
        <v>22844.552852376302</v>
      </c>
      <c r="L128" s="123" cm="1">
        <f t="array" ref="L128">_xlfn.IFS(AND(H128="Undetermined", J128="Undetermined"), "Undetermined", AND(I128=0, K128=0), "Undetermined", AND(I128=0, K128&gt;0), "Ten-Fold", AND(I128&gt;0, K128=0), "Undiluted", AND(H128&lt;&gt;"Undetermined", J128&lt;&gt;"Undetermined", I128&gt;0, K128&gt;0), 100*(-1+10^(-1/(H128-J128))))</f>
        <v>101.1841745248994</v>
      </c>
      <c r="M128" s="124" cm="1">
        <f t="array" ref="M128">_xlfn.IFS(L128="Undetermined", 0, L128="Undiluted", I128*$G128/$F128*1000, L128="Ten-Fold", K128*$G128/$F128*1000*10, L128&lt;0, K128*$G128/$F128*1000*10, L128&lt;120, I128*$G128/$F128*1000, L128&gt;120, K128*$G128/$F128*1000*10)</f>
        <v>28822161.144612629</v>
      </c>
      <c r="N128" s="121">
        <f t="shared" si="19"/>
        <v>23027506.457112629</v>
      </c>
      <c r="O128" s="121">
        <f t="shared" si="20"/>
        <v>8194879.2483313242</v>
      </c>
      <c r="P128" s="121">
        <f t="shared" si="21"/>
        <v>5794654.6874999963</v>
      </c>
      <c r="Q128" s="125" cm="1">
        <f t="array" ref="Q128">_xlfn.IFS(N128="DELETE", "DELETE", N128=0, 0, N128&gt;0,LOG10(N128))</f>
        <v>7.362246912755932</v>
      </c>
      <c r="R128" s="126" cm="1">
        <f t="array" ref="R128">_xlfn.IFS(N128="DELETE", "DELETE", N128=0, 0, N128&gt;0, P128/N128/LN(10))</f>
        <v>0.10928610789896223</v>
      </c>
      <c r="S128" s="155">
        <f>qPCR_Raw!O128</f>
        <v>34.048271179199219</v>
      </c>
      <c r="T128" s="156" cm="1">
        <f t="array" ref="T128">_xlfn.IFS(S128="Undetermined", 0, qPCR_Raw!P128&lt;=1, 0, qPCR_Raw!P128&gt;1, qPCR_Raw!P128)</f>
        <v>12.527341842651367</v>
      </c>
      <c r="U128" s="157">
        <f>qPCR_Raw!R128</f>
        <v>36.995925903320313</v>
      </c>
      <c r="V128" s="156" cm="1">
        <f t="array" ref="V128">_xlfn.IFS(U128="Undetermined", 0, qPCR_Raw!S128&lt;=1, 0, qPCR_Raw!S128&gt;1, qPCR_Raw!S128)</f>
        <v>1.9586657285690308</v>
      </c>
      <c r="W128" s="158" cm="1">
        <f t="array" ref="W128">_xlfn.IFS(AND(S128="Undetermined", U128="Undetermined"), "Undetermined", AND(T128=0, V128=0), "Undetermined", AND(T128=0, V128&gt;0), "Ten-Fold", AND(T128&gt;0, V128=0), "Undiluted", AND(S128&lt;&gt;"Undetermined", U128&lt;&gt;"Undetermined", T128&gt;0, V128&gt;0, S128&lt;&gt;U128), 100*(-1+10^(-1/(S128-U128))), AND(S128&lt;&gt;"Undetermined", U128&lt;&gt;"Undetermined", S128=U128&gt;0), -100)</f>
        <v>118.40006323013785</v>
      </c>
      <c r="X128" s="159" cm="1">
        <f t="array" ref="X128">_xlfn.IFS(W128="Undetermined", 0, W128="Undiluted", T128*$G128/$F128*1000, W128="Ten-Fold", V128*$G128/$F128*1000*10, W128&lt;0, V128*$G128/$F128*1000*10, W128&lt;120, T128*$G128/$F128*1000, W128&gt;120, V128*$G128/$F128*1000*10)</f>
        <v>1252.7341842651367</v>
      </c>
      <c r="Y128" s="156">
        <f t="shared" si="22"/>
        <v>1402.1369934082031</v>
      </c>
      <c r="Z128" s="156">
        <f t="shared" si="23"/>
        <v>211.28747894676329</v>
      </c>
      <c r="AA128" s="156">
        <f t="shared" si="24"/>
        <v>149.40280914306621</v>
      </c>
      <c r="AB128" s="160" cm="1">
        <f t="array" ref="AB128">_xlfn.IFS(Y128="DELETE", "DELETE", Y128=0, 0, Y128&gt;0,LOG10(Y128))</f>
        <v>3.1467904477067403</v>
      </c>
      <c r="AC128" s="161" cm="1">
        <f t="array" ref="AC128">_xlfn.IFS(Y128="DELETE", "DELETE", Y128=0, 0, Y128&gt;0, AA128/Y128/LN(10))</f>
        <v>4.627566057861543E-2</v>
      </c>
      <c r="AD128" s="120">
        <f>qPCR_Raw!U128</f>
        <v>36.486690521240234</v>
      </c>
      <c r="AE128" s="121" cm="1">
        <f t="array" ref="AE128">_xlfn.IFS(AD128="Undetermined", 0, qPCR_Raw!V128&lt;=1, 0, qPCR_Raw!V128&gt;1, qPCR_Raw!V128)</f>
        <v>0</v>
      </c>
      <c r="AF128" s="122" t="str">
        <f>qPCR_Raw!X128</f>
        <v>Undetermined</v>
      </c>
      <c r="AG128" s="121" cm="1">
        <f t="array" ref="AG128">_xlfn.IFS(AF128="Undetermined", 0, qPCR_Raw!Y128&lt;=1, 0, qPCR_Raw!Y128&gt;1, qPCR_Raw!Y128)</f>
        <v>0</v>
      </c>
      <c r="AH128" s="123" t="str" cm="1">
        <f t="array" ref="AH128">_xlfn.IFS(AND(AD128="Undetermined", AF128="Undetermined"), "Undetermined", AND(AE128=0, AG128=0), "Undetermined", AND(AE128=0, AG128&gt;0), "Ten-Fold", AND(AE128&gt;0, AG128=0), "Undiluted", AND(AD128&lt;&gt;"Undetermined", AF128&lt;&gt;"Undetermined", AE128&gt;0, AG128&gt;0, AD128&lt;&gt;AF128), 100*(-1+10^(-1/(AD128-AF128))), AND(AD128&lt;&gt;"Undetermined", AF128&lt;&gt;"Undetermined", AD128=AF128&gt;0), -100)</f>
        <v>Undetermined</v>
      </c>
      <c r="AI128" s="124" cm="1">
        <f t="array" ref="AI128">_xlfn.IFS(AH128="Undetermined", 0, AH128="Undiluted", AE128*$G128/$F128*1000, AH128="Ten-Fold", AG128*$G128/$F128*1000*10, AH128&lt;0, AG128*$G128/$F128*1000*10, AH128&lt;120, AE128*$G128/$F128*1000, AH128&gt;120, AG128*$G128/$F128*1000*10)</f>
        <v>0</v>
      </c>
      <c r="AJ128" s="121">
        <f t="shared" si="25"/>
        <v>101.41029357910156</v>
      </c>
      <c r="AK128" s="121">
        <f t="shared" si="26"/>
        <v>143.41581254380262</v>
      </c>
      <c r="AL128" s="121">
        <f t="shared" si="27"/>
        <v>101.41029357910155</v>
      </c>
      <c r="AM128" s="125" cm="1">
        <f t="array" ref="AM128">_xlfn.IFS(AJ128="DELETE", "DELETE", AJ128=0, 0, AJ128&gt;0,LOG10(AJ128))</f>
        <v>2.0060820399846007</v>
      </c>
      <c r="AN128" s="126" cm="1">
        <f t="array" ref="AN128">_xlfn.IFS(AJ128="DELETE", "DELETE", AJ128=0, 0, AJ128&gt;0, AL128/AJ128/LN(10))</f>
        <v>0.43429448190325176</v>
      </c>
      <c r="AO128" s="155">
        <f>qPCR_Raw!AA128</f>
        <v>27.457448959350586</v>
      </c>
      <c r="AP128" s="156" cm="1">
        <f t="array" ref="AP128">_xlfn.IFS(AO128="Undetermined", 0, qPCR_Raw!AB128&lt;=6, 0, qPCR_Raw!AB128&gt;6, qPCR_Raw!AB128)</f>
        <v>38.146923065185547</v>
      </c>
      <c r="AQ128" s="157">
        <f>qPCR_Raw!AD128</f>
        <v>31.314796447753906</v>
      </c>
      <c r="AR128" s="156" cm="1">
        <f t="array" ref="AR128">_xlfn.IFS(AQ128="Undetermined", 0, qPCR_Raw!AE128&lt;=6, 0, qPCR_Raw!AE128&gt;6, qPCR_Raw!AE128)</f>
        <v>0</v>
      </c>
      <c r="AS128" s="158" t="str" cm="1">
        <f t="array" ref="AS128">_xlfn.IFS(AND(AO128="Undetermined", AQ128="Undetermined"), "Undetermined", AND(AP128=0, AR128=0), "Undetermined", AND(AP128=0, AR128&gt;0), "Ten-Fold", AND(AP128&gt;0, AR128=0), "Undiluted", AND(AO128&lt;&gt;"Undetermined", AQ128&lt;&gt;"Undetermined", AP128&gt;0, AR128&gt;0, AO128&lt;&gt;AQ128), 100*(-1+10^(-1/(AO128-AQ128))), AND(AO128&lt;&gt;"Undetermined", AQ128&lt;&gt;"Undetermined", AO128=AQ128&gt;0), -100)</f>
        <v>Undiluted</v>
      </c>
      <c r="AT128" s="159" cm="1">
        <f t="array" ref="AT128">_xlfn.IFS(AS128="Undetermined", 0, AS128="Undiluted", AP128*$G128/$F128*1000, AS128="Ten-Fold", AR128*$G128/$F128*1000*10, AS128&lt;0, AR128*$G128/$F128*1000*10, AS128&lt;120, AP128*$G128/$F128*1000, AS128&gt;120, AR128*$G128/$F128*1000*10)</f>
        <v>3814.6923065185547</v>
      </c>
      <c r="AU128" s="156">
        <f t="shared" si="34"/>
        <v>2321.6773986816406</v>
      </c>
      <c r="AV128" s="156">
        <f t="shared" si="35"/>
        <v>2111.4419314881802</v>
      </c>
      <c r="AW128" s="156">
        <f t="shared" si="36"/>
        <v>1493.0149078369138</v>
      </c>
      <c r="AX128" s="160" cm="1">
        <f t="array" ref="AX128">_xlfn.IFS(AU128="DELETE", "DELETE", AU128=0, 0, AU128&gt;0,LOG10(AU128))</f>
        <v>3.36580187358265</v>
      </c>
      <c r="AY128" s="161" cm="1">
        <f t="array" ref="AY128">_xlfn.IFS(AU128="DELETE", "DELETE", AU128=0, 0, AU128&gt;0, AW128/AU128/LN(10))</f>
        <v>0.27928433822935989</v>
      </c>
      <c r="AZ128" s="120">
        <f>qPCR_Raw!AG128</f>
        <v>39.735137939453125</v>
      </c>
      <c r="BA128" s="121" cm="1">
        <f t="array" ref="BA128">_xlfn.IFS(AZ128="Undetermined", 0, qPCR_Raw!AH128&lt;=1, 0, qPCR_Raw!AH128&gt;1, qPCR_Raw!AH128)</f>
        <v>0</v>
      </c>
      <c r="BB128" s="122" t="str">
        <f>qPCR_Raw!AJ128</f>
        <v>Undetermined</v>
      </c>
      <c r="BC128" s="121" cm="1">
        <f t="array" ref="BC128">_xlfn.IFS(BB128="Undetermined", 0, qPCR_Raw!AK128&lt;=1, 0, qPCR_Raw!AK128&gt;1, qPCR_Raw!AK128)</f>
        <v>0</v>
      </c>
      <c r="BD128" s="123" t="str" cm="1">
        <f t="array" ref="BD128">_xlfn.IFS(AND(AZ128="Undetermined", BB128="Undetermined"), "Undetermined", AND(BA128=0, BC128=0), "Undetermined", AND(BA128=0, BC128&gt;0), "Ten-Fold", AND(BA128&gt;0, BC128=0), "Undiluted", AND(AZ128&lt;&gt;"Undetermined", BB128&lt;&gt;"Undetermined", BA128&gt;0, BC128&gt;0, AZ128&lt;&gt;BB128), 100*(-1+10^(-1/(AZ128-BB128))), AND(AZ128&lt;&gt;"Undetermined", BB128&lt;&gt;"Undetermined", AZ128=BB128&gt;0), -100)</f>
        <v>Undetermined</v>
      </c>
      <c r="BE128" s="124" cm="1">
        <f t="array" ref="BE128">_xlfn.IFS(BD128="Undetermined", 0, BD128="Undiluted", BA128*$G128/$F128*1000, BD128="Ten-Fold", BC128*$G128/$F128*1000*10, BD128&lt;0, BC128*$G128/$F128*1000*10, BD128&lt;120, BA128*$G128/$F128*1000, BD128&gt;120, BC128*$G128/$F128*1000*10)</f>
        <v>0</v>
      </c>
      <c r="BF128" s="121">
        <f t="shared" si="31"/>
        <v>0</v>
      </c>
      <c r="BG128" s="121">
        <f t="shared" si="32"/>
        <v>0</v>
      </c>
      <c r="BH128" s="121">
        <f t="shared" si="33"/>
        <v>0</v>
      </c>
      <c r="BI128" s="125" cm="1">
        <f t="array" ref="BI128">_xlfn.IFS(BF128="DELETE", "DELETE", BF128=0, 0, BF128&gt;0,LOG10(BF128))</f>
        <v>0</v>
      </c>
      <c r="BJ128" s="126" cm="1">
        <f t="array" ref="BJ128">_xlfn.IFS(BF128="DELETE", "DELETE", BF128=0, 0, BF128&gt;0, BH128/BF128/LN(10))</f>
        <v>0</v>
      </c>
    </row>
    <row r="129" spans="1:62" s="114" customFormat="1" x14ac:dyDescent="0.3">
      <c r="A129" s="115" t="str">
        <f>UPPER(LEFT(SUBSTITUTE(SUBSTITUTE(qPCR_Raw!A129,"-","")," ",""),2))&amp;RIGHT(SUBSTITUTE(SUBSTITUTE(qPCR_Raw!A129,"-","")," ",""),LEN(SUBSTITUTE(SUBSTITUTE(qPCR_Raw!A129,"-","")," ",""))-2)</f>
        <v>MRT7</v>
      </c>
      <c r="B129" s="116" t="str" cm="1">
        <f t="array" ref="B129">_xlfn.IFS(LEFT(A129, LEN(A129)-1)="EP", "EP", LEFT(A129, LEN(A129)-1)="STa", "SPI", LEFT(A129, LEN(A129)-1)="STb", "SPO", LEFT(A129, LEN(A129)-1)="MRT", "MRT", LEFT(A129, LEN(A129)-1)="RG", "RN", LEFT(A129, LEN(A129)-1)="RT", "RU", LEFT(A129, LEN(A129)-1)="RW", "RL", LEFT(A129, LEN(A129)-1)="RC", "RS")</f>
        <v>MRT</v>
      </c>
      <c r="C129" s="117">
        <f>qPCR_Raw!B129</f>
        <v>44391</v>
      </c>
      <c r="D129" s="117" t="str">
        <f t="shared" si="17"/>
        <v>MRT44391</v>
      </c>
      <c r="E129" s="117" t="str">
        <f t="shared" si="18"/>
        <v>MRT443917</v>
      </c>
      <c r="F129" s="118">
        <f>qPCR_Raw!C129</f>
        <v>1000</v>
      </c>
      <c r="G129" s="119">
        <f>qPCR_Raw!F129</f>
        <v>100</v>
      </c>
      <c r="H129" s="120">
        <f>qPCR_Raw!G129</f>
        <v>18.990854263305664</v>
      </c>
      <c r="I129" s="121" cm="1">
        <f t="array" ref="I129">_xlfn.IFS(H129="Undetermined", 0, qPCR_Raw!H129-qPCR_Raw!$H$242&lt;0, 0, qPCR_Raw!H129-qPCR_Raw!$H$242&gt;0, qPCR_Raw!H129-qPCR_Raw!$H$242)</f>
        <v>172328.51769612631</v>
      </c>
      <c r="J129" s="122">
        <f>qPCR_Raw!K129</f>
        <v>21.950582504272461</v>
      </c>
      <c r="K129" s="121" cm="1">
        <f t="array" ref="K129">_xlfn.IFS(J129="Undetermined", 0, qPCR_Raw!L129-qPCR_Raw!$H$242&lt;0, 0, qPCR_Raw!L129-qPCR_Raw!$H$242&gt;0, qPCR_Raw!L129-qPCR_Raw!$H$242)</f>
        <v>14373.451289876302</v>
      </c>
      <c r="L129" s="123" cm="1">
        <f t="array" ref="L129">_xlfn.IFS(AND(H129="Undetermined", J129="Undetermined"), "Undetermined", AND(I129=0, K129=0), "Undetermined", AND(I129=0, K129&gt;0), "Ten-Fold", AND(I129&gt;0, K129=0), "Undiluted", AND(H129&lt;&gt;"Undetermined", J129&lt;&gt;"Undetermined", I129&gt;0, K129&gt;0), 100*(-1+10^(-1/(H129-J129))))</f>
        <v>117.70522768623484</v>
      </c>
      <c r="M129" s="124" cm="1">
        <f t="array" ref="M129">_xlfn.IFS(L129="Undetermined", 0, L129="Undiluted", I129*$G129/$F129*1000, L129="Ten-Fold", K129*$G129/$F129*1000*10, L129&lt;0, K129*$G129/$F129*1000*10, L129&lt;120, I129*$G129/$F129*1000, L129&gt;120, K129*$G129/$F129*1000*10)</f>
        <v>17232851.769612629</v>
      </c>
      <c r="N129" s="121" t="str">
        <f t="shared" si="19"/>
        <v>DELETE</v>
      </c>
      <c r="O129" s="121" t="str">
        <f t="shared" si="20"/>
        <v>DELETE</v>
      </c>
      <c r="P129" s="121" t="str">
        <f t="shared" si="21"/>
        <v>DELETE</v>
      </c>
      <c r="Q129" s="125" t="str" cm="1">
        <f t="array" ref="Q129">_xlfn.IFS(N129="DELETE", "DELETE", N129=0, 0, N129&gt;0,LOG10(N129))</f>
        <v>DELETE</v>
      </c>
      <c r="R129" s="126" t="str" cm="1">
        <f t="array" ref="R129">_xlfn.IFS(N129="DELETE", "DELETE", N129=0, 0, N129&gt;0, P129/N129/LN(10))</f>
        <v>DELETE</v>
      </c>
      <c r="S129" s="155">
        <f>qPCR_Raw!O129</f>
        <v>33.708465576171875</v>
      </c>
      <c r="T129" s="156" cm="1">
        <f t="array" ref="T129">_xlfn.IFS(S129="Undetermined", 0, qPCR_Raw!P129&lt;=1, 0, qPCR_Raw!P129&gt;1, qPCR_Raw!P129)</f>
        <v>15.515398025512695</v>
      </c>
      <c r="U129" s="157">
        <f>qPCR_Raw!R129</f>
        <v>37.115730285644531</v>
      </c>
      <c r="V129" s="156" cm="1">
        <f t="array" ref="V129">_xlfn.IFS(U129="Undetermined", 0, qPCR_Raw!S129&lt;=1, 0, qPCR_Raw!S129&gt;1, qPCR_Raw!S129)</f>
        <v>1.8163745403289795</v>
      </c>
      <c r="W129" s="158" cm="1">
        <f t="array" ref="W129">_xlfn.IFS(AND(S129="Undetermined", U129="Undetermined"), "Undetermined", AND(T129=0, V129=0), "Undetermined", AND(T129=0, V129&gt;0), "Ten-Fold", AND(T129&gt;0, V129=0), "Undiluted", AND(S129&lt;&gt;"Undetermined", U129&lt;&gt;"Undetermined", T129&gt;0, V129&gt;0, S129&lt;&gt;U129), 100*(-1+10^(-1/(S129-U129))), AND(S129&lt;&gt;"Undetermined", U129&lt;&gt;"Undetermined", S129=U129&gt;0), -100)</f>
        <v>96.557921876298792</v>
      </c>
      <c r="X129" s="159" cm="1">
        <f t="array" ref="X129">_xlfn.IFS(W129="Undetermined", 0, W129="Undiluted", T129*$G129/$F129*1000, W129="Ten-Fold", V129*$G129/$F129*1000*10, W129&lt;0, V129*$G129/$F129*1000*10, W129&lt;120, T129*$G129/$F129*1000, W129&gt;120, V129*$G129/$F129*1000*10)</f>
        <v>1551.5398025512695</v>
      </c>
      <c r="Y129" s="156" t="str">
        <f t="shared" si="22"/>
        <v>DELETE</v>
      </c>
      <c r="Z129" s="156" t="str">
        <f t="shared" si="23"/>
        <v>DELETE</v>
      </c>
      <c r="AA129" s="156" t="str">
        <f t="shared" si="24"/>
        <v>DELETE</v>
      </c>
      <c r="AB129" s="160" t="str" cm="1">
        <f t="array" ref="AB129">_xlfn.IFS(Y129="DELETE", "DELETE", Y129=0, 0, Y129&gt;0,LOG10(Y129))</f>
        <v>DELETE</v>
      </c>
      <c r="AC129" s="161" t="str" cm="1">
        <f t="array" ref="AC129">_xlfn.IFS(Y129="DELETE", "DELETE", Y129=0, 0, Y129&gt;0, AA129/Y129/LN(10))</f>
        <v>DELETE</v>
      </c>
      <c r="AD129" s="120">
        <f>qPCR_Raw!U129</f>
        <v>34.125640869140625</v>
      </c>
      <c r="AE129" s="121" cm="1">
        <f t="array" ref="AE129">_xlfn.IFS(AD129="Undetermined", 0, qPCR_Raw!V129&lt;=1, 0, qPCR_Raw!V129&gt;1, qPCR_Raw!V129)</f>
        <v>2.0282058715820313</v>
      </c>
      <c r="AF129" s="122">
        <f>qPCR_Raw!X129</f>
        <v>37.070323944091797</v>
      </c>
      <c r="AG129" s="121" cm="1">
        <f t="array" ref="AG129">_xlfn.IFS(AF129="Undetermined", 0, qPCR_Raw!Y129&lt;=1, 0, qPCR_Raw!Y129&gt;1, qPCR_Raw!Y129)</f>
        <v>0</v>
      </c>
      <c r="AH129" s="123" t="str" cm="1">
        <f t="array" ref="AH129">_xlfn.IFS(AND(AD129="Undetermined", AF129="Undetermined"), "Undetermined", AND(AE129=0, AG129=0), "Undetermined", AND(AE129=0, AG129&gt;0), "Ten-Fold", AND(AE129&gt;0, AG129=0), "Undiluted", AND(AD129&lt;&gt;"Undetermined", AF129&lt;&gt;"Undetermined", AE129&gt;0, AG129&gt;0, AD129&lt;&gt;AF129), 100*(-1+10^(-1/(AD129-AF129))), AND(AD129&lt;&gt;"Undetermined", AF129&lt;&gt;"Undetermined", AD129=AF129&gt;0), -100)</f>
        <v>Undiluted</v>
      </c>
      <c r="AI129" s="124" cm="1">
        <f t="array" ref="AI129">_xlfn.IFS(AH129="Undetermined", 0, AH129="Undiluted", AE129*$G129/$F129*1000, AH129="Ten-Fold", AG129*$G129/$F129*1000*10, AH129&lt;0, AG129*$G129/$F129*1000*10, AH129&lt;120, AE129*$G129/$F129*1000, AH129&gt;120, AG129*$G129/$F129*1000*10)</f>
        <v>202.82058715820313</v>
      </c>
      <c r="AJ129" s="121" t="str">
        <f t="shared" si="25"/>
        <v>DELETE</v>
      </c>
      <c r="AK129" s="121" t="str">
        <f t="shared" si="26"/>
        <v>DELETE</v>
      </c>
      <c r="AL129" s="121" t="str">
        <f t="shared" si="27"/>
        <v>DELETE</v>
      </c>
      <c r="AM129" s="125" t="str" cm="1">
        <f t="array" ref="AM129">_xlfn.IFS(AJ129="DELETE", "DELETE", AJ129=0, 0, AJ129&gt;0,LOG10(AJ129))</f>
        <v>DELETE</v>
      </c>
      <c r="AN129" s="126" t="str" cm="1">
        <f t="array" ref="AN129">_xlfn.IFS(AJ129="DELETE", "DELETE", AJ129=0, 0, AJ129&gt;0, AL129/AJ129/LN(10))</f>
        <v>DELETE</v>
      </c>
      <c r="AO129" s="155">
        <f>qPCR_Raw!AA129</f>
        <v>29.883996963500977</v>
      </c>
      <c r="AP129" s="156" cm="1">
        <f t="array" ref="AP129">_xlfn.IFS(AO129="Undetermined", 0, qPCR_Raw!AB129&lt;=6, 0, qPCR_Raw!AB129&gt;6, qPCR_Raw!AB129)</f>
        <v>8.2866249084472656</v>
      </c>
      <c r="AQ129" s="157">
        <f>qPCR_Raw!AD129</f>
        <v>32.533260345458984</v>
      </c>
      <c r="AR129" s="156" cm="1">
        <f t="array" ref="AR129">_xlfn.IFS(AQ129="Undetermined", 0, qPCR_Raw!AE129&lt;=6, 0, qPCR_Raw!AE129&gt;6, qPCR_Raw!AE129)</f>
        <v>0</v>
      </c>
      <c r="AS129" s="158" t="str" cm="1">
        <f t="array" ref="AS129">_xlfn.IFS(AND(AO129="Undetermined", AQ129="Undetermined"), "Undetermined", AND(AP129=0, AR129=0), "Undetermined", AND(AP129=0, AR129&gt;0), "Ten-Fold", AND(AP129&gt;0, AR129=0), "Undiluted", AND(AO129&lt;&gt;"Undetermined", AQ129&lt;&gt;"Undetermined", AP129&gt;0, AR129&gt;0, AO129&lt;&gt;AQ129), 100*(-1+10^(-1/(AO129-AQ129))), AND(AO129&lt;&gt;"Undetermined", AQ129&lt;&gt;"Undetermined", AO129=AQ129&gt;0), -100)</f>
        <v>Undiluted</v>
      </c>
      <c r="AT129" s="159" cm="1">
        <f t="array" ref="AT129">_xlfn.IFS(AS129="Undetermined", 0, AS129="Undiluted", AP129*$G129/$F129*1000, AS129="Ten-Fold", AR129*$G129/$F129*1000*10, AS129&lt;0, AR129*$G129/$F129*1000*10, AS129&lt;120, AP129*$G129/$F129*1000, AS129&gt;120, AR129*$G129/$F129*1000*10)</f>
        <v>828.66249084472656</v>
      </c>
      <c r="AU129" s="156" t="str">
        <f t="shared" si="34"/>
        <v>DELETE</v>
      </c>
      <c r="AV129" s="156" t="str">
        <f t="shared" si="35"/>
        <v>DELETE</v>
      </c>
      <c r="AW129" s="156" t="str">
        <f t="shared" si="36"/>
        <v>DELETE</v>
      </c>
      <c r="AX129" s="160" t="str" cm="1">
        <f t="array" ref="AX129">_xlfn.IFS(AU129="DELETE", "DELETE", AU129=0, 0, AU129&gt;0,LOG10(AU129))</f>
        <v>DELETE</v>
      </c>
      <c r="AY129" s="161" t="str" cm="1">
        <f t="array" ref="AY129">_xlfn.IFS(AU129="DELETE", "DELETE", AU129=0, 0, AU129&gt;0, AW129/AU129/LN(10))</f>
        <v>DELETE</v>
      </c>
      <c r="AZ129" s="120" t="str">
        <f>qPCR_Raw!AG129</f>
        <v>Undetermined</v>
      </c>
      <c r="BA129" s="121" cm="1">
        <f t="array" ref="BA129">_xlfn.IFS(AZ129="Undetermined", 0, qPCR_Raw!AH129&lt;=1, 0, qPCR_Raw!AH129&gt;1, qPCR_Raw!AH129)</f>
        <v>0</v>
      </c>
      <c r="BB129" s="122" t="str">
        <f>qPCR_Raw!AJ129</f>
        <v>Undetermined</v>
      </c>
      <c r="BC129" s="121" cm="1">
        <f t="array" ref="BC129">_xlfn.IFS(BB129="Undetermined", 0, qPCR_Raw!AK129&lt;=1, 0, qPCR_Raw!AK129&gt;1, qPCR_Raw!AK129)</f>
        <v>0</v>
      </c>
      <c r="BD129" s="123" t="str" cm="1">
        <f t="array" ref="BD129">_xlfn.IFS(AND(AZ129="Undetermined", BB129="Undetermined"), "Undetermined", AND(BA129=0, BC129=0), "Undetermined", AND(BA129=0, BC129&gt;0), "Ten-Fold", AND(BA129&gt;0, BC129=0), "Undiluted", AND(AZ129&lt;&gt;"Undetermined", BB129&lt;&gt;"Undetermined", BA129&gt;0, BC129&gt;0, AZ129&lt;&gt;BB129), 100*(-1+10^(-1/(AZ129-BB129))), AND(AZ129&lt;&gt;"Undetermined", BB129&lt;&gt;"Undetermined", AZ129=BB129&gt;0), -100)</f>
        <v>Undetermined</v>
      </c>
      <c r="BE129" s="124" cm="1">
        <f t="array" ref="BE129">_xlfn.IFS(BD129="Undetermined", 0, BD129="Undiluted", BA129*$G129/$F129*1000, BD129="Ten-Fold", BC129*$G129/$F129*1000*10, BD129&lt;0, BC129*$G129/$F129*1000*10, BD129&lt;120, BA129*$G129/$F129*1000, BD129&gt;120, BC129*$G129/$F129*1000*10)</f>
        <v>0</v>
      </c>
      <c r="BF129" s="121" t="str">
        <f t="shared" si="31"/>
        <v>DELETE</v>
      </c>
      <c r="BG129" s="121" t="str">
        <f t="shared" si="32"/>
        <v>DELETE</v>
      </c>
      <c r="BH129" s="121" t="str">
        <f t="shared" si="33"/>
        <v>DELETE</v>
      </c>
      <c r="BI129" s="125" t="str" cm="1">
        <f t="array" ref="BI129">_xlfn.IFS(BF129="DELETE", "DELETE", BF129=0, 0, BF129&gt;0,LOG10(BF129))</f>
        <v>DELETE</v>
      </c>
      <c r="BJ129" s="126" t="str" cm="1">
        <f t="array" ref="BJ129">_xlfn.IFS(BF129="DELETE", "DELETE", BF129=0, 0, BF129&gt;0, BH129/BF129/LN(10))</f>
        <v>DELETE</v>
      </c>
    </row>
    <row r="130" spans="1:62" s="114" customFormat="1" x14ac:dyDescent="0.3">
      <c r="A130" s="115" t="str">
        <f>UPPER(LEFT(SUBSTITUTE(SUBSTITUTE(qPCR_Raw!A130,"-","")," ",""),2))&amp;RIGHT(SUBSTITUTE(SUBSTITUTE(qPCR_Raw!A130,"-","")," ",""),LEN(SUBSTITUTE(SUBSTITUTE(qPCR_Raw!A130,"-","")," ",""))-2)</f>
        <v>RT6</v>
      </c>
      <c r="B130" s="116" t="str" cm="1">
        <f t="array" ref="B130">_xlfn.IFS(LEFT(A130, LEN(A130)-1)="EP", "EP", LEFT(A130, LEN(A130)-1)="STa", "SPI", LEFT(A130, LEN(A130)-1)="STb", "SPO", LEFT(A130, LEN(A130)-1)="MRT", "MRT", LEFT(A130, LEN(A130)-1)="RG", "RN", LEFT(A130, LEN(A130)-1)="RT", "RU", LEFT(A130, LEN(A130)-1)="RW", "RL", LEFT(A130, LEN(A130)-1)="RC", "RS")</f>
        <v>RU</v>
      </c>
      <c r="C130" s="117">
        <f>qPCR_Raw!B130</f>
        <v>44391</v>
      </c>
      <c r="D130" s="117" t="str">
        <f t="shared" si="17"/>
        <v>RU44391</v>
      </c>
      <c r="E130" s="117" t="str">
        <f t="shared" si="18"/>
        <v>RU443916</v>
      </c>
      <c r="F130" s="118">
        <f>qPCR_Raw!C130</f>
        <v>950</v>
      </c>
      <c r="G130" s="119">
        <f>qPCR_Raw!F130</f>
        <v>100</v>
      </c>
      <c r="H130" s="120">
        <f>qPCR_Raw!G130</f>
        <v>20.893171310424805</v>
      </c>
      <c r="I130" s="121" cm="1">
        <f t="array" ref="I130">_xlfn.IFS(H130="Undetermined", 0, qPCR_Raw!H130-qPCR_Raw!$H$242&lt;0, 0, qPCR_Raw!H130-qPCR_Raw!$H$242&gt;0, qPCR_Raw!H130-qPCR_Raw!$H$242)</f>
        <v>41203.455196126306</v>
      </c>
      <c r="J130" s="122">
        <f>qPCR_Raw!K130</f>
        <v>23.111989974975586</v>
      </c>
      <c r="K130" s="121" cm="1">
        <f t="array" ref="K130">_xlfn.IFS(J130="Undetermined", 0, qPCR_Raw!L130-qPCR_Raw!$H$242&lt;0, 0, qPCR_Raw!L130-qPCR_Raw!$H$242&gt;0, qPCR_Raw!L130-qPCR_Raw!$H$242)</f>
        <v>0</v>
      </c>
      <c r="L130" s="123" t="str" cm="1">
        <f t="array" ref="L130">_xlfn.IFS(AND(H130="Undetermined", J130="Undetermined"), "Undetermined", AND(I130=0, K130=0), "Undetermined", AND(I130=0, K130&gt;0), "Ten-Fold", AND(I130&gt;0, K130=0), "Undiluted", AND(H130&lt;&gt;"Undetermined", J130&lt;&gt;"Undetermined", I130&gt;0, K130&gt;0), 100*(-1+10^(-1/(H130-J130))))</f>
        <v>Undiluted</v>
      </c>
      <c r="M130" s="124" cm="1">
        <f t="array" ref="M130">_xlfn.IFS(L130="Undetermined", 0, L130="Undiluted", I130*$G130/$F130*1000, L130="Ten-Fold", K130*$G130/$F130*1000*10, L130&lt;0, K130*$G130/$F130*1000*10, L130&lt;120, I130*$G130/$F130*1000, L130&gt;120, K130*$G130/$F130*1000*10)</f>
        <v>4337205.8101185588</v>
      </c>
      <c r="N130" s="121">
        <f t="shared" si="19"/>
        <v>7292215215.8877764</v>
      </c>
      <c r="O130" s="121">
        <f t="shared" si="20"/>
        <v>10306615922.77247</v>
      </c>
      <c r="P130" s="121">
        <f t="shared" si="21"/>
        <v>7287878010.0776596</v>
      </c>
      <c r="Q130" s="125" cm="1">
        <f t="array" ref="Q130">_xlfn.IFS(N130="DELETE", "DELETE", N130=0, 0, N130&gt;0,LOG10(N130))</f>
        <v>9.8628594775492058</v>
      </c>
      <c r="R130" s="126" cm="1">
        <f t="array" ref="R130">_xlfn.IFS(N130="DELETE", "DELETE", N130=0, 0, N130&gt;0, P130/N130/LN(10))</f>
        <v>0.43403617568292674</v>
      </c>
      <c r="S130" s="155" t="str">
        <f>qPCR_Raw!O130</f>
        <v>Undetermined</v>
      </c>
      <c r="T130" s="156" cm="1">
        <f t="array" ref="T130">_xlfn.IFS(S130="Undetermined", 0, qPCR_Raw!P130&lt;=1, 0, qPCR_Raw!P130&gt;1, qPCR_Raw!P130)</f>
        <v>0</v>
      </c>
      <c r="U130" s="157" t="str">
        <f>qPCR_Raw!R130</f>
        <v>Undetermined</v>
      </c>
      <c r="V130" s="156" cm="1">
        <f t="array" ref="V130">_xlfn.IFS(U130="Undetermined", 0, qPCR_Raw!S130&lt;=1, 0, qPCR_Raw!S130&gt;1, qPCR_Raw!S130)</f>
        <v>0</v>
      </c>
      <c r="W130" s="158" t="str" cm="1">
        <f t="array" ref="W130">_xlfn.IFS(AND(S130="Undetermined", U130="Undetermined"), "Undetermined", AND(T130=0, V130=0), "Undetermined", AND(T130=0, V130&gt;0), "Ten-Fold", AND(T130&gt;0, V130=0), "Undiluted", AND(S130&lt;&gt;"Undetermined", U130&lt;&gt;"Undetermined", T130&gt;0, V130&gt;0, S130&lt;&gt;U130), 100*(-1+10^(-1/(S130-U130))), AND(S130&lt;&gt;"Undetermined", U130&lt;&gt;"Undetermined", S130=U130&gt;0), -100)</f>
        <v>Undetermined</v>
      </c>
      <c r="X130" s="159" cm="1">
        <f t="array" ref="X130">_xlfn.IFS(W130="Undetermined", 0, W130="Undiluted", T130*$G130/$F130*1000, W130="Ten-Fold", V130*$G130/$F130*1000*10, W130&lt;0, V130*$G130/$F130*1000*10, W130&lt;120, T130*$G130/$F130*1000, W130&gt;120, V130*$G130/$F130*1000*10)</f>
        <v>0</v>
      </c>
      <c r="Y130" s="156">
        <f t="shared" si="22"/>
        <v>0</v>
      </c>
      <c r="Z130" s="156">
        <f t="shared" si="23"/>
        <v>0</v>
      </c>
      <c r="AA130" s="156">
        <f t="shared" si="24"/>
        <v>0</v>
      </c>
      <c r="AB130" s="160" cm="1">
        <f t="array" ref="AB130">_xlfn.IFS(Y130="DELETE", "DELETE", Y130=0, 0, Y130&gt;0,LOG10(Y130))</f>
        <v>0</v>
      </c>
      <c r="AC130" s="161" cm="1">
        <f t="array" ref="AC130">_xlfn.IFS(Y130="DELETE", "DELETE", Y130=0, 0, Y130&gt;0, AA130/Y130/LN(10))</f>
        <v>0</v>
      </c>
      <c r="AD130" s="120">
        <f>qPCR_Raw!U130</f>
        <v>29.248952865600586</v>
      </c>
      <c r="AE130" s="121" cm="1">
        <f t="array" ref="AE130">_xlfn.IFS(AD130="Undetermined", 0, qPCR_Raw!V130&lt;=1, 0, qPCR_Raw!V130&gt;1, qPCR_Raw!V130)</f>
        <v>48.799392700195313</v>
      </c>
      <c r="AF130" s="122">
        <f>qPCR_Raw!X130</f>
        <v>31.842414855957031</v>
      </c>
      <c r="AG130" s="121" cm="1">
        <f t="array" ref="AG130">_xlfn.IFS(AF130="Undetermined", 0, qPCR_Raw!Y130&lt;=1, 0, qPCR_Raw!Y130&gt;1, qPCR_Raw!Y130)</f>
        <v>8.9913864135742188</v>
      </c>
      <c r="AH130" s="123" cm="1">
        <f t="array" ref="AH130">_xlfn.IFS(AND(AD130="Undetermined", AF130="Undetermined"), "Undetermined", AND(AE130=0, AG130=0), "Undetermined", AND(AE130=0, AG130&gt;0), "Ten-Fold", AND(AE130&gt;0, AG130=0), "Undiluted", AND(AD130&lt;&gt;"Undetermined", AF130&lt;&gt;"Undetermined", AE130&gt;0, AG130&gt;0, AD130&lt;&gt;AF130), 100*(-1+10^(-1/(AD130-AF130))), AND(AD130&lt;&gt;"Undetermined", AF130&lt;&gt;"Undetermined", AD130=AF130&gt;0), -100)</f>
        <v>142.98808814969891</v>
      </c>
      <c r="AI130" s="124" cm="1">
        <f t="array" ref="AI130">_xlfn.IFS(AH130="Undetermined", 0, AH130="Undiluted", AE130*$G130/$F130*1000, AH130="Ten-Fold", AG130*$G130/$F130*1000*10, AH130&lt;0, AG130*$G130/$F130*1000*10, AH130&lt;120, AE130*$G130/$F130*1000, AH130&gt;120, AG130*$G130/$F130*1000*10)</f>
        <v>9464.6172774465467</v>
      </c>
      <c r="AJ130" s="121">
        <f t="shared" si="25"/>
        <v>5536.310193874142</v>
      </c>
      <c r="AK130" s="121">
        <f t="shared" si="26"/>
        <v>5555.4651547543926</v>
      </c>
      <c r="AL130" s="121">
        <f t="shared" si="27"/>
        <v>3928.3070835724034</v>
      </c>
      <c r="AM130" s="125" cm="1">
        <f t="array" ref="AM130">_xlfn.IFS(AJ130="DELETE", "DELETE", AJ130=0, 0, AJ130&gt;0,LOG10(AJ130))</f>
        <v>3.7432204152120327</v>
      </c>
      <c r="AN130" s="126" cm="1">
        <f t="array" ref="AN130">_xlfn.IFS(AJ130="DELETE", "DELETE", AJ130=0, 0, AJ130&gt;0, AL130/AJ130/LN(10))</f>
        <v>0.308155076192202</v>
      </c>
      <c r="AO130" s="155">
        <f>qPCR_Raw!AA130</f>
        <v>24.891681671142578</v>
      </c>
      <c r="AP130" s="156" cm="1">
        <f t="array" ref="AP130">_xlfn.IFS(AO130="Undetermined", 0, qPCR_Raw!AB130&lt;=6, 0, qPCR_Raw!AB130&gt;6, qPCR_Raw!AB130)</f>
        <v>191.68344116210938</v>
      </c>
      <c r="AQ130" s="157">
        <f>qPCR_Raw!AD130</f>
        <v>29.907752990722656</v>
      </c>
      <c r="AR130" s="156" cm="1">
        <f t="array" ref="AR130">_xlfn.IFS(AQ130="Undetermined", 0, qPCR_Raw!AE130&lt;=6, 0, qPCR_Raw!AE130&gt;6, qPCR_Raw!AE130)</f>
        <v>8.1636810302734375</v>
      </c>
      <c r="AS130" s="158" cm="1">
        <f t="array" ref="AS130">_xlfn.IFS(AND(AO130="Undetermined", AQ130="Undetermined"), "Undetermined", AND(AP130=0, AR130=0), "Undetermined", AND(AP130=0, AR130&gt;0), "Ten-Fold", AND(AP130&gt;0, AR130=0), "Undiluted", AND(AO130&lt;&gt;"Undetermined", AQ130&lt;&gt;"Undetermined", AP130&gt;0, AR130&gt;0, AO130&lt;&gt;AQ130), 100*(-1+10^(-1/(AO130-AQ130))), AND(AO130&lt;&gt;"Undetermined", AQ130&lt;&gt;"Undetermined", AO130=AQ130&gt;0), -100)</f>
        <v>58.255643756339246</v>
      </c>
      <c r="AT130" s="159" cm="1">
        <f t="array" ref="AT130">_xlfn.IFS(AS130="Undetermined", 0, AS130="Undiluted", AP130*$G130/$F130*1000, AS130="Ten-Fold", AR130*$G130/$F130*1000*10, AS130&lt;0, AR130*$G130/$F130*1000*10, AS130&lt;120, AP130*$G130/$F130*1000, AS130&gt;120, AR130*$G130/$F130*1000*10)</f>
        <v>20177.20433285362</v>
      </c>
      <c r="AU130" s="156">
        <f t="shared" si="34"/>
        <v>87266.000225259704</v>
      </c>
      <c r="AV130" s="156">
        <f t="shared" si="35"/>
        <v>94877.885034321094</v>
      </c>
      <c r="AW130" s="156">
        <f t="shared" si="36"/>
        <v>67088.795892406095</v>
      </c>
      <c r="AX130" s="160" cm="1">
        <f t="array" ref="AX130">_xlfn.IFS(AU130="DELETE", "DELETE", AU130=0, 0, AU130&gt;0,LOG10(AU130))</f>
        <v>4.9408450708457536</v>
      </c>
      <c r="AY130" s="161" cm="1">
        <f t="array" ref="AY130">_xlfn.IFS(AU130="DELETE", "DELETE", AU130=0, 0, AU130&gt;0, AW130/AU130/LN(10))</f>
        <v>0.33387910272495597</v>
      </c>
      <c r="AZ130" s="120" t="str">
        <f>qPCR_Raw!AG130</f>
        <v>Undetermined</v>
      </c>
      <c r="BA130" s="121" cm="1">
        <f t="array" ref="BA130">_xlfn.IFS(AZ130="Undetermined", 0, qPCR_Raw!AH130&lt;=1, 0, qPCR_Raw!AH130&gt;1, qPCR_Raw!AH130)</f>
        <v>0</v>
      </c>
      <c r="BB130" s="122" t="str">
        <f>qPCR_Raw!AJ130</f>
        <v>Undetermined</v>
      </c>
      <c r="BC130" s="121" cm="1">
        <f t="array" ref="BC130">_xlfn.IFS(BB130="Undetermined", 0, qPCR_Raw!AK130&lt;=1, 0, qPCR_Raw!AK130&gt;1, qPCR_Raw!AK130)</f>
        <v>0</v>
      </c>
      <c r="BD130" s="123" t="str" cm="1">
        <f t="array" ref="BD130">_xlfn.IFS(AND(AZ130="Undetermined", BB130="Undetermined"), "Undetermined", AND(BA130=0, BC130=0), "Undetermined", AND(BA130=0, BC130&gt;0), "Ten-Fold", AND(BA130&gt;0, BC130=0), "Undiluted", AND(AZ130&lt;&gt;"Undetermined", BB130&lt;&gt;"Undetermined", BA130&gt;0, BC130&gt;0, AZ130&lt;&gt;BB130), 100*(-1+10^(-1/(AZ130-BB130))), AND(AZ130&lt;&gt;"Undetermined", BB130&lt;&gt;"Undetermined", AZ130=BB130&gt;0), -100)</f>
        <v>Undetermined</v>
      </c>
      <c r="BE130" s="124" cm="1">
        <f t="array" ref="BE130">_xlfn.IFS(BD130="Undetermined", 0, BD130="Undiluted", BA130*$G130/$F130*1000, BD130="Ten-Fold", BC130*$G130/$F130*1000*10, BD130&lt;0, BC130*$G130/$F130*1000*10, BD130&lt;120, BA130*$G130/$F130*1000, BD130&gt;120, BC130*$G130/$F130*1000*10)</f>
        <v>0</v>
      </c>
      <c r="BF130" s="121">
        <f t="shared" si="31"/>
        <v>0</v>
      </c>
      <c r="BG130" s="121">
        <f t="shared" si="32"/>
        <v>0</v>
      </c>
      <c r="BH130" s="121">
        <f t="shared" si="33"/>
        <v>0</v>
      </c>
      <c r="BI130" s="125" cm="1">
        <f t="array" ref="BI130">_xlfn.IFS(BF130="DELETE", "DELETE", BF130=0, 0, BF130&gt;0,LOG10(BF130))</f>
        <v>0</v>
      </c>
      <c r="BJ130" s="126" cm="1">
        <f t="array" ref="BJ130">_xlfn.IFS(BF130="DELETE", "DELETE", BF130=0, 0, BF130&gt;0, BH130/BF130/LN(10))</f>
        <v>0</v>
      </c>
    </row>
    <row r="131" spans="1:62" s="114" customFormat="1" x14ac:dyDescent="0.3">
      <c r="A131" s="115" t="str">
        <f>UPPER(LEFT(SUBSTITUTE(SUBSTITUTE(qPCR_Raw!A131,"-","")," ",""),2))&amp;RIGHT(SUBSTITUTE(SUBSTITUTE(qPCR_Raw!A131,"-","")," ",""),LEN(SUBSTITUTE(SUBSTITUTE(qPCR_Raw!A131,"-","")," ",""))-2)</f>
        <v>RT7</v>
      </c>
      <c r="B131" s="116" t="str" cm="1">
        <f t="array" ref="B131">_xlfn.IFS(LEFT(A131, LEN(A131)-1)="EP", "EP", LEFT(A131, LEN(A131)-1)="STa", "SPI", LEFT(A131, LEN(A131)-1)="STb", "SPO", LEFT(A131, LEN(A131)-1)="MRT", "MRT", LEFT(A131, LEN(A131)-1)="RG", "RN", LEFT(A131, LEN(A131)-1)="RT", "RU", LEFT(A131, LEN(A131)-1)="RW", "RL", LEFT(A131, LEN(A131)-1)="RC", "RS")</f>
        <v>RU</v>
      </c>
      <c r="C131" s="117">
        <f>qPCR_Raw!B131</f>
        <v>44391</v>
      </c>
      <c r="D131" s="117" t="str">
        <f t="shared" si="17"/>
        <v>RU44391</v>
      </c>
      <c r="E131" s="117" t="str">
        <f t="shared" si="18"/>
        <v>RU443917</v>
      </c>
      <c r="F131" s="118">
        <f>qPCR_Raw!C131</f>
        <v>980</v>
      </c>
      <c r="G131" s="119">
        <f>qPCR_Raw!F131</f>
        <v>100</v>
      </c>
      <c r="H131" s="120">
        <f>qPCR_Raw!G131</f>
        <v>9.4441986083984375</v>
      </c>
      <c r="I131" s="121" cm="1">
        <f t="array" ref="I131">_xlfn.IFS(H131="Undetermined", 0, qPCR_Raw!H131-qPCR_Raw!$H$242&lt;0, 0, qPCR_Raw!H131-qPCR_Raw!$H$242&gt;0, qPCR_Raw!H131-qPCR_Raw!$H$242)</f>
        <v>88664833.361446127</v>
      </c>
      <c r="J131" s="122">
        <f>qPCR_Raw!K131</f>
        <v>12.267086982727051</v>
      </c>
      <c r="K131" s="121" cm="1">
        <f t="array" ref="K131">_xlfn.IFS(J131="Undetermined", 0, qPCR_Raw!L131-qPCR_Raw!$H$242&lt;0, 0, qPCR_Raw!L131-qPCR_Raw!$H$242&gt;0, qPCR_Raw!L131-qPCR_Raw!$H$242)</f>
        <v>14288491.361446125</v>
      </c>
      <c r="L131" s="123" cm="1">
        <f t="array" ref="L131">_xlfn.IFS(AND(H131="Undetermined", J131="Undetermined"), "Undetermined", AND(I131=0, K131=0), "Undetermined", AND(I131=0, K131&gt;0), "Ten-Fold", AND(I131&gt;0, K131=0), "Undiluted", AND(H131&lt;&gt;"Undetermined", J131&lt;&gt;"Undetermined", I131&gt;0, K131&gt;0), 100*(-1+10^(-1/(H131-J131))))</f>
        <v>126.07216471103845</v>
      </c>
      <c r="M131" s="124" cm="1">
        <f t="array" ref="M131">_xlfn.IFS(L131="Undetermined", 0, L131="Undiluted", I131*$G131/$F131*1000, L131="Ten-Fold", K131*$G131/$F131*1000*10, L131&lt;0, K131*$G131/$F131*1000*10, L131&lt;120, I131*$G131/$F131*1000, L131&gt;120, K131*$G131/$F131*1000*10)</f>
        <v>14580093225.965435</v>
      </c>
      <c r="N131" s="121" t="str">
        <f t="shared" si="19"/>
        <v>DELETE</v>
      </c>
      <c r="O131" s="121" t="str">
        <f t="shared" si="20"/>
        <v>DELETE</v>
      </c>
      <c r="P131" s="121" t="str">
        <f t="shared" si="21"/>
        <v>DELETE</v>
      </c>
      <c r="Q131" s="125" t="str" cm="1">
        <f t="array" ref="Q131">_xlfn.IFS(N131="DELETE", "DELETE", N131=0, 0, N131&gt;0,LOG10(N131))</f>
        <v>DELETE</v>
      </c>
      <c r="R131" s="126" t="str" cm="1">
        <f t="array" ref="R131">_xlfn.IFS(N131="DELETE", "DELETE", N131=0, 0, N131&gt;0, P131/N131/LN(10))</f>
        <v>DELETE</v>
      </c>
      <c r="S131" s="155" t="str">
        <f>qPCR_Raw!O131</f>
        <v>Undetermined</v>
      </c>
      <c r="T131" s="156" cm="1">
        <f t="array" ref="T131">_xlfn.IFS(S131="Undetermined", 0, qPCR_Raw!P131&lt;=1, 0, qPCR_Raw!P131&gt;1, qPCR_Raw!P131)</f>
        <v>0</v>
      </c>
      <c r="U131" s="157" t="str">
        <f>qPCR_Raw!R131</f>
        <v>Undetermined</v>
      </c>
      <c r="V131" s="156" cm="1">
        <f t="array" ref="V131">_xlfn.IFS(U131="Undetermined", 0, qPCR_Raw!S131&lt;=1, 0, qPCR_Raw!S131&gt;1, qPCR_Raw!S131)</f>
        <v>0</v>
      </c>
      <c r="W131" s="158" t="str" cm="1">
        <f t="array" ref="W131">_xlfn.IFS(AND(S131="Undetermined", U131="Undetermined"), "Undetermined", AND(T131=0, V131=0), "Undetermined", AND(T131=0, V131&gt;0), "Ten-Fold", AND(T131&gt;0, V131=0), "Undiluted", AND(S131&lt;&gt;"Undetermined", U131&lt;&gt;"Undetermined", T131&gt;0, V131&gt;0, S131&lt;&gt;U131), 100*(-1+10^(-1/(S131-U131))), AND(S131&lt;&gt;"Undetermined", U131&lt;&gt;"Undetermined", S131=U131&gt;0), -100)</f>
        <v>Undetermined</v>
      </c>
      <c r="X131" s="159" cm="1">
        <f t="array" ref="X131">_xlfn.IFS(W131="Undetermined", 0, W131="Undiluted", T131*$G131/$F131*1000, W131="Ten-Fold", V131*$G131/$F131*1000*10, W131&lt;0, V131*$G131/$F131*1000*10, W131&lt;120, T131*$G131/$F131*1000, W131&gt;120, V131*$G131/$F131*1000*10)</f>
        <v>0</v>
      </c>
      <c r="Y131" s="156" t="str">
        <f t="shared" si="22"/>
        <v>DELETE</v>
      </c>
      <c r="Z131" s="156" t="str">
        <f t="shared" si="23"/>
        <v>DELETE</v>
      </c>
      <c r="AA131" s="156" t="str">
        <f t="shared" si="24"/>
        <v>DELETE</v>
      </c>
      <c r="AB131" s="160" t="str" cm="1">
        <f t="array" ref="AB131">_xlfn.IFS(Y131="DELETE", "DELETE", Y131=0, 0, Y131&gt;0,LOG10(Y131))</f>
        <v>DELETE</v>
      </c>
      <c r="AC131" s="161" t="str" cm="1">
        <f t="array" ref="AC131">_xlfn.IFS(Y131="DELETE", "DELETE", Y131=0, 0, Y131&gt;0, AA131/Y131/LN(10))</f>
        <v>DELETE</v>
      </c>
      <c r="AD131" s="120">
        <f>qPCR_Raw!U131</f>
        <v>30.982080459594727</v>
      </c>
      <c r="AE131" s="121" cm="1">
        <f t="array" ref="AE131">_xlfn.IFS(AD131="Undetermined", 0, qPCR_Raw!V131&lt;=1, 0, qPCR_Raw!V131&gt;1, qPCR_Raw!V131)</f>
        <v>15.758430480957031</v>
      </c>
      <c r="AF131" s="122">
        <f>qPCR_Raw!X131</f>
        <v>34.8277587890625</v>
      </c>
      <c r="AG131" s="121" cm="1">
        <f t="array" ref="AG131">_xlfn.IFS(AF131="Undetermined", 0, qPCR_Raw!Y131&lt;=1, 0, qPCR_Raw!Y131&gt;1, qPCR_Raw!Y131)</f>
        <v>1.2830392122268677</v>
      </c>
      <c r="AH131" s="123" cm="1">
        <f t="array" ref="AH131">_xlfn.IFS(AND(AD131="Undetermined", AF131="Undetermined"), "Undetermined", AND(AE131=0, AG131=0), "Undetermined", AND(AE131=0, AG131&gt;0), "Ten-Fold", AND(AE131&gt;0, AG131=0), "Undiluted", AND(AD131&lt;&gt;"Undetermined", AF131&lt;&gt;"Undetermined", AE131&gt;0, AG131&gt;0, AD131&lt;&gt;AF131), 100*(-1+10^(-1/(AD131-AF131))), AND(AD131&lt;&gt;"Undetermined", AF131&lt;&gt;"Undetermined", AD131=AF131&gt;0), -100)</f>
        <v>81.983556801480773</v>
      </c>
      <c r="AI131" s="124" cm="1">
        <f t="array" ref="AI131">_xlfn.IFS(AH131="Undetermined", 0, AH131="Undiluted", AE131*$G131/$F131*1000, AH131="Ten-Fold", AG131*$G131/$F131*1000*10, AH131&lt;0, AG131*$G131/$F131*1000*10, AH131&lt;120, AE131*$G131/$F131*1000, AH131&gt;120, AG131*$G131/$F131*1000*10)</f>
        <v>1608.0031103017377</v>
      </c>
      <c r="AJ131" s="121" t="str">
        <f t="shared" si="25"/>
        <v>DELETE</v>
      </c>
      <c r="AK131" s="121" t="str">
        <f t="shared" si="26"/>
        <v>DELETE</v>
      </c>
      <c r="AL131" s="121" t="str">
        <f t="shared" si="27"/>
        <v>DELETE</v>
      </c>
      <c r="AM131" s="125" t="str" cm="1">
        <f t="array" ref="AM131">_xlfn.IFS(AJ131="DELETE", "DELETE", AJ131=0, 0, AJ131&gt;0,LOG10(AJ131))</f>
        <v>DELETE</v>
      </c>
      <c r="AN131" s="126" t="str" cm="1">
        <f t="array" ref="AN131">_xlfn.IFS(AJ131="DELETE", "DELETE", AJ131=0, 0, AJ131&gt;0, AL131/AJ131/LN(10))</f>
        <v>DELETE</v>
      </c>
      <c r="AO131" s="155">
        <f>qPCR_Raw!AA131</f>
        <v>22.630971908569336</v>
      </c>
      <c r="AP131" s="156" cm="1">
        <f t="array" ref="AP131">_xlfn.IFS(AO131="Undetermined", 0, qPCR_Raw!AB131&lt;=6, 0, qPCR_Raw!AB131&gt;6, qPCR_Raw!AB131)</f>
        <v>794.96728515625</v>
      </c>
      <c r="AQ131" s="157">
        <f>qPCR_Raw!AD131</f>
        <v>25.26801872253418</v>
      </c>
      <c r="AR131" s="156" cm="1">
        <f t="array" ref="AR131">_xlfn.IFS(AQ131="Undetermined", 0, qPCR_Raw!AE131&lt;=6, 0, qPCR_Raw!AE131&gt;6, qPCR_Raw!AE131)</f>
        <v>151.2677001953125</v>
      </c>
      <c r="AS131" s="158" cm="1">
        <f t="array" ref="AS131">_xlfn.IFS(AND(AO131="Undetermined", AQ131="Undetermined"), "Undetermined", AND(AP131=0, AR131=0), "Undetermined", AND(AP131=0, AR131&gt;0), "Ten-Fold", AND(AP131&gt;0, AR131=0), "Undiluted", AND(AO131&lt;&gt;"Undetermined", AQ131&lt;&gt;"Undetermined", AP131&gt;0, AR131&gt;0, AO131&lt;&gt;AQ131), 100*(-1+10^(-1/(AO131-AQ131))), AND(AO131&lt;&gt;"Undetermined", AQ131&lt;&gt;"Undetermined", AO131=AQ131&gt;0), -100)</f>
        <v>139.44847596448108</v>
      </c>
      <c r="AT131" s="159" cm="1">
        <f t="array" ref="AT131">_xlfn.IFS(AS131="Undetermined", 0, AS131="Undiluted", AP131*$G131/$F131*1000, AS131="Ten-Fold", AR131*$G131/$F131*1000*10, AS131&lt;0, AR131*$G131/$F131*1000*10, AS131&lt;120, AP131*$G131/$F131*1000, AS131&gt;120, AR131*$G131/$F131*1000*10)</f>
        <v>154354.7961176658</v>
      </c>
      <c r="AU131" s="156" t="str">
        <f t="shared" si="34"/>
        <v>DELETE</v>
      </c>
      <c r="AV131" s="156" t="str">
        <f t="shared" si="35"/>
        <v>DELETE</v>
      </c>
      <c r="AW131" s="156" t="str">
        <f t="shared" si="36"/>
        <v>DELETE</v>
      </c>
      <c r="AX131" s="160" t="str" cm="1">
        <f t="array" ref="AX131">_xlfn.IFS(AU131="DELETE", "DELETE", AU131=0, 0, AU131&gt;0,LOG10(AU131))</f>
        <v>DELETE</v>
      </c>
      <c r="AY131" s="161" t="str" cm="1">
        <f t="array" ref="AY131">_xlfn.IFS(AU131="DELETE", "DELETE", AU131=0, 0, AU131&gt;0, AW131/AU131/LN(10))</f>
        <v>DELETE</v>
      </c>
      <c r="AZ131" s="120">
        <f>qPCR_Raw!AG131</f>
        <v>38.849109649658203</v>
      </c>
      <c r="BA131" s="121" cm="1">
        <f t="array" ref="BA131">_xlfn.IFS(AZ131="Undetermined", 0, qPCR_Raw!AH131&lt;=1, 0, qPCR_Raw!AH131&gt;1, qPCR_Raw!AH131)</f>
        <v>0</v>
      </c>
      <c r="BB131" s="122" t="str">
        <f>qPCR_Raw!AJ131</f>
        <v>Undetermined</v>
      </c>
      <c r="BC131" s="121" cm="1">
        <f t="array" ref="BC131">_xlfn.IFS(BB131="Undetermined", 0, qPCR_Raw!AK131&lt;=1, 0, qPCR_Raw!AK131&gt;1, qPCR_Raw!AK131)</f>
        <v>0</v>
      </c>
      <c r="BD131" s="123" t="str" cm="1">
        <f t="array" ref="BD131">_xlfn.IFS(AND(AZ131="Undetermined", BB131="Undetermined"), "Undetermined", AND(BA131=0, BC131=0), "Undetermined", AND(BA131=0, BC131&gt;0), "Ten-Fold", AND(BA131&gt;0, BC131=0), "Undiluted", AND(AZ131&lt;&gt;"Undetermined", BB131&lt;&gt;"Undetermined", BA131&gt;0, BC131&gt;0, AZ131&lt;&gt;BB131), 100*(-1+10^(-1/(AZ131-BB131))), AND(AZ131&lt;&gt;"Undetermined", BB131&lt;&gt;"Undetermined", AZ131=BB131&gt;0), -100)</f>
        <v>Undetermined</v>
      </c>
      <c r="BE131" s="124" cm="1">
        <f t="array" ref="BE131">_xlfn.IFS(BD131="Undetermined", 0, BD131="Undiluted", BA131*$G131/$F131*1000, BD131="Ten-Fold", BC131*$G131/$F131*1000*10, BD131&lt;0, BC131*$G131/$F131*1000*10, BD131&lt;120, BA131*$G131/$F131*1000, BD131&gt;120, BC131*$G131/$F131*1000*10)</f>
        <v>0</v>
      </c>
      <c r="BF131" s="121" t="str">
        <f t="shared" si="31"/>
        <v>DELETE</v>
      </c>
      <c r="BG131" s="121" t="str">
        <f t="shared" si="32"/>
        <v>DELETE</v>
      </c>
      <c r="BH131" s="121" t="str">
        <f t="shared" si="33"/>
        <v>DELETE</v>
      </c>
      <c r="BI131" s="125" t="str" cm="1">
        <f t="array" ref="BI131">_xlfn.IFS(BF131="DELETE", "DELETE", BF131=0, 0, BF131&gt;0,LOG10(BF131))</f>
        <v>DELETE</v>
      </c>
      <c r="BJ131" s="126" t="str" cm="1">
        <f t="array" ref="BJ131">_xlfn.IFS(BF131="DELETE", "DELETE", BF131=0, 0, BF131&gt;0, BH131/BF131/LN(10))</f>
        <v>DELETE</v>
      </c>
    </row>
    <row r="132" spans="1:62" s="114" customFormat="1" x14ac:dyDescent="0.3">
      <c r="A132" s="115" t="str">
        <f>UPPER(LEFT(SUBSTITUTE(SUBSTITUTE(qPCR_Raw!A132,"-","")," ",""),2))&amp;RIGHT(SUBSTITUTE(SUBSTITUTE(qPCR_Raw!A132,"-","")," ",""),LEN(SUBSTITUTE(SUBSTITUTE(qPCR_Raw!A132,"-","")," ",""))-2)</f>
        <v>STb6</v>
      </c>
      <c r="B132" s="116" t="str" cm="1">
        <f t="array" ref="B132">_xlfn.IFS(LEFT(A132, LEN(A132)-1)="EP", "EP", LEFT(A132, LEN(A132)-1)="STa", "SPI", LEFT(A132, LEN(A132)-1)="STb", "SPO", LEFT(A132, LEN(A132)-1)="MRT", "MRT", LEFT(A132, LEN(A132)-1)="RG", "RN", LEFT(A132, LEN(A132)-1)="RT", "RU", LEFT(A132, LEN(A132)-1)="RW", "RL", LEFT(A132, LEN(A132)-1)="RC", "RS")</f>
        <v>SPO</v>
      </c>
      <c r="C132" s="117">
        <f>qPCR_Raw!B132</f>
        <v>44391</v>
      </c>
      <c r="D132" s="117" t="str">
        <f t="shared" si="17"/>
        <v>SPO44391</v>
      </c>
      <c r="E132" s="117" t="str">
        <f t="shared" si="18"/>
        <v>SPO443916</v>
      </c>
      <c r="F132" s="118">
        <f>qPCR_Raw!C132</f>
        <v>920</v>
      </c>
      <c r="G132" s="119">
        <f>qPCR_Raw!F132</f>
        <v>100</v>
      </c>
      <c r="H132" s="120">
        <f>qPCR_Raw!G132</f>
        <v>24.788543701171875</v>
      </c>
      <c r="I132" s="121" cm="1">
        <f t="array" ref="I132">_xlfn.IFS(H132="Undetermined", 0, qPCR_Raw!H132-qPCR_Raw!$H$242&lt;0, 0, qPCR_Raw!H132-qPCR_Raw!$H$242&gt;0, qPCR_Raw!H132-qPCR_Raw!$H$242)</f>
        <v>0</v>
      </c>
      <c r="J132" s="122">
        <f>qPCR_Raw!K132</f>
        <v>24.884731292724609</v>
      </c>
      <c r="K132" s="121" cm="1">
        <f t="array" ref="K132">_xlfn.IFS(J132="Undetermined", 0, qPCR_Raw!L132-qPCR_Raw!$H$242&lt;0, 0, qPCR_Raw!L132-qPCR_Raw!$H$242&gt;0, qPCR_Raw!L132-qPCR_Raw!$H$242)</f>
        <v>0</v>
      </c>
      <c r="L132" s="123" t="str" cm="1">
        <f t="array" ref="L132">_xlfn.IFS(AND(H132="Undetermined", J132="Undetermined"), "Undetermined", AND(I132=0, K132=0), "Undetermined", AND(I132=0, K132&gt;0), "Ten-Fold", AND(I132&gt;0, K132=0), "Undiluted", AND(H132&lt;&gt;"Undetermined", J132&lt;&gt;"Undetermined", I132&gt;0, K132&gt;0), 100*(-1+10^(-1/(H132-J132))))</f>
        <v>Undetermined</v>
      </c>
      <c r="M132" s="124" cm="1">
        <f t="array" ref="M132">_xlfn.IFS(L132="Undetermined", 0, L132="Undiluted", I132*$G132/$F132*1000, L132="Ten-Fold", K132*$G132/$F132*1000*10, L132&lt;0, K132*$G132/$F132*1000*10, L132&lt;120, I132*$G132/$F132*1000, L132&gt;120, K132*$G132/$F132*1000*10)</f>
        <v>0</v>
      </c>
      <c r="N132" s="121">
        <f t="shared" si="19"/>
        <v>309997.18331333145</v>
      </c>
      <c r="O132" s="121">
        <f t="shared" si="20"/>
        <v>438402.22093917185</v>
      </c>
      <c r="P132" s="121">
        <f t="shared" si="21"/>
        <v>309997.18331333145</v>
      </c>
      <c r="Q132" s="125" cm="1">
        <f t="array" ref="Q132">_xlfn.IFS(N132="DELETE", "DELETE", N132=0, 0, N132&gt;0,LOG10(N132))</f>
        <v>5.4913577477793218</v>
      </c>
      <c r="R132" s="126" cm="1">
        <f t="array" ref="R132">_xlfn.IFS(N132="DELETE", "DELETE", N132=0, 0, N132&gt;0, P132/N132/LN(10))</f>
        <v>0.43429448190325176</v>
      </c>
      <c r="S132" s="155">
        <f>qPCR_Raw!O132</f>
        <v>35.366298675537109</v>
      </c>
      <c r="T132" s="156" cm="1">
        <f t="array" ref="T132">_xlfn.IFS(S132="Undetermined", 0, qPCR_Raw!P132&lt;=1, 0, qPCR_Raw!P132&gt;1, qPCR_Raw!P132)</f>
        <v>5.4639387130737305</v>
      </c>
      <c r="U132" s="157" t="str">
        <f>qPCR_Raw!R132</f>
        <v>Undetermined</v>
      </c>
      <c r="V132" s="156" cm="1">
        <f t="array" ref="V132">_xlfn.IFS(U132="Undetermined", 0, qPCR_Raw!S132&lt;=1, 0, qPCR_Raw!S132&gt;1, qPCR_Raw!S132)</f>
        <v>0</v>
      </c>
      <c r="W132" s="158" t="str" cm="1">
        <f t="array" ref="W132">_xlfn.IFS(AND(S132="Undetermined", U132="Undetermined"), "Undetermined", AND(T132=0, V132=0), "Undetermined", AND(T132=0, V132&gt;0), "Ten-Fold", AND(T132&gt;0, V132=0), "Undiluted", AND(S132&lt;&gt;"Undetermined", U132&lt;&gt;"Undetermined", T132&gt;0, V132&gt;0, S132&lt;&gt;U132), 100*(-1+10^(-1/(S132-U132))), AND(S132&lt;&gt;"Undetermined", U132&lt;&gt;"Undetermined", S132=U132&gt;0), -100)</f>
        <v>Undiluted</v>
      </c>
      <c r="X132" s="159" cm="1">
        <f t="array" ref="X132">_xlfn.IFS(W132="Undetermined", 0, W132="Undiluted", T132*$G132/$F132*1000, W132="Ten-Fold", V132*$G132/$F132*1000*10, W132&lt;0, V132*$G132/$F132*1000*10, W132&lt;120, T132*$G132/$F132*1000, W132&gt;120, V132*$G132/$F132*1000*10)</f>
        <v>593.90638185584021</v>
      </c>
      <c r="Y132" s="156">
        <f t="shared" si="22"/>
        <v>759.18580362970374</v>
      </c>
      <c r="Z132" s="156">
        <f t="shared" si="23"/>
        <v>233.74039985378096</v>
      </c>
      <c r="AA132" s="156">
        <f t="shared" si="24"/>
        <v>165.27942177386362</v>
      </c>
      <c r="AB132" s="160" cm="1">
        <f t="array" ref="AB132">_xlfn.IFS(Y132="DELETE", "DELETE", Y132=0, 0, Y132&gt;0,LOG10(Y132))</f>
        <v>2.8803480784195954</v>
      </c>
      <c r="AC132" s="161" cm="1">
        <f t="array" ref="AC132">_xlfn.IFS(Y132="DELETE", "DELETE", Y132=0, 0, Y132&gt;0, AA132/Y132/LN(10))</f>
        <v>9.4548581526901307E-2</v>
      </c>
      <c r="AD132" s="120">
        <f>qPCR_Raw!U132</f>
        <v>38.452888488769531</v>
      </c>
      <c r="AE132" s="121" cm="1">
        <f t="array" ref="AE132">_xlfn.IFS(AD132="Undetermined", 0, qPCR_Raw!V132&lt;=1, 0, qPCR_Raw!V132&gt;1, qPCR_Raw!V132)</f>
        <v>0</v>
      </c>
      <c r="AF132" s="122" t="str">
        <f>qPCR_Raw!X132</f>
        <v>Undetermined</v>
      </c>
      <c r="AG132" s="121" cm="1">
        <f t="array" ref="AG132">_xlfn.IFS(AF132="Undetermined", 0, qPCR_Raw!Y132&lt;=1, 0, qPCR_Raw!Y132&gt;1, qPCR_Raw!Y132)</f>
        <v>0</v>
      </c>
      <c r="AH132" s="123" t="str" cm="1">
        <f t="array" ref="AH132">_xlfn.IFS(AND(AD132="Undetermined", AF132="Undetermined"), "Undetermined", AND(AE132=0, AG132=0), "Undetermined", AND(AE132=0, AG132&gt;0), "Ten-Fold", AND(AE132&gt;0, AG132=0), "Undiluted", AND(AD132&lt;&gt;"Undetermined", AF132&lt;&gt;"Undetermined", AE132&gt;0, AG132&gt;0, AD132&lt;&gt;AF132), 100*(-1+10^(-1/(AD132-AF132))), AND(AD132&lt;&gt;"Undetermined", AF132&lt;&gt;"Undetermined", AD132=AF132&gt;0), -100)</f>
        <v>Undetermined</v>
      </c>
      <c r="AI132" s="124" cm="1">
        <f t="array" ref="AI132">_xlfn.IFS(AH132="Undetermined", 0, AH132="Undiluted", AE132*$G132/$F132*1000, AH132="Ten-Fold", AG132*$G132/$F132*1000*10, AH132&lt;0, AG132*$G132/$F132*1000*10, AH132&lt;120, AE132*$G132/$F132*1000, AH132&gt;120, AG132*$G132/$F132*1000*10)</f>
        <v>0</v>
      </c>
      <c r="AJ132" s="121">
        <f t="shared" si="25"/>
        <v>0</v>
      </c>
      <c r="AK132" s="121">
        <f t="shared" si="26"/>
        <v>0</v>
      </c>
      <c r="AL132" s="121">
        <f t="shared" si="27"/>
        <v>0</v>
      </c>
      <c r="AM132" s="125" cm="1">
        <f t="array" ref="AM132">_xlfn.IFS(AJ132="DELETE", "DELETE", AJ132=0, 0, AJ132&gt;0,LOG10(AJ132))</f>
        <v>0</v>
      </c>
      <c r="AN132" s="126" cm="1">
        <f t="array" ref="AN132">_xlfn.IFS(AJ132="DELETE", "DELETE", AJ132=0, 0, AJ132&gt;0, AL132/AJ132/LN(10))</f>
        <v>0</v>
      </c>
      <c r="AO132" s="155">
        <f>qPCR_Raw!AA132</f>
        <v>31.379356384277344</v>
      </c>
      <c r="AP132" s="156" cm="1">
        <f t="array" ref="AP132">_xlfn.IFS(AO132="Undetermined", 0, qPCR_Raw!AB132&lt;=6, 0, qPCR_Raw!AB132&gt;6, qPCR_Raw!AB132)</f>
        <v>0</v>
      </c>
      <c r="AQ132" s="157" t="str">
        <f>qPCR_Raw!AD132</f>
        <v>Undetermined</v>
      </c>
      <c r="AR132" s="156" cm="1">
        <f t="array" ref="AR132">_xlfn.IFS(AQ132="Undetermined", 0, qPCR_Raw!AE132&lt;=6, 0, qPCR_Raw!AE132&gt;6, qPCR_Raw!AE132)</f>
        <v>0</v>
      </c>
      <c r="AS132" s="158" t="str" cm="1">
        <f t="array" ref="AS132">_xlfn.IFS(AND(AO132="Undetermined", AQ132="Undetermined"), "Undetermined", AND(AP132=0, AR132=0), "Undetermined", AND(AP132=0, AR132&gt;0), "Ten-Fold", AND(AP132&gt;0, AR132=0), "Undiluted", AND(AO132&lt;&gt;"Undetermined", AQ132&lt;&gt;"Undetermined", AP132&gt;0, AR132&gt;0, AO132&lt;&gt;AQ132), 100*(-1+10^(-1/(AO132-AQ132))), AND(AO132&lt;&gt;"Undetermined", AQ132&lt;&gt;"Undetermined", AO132=AQ132&gt;0), -100)</f>
        <v>Undetermined</v>
      </c>
      <c r="AT132" s="159" cm="1">
        <f t="array" ref="AT132">_xlfn.IFS(AS132="Undetermined", 0, AS132="Undiluted", AP132*$G132/$F132*1000, AS132="Ten-Fold", AR132*$G132/$F132*1000*10, AS132&lt;0, AR132*$G132/$F132*1000*10, AS132&lt;120, AP132*$G132/$F132*1000, AS132&gt;120, AR132*$G132/$F132*1000*10)</f>
        <v>0</v>
      </c>
      <c r="AU132" s="156">
        <f t="shared" si="34"/>
        <v>0</v>
      </c>
      <c r="AV132" s="156">
        <f t="shared" si="35"/>
        <v>0</v>
      </c>
      <c r="AW132" s="156">
        <f t="shared" si="36"/>
        <v>0</v>
      </c>
      <c r="AX132" s="160" cm="1">
        <f t="array" ref="AX132">_xlfn.IFS(AU132="DELETE", "DELETE", AU132=0, 0, AU132&gt;0,LOG10(AU132))</f>
        <v>0</v>
      </c>
      <c r="AY132" s="161" cm="1">
        <f t="array" ref="AY132">_xlfn.IFS(AU132="DELETE", "DELETE", AU132=0, 0, AU132&gt;0, AW132/AU132/LN(10))</f>
        <v>0</v>
      </c>
      <c r="AZ132" s="120" t="str">
        <f>qPCR_Raw!AG132</f>
        <v>Undetermined</v>
      </c>
      <c r="BA132" s="121" cm="1">
        <f t="array" ref="BA132">_xlfn.IFS(AZ132="Undetermined", 0, qPCR_Raw!AH132&lt;=1, 0, qPCR_Raw!AH132&gt;1, qPCR_Raw!AH132)</f>
        <v>0</v>
      </c>
      <c r="BB132" s="122" t="str">
        <f>qPCR_Raw!AJ132</f>
        <v>Undetermined</v>
      </c>
      <c r="BC132" s="121" cm="1">
        <f t="array" ref="BC132">_xlfn.IFS(BB132="Undetermined", 0, qPCR_Raw!AK132&lt;=1, 0, qPCR_Raw!AK132&gt;1, qPCR_Raw!AK132)</f>
        <v>0</v>
      </c>
      <c r="BD132" s="123" t="str" cm="1">
        <f t="array" ref="BD132">_xlfn.IFS(AND(AZ132="Undetermined", BB132="Undetermined"), "Undetermined", AND(BA132=0, BC132=0), "Undetermined", AND(BA132=0, BC132&gt;0), "Ten-Fold", AND(BA132&gt;0, BC132=0), "Undiluted", AND(AZ132&lt;&gt;"Undetermined", BB132&lt;&gt;"Undetermined", BA132&gt;0, BC132&gt;0, AZ132&lt;&gt;BB132), 100*(-1+10^(-1/(AZ132-BB132))), AND(AZ132&lt;&gt;"Undetermined", BB132&lt;&gt;"Undetermined", AZ132=BB132&gt;0), -100)</f>
        <v>Undetermined</v>
      </c>
      <c r="BE132" s="124" cm="1">
        <f t="array" ref="BE132">_xlfn.IFS(BD132="Undetermined", 0, BD132="Undiluted", BA132*$G132/$F132*1000, BD132="Ten-Fold", BC132*$G132/$F132*1000*10, BD132&lt;0, BC132*$G132/$F132*1000*10, BD132&lt;120, BA132*$G132/$F132*1000, BD132&gt;120, BC132*$G132/$F132*1000*10)</f>
        <v>0</v>
      </c>
      <c r="BF132" s="121">
        <f t="shared" si="31"/>
        <v>0</v>
      </c>
      <c r="BG132" s="121">
        <f t="shared" si="32"/>
        <v>0</v>
      </c>
      <c r="BH132" s="121">
        <f t="shared" si="33"/>
        <v>0</v>
      </c>
      <c r="BI132" s="125" cm="1">
        <f t="array" ref="BI132">_xlfn.IFS(BF132="DELETE", "DELETE", BF132=0, 0, BF132&gt;0,LOG10(BF132))</f>
        <v>0</v>
      </c>
      <c r="BJ132" s="126" cm="1">
        <f t="array" ref="BJ132">_xlfn.IFS(BF132="DELETE", "DELETE", BF132=0, 0, BF132&gt;0, BH132/BF132/LN(10))</f>
        <v>0</v>
      </c>
    </row>
    <row r="133" spans="1:62" s="114" customFormat="1" x14ac:dyDescent="0.3">
      <c r="A133" s="115" t="str">
        <f>UPPER(LEFT(SUBSTITUTE(SUBSTITUTE(qPCR_Raw!A133,"-","")," ",""),2))&amp;RIGHT(SUBSTITUTE(SUBSTITUTE(qPCR_Raw!A133,"-","")," ",""),LEN(SUBSTITUTE(SUBSTITUTE(qPCR_Raw!A133,"-","")," ",""))-2)</f>
        <v>STb7</v>
      </c>
      <c r="B133" s="116" t="str" cm="1">
        <f t="array" ref="B133">_xlfn.IFS(LEFT(A133, LEN(A133)-1)="EP", "EP", LEFT(A133, LEN(A133)-1)="STa", "SPI", LEFT(A133, LEN(A133)-1)="STb", "SPO", LEFT(A133, LEN(A133)-1)="MRT", "MRT", LEFT(A133, LEN(A133)-1)="RG", "RN", LEFT(A133, LEN(A133)-1)="RT", "RU", LEFT(A133, LEN(A133)-1)="RW", "RL", LEFT(A133, LEN(A133)-1)="RC", "RS")</f>
        <v>SPO</v>
      </c>
      <c r="C133" s="117">
        <f>qPCR_Raw!B133</f>
        <v>44391</v>
      </c>
      <c r="D133" s="117" t="str">
        <f t="shared" ref="D133:D196" si="37">B133&amp;C133</f>
        <v>SPO44391</v>
      </c>
      <c r="E133" s="117" t="str">
        <f t="shared" ref="E133:E196" si="38">D133&amp;RIGHT(A133,1)</f>
        <v>SPO443917</v>
      </c>
      <c r="F133" s="118">
        <f>qPCR_Raw!C133</f>
        <v>830</v>
      </c>
      <c r="G133" s="119">
        <f>qPCR_Raw!F133</f>
        <v>100</v>
      </c>
      <c r="H133" s="120">
        <f>qPCR_Raw!G133</f>
        <v>22.587129592895508</v>
      </c>
      <c r="I133" s="121" cm="1">
        <f t="array" ref="I133">_xlfn.IFS(H133="Undetermined", 0, qPCR_Raw!H133-qPCR_Raw!$H$242&lt;0, 0, qPCR_Raw!H133-qPCR_Raw!$H$242&gt;0, qPCR_Raw!H133-qPCR_Raw!$H$242)</f>
        <v>5145.9532430013023</v>
      </c>
      <c r="J133" s="122">
        <f>qPCR_Raw!K133</f>
        <v>25.636676788330078</v>
      </c>
      <c r="K133" s="121" cm="1">
        <f t="array" ref="K133">_xlfn.IFS(J133="Undetermined", 0, qPCR_Raw!L133-qPCR_Raw!$H$242&lt;0, 0, qPCR_Raw!L133-qPCR_Raw!$H$242&gt;0, qPCR_Raw!L133-qPCR_Raw!$H$242)</f>
        <v>0</v>
      </c>
      <c r="L133" s="123" t="str" cm="1">
        <f t="array" ref="L133">_xlfn.IFS(AND(H133="Undetermined", J133="Undetermined"), "Undetermined", AND(I133=0, K133=0), "Undetermined", AND(I133=0, K133&gt;0), "Ten-Fold", AND(I133&gt;0, K133=0), "Undiluted", AND(H133&lt;&gt;"Undetermined", J133&lt;&gt;"Undetermined", I133&gt;0, K133&gt;0), 100*(-1+10^(-1/(H133-J133))))</f>
        <v>Undiluted</v>
      </c>
      <c r="M133" s="124" cm="1">
        <f t="array" ref="M133">_xlfn.IFS(L133="Undetermined", 0, L133="Undiluted", I133*$G133/$F133*1000, L133="Ten-Fold", K133*$G133/$F133*1000*10, L133&lt;0, K133*$G133/$F133*1000*10, L133&lt;120, I133*$G133/$F133*1000, L133&gt;120, K133*$G133/$F133*1000*10)</f>
        <v>619994.3666266629</v>
      </c>
      <c r="N133" s="121" t="str">
        <f t="shared" ref="N133:N196" si="39">IF($D133&lt;&gt;$D134,"DELETE",AVERAGE(M133:M134))</f>
        <v>DELETE</v>
      </c>
      <c r="O133" s="121" t="str">
        <f t="shared" ref="O133:O196" si="40">IF($D133&lt;&gt;$D134,"DELETE", STDEV(M133:M134))</f>
        <v>DELETE</v>
      </c>
      <c r="P133" s="121" t="str">
        <f t="shared" ref="P133:P196" si="41">IF(O133&lt;&gt;"DELETE", O133/2^0.5, "DELETE")</f>
        <v>DELETE</v>
      </c>
      <c r="Q133" s="125" t="str" cm="1">
        <f t="array" ref="Q133">_xlfn.IFS(N133="DELETE", "DELETE", N133=0, 0, N133&gt;0,LOG10(N133))</f>
        <v>DELETE</v>
      </c>
      <c r="R133" s="126" t="str" cm="1">
        <f t="array" ref="R133">_xlfn.IFS(N133="DELETE", "DELETE", N133=0, 0, N133&gt;0, P133/N133/LN(10))</f>
        <v>DELETE</v>
      </c>
      <c r="S133" s="155">
        <f>qPCR_Raw!O133</f>
        <v>34.826938629150391</v>
      </c>
      <c r="T133" s="156" cm="1">
        <f t="array" ref="T133">_xlfn.IFS(S133="Undetermined", 0, qPCR_Raw!P133&lt;=1, 0, qPCR_Raw!P133&gt;1, qPCR_Raw!P133)</f>
        <v>7.6730613708496094</v>
      </c>
      <c r="U133" s="157">
        <f>qPCR_Raw!R133</f>
        <v>37.962413787841797</v>
      </c>
      <c r="V133" s="156" cm="1">
        <f t="array" ref="V133">_xlfn.IFS(U133="Undetermined", 0, qPCR_Raw!S133&lt;=1, 0, qPCR_Raw!S133&gt;1, qPCR_Raw!S133)</f>
        <v>1.0659070014953613</v>
      </c>
      <c r="W133" s="158" cm="1">
        <f t="array" ref="W133">_xlfn.IFS(AND(S133="Undetermined", U133="Undetermined"), "Undetermined", AND(T133=0, V133=0), "Undetermined", AND(T133=0, V133&gt;0), "Ten-Fold", AND(T133&gt;0, V133=0), "Undiluted", AND(S133&lt;&gt;"Undetermined", U133&lt;&gt;"Undetermined", T133&gt;0, V133&gt;0, S133&lt;&gt;U133), 100*(-1+10^(-1/(S133-U133))), AND(S133&lt;&gt;"Undetermined", U133&lt;&gt;"Undetermined", S133=U133&gt;0), -100)</f>
        <v>108.4159380175945</v>
      </c>
      <c r="X133" s="159" cm="1">
        <f t="array" ref="X133">_xlfn.IFS(W133="Undetermined", 0, W133="Undiluted", T133*$G133/$F133*1000, W133="Ten-Fold", V133*$G133/$F133*1000*10, W133&lt;0, V133*$G133/$F133*1000*10, W133&lt;120, T133*$G133/$F133*1000, W133&gt;120, V133*$G133/$F133*1000*10)</f>
        <v>924.46522540356739</v>
      </c>
      <c r="Y133" s="156" t="str">
        <f t="shared" ref="Y133:Y196" si="42">IF($D133&lt;&gt;$D134,"DELETE",AVERAGE(X133:X134))</f>
        <v>DELETE</v>
      </c>
      <c r="Z133" s="156" t="str">
        <f t="shared" ref="Z133:Z196" si="43">IF($D133&lt;&gt;$D134,"DELETE", STDEV(X133:X134))</f>
        <v>DELETE</v>
      </c>
      <c r="AA133" s="156" t="str">
        <f t="shared" ref="AA133:AA196" si="44">IF(Z133&lt;&gt;"DELETE", Z133/2^0.5, "DELETE")</f>
        <v>DELETE</v>
      </c>
      <c r="AB133" s="160" t="str" cm="1">
        <f t="array" ref="AB133">_xlfn.IFS(Y133="DELETE", "DELETE", Y133=0, 0, Y133&gt;0,LOG10(Y133))</f>
        <v>DELETE</v>
      </c>
      <c r="AC133" s="161" t="str" cm="1">
        <f t="array" ref="AC133">_xlfn.IFS(Y133="DELETE", "DELETE", Y133=0, 0, Y133&gt;0, AA133/Y133/LN(10))</f>
        <v>DELETE</v>
      </c>
      <c r="AD133" s="120" t="str">
        <f>qPCR_Raw!U133</f>
        <v>Undetermined</v>
      </c>
      <c r="AE133" s="121" cm="1">
        <f t="array" ref="AE133">_xlfn.IFS(AD133="Undetermined", 0, qPCR_Raw!V133&lt;=1, 0, qPCR_Raw!V133&gt;1, qPCR_Raw!V133)</f>
        <v>0</v>
      </c>
      <c r="AF133" s="122" t="str">
        <f>qPCR_Raw!X133</f>
        <v>Undetermined</v>
      </c>
      <c r="AG133" s="121" cm="1">
        <f t="array" ref="AG133">_xlfn.IFS(AF133="Undetermined", 0, qPCR_Raw!Y133&lt;=1, 0, qPCR_Raw!Y133&gt;1, qPCR_Raw!Y133)</f>
        <v>0</v>
      </c>
      <c r="AH133" s="123" t="str" cm="1">
        <f t="array" ref="AH133">_xlfn.IFS(AND(AD133="Undetermined", AF133="Undetermined"), "Undetermined", AND(AE133=0, AG133=0), "Undetermined", AND(AE133=0, AG133&gt;0), "Ten-Fold", AND(AE133&gt;0, AG133=0), "Undiluted", AND(AD133&lt;&gt;"Undetermined", AF133&lt;&gt;"Undetermined", AE133&gt;0, AG133&gt;0, AD133&lt;&gt;AF133), 100*(-1+10^(-1/(AD133-AF133))), AND(AD133&lt;&gt;"Undetermined", AF133&lt;&gt;"Undetermined", AD133=AF133&gt;0), -100)</f>
        <v>Undetermined</v>
      </c>
      <c r="AI133" s="124" cm="1">
        <f t="array" ref="AI133">_xlfn.IFS(AH133="Undetermined", 0, AH133="Undiluted", AE133*$G133/$F133*1000, AH133="Ten-Fold", AG133*$G133/$F133*1000*10, AH133&lt;0, AG133*$G133/$F133*1000*10, AH133&lt;120, AE133*$G133/$F133*1000, AH133&gt;120, AG133*$G133/$F133*1000*10)</f>
        <v>0</v>
      </c>
      <c r="AJ133" s="121" t="str">
        <f t="shared" ref="AJ133:AJ196" si="45">IF($D133&lt;&gt;$D134,"DELETE",AVERAGE(AI133:AI134))</f>
        <v>DELETE</v>
      </c>
      <c r="AK133" s="121" t="str">
        <f t="shared" ref="AK133:AK196" si="46">IF($D133&lt;&gt;$D134,"DELETE", STDEV(AI133:AI134))</f>
        <v>DELETE</v>
      </c>
      <c r="AL133" s="121" t="str">
        <f t="shared" ref="AL133:AL196" si="47">IF(AK133&lt;&gt;"DELETE", AK133/2^0.5, "DELETE")</f>
        <v>DELETE</v>
      </c>
      <c r="AM133" s="125" t="str" cm="1">
        <f t="array" ref="AM133">_xlfn.IFS(AJ133="DELETE", "DELETE", AJ133=0, 0, AJ133&gt;0,LOG10(AJ133))</f>
        <v>DELETE</v>
      </c>
      <c r="AN133" s="126" t="str" cm="1">
        <f t="array" ref="AN133">_xlfn.IFS(AJ133="DELETE", "DELETE", AJ133=0, 0, AJ133&gt;0, AL133/AJ133/LN(10))</f>
        <v>DELETE</v>
      </c>
      <c r="AO133" s="155">
        <f>qPCR_Raw!AA133</f>
        <v>30.687435150146484</v>
      </c>
      <c r="AP133" s="156" cm="1">
        <f t="array" ref="AP133">_xlfn.IFS(AO133="Undetermined", 0, qPCR_Raw!AB133&lt;=6, 0, qPCR_Raw!AB133&gt;6, qPCR_Raw!AB133)</f>
        <v>0</v>
      </c>
      <c r="AQ133" s="157" t="str">
        <f>qPCR_Raw!AD133</f>
        <v>Undetermined</v>
      </c>
      <c r="AR133" s="156" cm="1">
        <f t="array" ref="AR133">_xlfn.IFS(AQ133="Undetermined", 0, qPCR_Raw!AE133&lt;=6, 0, qPCR_Raw!AE133&gt;6, qPCR_Raw!AE133)</f>
        <v>0</v>
      </c>
      <c r="AS133" s="158" t="str" cm="1">
        <f t="array" ref="AS133">_xlfn.IFS(AND(AO133="Undetermined", AQ133="Undetermined"), "Undetermined", AND(AP133=0, AR133=0), "Undetermined", AND(AP133=0, AR133&gt;0), "Ten-Fold", AND(AP133&gt;0, AR133=0), "Undiluted", AND(AO133&lt;&gt;"Undetermined", AQ133&lt;&gt;"Undetermined", AP133&gt;0, AR133&gt;0, AO133&lt;&gt;AQ133), 100*(-1+10^(-1/(AO133-AQ133))), AND(AO133&lt;&gt;"Undetermined", AQ133&lt;&gt;"Undetermined", AO133=AQ133&gt;0), -100)</f>
        <v>Undetermined</v>
      </c>
      <c r="AT133" s="159" cm="1">
        <f t="array" ref="AT133">_xlfn.IFS(AS133="Undetermined", 0, AS133="Undiluted", AP133*$G133/$F133*1000, AS133="Ten-Fold", AR133*$G133/$F133*1000*10, AS133&lt;0, AR133*$G133/$F133*1000*10, AS133&lt;120, AP133*$G133/$F133*1000, AS133&gt;120, AR133*$G133/$F133*1000*10)</f>
        <v>0</v>
      </c>
      <c r="AU133" s="156" t="str">
        <f t="shared" ref="AU133:AU196" si="48">IF($D133&lt;&gt;$D134,"DELETE",AVERAGE(AT133:AT134))</f>
        <v>DELETE</v>
      </c>
      <c r="AV133" s="156" t="str">
        <f t="shared" ref="AV133:AV196" si="49">IF($D133&lt;&gt;$D134,"DELETE", STDEV(AT133:AT134))</f>
        <v>DELETE</v>
      </c>
      <c r="AW133" s="156" t="str">
        <f t="shared" ref="AW133:AW196" si="50">IF(AV133&lt;&gt;"DELETE", AV133/2^0.5, "DELETE")</f>
        <v>DELETE</v>
      </c>
      <c r="AX133" s="160" t="str" cm="1">
        <f t="array" ref="AX133">_xlfn.IFS(AU133="DELETE", "DELETE", AU133=0, 0, AU133&gt;0,LOG10(AU133))</f>
        <v>DELETE</v>
      </c>
      <c r="AY133" s="161" t="str" cm="1">
        <f t="array" ref="AY133">_xlfn.IFS(AU133="DELETE", "DELETE", AU133=0, 0, AU133&gt;0, AW133/AU133/LN(10))</f>
        <v>DELETE</v>
      </c>
      <c r="AZ133" s="120" t="str">
        <f>qPCR_Raw!AG133</f>
        <v>Undetermined</v>
      </c>
      <c r="BA133" s="121" cm="1">
        <f t="array" ref="BA133">_xlfn.IFS(AZ133="Undetermined", 0, qPCR_Raw!AH133&lt;=1, 0, qPCR_Raw!AH133&gt;1, qPCR_Raw!AH133)</f>
        <v>0</v>
      </c>
      <c r="BB133" s="122" t="str">
        <f>qPCR_Raw!AJ133</f>
        <v>Undetermined</v>
      </c>
      <c r="BC133" s="121" cm="1">
        <f t="array" ref="BC133">_xlfn.IFS(BB133="Undetermined", 0, qPCR_Raw!AK133&lt;=1, 0, qPCR_Raw!AK133&gt;1, qPCR_Raw!AK133)</f>
        <v>0</v>
      </c>
      <c r="BD133" s="123" t="str" cm="1">
        <f t="array" ref="BD133">_xlfn.IFS(AND(AZ133="Undetermined", BB133="Undetermined"), "Undetermined", AND(BA133=0, BC133=0), "Undetermined", AND(BA133=0, BC133&gt;0), "Ten-Fold", AND(BA133&gt;0, BC133=0), "Undiluted", AND(AZ133&lt;&gt;"Undetermined", BB133&lt;&gt;"Undetermined", BA133&gt;0, BC133&gt;0, AZ133&lt;&gt;BB133), 100*(-1+10^(-1/(AZ133-BB133))), AND(AZ133&lt;&gt;"Undetermined", BB133&lt;&gt;"Undetermined", AZ133=BB133&gt;0), -100)</f>
        <v>Undetermined</v>
      </c>
      <c r="BE133" s="124" cm="1">
        <f t="array" ref="BE133">_xlfn.IFS(BD133="Undetermined", 0, BD133="Undiluted", BA133*$G133/$F133*1000, BD133="Ten-Fold", BC133*$G133/$F133*1000*10, BD133&lt;0, BC133*$G133/$F133*1000*10, BD133&lt;120, BA133*$G133/$F133*1000, BD133&gt;120, BC133*$G133/$F133*1000*10)</f>
        <v>0</v>
      </c>
      <c r="BF133" s="121" t="str">
        <f t="shared" ref="BF133:BF196" si="51">IF($D133&lt;&gt;$D134,"DELETE",AVERAGE(BE133:BE134))</f>
        <v>DELETE</v>
      </c>
      <c r="BG133" s="121" t="str">
        <f t="shared" ref="BG133:BG196" si="52">IF($D133&lt;&gt;$D134,"DELETE", STDEV(BE133:BE134))</f>
        <v>DELETE</v>
      </c>
      <c r="BH133" s="121" t="str">
        <f t="shared" ref="BH133:BH196" si="53">IF(BG133&lt;&gt;"DELETE", BG133/2^0.5, "DELETE")</f>
        <v>DELETE</v>
      </c>
      <c r="BI133" s="125" t="str" cm="1">
        <f t="array" ref="BI133">_xlfn.IFS(BF133="DELETE", "DELETE", BF133=0, 0, BF133&gt;0,LOG10(BF133))</f>
        <v>DELETE</v>
      </c>
      <c r="BJ133" s="126" t="str" cm="1">
        <f t="array" ref="BJ133">_xlfn.IFS(BF133="DELETE", "DELETE", BF133=0, 0, BF133&gt;0, BH133/BF133/LN(10))</f>
        <v>DELETE</v>
      </c>
    </row>
    <row r="134" spans="1:62" s="114" customFormat="1" x14ac:dyDescent="0.3">
      <c r="A134" s="115" t="str">
        <f>UPPER(LEFT(SUBSTITUTE(SUBSTITUTE(qPCR_Raw!A134,"-","")," ",""),2))&amp;RIGHT(SUBSTITUTE(SUBSTITUTE(qPCR_Raw!A134,"-","")," ",""),LEN(SUBSTITUTE(SUBSTITUTE(qPCR_Raw!A134,"-","")," ",""))-2)</f>
        <v>RC6</v>
      </c>
      <c r="B134" s="116" t="str" cm="1">
        <f t="array" ref="B134">_xlfn.IFS(LEFT(A134, LEN(A134)-1)="EP", "EP", LEFT(A134, LEN(A134)-1)="STa", "SPI", LEFT(A134, LEN(A134)-1)="STb", "SPO", LEFT(A134, LEN(A134)-1)="MRT", "MRT", LEFT(A134, LEN(A134)-1)="RG", "RN", LEFT(A134, LEN(A134)-1)="RT", "RU", LEFT(A134, LEN(A134)-1)="RW", "RL", LEFT(A134, LEN(A134)-1)="RC", "RS")</f>
        <v>RS</v>
      </c>
      <c r="C134" s="117">
        <f>qPCR_Raw!B134</f>
        <v>44391</v>
      </c>
      <c r="D134" s="117" t="str">
        <f t="shared" si="37"/>
        <v>RS44391</v>
      </c>
      <c r="E134" s="117" t="str">
        <f t="shared" si="38"/>
        <v>RS443916</v>
      </c>
      <c r="F134" s="118">
        <f>qPCR_Raw!C134</f>
        <v>930</v>
      </c>
      <c r="G134" s="119">
        <f>qPCR_Raw!F134</f>
        <v>100</v>
      </c>
      <c r="H134" s="120">
        <f>qPCR_Raw!G134</f>
        <v>9.2871923446655273</v>
      </c>
      <c r="I134" s="121" cm="1">
        <f t="array" ref="I134">_xlfn.IFS(H134="Undetermined", 0, qPCR_Raw!H134-qPCR_Raw!$H$242&lt;0, 0, qPCR_Raw!H134-qPCR_Raw!$H$242&gt;0, qPCR_Raw!H134-qPCR_Raw!$H$242)</f>
        <v>98136817.361446127</v>
      </c>
      <c r="J134" s="122">
        <f>qPCR_Raw!K134</f>
        <v>11.308317184448242</v>
      </c>
      <c r="K134" s="121" cm="1">
        <f t="array" ref="K134">_xlfn.IFS(J134="Undetermined", 0, qPCR_Raw!L134-qPCR_Raw!$H$242&lt;0, 0, qPCR_Raw!L134-qPCR_Raw!$H$242&gt;0, qPCR_Raw!L134-qPCR_Raw!$H$242)</f>
        <v>26565137.361446127</v>
      </c>
      <c r="L134" s="123" cm="1">
        <f t="array" ref="L134">_xlfn.IFS(AND(H134="Undetermined", J134="Undetermined"), "Undetermined", AND(I134=0, K134=0), "Undetermined", AND(I134=0, K134&gt;0), "Ten-Fold", AND(I134&gt;0, K134=0), "Undiluted", AND(H134&lt;&gt;"Undetermined", J134&lt;&gt;"Undetermined", I134&gt;0, K134&gt;0), 100*(-1+10^(-1/(H134-J134))))</f>
        <v>212.44529514591446</v>
      </c>
      <c r="M134" s="124" cm="1">
        <f t="array" ref="M134">_xlfn.IFS(L134="Undetermined", 0, L134="Undiluted", I134*$G134/$F134*1000, L134="Ten-Fold", K134*$G134/$F134*1000*10, L134&lt;0, K134*$G134/$F134*1000*10, L134&lt;120, I134*$G134/$F134*1000, L134&gt;120, K134*$G134/$F134*1000*10)</f>
        <v>28564663829.511967</v>
      </c>
      <c r="N134" s="121">
        <f t="shared" si="39"/>
        <v>14338618581.142103</v>
      </c>
      <c r="O134" s="121">
        <f t="shared" si="40"/>
        <v>20118666129.177986</v>
      </c>
      <c r="P134" s="121">
        <f t="shared" si="41"/>
        <v>14226045248.369862</v>
      </c>
      <c r="Q134" s="125" cm="1">
        <f t="array" ref="Q134">_xlfn.IFS(N134="DELETE", "DELETE", N134=0, 0, N134&gt;0,LOG10(N134))</f>
        <v>10.156507312316004</v>
      </c>
      <c r="R134" s="126" cm="1">
        <f t="array" ref="R134">_xlfn.IFS(N134="DELETE", "DELETE", N134=0, 0, N134&gt;0, P134/N134/LN(10))</f>
        <v>0.43088481053527622</v>
      </c>
      <c r="S134" s="155">
        <f>qPCR_Raw!O134</f>
        <v>27.217161178588867</v>
      </c>
      <c r="T134" s="156" cm="1">
        <f t="array" ref="T134">_xlfn.IFS(S134="Undetermined", 0, qPCR_Raw!P134&lt;=1, 0, qPCR_Raw!P134&gt;1, qPCR_Raw!P134)</f>
        <v>923.6492919921875</v>
      </c>
      <c r="U134" s="157">
        <f>qPCR_Raw!R134</f>
        <v>29.99644660949707</v>
      </c>
      <c r="V134" s="156" cm="1">
        <f t="array" ref="V134">_xlfn.IFS(U134="Undetermined", 0, qPCR_Raw!S134&lt;=1, 0, qPCR_Raw!S134&gt;1, qPCR_Raw!S134)</f>
        <v>160.56143188476563</v>
      </c>
      <c r="W134" s="158" cm="1">
        <f t="array" ref="W134">_xlfn.IFS(AND(S134="Undetermined", U134="Undetermined"), "Undetermined", AND(T134=0, V134=0), "Undetermined", AND(T134=0, V134&gt;0), "Ten-Fold", AND(T134&gt;0, V134=0), "Undiluted", AND(S134&lt;&gt;"Undetermined", U134&lt;&gt;"Undetermined", T134&gt;0, V134&gt;0, S134&lt;&gt;U134), 100*(-1+10^(-1/(S134-U134))), AND(S134&lt;&gt;"Undetermined", U134&lt;&gt;"Undetermined", S134=U134&gt;0), -100)</f>
        <v>128.98377675298249</v>
      </c>
      <c r="X134" s="159" cm="1">
        <f t="array" ref="X134">_xlfn.IFS(W134="Undetermined", 0, W134="Undiluted", T134*$G134/$F134*1000, W134="Ten-Fold", V134*$G134/$F134*1000*10, W134&lt;0, V134*$G134/$F134*1000*10, W134&lt;120, T134*$G134/$F134*1000, W134&gt;120, V134*$G134/$F134*1000*10)</f>
        <v>172646.70095136092</v>
      </c>
      <c r="Y134" s="156">
        <f t="shared" si="42"/>
        <v>119424.19139557664</v>
      </c>
      <c r="Z134" s="156">
        <f t="shared" si="43"/>
        <v>75267.994837321792</v>
      </c>
      <c r="AA134" s="156">
        <f t="shared" si="44"/>
        <v>53222.509555784287</v>
      </c>
      <c r="AB134" s="160" cm="1">
        <f t="array" ref="AB134">_xlfn.IFS(Y134="DELETE", "DELETE", Y134=0, 0, Y134&gt;0,LOG10(Y134))</f>
        <v>5.0770923094184184</v>
      </c>
      <c r="AC134" s="161" cm="1">
        <f t="array" ref="AC134">_xlfn.IFS(Y134="DELETE", "DELETE", Y134=0, 0, Y134&gt;0, AA134/Y134/LN(10))</f>
        <v>0.19354740394730724</v>
      </c>
      <c r="AD134" s="120">
        <f>qPCR_Raw!U134</f>
        <v>23.916748046875</v>
      </c>
      <c r="AE134" s="121" cm="1">
        <f t="array" ref="AE134">_xlfn.IFS(AD134="Undetermined", 0, qPCR_Raw!V134&lt;=1, 0, qPCR_Raw!V134&gt;1, qPCR_Raw!V134)</f>
        <v>1580.3021240234375</v>
      </c>
      <c r="AF134" s="122">
        <f>qPCR_Raw!X134</f>
        <v>26.709697723388672</v>
      </c>
      <c r="AG134" s="121" cm="1">
        <f t="array" ref="AG134">_xlfn.IFS(AF134="Undetermined", 0, qPCR_Raw!Y134&lt;=1, 0, qPCR_Raw!Y134&gt;1, qPCR_Raw!Y134)</f>
        <v>255.65147399902344</v>
      </c>
      <c r="AH134" s="123" cm="1">
        <f t="array" ref="AH134">_xlfn.IFS(AND(AD134="Undetermined", AF134="Undetermined"), "Undetermined", AND(AE134=0, AG134=0), "Undetermined", AND(AE134=0, AG134&gt;0), "Ten-Fold", AND(AE134&gt;0, AG134=0), "Undiluted", AND(AD134&lt;&gt;"Undetermined", AF134&lt;&gt;"Undetermined", AE134&gt;0, AG134&gt;0, AD134&lt;&gt;AF134), 100*(-1+10^(-1/(AD134-AF134))), AND(AD134&lt;&gt;"Undetermined", AF134&lt;&gt;"Undetermined", AD134=AF134&gt;0), -100)</f>
        <v>128.05752308089623</v>
      </c>
      <c r="AI134" s="124" cm="1">
        <f t="array" ref="AI134">_xlfn.IFS(AH134="Undetermined", 0, AH134="Undiluted", AE134*$G134/$F134*1000, AH134="Ten-Fold", AG134*$G134/$F134*1000*10, AH134&lt;0, AG134*$G134/$F134*1000*10, AH134&lt;120, AE134*$G134/$F134*1000, AH134&gt;120, AG134*$G134/$F134*1000*10)</f>
        <v>274894.0580634661</v>
      </c>
      <c r="AJ134" s="121">
        <f t="shared" si="45"/>
        <v>148097.27831216069</v>
      </c>
      <c r="AK134" s="121">
        <f t="shared" si="46"/>
        <v>179317.72558953031</v>
      </c>
      <c r="AL134" s="121">
        <f t="shared" si="47"/>
        <v>126796.77975130537</v>
      </c>
      <c r="AM134" s="125" cm="1">
        <f t="array" ref="AM134">_xlfn.IFS(AJ134="DELETE", "DELETE", AJ134=0, 0, AJ134&gt;0,LOG10(AJ134))</f>
        <v>5.1705470772594166</v>
      </c>
      <c r="AN134" s="126" cm="1">
        <f t="array" ref="AN134">_xlfn.IFS(AJ134="DELETE", "DELETE", AJ134=0, 0, AJ134&gt;0, AL134/AJ134/LN(10))</f>
        <v>0.37183088302961859</v>
      </c>
      <c r="AO134" s="155">
        <f>qPCR_Raw!AA134</f>
        <v>30.559625625610352</v>
      </c>
      <c r="AP134" s="156" cm="1">
        <f t="array" ref="AP134">_xlfn.IFS(AO134="Undetermined", 0, qPCR_Raw!AB134&lt;=6, 0, qPCR_Raw!AB134&gt;6, qPCR_Raw!AB134)</f>
        <v>0</v>
      </c>
      <c r="AQ134" s="157">
        <f>qPCR_Raw!AD134</f>
        <v>31.934293746948242</v>
      </c>
      <c r="AR134" s="156" cm="1">
        <f t="array" ref="AR134">_xlfn.IFS(AQ134="Undetermined", 0, qPCR_Raw!AE134&lt;=6, 0, qPCR_Raw!AE134&gt;6, qPCR_Raw!AE134)</f>
        <v>0</v>
      </c>
      <c r="AS134" s="158" t="str" cm="1">
        <f t="array" ref="AS134">_xlfn.IFS(AND(AO134="Undetermined", AQ134="Undetermined"), "Undetermined", AND(AP134=0, AR134=0), "Undetermined", AND(AP134=0, AR134&gt;0), "Ten-Fold", AND(AP134&gt;0, AR134=0), "Undiluted", AND(AO134&lt;&gt;"Undetermined", AQ134&lt;&gt;"Undetermined", AP134&gt;0, AR134&gt;0, AO134&lt;&gt;AQ134), 100*(-1+10^(-1/(AO134-AQ134))), AND(AO134&lt;&gt;"Undetermined", AQ134&lt;&gt;"Undetermined", AO134=AQ134&gt;0), -100)</f>
        <v>Undetermined</v>
      </c>
      <c r="AT134" s="159" cm="1">
        <f t="array" ref="AT134">_xlfn.IFS(AS134="Undetermined", 0, AS134="Undiluted", AP134*$G134/$F134*1000, AS134="Ten-Fold", AR134*$G134/$F134*1000*10, AS134&lt;0, AR134*$G134/$F134*1000*10, AS134&lt;120, AP134*$G134/$F134*1000, AS134&gt;120, AR134*$G134/$F134*1000*10)</f>
        <v>0</v>
      </c>
      <c r="AU134" s="156">
        <f t="shared" si="48"/>
        <v>386.95036737542404</v>
      </c>
      <c r="AV134" s="156">
        <f t="shared" si="49"/>
        <v>547.23045750757626</v>
      </c>
      <c r="AW134" s="156">
        <f t="shared" si="50"/>
        <v>386.95036737542398</v>
      </c>
      <c r="AX134" s="160" cm="1">
        <f t="array" ref="AX134">_xlfn.IFS(AU134="DELETE", "DELETE", AU134=0, 0, AU134&gt;0,LOG10(AU134))</f>
        <v>2.5876552633204204</v>
      </c>
      <c r="AY134" s="161" cm="1">
        <f t="array" ref="AY134">_xlfn.IFS(AU134="DELETE", "DELETE", AU134=0, 0, AU134&gt;0, AW134/AU134/LN(10))</f>
        <v>0.43429448190325176</v>
      </c>
      <c r="AZ134" s="120">
        <f>qPCR_Raw!AG134</f>
        <v>22.330385208129883</v>
      </c>
      <c r="BA134" s="121" cm="1">
        <f t="array" ref="BA134">_xlfn.IFS(AZ134="Undetermined", 0, qPCR_Raw!AH134&lt;=1, 0, qPCR_Raw!AH134&gt;1, qPCR_Raw!AH134)</f>
        <v>7881.13818359375</v>
      </c>
      <c r="BB134" s="122">
        <f>qPCR_Raw!AJ134</f>
        <v>24.958644866943359</v>
      </c>
      <c r="BC134" s="121" cm="1">
        <f t="array" ref="BC134">_xlfn.IFS(BB134="Undetermined", 0, qPCR_Raw!AK134&lt;=1, 0, qPCR_Raw!AK134&gt;1, qPCR_Raw!AK134)</f>
        <v>1542.483154296875</v>
      </c>
      <c r="BD134" s="123" cm="1">
        <f t="array" ref="BD134">_xlfn.IFS(AND(AZ134="Undetermined", BB134="Undetermined"), "Undetermined", AND(BA134=0, BC134=0), "Undetermined", AND(BA134=0, BC134&gt;0), "Ten-Fold", AND(BA134&gt;0, BC134=0), "Undiluted", AND(AZ134&lt;&gt;"Undetermined", BB134&lt;&gt;"Undetermined", BA134&gt;0, BC134&gt;0, AZ134&lt;&gt;BB134), 100*(-1+10^(-1/(AZ134-BB134))), AND(AZ134&lt;&gt;"Undetermined", BB134&lt;&gt;"Undetermined", AZ134=BB134&gt;0), -100)</f>
        <v>140.14851784486672</v>
      </c>
      <c r="BE134" s="124" cm="1">
        <f t="array" ref="BE134">_xlfn.IFS(BD134="Undetermined", 0, BD134="Undiluted", BA134*$G134/$F134*1000, BD134="Ten-Fold", BC134*$G134/$F134*1000*10, BD134&lt;0, BC134*$G134/$F134*1000*10, BD134&lt;120, BA134*$G134/$F134*1000, BD134&gt;120, BC134*$G134/$F134*1000*10)</f>
        <v>1658584.0368783602</v>
      </c>
      <c r="BF134" s="121">
        <f t="shared" si="51"/>
        <v>1008360.8018478972</v>
      </c>
      <c r="BG134" s="121">
        <f t="shared" si="52"/>
        <v>919554.51755018928</v>
      </c>
      <c r="BH134" s="121">
        <f t="shared" si="53"/>
        <v>650223.23503046297</v>
      </c>
      <c r="BI134" s="125" cm="1">
        <f t="array" ref="BI134">_xlfn.IFS(BF134="DELETE", "DELETE", BF134=0, 0, BF134&gt;0,LOG10(BF134))</f>
        <v>6.0036159549417007</v>
      </c>
      <c r="BJ134" s="126" cm="1">
        <f t="array" ref="BJ134">_xlfn.IFS(BF134="DELETE", "DELETE", BF134=0, 0, BF134&gt;0, BH134/BF134/LN(10))</f>
        <v>0.28004694595576629</v>
      </c>
    </row>
    <row r="135" spans="1:62" s="114" customFormat="1" x14ac:dyDescent="0.3">
      <c r="A135" s="115" t="str">
        <f>UPPER(LEFT(SUBSTITUTE(SUBSTITUTE(qPCR_Raw!A135,"-","")," ",""),2))&amp;RIGHT(SUBSTITUTE(SUBSTITUTE(qPCR_Raw!A135,"-","")," ",""),LEN(SUBSTITUTE(SUBSTITUTE(qPCR_Raw!A135,"-","")," ",""))-2)</f>
        <v>RC7</v>
      </c>
      <c r="B135" s="116" t="str" cm="1">
        <f t="array" ref="B135">_xlfn.IFS(LEFT(A135, LEN(A135)-1)="EP", "EP", LEFT(A135, LEN(A135)-1)="STa", "SPI", LEFT(A135, LEN(A135)-1)="STb", "SPO", LEFT(A135, LEN(A135)-1)="MRT", "MRT", LEFT(A135, LEN(A135)-1)="RG", "RN", LEFT(A135, LEN(A135)-1)="RT", "RU", LEFT(A135, LEN(A135)-1)="RW", "RL", LEFT(A135, LEN(A135)-1)="RC", "RS")</f>
        <v>RS</v>
      </c>
      <c r="C135" s="117">
        <f>qPCR_Raw!B135</f>
        <v>44391</v>
      </c>
      <c r="D135" s="117" t="str">
        <f t="shared" si="37"/>
        <v>RS44391</v>
      </c>
      <c r="E135" s="117" t="str">
        <f t="shared" si="38"/>
        <v>RS443917</v>
      </c>
      <c r="F135" s="118">
        <f>qPCR_Raw!C135</f>
        <v>950</v>
      </c>
      <c r="G135" s="119">
        <f>qPCR_Raw!F135</f>
        <v>100</v>
      </c>
      <c r="H135" s="120">
        <f>qPCR_Raw!G135</f>
        <v>17.090671539306641</v>
      </c>
      <c r="I135" s="121" cm="1">
        <f t="array" ref="I135">_xlfn.IFS(H135="Undetermined", 0, qPCR_Raw!H135-qPCR_Raw!$H$242&lt;0, 0, qPCR_Raw!H135-qPCR_Raw!$H$242&gt;0, qPCR_Raw!H135-qPCR_Raw!$H$242)</f>
        <v>619889.73644612625</v>
      </c>
      <c r="J135" s="122">
        <f>qPCR_Raw!K135</f>
        <v>19.664070129394531</v>
      </c>
      <c r="K135" s="121" cm="1">
        <f t="array" ref="K135">_xlfn.IFS(J135="Undetermined", 0, qPCR_Raw!L135-qPCR_Raw!$H$242&lt;0, 0, qPCR_Raw!L135-qPCR_Raw!$H$242&gt;0, qPCR_Raw!L135-qPCR_Raw!$H$242)</f>
        <v>106944.66613362631</v>
      </c>
      <c r="L135" s="123" cm="1">
        <f t="array" ref="L135">_xlfn.IFS(AND(H135="Undetermined", J135="Undetermined"), "Undetermined", AND(I135=0, K135=0), "Undetermined", AND(I135=0, K135&gt;0), "Ten-Fold", AND(I135&gt;0, K135=0), "Undiluted", AND(H135&lt;&gt;"Undetermined", J135&lt;&gt;"Undetermined", I135&gt;0, K135&gt;0), 100*(-1+10^(-1/(H135-J135))))</f>
        <v>144.67589299840341</v>
      </c>
      <c r="M135" s="124" cm="1">
        <f t="array" ref="M135">_xlfn.IFS(L135="Undetermined", 0, L135="Undiluted", I135*$G135/$F135*1000, L135="Ten-Fold", K135*$G135/$F135*1000*10, L135&lt;0, K135*$G135/$F135*1000*10, L135&lt;120, I135*$G135/$F135*1000, L135&gt;120, K135*$G135/$F135*1000*10)</f>
        <v>112573332.77223824</v>
      </c>
      <c r="N135" s="121" t="str">
        <f t="shared" si="39"/>
        <v>DELETE</v>
      </c>
      <c r="O135" s="121" t="str">
        <f t="shared" si="40"/>
        <v>DELETE</v>
      </c>
      <c r="P135" s="121" t="str">
        <f t="shared" si="41"/>
        <v>DELETE</v>
      </c>
      <c r="Q135" s="125" t="str" cm="1">
        <f t="array" ref="Q135">_xlfn.IFS(N135="DELETE", "DELETE", N135=0, 0, N135&gt;0,LOG10(N135))</f>
        <v>DELETE</v>
      </c>
      <c r="R135" s="126" t="str" cm="1">
        <f t="array" ref="R135">_xlfn.IFS(N135="DELETE", "DELETE", N135=0, 0, N135&gt;0, P135/N135/LN(10))</f>
        <v>DELETE</v>
      </c>
      <c r="S135" s="155">
        <f>qPCR_Raw!O135</f>
        <v>28.916664123535156</v>
      </c>
      <c r="T135" s="156" cm="1">
        <f t="array" ref="T135">_xlfn.IFS(S135="Undetermined", 0, qPCR_Raw!P135&lt;=1, 0, qPCR_Raw!P135&gt;1, qPCR_Raw!P135)</f>
        <v>316.8526611328125</v>
      </c>
      <c r="U135" s="157">
        <f>qPCR_Raw!R135</f>
        <v>31.485267639160156</v>
      </c>
      <c r="V135" s="156" cm="1">
        <f t="array" ref="V135">_xlfn.IFS(U135="Undetermined", 0, qPCR_Raw!S135&lt;=1, 0, qPCR_Raw!S135&gt;1, qPCR_Raw!S135)</f>
        <v>62.891597747802734</v>
      </c>
      <c r="W135" s="158" cm="1">
        <f t="array" ref="W135">_xlfn.IFS(AND(S135="Undetermined", U135="Undetermined"), "Undetermined", AND(T135=0, V135=0), "Undetermined", AND(T135=0, V135&gt;0), "Ten-Fold", AND(T135&gt;0, V135=0), "Undiluted", AND(S135&lt;&gt;"Undetermined", U135&lt;&gt;"Undetermined", T135&gt;0, V135&gt;0, S135&lt;&gt;U135), 100*(-1+10^(-1/(S135-U135))), AND(S135&lt;&gt;"Undetermined", U135&lt;&gt;"Undetermined", S135=U135&gt;0), -100)</f>
        <v>145.08492836203862</v>
      </c>
      <c r="X135" s="159" cm="1">
        <f t="array" ref="X135">_xlfn.IFS(W135="Undetermined", 0, W135="Undiluted", T135*$G135/$F135*1000, W135="Ten-Fold", V135*$G135/$F135*1000*10, W135&lt;0, V135*$G135/$F135*1000*10, W135&lt;120, T135*$G135/$F135*1000, W135&gt;120, V135*$G135/$F135*1000*10)</f>
        <v>66201.681839792349</v>
      </c>
      <c r="Y135" s="156" t="str">
        <f t="shared" si="42"/>
        <v>DELETE</v>
      </c>
      <c r="Z135" s="156" t="str">
        <f t="shared" si="43"/>
        <v>DELETE</v>
      </c>
      <c r="AA135" s="156" t="str">
        <f t="shared" si="44"/>
        <v>DELETE</v>
      </c>
      <c r="AB135" s="160" t="str" cm="1">
        <f t="array" ref="AB135">_xlfn.IFS(Y135="DELETE", "DELETE", Y135=0, 0, Y135&gt;0,LOG10(Y135))</f>
        <v>DELETE</v>
      </c>
      <c r="AC135" s="161" t="str" cm="1">
        <f t="array" ref="AC135">_xlfn.IFS(Y135="DELETE", "DELETE", Y135=0, 0, Y135&gt;0, AA135/Y135/LN(10))</f>
        <v>DELETE</v>
      </c>
      <c r="AD135" s="120">
        <f>qPCR_Raw!U135</f>
        <v>27.068166732788086</v>
      </c>
      <c r="AE135" s="121" cm="1">
        <f t="array" ref="AE135">_xlfn.IFS(AD135="Undetermined", 0, qPCR_Raw!V135&lt;=1, 0, qPCR_Raw!V135&gt;1, qPCR_Raw!V135)</f>
        <v>202.354736328125</v>
      </c>
      <c r="AF135" s="122">
        <f>qPCR_Raw!X135</f>
        <v>30.261852264404297</v>
      </c>
      <c r="AG135" s="121" cm="1">
        <f t="array" ref="AG135">_xlfn.IFS(AF135="Undetermined", 0, qPCR_Raw!Y135&lt;=1, 0, qPCR_Raw!Y135&gt;1, qPCR_Raw!Y135)</f>
        <v>25.206626892089844</v>
      </c>
      <c r="AH135" s="123" cm="1">
        <f t="array" ref="AH135">_xlfn.IFS(AND(AD135="Undetermined", AF135="Undetermined"), "Undetermined", AND(AE135=0, AG135=0), "Undetermined", AND(AE135=0, AG135&gt;0), "Ten-Fold", AND(AE135&gt;0, AG135=0), "Undiluted", AND(AD135&lt;&gt;"Undetermined", AF135&lt;&gt;"Undetermined", AE135&gt;0, AG135&gt;0, AD135&lt;&gt;AF135), 100*(-1+10^(-1/(AD135-AF135))), AND(AD135&lt;&gt;"Undetermined", AF135&lt;&gt;"Undetermined", AD135=AF135&gt;0), -100)</f>
        <v>105.64486356753693</v>
      </c>
      <c r="AI135" s="124" cm="1">
        <f t="array" ref="AI135">_xlfn.IFS(AH135="Undetermined", 0, AH135="Undiluted", AE135*$G135/$F135*1000, AH135="Ten-Fold", AG135*$G135/$F135*1000*10, AH135&lt;0, AG135*$G135/$F135*1000*10, AH135&lt;120, AE135*$G135/$F135*1000, AH135&gt;120, AG135*$G135/$F135*1000*10)</f>
        <v>21300.498560855263</v>
      </c>
      <c r="AJ135" s="121" t="str">
        <f t="shared" si="45"/>
        <v>DELETE</v>
      </c>
      <c r="AK135" s="121" t="str">
        <f t="shared" si="46"/>
        <v>DELETE</v>
      </c>
      <c r="AL135" s="121" t="str">
        <f t="shared" si="47"/>
        <v>DELETE</v>
      </c>
      <c r="AM135" s="125" t="str" cm="1">
        <f t="array" ref="AM135">_xlfn.IFS(AJ135="DELETE", "DELETE", AJ135=0, 0, AJ135&gt;0,LOG10(AJ135))</f>
        <v>DELETE</v>
      </c>
      <c r="AN135" s="126" t="str" cm="1">
        <f t="array" ref="AN135">_xlfn.IFS(AJ135="DELETE", "DELETE", AJ135=0, 0, AJ135&gt;0, AL135/AJ135/LN(10))</f>
        <v>DELETE</v>
      </c>
      <c r="AO135" s="155">
        <f>qPCR_Raw!AA135</f>
        <v>30.074176788330078</v>
      </c>
      <c r="AP135" s="156" cm="1">
        <f t="array" ref="AP135">_xlfn.IFS(AO135="Undetermined", 0, qPCR_Raw!AB135&lt;=6, 0, qPCR_Raw!AB135&gt;6, qPCR_Raw!AB135)</f>
        <v>7.3520569801330566</v>
      </c>
      <c r="AQ135" s="157" t="str">
        <f>qPCR_Raw!AD135</f>
        <v>Undetermined</v>
      </c>
      <c r="AR135" s="156" cm="1">
        <f t="array" ref="AR135">_xlfn.IFS(AQ135="Undetermined", 0, qPCR_Raw!AE135&lt;=6, 0, qPCR_Raw!AE135&gt;6, qPCR_Raw!AE135)</f>
        <v>0</v>
      </c>
      <c r="AS135" s="158" t="str" cm="1">
        <f t="array" ref="AS135">_xlfn.IFS(AND(AO135="Undetermined", AQ135="Undetermined"), "Undetermined", AND(AP135=0, AR135=0), "Undetermined", AND(AP135=0, AR135&gt;0), "Ten-Fold", AND(AP135&gt;0, AR135=0), "Undiluted", AND(AO135&lt;&gt;"Undetermined", AQ135&lt;&gt;"Undetermined", AP135&gt;0, AR135&gt;0, AO135&lt;&gt;AQ135), 100*(-1+10^(-1/(AO135-AQ135))), AND(AO135&lt;&gt;"Undetermined", AQ135&lt;&gt;"Undetermined", AO135=AQ135&gt;0), -100)</f>
        <v>Undiluted</v>
      </c>
      <c r="AT135" s="159" cm="1">
        <f t="array" ref="AT135">_xlfn.IFS(AS135="Undetermined", 0, AS135="Undiluted", AP135*$G135/$F135*1000, AS135="Ten-Fold", AR135*$G135/$F135*1000*10, AS135&lt;0, AR135*$G135/$F135*1000*10, AS135&lt;120, AP135*$G135/$F135*1000, AS135&gt;120, AR135*$G135/$F135*1000*10)</f>
        <v>773.90073475084807</v>
      </c>
      <c r="AU135" s="156" t="str">
        <f t="shared" si="48"/>
        <v>DELETE</v>
      </c>
      <c r="AV135" s="156" t="str">
        <f t="shared" si="49"/>
        <v>DELETE</v>
      </c>
      <c r="AW135" s="156" t="str">
        <f t="shared" si="50"/>
        <v>DELETE</v>
      </c>
      <c r="AX135" s="160" t="str" cm="1">
        <f t="array" ref="AX135">_xlfn.IFS(AU135="DELETE", "DELETE", AU135=0, 0, AU135&gt;0,LOG10(AU135))</f>
        <v>DELETE</v>
      </c>
      <c r="AY135" s="161" t="str" cm="1">
        <f t="array" ref="AY135">_xlfn.IFS(AU135="DELETE", "DELETE", AU135=0, 0, AU135&gt;0, AW135/AU135/LN(10))</f>
        <v>DELETE</v>
      </c>
      <c r="AZ135" s="120">
        <f>qPCR_Raw!AG135</f>
        <v>23.6839599609375</v>
      </c>
      <c r="BA135" s="121" cm="1">
        <f t="array" ref="BA135">_xlfn.IFS(AZ135="Undetermined", 0, qPCR_Raw!AH135&lt;=1, 0, qPCR_Raw!AH135&gt;1, qPCR_Raw!AH135)</f>
        <v>3402.306884765625</v>
      </c>
      <c r="BB135" s="122">
        <f>qPCR_Raw!AJ135</f>
        <v>28.136648178100586</v>
      </c>
      <c r="BC135" s="121" cm="1">
        <f t="array" ref="BC135">_xlfn.IFS(BB135="Undetermined", 0, qPCR_Raw!AK135&lt;=1, 0, qPCR_Raw!AK135&gt;1, qPCR_Raw!AK135)</f>
        <v>214.6273193359375</v>
      </c>
      <c r="BD135" s="123" cm="1">
        <f t="array" ref="BD135">_xlfn.IFS(AND(AZ135="Undetermined", BB135="Undetermined"), "Undetermined", AND(BA135=0, BC135=0), "Undetermined", AND(BA135=0, BC135&gt;0), "Ten-Fold", AND(BA135&gt;0, BC135=0), "Undiluted", AND(AZ135&lt;&gt;"Undetermined", BB135&lt;&gt;"Undetermined", BA135&gt;0, BC135&gt;0, AZ135&lt;&gt;BB135), 100*(-1+10^(-1/(AZ135-BB135))), AND(AZ135&lt;&gt;"Undetermined", BB135&lt;&gt;"Undetermined", AZ135=BB135&gt;0), -100)</f>
        <v>67.719450818422501</v>
      </c>
      <c r="BE135" s="124" cm="1">
        <f t="array" ref="BE135">_xlfn.IFS(BD135="Undetermined", 0, BD135="Undiluted", BA135*$G135/$F135*1000, BD135="Ten-Fold", BC135*$G135/$F135*1000*10, BD135&lt;0, BC135*$G135/$F135*1000*10, BD135&lt;120, BA135*$G135/$F135*1000, BD135&gt;120, BC135*$G135/$F135*1000*10)</f>
        <v>358137.56681743421</v>
      </c>
      <c r="BF135" s="121" t="str">
        <f t="shared" si="51"/>
        <v>DELETE</v>
      </c>
      <c r="BG135" s="121" t="str">
        <f t="shared" si="52"/>
        <v>DELETE</v>
      </c>
      <c r="BH135" s="121" t="str">
        <f t="shared" si="53"/>
        <v>DELETE</v>
      </c>
      <c r="BI135" s="125" t="str" cm="1">
        <f t="array" ref="BI135">_xlfn.IFS(BF135="DELETE", "DELETE", BF135=0, 0, BF135&gt;0,LOG10(BF135))</f>
        <v>DELETE</v>
      </c>
      <c r="BJ135" s="126" t="str" cm="1">
        <f t="array" ref="BJ135">_xlfn.IFS(BF135="DELETE", "DELETE", BF135=0, 0, BF135&gt;0, BH135/BF135/LN(10))</f>
        <v>DELETE</v>
      </c>
    </row>
    <row r="136" spans="1:62" s="114" customFormat="1" x14ac:dyDescent="0.3">
      <c r="A136" s="115" t="str">
        <f>UPPER(LEFT(SUBSTITUTE(SUBSTITUTE(qPCR_Raw!A136,"-","")," ",""),2))&amp;RIGHT(SUBSTITUTE(SUBSTITUTE(qPCR_Raw!A136,"-","")," ",""),LEN(SUBSTITUTE(SUBSTITUTE(qPCR_Raw!A136,"-","")," ",""))-2)</f>
        <v>RG6</v>
      </c>
      <c r="B136" s="116" t="str" cm="1">
        <f t="array" ref="B136">_xlfn.IFS(LEFT(A136, LEN(A136)-1)="EP", "EP", LEFT(A136, LEN(A136)-1)="STa", "SPI", LEFT(A136, LEN(A136)-1)="STb", "SPO", LEFT(A136, LEN(A136)-1)="MRT", "MRT", LEFT(A136, LEN(A136)-1)="RG", "RN", LEFT(A136, LEN(A136)-1)="RT", "RU", LEFT(A136, LEN(A136)-1)="RW", "RL", LEFT(A136, LEN(A136)-1)="RC", "RS")</f>
        <v>RN</v>
      </c>
      <c r="C136" s="117">
        <f>qPCR_Raw!B136</f>
        <v>44391</v>
      </c>
      <c r="D136" s="117" t="str">
        <f t="shared" si="37"/>
        <v>RN44391</v>
      </c>
      <c r="E136" s="117" t="str">
        <f t="shared" si="38"/>
        <v>RN443916</v>
      </c>
      <c r="F136" s="118">
        <f>qPCR_Raw!C136</f>
        <v>1000</v>
      </c>
      <c r="G136" s="119">
        <f>qPCR_Raw!F136</f>
        <v>100</v>
      </c>
      <c r="H136" s="120">
        <f>qPCR_Raw!G136</f>
        <v>10.91190242767334</v>
      </c>
      <c r="I136" s="121" cm="1">
        <f t="array" ref="I136">_xlfn.IFS(H136="Undetermined", 0, qPCR_Raw!H136-qPCR_Raw!$H$242&lt;0, 0, qPCR_Raw!H136-qPCR_Raw!$H$242&gt;0, qPCR_Raw!H136-qPCR_Raw!$H$242)</f>
        <v>34327377.361446127</v>
      </c>
      <c r="J136" s="122">
        <f>qPCR_Raw!K136</f>
        <v>13.615262031555176</v>
      </c>
      <c r="K136" s="121" cm="1">
        <f t="array" ref="K136">_xlfn.IFS(J136="Undetermined", 0, qPCR_Raw!L136-qPCR_Raw!$H$242&lt;0, 0, qPCR_Raw!L136-qPCR_Raw!$H$242&gt;0, qPCR_Raw!L136-qPCR_Raw!$H$242)</f>
        <v>5970092.3614461264</v>
      </c>
      <c r="L136" s="123" cm="1">
        <f t="array" ref="L136">_xlfn.IFS(AND(H136="Undetermined", J136="Undetermined"), "Undetermined", AND(I136=0, K136=0), "Undetermined", AND(I136=0, K136&gt;0), "Ten-Fold", AND(I136&gt;0, K136=0), "Undiluted", AND(H136&lt;&gt;"Undetermined", J136&lt;&gt;"Undetermined", I136&gt;0, K136&gt;0), 100*(-1+10^(-1/(H136-J136))))</f>
        <v>134.37435618147663</v>
      </c>
      <c r="M136" s="124" cm="1">
        <f t="array" ref="M136">_xlfn.IFS(L136="Undetermined", 0, L136="Undiluted", I136*$G136/$F136*1000, L136="Ten-Fold", K136*$G136/$F136*1000*10, L136&lt;0, K136*$G136/$F136*1000*10, L136&lt;120, I136*$G136/$F136*1000, L136&gt;120, K136*$G136/$F136*1000*10)</f>
        <v>5970092361.4461269</v>
      </c>
      <c r="N136" s="121">
        <f t="shared" si="39"/>
        <v>3139305002.0711265</v>
      </c>
      <c r="O136" s="121">
        <f t="shared" si="40"/>
        <v>4003337875.8224468</v>
      </c>
      <c r="P136" s="121">
        <f t="shared" si="41"/>
        <v>2830787359.3750005</v>
      </c>
      <c r="Q136" s="125" cm="1">
        <f t="array" ref="Q136">_xlfn.IFS(N136="DELETE", "DELETE", N136=0, 0, N136&gt;0,LOG10(N136))</f>
        <v>9.4968335120305873</v>
      </c>
      <c r="R136" s="126" cm="1">
        <f t="array" ref="R136">_xlfn.IFS(N136="DELETE", "DELETE", N136=0, 0, N136&gt;0, P136/N136/LN(10))</f>
        <v>0.39161385364179596</v>
      </c>
      <c r="S136" s="155" t="str">
        <f>qPCR_Raw!O136</f>
        <v>Undetermined</v>
      </c>
      <c r="T136" s="156" cm="1">
        <f t="array" ref="T136">_xlfn.IFS(S136="Undetermined", 0, qPCR_Raw!P136&lt;=1, 0, qPCR_Raw!P136&gt;1, qPCR_Raw!P136)</f>
        <v>0</v>
      </c>
      <c r="U136" s="157" t="str">
        <f>qPCR_Raw!R136</f>
        <v>Undetermined</v>
      </c>
      <c r="V136" s="156" cm="1">
        <f t="array" ref="V136">_xlfn.IFS(U136="Undetermined", 0, qPCR_Raw!S136&lt;=1, 0, qPCR_Raw!S136&gt;1, qPCR_Raw!S136)</f>
        <v>0</v>
      </c>
      <c r="W136" s="158" t="str" cm="1">
        <f t="array" ref="W136">_xlfn.IFS(AND(S136="Undetermined", U136="Undetermined"), "Undetermined", AND(T136=0, V136=0), "Undetermined", AND(T136=0, V136&gt;0), "Ten-Fold", AND(T136&gt;0, V136=0), "Undiluted", AND(S136&lt;&gt;"Undetermined", U136&lt;&gt;"Undetermined", T136&gt;0, V136&gt;0, S136&lt;&gt;U136), 100*(-1+10^(-1/(S136-U136))), AND(S136&lt;&gt;"Undetermined", U136&lt;&gt;"Undetermined", S136=U136&gt;0), -100)</f>
        <v>Undetermined</v>
      </c>
      <c r="X136" s="159" cm="1">
        <f t="array" ref="X136">_xlfn.IFS(W136="Undetermined", 0, W136="Undiluted", T136*$G136/$F136*1000, W136="Ten-Fold", V136*$G136/$F136*1000*10, W136&lt;0, V136*$G136/$F136*1000*10, W136&lt;120, T136*$G136/$F136*1000, W136&gt;120, V136*$G136/$F136*1000*10)</f>
        <v>0</v>
      </c>
      <c r="Y136" s="156">
        <f t="shared" si="42"/>
        <v>0</v>
      </c>
      <c r="Z136" s="156">
        <f t="shared" si="43"/>
        <v>0</v>
      </c>
      <c r="AA136" s="156">
        <f t="shared" si="44"/>
        <v>0</v>
      </c>
      <c r="AB136" s="160" cm="1">
        <f t="array" ref="AB136">_xlfn.IFS(Y136="DELETE", "DELETE", Y136=0, 0, Y136&gt;0,LOG10(Y136))</f>
        <v>0</v>
      </c>
      <c r="AC136" s="161" cm="1">
        <f t="array" ref="AC136">_xlfn.IFS(Y136="DELETE", "DELETE", Y136=0, 0, Y136&gt;0, AA136/Y136/LN(10))</f>
        <v>0</v>
      </c>
      <c r="AD136" s="120">
        <f>qPCR_Raw!U136</f>
        <v>20.479841232299805</v>
      </c>
      <c r="AE136" s="121" cm="1">
        <f t="array" ref="AE136">_xlfn.IFS(AD136="Undetermined", 0, qPCR_Raw!V136&lt;=1, 0, qPCR_Raw!V136&gt;1, qPCR_Raw!V136)</f>
        <v>14867.2373046875</v>
      </c>
      <c r="AF136" s="122">
        <f>qPCR_Raw!X136</f>
        <v>23.160585403442383</v>
      </c>
      <c r="AG136" s="121" cm="1">
        <f t="array" ref="AG136">_xlfn.IFS(AF136="Undetermined", 0, qPCR_Raw!Y136&lt;=1, 0, qPCR_Raw!Y136&gt;1, qPCR_Raw!Y136)</f>
        <v>2587.7373046875</v>
      </c>
      <c r="AH136" s="123" cm="1">
        <f t="array" ref="AH136">_xlfn.IFS(AND(AD136="Undetermined", AF136="Undetermined"), "Undetermined", AND(AE136=0, AG136=0), "Undetermined", AND(AE136=0, AG136&gt;0), "Ten-Fold", AND(AE136&gt;0, AG136=0), "Undiluted", AND(AD136&lt;&gt;"Undetermined", AF136&lt;&gt;"Undetermined", AE136&gt;0, AG136&gt;0, AD136&lt;&gt;AF136), 100*(-1+10^(-1/(AD136-AF136))), AND(AD136&lt;&gt;"Undetermined", AF136&lt;&gt;"Undetermined", AD136=AF136&gt;0), -100)</f>
        <v>136.06453538789341</v>
      </c>
      <c r="AI136" s="124" cm="1">
        <f t="array" ref="AI136">_xlfn.IFS(AH136="Undetermined", 0, AH136="Undiluted", AE136*$G136/$F136*1000, AH136="Ten-Fold", AG136*$G136/$F136*1000*10, AH136&lt;0, AG136*$G136/$F136*1000*10, AH136&lt;120, AE136*$G136/$F136*1000, AH136&gt;120, AG136*$G136/$F136*1000*10)</f>
        <v>2587737.3046875</v>
      </c>
      <c r="AJ136" s="121">
        <f t="shared" si="45"/>
        <v>1802917.1752929688</v>
      </c>
      <c r="AK136" s="121">
        <f t="shared" si="46"/>
        <v>1109903.2710131533</v>
      </c>
      <c r="AL136" s="121">
        <f t="shared" si="47"/>
        <v>784820.12939453102</v>
      </c>
      <c r="AM136" s="125" cm="1">
        <f t="array" ref="AM136">_xlfn.IFS(AJ136="DELETE", "DELETE", AJ136=0, 0, AJ136&gt;0,LOG10(AJ136))</f>
        <v>6.2559757760072374</v>
      </c>
      <c r="AN136" s="126" cm="1">
        <f t="array" ref="AN136">_xlfn.IFS(AJ136="DELETE", "DELETE", AJ136=0, 0, AJ136&gt;0, AL136/AJ136/LN(10))</f>
        <v>0.18905086498344267</v>
      </c>
      <c r="AO136" s="155">
        <f>qPCR_Raw!AA136</f>
        <v>26.032463073730469</v>
      </c>
      <c r="AP136" s="156" cm="1">
        <f t="array" ref="AP136">_xlfn.IFS(AO136="Undetermined", 0, qPCR_Raw!AB136&lt;=6, 0, qPCR_Raw!AB136&gt;6, qPCR_Raw!AB136)</f>
        <v>93.508934020996094</v>
      </c>
      <c r="AQ136" s="157">
        <f>qPCR_Raw!AD136</f>
        <v>28.925014495849609</v>
      </c>
      <c r="AR136" s="156" cm="1">
        <f t="array" ref="AR136">_xlfn.IFS(AQ136="Undetermined", 0, qPCR_Raw!AE136&lt;=6, 0, qPCR_Raw!AE136&gt;6, qPCR_Raw!AE136)</f>
        <v>15.15062427520752</v>
      </c>
      <c r="AS136" s="158" cm="1">
        <f t="array" ref="AS136">_xlfn.IFS(AND(AO136="Undetermined", AQ136="Undetermined"), "Undetermined", AND(AP136=0, AR136=0), "Undetermined", AND(AP136=0, AR136&gt;0), "Ten-Fold", AND(AP136&gt;0, AR136=0), "Undiluted", AND(AO136&lt;&gt;"Undetermined", AQ136&lt;&gt;"Undetermined", AP136&gt;0, AR136&gt;0, AO136&lt;&gt;AQ136), 100*(-1+10^(-1/(AO136-AQ136))), AND(AO136&lt;&gt;"Undetermined", AQ136&lt;&gt;"Undetermined", AO136=AQ136&gt;0), -100)</f>
        <v>121.67440324068015</v>
      </c>
      <c r="AT136" s="159" cm="1">
        <f t="array" ref="AT136">_xlfn.IFS(AS136="Undetermined", 0, AS136="Undiluted", AP136*$G136/$F136*1000, AS136="Ten-Fold", AR136*$G136/$F136*1000*10, AS136&lt;0, AR136*$G136/$F136*1000*10, AS136&lt;120, AP136*$G136/$F136*1000, AS136&gt;120, AR136*$G136/$F136*1000*10)</f>
        <v>15150.62427520752</v>
      </c>
      <c r="AU136" s="156">
        <f t="shared" si="48"/>
        <v>29921.933841705322</v>
      </c>
      <c r="AV136" s="156">
        <f t="shared" si="49"/>
        <v>20889.786322952634</v>
      </c>
      <c r="AW136" s="156">
        <f t="shared" si="50"/>
        <v>14771.309566497801</v>
      </c>
      <c r="AX136" s="160" cm="1">
        <f t="array" ref="AX136">_xlfn.IFS(AU136="DELETE", "DELETE", AU136=0, 0, AU136&gt;0,LOG10(AU136))</f>
        <v>4.475989658364921</v>
      </c>
      <c r="AY136" s="161" cm="1">
        <f t="array" ref="AY136">_xlfn.IFS(AU136="DELETE", "DELETE", AU136=0, 0, AU136&gt;0, AW136/AU136/LN(10))</f>
        <v>0.21439450635618068</v>
      </c>
      <c r="AZ136" s="120">
        <f>qPCR_Raw!AG136</f>
        <v>17.278547286987305</v>
      </c>
      <c r="BA136" s="121" cm="1">
        <f t="array" ref="BA136">_xlfn.IFS(AZ136="Undetermined", 0, qPCR_Raw!AH136&lt;=1, 0, qPCR_Raw!AH136&gt;1, qPCR_Raw!AH136)</f>
        <v>181200.84375</v>
      </c>
      <c r="BB136" s="122">
        <f>qPCR_Raw!AJ136</f>
        <v>18.362386703491211</v>
      </c>
      <c r="BC136" s="121" cm="1">
        <f t="array" ref="BC136">_xlfn.IFS(BB136="Undetermined", 0, qPCR_Raw!AK136&lt;=1, 0, qPCR_Raw!AK136&gt;1, qPCR_Raw!AK136)</f>
        <v>92479.15625</v>
      </c>
      <c r="BD136" s="123" cm="1">
        <f t="array" ref="BD136">_xlfn.IFS(AND(AZ136="Undetermined", BB136="Undetermined"), "Undetermined", AND(BA136=0, BC136=0), "Undetermined", AND(BA136=0, BC136&gt;0), "Ten-Fold", AND(BA136&gt;0, BC136=0), "Undiluted", AND(AZ136&lt;&gt;"Undetermined", BB136&lt;&gt;"Undetermined", BA136&gt;0, BC136&gt;0, AZ136&lt;&gt;BB136), 100*(-1+10^(-1/(AZ136-BB136))), AND(AZ136&lt;&gt;"Undetermined", BB136&lt;&gt;"Undetermined", AZ136=BB136&gt;0), -100)</f>
        <v>736.84669566151933</v>
      </c>
      <c r="BE136" s="124" cm="1">
        <f t="array" ref="BE136">_xlfn.IFS(BD136="Undetermined", 0, BD136="Undiluted", BA136*$G136/$F136*1000, BD136="Ten-Fold", BC136*$G136/$F136*1000*10, BD136&lt;0, BC136*$G136/$F136*1000*10, BD136&lt;120, BA136*$G136/$F136*1000, BD136&gt;120, BC136*$G136/$F136*1000*10)</f>
        <v>92479156.25</v>
      </c>
      <c r="BF136" s="121">
        <f t="shared" si="51"/>
        <v>56260882.03125</v>
      </c>
      <c r="BG136" s="121">
        <f t="shared" si="52"/>
        <v>51220374.605904065</v>
      </c>
      <c r="BH136" s="121">
        <f t="shared" si="53"/>
        <v>36218274.21875</v>
      </c>
      <c r="BI136" s="125" cm="1">
        <f t="array" ref="BI136">_xlfn.IFS(BF136="DELETE", "DELETE", BF136=0, 0, BF136&gt;0,LOG10(BF136))</f>
        <v>7.7502065365441126</v>
      </c>
      <c r="BJ136" s="126" cm="1">
        <f t="array" ref="BJ136">_xlfn.IFS(BF136="DELETE", "DELETE", BF136=0, 0, BF136&gt;0, BH136/BF136/LN(10))</f>
        <v>0.2795796309863231</v>
      </c>
    </row>
    <row r="137" spans="1:62" s="114" customFormat="1" x14ac:dyDescent="0.3">
      <c r="A137" s="115" t="str">
        <f>UPPER(LEFT(SUBSTITUTE(SUBSTITUTE(qPCR_Raw!A137,"-","")," ",""),2))&amp;RIGHT(SUBSTITUTE(SUBSTITUTE(qPCR_Raw!A137,"-","")," ",""),LEN(SUBSTITUTE(SUBSTITUTE(qPCR_Raw!A137,"-","")," ",""))-2)</f>
        <v>RG7</v>
      </c>
      <c r="B137" s="116" t="str" cm="1">
        <f t="array" ref="B137">_xlfn.IFS(LEFT(A137, LEN(A137)-1)="EP", "EP", LEFT(A137, LEN(A137)-1)="STa", "SPI", LEFT(A137, LEN(A137)-1)="STb", "SPO", LEFT(A137, LEN(A137)-1)="MRT", "MRT", LEFT(A137, LEN(A137)-1)="RG", "RN", LEFT(A137, LEN(A137)-1)="RT", "RU", LEFT(A137, LEN(A137)-1)="RW", "RL", LEFT(A137, LEN(A137)-1)="RC", "RS")</f>
        <v>RN</v>
      </c>
      <c r="C137" s="117">
        <f>qPCR_Raw!B137</f>
        <v>44391</v>
      </c>
      <c r="D137" s="117" t="str">
        <f t="shared" si="37"/>
        <v>RN44391</v>
      </c>
      <c r="E137" s="117" t="str">
        <f t="shared" si="38"/>
        <v>RN443917</v>
      </c>
      <c r="F137" s="118">
        <f>qPCR_Raw!C137</f>
        <v>1000</v>
      </c>
      <c r="G137" s="119">
        <f>qPCR_Raw!F137</f>
        <v>100</v>
      </c>
      <c r="H137" s="120">
        <f>qPCR_Raw!G137</f>
        <v>15.292381286621094</v>
      </c>
      <c r="I137" s="121" cm="1">
        <f t="array" ref="I137">_xlfn.IFS(H137="Undetermined", 0, qPCR_Raw!H137-qPCR_Raw!$H$242&lt;0, 0, qPCR_Raw!H137-qPCR_Raw!$H$242&gt;0, qPCR_Raw!H137-qPCR_Raw!$H$242)</f>
        <v>2010631.4864461264</v>
      </c>
      <c r="J137" s="122">
        <f>qPCR_Raw!K137</f>
        <v>18.138467788696289</v>
      </c>
      <c r="K137" s="121" cm="1">
        <f t="array" ref="K137">_xlfn.IFS(J137="Undetermined", 0, qPCR_Raw!L137-qPCR_Raw!$H$242&lt;0, 0, qPCR_Raw!L137-qPCR_Raw!$H$242&gt;0, qPCR_Raw!L137-qPCR_Raw!$H$242)</f>
        <v>308517.64269612631</v>
      </c>
      <c r="L137" s="123" cm="1">
        <f t="array" ref="L137">_xlfn.IFS(AND(H137="Undetermined", J137="Undetermined"), "Undetermined", AND(I137=0, K137=0), "Undetermined", AND(I137=0, K137&gt;0), "Ten-Fold", AND(I137&gt;0, K137=0), "Undiluted", AND(H137&lt;&gt;"Undetermined", J137&lt;&gt;"Undetermined", I137&gt;0, K137&gt;0), 100*(-1+10^(-1/(H137-J137))))</f>
        <v>124.5740985213117</v>
      </c>
      <c r="M137" s="124" cm="1">
        <f t="array" ref="M137">_xlfn.IFS(L137="Undetermined", 0, L137="Undiluted", I137*$G137/$F137*1000, L137="Ten-Fold", K137*$G137/$F137*1000*10, L137&lt;0, K137*$G137/$F137*1000*10, L137&lt;120, I137*$G137/$F137*1000, L137&gt;120, K137*$G137/$F137*1000*10)</f>
        <v>308517642.69612628</v>
      </c>
      <c r="N137" s="121" t="str">
        <f t="shared" si="39"/>
        <v>DELETE</v>
      </c>
      <c r="O137" s="121" t="str">
        <f t="shared" si="40"/>
        <v>DELETE</v>
      </c>
      <c r="P137" s="121" t="str">
        <f t="shared" si="41"/>
        <v>DELETE</v>
      </c>
      <c r="Q137" s="125" t="str" cm="1">
        <f t="array" ref="Q137">_xlfn.IFS(N137="DELETE", "DELETE", N137=0, 0, N137&gt;0,LOG10(N137))</f>
        <v>DELETE</v>
      </c>
      <c r="R137" s="126" t="str" cm="1">
        <f t="array" ref="R137">_xlfn.IFS(N137="DELETE", "DELETE", N137=0, 0, N137&gt;0, P137/N137/LN(10))</f>
        <v>DELETE</v>
      </c>
      <c r="S137" s="155" t="str">
        <f>qPCR_Raw!O137</f>
        <v>Undetermined</v>
      </c>
      <c r="T137" s="156" cm="1">
        <f t="array" ref="T137">_xlfn.IFS(S137="Undetermined", 0, qPCR_Raw!P137&lt;=1, 0, qPCR_Raw!P137&gt;1, qPCR_Raw!P137)</f>
        <v>0</v>
      </c>
      <c r="U137" s="157" t="str">
        <f>qPCR_Raw!R137</f>
        <v>Undetermined</v>
      </c>
      <c r="V137" s="156" cm="1">
        <f t="array" ref="V137">_xlfn.IFS(U137="Undetermined", 0, qPCR_Raw!S137&lt;=1, 0, qPCR_Raw!S137&gt;1, qPCR_Raw!S137)</f>
        <v>0</v>
      </c>
      <c r="W137" s="158" t="str" cm="1">
        <f t="array" ref="W137">_xlfn.IFS(AND(S137="Undetermined", U137="Undetermined"), "Undetermined", AND(T137=0, V137=0), "Undetermined", AND(T137=0, V137&gt;0), "Ten-Fold", AND(T137&gt;0, V137=0), "Undiluted", AND(S137&lt;&gt;"Undetermined", U137&lt;&gt;"Undetermined", T137&gt;0, V137&gt;0, S137&lt;&gt;U137), 100*(-1+10^(-1/(S137-U137))), AND(S137&lt;&gt;"Undetermined", U137&lt;&gt;"Undetermined", S137=U137&gt;0), -100)</f>
        <v>Undetermined</v>
      </c>
      <c r="X137" s="159" cm="1">
        <f t="array" ref="X137">_xlfn.IFS(W137="Undetermined", 0, W137="Undiluted", T137*$G137/$F137*1000, W137="Ten-Fold", V137*$G137/$F137*1000*10, W137&lt;0, V137*$G137/$F137*1000*10, W137&lt;120, T137*$G137/$F137*1000, W137&gt;120, V137*$G137/$F137*1000*10)</f>
        <v>0</v>
      </c>
      <c r="Y137" s="156" t="str">
        <f t="shared" si="42"/>
        <v>DELETE</v>
      </c>
      <c r="Z137" s="156" t="str">
        <f t="shared" si="43"/>
        <v>DELETE</v>
      </c>
      <c r="AA137" s="156" t="str">
        <f t="shared" si="44"/>
        <v>DELETE</v>
      </c>
      <c r="AB137" s="160" t="str" cm="1">
        <f t="array" ref="AB137">_xlfn.IFS(Y137="DELETE", "DELETE", Y137=0, 0, Y137&gt;0,LOG10(Y137))</f>
        <v>DELETE</v>
      </c>
      <c r="AC137" s="161" t="str" cm="1">
        <f t="array" ref="AC137">_xlfn.IFS(Y137="DELETE", "DELETE", Y137=0, 0, Y137&gt;0, AA137/Y137/LN(10))</f>
        <v>DELETE</v>
      </c>
      <c r="AD137" s="120">
        <f>qPCR_Raw!U137</f>
        <v>29.573179244995117</v>
      </c>
      <c r="AE137" s="121" cm="1">
        <f t="array" ref="AE137">_xlfn.IFS(AD137="Undetermined", 0, qPCR_Raw!V137&lt;=1, 0, qPCR_Raw!V137&gt;1, qPCR_Raw!V137)</f>
        <v>39.498317718505859</v>
      </c>
      <c r="AF137" s="122">
        <f>qPCR_Raw!X137</f>
        <v>24.590900421142578</v>
      </c>
      <c r="AG137" s="121" cm="1">
        <f t="array" ref="AG137">_xlfn.IFS(AF137="Undetermined", 0, qPCR_Raw!Y137&lt;=1, 0, qPCR_Raw!Y137&gt;1, qPCR_Raw!Y137)</f>
        <v>1018.0970458984375</v>
      </c>
      <c r="AH137" s="123" cm="1">
        <f t="array" ref="AH137">_xlfn.IFS(AND(AD137="Undetermined", AF137="Undetermined"), "Undetermined", AND(AE137=0, AG137=0), "Undetermined", AND(AE137=0, AG137&gt;0), "Ten-Fold", AND(AE137&gt;0, AG137=0), "Undiluted", AND(AD137&lt;&gt;"Undetermined", AF137&lt;&gt;"Undetermined", AE137&gt;0, AG137&gt;0, AD137&lt;&gt;AF137), 100*(-1+10^(-1/(AD137-AF137))), AND(AD137&lt;&gt;"Undetermined", AF137&lt;&gt;"Undetermined", AD137=AF137&gt;0), -100)</f>
        <v>-37.007530888077014</v>
      </c>
      <c r="AI137" s="124" cm="1">
        <f t="array" ref="AI137">_xlfn.IFS(AH137="Undetermined", 0, AH137="Undiluted", AE137*$G137/$F137*1000, AH137="Ten-Fold", AG137*$G137/$F137*1000*10, AH137&lt;0, AG137*$G137/$F137*1000*10, AH137&lt;120, AE137*$G137/$F137*1000, AH137&gt;120, AG137*$G137/$F137*1000*10)</f>
        <v>1018097.0458984375</v>
      </c>
      <c r="AJ137" s="121" t="str">
        <f t="shared" si="45"/>
        <v>DELETE</v>
      </c>
      <c r="AK137" s="121" t="str">
        <f t="shared" si="46"/>
        <v>DELETE</v>
      </c>
      <c r="AL137" s="121" t="str">
        <f t="shared" si="47"/>
        <v>DELETE</v>
      </c>
      <c r="AM137" s="125" t="str" cm="1">
        <f t="array" ref="AM137">_xlfn.IFS(AJ137="DELETE", "DELETE", AJ137=0, 0, AJ137&gt;0,LOG10(AJ137))</f>
        <v>DELETE</v>
      </c>
      <c r="AN137" s="126" t="str" cm="1">
        <f t="array" ref="AN137">_xlfn.IFS(AJ137="DELETE", "DELETE", AJ137=0, 0, AJ137&gt;0, AL137/AJ137/LN(10))</f>
        <v>DELETE</v>
      </c>
      <c r="AO137" s="155">
        <f>qPCR_Raw!AA137</f>
        <v>23.546239852905273</v>
      </c>
      <c r="AP137" s="156" cm="1">
        <f t="array" ref="AP137">_xlfn.IFS(AO137="Undetermined", 0, qPCR_Raw!AB137&lt;=6, 0, qPCR_Raw!AB137&gt;6, qPCR_Raw!AB137)</f>
        <v>446.93243408203125</v>
      </c>
      <c r="AQ137" s="157">
        <f>qPCR_Raw!AD137</f>
        <v>26.496095657348633</v>
      </c>
      <c r="AR137" s="156" cm="1">
        <f t="array" ref="AR137">_xlfn.IFS(AQ137="Undetermined", 0, qPCR_Raw!AE137&lt;=6, 0, qPCR_Raw!AE137&gt;6, qPCR_Raw!AE137)</f>
        <v>69.849006652832031</v>
      </c>
      <c r="AS137" s="158" cm="1">
        <f t="array" ref="AS137">_xlfn.IFS(AND(AO137="Undetermined", AQ137="Undetermined"), "Undetermined", AND(AP137=0, AR137=0), "Undetermined", AND(AP137=0, AR137&gt;0), "Ten-Fold", AND(AP137&gt;0, AR137=0), "Undiluted", AND(AO137&lt;&gt;"Undetermined", AQ137&lt;&gt;"Undetermined", AP137&gt;0, AR137&gt;0, AO137&lt;&gt;AQ137), 100*(-1+10^(-1/(AO137-AQ137))), AND(AO137&lt;&gt;"Undetermined", AQ137&lt;&gt;"Undetermined", AO137=AQ137&gt;0), -100)</f>
        <v>118.27280075121189</v>
      </c>
      <c r="AT137" s="159" cm="1">
        <f t="array" ref="AT137">_xlfn.IFS(AS137="Undetermined", 0, AS137="Undiluted", AP137*$G137/$F137*1000, AS137="Ten-Fold", AR137*$G137/$F137*1000*10, AS137&lt;0, AR137*$G137/$F137*1000*10, AS137&lt;120, AP137*$G137/$F137*1000, AS137&gt;120, AR137*$G137/$F137*1000*10)</f>
        <v>44693.243408203125</v>
      </c>
      <c r="AU137" s="156" t="str">
        <f t="shared" si="48"/>
        <v>DELETE</v>
      </c>
      <c r="AV137" s="156" t="str">
        <f t="shared" si="49"/>
        <v>DELETE</v>
      </c>
      <c r="AW137" s="156" t="str">
        <f t="shared" si="50"/>
        <v>DELETE</v>
      </c>
      <c r="AX137" s="160" t="str" cm="1">
        <f t="array" ref="AX137">_xlfn.IFS(AU137="DELETE", "DELETE", AU137=0, 0, AU137&gt;0,LOG10(AU137))</f>
        <v>DELETE</v>
      </c>
      <c r="AY137" s="161" t="str" cm="1">
        <f t="array" ref="AY137">_xlfn.IFS(AU137="DELETE", "DELETE", AU137=0, 0, AU137&gt;0, AW137/AU137/LN(10))</f>
        <v>DELETE</v>
      </c>
      <c r="AZ137" s="120">
        <f>qPCR_Raw!AG137</f>
        <v>17.116058349609375</v>
      </c>
      <c r="BA137" s="121" cm="1">
        <f t="array" ref="BA137">_xlfn.IFS(AZ137="Undetermined", 0, qPCR_Raw!AH137&lt;=1, 0, qPCR_Raw!AH137&gt;1, qPCR_Raw!AH137)</f>
        <v>200426.078125</v>
      </c>
      <c r="BB137" s="122">
        <f>qPCR_Raw!AJ137</f>
        <v>20.540410995483398</v>
      </c>
      <c r="BC137" s="121" cm="1">
        <f t="array" ref="BC137">_xlfn.IFS(BB137="Undetermined", 0, qPCR_Raw!AK137&lt;=1, 0, qPCR_Raw!AK137&gt;1, qPCR_Raw!AK137)</f>
        <v>23934.412109375</v>
      </c>
      <c r="BD137" s="123" cm="1">
        <f t="array" ref="BD137">_xlfn.IFS(AND(AZ137="Undetermined", BB137="Undetermined"), "Undetermined", AND(BA137=0, BC137=0), "Undetermined", AND(BA137=0, BC137&gt;0), "Ten-Fold", AND(BA137&gt;0, BC137=0), "Undiluted", AND(AZ137&lt;&gt;"Undetermined", BB137&lt;&gt;"Undetermined", BA137&gt;0, BC137&gt;0, AZ137&lt;&gt;BB137), 100*(-1+10^(-1/(AZ137-BB137))), AND(AZ137&lt;&gt;"Undetermined", BB137&lt;&gt;"Undetermined", AZ137=BB137&gt;0), -100)</f>
        <v>95.896193999400211</v>
      </c>
      <c r="BE137" s="124" cm="1">
        <f t="array" ref="BE137">_xlfn.IFS(BD137="Undetermined", 0, BD137="Undiluted", BA137*$G137/$F137*1000, BD137="Ten-Fold", BC137*$G137/$F137*1000*10, BD137&lt;0, BC137*$G137/$F137*1000*10, BD137&lt;120, BA137*$G137/$F137*1000, BD137&gt;120, BC137*$G137/$F137*1000*10)</f>
        <v>20042607.8125</v>
      </c>
      <c r="BF137" s="121" t="str">
        <f t="shared" si="51"/>
        <v>DELETE</v>
      </c>
      <c r="BG137" s="121" t="str">
        <f t="shared" si="52"/>
        <v>DELETE</v>
      </c>
      <c r="BH137" s="121" t="str">
        <f t="shared" si="53"/>
        <v>DELETE</v>
      </c>
      <c r="BI137" s="125" t="str" cm="1">
        <f t="array" ref="BI137">_xlfn.IFS(BF137="DELETE", "DELETE", BF137=0, 0, BF137&gt;0,LOG10(BF137))</f>
        <v>DELETE</v>
      </c>
      <c r="BJ137" s="126" t="str" cm="1">
        <f t="array" ref="BJ137">_xlfn.IFS(BF137="DELETE", "DELETE", BF137=0, 0, BF137&gt;0, BH137/BF137/LN(10))</f>
        <v>DELETE</v>
      </c>
    </row>
    <row r="138" spans="1:62" s="114" customFormat="1" x14ac:dyDescent="0.3">
      <c r="A138" s="115" t="str">
        <f>UPPER(LEFT(SUBSTITUTE(SUBSTITUTE(qPCR_Raw!A138,"-","")," ",""),2))&amp;RIGHT(SUBSTITUTE(SUBSTITUTE(qPCR_Raw!A138,"-","")," ",""),LEN(SUBSTITUTE(SUBSTITUTE(qPCR_Raw!A138,"-","")," ",""))-2)</f>
        <v>STa6</v>
      </c>
      <c r="B138" s="116" t="str" cm="1">
        <f t="array" ref="B138">_xlfn.IFS(LEFT(A138, LEN(A138)-1)="EP", "EP", LEFT(A138, LEN(A138)-1)="STa", "SPI", LEFT(A138, LEN(A138)-1)="STb", "SPO", LEFT(A138, LEN(A138)-1)="MRT", "MRT", LEFT(A138, LEN(A138)-1)="RG", "RN", LEFT(A138, LEN(A138)-1)="RT", "RU", LEFT(A138, LEN(A138)-1)="RW", "RL", LEFT(A138, LEN(A138)-1)="RC", "RS")</f>
        <v>SPI</v>
      </c>
      <c r="C138" s="117">
        <f>qPCR_Raw!B138</f>
        <v>44391</v>
      </c>
      <c r="D138" s="117" t="str">
        <f t="shared" si="37"/>
        <v>SPI44391</v>
      </c>
      <c r="E138" s="117" t="str">
        <f t="shared" si="38"/>
        <v>SPI443916</v>
      </c>
      <c r="F138" s="118">
        <f>qPCR_Raw!C138</f>
        <v>880</v>
      </c>
      <c r="G138" s="119">
        <f>qPCR_Raw!F138</f>
        <v>100</v>
      </c>
      <c r="H138" s="120">
        <f>qPCR_Raw!G138</f>
        <v>23.798700332641602</v>
      </c>
      <c r="I138" s="121" cm="1">
        <f t="array" ref="I138">_xlfn.IFS(H138="Undetermined", 0, qPCR_Raw!H138-qPCR_Raw!$H$242&lt;0, 0, qPCR_Raw!H138-qPCR_Raw!$H$242&gt;0, qPCR_Raw!H138-qPCR_Raw!$H$242)</f>
        <v>0</v>
      </c>
      <c r="J138" s="122">
        <f>qPCR_Raw!K138</f>
        <v>25.74932861328125</v>
      </c>
      <c r="K138" s="121" cm="1">
        <f t="array" ref="K138">_xlfn.IFS(J138="Undetermined", 0, qPCR_Raw!L138-qPCR_Raw!$H$242&lt;0, 0, qPCR_Raw!L138-qPCR_Raw!$H$242&gt;0, qPCR_Raw!L138-qPCR_Raw!$H$242)</f>
        <v>0</v>
      </c>
      <c r="L138" s="123" t="str" cm="1">
        <f t="array" ref="L138">_xlfn.IFS(AND(H138="Undetermined", J138="Undetermined"), "Undetermined", AND(I138=0, K138=0), "Undetermined", AND(I138=0, K138&gt;0), "Ten-Fold", AND(I138&gt;0, K138=0), "Undiluted", AND(H138&lt;&gt;"Undetermined", J138&lt;&gt;"Undetermined", I138&gt;0, K138&gt;0), 100*(-1+10^(-1/(H138-J138))))</f>
        <v>Undetermined</v>
      </c>
      <c r="M138" s="124" cm="1">
        <f t="array" ref="M138">_xlfn.IFS(L138="Undetermined", 0, L138="Undiluted", I138*$G138/$F138*1000, L138="Ten-Fold", K138*$G138/$F138*1000*10, L138&lt;0, K138*$G138/$F138*1000*10, L138&lt;120, I138*$G138/$F138*1000, L138&gt;120, K138*$G138/$F138*1000*10)</f>
        <v>0</v>
      </c>
      <c r="N138" s="121">
        <f t="shared" si="39"/>
        <v>816250.59539917484</v>
      </c>
      <c r="O138" s="121">
        <f t="shared" si="40"/>
        <v>1154352.662308627</v>
      </c>
      <c r="P138" s="121">
        <f t="shared" si="41"/>
        <v>816250.59539917484</v>
      </c>
      <c r="Q138" s="125" cm="1">
        <f t="array" ref="Q138">_xlfn.IFS(N138="DELETE", "DELETE", N138=0, 0, N138&gt;0,LOG10(N138))</f>
        <v>5.9118235110714696</v>
      </c>
      <c r="R138" s="126" cm="1">
        <f t="array" ref="R138">_xlfn.IFS(N138="DELETE", "DELETE", N138=0, 0, N138&gt;0, P138/N138/LN(10))</f>
        <v>0.43429448190325176</v>
      </c>
      <c r="S138" s="155">
        <f>qPCR_Raw!O138</f>
        <v>37.049472808837891</v>
      </c>
      <c r="T138" s="156" cm="1">
        <f t="array" ref="T138">_xlfn.IFS(S138="Undetermined", 0, qPCR_Raw!P138&lt;=1, 0, qPCR_Raw!P138&gt;1, qPCR_Raw!P138)</f>
        <v>1.8937402963638306</v>
      </c>
      <c r="U138" s="157">
        <f>qPCR_Raw!R138</f>
        <v>37.183952331542969</v>
      </c>
      <c r="V138" s="156" cm="1">
        <f t="array" ref="V138">_xlfn.IFS(U138="Undetermined", 0, qPCR_Raw!S138&lt;=1, 0, qPCR_Raw!S138&gt;1, qPCR_Raw!S138)</f>
        <v>1.7400161027908325</v>
      </c>
      <c r="W138" s="158" cm="1">
        <f t="array" ref="W138">_xlfn.IFS(AND(S138="Undetermined", U138="Undetermined"), "Undetermined", AND(T138=0, V138=0), "Undetermined", AND(T138=0, V138&gt;0), "Ten-Fold", AND(T138&gt;0, V138=0), "Undiluted", AND(S138&lt;&gt;"Undetermined", U138&lt;&gt;"Undetermined", T138&gt;0, V138&gt;0, S138&lt;&gt;U138), 100*(-1+10^(-1/(S138-U138))), AND(S138&lt;&gt;"Undetermined", U138&lt;&gt;"Undetermined", S138=U138&gt;0), -100)</f>
        <v>2729457563.0232821</v>
      </c>
      <c r="X138" s="159" cm="1">
        <f t="array" ref="X138">_xlfn.IFS(W138="Undetermined", 0, W138="Undiluted", T138*$G138/$F138*1000, W138="Ten-Fold", V138*$G138/$F138*1000*10, W138&lt;0, V138*$G138/$F138*1000*10, W138&lt;120, T138*$G138/$F138*1000, W138&gt;120, V138*$G138/$F138*1000*10)</f>
        <v>1977.2910258986735</v>
      </c>
      <c r="Y138" s="156">
        <f t="shared" si="42"/>
        <v>1253.6846466876591</v>
      </c>
      <c r="Z138" s="156">
        <f t="shared" si="43"/>
        <v>1023.3339552999056</v>
      </c>
      <c r="AA138" s="156">
        <f t="shared" si="44"/>
        <v>723.60637921101454</v>
      </c>
      <c r="AB138" s="160" cm="1">
        <f t="array" ref="AB138">_xlfn.IFS(Y138="DELETE", "DELETE", Y138=0, 0, Y138&gt;0,LOG10(Y138))</f>
        <v>3.0981883072865495</v>
      </c>
      <c r="AC138" s="161" cm="1">
        <f t="array" ref="AC138">_xlfn.IFS(Y138="DELETE", "DELETE", Y138=0, 0, Y138&gt;0, AA138/Y138/LN(10))</f>
        <v>0.2506677084956192</v>
      </c>
      <c r="AD138" s="120" t="str">
        <f>qPCR_Raw!U138</f>
        <v>Undetermined</v>
      </c>
      <c r="AE138" s="121" cm="1">
        <f t="array" ref="AE138">_xlfn.IFS(AD138="Undetermined", 0, qPCR_Raw!V138&lt;=1, 0, qPCR_Raw!V138&gt;1, qPCR_Raw!V138)</f>
        <v>0</v>
      </c>
      <c r="AF138" s="122" t="str">
        <f>qPCR_Raw!X138</f>
        <v>Undetermined</v>
      </c>
      <c r="AG138" s="121" cm="1">
        <f t="array" ref="AG138">_xlfn.IFS(AF138="Undetermined", 0, qPCR_Raw!Y138&lt;=1, 0, qPCR_Raw!Y138&gt;1, qPCR_Raw!Y138)</f>
        <v>0</v>
      </c>
      <c r="AH138" s="123" t="str" cm="1">
        <f t="array" ref="AH138">_xlfn.IFS(AND(AD138="Undetermined", AF138="Undetermined"), "Undetermined", AND(AE138=0, AG138=0), "Undetermined", AND(AE138=0, AG138&gt;0), "Ten-Fold", AND(AE138&gt;0, AG138=0), "Undiluted", AND(AD138&lt;&gt;"Undetermined", AF138&lt;&gt;"Undetermined", AE138&gt;0, AG138&gt;0, AD138&lt;&gt;AF138), 100*(-1+10^(-1/(AD138-AF138))), AND(AD138&lt;&gt;"Undetermined", AF138&lt;&gt;"Undetermined", AD138=AF138&gt;0), -100)</f>
        <v>Undetermined</v>
      </c>
      <c r="AI138" s="124" cm="1">
        <f t="array" ref="AI138">_xlfn.IFS(AH138="Undetermined", 0, AH138="Undiluted", AE138*$G138/$F138*1000, AH138="Ten-Fold", AG138*$G138/$F138*1000*10, AH138&lt;0, AG138*$G138/$F138*1000*10, AH138&lt;120, AE138*$G138/$F138*1000, AH138&gt;120, AG138*$G138/$F138*1000*10)</f>
        <v>0</v>
      </c>
      <c r="AJ138" s="121">
        <f t="shared" si="45"/>
        <v>0</v>
      </c>
      <c r="AK138" s="121">
        <f t="shared" si="46"/>
        <v>0</v>
      </c>
      <c r="AL138" s="121">
        <f t="shared" si="47"/>
        <v>0</v>
      </c>
      <c r="AM138" s="125" cm="1">
        <f t="array" ref="AM138">_xlfn.IFS(AJ138="DELETE", "DELETE", AJ138=0, 0, AJ138&gt;0,LOG10(AJ138))</f>
        <v>0</v>
      </c>
      <c r="AN138" s="126" cm="1">
        <f t="array" ref="AN138">_xlfn.IFS(AJ138="DELETE", "DELETE", AJ138=0, 0, AJ138&gt;0, AL138/AJ138/LN(10))</f>
        <v>0</v>
      </c>
      <c r="AO138" s="155">
        <f>qPCR_Raw!AA138</f>
        <v>32.968055725097656</v>
      </c>
      <c r="AP138" s="156" cm="1">
        <f t="array" ref="AP138">_xlfn.IFS(AO138="Undetermined", 0, qPCR_Raw!AB138&lt;=6, 0, qPCR_Raw!AB138&gt;6, qPCR_Raw!AB138)</f>
        <v>0</v>
      </c>
      <c r="AQ138" s="157" t="str">
        <f>qPCR_Raw!AD138</f>
        <v>Undetermined</v>
      </c>
      <c r="AR138" s="156" cm="1">
        <f t="array" ref="AR138">_xlfn.IFS(AQ138="Undetermined", 0, qPCR_Raw!AE138&lt;=6, 0, qPCR_Raw!AE138&gt;6, qPCR_Raw!AE138)</f>
        <v>0</v>
      </c>
      <c r="AS138" s="158" t="str" cm="1">
        <f t="array" ref="AS138">_xlfn.IFS(AND(AO138="Undetermined", AQ138="Undetermined"), "Undetermined", AND(AP138=0, AR138=0), "Undetermined", AND(AP138=0, AR138&gt;0), "Ten-Fold", AND(AP138&gt;0, AR138=0), "Undiluted", AND(AO138&lt;&gt;"Undetermined", AQ138&lt;&gt;"Undetermined", AP138&gt;0, AR138&gt;0, AO138&lt;&gt;AQ138), 100*(-1+10^(-1/(AO138-AQ138))), AND(AO138&lt;&gt;"Undetermined", AQ138&lt;&gt;"Undetermined", AO138=AQ138&gt;0), -100)</f>
        <v>Undetermined</v>
      </c>
      <c r="AT138" s="159" cm="1">
        <f t="array" ref="AT138">_xlfn.IFS(AS138="Undetermined", 0, AS138="Undiluted", AP138*$G138/$F138*1000, AS138="Ten-Fold", AR138*$G138/$F138*1000*10, AS138&lt;0, AR138*$G138/$F138*1000*10, AS138&lt;120, AP138*$G138/$F138*1000, AS138&gt;120, AR138*$G138/$F138*1000*10)</f>
        <v>0</v>
      </c>
      <c r="AU138" s="156">
        <f t="shared" si="48"/>
        <v>0</v>
      </c>
      <c r="AV138" s="156">
        <f t="shared" si="49"/>
        <v>0</v>
      </c>
      <c r="AW138" s="156">
        <f t="shared" si="50"/>
        <v>0</v>
      </c>
      <c r="AX138" s="160" cm="1">
        <f t="array" ref="AX138">_xlfn.IFS(AU138="DELETE", "DELETE", AU138=0, 0, AU138&gt;0,LOG10(AU138))</f>
        <v>0</v>
      </c>
      <c r="AY138" s="161" cm="1">
        <f t="array" ref="AY138">_xlfn.IFS(AU138="DELETE", "DELETE", AU138=0, 0, AU138&gt;0, AW138/AU138/LN(10))</f>
        <v>0</v>
      </c>
      <c r="AZ138" s="120" t="str">
        <f>qPCR_Raw!AG138</f>
        <v>Undetermined</v>
      </c>
      <c r="BA138" s="121" cm="1">
        <f t="array" ref="BA138">_xlfn.IFS(AZ138="Undetermined", 0, qPCR_Raw!AH138&lt;=1, 0, qPCR_Raw!AH138&gt;1, qPCR_Raw!AH138)</f>
        <v>0</v>
      </c>
      <c r="BB138" s="122" t="str">
        <f>qPCR_Raw!AJ138</f>
        <v>Undetermined</v>
      </c>
      <c r="BC138" s="121" cm="1">
        <f t="array" ref="BC138">_xlfn.IFS(BB138="Undetermined", 0, qPCR_Raw!AK138&lt;=1, 0, qPCR_Raw!AK138&gt;1, qPCR_Raw!AK138)</f>
        <v>0</v>
      </c>
      <c r="BD138" s="123" t="str" cm="1">
        <f t="array" ref="BD138">_xlfn.IFS(AND(AZ138="Undetermined", BB138="Undetermined"), "Undetermined", AND(BA138=0, BC138=0), "Undetermined", AND(BA138=0, BC138&gt;0), "Ten-Fold", AND(BA138&gt;0, BC138=0), "Undiluted", AND(AZ138&lt;&gt;"Undetermined", BB138&lt;&gt;"Undetermined", BA138&gt;0, BC138&gt;0, AZ138&lt;&gt;BB138), 100*(-1+10^(-1/(AZ138-BB138))), AND(AZ138&lt;&gt;"Undetermined", BB138&lt;&gt;"Undetermined", AZ138=BB138&gt;0), -100)</f>
        <v>Undetermined</v>
      </c>
      <c r="BE138" s="124" cm="1">
        <f t="array" ref="BE138">_xlfn.IFS(BD138="Undetermined", 0, BD138="Undiluted", BA138*$G138/$F138*1000, BD138="Ten-Fold", BC138*$G138/$F138*1000*10, BD138&lt;0, BC138*$G138/$F138*1000*10, BD138&lt;120, BA138*$G138/$F138*1000, BD138&gt;120, BC138*$G138/$F138*1000*10)</f>
        <v>0</v>
      </c>
      <c r="BF138" s="121">
        <f t="shared" si="51"/>
        <v>0</v>
      </c>
      <c r="BG138" s="121">
        <f t="shared" si="52"/>
        <v>0</v>
      </c>
      <c r="BH138" s="121">
        <f t="shared" si="53"/>
        <v>0</v>
      </c>
      <c r="BI138" s="125" cm="1">
        <f t="array" ref="BI138">_xlfn.IFS(BF138="DELETE", "DELETE", BF138=0, 0, BF138&gt;0,LOG10(BF138))</f>
        <v>0</v>
      </c>
      <c r="BJ138" s="126" cm="1">
        <f t="array" ref="BJ138">_xlfn.IFS(BF138="DELETE", "DELETE", BF138=0, 0, BF138&gt;0, BH138/BF138/LN(10))</f>
        <v>0</v>
      </c>
    </row>
    <row r="139" spans="1:62" s="114" customFormat="1" x14ac:dyDescent="0.3">
      <c r="A139" s="115" t="str">
        <f>UPPER(LEFT(SUBSTITUTE(SUBSTITUTE(qPCR_Raw!A139,"-","")," ",""),2))&amp;RIGHT(SUBSTITUTE(SUBSTITUTE(qPCR_Raw!A139,"-","")," ",""),LEN(SUBSTITUTE(SUBSTITUTE(qPCR_Raw!A139,"-","")," ",""))-2)</f>
        <v>STa7</v>
      </c>
      <c r="B139" s="116" t="str" cm="1">
        <f t="array" ref="B139">_xlfn.IFS(LEFT(A139, LEN(A139)-1)="EP", "EP", LEFT(A139, LEN(A139)-1)="STa", "SPI", LEFT(A139, LEN(A139)-1)="STb", "SPO", LEFT(A139, LEN(A139)-1)="MRT", "MRT", LEFT(A139, LEN(A139)-1)="RG", "RN", LEFT(A139, LEN(A139)-1)="RT", "RU", LEFT(A139, LEN(A139)-1)="RW", "RL", LEFT(A139, LEN(A139)-1)="RC", "RS")</f>
        <v>SPI</v>
      </c>
      <c r="C139" s="117">
        <f>qPCR_Raw!B139</f>
        <v>44391</v>
      </c>
      <c r="D139" s="117" t="str">
        <f t="shared" si="37"/>
        <v>SPI44391</v>
      </c>
      <c r="E139" s="117" t="str">
        <f t="shared" si="38"/>
        <v>SPI443917</v>
      </c>
      <c r="F139" s="118">
        <f>qPCR_Raw!C139</f>
        <v>830</v>
      </c>
      <c r="G139" s="119">
        <f>qPCR_Raw!F139</f>
        <v>100</v>
      </c>
      <c r="H139" s="120">
        <f>qPCR_Raw!G139</f>
        <v>21.997880935668945</v>
      </c>
      <c r="I139" s="121" cm="1">
        <f t="array" ref="I139">_xlfn.IFS(H139="Undetermined", 0, qPCR_Raw!H139-qPCR_Raw!$H$242&lt;0, 0, qPCR_Raw!H139-qPCR_Raw!$H$242&gt;0, qPCR_Raw!H139-qPCR_Raw!$H$242)</f>
        <v>13549.759883626302</v>
      </c>
      <c r="J139" s="122">
        <f>qPCR_Raw!K139</f>
        <v>25.15374755859375</v>
      </c>
      <c r="K139" s="121" cm="1">
        <f t="array" ref="K139">_xlfn.IFS(J139="Undetermined", 0, qPCR_Raw!L139-qPCR_Raw!$H$242&lt;0, 0, qPCR_Raw!L139-qPCR_Raw!$H$242&gt;0, qPCR_Raw!L139-qPCR_Raw!$H$242)</f>
        <v>0</v>
      </c>
      <c r="L139" s="123" t="str" cm="1">
        <f t="array" ref="L139">_xlfn.IFS(AND(H139="Undetermined", J139="Undetermined"), "Undetermined", AND(I139=0, K139=0), "Undetermined", AND(I139=0, K139&gt;0), "Ten-Fold", AND(I139&gt;0, K139=0), "Undiluted", AND(H139&lt;&gt;"Undetermined", J139&lt;&gt;"Undetermined", I139&gt;0, K139&gt;0), 100*(-1+10^(-1/(H139-J139))))</f>
        <v>Undiluted</v>
      </c>
      <c r="M139" s="124" cm="1">
        <f t="array" ref="M139">_xlfn.IFS(L139="Undetermined", 0, L139="Undiluted", I139*$G139/$F139*1000, L139="Ten-Fold", K139*$G139/$F139*1000*10, L139&lt;0, K139*$G139/$F139*1000*10, L139&lt;120, I139*$G139/$F139*1000, L139&gt;120, K139*$G139/$F139*1000*10)</f>
        <v>1632501.1907983497</v>
      </c>
      <c r="N139" s="121" t="str">
        <f t="shared" si="39"/>
        <v>DELETE</v>
      </c>
      <c r="O139" s="121" t="str">
        <f t="shared" si="40"/>
        <v>DELETE</v>
      </c>
      <c r="P139" s="121" t="str">
        <f t="shared" si="41"/>
        <v>DELETE</v>
      </c>
      <c r="Q139" s="125" t="str" cm="1">
        <f t="array" ref="Q139">_xlfn.IFS(N139="DELETE", "DELETE", N139=0, 0, N139&gt;0,LOG10(N139))</f>
        <v>DELETE</v>
      </c>
      <c r="R139" s="126" t="str" cm="1">
        <f t="array" ref="R139">_xlfn.IFS(N139="DELETE", "DELETE", N139=0, 0, N139&gt;0, P139/N139/LN(10))</f>
        <v>DELETE</v>
      </c>
      <c r="S139" s="155">
        <f>qPCR_Raw!O139</f>
        <v>35.710433959960938</v>
      </c>
      <c r="T139" s="156" cm="1">
        <f t="array" ref="T139">_xlfn.IFS(S139="Undetermined", 0, qPCR_Raw!P139&lt;=1, 0, qPCR_Raw!P139&gt;1, qPCR_Raw!P139)</f>
        <v>4.3996496200561523</v>
      </c>
      <c r="U139" s="157">
        <f>qPCR_Raw!R139</f>
        <v>39.208889007568359</v>
      </c>
      <c r="V139" s="156" cm="1">
        <f t="array" ref="V139">_xlfn.IFS(U139="Undetermined", 0, qPCR_Raw!S139&lt;=1, 0, qPCR_Raw!S139&gt;1, qPCR_Raw!S139)</f>
        <v>0</v>
      </c>
      <c r="W139" s="158" t="str" cm="1">
        <f t="array" ref="W139">_xlfn.IFS(AND(S139="Undetermined", U139="Undetermined"), "Undetermined", AND(T139=0, V139=0), "Undetermined", AND(T139=0, V139&gt;0), "Ten-Fold", AND(T139&gt;0, V139=0), "Undiluted", AND(S139&lt;&gt;"Undetermined", U139&lt;&gt;"Undetermined", T139&gt;0, V139&gt;0, S139&lt;&gt;U139), 100*(-1+10^(-1/(S139-U139))), AND(S139&lt;&gt;"Undetermined", U139&lt;&gt;"Undetermined", S139=U139&gt;0), -100)</f>
        <v>Undiluted</v>
      </c>
      <c r="X139" s="159" cm="1">
        <f t="array" ref="X139">_xlfn.IFS(W139="Undetermined", 0, W139="Undiluted", T139*$G139/$F139*1000, W139="Ten-Fold", V139*$G139/$F139*1000*10, W139&lt;0, V139*$G139/$F139*1000*10, W139&lt;120, T139*$G139/$F139*1000, W139&gt;120, V139*$G139/$F139*1000*10)</f>
        <v>530.0782674766449</v>
      </c>
      <c r="Y139" s="156" t="str">
        <f t="shared" si="42"/>
        <v>DELETE</v>
      </c>
      <c r="Z139" s="156" t="str">
        <f t="shared" si="43"/>
        <v>DELETE</v>
      </c>
      <c r="AA139" s="156" t="str">
        <f t="shared" si="44"/>
        <v>DELETE</v>
      </c>
      <c r="AB139" s="160" t="str" cm="1">
        <f t="array" ref="AB139">_xlfn.IFS(Y139="DELETE", "DELETE", Y139=0, 0, Y139&gt;0,LOG10(Y139))</f>
        <v>DELETE</v>
      </c>
      <c r="AC139" s="161" t="str" cm="1">
        <f t="array" ref="AC139">_xlfn.IFS(Y139="DELETE", "DELETE", Y139=0, 0, Y139&gt;0, AA139/Y139/LN(10))</f>
        <v>DELETE</v>
      </c>
      <c r="AD139" s="120" t="str">
        <f>qPCR_Raw!U139</f>
        <v>Undetermined</v>
      </c>
      <c r="AE139" s="121" cm="1">
        <f t="array" ref="AE139">_xlfn.IFS(AD139="Undetermined", 0, qPCR_Raw!V139&lt;=1, 0, qPCR_Raw!V139&gt;1, qPCR_Raw!V139)</f>
        <v>0</v>
      </c>
      <c r="AF139" s="122" t="str">
        <f>qPCR_Raw!X139</f>
        <v>Undetermined</v>
      </c>
      <c r="AG139" s="121" cm="1">
        <f t="array" ref="AG139">_xlfn.IFS(AF139="Undetermined", 0, qPCR_Raw!Y139&lt;=1, 0, qPCR_Raw!Y139&gt;1, qPCR_Raw!Y139)</f>
        <v>0</v>
      </c>
      <c r="AH139" s="123" t="str" cm="1">
        <f t="array" ref="AH139">_xlfn.IFS(AND(AD139="Undetermined", AF139="Undetermined"), "Undetermined", AND(AE139=0, AG139=0), "Undetermined", AND(AE139=0, AG139&gt;0), "Ten-Fold", AND(AE139&gt;0, AG139=0), "Undiluted", AND(AD139&lt;&gt;"Undetermined", AF139&lt;&gt;"Undetermined", AE139&gt;0, AG139&gt;0, AD139&lt;&gt;AF139), 100*(-1+10^(-1/(AD139-AF139))), AND(AD139&lt;&gt;"Undetermined", AF139&lt;&gt;"Undetermined", AD139=AF139&gt;0), -100)</f>
        <v>Undetermined</v>
      </c>
      <c r="AI139" s="124" cm="1">
        <f t="array" ref="AI139">_xlfn.IFS(AH139="Undetermined", 0, AH139="Undiluted", AE139*$G139/$F139*1000, AH139="Ten-Fold", AG139*$G139/$F139*1000*10, AH139&lt;0, AG139*$G139/$F139*1000*10, AH139&lt;120, AE139*$G139/$F139*1000, AH139&gt;120, AG139*$G139/$F139*1000*10)</f>
        <v>0</v>
      </c>
      <c r="AJ139" s="121" t="str">
        <f t="shared" si="45"/>
        <v>DELETE</v>
      </c>
      <c r="AK139" s="121" t="str">
        <f t="shared" si="46"/>
        <v>DELETE</v>
      </c>
      <c r="AL139" s="121" t="str">
        <f t="shared" si="47"/>
        <v>DELETE</v>
      </c>
      <c r="AM139" s="125" t="str" cm="1">
        <f t="array" ref="AM139">_xlfn.IFS(AJ139="DELETE", "DELETE", AJ139=0, 0, AJ139&gt;0,LOG10(AJ139))</f>
        <v>DELETE</v>
      </c>
      <c r="AN139" s="126" t="str" cm="1">
        <f t="array" ref="AN139">_xlfn.IFS(AJ139="DELETE", "DELETE", AJ139=0, 0, AJ139&gt;0, AL139/AJ139/LN(10))</f>
        <v>DELETE</v>
      </c>
      <c r="AO139" s="155">
        <f>qPCR_Raw!AA139</f>
        <v>31.322288513183594</v>
      </c>
      <c r="AP139" s="156" cm="1">
        <f t="array" ref="AP139">_xlfn.IFS(AO139="Undetermined", 0, qPCR_Raw!AB139&lt;=6, 0, qPCR_Raw!AB139&gt;6, qPCR_Raw!AB139)</f>
        <v>0</v>
      </c>
      <c r="AQ139" s="157" t="str">
        <f>qPCR_Raw!AD139</f>
        <v>Undetermined</v>
      </c>
      <c r="AR139" s="156" cm="1">
        <f t="array" ref="AR139">_xlfn.IFS(AQ139="Undetermined", 0, qPCR_Raw!AE139&lt;=6, 0, qPCR_Raw!AE139&gt;6, qPCR_Raw!AE139)</f>
        <v>0</v>
      </c>
      <c r="AS139" s="158" t="str" cm="1">
        <f t="array" ref="AS139">_xlfn.IFS(AND(AO139="Undetermined", AQ139="Undetermined"), "Undetermined", AND(AP139=0, AR139=0), "Undetermined", AND(AP139=0, AR139&gt;0), "Ten-Fold", AND(AP139&gt;0, AR139=0), "Undiluted", AND(AO139&lt;&gt;"Undetermined", AQ139&lt;&gt;"Undetermined", AP139&gt;0, AR139&gt;0, AO139&lt;&gt;AQ139), 100*(-1+10^(-1/(AO139-AQ139))), AND(AO139&lt;&gt;"Undetermined", AQ139&lt;&gt;"Undetermined", AO139=AQ139&gt;0), -100)</f>
        <v>Undetermined</v>
      </c>
      <c r="AT139" s="159" cm="1">
        <f t="array" ref="AT139">_xlfn.IFS(AS139="Undetermined", 0, AS139="Undiluted", AP139*$G139/$F139*1000, AS139="Ten-Fold", AR139*$G139/$F139*1000*10, AS139&lt;0, AR139*$G139/$F139*1000*10, AS139&lt;120, AP139*$G139/$F139*1000, AS139&gt;120, AR139*$G139/$F139*1000*10)</f>
        <v>0</v>
      </c>
      <c r="AU139" s="156" t="str">
        <f t="shared" si="48"/>
        <v>DELETE</v>
      </c>
      <c r="AV139" s="156" t="str">
        <f t="shared" si="49"/>
        <v>DELETE</v>
      </c>
      <c r="AW139" s="156" t="str">
        <f t="shared" si="50"/>
        <v>DELETE</v>
      </c>
      <c r="AX139" s="160" t="str" cm="1">
        <f t="array" ref="AX139">_xlfn.IFS(AU139="DELETE", "DELETE", AU139=0, 0, AU139&gt;0,LOG10(AU139))</f>
        <v>DELETE</v>
      </c>
      <c r="AY139" s="161" t="str" cm="1">
        <f t="array" ref="AY139">_xlfn.IFS(AU139="DELETE", "DELETE", AU139=0, 0, AU139&gt;0, AW139/AU139/LN(10))</f>
        <v>DELETE</v>
      </c>
      <c r="AZ139" s="120" t="str">
        <f>qPCR_Raw!AG139</f>
        <v>Undetermined</v>
      </c>
      <c r="BA139" s="121" cm="1">
        <f t="array" ref="BA139">_xlfn.IFS(AZ139="Undetermined", 0, qPCR_Raw!AH139&lt;=1, 0, qPCR_Raw!AH139&gt;1, qPCR_Raw!AH139)</f>
        <v>0</v>
      </c>
      <c r="BB139" s="122" t="str">
        <f>qPCR_Raw!AJ139</f>
        <v>Undetermined</v>
      </c>
      <c r="BC139" s="121" cm="1">
        <f t="array" ref="BC139">_xlfn.IFS(BB139="Undetermined", 0, qPCR_Raw!AK139&lt;=1, 0, qPCR_Raw!AK139&gt;1, qPCR_Raw!AK139)</f>
        <v>0</v>
      </c>
      <c r="BD139" s="123" t="str" cm="1">
        <f t="array" ref="BD139">_xlfn.IFS(AND(AZ139="Undetermined", BB139="Undetermined"), "Undetermined", AND(BA139=0, BC139=0), "Undetermined", AND(BA139=0, BC139&gt;0), "Ten-Fold", AND(BA139&gt;0, BC139=0), "Undiluted", AND(AZ139&lt;&gt;"Undetermined", BB139&lt;&gt;"Undetermined", BA139&gt;0, BC139&gt;0, AZ139&lt;&gt;BB139), 100*(-1+10^(-1/(AZ139-BB139))), AND(AZ139&lt;&gt;"Undetermined", BB139&lt;&gt;"Undetermined", AZ139=BB139&gt;0), -100)</f>
        <v>Undetermined</v>
      </c>
      <c r="BE139" s="124" cm="1">
        <f t="array" ref="BE139">_xlfn.IFS(BD139="Undetermined", 0, BD139="Undiluted", BA139*$G139/$F139*1000, BD139="Ten-Fold", BC139*$G139/$F139*1000*10, BD139&lt;0, BC139*$G139/$F139*1000*10, BD139&lt;120, BA139*$G139/$F139*1000, BD139&gt;120, BC139*$G139/$F139*1000*10)</f>
        <v>0</v>
      </c>
      <c r="BF139" s="121" t="str">
        <f t="shared" si="51"/>
        <v>DELETE</v>
      </c>
      <c r="BG139" s="121" t="str">
        <f t="shared" si="52"/>
        <v>DELETE</v>
      </c>
      <c r="BH139" s="121" t="str">
        <f t="shared" si="53"/>
        <v>DELETE</v>
      </c>
      <c r="BI139" s="125" t="str" cm="1">
        <f t="array" ref="BI139">_xlfn.IFS(BF139="DELETE", "DELETE", BF139=0, 0, BF139&gt;0,LOG10(BF139))</f>
        <v>DELETE</v>
      </c>
      <c r="BJ139" s="126" t="str" cm="1">
        <f t="array" ref="BJ139">_xlfn.IFS(BF139="DELETE", "DELETE", BF139=0, 0, BF139&gt;0, BH139/BF139/LN(10))</f>
        <v>DELETE</v>
      </c>
    </row>
    <row r="140" spans="1:62" s="114" customFormat="1" x14ac:dyDescent="0.3">
      <c r="A140" s="115" t="str">
        <f>UPPER(LEFT(SUBSTITUTE(SUBSTITUTE(qPCR_Raw!A140,"-","")," ",""),2))&amp;RIGHT(SUBSTITUTE(SUBSTITUTE(qPCR_Raw!A140,"-","")," ",""),LEN(SUBSTITUTE(SUBSTITUTE(qPCR_Raw!A140,"-","")," ",""))-2)</f>
        <v>EP6</v>
      </c>
      <c r="B140" s="116" t="str" cm="1">
        <f t="array" ref="B140">_xlfn.IFS(LEFT(A140, LEN(A140)-1)="EP", "EP", LEFT(A140, LEN(A140)-1)="STa", "SPI", LEFT(A140, LEN(A140)-1)="STb", "SPO", LEFT(A140, LEN(A140)-1)="MRT", "MRT", LEFT(A140, LEN(A140)-1)="RG", "RN", LEFT(A140, LEN(A140)-1)="RT", "RU", LEFT(A140, LEN(A140)-1)="RW", "RL", LEFT(A140, LEN(A140)-1)="RC", "RS")</f>
        <v>EP</v>
      </c>
      <c r="C140" s="117">
        <f>qPCR_Raw!B140</f>
        <v>44398</v>
      </c>
      <c r="D140" s="117" t="str">
        <f t="shared" si="37"/>
        <v>EP44398</v>
      </c>
      <c r="E140" s="117" t="str">
        <f t="shared" si="38"/>
        <v>EP443986</v>
      </c>
      <c r="F140" s="118">
        <f>qPCR_Raw!C140</f>
        <v>940</v>
      </c>
      <c r="G140" s="119">
        <f>qPCR_Raw!F140</f>
        <v>100</v>
      </c>
      <c r="H140" s="120">
        <f>qPCR_Raw!G140</f>
        <v>27.13404655456543</v>
      </c>
      <c r="I140" s="121" cm="1">
        <f t="array" ref="I140">_xlfn.IFS(H140="Undetermined", 0, qPCR_Raw!H140-qPCR_Raw!$H$242&lt;0, 0, qPCR_Raw!H140-qPCR_Raw!$H$242&gt;0, qPCR_Raw!H140-qPCR_Raw!$H$242)</f>
        <v>0</v>
      </c>
      <c r="J140" s="122">
        <f>qPCR_Raw!K140</f>
        <v>29.369714736938477</v>
      </c>
      <c r="K140" s="121" cm="1">
        <f t="array" ref="K140">_xlfn.IFS(J140="Undetermined", 0, qPCR_Raw!L140-qPCR_Raw!$H$242&lt;0, 0, qPCR_Raw!L140-qPCR_Raw!$H$242&gt;0, qPCR_Raw!L140-qPCR_Raw!$H$242)</f>
        <v>0</v>
      </c>
      <c r="L140" s="123" t="str" cm="1">
        <f t="array" ref="L140">_xlfn.IFS(AND(H140="Undetermined", J140="Undetermined"), "Undetermined", AND(I140=0, K140=0), "Undetermined", AND(I140=0, K140&gt;0), "Ten-Fold", AND(I140&gt;0, K140=0), "Undiluted", AND(H140&lt;&gt;"Undetermined", J140&lt;&gt;"Undetermined", I140&gt;0, K140&gt;0), 100*(-1+10^(-1/(H140-J140))))</f>
        <v>Undetermined</v>
      </c>
      <c r="M140" s="124" cm="1">
        <f t="array" ref="M140">_xlfn.IFS(L140="Undetermined", 0, L140="Undiluted", I140*$G140/$F140*1000, L140="Ten-Fold", K140*$G140/$F140*1000*10, L140&lt;0, K140*$G140/$F140*1000*10, L140&lt;120, I140*$G140/$F140*1000, L140&gt;120, K140*$G140/$F140*1000*10)</f>
        <v>0</v>
      </c>
      <c r="N140" s="121">
        <f t="shared" si="39"/>
        <v>13314536.822306314</v>
      </c>
      <c r="O140" s="121">
        <f t="shared" si="40"/>
        <v>18829598.550821561</v>
      </c>
      <c r="P140" s="121">
        <f t="shared" si="41"/>
        <v>13314536.822306313</v>
      </c>
      <c r="Q140" s="125" cm="1">
        <f t="array" ref="Q140">_xlfn.IFS(N140="DELETE", "DELETE", N140=0, 0, N140&gt;0,LOG10(N140))</f>
        <v>7.1243260630757259</v>
      </c>
      <c r="R140" s="126" cm="1">
        <f t="array" ref="R140">_xlfn.IFS(N140="DELETE", "DELETE", N140=0, 0, N140&gt;0, P140/N140/LN(10))</f>
        <v>0.43429448190325176</v>
      </c>
      <c r="S140" s="155" t="str">
        <f>qPCR_Raw!O140</f>
        <v>Undetermined</v>
      </c>
      <c r="T140" s="156" cm="1">
        <f t="array" ref="T140">_xlfn.IFS(S140="Undetermined", 0, qPCR_Raw!P140&lt;=1, 0, qPCR_Raw!P140&gt;1, qPCR_Raw!P140)</f>
        <v>0</v>
      </c>
      <c r="U140" s="157" t="str">
        <f>qPCR_Raw!R140</f>
        <v>Undetermined</v>
      </c>
      <c r="V140" s="156" cm="1">
        <f t="array" ref="V140">_xlfn.IFS(U140="Undetermined", 0, qPCR_Raw!S140&lt;=1, 0, qPCR_Raw!S140&gt;1, qPCR_Raw!S140)</f>
        <v>0</v>
      </c>
      <c r="W140" s="158" t="str" cm="1">
        <f t="array" ref="W140">_xlfn.IFS(AND(S140="Undetermined", U140="Undetermined"), "Undetermined", AND(T140=0, V140=0), "Undetermined", AND(T140=0, V140&gt;0), "Ten-Fold", AND(T140&gt;0, V140=0), "Undiluted", AND(S140&lt;&gt;"Undetermined", U140&lt;&gt;"Undetermined", T140&gt;0, V140&gt;0, S140&lt;&gt;U140), 100*(-1+10^(-1/(S140-U140))), AND(S140&lt;&gt;"Undetermined", U140&lt;&gt;"Undetermined", S140=U140&gt;0), -100)</f>
        <v>Undetermined</v>
      </c>
      <c r="X140" s="159" cm="1">
        <f t="array" ref="X140">_xlfn.IFS(W140="Undetermined", 0, W140="Undiluted", T140*$G140/$F140*1000, W140="Ten-Fold", V140*$G140/$F140*1000*10, W140&lt;0, V140*$G140/$F140*1000*10, W140&lt;120, T140*$G140/$F140*1000, W140&gt;120, V140*$G140/$F140*1000*10)</f>
        <v>0</v>
      </c>
      <c r="Y140" s="156">
        <f t="shared" si="42"/>
        <v>8008.6822509765625</v>
      </c>
      <c r="Z140" s="156">
        <f t="shared" si="43"/>
        <v>11325.987056067743</v>
      </c>
      <c r="AA140" s="156">
        <f t="shared" si="44"/>
        <v>8008.6822509765625</v>
      </c>
      <c r="AB140" s="160" cm="1">
        <f t="array" ref="AB140">_xlfn.IFS(Y140="DELETE", "DELETE", Y140=0, 0, Y140&gt;0,LOG10(Y140))</f>
        <v>3.903561063124283</v>
      </c>
      <c r="AC140" s="161" cm="1">
        <f t="array" ref="AC140">_xlfn.IFS(Y140="DELETE", "DELETE", Y140=0, 0, Y140&gt;0, AA140/Y140/LN(10))</f>
        <v>0.43429448190325176</v>
      </c>
      <c r="AD140" s="120" t="str">
        <f>qPCR_Raw!U140</f>
        <v>Undetermined</v>
      </c>
      <c r="AE140" s="121" cm="1">
        <f t="array" ref="AE140">_xlfn.IFS(AD140="Undetermined", 0, qPCR_Raw!V140&lt;=1, 0, qPCR_Raw!V140&gt;1, qPCR_Raw!V140)</f>
        <v>0</v>
      </c>
      <c r="AF140" s="122" t="str">
        <f>qPCR_Raw!X140</f>
        <v>Undetermined</v>
      </c>
      <c r="AG140" s="121" cm="1">
        <f t="array" ref="AG140">_xlfn.IFS(AF140="Undetermined", 0, qPCR_Raw!Y140&lt;=1, 0, qPCR_Raw!Y140&gt;1, qPCR_Raw!Y140)</f>
        <v>0</v>
      </c>
      <c r="AH140" s="123" t="str" cm="1">
        <f t="array" ref="AH140">_xlfn.IFS(AND(AD140="Undetermined", AF140="Undetermined"), "Undetermined", AND(AE140=0, AG140=0), "Undetermined", AND(AE140=0, AG140&gt;0), "Ten-Fold", AND(AE140&gt;0, AG140=0), "Undiluted", AND(AD140&lt;&gt;"Undetermined", AF140&lt;&gt;"Undetermined", AE140&gt;0, AG140&gt;0, AD140&lt;&gt;AF140), 100*(-1+10^(-1/(AD140-AF140))), AND(AD140&lt;&gt;"Undetermined", AF140&lt;&gt;"Undetermined", AD140=AF140&gt;0), -100)</f>
        <v>Undetermined</v>
      </c>
      <c r="AI140" s="124" cm="1">
        <f t="array" ref="AI140">_xlfn.IFS(AH140="Undetermined", 0, AH140="Undiluted", AE140*$G140/$F140*1000, AH140="Ten-Fold", AG140*$G140/$F140*1000*10, AH140&lt;0, AG140*$G140/$F140*1000*10, AH140&lt;120, AE140*$G140/$F140*1000, AH140&gt;120, AG140*$G140/$F140*1000*10)</f>
        <v>0</v>
      </c>
      <c r="AJ140" s="121">
        <f t="shared" si="45"/>
        <v>440.29507637023926</v>
      </c>
      <c r="AK140" s="121">
        <f t="shared" si="46"/>
        <v>622.67126844889003</v>
      </c>
      <c r="AL140" s="121">
        <f t="shared" si="47"/>
        <v>440.29507637023926</v>
      </c>
      <c r="AM140" s="125" cm="1">
        <f t="array" ref="AM140">_xlfn.IFS(AJ140="DELETE", "DELETE", AJ140=0, 0, AJ140&gt;0,LOG10(AJ140))</f>
        <v>2.6437438289589763</v>
      </c>
      <c r="AN140" s="126" cm="1">
        <f t="array" ref="AN140">_xlfn.IFS(AJ140="DELETE", "DELETE", AJ140=0, 0, AJ140&gt;0, AL140/AJ140/LN(10))</f>
        <v>0.43429448190325176</v>
      </c>
      <c r="AO140" s="155" t="str">
        <f>qPCR_Raw!AA140</f>
        <v>Undetermined</v>
      </c>
      <c r="AP140" s="156" cm="1">
        <f t="array" ref="AP140">_xlfn.IFS(AO140="Undetermined", 0, qPCR_Raw!AB140&lt;=6, 0, qPCR_Raw!AB140&gt;6, qPCR_Raw!AB140)</f>
        <v>0</v>
      </c>
      <c r="AQ140" s="157" t="str">
        <f>qPCR_Raw!AD140</f>
        <v>Undetermined</v>
      </c>
      <c r="AR140" s="156" cm="1">
        <f t="array" ref="AR140">_xlfn.IFS(AQ140="Undetermined", 0, qPCR_Raw!AE140&lt;=6, 0, qPCR_Raw!AE140&gt;6, qPCR_Raw!AE140)</f>
        <v>0</v>
      </c>
      <c r="AS140" s="158" t="str" cm="1">
        <f t="array" ref="AS140">_xlfn.IFS(AND(AO140="Undetermined", AQ140="Undetermined"), "Undetermined", AND(AP140=0, AR140=0), "Undetermined", AND(AP140=0, AR140&gt;0), "Ten-Fold", AND(AP140&gt;0, AR140=0), "Undiluted", AND(AO140&lt;&gt;"Undetermined", AQ140&lt;&gt;"Undetermined", AP140&gt;0, AR140&gt;0, AO140&lt;&gt;AQ140), 100*(-1+10^(-1/(AO140-AQ140))), AND(AO140&lt;&gt;"Undetermined", AQ140&lt;&gt;"Undetermined", AO140=AQ140&gt;0), -100)</f>
        <v>Undetermined</v>
      </c>
      <c r="AT140" s="159" cm="1">
        <f t="array" ref="AT140">_xlfn.IFS(AS140="Undetermined", 0, AS140="Undiluted", AP140*$G140/$F140*1000, AS140="Ten-Fold", AR140*$G140/$F140*1000*10, AS140&lt;0, AR140*$G140/$F140*1000*10, AS140&lt;120, AP140*$G140/$F140*1000, AS140&gt;120, AR140*$G140/$F140*1000*10)</f>
        <v>0</v>
      </c>
      <c r="AU140" s="156">
        <f t="shared" si="48"/>
        <v>19066.925048828125</v>
      </c>
      <c r="AV140" s="156">
        <f t="shared" si="49"/>
        <v>26964.703996804023</v>
      </c>
      <c r="AW140" s="156">
        <f t="shared" si="50"/>
        <v>19066.925048828125</v>
      </c>
      <c r="AX140" s="160" cm="1">
        <f t="array" ref="AX140">_xlfn.IFS(AU140="DELETE", "DELETE", AU140=0, 0, AU140&gt;0,LOG10(AU140))</f>
        <v>4.2802806593803524</v>
      </c>
      <c r="AY140" s="161" cm="1">
        <f t="array" ref="AY140">_xlfn.IFS(AU140="DELETE", "DELETE", AU140=0, 0, AU140&gt;0, AW140/AU140/LN(10))</f>
        <v>0.43429448190325176</v>
      </c>
      <c r="AZ140" s="120" t="str">
        <f>qPCR_Raw!AG140</f>
        <v>Undetermined</v>
      </c>
      <c r="BA140" s="121" cm="1">
        <f t="array" ref="BA140">_xlfn.IFS(AZ140="Undetermined", 0, qPCR_Raw!AH140&lt;=1, 0, qPCR_Raw!AH140&gt;1, qPCR_Raw!AH140)</f>
        <v>0</v>
      </c>
      <c r="BB140" s="122" t="str">
        <f>qPCR_Raw!AJ140</f>
        <v>Undetermined</v>
      </c>
      <c r="BC140" s="121" cm="1">
        <f t="array" ref="BC140">_xlfn.IFS(BB140="Undetermined", 0, qPCR_Raw!AK140&lt;=1, 0, qPCR_Raw!AK140&gt;1, qPCR_Raw!AK140)</f>
        <v>0</v>
      </c>
      <c r="BD140" s="123" t="str" cm="1">
        <f t="array" ref="BD140">_xlfn.IFS(AND(AZ140="Undetermined", BB140="Undetermined"), "Undetermined", AND(BA140=0, BC140=0), "Undetermined", AND(BA140=0, BC140&gt;0), "Ten-Fold", AND(BA140&gt;0, BC140=0), "Undiluted", AND(AZ140&lt;&gt;"Undetermined", BB140&lt;&gt;"Undetermined", BA140&gt;0, BC140&gt;0, AZ140&lt;&gt;BB140), 100*(-1+10^(-1/(AZ140-BB140))), AND(AZ140&lt;&gt;"Undetermined", BB140&lt;&gt;"Undetermined", AZ140=BB140&gt;0), -100)</f>
        <v>Undetermined</v>
      </c>
      <c r="BE140" s="124" cm="1">
        <f t="array" ref="BE140">_xlfn.IFS(BD140="Undetermined", 0, BD140="Undiluted", BA140*$G140/$F140*1000, BD140="Ten-Fold", BC140*$G140/$F140*1000*10, BD140&lt;0, BC140*$G140/$F140*1000*10, BD140&lt;120, BA140*$G140/$F140*1000, BD140&gt;120, BC140*$G140/$F140*1000*10)</f>
        <v>0</v>
      </c>
      <c r="BF140" s="121">
        <f t="shared" si="51"/>
        <v>0</v>
      </c>
      <c r="BG140" s="121">
        <f t="shared" si="52"/>
        <v>0</v>
      </c>
      <c r="BH140" s="121">
        <f t="shared" si="53"/>
        <v>0</v>
      </c>
      <c r="BI140" s="125" cm="1">
        <f t="array" ref="BI140">_xlfn.IFS(BF140="DELETE", "DELETE", BF140=0, 0, BF140&gt;0,LOG10(BF140))</f>
        <v>0</v>
      </c>
      <c r="BJ140" s="126" cm="1">
        <f t="array" ref="BJ140">_xlfn.IFS(BF140="DELETE", "DELETE", BF140=0, 0, BF140&gt;0, BH140/BF140/LN(10))</f>
        <v>0</v>
      </c>
    </row>
    <row r="141" spans="1:62" s="114" customFormat="1" x14ac:dyDescent="0.3">
      <c r="A141" s="115" t="str">
        <f>UPPER(LEFT(SUBSTITUTE(SUBSTITUTE(qPCR_Raw!A141,"-","")," ",""),2))&amp;RIGHT(SUBSTITUTE(SUBSTITUTE(qPCR_Raw!A141,"-","")," ",""),LEN(SUBSTITUTE(SUBSTITUTE(qPCR_Raw!A141,"-","")," ",""))-2)</f>
        <v>EP7</v>
      </c>
      <c r="B141" s="116" t="str" cm="1">
        <f t="array" ref="B141">_xlfn.IFS(LEFT(A141, LEN(A141)-1)="EP", "EP", LEFT(A141, LEN(A141)-1)="STa", "SPI", LEFT(A141, LEN(A141)-1)="STb", "SPO", LEFT(A141, LEN(A141)-1)="MRT", "MRT", LEFT(A141, LEN(A141)-1)="RG", "RN", LEFT(A141, LEN(A141)-1)="RT", "RU", LEFT(A141, LEN(A141)-1)="RW", "RL", LEFT(A141, LEN(A141)-1)="RC", "RS")</f>
        <v>EP</v>
      </c>
      <c r="C141" s="117">
        <f>qPCR_Raw!B141</f>
        <v>44398</v>
      </c>
      <c r="D141" s="117" t="str">
        <f t="shared" si="37"/>
        <v>EP44398</v>
      </c>
      <c r="E141" s="117" t="str">
        <f t="shared" si="38"/>
        <v>EP443987</v>
      </c>
      <c r="F141" s="118">
        <f>qPCR_Raw!C141</f>
        <v>1000</v>
      </c>
      <c r="G141" s="119">
        <f>qPCR_Raw!F141</f>
        <v>100</v>
      </c>
      <c r="H141" s="120">
        <f>qPCR_Raw!G141</f>
        <v>18.544818878173828</v>
      </c>
      <c r="I141" s="121" cm="1">
        <f t="array" ref="I141">_xlfn.IFS(H141="Undetermined", 0, qPCR_Raw!H141-qPCR_Raw!$H$242&lt;0, 0, qPCR_Raw!H141-qPCR_Raw!$H$242&gt;0, qPCR_Raw!H141-qPCR_Raw!$H$242)</f>
        <v>266290.73644612631</v>
      </c>
      <c r="J141" s="122">
        <f>qPCR_Raw!K141</f>
        <v>21.758745193481445</v>
      </c>
      <c r="K141" s="121" cm="1">
        <f t="array" ref="K141">_xlfn.IFS(J141="Undetermined", 0, qPCR_Raw!L141-qPCR_Raw!$H$242&lt;0, 0, qPCR_Raw!L141-qPCR_Raw!$H$242&gt;0, qPCR_Raw!L141-qPCR_Raw!$H$242)</f>
        <v>19586.527461751302</v>
      </c>
      <c r="L141" s="123" cm="1">
        <f t="array" ref="L141">_xlfn.IFS(AND(H141="Undetermined", J141="Undetermined"), "Undetermined", AND(I141=0, K141=0), "Undetermined", AND(I141=0, K141&gt;0), "Ten-Fold", AND(I141&gt;0, K141=0), "Undiluted", AND(H141&lt;&gt;"Undetermined", J141&lt;&gt;"Undetermined", I141&gt;0, K141&gt;0), 100*(-1+10^(-1/(H141-J141))))</f>
        <v>104.71322554916446</v>
      </c>
      <c r="M141" s="124" cm="1">
        <f t="array" ref="M141">_xlfn.IFS(L141="Undetermined", 0, L141="Undiluted", I141*$G141/$F141*1000, L141="Ten-Fold", K141*$G141/$F141*1000*10, L141&lt;0, K141*$G141/$F141*1000*10, L141&lt;120, I141*$G141/$F141*1000, L141&gt;120, K141*$G141/$F141*1000*10)</f>
        <v>26629073.644612629</v>
      </c>
      <c r="N141" s="121" t="str">
        <f t="shared" si="39"/>
        <v>DELETE</v>
      </c>
      <c r="O141" s="121" t="str">
        <f t="shared" si="40"/>
        <v>DELETE</v>
      </c>
      <c r="P141" s="121" t="str">
        <f t="shared" si="41"/>
        <v>DELETE</v>
      </c>
      <c r="Q141" s="125" t="str" cm="1">
        <f t="array" ref="Q141">_xlfn.IFS(N141="DELETE", "DELETE", N141=0, 0, N141&gt;0,LOG10(N141))</f>
        <v>DELETE</v>
      </c>
      <c r="R141" s="126" t="str" cm="1">
        <f t="array" ref="R141">_xlfn.IFS(N141="DELETE", "DELETE", N141=0, 0, N141&gt;0, P141/N141/LN(10))</f>
        <v>DELETE</v>
      </c>
      <c r="S141" s="155">
        <f>qPCR_Raw!O141</f>
        <v>30.47541618347168</v>
      </c>
      <c r="T141" s="156" cm="1">
        <f t="array" ref="T141">_xlfn.IFS(S141="Undetermined", 0, qPCR_Raw!P141&lt;=1, 0, qPCR_Raw!P141&gt;1, qPCR_Raw!P141)</f>
        <v>160.17364501953125</v>
      </c>
      <c r="U141" s="157">
        <f>qPCR_Raw!R141</f>
        <v>33.821155548095703</v>
      </c>
      <c r="V141" s="156" cm="1">
        <f t="array" ref="V141">_xlfn.IFS(U141="Undetermined", 0, qPCR_Raw!S141&lt;=1, 0, qPCR_Raw!S141&gt;1, qPCR_Raw!S141)</f>
        <v>21.430379867553711</v>
      </c>
      <c r="W141" s="158" cm="1">
        <f t="array" ref="W141">_xlfn.IFS(AND(S141="Undetermined", U141="Undetermined"), "Undetermined", AND(T141=0, V141=0), "Undetermined", AND(T141=0, V141&gt;0), "Ten-Fold", AND(T141&gt;0, V141=0), "Undiluted", AND(S141&lt;&gt;"Undetermined", U141&lt;&gt;"Undetermined", T141&gt;0, V141&gt;0, S141&lt;&gt;U141), 100*(-1+10^(-1/(S141-U141))), AND(S141&lt;&gt;"Undetermined", U141&lt;&gt;"Undetermined", S141=U141&gt;0), -100)</f>
        <v>99.015818614689437</v>
      </c>
      <c r="X141" s="159" cm="1">
        <f t="array" ref="X141">_xlfn.IFS(W141="Undetermined", 0, W141="Undiluted", T141*$G141/$F141*1000, W141="Ten-Fold", V141*$G141/$F141*1000*10, W141&lt;0, V141*$G141/$F141*1000*10, W141&lt;120, T141*$G141/$F141*1000, W141&gt;120, V141*$G141/$F141*1000*10)</f>
        <v>16017.364501953125</v>
      </c>
      <c r="Y141" s="156" t="str">
        <f t="shared" si="42"/>
        <v>DELETE</v>
      </c>
      <c r="Z141" s="156" t="str">
        <f t="shared" si="43"/>
        <v>DELETE</v>
      </c>
      <c r="AA141" s="156" t="str">
        <f t="shared" si="44"/>
        <v>DELETE</v>
      </c>
      <c r="AB141" s="160" t="str" cm="1">
        <f t="array" ref="AB141">_xlfn.IFS(Y141="DELETE", "DELETE", Y141=0, 0, Y141&gt;0,LOG10(Y141))</f>
        <v>DELETE</v>
      </c>
      <c r="AC141" s="161" t="str" cm="1">
        <f t="array" ref="AC141">_xlfn.IFS(Y141="DELETE", "DELETE", Y141=0, 0, Y141&gt;0, AA141/Y141/LN(10))</f>
        <v>DELETE</v>
      </c>
      <c r="AD141" s="120">
        <f>qPCR_Raw!U141</f>
        <v>32.208564758300781</v>
      </c>
      <c r="AE141" s="121" cm="1">
        <f t="array" ref="AE141">_xlfn.IFS(AD141="Undetermined", 0, qPCR_Raw!V141&lt;=1, 0, qPCR_Raw!V141&gt;1, qPCR_Raw!V141)</f>
        <v>8.8059015274047852</v>
      </c>
      <c r="AF141" s="122">
        <f>qPCR_Raw!X141</f>
        <v>35.358047485351563</v>
      </c>
      <c r="AG141" s="121" cm="1">
        <f t="array" ref="AG141">_xlfn.IFS(AF141="Undetermined", 0, qPCR_Raw!Y141&lt;=1, 0, qPCR_Raw!Y141&gt;1, qPCR_Raw!Y141)</f>
        <v>1.1610032320022583</v>
      </c>
      <c r="AH141" s="123" cm="1">
        <f t="array" ref="AH141">_xlfn.IFS(AND(AD141="Undetermined", AF141="Undetermined"), "Undetermined", AND(AE141=0, AG141=0), "Undetermined", AND(AE141=0, AG141&gt;0), "Ten-Fold", AND(AE141&gt;0, AG141=0), "Undiluted", AND(AD141&lt;&gt;"Undetermined", AF141&lt;&gt;"Undetermined", AE141&gt;0, AG141&gt;0, AD141&lt;&gt;AF141), 100*(-1+10^(-1/(AD141-AF141))), AND(AD141&lt;&gt;"Undetermined", AF141&lt;&gt;"Undetermined", AD141=AF141&gt;0), -100)</f>
        <v>107.7363311960617</v>
      </c>
      <c r="AI141" s="124" cm="1">
        <f t="array" ref="AI141">_xlfn.IFS(AH141="Undetermined", 0, AH141="Undiluted", AE141*$G141/$F141*1000, AH141="Ten-Fold", AG141*$G141/$F141*1000*10, AH141&lt;0, AG141*$G141/$F141*1000*10, AH141&lt;120, AE141*$G141/$F141*1000, AH141&gt;120, AG141*$G141/$F141*1000*10)</f>
        <v>880.59015274047852</v>
      </c>
      <c r="AJ141" s="121" t="str">
        <f t="shared" si="45"/>
        <v>DELETE</v>
      </c>
      <c r="AK141" s="121" t="str">
        <f t="shared" si="46"/>
        <v>DELETE</v>
      </c>
      <c r="AL141" s="121" t="str">
        <f t="shared" si="47"/>
        <v>DELETE</v>
      </c>
      <c r="AM141" s="125" t="str" cm="1">
        <f t="array" ref="AM141">_xlfn.IFS(AJ141="DELETE", "DELETE", AJ141=0, 0, AJ141&gt;0,LOG10(AJ141))</f>
        <v>DELETE</v>
      </c>
      <c r="AN141" s="126" t="str" cm="1">
        <f t="array" ref="AN141">_xlfn.IFS(AJ141="DELETE", "DELETE", AJ141=0, 0, AJ141&gt;0, AL141/AJ141/LN(10))</f>
        <v>DELETE</v>
      </c>
      <c r="AO141" s="155">
        <f>qPCR_Raw!AA141</f>
        <v>23.581392288208008</v>
      </c>
      <c r="AP141" s="156" cm="1">
        <f t="array" ref="AP141">_xlfn.IFS(AO141="Undetermined", 0, qPCR_Raw!AB141&lt;=6, 0, qPCR_Raw!AB141&gt;6, qPCR_Raw!AB141)</f>
        <v>381.3385009765625</v>
      </c>
      <c r="AQ141" s="157">
        <f>qPCR_Raw!AD141</f>
        <v>32.32452392578125</v>
      </c>
      <c r="AR141" s="156" cm="1">
        <f t="array" ref="AR141">_xlfn.IFS(AQ141="Undetermined", 0, qPCR_Raw!AE141&lt;=6, 0, qPCR_Raw!AE141&gt;6, qPCR_Raw!AE141)</f>
        <v>0</v>
      </c>
      <c r="AS141" s="158" t="str" cm="1">
        <f t="array" ref="AS141">_xlfn.IFS(AND(AO141="Undetermined", AQ141="Undetermined"), "Undetermined", AND(AP141=0, AR141=0), "Undetermined", AND(AP141=0, AR141&gt;0), "Ten-Fold", AND(AP141&gt;0, AR141=0), "Undiluted", AND(AO141&lt;&gt;"Undetermined", AQ141&lt;&gt;"Undetermined", AP141&gt;0, AR141&gt;0, AO141&lt;&gt;AQ141), 100*(-1+10^(-1/(AO141-AQ141))), AND(AO141&lt;&gt;"Undetermined", AQ141&lt;&gt;"Undetermined", AO141=AQ141&gt;0), -100)</f>
        <v>Undiluted</v>
      </c>
      <c r="AT141" s="159" cm="1">
        <f t="array" ref="AT141">_xlfn.IFS(AS141="Undetermined", 0, AS141="Undiluted", AP141*$G141/$F141*1000, AS141="Ten-Fold", AR141*$G141/$F141*1000*10, AS141&lt;0, AR141*$G141/$F141*1000*10, AS141&lt;120, AP141*$G141/$F141*1000, AS141&gt;120, AR141*$G141/$F141*1000*10)</f>
        <v>38133.85009765625</v>
      </c>
      <c r="AU141" s="156" t="str">
        <f t="shared" si="48"/>
        <v>DELETE</v>
      </c>
      <c r="AV141" s="156" t="str">
        <f t="shared" si="49"/>
        <v>DELETE</v>
      </c>
      <c r="AW141" s="156" t="str">
        <f t="shared" si="50"/>
        <v>DELETE</v>
      </c>
      <c r="AX141" s="160" t="str" cm="1">
        <f t="array" ref="AX141">_xlfn.IFS(AU141="DELETE", "DELETE", AU141=0, 0, AU141&gt;0,LOG10(AU141))</f>
        <v>DELETE</v>
      </c>
      <c r="AY141" s="161" t="str" cm="1">
        <f t="array" ref="AY141">_xlfn.IFS(AU141="DELETE", "DELETE", AU141=0, 0, AU141&gt;0, AW141/AU141/LN(10))</f>
        <v>DELETE</v>
      </c>
      <c r="AZ141" s="120">
        <f>qPCR_Raw!AG141</f>
        <v>36.949672698974609</v>
      </c>
      <c r="BA141" s="121" cm="1">
        <f t="array" ref="BA141">_xlfn.IFS(AZ141="Undetermined", 0, qPCR_Raw!AH141&lt;=1, 0, qPCR_Raw!AH141&gt;1, qPCR_Raw!AH141)</f>
        <v>0</v>
      </c>
      <c r="BB141" s="122" t="str">
        <f>qPCR_Raw!AJ141</f>
        <v>Undetermined</v>
      </c>
      <c r="BC141" s="121" cm="1">
        <f t="array" ref="BC141">_xlfn.IFS(BB141="Undetermined", 0, qPCR_Raw!AK141&lt;=1, 0, qPCR_Raw!AK141&gt;1, qPCR_Raw!AK141)</f>
        <v>0</v>
      </c>
      <c r="BD141" s="123" t="str" cm="1">
        <f t="array" ref="BD141">_xlfn.IFS(AND(AZ141="Undetermined", BB141="Undetermined"), "Undetermined", AND(BA141=0, BC141=0), "Undetermined", AND(BA141=0, BC141&gt;0), "Ten-Fold", AND(BA141&gt;0, BC141=0), "Undiluted", AND(AZ141&lt;&gt;"Undetermined", BB141&lt;&gt;"Undetermined", BA141&gt;0, BC141&gt;0, AZ141&lt;&gt;BB141), 100*(-1+10^(-1/(AZ141-BB141))), AND(AZ141&lt;&gt;"Undetermined", BB141&lt;&gt;"Undetermined", AZ141=BB141&gt;0), -100)</f>
        <v>Undetermined</v>
      </c>
      <c r="BE141" s="124" cm="1">
        <f t="array" ref="BE141">_xlfn.IFS(BD141="Undetermined", 0, BD141="Undiluted", BA141*$G141/$F141*1000, BD141="Ten-Fold", BC141*$G141/$F141*1000*10, BD141&lt;0, BC141*$G141/$F141*1000*10, BD141&lt;120, BA141*$G141/$F141*1000, BD141&gt;120, BC141*$G141/$F141*1000*10)</f>
        <v>0</v>
      </c>
      <c r="BF141" s="121" t="str">
        <f t="shared" si="51"/>
        <v>DELETE</v>
      </c>
      <c r="BG141" s="121" t="str">
        <f t="shared" si="52"/>
        <v>DELETE</v>
      </c>
      <c r="BH141" s="121" t="str">
        <f t="shared" si="53"/>
        <v>DELETE</v>
      </c>
      <c r="BI141" s="125" t="str" cm="1">
        <f t="array" ref="BI141">_xlfn.IFS(BF141="DELETE", "DELETE", BF141=0, 0, BF141&gt;0,LOG10(BF141))</f>
        <v>DELETE</v>
      </c>
      <c r="BJ141" s="126" t="str" cm="1">
        <f t="array" ref="BJ141">_xlfn.IFS(BF141="DELETE", "DELETE", BF141=0, 0, BF141&gt;0, BH141/BF141/LN(10))</f>
        <v>DELETE</v>
      </c>
    </row>
    <row r="142" spans="1:62" s="114" customFormat="1" x14ac:dyDescent="0.3">
      <c r="A142" s="115" t="str">
        <f>UPPER(LEFT(SUBSTITUTE(SUBSTITUTE(qPCR_Raw!A142,"-","")," ",""),2))&amp;RIGHT(SUBSTITUTE(SUBSTITUTE(qPCR_Raw!A142,"-","")," ",""),LEN(SUBSTITUTE(SUBSTITUTE(qPCR_Raw!A142,"-","")," ",""))-2)</f>
        <v>RW6</v>
      </c>
      <c r="B142" s="116" t="str" cm="1">
        <f t="array" ref="B142">_xlfn.IFS(LEFT(A142, LEN(A142)-1)="EP", "EP", LEFT(A142, LEN(A142)-1)="STa", "SPI", LEFT(A142, LEN(A142)-1)="STb", "SPO", LEFT(A142, LEN(A142)-1)="MRT", "MRT", LEFT(A142, LEN(A142)-1)="RG", "RN", LEFT(A142, LEN(A142)-1)="RT", "RU", LEFT(A142, LEN(A142)-1)="RW", "RL", LEFT(A142, LEN(A142)-1)="RC", "RS")</f>
        <v>RL</v>
      </c>
      <c r="C142" s="117">
        <f>qPCR_Raw!B142</f>
        <v>44398</v>
      </c>
      <c r="D142" s="117" t="str">
        <f t="shared" si="37"/>
        <v>RL44398</v>
      </c>
      <c r="E142" s="117" t="str">
        <f t="shared" si="38"/>
        <v>RL443986</v>
      </c>
      <c r="F142" s="118">
        <f>qPCR_Raw!C142</f>
        <v>1000</v>
      </c>
      <c r="G142" s="119">
        <f>qPCR_Raw!F142</f>
        <v>100</v>
      </c>
      <c r="H142" s="120">
        <f>qPCR_Raw!G142</f>
        <v>15.994224548339844</v>
      </c>
      <c r="I142" s="121" cm="1">
        <f t="array" ref="I142">_xlfn.IFS(H142="Undetermined", 0, qPCR_Raw!H142-qPCR_Raw!$H$242&lt;0, 0, qPCR_Raw!H142-qPCR_Raw!$H$242&gt;0, qPCR_Raw!H142-qPCR_Raw!$H$242)</f>
        <v>1523903.6114461264</v>
      </c>
      <c r="J142" s="122">
        <f>qPCR_Raw!K142</f>
        <v>19.004423141479492</v>
      </c>
      <c r="K142" s="121" cm="1">
        <f t="array" ref="K142">_xlfn.IFS(J142="Undetermined", 0, qPCR_Raw!L142-qPCR_Raw!$H$242&lt;0, 0, qPCR_Raw!L142-qPCR_Raw!$H$242&gt;0, qPCR_Raw!L142-qPCR_Raw!$H$242)</f>
        <v>192405.29894612631</v>
      </c>
      <c r="L142" s="123" cm="1">
        <f t="array" ref="L142">_xlfn.IFS(AND(H142="Undetermined", J142="Undetermined"), "Undetermined", AND(I142=0, K142=0), "Undetermined", AND(I142=0, K142&gt;0), "Ten-Fold", AND(I142&gt;0, K142=0), "Undiluted", AND(H142&lt;&gt;"Undetermined", J142&lt;&gt;"Undetermined", I142&gt;0, K142&gt;0), 100*(-1+10^(-1/(H142-J142))))</f>
        <v>114.88395837726917</v>
      </c>
      <c r="M142" s="124" cm="1">
        <f t="array" ref="M142">_xlfn.IFS(L142="Undetermined", 0, L142="Undiluted", I142*$G142/$F142*1000, L142="Ten-Fold", K142*$G142/$F142*1000*10, L142&lt;0, K142*$G142/$F142*1000*10, L142&lt;120, I142*$G142/$F142*1000, L142&gt;120, K142*$G142/$F142*1000*10)</f>
        <v>152390361.14461264</v>
      </c>
      <c r="N142" s="121">
        <f t="shared" si="39"/>
        <v>76195180.57230632</v>
      </c>
      <c r="O142" s="121">
        <f t="shared" si="40"/>
        <v>107756257.75282256</v>
      </c>
      <c r="P142" s="121">
        <f t="shared" si="41"/>
        <v>76195180.57230632</v>
      </c>
      <c r="Q142" s="125" cm="1">
        <f t="array" ref="Q142">_xlfn.IFS(N142="DELETE", "DELETE", N142=0, 0, N142&gt;0,LOG10(N142))</f>
        <v>7.8819275026119655</v>
      </c>
      <c r="R142" s="126" cm="1">
        <f t="array" ref="R142">_xlfn.IFS(N142="DELETE", "DELETE", N142=0, 0, N142&gt;0, P142/N142/LN(10))</f>
        <v>0.43429448190325176</v>
      </c>
      <c r="S142" s="155">
        <f>qPCR_Raw!O142</f>
        <v>36.222499847412109</v>
      </c>
      <c r="T142" s="156" cm="1">
        <f t="array" ref="T142">_xlfn.IFS(S142="Undetermined", 0, qPCR_Raw!P142&lt;=1, 0, qPCR_Raw!P142&gt;1, qPCR_Raw!P142)</f>
        <v>5.0587944984436035</v>
      </c>
      <c r="U142" s="157">
        <f>qPCR_Raw!R142</f>
        <v>39.023090362548828</v>
      </c>
      <c r="V142" s="156" cm="1">
        <f t="array" ref="V142">_xlfn.IFS(U142="Undetermined", 0, qPCR_Raw!S142&lt;=1, 0, qPCR_Raw!S142&gt;1, qPCR_Raw!S142)</f>
        <v>0</v>
      </c>
      <c r="W142" s="158" t="str" cm="1">
        <f t="array" ref="W142">_xlfn.IFS(AND(S142="Undetermined", U142="Undetermined"), "Undetermined", AND(T142=0, V142=0), "Undetermined", AND(T142=0, V142&gt;0), "Ten-Fold", AND(T142&gt;0, V142=0), "Undiluted", AND(S142&lt;&gt;"Undetermined", U142&lt;&gt;"Undetermined", T142&gt;0, V142&gt;0, S142&lt;&gt;U142), 100*(-1+10^(-1/(S142-U142))), AND(S142&lt;&gt;"Undetermined", U142&lt;&gt;"Undetermined", S142=U142&gt;0), -100)</f>
        <v>Undiluted</v>
      </c>
      <c r="X142" s="159" cm="1">
        <f t="array" ref="X142">_xlfn.IFS(W142="Undetermined", 0, W142="Undiluted", T142*$G142/$F142*1000, W142="Ten-Fold", V142*$G142/$F142*1000*10, W142&lt;0, V142*$G142/$F142*1000*10, W142&lt;120, T142*$G142/$F142*1000, W142&gt;120, V142*$G142/$F142*1000*10)</f>
        <v>505.87944984436041</v>
      </c>
      <c r="Y142" s="156">
        <f t="shared" si="42"/>
        <v>252.9397249221802</v>
      </c>
      <c r="Z142" s="156">
        <f t="shared" si="43"/>
        <v>357.71078944786717</v>
      </c>
      <c r="AA142" s="156">
        <f t="shared" si="44"/>
        <v>252.93972492218018</v>
      </c>
      <c r="AB142" s="160" cm="1">
        <f t="array" ref="AB142">_xlfn.IFS(Y142="DELETE", "DELETE", Y142=0, 0, Y142&gt;0,LOG10(Y142))</f>
        <v>2.4030170419172112</v>
      </c>
      <c r="AC142" s="161" cm="1">
        <f t="array" ref="AC142">_xlfn.IFS(Y142="DELETE", "DELETE", Y142=0, 0, Y142&gt;0, AA142/Y142/LN(10))</f>
        <v>0.43429448190325176</v>
      </c>
      <c r="AD142" s="120">
        <f>qPCR_Raw!U142</f>
        <v>36.825107574462891</v>
      </c>
      <c r="AE142" s="121" cm="1">
        <f t="array" ref="AE142">_xlfn.IFS(AD142="Undetermined", 0, qPCR_Raw!V142&lt;=1, 0, qPCR_Raw!V142&gt;1, qPCR_Raw!V142)</f>
        <v>0</v>
      </c>
      <c r="AF142" s="122">
        <f>qPCR_Raw!X142</f>
        <v>37.378124237060547</v>
      </c>
      <c r="AG142" s="121" cm="1">
        <f t="array" ref="AG142">_xlfn.IFS(AF142="Undetermined", 0, qPCR_Raw!Y142&lt;=1, 0, qPCR_Raw!Y142&gt;1, qPCR_Raw!Y142)</f>
        <v>0</v>
      </c>
      <c r="AH142" s="123" t="str" cm="1">
        <f t="array" ref="AH142">_xlfn.IFS(AND(AD142="Undetermined", AF142="Undetermined"), "Undetermined", AND(AE142=0, AG142=0), "Undetermined", AND(AE142=0, AG142&gt;0), "Ten-Fold", AND(AE142&gt;0, AG142=0), "Undiluted", AND(AD142&lt;&gt;"Undetermined", AF142&lt;&gt;"Undetermined", AE142&gt;0, AG142&gt;0, AD142&lt;&gt;AF142), 100*(-1+10^(-1/(AD142-AF142))), AND(AD142&lt;&gt;"Undetermined", AF142&lt;&gt;"Undetermined", AD142=AF142&gt;0), -100)</f>
        <v>Undetermined</v>
      </c>
      <c r="AI142" s="124" cm="1">
        <f t="array" ref="AI142">_xlfn.IFS(AH142="Undetermined", 0, AH142="Undiluted", AE142*$G142/$F142*1000, AH142="Ten-Fold", AG142*$G142/$F142*1000*10, AH142&lt;0, AG142*$G142/$F142*1000*10, AH142&lt;120, AE142*$G142/$F142*1000, AH142&gt;120, AG142*$G142/$F142*1000*10)</f>
        <v>0</v>
      </c>
      <c r="AJ142" s="121">
        <f t="shared" si="45"/>
        <v>0</v>
      </c>
      <c r="AK142" s="121">
        <f t="shared" si="46"/>
        <v>0</v>
      </c>
      <c r="AL142" s="121">
        <f t="shared" si="47"/>
        <v>0</v>
      </c>
      <c r="AM142" s="125" cm="1">
        <f t="array" ref="AM142">_xlfn.IFS(AJ142="DELETE", "DELETE", AJ142=0, 0, AJ142&gt;0,LOG10(AJ142))</f>
        <v>0</v>
      </c>
      <c r="AN142" s="126" cm="1">
        <f t="array" ref="AN142">_xlfn.IFS(AJ142="DELETE", "DELETE", AJ142=0, 0, AJ142&gt;0, AL142/AJ142/LN(10))</f>
        <v>0</v>
      </c>
      <c r="AO142" s="155">
        <f>qPCR_Raw!AA142</f>
        <v>30.05950927734375</v>
      </c>
      <c r="AP142" s="156" cm="1">
        <f t="array" ref="AP142">_xlfn.IFS(AO142="Undetermined", 0, qPCR_Raw!AB142&lt;=6, 0, qPCR_Raw!AB142&gt;6, qPCR_Raw!AB142)</f>
        <v>0</v>
      </c>
      <c r="AQ142" s="157" t="str">
        <f>qPCR_Raw!AD142</f>
        <v>Undetermined</v>
      </c>
      <c r="AR142" s="156" cm="1">
        <f t="array" ref="AR142">_xlfn.IFS(AQ142="Undetermined", 0, qPCR_Raw!AE142&lt;=6, 0, qPCR_Raw!AE142&gt;6, qPCR_Raw!AE142)</f>
        <v>0</v>
      </c>
      <c r="AS142" s="158" t="str" cm="1">
        <f t="array" ref="AS142">_xlfn.IFS(AND(AO142="Undetermined", AQ142="Undetermined"), "Undetermined", AND(AP142=0, AR142=0), "Undetermined", AND(AP142=0, AR142&gt;0), "Ten-Fold", AND(AP142&gt;0, AR142=0), "Undiluted", AND(AO142&lt;&gt;"Undetermined", AQ142&lt;&gt;"Undetermined", AP142&gt;0, AR142&gt;0, AO142&lt;&gt;AQ142), 100*(-1+10^(-1/(AO142-AQ142))), AND(AO142&lt;&gt;"Undetermined", AQ142&lt;&gt;"Undetermined", AO142=AQ142&gt;0), -100)</f>
        <v>Undetermined</v>
      </c>
      <c r="AT142" s="159" cm="1">
        <f t="array" ref="AT142">_xlfn.IFS(AS142="Undetermined", 0, AS142="Undiluted", AP142*$G142/$F142*1000, AS142="Ten-Fold", AR142*$G142/$F142*1000*10, AS142&lt;0, AR142*$G142/$F142*1000*10, AS142&lt;120, AP142*$G142/$F142*1000, AS142&gt;120, AR142*$G142/$F142*1000*10)</f>
        <v>0</v>
      </c>
      <c r="AU142" s="156">
        <f t="shared" si="48"/>
        <v>0</v>
      </c>
      <c r="AV142" s="156">
        <f t="shared" si="49"/>
        <v>0</v>
      </c>
      <c r="AW142" s="156">
        <f t="shared" si="50"/>
        <v>0</v>
      </c>
      <c r="AX142" s="160" cm="1">
        <f t="array" ref="AX142">_xlfn.IFS(AU142="DELETE", "DELETE", AU142=0, 0, AU142&gt;0,LOG10(AU142))</f>
        <v>0</v>
      </c>
      <c r="AY142" s="161" cm="1">
        <f t="array" ref="AY142">_xlfn.IFS(AU142="DELETE", "DELETE", AU142=0, 0, AU142&gt;0, AW142/AU142/LN(10))</f>
        <v>0</v>
      </c>
      <c r="AZ142" s="120">
        <f>qPCR_Raw!AG142</f>
        <v>36.89874267578125</v>
      </c>
      <c r="BA142" s="121" cm="1">
        <f t="array" ref="BA142">_xlfn.IFS(AZ142="Undetermined", 0, qPCR_Raw!AH142&lt;=1, 0, qPCR_Raw!AH142&gt;1, qPCR_Raw!AH142)</f>
        <v>0</v>
      </c>
      <c r="BB142" s="122" t="str">
        <f>qPCR_Raw!AJ142</f>
        <v>Undetermined</v>
      </c>
      <c r="BC142" s="121" cm="1">
        <f t="array" ref="BC142">_xlfn.IFS(BB142="Undetermined", 0, qPCR_Raw!AK142&lt;=1, 0, qPCR_Raw!AK142&gt;1, qPCR_Raw!AK142)</f>
        <v>0</v>
      </c>
      <c r="BD142" s="123" t="str" cm="1">
        <f t="array" ref="BD142">_xlfn.IFS(AND(AZ142="Undetermined", BB142="Undetermined"), "Undetermined", AND(BA142=0, BC142=0), "Undetermined", AND(BA142=0, BC142&gt;0), "Ten-Fold", AND(BA142&gt;0, BC142=0), "Undiluted", AND(AZ142&lt;&gt;"Undetermined", BB142&lt;&gt;"Undetermined", BA142&gt;0, BC142&gt;0, AZ142&lt;&gt;BB142), 100*(-1+10^(-1/(AZ142-BB142))), AND(AZ142&lt;&gt;"Undetermined", BB142&lt;&gt;"Undetermined", AZ142=BB142&gt;0), -100)</f>
        <v>Undetermined</v>
      </c>
      <c r="BE142" s="124" cm="1">
        <f t="array" ref="BE142">_xlfn.IFS(BD142="Undetermined", 0, BD142="Undiluted", BA142*$G142/$F142*1000, BD142="Ten-Fold", BC142*$G142/$F142*1000*10, BD142&lt;0, BC142*$G142/$F142*1000*10, BD142&lt;120, BA142*$G142/$F142*1000, BD142&gt;120, BC142*$G142/$F142*1000*10)</f>
        <v>0</v>
      </c>
      <c r="BF142" s="121">
        <f t="shared" si="51"/>
        <v>0</v>
      </c>
      <c r="BG142" s="121">
        <f t="shared" si="52"/>
        <v>0</v>
      </c>
      <c r="BH142" s="121">
        <f t="shared" si="53"/>
        <v>0</v>
      </c>
      <c r="BI142" s="125" cm="1">
        <f t="array" ref="BI142">_xlfn.IFS(BF142="DELETE", "DELETE", BF142=0, 0, BF142&gt;0,LOG10(BF142))</f>
        <v>0</v>
      </c>
      <c r="BJ142" s="126" cm="1">
        <f t="array" ref="BJ142">_xlfn.IFS(BF142="DELETE", "DELETE", BF142=0, 0, BF142&gt;0, BH142/BF142/LN(10))</f>
        <v>0</v>
      </c>
    </row>
    <row r="143" spans="1:62" s="114" customFormat="1" x14ac:dyDescent="0.3">
      <c r="A143" s="115" t="str">
        <f>UPPER(LEFT(SUBSTITUTE(SUBSTITUTE(qPCR_Raw!A143,"-","")," ",""),2))&amp;RIGHT(SUBSTITUTE(SUBSTITUTE(qPCR_Raw!A143,"-","")," ",""),LEN(SUBSTITUTE(SUBSTITUTE(qPCR_Raw!A143,"-","")," ",""))-2)</f>
        <v>RW7</v>
      </c>
      <c r="B143" s="116" t="str" cm="1">
        <f t="array" ref="B143">_xlfn.IFS(LEFT(A143, LEN(A143)-1)="EP", "EP", LEFT(A143, LEN(A143)-1)="STa", "SPI", LEFT(A143, LEN(A143)-1)="STb", "SPO", LEFT(A143, LEN(A143)-1)="MRT", "MRT", LEFT(A143, LEN(A143)-1)="RG", "RN", LEFT(A143, LEN(A143)-1)="RT", "RU", LEFT(A143, LEN(A143)-1)="RW", "RL", LEFT(A143, LEN(A143)-1)="RC", "RS")</f>
        <v>RL</v>
      </c>
      <c r="C143" s="117">
        <f>qPCR_Raw!B143</f>
        <v>44398</v>
      </c>
      <c r="D143" s="117" t="str">
        <f t="shared" si="37"/>
        <v>RL44398</v>
      </c>
      <c r="E143" s="117" t="str">
        <f t="shared" si="38"/>
        <v>RL443987</v>
      </c>
      <c r="F143" s="118">
        <f>qPCR_Raw!C143</f>
        <v>920</v>
      </c>
      <c r="G143" s="119">
        <f>qPCR_Raw!F143</f>
        <v>100</v>
      </c>
      <c r="H143" s="120">
        <f>qPCR_Raw!G143</f>
        <v>24.318143844604492</v>
      </c>
      <c r="I143" s="121" cm="1">
        <f t="array" ref="I143">_xlfn.IFS(H143="Undetermined", 0, qPCR_Raw!H143-qPCR_Raw!$H$242&lt;0, 0, qPCR_Raw!H143-qPCR_Raw!$H$242&gt;0, qPCR_Raw!H143-qPCR_Raw!$H$242)</f>
        <v>0</v>
      </c>
      <c r="J143" s="122">
        <f>qPCR_Raw!K143</f>
        <v>27.587541580200195</v>
      </c>
      <c r="K143" s="121" cm="1">
        <f t="array" ref="K143">_xlfn.IFS(J143="Undetermined", 0, qPCR_Raw!L143-qPCR_Raw!$H$242&lt;0, 0, qPCR_Raw!L143-qPCR_Raw!$H$242&gt;0, qPCR_Raw!L143-qPCR_Raw!$H$242)</f>
        <v>0</v>
      </c>
      <c r="L143" s="123" t="str" cm="1">
        <f t="array" ref="L143">_xlfn.IFS(AND(H143="Undetermined", J143="Undetermined"), "Undetermined", AND(I143=0, K143=0), "Undetermined", AND(I143=0, K143&gt;0), "Ten-Fold", AND(I143&gt;0, K143=0), "Undiluted", AND(H143&lt;&gt;"Undetermined", J143&lt;&gt;"Undetermined", I143&gt;0, K143&gt;0), 100*(-1+10^(-1/(H143-J143))))</f>
        <v>Undetermined</v>
      </c>
      <c r="M143" s="124" cm="1">
        <f t="array" ref="M143">_xlfn.IFS(L143="Undetermined", 0, L143="Undiluted", I143*$G143/$F143*1000, L143="Ten-Fold", K143*$G143/$F143*1000*10, L143&lt;0, K143*$G143/$F143*1000*10, L143&lt;120, I143*$G143/$F143*1000, L143&gt;120, K143*$G143/$F143*1000*10)</f>
        <v>0</v>
      </c>
      <c r="N143" s="121" t="str">
        <f t="shared" si="39"/>
        <v>DELETE</v>
      </c>
      <c r="O143" s="121" t="str">
        <f t="shared" si="40"/>
        <v>DELETE</v>
      </c>
      <c r="P143" s="121" t="str">
        <f t="shared" si="41"/>
        <v>DELETE</v>
      </c>
      <c r="Q143" s="125" t="str" cm="1">
        <f t="array" ref="Q143">_xlfn.IFS(N143="DELETE", "DELETE", N143=0, 0, N143&gt;0,LOG10(N143))</f>
        <v>DELETE</v>
      </c>
      <c r="R143" s="126" t="str" cm="1">
        <f t="array" ref="R143">_xlfn.IFS(N143="DELETE", "DELETE", N143=0, 0, N143&gt;0, P143/N143/LN(10))</f>
        <v>DELETE</v>
      </c>
      <c r="S143" s="155" t="str">
        <f>qPCR_Raw!O143</f>
        <v>Undetermined</v>
      </c>
      <c r="T143" s="156" cm="1">
        <f t="array" ref="T143">_xlfn.IFS(S143="Undetermined", 0, qPCR_Raw!P143&lt;=1, 0, qPCR_Raw!P143&gt;1, qPCR_Raw!P143)</f>
        <v>0</v>
      </c>
      <c r="U143" s="157" t="str">
        <f>qPCR_Raw!R143</f>
        <v>Undetermined</v>
      </c>
      <c r="V143" s="156" cm="1">
        <f t="array" ref="V143">_xlfn.IFS(U143="Undetermined", 0, qPCR_Raw!S143&lt;=1, 0, qPCR_Raw!S143&gt;1, qPCR_Raw!S143)</f>
        <v>0</v>
      </c>
      <c r="W143" s="158" t="str" cm="1">
        <f t="array" ref="W143">_xlfn.IFS(AND(S143="Undetermined", U143="Undetermined"), "Undetermined", AND(T143=0, V143=0), "Undetermined", AND(T143=0, V143&gt;0), "Ten-Fold", AND(T143&gt;0, V143=0), "Undiluted", AND(S143&lt;&gt;"Undetermined", U143&lt;&gt;"Undetermined", T143&gt;0, V143&gt;0, S143&lt;&gt;U143), 100*(-1+10^(-1/(S143-U143))), AND(S143&lt;&gt;"Undetermined", U143&lt;&gt;"Undetermined", S143=U143&gt;0), -100)</f>
        <v>Undetermined</v>
      </c>
      <c r="X143" s="159" cm="1">
        <f t="array" ref="X143">_xlfn.IFS(W143="Undetermined", 0, W143="Undiluted", T143*$G143/$F143*1000, W143="Ten-Fold", V143*$G143/$F143*1000*10, W143&lt;0, V143*$G143/$F143*1000*10, W143&lt;120, T143*$G143/$F143*1000, W143&gt;120, V143*$G143/$F143*1000*10)</f>
        <v>0</v>
      </c>
      <c r="Y143" s="156" t="str">
        <f t="shared" si="42"/>
        <v>DELETE</v>
      </c>
      <c r="Z143" s="156" t="str">
        <f t="shared" si="43"/>
        <v>DELETE</v>
      </c>
      <c r="AA143" s="156" t="str">
        <f t="shared" si="44"/>
        <v>DELETE</v>
      </c>
      <c r="AB143" s="160" t="str" cm="1">
        <f t="array" ref="AB143">_xlfn.IFS(Y143="DELETE", "DELETE", Y143=0, 0, Y143&gt;0,LOG10(Y143))</f>
        <v>DELETE</v>
      </c>
      <c r="AC143" s="161" t="str" cm="1">
        <f t="array" ref="AC143">_xlfn.IFS(Y143="DELETE", "DELETE", Y143=0, 0, Y143&gt;0, AA143/Y143/LN(10))</f>
        <v>DELETE</v>
      </c>
      <c r="AD143" s="120" t="str">
        <f>qPCR_Raw!U143</f>
        <v>Undetermined</v>
      </c>
      <c r="AE143" s="121" cm="1">
        <f t="array" ref="AE143">_xlfn.IFS(AD143="Undetermined", 0, qPCR_Raw!V143&lt;=1, 0, qPCR_Raw!V143&gt;1, qPCR_Raw!V143)</f>
        <v>0</v>
      </c>
      <c r="AF143" s="122" t="str">
        <f>qPCR_Raw!X143</f>
        <v>Undetermined</v>
      </c>
      <c r="AG143" s="121" cm="1">
        <f t="array" ref="AG143">_xlfn.IFS(AF143="Undetermined", 0, qPCR_Raw!Y143&lt;=1, 0, qPCR_Raw!Y143&gt;1, qPCR_Raw!Y143)</f>
        <v>0</v>
      </c>
      <c r="AH143" s="123" t="str" cm="1">
        <f t="array" ref="AH143">_xlfn.IFS(AND(AD143="Undetermined", AF143="Undetermined"), "Undetermined", AND(AE143=0, AG143=0), "Undetermined", AND(AE143=0, AG143&gt;0), "Ten-Fold", AND(AE143&gt;0, AG143=0), "Undiluted", AND(AD143&lt;&gt;"Undetermined", AF143&lt;&gt;"Undetermined", AE143&gt;0, AG143&gt;0, AD143&lt;&gt;AF143), 100*(-1+10^(-1/(AD143-AF143))), AND(AD143&lt;&gt;"Undetermined", AF143&lt;&gt;"Undetermined", AD143=AF143&gt;0), -100)</f>
        <v>Undetermined</v>
      </c>
      <c r="AI143" s="124" cm="1">
        <f t="array" ref="AI143">_xlfn.IFS(AH143="Undetermined", 0, AH143="Undiluted", AE143*$G143/$F143*1000, AH143="Ten-Fold", AG143*$G143/$F143*1000*10, AH143&lt;0, AG143*$G143/$F143*1000*10, AH143&lt;120, AE143*$G143/$F143*1000, AH143&gt;120, AG143*$G143/$F143*1000*10)</f>
        <v>0</v>
      </c>
      <c r="AJ143" s="121" t="str">
        <f t="shared" si="45"/>
        <v>DELETE</v>
      </c>
      <c r="AK143" s="121" t="str">
        <f t="shared" si="46"/>
        <v>DELETE</v>
      </c>
      <c r="AL143" s="121" t="str">
        <f t="shared" si="47"/>
        <v>DELETE</v>
      </c>
      <c r="AM143" s="125" t="str" cm="1">
        <f t="array" ref="AM143">_xlfn.IFS(AJ143="DELETE", "DELETE", AJ143=0, 0, AJ143&gt;0,LOG10(AJ143))</f>
        <v>DELETE</v>
      </c>
      <c r="AN143" s="126" t="str" cm="1">
        <f t="array" ref="AN143">_xlfn.IFS(AJ143="DELETE", "DELETE", AJ143=0, 0, AJ143&gt;0, AL143/AJ143/LN(10))</f>
        <v>DELETE</v>
      </c>
      <c r="AO143" s="155">
        <f>qPCR_Raw!AA143</f>
        <v>35.97247314453125</v>
      </c>
      <c r="AP143" s="156" cm="1">
        <f t="array" ref="AP143">_xlfn.IFS(AO143="Undetermined", 0, qPCR_Raw!AB143&lt;=6, 0, qPCR_Raw!AB143&gt;6, qPCR_Raw!AB143)</f>
        <v>0</v>
      </c>
      <c r="AQ143" s="157">
        <f>qPCR_Raw!AD143</f>
        <v>34.298351287841797</v>
      </c>
      <c r="AR143" s="156" cm="1">
        <f t="array" ref="AR143">_xlfn.IFS(AQ143="Undetermined", 0, qPCR_Raw!AE143&lt;=6, 0, qPCR_Raw!AE143&gt;6, qPCR_Raw!AE143)</f>
        <v>0</v>
      </c>
      <c r="AS143" s="158" t="str" cm="1">
        <f t="array" ref="AS143">_xlfn.IFS(AND(AO143="Undetermined", AQ143="Undetermined"), "Undetermined", AND(AP143=0, AR143=0), "Undetermined", AND(AP143=0, AR143&gt;0), "Ten-Fold", AND(AP143&gt;0, AR143=0), "Undiluted", AND(AO143&lt;&gt;"Undetermined", AQ143&lt;&gt;"Undetermined", AP143&gt;0, AR143&gt;0, AO143&lt;&gt;AQ143), 100*(-1+10^(-1/(AO143-AQ143))), AND(AO143&lt;&gt;"Undetermined", AQ143&lt;&gt;"Undetermined", AO143=AQ143&gt;0), -100)</f>
        <v>Undetermined</v>
      </c>
      <c r="AT143" s="159" cm="1">
        <f t="array" ref="AT143">_xlfn.IFS(AS143="Undetermined", 0, AS143="Undiluted", AP143*$G143/$F143*1000, AS143="Ten-Fold", AR143*$G143/$F143*1000*10, AS143&lt;0, AR143*$G143/$F143*1000*10, AS143&lt;120, AP143*$G143/$F143*1000, AS143&gt;120, AR143*$G143/$F143*1000*10)</f>
        <v>0</v>
      </c>
      <c r="AU143" s="156" t="str">
        <f t="shared" si="48"/>
        <v>DELETE</v>
      </c>
      <c r="AV143" s="156" t="str">
        <f t="shared" si="49"/>
        <v>DELETE</v>
      </c>
      <c r="AW143" s="156" t="str">
        <f t="shared" si="50"/>
        <v>DELETE</v>
      </c>
      <c r="AX143" s="160" t="str" cm="1">
        <f t="array" ref="AX143">_xlfn.IFS(AU143="DELETE", "DELETE", AU143=0, 0, AU143&gt;0,LOG10(AU143))</f>
        <v>DELETE</v>
      </c>
      <c r="AY143" s="161" t="str" cm="1">
        <f t="array" ref="AY143">_xlfn.IFS(AU143="DELETE", "DELETE", AU143=0, 0, AU143&gt;0, AW143/AU143/LN(10))</f>
        <v>DELETE</v>
      </c>
      <c r="AZ143" s="120" t="str">
        <f>qPCR_Raw!AG143</f>
        <v>Undetermined</v>
      </c>
      <c r="BA143" s="121" cm="1">
        <f t="array" ref="BA143">_xlfn.IFS(AZ143="Undetermined", 0, qPCR_Raw!AH143&lt;=1, 0, qPCR_Raw!AH143&gt;1, qPCR_Raw!AH143)</f>
        <v>0</v>
      </c>
      <c r="BB143" s="122" t="str">
        <f>qPCR_Raw!AJ143</f>
        <v>Undetermined</v>
      </c>
      <c r="BC143" s="121" cm="1">
        <f t="array" ref="BC143">_xlfn.IFS(BB143="Undetermined", 0, qPCR_Raw!AK143&lt;=1, 0, qPCR_Raw!AK143&gt;1, qPCR_Raw!AK143)</f>
        <v>0</v>
      </c>
      <c r="BD143" s="123" t="str" cm="1">
        <f t="array" ref="BD143">_xlfn.IFS(AND(AZ143="Undetermined", BB143="Undetermined"), "Undetermined", AND(BA143=0, BC143=0), "Undetermined", AND(BA143=0, BC143&gt;0), "Ten-Fold", AND(BA143&gt;0, BC143=0), "Undiluted", AND(AZ143&lt;&gt;"Undetermined", BB143&lt;&gt;"Undetermined", BA143&gt;0, BC143&gt;0, AZ143&lt;&gt;BB143), 100*(-1+10^(-1/(AZ143-BB143))), AND(AZ143&lt;&gt;"Undetermined", BB143&lt;&gt;"Undetermined", AZ143=BB143&gt;0), -100)</f>
        <v>Undetermined</v>
      </c>
      <c r="BE143" s="124" cm="1">
        <f t="array" ref="BE143">_xlfn.IFS(BD143="Undetermined", 0, BD143="Undiluted", BA143*$G143/$F143*1000, BD143="Ten-Fold", BC143*$G143/$F143*1000*10, BD143&lt;0, BC143*$G143/$F143*1000*10, BD143&lt;120, BA143*$G143/$F143*1000, BD143&gt;120, BC143*$G143/$F143*1000*10)</f>
        <v>0</v>
      </c>
      <c r="BF143" s="121" t="str">
        <f t="shared" si="51"/>
        <v>DELETE</v>
      </c>
      <c r="BG143" s="121" t="str">
        <f t="shared" si="52"/>
        <v>DELETE</v>
      </c>
      <c r="BH143" s="121" t="str">
        <f t="shared" si="53"/>
        <v>DELETE</v>
      </c>
      <c r="BI143" s="125" t="str" cm="1">
        <f t="array" ref="BI143">_xlfn.IFS(BF143="DELETE", "DELETE", BF143=0, 0, BF143&gt;0,LOG10(BF143))</f>
        <v>DELETE</v>
      </c>
      <c r="BJ143" s="126" t="str" cm="1">
        <f t="array" ref="BJ143">_xlfn.IFS(BF143="DELETE", "DELETE", BF143=0, 0, BF143&gt;0, BH143/BF143/LN(10))</f>
        <v>DELETE</v>
      </c>
    </row>
    <row r="144" spans="1:62" s="114" customFormat="1" x14ac:dyDescent="0.3">
      <c r="A144" s="115" t="str">
        <f>UPPER(LEFT(SUBSTITUTE(SUBSTITUTE(qPCR_Raw!A144,"-","")," ",""),2))&amp;RIGHT(SUBSTITUTE(SUBSTITUTE(qPCR_Raw!A144,"-","")," ",""),LEN(SUBSTITUTE(SUBSTITUTE(qPCR_Raw!A144,"-","")," ",""))-2)</f>
        <v>MRT6</v>
      </c>
      <c r="B144" s="116" t="str" cm="1">
        <f t="array" ref="B144">_xlfn.IFS(LEFT(A144, LEN(A144)-1)="EP", "EP", LEFT(A144, LEN(A144)-1)="STa", "SPI", LEFT(A144, LEN(A144)-1)="STb", "SPO", LEFT(A144, LEN(A144)-1)="MRT", "MRT", LEFT(A144, LEN(A144)-1)="RG", "RN", LEFT(A144, LEN(A144)-1)="RT", "RU", LEFT(A144, LEN(A144)-1)="RW", "RL", LEFT(A144, LEN(A144)-1)="RC", "RS")</f>
        <v>MRT</v>
      </c>
      <c r="C144" s="117">
        <f>qPCR_Raw!B144</f>
        <v>44398</v>
      </c>
      <c r="D144" s="117" t="str">
        <f t="shared" si="37"/>
        <v>MRT44398</v>
      </c>
      <c r="E144" s="117" t="str">
        <f t="shared" si="38"/>
        <v>MRT443986</v>
      </c>
      <c r="F144" s="118">
        <f>qPCR_Raw!C144</f>
        <v>900</v>
      </c>
      <c r="G144" s="119">
        <f>qPCR_Raw!F144</f>
        <v>100</v>
      </c>
      <c r="H144" s="120">
        <f>qPCR_Raw!G144</f>
        <v>21.4141845703125</v>
      </c>
      <c r="I144" s="121" cm="1">
        <f t="array" ref="I144">_xlfn.IFS(H144="Undetermined", 0, qPCR_Raw!H144-qPCR_Raw!$H$242&lt;0, 0, qPCR_Raw!H144-qPCR_Raw!$H$242&gt;0, qPCR_Raw!H144-qPCR_Raw!$H$242)</f>
        <v>28024.189571126302</v>
      </c>
      <c r="J144" s="122">
        <f>qPCR_Raw!K144</f>
        <v>23.568086624145508</v>
      </c>
      <c r="K144" s="121" cm="1">
        <f t="array" ref="K144">_xlfn.IFS(J144="Undetermined", 0, qPCR_Raw!L144-qPCR_Raw!$H$242&lt;0, 0, qPCR_Raw!L144-qPCR_Raw!$H$242&gt;0, qPCR_Raw!L144-qPCR_Raw!$H$242)</f>
        <v>0</v>
      </c>
      <c r="L144" s="123" t="str" cm="1">
        <f t="array" ref="L144">_xlfn.IFS(AND(H144="Undetermined", J144="Undetermined"), "Undetermined", AND(I144=0, K144=0), "Undetermined", AND(I144=0, K144&gt;0), "Ten-Fold", AND(I144&gt;0, K144=0), "Undiluted", AND(H144&lt;&gt;"Undetermined", J144&lt;&gt;"Undetermined", I144&gt;0, K144&gt;0), 100*(-1+10^(-1/(H144-J144))))</f>
        <v>Undiluted</v>
      </c>
      <c r="M144" s="124" cm="1">
        <f t="array" ref="M144">_xlfn.IFS(L144="Undetermined", 0, L144="Undiluted", I144*$G144/$F144*1000, L144="Ten-Fold", K144*$G144/$F144*1000*10, L144&lt;0, K144*$G144/$F144*1000*10, L144&lt;120, I144*$G144/$F144*1000, L144&gt;120, K144*$G144/$F144*1000*10)</f>
        <v>3113798.8412362561</v>
      </c>
      <c r="N144" s="121">
        <f t="shared" si="39"/>
        <v>4031205.7741744434</v>
      </c>
      <c r="O144" s="121">
        <f t="shared" si="40"/>
        <v>1297409.3267762898</v>
      </c>
      <c r="P144" s="121">
        <f t="shared" si="41"/>
        <v>917406.93293818785</v>
      </c>
      <c r="Q144" s="125" cm="1">
        <f t="array" ref="Q144">_xlfn.IFS(N144="DELETE", "DELETE", N144=0, 0, N144&gt;0,LOG10(N144))</f>
        <v>6.6054349674181383</v>
      </c>
      <c r="R144" s="126" cm="1">
        <f t="array" ref="R144">_xlfn.IFS(N144="DELETE", "DELETE", N144=0, 0, N144&gt;0, P144/N144/LN(10))</f>
        <v>9.8835135429531762E-2</v>
      </c>
      <c r="S144" s="155">
        <f>qPCR_Raw!O144</f>
        <v>35.920578002929688</v>
      </c>
      <c r="T144" s="156" cm="1">
        <f t="array" ref="T144">_xlfn.IFS(S144="Undetermined", 0, qPCR_Raw!P144&lt;=1, 0, qPCR_Raw!P144&gt;1, qPCR_Raw!P144)</f>
        <v>6.0656561851501465</v>
      </c>
      <c r="U144" s="157">
        <f>qPCR_Raw!R144</f>
        <v>38.990707397460938</v>
      </c>
      <c r="V144" s="156" cm="1">
        <f t="array" ref="V144">_xlfn.IFS(U144="Undetermined", 0, qPCR_Raw!S144&lt;=1, 0, qPCR_Raw!S144&gt;1, qPCR_Raw!S144)</f>
        <v>0</v>
      </c>
      <c r="W144" s="158" t="str" cm="1">
        <f t="array" ref="W144">_xlfn.IFS(AND(S144="Undetermined", U144="Undetermined"), "Undetermined", AND(T144=0, V144=0), "Undetermined", AND(T144=0, V144&gt;0), "Ten-Fold", AND(T144&gt;0, V144=0), "Undiluted", AND(S144&lt;&gt;"Undetermined", U144&lt;&gt;"Undetermined", T144&gt;0, V144&gt;0, S144&lt;&gt;U144), 100*(-1+10^(-1/(S144-U144))), AND(S144&lt;&gt;"Undetermined", U144&lt;&gt;"Undetermined", S144=U144&gt;0), -100)</f>
        <v>Undiluted</v>
      </c>
      <c r="X144" s="159" cm="1">
        <f t="array" ref="X144">_xlfn.IFS(W144="Undetermined", 0, W144="Undiluted", T144*$G144/$F144*1000, W144="Ten-Fold", V144*$G144/$F144*1000*10, W144&lt;0, V144*$G144/$F144*1000*10, W144&lt;120, T144*$G144/$F144*1000, W144&gt;120, V144*$G144/$F144*1000*10)</f>
        <v>673.96179835001624</v>
      </c>
      <c r="Y144" s="156">
        <f t="shared" si="42"/>
        <v>464.26421006520587</v>
      </c>
      <c r="Z144" s="156">
        <f t="shared" si="43"/>
        <v>296.5571733493083</v>
      </c>
      <c r="AA144" s="156">
        <f t="shared" si="44"/>
        <v>209.69758828481037</v>
      </c>
      <c r="AB144" s="160" cm="1">
        <f t="array" ref="AB144">_xlfn.IFS(Y144="DELETE", "DELETE", Y144=0, 0, Y144&gt;0,LOG10(Y144))</f>
        <v>2.6667652053756519</v>
      </c>
      <c r="AC144" s="161" cm="1">
        <f t="array" ref="AC144">_xlfn.IFS(Y144="DELETE", "DELETE", Y144=0, 0, Y144&gt;0, AA144/Y144/LN(10))</f>
        <v>0.1961609434587307</v>
      </c>
      <c r="AD144" s="120">
        <f>qPCR_Raw!U144</f>
        <v>35.444805145263672</v>
      </c>
      <c r="AE144" s="121" cm="1">
        <f t="array" ref="AE144">_xlfn.IFS(AD144="Undetermined", 0, qPCR_Raw!V144&lt;=1, 0, qPCR_Raw!V144&gt;1, qPCR_Raw!V144)</f>
        <v>1.0979790687561035</v>
      </c>
      <c r="AF144" s="122" t="str">
        <f>qPCR_Raw!X144</f>
        <v>Undetermined</v>
      </c>
      <c r="AG144" s="121" cm="1">
        <f t="array" ref="AG144">_xlfn.IFS(AF144="Undetermined", 0, qPCR_Raw!Y144&lt;=1, 0, qPCR_Raw!Y144&gt;1, qPCR_Raw!Y144)</f>
        <v>0</v>
      </c>
      <c r="AH144" s="123" t="str" cm="1">
        <f t="array" ref="AH144">_xlfn.IFS(AND(AD144="Undetermined", AF144="Undetermined"), "Undetermined", AND(AE144=0, AG144=0), "Undetermined", AND(AE144=0, AG144&gt;0), "Ten-Fold", AND(AE144&gt;0, AG144=0), "Undiluted", AND(AD144&lt;&gt;"Undetermined", AF144&lt;&gt;"Undetermined", AE144&gt;0, AG144&gt;0, AD144&lt;&gt;AF144), 100*(-1+10^(-1/(AD144-AF144))), AND(AD144&lt;&gt;"Undetermined", AF144&lt;&gt;"Undetermined", AD144=AF144&gt;0), -100)</f>
        <v>Undiluted</v>
      </c>
      <c r="AI144" s="124" cm="1">
        <f t="array" ref="AI144">_xlfn.IFS(AH144="Undetermined", 0, AH144="Undiluted", AE144*$G144/$F144*1000, AH144="Ten-Fold", AG144*$G144/$F144*1000*10, AH144&lt;0, AG144*$G144/$F144*1000*10, AH144&lt;120, AE144*$G144/$F144*1000, AH144&gt;120, AG144*$G144/$F144*1000*10)</f>
        <v>121.99767430623372</v>
      </c>
      <c r="AJ144" s="121">
        <f t="shared" si="45"/>
        <v>169.27974621454874</v>
      </c>
      <c r="AK144" s="121">
        <f t="shared" si="46"/>
        <v>66.866947349839066</v>
      </c>
      <c r="AL144" s="121">
        <f t="shared" si="47"/>
        <v>47.282071908315046</v>
      </c>
      <c r="AM144" s="125" cm="1">
        <f t="array" ref="AM144">_xlfn.IFS(AJ144="DELETE", "DELETE", AJ144=0, 0, AJ144&gt;0,LOG10(AJ144))</f>
        <v>2.2286049992580708</v>
      </c>
      <c r="AN144" s="126" cm="1">
        <f t="array" ref="AN144">_xlfn.IFS(AJ144="DELETE", "DELETE", AJ144=0, 0, AJ144&gt;0, AL144/AJ144/LN(10))</f>
        <v>0.12130419250929357</v>
      </c>
      <c r="AO144" s="155">
        <f>qPCR_Raw!AA144</f>
        <v>30.135541915893555</v>
      </c>
      <c r="AP144" s="156" cm="1">
        <f t="array" ref="AP144">_xlfn.IFS(AO144="Undetermined", 0, qPCR_Raw!AB144&lt;=6, 0, qPCR_Raw!AB144&gt;6, qPCR_Raw!AB144)</f>
        <v>0</v>
      </c>
      <c r="AQ144" s="157" t="str">
        <f>qPCR_Raw!AD144</f>
        <v>Undetermined</v>
      </c>
      <c r="AR144" s="156" cm="1">
        <f t="array" ref="AR144">_xlfn.IFS(AQ144="Undetermined", 0, qPCR_Raw!AE144&lt;=6, 0, qPCR_Raw!AE144&gt;6, qPCR_Raw!AE144)</f>
        <v>0</v>
      </c>
      <c r="AS144" s="158" t="str" cm="1">
        <f t="array" ref="AS144">_xlfn.IFS(AND(AO144="Undetermined", AQ144="Undetermined"), "Undetermined", AND(AP144=0, AR144=0), "Undetermined", AND(AP144=0, AR144&gt;0), "Ten-Fold", AND(AP144&gt;0, AR144=0), "Undiluted", AND(AO144&lt;&gt;"Undetermined", AQ144&lt;&gt;"Undetermined", AP144&gt;0, AR144&gt;0, AO144&lt;&gt;AQ144), 100*(-1+10^(-1/(AO144-AQ144))), AND(AO144&lt;&gt;"Undetermined", AQ144&lt;&gt;"Undetermined", AO144=AQ144&gt;0), -100)</f>
        <v>Undetermined</v>
      </c>
      <c r="AT144" s="159" cm="1">
        <f t="array" ref="AT144">_xlfn.IFS(AS144="Undetermined", 0, AS144="Undiluted", AP144*$G144/$F144*1000, AS144="Ten-Fold", AR144*$G144/$F144*1000*10, AS144&lt;0, AR144*$G144/$F144*1000*10, AS144&lt;120, AP144*$G144/$F144*1000, AS144&gt;120, AR144*$G144/$F144*1000*10)</f>
        <v>0</v>
      </c>
      <c r="AU144" s="156">
        <f t="shared" si="48"/>
        <v>0</v>
      </c>
      <c r="AV144" s="156">
        <f t="shared" si="49"/>
        <v>0</v>
      </c>
      <c r="AW144" s="156">
        <f t="shared" si="50"/>
        <v>0</v>
      </c>
      <c r="AX144" s="160" cm="1">
        <f t="array" ref="AX144">_xlfn.IFS(AU144="DELETE", "DELETE", AU144=0, 0, AU144&gt;0,LOG10(AU144))</f>
        <v>0</v>
      </c>
      <c r="AY144" s="161" cm="1">
        <f t="array" ref="AY144">_xlfn.IFS(AU144="DELETE", "DELETE", AU144=0, 0, AU144&gt;0, AW144/AU144/LN(10))</f>
        <v>0</v>
      </c>
      <c r="AZ144" s="120" t="str">
        <f>qPCR_Raw!AG144</f>
        <v>Undetermined</v>
      </c>
      <c r="BA144" s="121" cm="1">
        <f t="array" ref="BA144">_xlfn.IFS(AZ144="Undetermined", 0, qPCR_Raw!AH144&lt;=1, 0, qPCR_Raw!AH144&gt;1, qPCR_Raw!AH144)</f>
        <v>0</v>
      </c>
      <c r="BB144" s="122" t="str">
        <f>qPCR_Raw!AJ144</f>
        <v>Undetermined</v>
      </c>
      <c r="BC144" s="121" cm="1">
        <f t="array" ref="BC144">_xlfn.IFS(BB144="Undetermined", 0, qPCR_Raw!AK144&lt;=1, 0, qPCR_Raw!AK144&gt;1, qPCR_Raw!AK144)</f>
        <v>0</v>
      </c>
      <c r="BD144" s="123" t="str" cm="1">
        <f t="array" ref="BD144">_xlfn.IFS(AND(AZ144="Undetermined", BB144="Undetermined"), "Undetermined", AND(BA144=0, BC144=0), "Undetermined", AND(BA144=0, BC144&gt;0), "Ten-Fold", AND(BA144&gt;0, BC144=0), "Undiluted", AND(AZ144&lt;&gt;"Undetermined", BB144&lt;&gt;"Undetermined", BA144&gt;0, BC144&gt;0, AZ144&lt;&gt;BB144), 100*(-1+10^(-1/(AZ144-BB144))), AND(AZ144&lt;&gt;"Undetermined", BB144&lt;&gt;"Undetermined", AZ144=BB144&gt;0), -100)</f>
        <v>Undetermined</v>
      </c>
      <c r="BE144" s="124" cm="1">
        <f t="array" ref="BE144">_xlfn.IFS(BD144="Undetermined", 0, BD144="Undiluted", BA144*$G144/$F144*1000, BD144="Ten-Fold", BC144*$G144/$F144*1000*10, BD144&lt;0, BC144*$G144/$F144*1000*10, BD144&lt;120, BA144*$G144/$F144*1000, BD144&gt;120, BC144*$G144/$F144*1000*10)</f>
        <v>0</v>
      </c>
      <c r="BF144" s="121">
        <f t="shared" si="51"/>
        <v>0</v>
      </c>
      <c r="BG144" s="121">
        <f t="shared" si="52"/>
        <v>0</v>
      </c>
      <c r="BH144" s="121">
        <f t="shared" si="53"/>
        <v>0</v>
      </c>
      <c r="BI144" s="125" cm="1">
        <f t="array" ref="BI144">_xlfn.IFS(BF144="DELETE", "DELETE", BF144=0, 0, BF144&gt;0,LOG10(BF144))</f>
        <v>0</v>
      </c>
      <c r="BJ144" s="126" cm="1">
        <f t="array" ref="BJ144">_xlfn.IFS(BF144="DELETE", "DELETE", BF144=0, 0, BF144&gt;0, BH144/BF144/LN(10))</f>
        <v>0</v>
      </c>
    </row>
    <row r="145" spans="1:62" s="114" customFormat="1" x14ac:dyDescent="0.3">
      <c r="A145" s="115" t="str">
        <f>UPPER(LEFT(SUBSTITUTE(SUBSTITUTE(qPCR_Raw!A145,"-","")," ",""),2))&amp;RIGHT(SUBSTITUTE(SUBSTITUTE(qPCR_Raw!A145,"-","")," ",""),LEN(SUBSTITUTE(SUBSTITUTE(qPCR_Raw!A145,"-","")," ",""))-2)</f>
        <v>MRT7</v>
      </c>
      <c r="B145" s="116" t="str" cm="1">
        <f t="array" ref="B145">_xlfn.IFS(LEFT(A145, LEN(A145)-1)="EP", "EP", LEFT(A145, LEN(A145)-1)="STa", "SPI", LEFT(A145, LEN(A145)-1)="STb", "SPO", LEFT(A145, LEN(A145)-1)="MRT", "MRT", LEFT(A145, LEN(A145)-1)="RG", "RN", LEFT(A145, LEN(A145)-1)="RT", "RU", LEFT(A145, LEN(A145)-1)="RW", "RL", LEFT(A145, LEN(A145)-1)="RC", "RS")</f>
        <v>MRT</v>
      </c>
      <c r="C145" s="117">
        <f>qPCR_Raw!B145</f>
        <v>44398</v>
      </c>
      <c r="D145" s="117" t="str">
        <f t="shared" si="37"/>
        <v>MRT44398</v>
      </c>
      <c r="E145" s="117" t="str">
        <f t="shared" si="38"/>
        <v>MRT443987</v>
      </c>
      <c r="F145" s="118">
        <f>qPCR_Raw!C145</f>
        <v>1000</v>
      </c>
      <c r="G145" s="119">
        <f>qPCR_Raw!F145</f>
        <v>100</v>
      </c>
      <c r="H145" s="120">
        <f>qPCR_Raw!G145</f>
        <v>20.784616470336914</v>
      </c>
      <c r="I145" s="121" cm="1">
        <f t="array" ref="I145">_xlfn.IFS(H145="Undetermined", 0, qPCR_Raw!H145-qPCR_Raw!$H$242&lt;0, 0, qPCR_Raw!H145-qPCR_Raw!$H$242&gt;0, qPCR_Raw!H145-qPCR_Raw!$H$242)</f>
        <v>49486.127071126306</v>
      </c>
      <c r="J145" s="122">
        <f>qPCR_Raw!K145</f>
        <v>23.875251770019531</v>
      </c>
      <c r="K145" s="121" cm="1">
        <f t="array" ref="K145">_xlfn.IFS(J145="Undetermined", 0, qPCR_Raw!L145-qPCR_Raw!$H$242&lt;0, 0, qPCR_Raw!L145-qPCR_Raw!$H$242&gt;0, qPCR_Raw!L145-qPCR_Raw!$H$242)</f>
        <v>0</v>
      </c>
      <c r="L145" s="123" t="str" cm="1">
        <f t="array" ref="L145">_xlfn.IFS(AND(H145="Undetermined", J145="Undetermined"), "Undetermined", AND(I145=0, K145=0), "Undetermined", AND(I145=0, K145&gt;0), "Ten-Fold", AND(I145&gt;0, K145=0), "Undiluted", AND(H145&lt;&gt;"Undetermined", J145&lt;&gt;"Undetermined", I145&gt;0, K145&gt;0), 100*(-1+10^(-1/(H145-J145))))</f>
        <v>Undiluted</v>
      </c>
      <c r="M145" s="124" cm="1">
        <f t="array" ref="M145">_xlfn.IFS(L145="Undetermined", 0, L145="Undiluted", I145*$G145/$F145*1000, L145="Ten-Fold", K145*$G145/$F145*1000*10, L145&lt;0, K145*$G145/$F145*1000*10, L145&lt;120, I145*$G145/$F145*1000, L145&gt;120, K145*$G145/$F145*1000*10)</f>
        <v>4948612.7071126308</v>
      </c>
      <c r="N145" s="121" t="str">
        <f t="shared" si="39"/>
        <v>DELETE</v>
      </c>
      <c r="O145" s="121" t="str">
        <f t="shared" si="40"/>
        <v>DELETE</v>
      </c>
      <c r="P145" s="121" t="str">
        <f t="shared" si="41"/>
        <v>DELETE</v>
      </c>
      <c r="Q145" s="125" t="str" cm="1">
        <f t="array" ref="Q145">_xlfn.IFS(N145="DELETE", "DELETE", N145=0, 0, N145&gt;0,LOG10(N145))</f>
        <v>DELETE</v>
      </c>
      <c r="R145" s="126" t="str" cm="1">
        <f t="array" ref="R145">_xlfn.IFS(N145="DELETE", "DELETE", N145=0, 0, N145&gt;0, P145/N145/LN(10))</f>
        <v>DELETE</v>
      </c>
      <c r="S145" s="155">
        <f>qPCR_Raw!O145</f>
        <v>37.364780426025391</v>
      </c>
      <c r="T145" s="156" cm="1">
        <f t="array" ref="T145">_xlfn.IFS(S145="Undetermined", 0, qPCR_Raw!P145&lt;=1, 0, qPCR_Raw!P145&gt;1, qPCR_Raw!P145)</f>
        <v>2.5456662178039551</v>
      </c>
      <c r="U145" s="157">
        <f>qPCR_Raw!R145</f>
        <v>39.601654052734375</v>
      </c>
      <c r="V145" s="156" cm="1">
        <f t="array" ref="V145">_xlfn.IFS(U145="Undetermined", 0, qPCR_Raw!S145&lt;=1, 0, qPCR_Raw!S145&gt;1, qPCR_Raw!S145)</f>
        <v>0</v>
      </c>
      <c r="W145" s="158" t="str" cm="1">
        <f t="array" ref="W145">_xlfn.IFS(AND(S145="Undetermined", U145="Undetermined"), "Undetermined", AND(T145=0, V145=0), "Undetermined", AND(T145=0, V145&gt;0), "Ten-Fold", AND(T145&gt;0, V145=0), "Undiluted", AND(S145&lt;&gt;"Undetermined", U145&lt;&gt;"Undetermined", T145&gt;0, V145&gt;0, S145&lt;&gt;U145), 100*(-1+10^(-1/(S145-U145))), AND(S145&lt;&gt;"Undetermined", U145&lt;&gt;"Undetermined", S145=U145&gt;0), -100)</f>
        <v>Undiluted</v>
      </c>
      <c r="X145" s="159" cm="1">
        <f t="array" ref="X145">_xlfn.IFS(W145="Undetermined", 0, W145="Undiluted", T145*$G145/$F145*1000, W145="Ten-Fold", V145*$G145/$F145*1000*10, W145&lt;0, V145*$G145/$F145*1000*10, W145&lt;120, T145*$G145/$F145*1000, W145&gt;120, V145*$G145/$F145*1000*10)</f>
        <v>254.56662178039551</v>
      </c>
      <c r="Y145" s="156" t="str">
        <f t="shared" si="42"/>
        <v>DELETE</v>
      </c>
      <c r="Z145" s="156" t="str">
        <f t="shared" si="43"/>
        <v>DELETE</v>
      </c>
      <c r="AA145" s="156" t="str">
        <f t="shared" si="44"/>
        <v>DELETE</v>
      </c>
      <c r="AB145" s="160" t="str" cm="1">
        <f t="array" ref="AB145">_xlfn.IFS(Y145="DELETE", "DELETE", Y145=0, 0, Y145&gt;0,LOG10(Y145))</f>
        <v>DELETE</v>
      </c>
      <c r="AC145" s="161" t="str" cm="1">
        <f t="array" ref="AC145">_xlfn.IFS(Y145="DELETE", "DELETE", Y145=0, 0, Y145&gt;0, AA145/Y145/LN(10))</f>
        <v>DELETE</v>
      </c>
      <c r="AD145" s="120">
        <f>qPCR_Raw!U145</f>
        <v>34.388984680175781</v>
      </c>
      <c r="AE145" s="121" cm="1">
        <f t="array" ref="AE145">_xlfn.IFS(AD145="Undetermined", 0, qPCR_Raw!V145&lt;=1, 0, qPCR_Raw!V145&gt;1, qPCR_Raw!V145)</f>
        <v>2.1656181812286377</v>
      </c>
      <c r="AF145" s="122">
        <f>qPCR_Raw!X145</f>
        <v>37.336696624755859</v>
      </c>
      <c r="AG145" s="121" cm="1">
        <f t="array" ref="AG145">_xlfn.IFS(AF145="Undetermined", 0, qPCR_Raw!Y145&lt;=1, 0, qPCR_Raw!Y145&gt;1, qPCR_Raw!Y145)</f>
        <v>0</v>
      </c>
      <c r="AH145" s="123" t="str" cm="1">
        <f t="array" ref="AH145">_xlfn.IFS(AND(AD145="Undetermined", AF145="Undetermined"), "Undetermined", AND(AE145=0, AG145=0), "Undetermined", AND(AE145=0, AG145&gt;0), "Ten-Fold", AND(AE145&gt;0, AG145=0), "Undiluted", AND(AD145&lt;&gt;"Undetermined", AF145&lt;&gt;"Undetermined", AE145&gt;0, AG145&gt;0, AD145&lt;&gt;AF145), 100*(-1+10^(-1/(AD145-AF145))), AND(AD145&lt;&gt;"Undetermined", AF145&lt;&gt;"Undetermined", AD145=AF145&gt;0), -100)</f>
        <v>Undiluted</v>
      </c>
      <c r="AI145" s="124" cm="1">
        <f t="array" ref="AI145">_xlfn.IFS(AH145="Undetermined", 0, AH145="Undiluted", AE145*$G145/$F145*1000, AH145="Ten-Fold", AG145*$G145/$F145*1000*10, AH145&lt;0, AG145*$G145/$F145*1000*10, AH145&lt;120, AE145*$G145/$F145*1000, AH145&gt;120, AG145*$G145/$F145*1000*10)</f>
        <v>216.56181812286377</v>
      </c>
      <c r="AJ145" s="121" t="str">
        <f t="shared" si="45"/>
        <v>DELETE</v>
      </c>
      <c r="AK145" s="121" t="str">
        <f t="shared" si="46"/>
        <v>DELETE</v>
      </c>
      <c r="AL145" s="121" t="str">
        <f t="shared" si="47"/>
        <v>DELETE</v>
      </c>
      <c r="AM145" s="125" t="str" cm="1">
        <f t="array" ref="AM145">_xlfn.IFS(AJ145="DELETE", "DELETE", AJ145=0, 0, AJ145&gt;0,LOG10(AJ145))</f>
        <v>DELETE</v>
      </c>
      <c r="AN145" s="126" t="str" cm="1">
        <f t="array" ref="AN145">_xlfn.IFS(AJ145="DELETE", "DELETE", AJ145=0, 0, AJ145&gt;0, AL145/AJ145/LN(10))</f>
        <v>DELETE</v>
      </c>
      <c r="AO145" s="155">
        <f>qPCR_Raw!AA145</f>
        <v>30.712188720703125</v>
      </c>
      <c r="AP145" s="156" cm="1">
        <f t="array" ref="AP145">_xlfn.IFS(AO145="Undetermined", 0, qPCR_Raw!AB145&lt;=6, 0, qPCR_Raw!AB145&gt;6, qPCR_Raw!AB145)</f>
        <v>0</v>
      </c>
      <c r="AQ145" s="157" t="str">
        <f>qPCR_Raw!AD145</f>
        <v>Undetermined</v>
      </c>
      <c r="AR145" s="156" cm="1">
        <f t="array" ref="AR145">_xlfn.IFS(AQ145="Undetermined", 0, qPCR_Raw!AE145&lt;=6, 0, qPCR_Raw!AE145&gt;6, qPCR_Raw!AE145)</f>
        <v>0</v>
      </c>
      <c r="AS145" s="158" t="str" cm="1">
        <f t="array" ref="AS145">_xlfn.IFS(AND(AO145="Undetermined", AQ145="Undetermined"), "Undetermined", AND(AP145=0, AR145=0), "Undetermined", AND(AP145=0, AR145&gt;0), "Ten-Fold", AND(AP145&gt;0, AR145=0), "Undiluted", AND(AO145&lt;&gt;"Undetermined", AQ145&lt;&gt;"Undetermined", AP145&gt;0, AR145&gt;0, AO145&lt;&gt;AQ145), 100*(-1+10^(-1/(AO145-AQ145))), AND(AO145&lt;&gt;"Undetermined", AQ145&lt;&gt;"Undetermined", AO145=AQ145&gt;0), -100)</f>
        <v>Undetermined</v>
      </c>
      <c r="AT145" s="159" cm="1">
        <f t="array" ref="AT145">_xlfn.IFS(AS145="Undetermined", 0, AS145="Undiluted", AP145*$G145/$F145*1000, AS145="Ten-Fold", AR145*$G145/$F145*1000*10, AS145&lt;0, AR145*$G145/$F145*1000*10, AS145&lt;120, AP145*$G145/$F145*1000, AS145&gt;120, AR145*$G145/$F145*1000*10)</f>
        <v>0</v>
      </c>
      <c r="AU145" s="156" t="str">
        <f t="shared" si="48"/>
        <v>DELETE</v>
      </c>
      <c r="AV145" s="156" t="str">
        <f t="shared" si="49"/>
        <v>DELETE</v>
      </c>
      <c r="AW145" s="156" t="str">
        <f t="shared" si="50"/>
        <v>DELETE</v>
      </c>
      <c r="AX145" s="160" t="str" cm="1">
        <f t="array" ref="AX145">_xlfn.IFS(AU145="DELETE", "DELETE", AU145=0, 0, AU145&gt;0,LOG10(AU145))</f>
        <v>DELETE</v>
      </c>
      <c r="AY145" s="161" t="str" cm="1">
        <f t="array" ref="AY145">_xlfn.IFS(AU145="DELETE", "DELETE", AU145=0, 0, AU145&gt;0, AW145/AU145/LN(10))</f>
        <v>DELETE</v>
      </c>
      <c r="AZ145" s="120" t="str">
        <f>qPCR_Raw!AG145</f>
        <v>Undetermined</v>
      </c>
      <c r="BA145" s="121" cm="1">
        <f t="array" ref="BA145">_xlfn.IFS(AZ145="Undetermined", 0, qPCR_Raw!AH145&lt;=1, 0, qPCR_Raw!AH145&gt;1, qPCR_Raw!AH145)</f>
        <v>0</v>
      </c>
      <c r="BB145" s="122" t="str">
        <f>qPCR_Raw!AJ145</f>
        <v>Undetermined</v>
      </c>
      <c r="BC145" s="121" cm="1">
        <f t="array" ref="BC145">_xlfn.IFS(BB145="Undetermined", 0, qPCR_Raw!AK145&lt;=1, 0, qPCR_Raw!AK145&gt;1, qPCR_Raw!AK145)</f>
        <v>0</v>
      </c>
      <c r="BD145" s="123" t="str" cm="1">
        <f t="array" ref="BD145">_xlfn.IFS(AND(AZ145="Undetermined", BB145="Undetermined"), "Undetermined", AND(BA145=0, BC145=0), "Undetermined", AND(BA145=0, BC145&gt;0), "Ten-Fold", AND(BA145&gt;0, BC145=0), "Undiluted", AND(AZ145&lt;&gt;"Undetermined", BB145&lt;&gt;"Undetermined", BA145&gt;0, BC145&gt;0, AZ145&lt;&gt;BB145), 100*(-1+10^(-1/(AZ145-BB145))), AND(AZ145&lt;&gt;"Undetermined", BB145&lt;&gt;"Undetermined", AZ145=BB145&gt;0), -100)</f>
        <v>Undetermined</v>
      </c>
      <c r="BE145" s="124" cm="1">
        <f t="array" ref="BE145">_xlfn.IFS(BD145="Undetermined", 0, BD145="Undiluted", BA145*$G145/$F145*1000, BD145="Ten-Fold", BC145*$G145/$F145*1000*10, BD145&lt;0, BC145*$G145/$F145*1000*10, BD145&lt;120, BA145*$G145/$F145*1000, BD145&gt;120, BC145*$G145/$F145*1000*10)</f>
        <v>0</v>
      </c>
      <c r="BF145" s="121" t="str">
        <f t="shared" si="51"/>
        <v>DELETE</v>
      </c>
      <c r="BG145" s="121" t="str">
        <f t="shared" si="52"/>
        <v>DELETE</v>
      </c>
      <c r="BH145" s="121" t="str">
        <f t="shared" si="53"/>
        <v>DELETE</v>
      </c>
      <c r="BI145" s="125" t="str" cm="1">
        <f t="array" ref="BI145">_xlfn.IFS(BF145="DELETE", "DELETE", BF145=0, 0, BF145&gt;0,LOG10(BF145))</f>
        <v>DELETE</v>
      </c>
      <c r="BJ145" s="126" t="str" cm="1">
        <f t="array" ref="BJ145">_xlfn.IFS(BF145="DELETE", "DELETE", BF145=0, 0, BF145&gt;0, BH145/BF145/LN(10))</f>
        <v>DELETE</v>
      </c>
    </row>
    <row r="146" spans="1:62" s="114" customFormat="1" x14ac:dyDescent="0.3">
      <c r="A146" s="115" t="str">
        <f>UPPER(LEFT(SUBSTITUTE(SUBSTITUTE(qPCR_Raw!A146,"-","")," ",""),2))&amp;RIGHT(SUBSTITUTE(SUBSTITUTE(qPCR_Raw!A146,"-","")," ",""),LEN(SUBSTITUTE(SUBSTITUTE(qPCR_Raw!A146,"-","")," ",""))-2)</f>
        <v>RT6</v>
      </c>
      <c r="B146" s="116" t="str" cm="1">
        <f t="array" ref="B146">_xlfn.IFS(LEFT(A146, LEN(A146)-1)="EP", "EP", LEFT(A146, LEN(A146)-1)="STa", "SPI", LEFT(A146, LEN(A146)-1)="STb", "SPO", LEFT(A146, LEN(A146)-1)="MRT", "MRT", LEFT(A146, LEN(A146)-1)="RG", "RN", LEFT(A146, LEN(A146)-1)="RT", "RU", LEFT(A146, LEN(A146)-1)="RW", "RL", LEFT(A146, LEN(A146)-1)="RC", "RS")</f>
        <v>RU</v>
      </c>
      <c r="C146" s="117">
        <f>qPCR_Raw!B146</f>
        <v>44398</v>
      </c>
      <c r="D146" s="117" t="str">
        <f t="shared" si="37"/>
        <v>RU44398</v>
      </c>
      <c r="E146" s="117" t="str">
        <f t="shared" si="38"/>
        <v>RU443986</v>
      </c>
      <c r="F146" s="118">
        <f>qPCR_Raw!C146</f>
        <v>900</v>
      </c>
      <c r="G146" s="119">
        <f>qPCR_Raw!F146</f>
        <v>100</v>
      </c>
      <c r="H146" s="120">
        <f>qPCR_Raw!G146</f>
        <v>13.850231170654297</v>
      </c>
      <c r="I146" s="121" cm="1">
        <f t="array" ref="I146">_xlfn.IFS(H146="Undetermined", 0, qPCR_Raw!H146-qPCR_Raw!$H$242&lt;0, 0, qPCR_Raw!H146-qPCR_Raw!$H$242&gt;0, qPCR_Raw!H146-qPCR_Raw!$H$242)</f>
        <v>6431526.3614461264</v>
      </c>
      <c r="J146" s="122">
        <f>qPCR_Raw!K146</f>
        <v>16.747295379638672</v>
      </c>
      <c r="K146" s="121" cm="1">
        <f t="array" ref="K146">_xlfn.IFS(J146="Undetermined", 0, qPCR_Raw!L146-qPCR_Raw!$H$242&lt;0, 0, qPCR_Raw!L146-qPCR_Raw!$H$242&gt;0, qPCR_Raw!L146-qPCR_Raw!$H$242)</f>
        <v>915927.48644612625</v>
      </c>
      <c r="L146" s="123" cm="1">
        <f t="array" ref="L146">_xlfn.IFS(AND(H146="Undetermined", J146="Undetermined"), "Undetermined", AND(I146=0, K146=0), "Undetermined", AND(I146=0, K146&gt;0), "Ten-Fold", AND(I146&gt;0, K146=0), "Undiluted", AND(H146&lt;&gt;"Undetermined", J146&lt;&gt;"Undetermined", I146&gt;0, K146&gt;0), 100*(-1+10^(-1/(H146-J146))))</f>
        <v>121.39969757556908</v>
      </c>
      <c r="M146" s="124" cm="1">
        <f t="array" ref="M146">_xlfn.IFS(L146="Undetermined", 0, L146="Undiluted", I146*$G146/$F146*1000, L146="Ten-Fold", K146*$G146/$F146*1000*10, L146&lt;0, K146*$G146/$F146*1000*10, L146&lt;120, I146*$G146/$F146*1000, L146&gt;120, K146*$G146/$F146*1000*10)</f>
        <v>1017697207.1623625</v>
      </c>
      <c r="N146" s="121">
        <f t="shared" si="39"/>
        <v>541791330.82256353</v>
      </c>
      <c r="O146" s="121">
        <f t="shared" si="40"/>
        <v>673032544.73279667</v>
      </c>
      <c r="P146" s="121">
        <f t="shared" si="41"/>
        <v>475905876.33979887</v>
      </c>
      <c r="Q146" s="125" cm="1">
        <f t="array" ref="Q146">_xlfn.IFS(N146="DELETE", "DELETE", N146=0, 0, N146&gt;0,LOG10(N146))</f>
        <v>8.7338320516272994</v>
      </c>
      <c r="R146" s="126" cm="1">
        <f t="array" ref="R146">_xlfn.IFS(N146="DELETE", "DELETE", N146=0, 0, N146&gt;0, P146/N146/LN(10))</f>
        <v>0.38148136421067003</v>
      </c>
      <c r="S146" s="155" t="str">
        <f>qPCR_Raw!O146</f>
        <v>Undetermined</v>
      </c>
      <c r="T146" s="156" cm="1">
        <f t="array" ref="T146">_xlfn.IFS(S146="Undetermined", 0, qPCR_Raw!P146&lt;=1, 0, qPCR_Raw!P146&gt;1, qPCR_Raw!P146)</f>
        <v>0</v>
      </c>
      <c r="U146" s="157" t="str">
        <f>qPCR_Raw!R146</f>
        <v>Undetermined</v>
      </c>
      <c r="V146" s="156" cm="1">
        <f t="array" ref="V146">_xlfn.IFS(U146="Undetermined", 0, qPCR_Raw!S146&lt;=1, 0, qPCR_Raw!S146&gt;1, qPCR_Raw!S146)</f>
        <v>0</v>
      </c>
      <c r="W146" s="158" t="str" cm="1">
        <f t="array" ref="W146">_xlfn.IFS(AND(S146="Undetermined", U146="Undetermined"), "Undetermined", AND(T146=0, V146=0), "Undetermined", AND(T146=0, V146&gt;0), "Ten-Fold", AND(T146&gt;0, V146=0), "Undiluted", AND(S146&lt;&gt;"Undetermined", U146&lt;&gt;"Undetermined", T146&gt;0, V146&gt;0, S146&lt;&gt;U146), 100*(-1+10^(-1/(S146-U146))), AND(S146&lt;&gt;"Undetermined", U146&lt;&gt;"Undetermined", S146=U146&gt;0), -100)</f>
        <v>Undetermined</v>
      </c>
      <c r="X146" s="159" cm="1">
        <f t="array" ref="X146">_xlfn.IFS(W146="Undetermined", 0, W146="Undiluted", T146*$G146/$F146*1000, W146="Ten-Fold", V146*$G146/$F146*1000*10, W146&lt;0, V146*$G146/$F146*1000*10, W146&lt;120, T146*$G146/$F146*1000, W146&gt;120, V146*$G146/$F146*1000*10)</f>
        <v>0</v>
      </c>
      <c r="Y146" s="156">
        <f t="shared" si="42"/>
        <v>557.17863534626213</v>
      </c>
      <c r="Z146" s="156">
        <f t="shared" si="43"/>
        <v>787.96958277121701</v>
      </c>
      <c r="AA146" s="156">
        <f t="shared" si="44"/>
        <v>557.17863534626201</v>
      </c>
      <c r="AB146" s="160" cm="1">
        <f t="array" ref="AB146">_xlfn.IFS(Y146="DELETE", "DELETE", Y146=0, 0, Y146&gt;0,LOG10(Y146))</f>
        <v>2.7459944553306879</v>
      </c>
      <c r="AC146" s="161" cm="1">
        <f t="array" ref="AC146">_xlfn.IFS(Y146="DELETE", "DELETE", Y146=0, 0, Y146&gt;0, AA146/Y146/LN(10))</f>
        <v>0.43429448190325171</v>
      </c>
      <c r="AD146" s="120">
        <f>qPCR_Raw!U146</f>
        <v>26.774473190307617</v>
      </c>
      <c r="AE146" s="121" cm="1">
        <f t="array" ref="AE146">_xlfn.IFS(AD146="Undetermined", 0, qPCR_Raw!V146&lt;=1, 0, qPCR_Raw!V146&gt;1, qPCR_Raw!V146)</f>
        <v>290.41281127929688</v>
      </c>
      <c r="AF146" s="122">
        <f>qPCR_Raw!X146</f>
        <v>30.097238540649414</v>
      </c>
      <c r="AG146" s="121" cm="1">
        <f t="array" ref="AG146">_xlfn.IFS(AF146="Undetermined", 0, qPCR_Raw!Y146&lt;=1, 0, qPCR_Raw!Y146&gt;1, qPCR_Raw!Y146)</f>
        <v>34.250080108642578</v>
      </c>
      <c r="AH146" s="123" cm="1">
        <f t="array" ref="AH146">_xlfn.IFS(AND(AD146="Undetermined", AF146="Undetermined"), "Undetermined", AND(AE146=0, AG146=0), "Undetermined", AND(AE146=0, AG146&gt;0), "Ten-Fold", AND(AE146&gt;0, AG146=0), "Undiluted", AND(AD146&lt;&gt;"Undetermined", AF146&lt;&gt;"Undetermined", AE146&gt;0, AG146&gt;0, AD146&lt;&gt;AF146), 100*(-1+10^(-1/(AD146-AF146))), AND(AD146&lt;&gt;"Undetermined", AF146&lt;&gt;"Undetermined", AD146=AF146&gt;0), -100)</f>
        <v>99.965071829073466</v>
      </c>
      <c r="AI146" s="124" cm="1">
        <f t="array" ref="AI146">_xlfn.IFS(AH146="Undetermined", 0, AH146="Undiluted", AE146*$G146/$F146*1000, AH146="Ten-Fold", AG146*$G146/$F146*1000*10, AH146&lt;0, AG146*$G146/$F146*1000*10, AH146&lt;120, AE146*$G146/$F146*1000, AH146&gt;120, AG146*$G146/$F146*1000*10)</f>
        <v>32268.090142144098</v>
      </c>
      <c r="AJ146" s="121">
        <f t="shared" si="45"/>
        <v>21219.17455795913</v>
      </c>
      <c r="AK146" s="121">
        <f t="shared" si="46"/>
        <v>15625.526268669826</v>
      </c>
      <c r="AL146" s="121">
        <f t="shared" si="47"/>
        <v>11048.915584184964</v>
      </c>
      <c r="AM146" s="125" cm="1">
        <f t="array" ref="AM146">_xlfn.IFS(AJ146="DELETE", "DELETE", AJ146=0, 0, AJ146&gt;0,LOG10(AJ146))</f>
        <v>4.3267284855080144</v>
      </c>
      <c r="AN146" s="126" cm="1">
        <f t="array" ref="AN146">_xlfn.IFS(AJ146="DELETE", "DELETE", AJ146=0, 0, AJ146&gt;0, AL146/AJ146/LN(10))</f>
        <v>0.22613900725118</v>
      </c>
      <c r="AO146" s="155">
        <f>qPCR_Raw!AA146</f>
        <v>15.974944114685059</v>
      </c>
      <c r="AP146" s="156" cm="1">
        <f t="array" ref="AP146">_xlfn.IFS(AO146="Undetermined", 0, qPCR_Raw!AB146&lt;=6, 0, qPCR_Raw!AB146&gt;6, qPCR_Raw!AB146)</f>
        <v>50211.9296875</v>
      </c>
      <c r="AQ146" s="157">
        <f>qPCR_Raw!AD146</f>
        <v>19.043380737304688</v>
      </c>
      <c r="AR146" s="156" cm="1">
        <f t="array" ref="AR146">_xlfn.IFS(AQ146="Undetermined", 0, qPCR_Raw!AE146&lt;=6, 0, qPCR_Raw!AE146&gt;6, qPCR_Raw!AE146)</f>
        <v>7011.37841796875</v>
      </c>
      <c r="AS146" s="158" cm="1">
        <f t="array" ref="AS146">_xlfn.IFS(AND(AO146="Undetermined", AQ146="Undetermined"), "Undetermined", AND(AP146=0, AR146=0), "Undetermined", AND(AP146=0, AR146&gt;0), "Ten-Fold", AND(AP146&gt;0, AR146=0), "Undiluted", AND(AO146&lt;&gt;"Undetermined", AQ146&lt;&gt;"Undetermined", AP146&gt;0, AR146&gt;0, AO146&lt;&gt;AQ146), 100*(-1+10^(-1/(AO146-AQ146))), AND(AO146&lt;&gt;"Undetermined", AQ146&lt;&gt;"Undetermined", AO146=AQ146&gt;0), -100)</f>
        <v>111.78678657260899</v>
      </c>
      <c r="AT146" s="159" cm="1">
        <f t="array" ref="AT146">_xlfn.IFS(AS146="Undetermined", 0, AS146="Undiluted", AP146*$G146/$F146*1000, AS146="Ten-Fold", AR146*$G146/$F146*1000*10, AS146&lt;0, AR146*$G146/$F146*1000*10, AS146&lt;120, AP146*$G146/$F146*1000, AS146&gt;120, AR146*$G146/$F146*1000*10)</f>
        <v>5579103.298611111</v>
      </c>
      <c r="AU146" s="156">
        <f t="shared" si="48"/>
        <v>2789551.6493055555</v>
      </c>
      <c r="AV146" s="156">
        <f t="shared" si="49"/>
        <v>3945021.7753881523</v>
      </c>
      <c r="AW146" s="156">
        <f t="shared" si="50"/>
        <v>2789551.6493055555</v>
      </c>
      <c r="AX146" s="160" cm="1">
        <f t="array" ref="AX146">_xlfn.IFS(AU146="DELETE", "DELETE", AU146=0, 0, AU146&gt;0,LOG10(AU146))</f>
        <v>6.4455344069009808</v>
      </c>
      <c r="AY146" s="161" cm="1">
        <f t="array" ref="AY146">_xlfn.IFS(AU146="DELETE", "DELETE", AU146=0, 0, AU146&gt;0, AW146/AU146/LN(10))</f>
        <v>0.43429448190325176</v>
      </c>
      <c r="AZ146" s="120" t="str">
        <f>qPCR_Raw!AG146</f>
        <v>Undetermined</v>
      </c>
      <c r="BA146" s="121" cm="1">
        <f t="array" ref="BA146">_xlfn.IFS(AZ146="Undetermined", 0, qPCR_Raw!AH146&lt;=1, 0, qPCR_Raw!AH146&gt;1, qPCR_Raw!AH146)</f>
        <v>0</v>
      </c>
      <c r="BB146" s="122">
        <f>qPCR_Raw!AJ146</f>
        <v>38.663307189941406</v>
      </c>
      <c r="BC146" s="121" cm="1">
        <f t="array" ref="BC146">_xlfn.IFS(BB146="Undetermined", 0, qPCR_Raw!AK146&lt;=1, 0, qPCR_Raw!AK146&gt;1, qPCR_Raw!AK146)</f>
        <v>0</v>
      </c>
      <c r="BD146" s="123" t="str" cm="1">
        <f t="array" ref="BD146">_xlfn.IFS(AND(AZ146="Undetermined", BB146="Undetermined"), "Undetermined", AND(BA146=0, BC146=0), "Undetermined", AND(BA146=0, BC146&gt;0), "Ten-Fold", AND(BA146&gt;0, BC146=0), "Undiluted", AND(AZ146&lt;&gt;"Undetermined", BB146&lt;&gt;"Undetermined", BA146&gt;0, BC146&gt;0, AZ146&lt;&gt;BB146), 100*(-1+10^(-1/(AZ146-BB146))), AND(AZ146&lt;&gt;"Undetermined", BB146&lt;&gt;"Undetermined", AZ146=BB146&gt;0), -100)</f>
        <v>Undetermined</v>
      </c>
      <c r="BE146" s="124" cm="1">
        <f t="array" ref="BE146">_xlfn.IFS(BD146="Undetermined", 0, BD146="Undiluted", BA146*$G146/$F146*1000, BD146="Ten-Fold", BC146*$G146/$F146*1000*10, BD146&lt;0, BC146*$G146/$F146*1000*10, BD146&lt;120, BA146*$G146/$F146*1000, BD146&gt;120, BC146*$G146/$F146*1000*10)</f>
        <v>0</v>
      </c>
      <c r="BF146" s="121">
        <f t="shared" si="51"/>
        <v>0</v>
      </c>
      <c r="BG146" s="121">
        <f t="shared" si="52"/>
        <v>0</v>
      </c>
      <c r="BH146" s="121">
        <f t="shared" si="53"/>
        <v>0</v>
      </c>
      <c r="BI146" s="125" cm="1">
        <f t="array" ref="BI146">_xlfn.IFS(BF146="DELETE", "DELETE", BF146=0, 0, BF146&gt;0,LOG10(BF146))</f>
        <v>0</v>
      </c>
      <c r="BJ146" s="126" cm="1">
        <f t="array" ref="BJ146">_xlfn.IFS(BF146="DELETE", "DELETE", BF146=0, 0, BF146&gt;0, BH146/BF146/LN(10))</f>
        <v>0</v>
      </c>
    </row>
    <row r="147" spans="1:62" s="114" customFormat="1" x14ac:dyDescent="0.3">
      <c r="A147" s="115" t="str">
        <f>UPPER(LEFT(SUBSTITUTE(SUBSTITUTE(qPCR_Raw!A147,"-","")," ",""),2))&amp;RIGHT(SUBSTITUTE(SUBSTITUTE(qPCR_Raw!A147,"-","")," ",""),LEN(SUBSTITUTE(SUBSTITUTE(qPCR_Raw!A147,"-","")," ",""))-2)</f>
        <v>RT7</v>
      </c>
      <c r="B147" s="116" t="str" cm="1">
        <f t="array" ref="B147">_xlfn.IFS(LEFT(A147, LEN(A147)-1)="EP", "EP", LEFT(A147, LEN(A147)-1)="STa", "SPI", LEFT(A147, LEN(A147)-1)="STb", "SPO", LEFT(A147, LEN(A147)-1)="MRT", "MRT", LEFT(A147, LEN(A147)-1)="RG", "RN", LEFT(A147, LEN(A147)-1)="RT", "RU", LEFT(A147, LEN(A147)-1)="RW", "RL", LEFT(A147, LEN(A147)-1)="RC", "RS")</f>
        <v>RU</v>
      </c>
      <c r="C147" s="117">
        <f>qPCR_Raw!B147</f>
        <v>44398</v>
      </c>
      <c r="D147" s="117" t="str">
        <f t="shared" si="37"/>
        <v>RU44398</v>
      </c>
      <c r="E147" s="117" t="str">
        <f t="shared" si="38"/>
        <v>RU443987</v>
      </c>
      <c r="F147" s="118">
        <f>qPCR_Raw!C147</f>
        <v>950</v>
      </c>
      <c r="G147" s="119">
        <f>qPCR_Raw!F147</f>
        <v>100</v>
      </c>
      <c r="H147" s="120">
        <f>qPCR_Raw!G147</f>
        <v>18.021642684936523</v>
      </c>
      <c r="I147" s="121" cm="1">
        <f t="array" ref="I147">_xlfn.IFS(H147="Undetermined", 0, qPCR_Raw!H147-qPCR_Raw!$H$242&lt;0, 0, qPCR_Raw!H147-qPCR_Raw!$H$242&gt;0, qPCR_Raw!H147-qPCR_Raw!$H$242)</f>
        <v>383243.76769612631</v>
      </c>
      <c r="J147" s="122">
        <f>qPCR_Raw!K147</f>
        <v>20.499776840209961</v>
      </c>
      <c r="K147" s="121" cm="1">
        <f t="array" ref="K147">_xlfn.IFS(J147="Undetermined", 0, qPCR_Raw!L147-qPCR_Raw!$H$242&lt;0, 0, qPCR_Raw!L147-qPCR_Raw!$H$242&gt;0, qPCR_Raw!L147-qPCR_Raw!$H$242)</f>
        <v>62591.181758626306</v>
      </c>
      <c r="L147" s="123" cm="1">
        <f t="array" ref="L147">_xlfn.IFS(AND(H147="Undetermined", J147="Undetermined"), "Undetermined", AND(I147=0, K147=0), "Undetermined", AND(I147=0, K147&gt;0), "Ten-Fold", AND(I147&gt;0, K147=0), "Undiluted", AND(H147&lt;&gt;"Undetermined", J147&lt;&gt;"Undetermined", I147&gt;0, K147&gt;0), 100*(-1+10^(-1/(H147-J147))))</f>
        <v>153.23830880470246</v>
      </c>
      <c r="M147" s="124" cm="1">
        <f t="array" ref="M147">_xlfn.IFS(L147="Undetermined", 0, L147="Undiluted", I147*$G147/$F147*1000, L147="Ten-Fold", K147*$G147/$F147*1000*10, L147&lt;0, K147*$G147/$F147*1000*10, L147&lt;120, I147*$G147/$F147*1000, L147&gt;120, K147*$G147/$F147*1000*10)</f>
        <v>65885454.482764535</v>
      </c>
      <c r="N147" s="121" t="str">
        <f t="shared" si="39"/>
        <v>DELETE</v>
      </c>
      <c r="O147" s="121" t="str">
        <f t="shared" si="40"/>
        <v>DELETE</v>
      </c>
      <c r="P147" s="121" t="str">
        <f t="shared" si="41"/>
        <v>DELETE</v>
      </c>
      <c r="Q147" s="125" t="str" cm="1">
        <f t="array" ref="Q147">_xlfn.IFS(N147="DELETE", "DELETE", N147=0, 0, N147&gt;0,LOG10(N147))</f>
        <v>DELETE</v>
      </c>
      <c r="R147" s="126" t="str" cm="1">
        <f t="array" ref="R147">_xlfn.IFS(N147="DELETE", "DELETE", N147=0, 0, N147&gt;0, P147/N147/LN(10))</f>
        <v>DELETE</v>
      </c>
      <c r="S147" s="155">
        <f>qPCR_Raw!O147</f>
        <v>36.177207946777344</v>
      </c>
      <c r="T147" s="156" cm="1">
        <f t="array" ref="T147">_xlfn.IFS(S147="Undetermined", 0, qPCR_Raw!P147&lt;=1, 0, qPCR_Raw!P147&gt;1, qPCR_Raw!P147)</f>
        <v>5.1984348297119141</v>
      </c>
      <c r="U147" s="157">
        <f>qPCR_Raw!R147</f>
        <v>38.824214935302734</v>
      </c>
      <c r="V147" s="156" cm="1">
        <f t="array" ref="V147">_xlfn.IFS(U147="Undetermined", 0, qPCR_Raw!S147&lt;=1, 0, qPCR_Raw!S147&gt;1, qPCR_Raw!S147)</f>
        <v>1.0586394071578979</v>
      </c>
      <c r="W147" s="158" cm="1">
        <f t="array" ref="W147">_xlfn.IFS(AND(S147="Undetermined", U147="Undetermined"), "Undetermined", AND(T147=0, V147=0), "Undetermined", AND(T147=0, V147&gt;0), "Ten-Fold", AND(T147&gt;0, V147=0), "Undiluted", AND(S147&lt;&gt;"Undetermined", U147&lt;&gt;"Undetermined", T147&gt;0, V147&gt;0, S147&lt;&gt;U147), 100*(-1+10^(-1/(S147-U147))), AND(S147&lt;&gt;"Undetermined", U147&lt;&gt;"Undetermined", S147=U147&gt;0), -100)</f>
        <v>138.66304407030796</v>
      </c>
      <c r="X147" s="159" cm="1">
        <f t="array" ref="X147">_xlfn.IFS(W147="Undetermined", 0, W147="Undiluted", T147*$G147/$F147*1000, W147="Ten-Fold", V147*$G147/$F147*1000*10, W147&lt;0, V147*$G147/$F147*1000*10, W147&lt;120, T147*$G147/$F147*1000, W147&gt;120, V147*$G147/$F147*1000*10)</f>
        <v>1114.3572706925243</v>
      </c>
      <c r="Y147" s="156" t="str">
        <f t="shared" si="42"/>
        <v>DELETE</v>
      </c>
      <c r="Z147" s="156" t="str">
        <f t="shared" si="43"/>
        <v>DELETE</v>
      </c>
      <c r="AA147" s="156" t="str">
        <f t="shared" si="44"/>
        <v>DELETE</v>
      </c>
      <c r="AB147" s="160" t="str" cm="1">
        <f t="array" ref="AB147">_xlfn.IFS(Y147="DELETE", "DELETE", Y147=0, 0, Y147&gt;0,LOG10(Y147))</f>
        <v>DELETE</v>
      </c>
      <c r="AC147" s="161" t="str" cm="1">
        <f t="array" ref="AC147">_xlfn.IFS(Y147="DELETE", "DELETE", Y147=0, 0, Y147&gt;0, AA147/Y147/LN(10))</f>
        <v>DELETE</v>
      </c>
      <c r="AD147" s="120">
        <f>qPCR_Raw!U147</f>
        <v>29.289083480834961</v>
      </c>
      <c r="AE147" s="121" cm="1">
        <f t="array" ref="AE147">_xlfn.IFS(AD147="Undetermined", 0, qPCR_Raw!V147&lt;=1, 0, qPCR_Raw!V147&gt;1, qPCR_Raw!V147)</f>
        <v>57.604137420654297</v>
      </c>
      <c r="AF147" s="122">
        <f>qPCR_Raw!X147</f>
        <v>32.064388275146484</v>
      </c>
      <c r="AG147" s="121" cm="1">
        <f t="array" ref="AG147">_xlfn.IFS(AF147="Undetermined", 0, qPCR_Raw!Y147&lt;=1, 0, qPCR_Raw!Y147&gt;1, qPCR_Raw!Y147)</f>
        <v>9.6617460250854492</v>
      </c>
      <c r="AH147" s="123" cm="1">
        <f t="array" ref="AH147">_xlfn.IFS(AND(AD147="Undetermined", AF147="Undetermined"), "Undetermined", AND(AE147=0, AG147=0), "Undetermined", AND(AE147=0, AG147&gt;0), "Ten-Fold", AND(AE147&gt;0, AG147=0), "Undiluted", AND(AD147&lt;&gt;"Undetermined", AF147&lt;&gt;"Undetermined", AE147&gt;0, AG147&gt;0, AD147&lt;&gt;AF147), 100*(-1+10^(-1/(AD147-AF147))), AND(AD147&lt;&gt;"Undetermined", AF147&lt;&gt;"Undetermined", AD147=AF147&gt;0), -100)</f>
        <v>129.25603883302159</v>
      </c>
      <c r="AI147" s="124" cm="1">
        <f t="array" ref="AI147">_xlfn.IFS(AH147="Undetermined", 0, AH147="Undiluted", AE147*$G147/$F147*1000, AH147="Ten-Fold", AG147*$G147/$F147*1000*10, AH147&lt;0, AG147*$G147/$F147*1000*10, AH147&lt;120, AE147*$G147/$F147*1000, AH147&gt;120, AG147*$G147/$F147*1000*10)</f>
        <v>10170.258973774158</v>
      </c>
      <c r="AJ147" s="121" t="str">
        <f t="shared" si="45"/>
        <v>DELETE</v>
      </c>
      <c r="AK147" s="121" t="str">
        <f t="shared" si="46"/>
        <v>DELETE</v>
      </c>
      <c r="AL147" s="121" t="str">
        <f t="shared" si="47"/>
        <v>DELETE</v>
      </c>
      <c r="AM147" s="125" t="str" cm="1">
        <f t="array" ref="AM147">_xlfn.IFS(AJ147="DELETE", "DELETE", AJ147=0, 0, AJ147&gt;0,LOG10(AJ147))</f>
        <v>DELETE</v>
      </c>
      <c r="AN147" s="126" t="str" cm="1">
        <f t="array" ref="AN147">_xlfn.IFS(AJ147="DELETE", "DELETE", AJ147=0, 0, AJ147&gt;0, AL147/AJ147/LN(10))</f>
        <v>DELETE</v>
      </c>
      <c r="AO147" s="155">
        <f>qPCR_Raw!AA147</f>
        <v>31.173727035522461</v>
      </c>
      <c r="AP147" s="156" cm="1">
        <f t="array" ref="AP147">_xlfn.IFS(AO147="Undetermined", 0, qPCR_Raw!AB147&lt;=6, 0, qPCR_Raw!AB147&gt;6, qPCR_Raw!AB147)</f>
        <v>0</v>
      </c>
      <c r="AQ147" s="157" t="str">
        <f>qPCR_Raw!AD147</f>
        <v>Undetermined</v>
      </c>
      <c r="AR147" s="156" cm="1">
        <f t="array" ref="AR147">_xlfn.IFS(AQ147="Undetermined", 0, qPCR_Raw!AE147&lt;=6, 0, qPCR_Raw!AE147&gt;6, qPCR_Raw!AE147)</f>
        <v>0</v>
      </c>
      <c r="AS147" s="158" t="str" cm="1">
        <f t="array" ref="AS147">_xlfn.IFS(AND(AO147="Undetermined", AQ147="Undetermined"), "Undetermined", AND(AP147=0, AR147=0), "Undetermined", AND(AP147=0, AR147&gt;0), "Ten-Fold", AND(AP147&gt;0, AR147=0), "Undiluted", AND(AO147&lt;&gt;"Undetermined", AQ147&lt;&gt;"Undetermined", AP147&gt;0, AR147&gt;0, AO147&lt;&gt;AQ147), 100*(-1+10^(-1/(AO147-AQ147))), AND(AO147&lt;&gt;"Undetermined", AQ147&lt;&gt;"Undetermined", AO147=AQ147&gt;0), -100)</f>
        <v>Undetermined</v>
      </c>
      <c r="AT147" s="159" cm="1">
        <f t="array" ref="AT147">_xlfn.IFS(AS147="Undetermined", 0, AS147="Undiluted", AP147*$G147/$F147*1000, AS147="Ten-Fold", AR147*$G147/$F147*1000*10, AS147&lt;0, AR147*$G147/$F147*1000*10, AS147&lt;120, AP147*$G147/$F147*1000, AS147&gt;120, AR147*$G147/$F147*1000*10)</f>
        <v>0</v>
      </c>
      <c r="AU147" s="156" t="str">
        <f t="shared" si="48"/>
        <v>DELETE</v>
      </c>
      <c r="AV147" s="156" t="str">
        <f t="shared" si="49"/>
        <v>DELETE</v>
      </c>
      <c r="AW147" s="156" t="str">
        <f t="shared" si="50"/>
        <v>DELETE</v>
      </c>
      <c r="AX147" s="160" t="str" cm="1">
        <f t="array" ref="AX147">_xlfn.IFS(AU147="DELETE", "DELETE", AU147=0, 0, AU147&gt;0,LOG10(AU147))</f>
        <v>DELETE</v>
      </c>
      <c r="AY147" s="161" t="str" cm="1">
        <f t="array" ref="AY147">_xlfn.IFS(AU147="DELETE", "DELETE", AU147=0, 0, AU147&gt;0, AW147/AU147/LN(10))</f>
        <v>DELETE</v>
      </c>
      <c r="AZ147" s="120" t="str">
        <f>qPCR_Raw!AG147</f>
        <v>Undetermined</v>
      </c>
      <c r="BA147" s="121" cm="1">
        <f t="array" ref="BA147">_xlfn.IFS(AZ147="Undetermined", 0, qPCR_Raw!AH147&lt;=1, 0, qPCR_Raw!AH147&gt;1, qPCR_Raw!AH147)</f>
        <v>0</v>
      </c>
      <c r="BB147" s="122" t="str">
        <f>qPCR_Raw!AJ147</f>
        <v>Undetermined</v>
      </c>
      <c r="BC147" s="121" cm="1">
        <f t="array" ref="BC147">_xlfn.IFS(BB147="Undetermined", 0, qPCR_Raw!AK147&lt;=1, 0, qPCR_Raw!AK147&gt;1, qPCR_Raw!AK147)</f>
        <v>0</v>
      </c>
      <c r="BD147" s="123" t="str" cm="1">
        <f t="array" ref="BD147">_xlfn.IFS(AND(AZ147="Undetermined", BB147="Undetermined"), "Undetermined", AND(BA147=0, BC147=0), "Undetermined", AND(BA147=0, BC147&gt;0), "Ten-Fold", AND(BA147&gt;0, BC147=0), "Undiluted", AND(AZ147&lt;&gt;"Undetermined", BB147&lt;&gt;"Undetermined", BA147&gt;0, BC147&gt;0, AZ147&lt;&gt;BB147), 100*(-1+10^(-1/(AZ147-BB147))), AND(AZ147&lt;&gt;"Undetermined", BB147&lt;&gt;"Undetermined", AZ147=BB147&gt;0), -100)</f>
        <v>Undetermined</v>
      </c>
      <c r="BE147" s="124" cm="1">
        <f t="array" ref="BE147">_xlfn.IFS(BD147="Undetermined", 0, BD147="Undiluted", BA147*$G147/$F147*1000, BD147="Ten-Fold", BC147*$G147/$F147*1000*10, BD147&lt;0, BC147*$G147/$F147*1000*10, BD147&lt;120, BA147*$G147/$F147*1000, BD147&gt;120, BC147*$G147/$F147*1000*10)</f>
        <v>0</v>
      </c>
      <c r="BF147" s="121" t="str">
        <f t="shared" si="51"/>
        <v>DELETE</v>
      </c>
      <c r="BG147" s="121" t="str">
        <f t="shared" si="52"/>
        <v>DELETE</v>
      </c>
      <c r="BH147" s="121" t="str">
        <f t="shared" si="53"/>
        <v>DELETE</v>
      </c>
      <c r="BI147" s="125" t="str" cm="1">
        <f t="array" ref="BI147">_xlfn.IFS(BF147="DELETE", "DELETE", BF147=0, 0, BF147&gt;0,LOG10(BF147))</f>
        <v>DELETE</v>
      </c>
      <c r="BJ147" s="126" t="str" cm="1">
        <f t="array" ref="BJ147">_xlfn.IFS(BF147="DELETE", "DELETE", BF147=0, 0, BF147&gt;0, BH147/BF147/LN(10))</f>
        <v>DELETE</v>
      </c>
    </row>
    <row r="148" spans="1:62" s="114" customFormat="1" x14ac:dyDescent="0.3">
      <c r="A148" s="115" t="str">
        <f>UPPER(LEFT(SUBSTITUTE(SUBSTITUTE(qPCR_Raw!A148,"-","")," ",""),2))&amp;RIGHT(SUBSTITUTE(SUBSTITUTE(qPCR_Raw!A148,"-","")," ",""),LEN(SUBSTITUTE(SUBSTITUTE(qPCR_Raw!A148,"-","")," ",""))-2)</f>
        <v>STb6</v>
      </c>
      <c r="B148" s="116" t="str" cm="1">
        <f t="array" ref="B148">_xlfn.IFS(LEFT(A148, LEN(A148)-1)="EP", "EP", LEFT(A148, LEN(A148)-1)="STa", "SPI", LEFT(A148, LEN(A148)-1)="STb", "SPO", LEFT(A148, LEN(A148)-1)="MRT", "MRT", LEFT(A148, LEN(A148)-1)="RG", "RN", LEFT(A148, LEN(A148)-1)="RT", "RU", LEFT(A148, LEN(A148)-1)="RW", "RL", LEFT(A148, LEN(A148)-1)="RC", "RS")</f>
        <v>SPO</v>
      </c>
      <c r="C148" s="117">
        <f>qPCR_Raw!B148</f>
        <v>44398</v>
      </c>
      <c r="D148" s="117" t="str">
        <f t="shared" si="37"/>
        <v>SPO44398</v>
      </c>
      <c r="E148" s="117" t="str">
        <f t="shared" si="38"/>
        <v>SPO443986</v>
      </c>
      <c r="F148" s="118">
        <f>qPCR_Raw!C148</f>
        <v>960</v>
      </c>
      <c r="G148" s="119">
        <f>qPCR_Raw!F148</f>
        <v>100</v>
      </c>
      <c r="H148" s="120">
        <f>qPCR_Raw!G148</f>
        <v>22.922767639160156</v>
      </c>
      <c r="I148" s="121" cm="1">
        <f t="array" ref="I148">_xlfn.IFS(H148="Undetermined", 0, qPCR_Raw!H148-qPCR_Raw!$H$242&lt;0, 0, qPCR_Raw!H148-qPCR_Raw!$H$242&gt;0, qPCR_Raw!H148-qPCR_Raw!$H$242)</f>
        <v>1973.2159383138023</v>
      </c>
      <c r="J148" s="122">
        <f>qPCR_Raw!K148</f>
        <v>26.018707275390625</v>
      </c>
      <c r="K148" s="121" cm="1">
        <f t="array" ref="K148">_xlfn.IFS(J148="Undetermined", 0, qPCR_Raw!L148-qPCR_Raw!$H$242&lt;0, 0, qPCR_Raw!L148-qPCR_Raw!$H$242&gt;0, qPCR_Raw!L148-qPCR_Raw!$H$242)</f>
        <v>0</v>
      </c>
      <c r="L148" s="123" t="str" cm="1">
        <f t="array" ref="L148">_xlfn.IFS(AND(H148="Undetermined", J148="Undetermined"), "Undetermined", AND(I148=0, K148=0), "Undetermined", AND(I148=0, K148&gt;0), "Ten-Fold", AND(I148&gt;0, K148=0), "Undiluted", AND(H148&lt;&gt;"Undetermined", J148&lt;&gt;"Undetermined", I148&gt;0, K148&gt;0), 100*(-1+10^(-1/(H148-J148))))</f>
        <v>Undiluted</v>
      </c>
      <c r="M148" s="124" cm="1">
        <f t="array" ref="M148">_xlfn.IFS(L148="Undetermined", 0, L148="Undiluted", I148*$G148/$F148*1000, L148="Ten-Fold", K148*$G148/$F148*1000*10, L148&lt;0, K148*$G148/$F148*1000*10, L148&lt;120, I148*$G148/$F148*1000, L148&gt;120, K148*$G148/$F148*1000*10)</f>
        <v>205543.32690768776</v>
      </c>
      <c r="N148" s="121">
        <f t="shared" si="39"/>
        <v>102771.66345384388</v>
      </c>
      <c r="O148" s="121">
        <f t="shared" si="40"/>
        <v>145341.08028406938</v>
      </c>
      <c r="P148" s="121">
        <f t="shared" si="41"/>
        <v>102771.66345384388</v>
      </c>
      <c r="Q148" s="125" cm="1">
        <f t="array" ref="Q148">_xlfn.IFS(N148="DELETE", "DELETE", N148=0, 0, N148&gt;0,LOG10(N148))</f>
        <v>5.01187338604002</v>
      </c>
      <c r="R148" s="126" cm="1">
        <f t="array" ref="R148">_xlfn.IFS(N148="DELETE", "DELETE", N148=0, 0, N148&gt;0, P148/N148/LN(10))</f>
        <v>0.43429448190325176</v>
      </c>
      <c r="S148" s="155">
        <f>qPCR_Raw!O148</f>
        <v>36.291912078857422</v>
      </c>
      <c r="T148" s="156" cm="1">
        <f t="array" ref="T148">_xlfn.IFS(S148="Undetermined", 0, qPCR_Raw!P148&lt;=1, 0, qPCR_Raw!P148&gt;1, qPCR_Raw!P148)</f>
        <v>4.8520331382751465</v>
      </c>
      <c r="U148" s="157">
        <f>qPCR_Raw!R148</f>
        <v>39.181045532226563</v>
      </c>
      <c r="V148" s="156" cm="1">
        <f t="array" ref="V148">_xlfn.IFS(U148="Undetermined", 0, qPCR_Raw!S148&lt;=1, 0, qPCR_Raw!S148&gt;1, qPCR_Raw!S148)</f>
        <v>0</v>
      </c>
      <c r="W148" s="158" t="str" cm="1">
        <f t="array" ref="W148">_xlfn.IFS(AND(S148="Undetermined", U148="Undetermined"), "Undetermined", AND(T148=0, V148=0), "Undetermined", AND(T148=0, V148&gt;0), "Ten-Fold", AND(T148&gt;0, V148=0), "Undiluted", AND(S148&lt;&gt;"Undetermined", U148&lt;&gt;"Undetermined", T148&gt;0, V148&gt;0, S148&lt;&gt;U148), 100*(-1+10^(-1/(S148-U148))), AND(S148&lt;&gt;"Undetermined", U148&lt;&gt;"Undetermined", S148=U148&gt;0), -100)</f>
        <v>Undiluted</v>
      </c>
      <c r="X148" s="159" cm="1">
        <f t="array" ref="X148">_xlfn.IFS(W148="Undetermined", 0, W148="Undiluted", T148*$G148/$F148*1000, W148="Ten-Fold", V148*$G148/$F148*1000*10, W148&lt;0, V148*$G148/$F148*1000*10, W148&lt;120, T148*$G148/$F148*1000, W148&gt;120, V148*$G148/$F148*1000*10)</f>
        <v>505.42011857032776</v>
      </c>
      <c r="Y148" s="156">
        <f t="shared" si="42"/>
        <v>461.25147640705109</v>
      </c>
      <c r="Z148" s="156">
        <f t="shared" si="43"/>
        <v>62.463892778909987</v>
      </c>
      <c r="AA148" s="156">
        <f t="shared" si="44"/>
        <v>44.168642163276665</v>
      </c>
      <c r="AB148" s="160" cm="1">
        <f t="array" ref="AB148">_xlfn.IFS(Y148="DELETE", "DELETE", Y148=0, 0, Y148&gt;0,LOG10(Y148))</f>
        <v>2.6639377692904969</v>
      </c>
      <c r="AC148" s="161" cm="1">
        <f t="array" ref="AC148">_xlfn.IFS(Y148="DELETE", "DELETE", Y148=0, 0, Y148&gt;0, AA148/Y148/LN(10))</f>
        <v>4.158728707838804E-2</v>
      </c>
      <c r="AD148" s="120" t="str">
        <f>qPCR_Raw!U148</f>
        <v>Undetermined</v>
      </c>
      <c r="AE148" s="121" cm="1">
        <f t="array" ref="AE148">_xlfn.IFS(AD148="Undetermined", 0, qPCR_Raw!V148&lt;=1, 0, qPCR_Raw!V148&gt;1, qPCR_Raw!V148)</f>
        <v>0</v>
      </c>
      <c r="AF148" s="122">
        <f>qPCR_Raw!X148</f>
        <v>38.659431457519531</v>
      </c>
      <c r="AG148" s="121" cm="1">
        <f t="array" ref="AG148">_xlfn.IFS(AF148="Undetermined", 0, qPCR_Raw!Y148&lt;=1, 0, qPCR_Raw!Y148&gt;1, qPCR_Raw!Y148)</f>
        <v>0</v>
      </c>
      <c r="AH148" s="123" t="str" cm="1">
        <f t="array" ref="AH148">_xlfn.IFS(AND(AD148="Undetermined", AF148="Undetermined"), "Undetermined", AND(AE148=0, AG148=0), "Undetermined", AND(AE148=0, AG148&gt;0), "Ten-Fold", AND(AE148&gt;0, AG148=0), "Undiluted", AND(AD148&lt;&gt;"Undetermined", AF148&lt;&gt;"Undetermined", AE148&gt;0, AG148&gt;0, AD148&lt;&gt;AF148), 100*(-1+10^(-1/(AD148-AF148))), AND(AD148&lt;&gt;"Undetermined", AF148&lt;&gt;"Undetermined", AD148=AF148&gt;0), -100)</f>
        <v>Undetermined</v>
      </c>
      <c r="AI148" s="124" cm="1">
        <f t="array" ref="AI148">_xlfn.IFS(AH148="Undetermined", 0, AH148="Undiluted", AE148*$G148/$F148*1000, AH148="Ten-Fold", AG148*$G148/$F148*1000*10, AH148&lt;0, AG148*$G148/$F148*1000*10, AH148&lt;120, AE148*$G148/$F148*1000, AH148&gt;120, AG148*$G148/$F148*1000*10)</f>
        <v>0</v>
      </c>
      <c r="AJ148" s="121">
        <f t="shared" si="45"/>
        <v>0</v>
      </c>
      <c r="AK148" s="121">
        <f t="shared" si="46"/>
        <v>0</v>
      </c>
      <c r="AL148" s="121">
        <f t="shared" si="47"/>
        <v>0</v>
      </c>
      <c r="AM148" s="125" cm="1">
        <f t="array" ref="AM148">_xlfn.IFS(AJ148="DELETE", "DELETE", AJ148=0, 0, AJ148&gt;0,LOG10(AJ148))</f>
        <v>0</v>
      </c>
      <c r="AN148" s="126" cm="1">
        <f t="array" ref="AN148">_xlfn.IFS(AJ148="DELETE", "DELETE", AJ148=0, 0, AJ148&gt;0, AL148/AJ148/LN(10))</f>
        <v>0</v>
      </c>
      <c r="AO148" s="155">
        <f>qPCR_Raw!AA148</f>
        <v>30.622674942016602</v>
      </c>
      <c r="AP148" s="156" cm="1">
        <f t="array" ref="AP148">_xlfn.IFS(AO148="Undetermined", 0, qPCR_Raw!AB148&lt;=6, 0, qPCR_Raw!AB148&gt;6, qPCR_Raw!AB148)</f>
        <v>0</v>
      </c>
      <c r="AQ148" s="157" t="str">
        <f>qPCR_Raw!AD148</f>
        <v>Undetermined</v>
      </c>
      <c r="AR148" s="156" cm="1">
        <f t="array" ref="AR148">_xlfn.IFS(AQ148="Undetermined", 0, qPCR_Raw!AE148&lt;=6, 0, qPCR_Raw!AE148&gt;6, qPCR_Raw!AE148)</f>
        <v>0</v>
      </c>
      <c r="AS148" s="158" t="str" cm="1">
        <f t="array" ref="AS148">_xlfn.IFS(AND(AO148="Undetermined", AQ148="Undetermined"), "Undetermined", AND(AP148=0, AR148=0), "Undetermined", AND(AP148=0, AR148&gt;0), "Ten-Fold", AND(AP148&gt;0, AR148=0), "Undiluted", AND(AO148&lt;&gt;"Undetermined", AQ148&lt;&gt;"Undetermined", AP148&gt;0, AR148&gt;0, AO148&lt;&gt;AQ148), 100*(-1+10^(-1/(AO148-AQ148))), AND(AO148&lt;&gt;"Undetermined", AQ148&lt;&gt;"Undetermined", AO148=AQ148&gt;0), -100)</f>
        <v>Undetermined</v>
      </c>
      <c r="AT148" s="159" cm="1">
        <f t="array" ref="AT148">_xlfn.IFS(AS148="Undetermined", 0, AS148="Undiluted", AP148*$G148/$F148*1000, AS148="Ten-Fold", AR148*$G148/$F148*1000*10, AS148&lt;0, AR148*$G148/$F148*1000*10, AS148&lt;120, AP148*$G148/$F148*1000, AS148&gt;120, AR148*$G148/$F148*1000*10)</f>
        <v>0</v>
      </c>
      <c r="AU148" s="156">
        <f t="shared" si="48"/>
        <v>0</v>
      </c>
      <c r="AV148" s="156">
        <f t="shared" si="49"/>
        <v>0</v>
      </c>
      <c r="AW148" s="156">
        <f t="shared" si="50"/>
        <v>0</v>
      </c>
      <c r="AX148" s="160" cm="1">
        <f t="array" ref="AX148">_xlfn.IFS(AU148="DELETE", "DELETE", AU148=0, 0, AU148&gt;0,LOG10(AU148))</f>
        <v>0</v>
      </c>
      <c r="AY148" s="161" cm="1">
        <f t="array" ref="AY148">_xlfn.IFS(AU148="DELETE", "DELETE", AU148=0, 0, AU148&gt;0, AW148/AU148/LN(10))</f>
        <v>0</v>
      </c>
      <c r="AZ148" s="120" t="str">
        <f>qPCR_Raw!AG148</f>
        <v>Undetermined</v>
      </c>
      <c r="BA148" s="121" cm="1">
        <f t="array" ref="BA148">_xlfn.IFS(AZ148="Undetermined", 0, qPCR_Raw!AH148&lt;=1, 0, qPCR_Raw!AH148&gt;1, qPCR_Raw!AH148)</f>
        <v>0</v>
      </c>
      <c r="BB148" s="122" t="str">
        <f>qPCR_Raw!AJ148</f>
        <v>Undetermined</v>
      </c>
      <c r="BC148" s="121" cm="1">
        <f t="array" ref="BC148">_xlfn.IFS(BB148="Undetermined", 0, qPCR_Raw!AK148&lt;=1, 0, qPCR_Raw!AK148&gt;1, qPCR_Raw!AK148)</f>
        <v>0</v>
      </c>
      <c r="BD148" s="123" t="str" cm="1">
        <f t="array" ref="BD148">_xlfn.IFS(AND(AZ148="Undetermined", BB148="Undetermined"), "Undetermined", AND(BA148=0, BC148=0), "Undetermined", AND(BA148=0, BC148&gt;0), "Ten-Fold", AND(BA148&gt;0, BC148=0), "Undiluted", AND(AZ148&lt;&gt;"Undetermined", BB148&lt;&gt;"Undetermined", BA148&gt;0, BC148&gt;0, AZ148&lt;&gt;BB148), 100*(-1+10^(-1/(AZ148-BB148))), AND(AZ148&lt;&gt;"Undetermined", BB148&lt;&gt;"Undetermined", AZ148=BB148&gt;0), -100)</f>
        <v>Undetermined</v>
      </c>
      <c r="BE148" s="124" cm="1">
        <f t="array" ref="BE148">_xlfn.IFS(BD148="Undetermined", 0, BD148="Undiluted", BA148*$G148/$F148*1000, BD148="Ten-Fold", BC148*$G148/$F148*1000*10, BD148&lt;0, BC148*$G148/$F148*1000*10, BD148&lt;120, BA148*$G148/$F148*1000, BD148&gt;120, BC148*$G148/$F148*1000*10)</f>
        <v>0</v>
      </c>
      <c r="BF148" s="121">
        <f t="shared" si="51"/>
        <v>0</v>
      </c>
      <c r="BG148" s="121">
        <f t="shared" si="52"/>
        <v>0</v>
      </c>
      <c r="BH148" s="121">
        <f t="shared" si="53"/>
        <v>0</v>
      </c>
      <c r="BI148" s="125" cm="1">
        <f t="array" ref="BI148">_xlfn.IFS(BF148="DELETE", "DELETE", BF148=0, 0, BF148&gt;0,LOG10(BF148))</f>
        <v>0</v>
      </c>
      <c r="BJ148" s="126" cm="1">
        <f t="array" ref="BJ148">_xlfn.IFS(BF148="DELETE", "DELETE", BF148=0, 0, BF148&gt;0, BH148/BF148/LN(10))</f>
        <v>0</v>
      </c>
    </row>
    <row r="149" spans="1:62" s="114" customFormat="1" x14ac:dyDescent="0.3">
      <c r="A149" s="115" t="str">
        <f>UPPER(LEFT(SUBSTITUTE(SUBSTITUTE(qPCR_Raw!A149,"-","")," ",""),2))&amp;RIGHT(SUBSTITUTE(SUBSTITUTE(qPCR_Raw!A149,"-","")," ",""),LEN(SUBSTITUTE(SUBSTITUTE(qPCR_Raw!A149,"-","")," ",""))-2)</f>
        <v>STb7</v>
      </c>
      <c r="B149" s="116" t="str" cm="1">
        <f t="array" ref="B149">_xlfn.IFS(LEFT(A149, LEN(A149)-1)="EP", "EP", LEFT(A149, LEN(A149)-1)="STa", "SPI", LEFT(A149, LEN(A149)-1)="STb", "SPO", LEFT(A149, LEN(A149)-1)="MRT", "MRT", LEFT(A149, LEN(A149)-1)="RG", "RN", LEFT(A149, LEN(A149)-1)="RT", "RU", LEFT(A149, LEN(A149)-1)="RW", "RL", LEFT(A149, LEN(A149)-1)="RC", "RS")</f>
        <v>SPO</v>
      </c>
      <c r="C149" s="117">
        <f>qPCR_Raw!B149</f>
        <v>44398</v>
      </c>
      <c r="D149" s="117" t="str">
        <f t="shared" si="37"/>
        <v>SPO44398</v>
      </c>
      <c r="E149" s="117" t="str">
        <f t="shared" si="38"/>
        <v>SPO443987</v>
      </c>
      <c r="F149" s="118">
        <f>qPCR_Raw!C149</f>
        <v>1000</v>
      </c>
      <c r="G149" s="119">
        <f>qPCR_Raw!F149</f>
        <v>100</v>
      </c>
      <c r="H149" s="120">
        <f>qPCR_Raw!G149</f>
        <v>23.217313766479492</v>
      </c>
      <c r="I149" s="121" cm="1">
        <f t="array" ref="I149">_xlfn.IFS(H149="Undetermined", 0, qPCR_Raw!H149-qPCR_Raw!$H$242&lt;0, 0, qPCR_Raw!H149-qPCR_Raw!$H$242&gt;0, qPCR_Raw!H149-qPCR_Raw!$H$242)</f>
        <v>0</v>
      </c>
      <c r="J149" s="122">
        <f>qPCR_Raw!K149</f>
        <v>26.650684356689453</v>
      </c>
      <c r="K149" s="121" cm="1">
        <f t="array" ref="K149">_xlfn.IFS(J149="Undetermined", 0, qPCR_Raw!L149-qPCR_Raw!$H$242&lt;0, 0, qPCR_Raw!L149-qPCR_Raw!$H$242&gt;0, qPCR_Raw!L149-qPCR_Raw!$H$242)</f>
        <v>0</v>
      </c>
      <c r="L149" s="123" t="str" cm="1">
        <f t="array" ref="L149">_xlfn.IFS(AND(H149="Undetermined", J149="Undetermined"), "Undetermined", AND(I149=0, K149=0), "Undetermined", AND(I149=0, K149&gt;0), "Ten-Fold", AND(I149&gt;0, K149=0), "Undiluted", AND(H149&lt;&gt;"Undetermined", J149&lt;&gt;"Undetermined", I149&gt;0, K149&gt;0), 100*(-1+10^(-1/(H149-J149))))</f>
        <v>Undetermined</v>
      </c>
      <c r="M149" s="124" cm="1">
        <f t="array" ref="M149">_xlfn.IFS(L149="Undetermined", 0, L149="Undiluted", I149*$G149/$F149*1000, L149="Ten-Fold", K149*$G149/$F149*1000*10, L149&lt;0, K149*$G149/$F149*1000*10, L149&lt;120, I149*$G149/$F149*1000, L149&gt;120, K149*$G149/$F149*1000*10)</f>
        <v>0</v>
      </c>
      <c r="N149" s="121" t="str">
        <f t="shared" si="39"/>
        <v>DELETE</v>
      </c>
      <c r="O149" s="121" t="str">
        <f t="shared" si="40"/>
        <v>DELETE</v>
      </c>
      <c r="P149" s="121" t="str">
        <f t="shared" si="41"/>
        <v>DELETE</v>
      </c>
      <c r="Q149" s="125" t="str" cm="1">
        <f t="array" ref="Q149">_xlfn.IFS(N149="DELETE", "DELETE", N149=0, 0, N149&gt;0,LOG10(N149))</f>
        <v>DELETE</v>
      </c>
      <c r="R149" s="126" t="str" cm="1">
        <f t="array" ref="R149">_xlfn.IFS(N149="DELETE", "DELETE", N149=0, 0, N149&gt;0, P149/N149/LN(10))</f>
        <v>DELETE</v>
      </c>
      <c r="S149" s="155">
        <f>qPCR_Raw!O149</f>
        <v>36.543548583984375</v>
      </c>
      <c r="T149" s="156" cm="1">
        <f t="array" ref="T149">_xlfn.IFS(S149="Undetermined", 0, qPCR_Raw!P149&lt;=1, 0, qPCR_Raw!P149&gt;1, qPCR_Raw!P149)</f>
        <v>4.1708283424377441</v>
      </c>
      <c r="U149" s="157">
        <f>qPCR_Raw!R149</f>
        <v>39.227321624755859</v>
      </c>
      <c r="V149" s="156" cm="1">
        <f t="array" ref="V149">_xlfn.IFS(U149="Undetermined", 0, qPCR_Raw!S149&lt;=1, 0, qPCR_Raw!S149&gt;1, qPCR_Raw!S149)</f>
        <v>0</v>
      </c>
      <c r="W149" s="158" t="str" cm="1">
        <f t="array" ref="W149">_xlfn.IFS(AND(S149="Undetermined", U149="Undetermined"), "Undetermined", AND(T149=0, V149=0), "Undetermined", AND(T149=0, V149&gt;0), "Ten-Fold", AND(T149&gt;0, V149=0), "Undiluted", AND(S149&lt;&gt;"Undetermined", U149&lt;&gt;"Undetermined", T149&gt;0, V149&gt;0, S149&lt;&gt;U149), 100*(-1+10^(-1/(S149-U149))), AND(S149&lt;&gt;"Undetermined", U149&lt;&gt;"Undetermined", S149=U149&gt;0), -100)</f>
        <v>Undiluted</v>
      </c>
      <c r="X149" s="159" cm="1">
        <f t="array" ref="X149">_xlfn.IFS(W149="Undetermined", 0, W149="Undiluted", T149*$G149/$F149*1000, W149="Ten-Fold", V149*$G149/$F149*1000*10, W149&lt;0, V149*$G149/$F149*1000*10, W149&lt;120, T149*$G149/$F149*1000, W149&gt;120, V149*$G149/$F149*1000*10)</f>
        <v>417.08283424377441</v>
      </c>
      <c r="Y149" s="156" t="str">
        <f t="shared" si="42"/>
        <v>DELETE</v>
      </c>
      <c r="Z149" s="156" t="str">
        <f t="shared" si="43"/>
        <v>DELETE</v>
      </c>
      <c r="AA149" s="156" t="str">
        <f t="shared" si="44"/>
        <v>DELETE</v>
      </c>
      <c r="AB149" s="160" t="str" cm="1">
        <f t="array" ref="AB149">_xlfn.IFS(Y149="DELETE", "DELETE", Y149=0, 0, Y149&gt;0,LOG10(Y149))</f>
        <v>DELETE</v>
      </c>
      <c r="AC149" s="161" t="str" cm="1">
        <f t="array" ref="AC149">_xlfn.IFS(Y149="DELETE", "DELETE", Y149=0, 0, Y149&gt;0, AA149/Y149/LN(10))</f>
        <v>DELETE</v>
      </c>
      <c r="AD149" s="120" t="str">
        <f>qPCR_Raw!U149</f>
        <v>Undetermined</v>
      </c>
      <c r="AE149" s="121" cm="1">
        <f t="array" ref="AE149">_xlfn.IFS(AD149="Undetermined", 0, qPCR_Raw!V149&lt;=1, 0, qPCR_Raw!V149&gt;1, qPCR_Raw!V149)</f>
        <v>0</v>
      </c>
      <c r="AF149" s="122" t="str">
        <f>qPCR_Raw!X149</f>
        <v>Undetermined</v>
      </c>
      <c r="AG149" s="121" cm="1">
        <f t="array" ref="AG149">_xlfn.IFS(AF149="Undetermined", 0, qPCR_Raw!Y149&lt;=1, 0, qPCR_Raw!Y149&gt;1, qPCR_Raw!Y149)</f>
        <v>0</v>
      </c>
      <c r="AH149" s="123" t="str" cm="1">
        <f t="array" ref="AH149">_xlfn.IFS(AND(AD149="Undetermined", AF149="Undetermined"), "Undetermined", AND(AE149=0, AG149=0), "Undetermined", AND(AE149=0, AG149&gt;0), "Ten-Fold", AND(AE149&gt;0, AG149=0), "Undiluted", AND(AD149&lt;&gt;"Undetermined", AF149&lt;&gt;"Undetermined", AE149&gt;0, AG149&gt;0, AD149&lt;&gt;AF149), 100*(-1+10^(-1/(AD149-AF149))), AND(AD149&lt;&gt;"Undetermined", AF149&lt;&gt;"Undetermined", AD149=AF149&gt;0), -100)</f>
        <v>Undetermined</v>
      </c>
      <c r="AI149" s="124" cm="1">
        <f t="array" ref="AI149">_xlfn.IFS(AH149="Undetermined", 0, AH149="Undiluted", AE149*$G149/$F149*1000, AH149="Ten-Fold", AG149*$G149/$F149*1000*10, AH149&lt;0, AG149*$G149/$F149*1000*10, AH149&lt;120, AE149*$G149/$F149*1000, AH149&gt;120, AG149*$G149/$F149*1000*10)</f>
        <v>0</v>
      </c>
      <c r="AJ149" s="121" t="str">
        <f t="shared" si="45"/>
        <v>DELETE</v>
      </c>
      <c r="AK149" s="121" t="str">
        <f t="shared" si="46"/>
        <v>DELETE</v>
      </c>
      <c r="AL149" s="121" t="str">
        <f t="shared" si="47"/>
        <v>DELETE</v>
      </c>
      <c r="AM149" s="125" t="str" cm="1">
        <f t="array" ref="AM149">_xlfn.IFS(AJ149="DELETE", "DELETE", AJ149=0, 0, AJ149&gt;0,LOG10(AJ149))</f>
        <v>DELETE</v>
      </c>
      <c r="AN149" s="126" t="str" cm="1">
        <f t="array" ref="AN149">_xlfn.IFS(AJ149="DELETE", "DELETE", AJ149=0, 0, AJ149&gt;0, AL149/AJ149/LN(10))</f>
        <v>DELETE</v>
      </c>
      <c r="AO149" s="155">
        <f>qPCR_Raw!AA149</f>
        <v>30.703668594360352</v>
      </c>
      <c r="AP149" s="156" cm="1">
        <f t="array" ref="AP149">_xlfn.IFS(AO149="Undetermined", 0, qPCR_Raw!AB149&lt;=6, 0, qPCR_Raw!AB149&gt;6, qPCR_Raw!AB149)</f>
        <v>0</v>
      </c>
      <c r="AQ149" s="157">
        <f>qPCR_Raw!AD149</f>
        <v>34.891929626464844</v>
      </c>
      <c r="AR149" s="156" cm="1">
        <f t="array" ref="AR149">_xlfn.IFS(AQ149="Undetermined", 0, qPCR_Raw!AE149&lt;=6, 0, qPCR_Raw!AE149&gt;6, qPCR_Raw!AE149)</f>
        <v>0</v>
      </c>
      <c r="AS149" s="158" t="str" cm="1">
        <f t="array" ref="AS149">_xlfn.IFS(AND(AO149="Undetermined", AQ149="Undetermined"), "Undetermined", AND(AP149=0, AR149=0), "Undetermined", AND(AP149=0, AR149&gt;0), "Ten-Fold", AND(AP149&gt;0, AR149=0), "Undiluted", AND(AO149&lt;&gt;"Undetermined", AQ149&lt;&gt;"Undetermined", AP149&gt;0, AR149&gt;0, AO149&lt;&gt;AQ149), 100*(-1+10^(-1/(AO149-AQ149))), AND(AO149&lt;&gt;"Undetermined", AQ149&lt;&gt;"Undetermined", AO149=AQ149&gt;0), -100)</f>
        <v>Undetermined</v>
      </c>
      <c r="AT149" s="159" cm="1">
        <f t="array" ref="AT149">_xlfn.IFS(AS149="Undetermined", 0, AS149="Undiluted", AP149*$G149/$F149*1000, AS149="Ten-Fold", AR149*$G149/$F149*1000*10, AS149&lt;0, AR149*$G149/$F149*1000*10, AS149&lt;120, AP149*$G149/$F149*1000, AS149&gt;120, AR149*$G149/$F149*1000*10)</f>
        <v>0</v>
      </c>
      <c r="AU149" s="156" t="str">
        <f t="shared" si="48"/>
        <v>DELETE</v>
      </c>
      <c r="AV149" s="156" t="str">
        <f t="shared" si="49"/>
        <v>DELETE</v>
      </c>
      <c r="AW149" s="156" t="str">
        <f t="shared" si="50"/>
        <v>DELETE</v>
      </c>
      <c r="AX149" s="160" t="str" cm="1">
        <f t="array" ref="AX149">_xlfn.IFS(AU149="DELETE", "DELETE", AU149=0, 0, AU149&gt;0,LOG10(AU149))</f>
        <v>DELETE</v>
      </c>
      <c r="AY149" s="161" t="str" cm="1">
        <f t="array" ref="AY149">_xlfn.IFS(AU149="DELETE", "DELETE", AU149=0, 0, AU149&gt;0, AW149/AU149/LN(10))</f>
        <v>DELETE</v>
      </c>
      <c r="AZ149" s="120" t="str">
        <f>qPCR_Raw!AG149</f>
        <v>Undetermined</v>
      </c>
      <c r="BA149" s="121" cm="1">
        <f t="array" ref="BA149">_xlfn.IFS(AZ149="Undetermined", 0, qPCR_Raw!AH149&lt;=1, 0, qPCR_Raw!AH149&gt;1, qPCR_Raw!AH149)</f>
        <v>0</v>
      </c>
      <c r="BB149" s="122" t="str">
        <f>qPCR_Raw!AJ149</f>
        <v>Undetermined</v>
      </c>
      <c r="BC149" s="121" cm="1">
        <f t="array" ref="BC149">_xlfn.IFS(BB149="Undetermined", 0, qPCR_Raw!AK149&lt;=1, 0, qPCR_Raw!AK149&gt;1, qPCR_Raw!AK149)</f>
        <v>0</v>
      </c>
      <c r="BD149" s="123" t="str" cm="1">
        <f t="array" ref="BD149">_xlfn.IFS(AND(AZ149="Undetermined", BB149="Undetermined"), "Undetermined", AND(BA149=0, BC149=0), "Undetermined", AND(BA149=0, BC149&gt;0), "Ten-Fold", AND(BA149&gt;0, BC149=0), "Undiluted", AND(AZ149&lt;&gt;"Undetermined", BB149&lt;&gt;"Undetermined", BA149&gt;0, BC149&gt;0, AZ149&lt;&gt;BB149), 100*(-1+10^(-1/(AZ149-BB149))), AND(AZ149&lt;&gt;"Undetermined", BB149&lt;&gt;"Undetermined", AZ149=BB149&gt;0), -100)</f>
        <v>Undetermined</v>
      </c>
      <c r="BE149" s="124" cm="1">
        <f t="array" ref="BE149">_xlfn.IFS(BD149="Undetermined", 0, BD149="Undiluted", BA149*$G149/$F149*1000, BD149="Ten-Fold", BC149*$G149/$F149*1000*10, BD149&lt;0, BC149*$G149/$F149*1000*10, BD149&lt;120, BA149*$G149/$F149*1000, BD149&gt;120, BC149*$G149/$F149*1000*10)</f>
        <v>0</v>
      </c>
      <c r="BF149" s="121" t="str">
        <f t="shared" si="51"/>
        <v>DELETE</v>
      </c>
      <c r="BG149" s="121" t="str">
        <f t="shared" si="52"/>
        <v>DELETE</v>
      </c>
      <c r="BH149" s="121" t="str">
        <f t="shared" si="53"/>
        <v>DELETE</v>
      </c>
      <c r="BI149" s="125" t="str" cm="1">
        <f t="array" ref="BI149">_xlfn.IFS(BF149="DELETE", "DELETE", BF149=0, 0, BF149&gt;0,LOG10(BF149))</f>
        <v>DELETE</v>
      </c>
      <c r="BJ149" s="126" t="str" cm="1">
        <f t="array" ref="BJ149">_xlfn.IFS(BF149="DELETE", "DELETE", BF149=0, 0, BF149&gt;0, BH149/BF149/LN(10))</f>
        <v>DELETE</v>
      </c>
    </row>
    <row r="150" spans="1:62" s="114" customFormat="1" x14ac:dyDescent="0.3">
      <c r="A150" s="115" t="str">
        <f>UPPER(LEFT(SUBSTITUTE(SUBSTITUTE(qPCR_Raw!A150,"-","")," ",""),2))&amp;RIGHT(SUBSTITUTE(SUBSTITUTE(qPCR_Raw!A150,"-","")," ",""),LEN(SUBSTITUTE(SUBSTITUTE(qPCR_Raw!A150,"-","")," ",""))-2)</f>
        <v>RC6</v>
      </c>
      <c r="B150" s="116" t="str" cm="1">
        <f t="array" ref="B150">_xlfn.IFS(LEFT(A150, LEN(A150)-1)="EP", "EP", LEFT(A150, LEN(A150)-1)="STa", "SPI", LEFT(A150, LEN(A150)-1)="STb", "SPO", LEFT(A150, LEN(A150)-1)="MRT", "MRT", LEFT(A150, LEN(A150)-1)="RG", "RN", LEFT(A150, LEN(A150)-1)="RT", "RU", LEFT(A150, LEN(A150)-1)="RW", "RL", LEFT(A150, LEN(A150)-1)="RC", "RS")</f>
        <v>RS</v>
      </c>
      <c r="C150" s="117">
        <f>qPCR_Raw!B150</f>
        <v>44398</v>
      </c>
      <c r="D150" s="117" t="str">
        <f t="shared" si="37"/>
        <v>RS44398</v>
      </c>
      <c r="E150" s="117" t="str">
        <f t="shared" si="38"/>
        <v>RS443986</v>
      </c>
      <c r="F150" s="118">
        <f>qPCR_Raw!C150</f>
        <v>920</v>
      </c>
      <c r="G150" s="119">
        <f>qPCR_Raw!F150</f>
        <v>100</v>
      </c>
      <c r="H150" s="120">
        <f>qPCR_Raw!G150</f>
        <v>17.631204605102539</v>
      </c>
      <c r="I150" s="121" cm="1">
        <f t="array" ref="I150">_xlfn.IFS(H150="Undetermined", 0, qPCR_Raw!H150-qPCR_Raw!$H$242&lt;0, 0, qPCR_Raw!H150-qPCR_Raw!$H$242&gt;0, qPCR_Raw!H150-qPCR_Raw!$H$242)</f>
        <v>501433.17394612631</v>
      </c>
      <c r="J150" s="122">
        <f>qPCR_Raw!K150</f>
        <v>20.565334320068359</v>
      </c>
      <c r="K150" s="121" cm="1">
        <f t="array" ref="K150">_xlfn.IFS(J150="Undetermined", 0, qPCR_Raw!L150-qPCR_Raw!$H$242&lt;0, 0, qPCR_Raw!L150-qPCR_Raw!$H$242&gt;0, qPCR_Raw!L150-qPCR_Raw!$H$242)</f>
        <v>59350.205196126306</v>
      </c>
      <c r="L150" s="123" cm="1">
        <f t="array" ref="L150">_xlfn.IFS(AND(H150="Undetermined", J150="Undetermined"), "Undetermined", AND(I150=0, K150=0), "Undetermined", AND(I150=0, K150&gt;0), "Ten-Fold", AND(I150&gt;0, K150=0), "Undiluted", AND(H150&lt;&gt;"Undetermined", J150&lt;&gt;"Undetermined", I150&gt;0, K150&gt;0), 100*(-1+10^(-1/(H150-J150))))</f>
        <v>119.18789271645518</v>
      </c>
      <c r="M150" s="124" cm="1">
        <f t="array" ref="M150">_xlfn.IFS(L150="Undetermined", 0, L150="Undiluted", I150*$G150/$F150*1000, L150="Ten-Fold", K150*$G150/$F150*1000*10, L150&lt;0, K150*$G150/$F150*1000*10, L150&lt;120, I150*$G150/$F150*1000, L150&gt;120, K150*$G150/$F150*1000*10)</f>
        <v>54503605.863709383</v>
      </c>
      <c r="N150" s="121">
        <f t="shared" si="39"/>
        <v>38399491.316661008</v>
      </c>
      <c r="O150" s="121">
        <f t="shared" si="40"/>
        <v>22774657.20244566</v>
      </c>
      <c r="P150" s="121">
        <f t="shared" si="41"/>
        <v>16104114.547048371</v>
      </c>
      <c r="Q150" s="125" cm="1">
        <f t="array" ref="Q150">_xlfn.IFS(N150="DELETE", "DELETE", N150=0, 0, N150&gt;0,LOG10(N150))</f>
        <v>7.584325471246947</v>
      </c>
      <c r="R150" s="126" cm="1">
        <f t="array" ref="R150">_xlfn.IFS(N150="DELETE", "DELETE", N150=0, 0, N150&gt;0, P150/N150/LN(10))</f>
        <v>0.18213595659498813</v>
      </c>
      <c r="S150" s="155">
        <f>qPCR_Raw!O150</f>
        <v>28.695131301879883</v>
      </c>
      <c r="T150" s="156" cm="1">
        <f t="array" ref="T150">_xlfn.IFS(S150="Undetermined", 0, qPCR_Raw!P150&lt;=1, 0, qPCR_Raw!P150&gt;1, qPCR_Raw!P150)</f>
        <v>467.10812377929688</v>
      </c>
      <c r="U150" s="157">
        <f>qPCR_Raw!R150</f>
        <v>31.403945922851563</v>
      </c>
      <c r="V150" s="156" cm="1">
        <f t="array" ref="V150">_xlfn.IFS(U150="Undetermined", 0, qPCR_Raw!S150&lt;=1, 0, qPCR_Raw!S150&gt;1, qPCR_Raw!S150)</f>
        <v>91.654777526855469</v>
      </c>
      <c r="W150" s="158" cm="1">
        <f t="array" ref="W150">_xlfn.IFS(AND(S150="Undetermined", U150="Undetermined"), "Undetermined", AND(T150=0, V150=0), "Undetermined", AND(T150=0, V150&gt;0), "Ten-Fold", AND(T150&gt;0, V150=0), "Undiluted", AND(S150&lt;&gt;"Undetermined", U150&lt;&gt;"Undetermined", T150&gt;0, V150&gt;0, S150&lt;&gt;U150), 100*(-1+10^(-1/(S150-U150))), AND(S150&lt;&gt;"Undetermined", U150&lt;&gt;"Undetermined", S150=U150&gt;0), -100)</f>
        <v>133.97268896943669</v>
      </c>
      <c r="X150" s="159" cm="1">
        <f t="array" ref="X150">_xlfn.IFS(W150="Undetermined", 0, W150="Undiluted", T150*$G150/$F150*1000, W150="Ten-Fold", V150*$G150/$F150*1000*10, W150&lt;0, V150*$G150/$F150*1000*10, W150&lt;120, T150*$G150/$F150*1000, W150&gt;120, V150*$G150/$F150*1000*10)</f>
        <v>99624.758181364654</v>
      </c>
      <c r="Y150" s="156">
        <f t="shared" si="42"/>
        <v>56496.787660018264</v>
      </c>
      <c r="Z150" s="156">
        <f t="shared" si="43"/>
        <v>60992.160828915097</v>
      </c>
      <c r="AA150" s="156">
        <f t="shared" si="44"/>
        <v>43127.970521346382</v>
      </c>
      <c r="AB150" s="160" cm="1">
        <f t="array" ref="AB150">_xlfn.IFS(Y150="DELETE", "DELETE", Y150=0, 0, Y150&gt;0,LOG10(Y150))</f>
        <v>4.7520237550550277</v>
      </c>
      <c r="AC150" s="161" cm="1">
        <f t="array" ref="AC150">_xlfn.IFS(Y150="DELETE", "DELETE", Y150=0, 0, Y150&gt;0, AA150/Y150/LN(10))</f>
        <v>0.33152751490615967</v>
      </c>
      <c r="AD150" s="120">
        <f>qPCR_Raw!U150</f>
        <v>24.808078765869141</v>
      </c>
      <c r="AE150" s="121" cm="1">
        <f t="array" ref="AE150">_xlfn.IFS(AD150="Undetermined", 0, qPCR_Raw!V150&lt;=1, 0, qPCR_Raw!V150&gt;1, qPCR_Raw!V150)</f>
        <v>1028.989013671875</v>
      </c>
      <c r="AF150" s="122">
        <f>qPCR_Raw!X150</f>
        <v>28.030811309814453</v>
      </c>
      <c r="AG150" s="121" cm="1">
        <f t="array" ref="AG150">_xlfn.IFS(AF150="Undetermined", 0, qPCR_Raw!Y150&lt;=1, 0, qPCR_Raw!Y150&gt;1, qPCR_Raw!Y150)</f>
        <v>129.42105102539063</v>
      </c>
      <c r="AH150" s="123" cm="1">
        <f t="array" ref="AH150">_xlfn.IFS(AND(AD150="Undetermined", AF150="Undetermined"), "Undetermined", AND(AE150=0, AG150=0), "Undetermined", AND(AE150=0, AG150&gt;0), "Ten-Fold", AND(AE150&gt;0, AG150=0), "Undiluted", AND(AD150&lt;&gt;"Undetermined", AF150&lt;&gt;"Undetermined", AE150&gt;0, AG150&gt;0, AD150&lt;&gt;AF150), 100*(-1+10^(-1/(AD150-AF150))), AND(AD150&lt;&gt;"Undetermined", AF150&lt;&gt;"Undetermined", AD150=AF150&gt;0), -100)</f>
        <v>104.31285112463055</v>
      </c>
      <c r="AI150" s="124" cm="1">
        <f t="array" ref="AI150">_xlfn.IFS(AH150="Undetermined", 0, AH150="Undiluted", AE150*$G150/$F150*1000, AH150="Ten-Fold", AG150*$G150/$F150*1000*10, AH150&lt;0, AG150*$G150/$F150*1000*10, AH150&lt;120, AE150*$G150/$F150*1000, AH150&gt;120, AG150*$G150/$F150*1000*10)</f>
        <v>111846.63192085599</v>
      </c>
      <c r="AJ150" s="121">
        <f t="shared" si="45"/>
        <v>80147.284466287369</v>
      </c>
      <c r="AK150" s="121">
        <f t="shared" si="46"/>
        <v>44829.647088628</v>
      </c>
      <c r="AL150" s="121">
        <f t="shared" si="47"/>
        <v>31699.347454568626</v>
      </c>
      <c r="AM150" s="125" cm="1">
        <f t="array" ref="AM150">_xlfn.IFS(AJ150="DELETE", "DELETE", AJ150=0, 0, AJ150&gt;0,LOG10(AJ150))</f>
        <v>4.9038888122636424</v>
      </c>
      <c r="AN150" s="126" cm="1">
        <f t="array" ref="AN150">_xlfn.IFS(AJ150="DELETE", "DELETE", AJ150=0, 0, AJ150&gt;0, AL150/AJ150/LN(10))</f>
        <v>0.17176940892169396</v>
      </c>
      <c r="AO150" s="155">
        <f>qPCR_Raw!AA150</f>
        <v>30.434289932250977</v>
      </c>
      <c r="AP150" s="156" cm="1">
        <f t="array" ref="AP150">_xlfn.IFS(AO150="Undetermined", 0, qPCR_Raw!AB150&lt;=6, 0, qPCR_Raw!AB150&gt;6, qPCR_Raw!AB150)</f>
        <v>0</v>
      </c>
      <c r="AQ150" s="157">
        <f>qPCR_Raw!AD150</f>
        <v>32.6070556640625</v>
      </c>
      <c r="AR150" s="156" cm="1">
        <f t="array" ref="AR150">_xlfn.IFS(AQ150="Undetermined", 0, qPCR_Raw!AE150&lt;=6, 0, qPCR_Raw!AE150&gt;6, qPCR_Raw!AE150)</f>
        <v>0</v>
      </c>
      <c r="AS150" s="158" t="str" cm="1">
        <f t="array" ref="AS150">_xlfn.IFS(AND(AO150="Undetermined", AQ150="Undetermined"), "Undetermined", AND(AP150=0, AR150=0), "Undetermined", AND(AP150=0, AR150&gt;0), "Ten-Fold", AND(AP150&gt;0, AR150=0), "Undiluted", AND(AO150&lt;&gt;"Undetermined", AQ150&lt;&gt;"Undetermined", AP150&gt;0, AR150&gt;0, AO150&lt;&gt;AQ150), 100*(-1+10^(-1/(AO150-AQ150))), AND(AO150&lt;&gt;"Undetermined", AQ150&lt;&gt;"Undetermined", AO150=AQ150&gt;0), -100)</f>
        <v>Undetermined</v>
      </c>
      <c r="AT150" s="159" cm="1">
        <f t="array" ref="AT150">_xlfn.IFS(AS150="Undetermined", 0, AS150="Undiluted", AP150*$G150/$F150*1000, AS150="Ten-Fold", AR150*$G150/$F150*1000*10, AS150&lt;0, AR150*$G150/$F150*1000*10, AS150&lt;120, AP150*$G150/$F150*1000, AS150&gt;120, AR150*$G150/$F150*1000*10)</f>
        <v>0</v>
      </c>
      <c r="AU150" s="156">
        <f t="shared" si="48"/>
        <v>0</v>
      </c>
      <c r="AV150" s="156">
        <f t="shared" si="49"/>
        <v>0</v>
      </c>
      <c r="AW150" s="156">
        <f t="shared" si="50"/>
        <v>0</v>
      </c>
      <c r="AX150" s="160" cm="1">
        <f t="array" ref="AX150">_xlfn.IFS(AU150="DELETE", "DELETE", AU150=0, 0, AU150&gt;0,LOG10(AU150))</f>
        <v>0</v>
      </c>
      <c r="AY150" s="161" cm="1">
        <f t="array" ref="AY150">_xlfn.IFS(AU150="DELETE", "DELETE", AU150=0, 0, AU150&gt;0, AW150/AU150/LN(10))</f>
        <v>0</v>
      </c>
      <c r="AZ150" s="120">
        <f>qPCR_Raw!AG150</f>
        <v>23.234725952148438</v>
      </c>
      <c r="BA150" s="121" cm="1">
        <f t="array" ref="BA150">_xlfn.IFS(AZ150="Undetermined", 0, qPCR_Raw!AH150&lt;=1, 0, qPCR_Raw!AH150&gt;1, qPCR_Raw!AH150)</f>
        <v>4582.30078125</v>
      </c>
      <c r="BB150" s="122">
        <f>qPCR_Raw!AJ150</f>
        <v>27.680614471435547</v>
      </c>
      <c r="BC150" s="121" cm="1">
        <f t="array" ref="BC150">_xlfn.IFS(BB150="Undetermined", 0, qPCR_Raw!AK150&lt;=1, 0, qPCR_Raw!AK150&gt;1, qPCR_Raw!AK150)</f>
        <v>275.39373779296875</v>
      </c>
      <c r="BD150" s="123" cm="1">
        <f t="array" ref="BD150">_xlfn.IFS(AND(AZ150="Undetermined", BB150="Undetermined"), "Undetermined", AND(BA150=0, BC150=0), "Undetermined", AND(BA150=0, BC150&gt;0), "Ten-Fold", AND(BA150&gt;0, BC150=0), "Undiluted", AND(AZ150&lt;&gt;"Undetermined", BB150&lt;&gt;"Undetermined", BA150&gt;0, BC150&gt;0, AZ150&lt;&gt;BB150), 100*(-1+10^(-1/(AZ150-BB150))), AND(AZ150&lt;&gt;"Undetermined", BB150&lt;&gt;"Undetermined", AZ150=BB150&gt;0), -100)</f>
        <v>67.852153480850433</v>
      </c>
      <c r="BE150" s="124" cm="1">
        <f t="array" ref="BE150">_xlfn.IFS(BD150="Undetermined", 0, BD150="Undiluted", BA150*$G150/$F150*1000, BD150="Ten-Fold", BC150*$G150/$F150*1000*10, BD150&lt;0, BC150*$G150/$F150*1000*10, BD150&lt;120, BA150*$G150/$F150*1000, BD150&gt;120, BC150*$G150/$F150*1000*10)</f>
        <v>498076.171875</v>
      </c>
      <c r="BF150" s="121">
        <f t="shared" si="51"/>
        <v>299398.47412109375</v>
      </c>
      <c r="BG150" s="121">
        <f t="shared" si="52"/>
        <v>280972.69470463682</v>
      </c>
      <c r="BH150" s="121">
        <f t="shared" si="53"/>
        <v>198677.69775390622</v>
      </c>
      <c r="BI150" s="125" cm="1">
        <f t="array" ref="BI150">_xlfn.IFS(BF150="DELETE", "DELETE", BF150=0, 0, BF150&gt;0,LOG10(BF150))</f>
        <v>5.4762495826387045</v>
      </c>
      <c r="BJ150" s="126" cm="1">
        <f t="array" ref="BJ150">_xlfn.IFS(BF150="DELETE", "DELETE", BF150=0, 0, BF150&gt;0, BH150/BF150/LN(10))</f>
        <v>0.28819327842287246</v>
      </c>
    </row>
    <row r="151" spans="1:62" s="114" customFormat="1" x14ac:dyDescent="0.3">
      <c r="A151" s="115" t="str">
        <f>UPPER(LEFT(SUBSTITUTE(SUBSTITUTE(qPCR_Raw!A151,"-","")," ",""),2))&amp;RIGHT(SUBSTITUTE(SUBSTITUTE(qPCR_Raw!A151,"-","")," ",""),LEN(SUBSTITUTE(SUBSTITUTE(qPCR_Raw!A151,"-","")," ",""))-2)</f>
        <v>RC7</v>
      </c>
      <c r="B151" s="116" t="str" cm="1">
        <f t="array" ref="B151">_xlfn.IFS(LEFT(A151, LEN(A151)-1)="EP", "EP", LEFT(A151, LEN(A151)-1)="STa", "SPI", LEFT(A151, LEN(A151)-1)="STb", "SPO", LEFT(A151, LEN(A151)-1)="MRT", "MRT", LEFT(A151, LEN(A151)-1)="RG", "RN", LEFT(A151, LEN(A151)-1)="RT", "RU", LEFT(A151, LEN(A151)-1)="RW", "RL", LEFT(A151, LEN(A151)-1)="RC", "RS")</f>
        <v>RS</v>
      </c>
      <c r="C151" s="117">
        <f>qPCR_Raw!B151</f>
        <v>44398</v>
      </c>
      <c r="D151" s="117" t="str">
        <f t="shared" si="37"/>
        <v>RS44398</v>
      </c>
      <c r="E151" s="117" t="str">
        <f t="shared" si="38"/>
        <v>RS443987</v>
      </c>
      <c r="F151" s="118">
        <f>qPCR_Raw!C151</f>
        <v>1000</v>
      </c>
      <c r="G151" s="119">
        <f>qPCR_Raw!F151</f>
        <v>100</v>
      </c>
      <c r="H151" s="120">
        <f>qPCR_Raw!G151</f>
        <v>18.797031402587891</v>
      </c>
      <c r="I151" s="121" cm="1">
        <f t="array" ref="I151">_xlfn.IFS(H151="Undetermined", 0, qPCR_Raw!H151-qPCR_Raw!$H$242&lt;0, 0, qPCR_Raw!H151-qPCR_Raw!$H$242&gt;0, qPCR_Raw!H151-qPCR_Raw!$H$242)</f>
        <v>222953.76769612631</v>
      </c>
      <c r="J151" s="122">
        <f>qPCR_Raw!K151</f>
        <v>22.109725952148438</v>
      </c>
      <c r="K151" s="121" cm="1">
        <f t="array" ref="K151">_xlfn.IFS(J151="Undetermined", 0, qPCR_Raw!L151-qPCR_Raw!$H$242&lt;0, 0, qPCR_Raw!L151-qPCR_Raw!$H$242&gt;0, qPCR_Raw!L151-qPCR_Raw!$H$242)</f>
        <v>12774.220821126302</v>
      </c>
      <c r="L151" s="123" cm="1">
        <f t="array" ref="L151">_xlfn.IFS(AND(H151="Undetermined", J151="Undetermined"), "Undetermined", AND(I151=0, K151=0), "Undetermined", AND(I151=0, K151&gt;0), "Ten-Fold", AND(I151&gt;0, K151=0), "Undiluted", AND(H151&lt;&gt;"Undetermined", J151&lt;&gt;"Undetermined", I151&gt;0, K151&gt;0), 100*(-1+10^(-1/(H151-J151))))</f>
        <v>100.38677834456848</v>
      </c>
      <c r="M151" s="124" cm="1">
        <f t="array" ref="M151">_xlfn.IFS(L151="Undetermined", 0, L151="Undiluted", I151*$G151/$F151*1000, L151="Ten-Fold", K151*$G151/$F151*1000*10, L151&lt;0, K151*$G151/$F151*1000*10, L151&lt;120, I151*$G151/$F151*1000, L151&gt;120, K151*$G151/$F151*1000*10)</f>
        <v>22295376.769612629</v>
      </c>
      <c r="N151" s="121" t="str">
        <f t="shared" si="39"/>
        <v>DELETE</v>
      </c>
      <c r="O151" s="121" t="str">
        <f t="shared" si="40"/>
        <v>DELETE</v>
      </c>
      <c r="P151" s="121" t="str">
        <f t="shared" si="41"/>
        <v>DELETE</v>
      </c>
      <c r="Q151" s="125" t="str" cm="1">
        <f t="array" ref="Q151">_xlfn.IFS(N151="DELETE", "DELETE", N151=0, 0, N151&gt;0,LOG10(N151))</f>
        <v>DELETE</v>
      </c>
      <c r="R151" s="126" t="str" cm="1">
        <f t="array" ref="R151">_xlfn.IFS(N151="DELETE", "DELETE", N151=0, 0, N151&gt;0, P151/N151/LN(10))</f>
        <v>DELETE</v>
      </c>
      <c r="S151" s="155">
        <f>qPCR_Raw!O151</f>
        <v>30.776063919067383</v>
      </c>
      <c r="T151" s="156" cm="1">
        <f t="array" ref="T151">_xlfn.IFS(S151="Undetermined", 0, qPCR_Raw!P151&lt;=1, 0, qPCR_Raw!P151&gt;1, qPCR_Raw!P151)</f>
        <v>133.68817138671875</v>
      </c>
      <c r="U151" s="157">
        <f>qPCR_Raw!R151</f>
        <v>34.012332916259766</v>
      </c>
      <c r="V151" s="156" cm="1">
        <f t="array" ref="V151">_xlfn.IFS(U151="Undetermined", 0, qPCR_Raw!S151&lt;=1, 0, qPCR_Raw!S151&gt;1, qPCR_Raw!S151)</f>
        <v>19.103551864624023</v>
      </c>
      <c r="W151" s="158" cm="1">
        <f t="array" ref="W151">_xlfn.IFS(AND(S151="Undetermined", U151="Undetermined"), "Undetermined", AND(T151=0, V151=0), "Undetermined", AND(T151=0, V151&gt;0), "Ten-Fold", AND(T151&gt;0, V151=0), "Undiluted", AND(S151&lt;&gt;"Undetermined", U151&lt;&gt;"Undetermined", T151&gt;0, V151&gt;0, S151&lt;&gt;U151), 100*(-1+10^(-1/(S151-U151))), AND(S151&lt;&gt;"Undetermined", U151&lt;&gt;"Undetermined", S151=U151&gt;0), -100)</f>
        <v>103.70317582201469</v>
      </c>
      <c r="X151" s="159" cm="1">
        <f t="array" ref="X151">_xlfn.IFS(W151="Undetermined", 0, W151="Undiluted", T151*$G151/$F151*1000, W151="Ten-Fold", V151*$G151/$F151*1000*10, W151&lt;0, V151*$G151/$F151*1000*10, W151&lt;120, T151*$G151/$F151*1000, W151&gt;120, V151*$G151/$F151*1000*10)</f>
        <v>13368.817138671875</v>
      </c>
      <c r="Y151" s="156" t="str">
        <f t="shared" si="42"/>
        <v>DELETE</v>
      </c>
      <c r="Z151" s="156" t="str">
        <f t="shared" si="43"/>
        <v>DELETE</v>
      </c>
      <c r="AA151" s="156" t="str">
        <f t="shared" si="44"/>
        <v>DELETE</v>
      </c>
      <c r="AB151" s="160" t="str" cm="1">
        <f t="array" ref="AB151">_xlfn.IFS(Y151="DELETE", "DELETE", Y151=0, 0, Y151&gt;0,LOG10(Y151))</f>
        <v>DELETE</v>
      </c>
      <c r="AC151" s="161" t="str" cm="1">
        <f t="array" ref="AC151">_xlfn.IFS(Y151="DELETE", "DELETE", Y151=0, 0, Y151&gt;0, AA151/Y151/LN(10))</f>
        <v>DELETE</v>
      </c>
      <c r="AD151" s="120">
        <f>qPCR_Raw!U151</f>
        <v>25.978961944580078</v>
      </c>
      <c r="AE151" s="121" cm="1">
        <f t="array" ref="AE151">_xlfn.IFS(AD151="Undetermined", 0, qPCR_Raw!V151&lt;=1, 0, qPCR_Raw!V151&gt;1, qPCR_Raw!V151)</f>
        <v>484.4793701171875</v>
      </c>
      <c r="AF151" s="122">
        <f>qPCR_Raw!X151</f>
        <v>29.541238784790039</v>
      </c>
      <c r="AG151" s="121" cm="1">
        <f t="array" ref="AG151">_xlfn.IFS(AF151="Undetermined", 0, qPCR_Raw!Y151&lt;=1, 0, qPCR_Raw!Y151&gt;1, qPCR_Raw!Y151)</f>
        <v>48.978275299072266</v>
      </c>
      <c r="AH151" s="123" cm="1">
        <f t="array" ref="AH151">_xlfn.IFS(AND(AD151="Undetermined", AF151="Undetermined"), "Undetermined", AND(AE151=0, AG151=0), "Undetermined", AND(AE151=0, AG151&gt;0), "Ten-Fold", AND(AE151&gt;0, AG151=0), "Undiluted", AND(AD151&lt;&gt;"Undetermined", AF151&lt;&gt;"Undetermined", AE151&gt;0, AG151&gt;0, AD151&lt;&gt;AF151), 100*(-1+10^(-1/(AD151-AF151))), AND(AD151&lt;&gt;"Undetermined", AF151&lt;&gt;"Undetermined", AD151=AF151&gt;0), -100)</f>
        <v>90.861942267670415</v>
      </c>
      <c r="AI151" s="124" cm="1">
        <f t="array" ref="AI151">_xlfn.IFS(AH151="Undetermined", 0, AH151="Undiluted", AE151*$G151/$F151*1000, AH151="Ten-Fold", AG151*$G151/$F151*1000*10, AH151&lt;0, AG151*$G151/$F151*1000*10, AH151&lt;120, AE151*$G151/$F151*1000, AH151&gt;120, AG151*$G151/$F151*1000*10)</f>
        <v>48447.93701171875</v>
      </c>
      <c r="AJ151" s="121" t="str">
        <f t="shared" si="45"/>
        <v>DELETE</v>
      </c>
      <c r="AK151" s="121" t="str">
        <f t="shared" si="46"/>
        <v>DELETE</v>
      </c>
      <c r="AL151" s="121" t="str">
        <f t="shared" si="47"/>
        <v>DELETE</v>
      </c>
      <c r="AM151" s="125" t="str" cm="1">
        <f t="array" ref="AM151">_xlfn.IFS(AJ151="DELETE", "DELETE", AJ151=0, 0, AJ151&gt;0,LOG10(AJ151))</f>
        <v>DELETE</v>
      </c>
      <c r="AN151" s="126" t="str" cm="1">
        <f t="array" ref="AN151">_xlfn.IFS(AJ151="DELETE", "DELETE", AJ151=0, 0, AJ151&gt;0, AL151/AJ151/LN(10))</f>
        <v>DELETE</v>
      </c>
      <c r="AO151" s="155">
        <f>qPCR_Raw!AA151</f>
        <v>30.617507934570313</v>
      </c>
      <c r="AP151" s="156" cm="1">
        <f t="array" ref="AP151">_xlfn.IFS(AO151="Undetermined", 0, qPCR_Raw!AB151&lt;=6, 0, qPCR_Raw!AB151&gt;6, qPCR_Raw!AB151)</f>
        <v>0</v>
      </c>
      <c r="AQ151" s="157" t="str">
        <f>qPCR_Raw!AD151</f>
        <v>Undetermined</v>
      </c>
      <c r="AR151" s="156" cm="1">
        <f t="array" ref="AR151">_xlfn.IFS(AQ151="Undetermined", 0, qPCR_Raw!AE151&lt;=6, 0, qPCR_Raw!AE151&gt;6, qPCR_Raw!AE151)</f>
        <v>0</v>
      </c>
      <c r="AS151" s="158" t="str" cm="1">
        <f t="array" ref="AS151">_xlfn.IFS(AND(AO151="Undetermined", AQ151="Undetermined"), "Undetermined", AND(AP151=0, AR151=0), "Undetermined", AND(AP151=0, AR151&gt;0), "Ten-Fold", AND(AP151&gt;0, AR151=0), "Undiluted", AND(AO151&lt;&gt;"Undetermined", AQ151&lt;&gt;"Undetermined", AP151&gt;0, AR151&gt;0, AO151&lt;&gt;AQ151), 100*(-1+10^(-1/(AO151-AQ151))), AND(AO151&lt;&gt;"Undetermined", AQ151&lt;&gt;"Undetermined", AO151=AQ151&gt;0), -100)</f>
        <v>Undetermined</v>
      </c>
      <c r="AT151" s="159" cm="1">
        <f t="array" ref="AT151">_xlfn.IFS(AS151="Undetermined", 0, AS151="Undiluted", AP151*$G151/$F151*1000, AS151="Ten-Fold", AR151*$G151/$F151*1000*10, AS151&lt;0, AR151*$G151/$F151*1000*10, AS151&lt;120, AP151*$G151/$F151*1000, AS151&gt;120, AR151*$G151/$F151*1000*10)</f>
        <v>0</v>
      </c>
      <c r="AU151" s="156" t="str">
        <f t="shared" si="48"/>
        <v>DELETE</v>
      </c>
      <c r="AV151" s="156" t="str">
        <f t="shared" si="49"/>
        <v>DELETE</v>
      </c>
      <c r="AW151" s="156" t="str">
        <f t="shared" si="50"/>
        <v>DELETE</v>
      </c>
      <c r="AX151" s="160" t="str" cm="1">
        <f t="array" ref="AX151">_xlfn.IFS(AU151="DELETE", "DELETE", AU151=0, 0, AU151&gt;0,LOG10(AU151))</f>
        <v>DELETE</v>
      </c>
      <c r="AY151" s="161" t="str" cm="1">
        <f t="array" ref="AY151">_xlfn.IFS(AU151="DELETE", "DELETE", AU151=0, 0, AU151&gt;0, AW151/AU151/LN(10))</f>
        <v>DELETE</v>
      </c>
      <c r="AZ151" s="120">
        <f>qPCR_Raw!AG151</f>
        <v>25.630243301391602</v>
      </c>
      <c r="BA151" s="121" cm="1">
        <f t="array" ref="BA151">_xlfn.IFS(AZ151="Undetermined", 0, qPCR_Raw!AH151&lt;=1, 0, qPCR_Raw!AH151&gt;1, qPCR_Raw!AH151)</f>
        <v>1007.207763671875</v>
      </c>
      <c r="BB151" s="122">
        <f>qPCR_Raw!AJ151</f>
        <v>29.810756683349609</v>
      </c>
      <c r="BC151" s="121" cm="1">
        <f t="array" ref="BC151">_xlfn.IFS(BB151="Undetermined", 0, qPCR_Raw!AK151&lt;=1, 0, qPCR_Raw!AK151&gt;1, qPCR_Raw!AK151)</f>
        <v>71.594345092773438</v>
      </c>
      <c r="BD151" s="123" cm="1">
        <f t="array" ref="BD151">_xlfn.IFS(AND(AZ151="Undetermined", BB151="Undetermined"), "Undetermined", AND(BA151=0, BC151=0), "Undetermined", AND(BA151=0, BC151&gt;0), "Ten-Fold", AND(BA151&gt;0, BC151=0), "Undiluted", AND(AZ151&lt;&gt;"Undetermined", BB151&lt;&gt;"Undetermined", BA151&gt;0, BC151&gt;0, AZ151&lt;&gt;BB151), 100*(-1+10^(-1/(AZ151-BB151))), AND(AZ151&lt;&gt;"Undetermined", BB151&lt;&gt;"Undetermined", AZ151=BB151&gt;0), -100)</f>
        <v>73.462288159506855</v>
      </c>
      <c r="BE151" s="124" cm="1">
        <f t="array" ref="BE151">_xlfn.IFS(BD151="Undetermined", 0, BD151="Undiluted", BA151*$G151/$F151*1000, BD151="Ten-Fold", BC151*$G151/$F151*1000*10, BD151&lt;0, BC151*$G151/$F151*1000*10, BD151&lt;120, BA151*$G151/$F151*1000, BD151&gt;120, BC151*$G151/$F151*1000*10)</f>
        <v>100720.7763671875</v>
      </c>
      <c r="BF151" s="121" t="str">
        <f t="shared" si="51"/>
        <v>DELETE</v>
      </c>
      <c r="BG151" s="121" t="str">
        <f t="shared" si="52"/>
        <v>DELETE</v>
      </c>
      <c r="BH151" s="121" t="str">
        <f t="shared" si="53"/>
        <v>DELETE</v>
      </c>
      <c r="BI151" s="125" t="str" cm="1">
        <f t="array" ref="BI151">_xlfn.IFS(BF151="DELETE", "DELETE", BF151=0, 0, BF151&gt;0,LOG10(BF151))</f>
        <v>DELETE</v>
      </c>
      <c r="BJ151" s="126" t="str" cm="1">
        <f t="array" ref="BJ151">_xlfn.IFS(BF151="DELETE", "DELETE", BF151=0, 0, BF151&gt;0, BH151/BF151/LN(10))</f>
        <v>DELETE</v>
      </c>
    </row>
    <row r="152" spans="1:62" s="114" customFormat="1" x14ac:dyDescent="0.3">
      <c r="A152" s="115" t="str">
        <f>UPPER(LEFT(SUBSTITUTE(SUBSTITUTE(qPCR_Raw!A152,"-","")," ",""),2))&amp;RIGHT(SUBSTITUTE(SUBSTITUTE(qPCR_Raw!A152,"-","")," ",""),LEN(SUBSTITUTE(SUBSTITUTE(qPCR_Raw!A152,"-","")," ",""))-2)</f>
        <v>RG6</v>
      </c>
      <c r="B152" s="116" t="str" cm="1">
        <f t="array" ref="B152">_xlfn.IFS(LEFT(A152, LEN(A152)-1)="EP", "EP", LEFT(A152, LEN(A152)-1)="STa", "SPI", LEFT(A152, LEN(A152)-1)="STb", "SPO", LEFT(A152, LEN(A152)-1)="MRT", "MRT", LEFT(A152, LEN(A152)-1)="RG", "RN", LEFT(A152, LEN(A152)-1)="RT", "RU", LEFT(A152, LEN(A152)-1)="RW", "RL", LEFT(A152, LEN(A152)-1)="RC", "RS")</f>
        <v>RN</v>
      </c>
      <c r="C152" s="117">
        <f>qPCR_Raw!B152</f>
        <v>44398</v>
      </c>
      <c r="D152" s="117" t="str">
        <f t="shared" si="37"/>
        <v>RN44398</v>
      </c>
      <c r="E152" s="117" t="str">
        <f t="shared" si="38"/>
        <v>RN443986</v>
      </c>
      <c r="F152" s="118">
        <f>qPCR_Raw!C152</f>
        <v>910</v>
      </c>
      <c r="G152" s="119">
        <f>qPCR_Raw!F152</f>
        <v>100</v>
      </c>
      <c r="H152" s="120">
        <f>qPCR_Raw!G152</f>
        <v>15.613798141479492</v>
      </c>
      <c r="I152" s="121" cm="1">
        <f t="array" ref="I152">_xlfn.IFS(H152="Undetermined", 0, qPCR_Raw!H152-qPCR_Raw!$H$242&lt;0, 0, qPCR_Raw!H152-qPCR_Raw!$H$242&gt;0, qPCR_Raw!H152-qPCR_Raw!$H$242)</f>
        <v>1969026.1114461264</v>
      </c>
      <c r="J152" s="122">
        <f>qPCR_Raw!K152</f>
        <v>18.963981628417969</v>
      </c>
      <c r="K152" s="121" cm="1">
        <f t="array" ref="K152">_xlfn.IFS(J152="Undetermined", 0, qPCR_Raw!L152-qPCR_Raw!$H$242&lt;0, 0, qPCR_Raw!L152-qPCR_Raw!$H$242&gt;0, qPCR_Raw!L152-qPCR_Raw!$H$242)</f>
        <v>198034.58019612631</v>
      </c>
      <c r="L152" s="123" cm="1">
        <f t="array" ref="L152">_xlfn.IFS(AND(H152="Undetermined", J152="Undetermined"), "Undetermined", AND(I152=0, K152=0), "Undetermined", AND(I152=0, K152&gt;0), "Ten-Fold", AND(I152&gt;0, K152=0), "Undiluted", AND(H152&lt;&gt;"Undetermined", J152&lt;&gt;"Undetermined", I152&gt;0, K152&gt;0), 100*(-1+10^(-1/(H152-J152))))</f>
        <v>98.834212543584712</v>
      </c>
      <c r="M152" s="124" cm="1">
        <f t="array" ref="M152">_xlfn.IFS(L152="Undetermined", 0, L152="Undiluted", I152*$G152/$F152*1000, L152="Ten-Fold", K152*$G152/$F152*1000*10, L152&lt;0, K152*$G152/$F152*1000*10, L152&lt;120, I152*$G152/$F152*1000, L152&gt;120, K152*$G152/$F152*1000*10)</f>
        <v>216376495.76331058</v>
      </c>
      <c r="N152" s="121">
        <f t="shared" si="39"/>
        <v>282519522.60192114</v>
      </c>
      <c r="O152" s="121">
        <f t="shared" si="40"/>
        <v>93540365.611570626</v>
      </c>
      <c r="P152" s="121">
        <f t="shared" si="41"/>
        <v>66143026.838610522</v>
      </c>
      <c r="Q152" s="125" cm="1">
        <f t="array" ref="Q152">_xlfn.IFS(N152="DELETE", "DELETE", N152=0, 0, N152&gt;0,LOG10(N152))</f>
        <v>8.4510484637141765</v>
      </c>
      <c r="R152" s="126" cm="1">
        <f t="array" ref="R152">_xlfn.IFS(N152="DELETE", "DELETE", N152=0, 0, N152&gt;0, P152/N152/LN(10))</f>
        <v>0.10167634189606937</v>
      </c>
      <c r="S152" s="155">
        <f>qPCR_Raw!O152</f>
        <v>37.019184112548828</v>
      </c>
      <c r="T152" s="156" cm="1">
        <f t="array" ref="T152">_xlfn.IFS(S152="Undetermined", 0, qPCR_Raw!P152&lt;=1, 0, qPCR_Raw!P152&gt;1, qPCR_Raw!P152)</f>
        <v>3.1335418224334717</v>
      </c>
      <c r="U152" s="157">
        <f>qPCR_Raw!R152</f>
        <v>39.854606628417969</v>
      </c>
      <c r="V152" s="156" cm="1">
        <f t="array" ref="V152">_xlfn.IFS(U152="Undetermined", 0, qPCR_Raw!S152&lt;=1, 0, qPCR_Raw!S152&gt;1, qPCR_Raw!S152)</f>
        <v>0</v>
      </c>
      <c r="W152" s="158" t="str" cm="1">
        <f t="array" ref="W152">_xlfn.IFS(AND(S152="Undetermined", U152="Undetermined"), "Undetermined", AND(T152=0, V152=0), "Undetermined", AND(T152=0, V152&gt;0), "Ten-Fold", AND(T152&gt;0, V152=0), "Undiluted", AND(S152&lt;&gt;"Undetermined", U152&lt;&gt;"Undetermined", T152&gt;0, V152&gt;0, S152&lt;&gt;U152), 100*(-1+10^(-1/(S152-U152))), AND(S152&lt;&gt;"Undetermined", U152&lt;&gt;"Undetermined", S152=U152&gt;0), -100)</f>
        <v>Undiluted</v>
      </c>
      <c r="X152" s="159" cm="1">
        <f t="array" ref="X152">_xlfn.IFS(W152="Undetermined", 0, W152="Undiluted", T152*$G152/$F152*1000, W152="Ten-Fold", V152*$G152/$F152*1000*10, W152&lt;0, V152*$G152/$F152*1000*10, W152&lt;120, T152*$G152/$F152*1000, W152&gt;120, V152*$G152/$F152*1000*10)</f>
        <v>344.3452552124694</v>
      </c>
      <c r="Y152" s="156">
        <f t="shared" si="42"/>
        <v>338.35356819575418</v>
      </c>
      <c r="Z152" s="156">
        <f t="shared" si="43"/>
        <v>8.4735250405334916</v>
      </c>
      <c r="AA152" s="156">
        <f t="shared" si="44"/>
        <v>5.9916870167152467</v>
      </c>
      <c r="AB152" s="160" cm="1">
        <f t="array" ref="AB152">_xlfn.IFS(Y152="DELETE", "DELETE", Y152=0, 0, Y152&gt;0,LOG10(Y152))</f>
        <v>2.5293707608093068</v>
      </c>
      <c r="AC152" s="161" cm="1">
        <f t="array" ref="AC152">_xlfn.IFS(Y152="DELETE", "DELETE", Y152=0, 0, Y152&gt;0, AA152/Y152/LN(10))</f>
        <v>7.6906433188412915E-3</v>
      </c>
      <c r="AD152" s="120">
        <f>qPCR_Raw!U152</f>
        <v>26.785161972045898</v>
      </c>
      <c r="AE152" s="121" cm="1">
        <f t="array" ref="AE152">_xlfn.IFS(AD152="Undetermined", 0, qPCR_Raw!V152&lt;=1, 0, qPCR_Raw!V152&gt;1, qPCR_Raw!V152)</f>
        <v>288.42269897460938</v>
      </c>
      <c r="AF152" s="122">
        <f>qPCR_Raw!X152</f>
        <v>29.690948486328125</v>
      </c>
      <c r="AG152" s="121" cm="1">
        <f t="array" ref="AG152">_xlfn.IFS(AF152="Undetermined", 0, qPCR_Raw!Y152&lt;=1, 0, qPCR_Raw!Y152&gt;1, qPCR_Raw!Y152)</f>
        <v>44.481128692626953</v>
      </c>
      <c r="AH152" s="123" cm="1">
        <f t="array" ref="AH152">_xlfn.IFS(AND(AD152="Undetermined", AF152="Undetermined"), "Undetermined", AND(AE152=0, AG152=0), "Undetermined", AND(AE152=0, AG152&gt;0), "Ten-Fold", AND(AE152&gt;0, AG152=0), "Undiluted", AND(AD152&lt;&gt;"Undetermined", AF152&lt;&gt;"Undetermined", AE152&gt;0, AG152&gt;0, AD152&lt;&gt;AF152), 100*(-1+10^(-1/(AD152-AF152))), AND(AD152&lt;&gt;"Undetermined", AF152&lt;&gt;"Undetermined", AD152=AF152&gt;0), -100)</f>
        <v>120.872122566806</v>
      </c>
      <c r="AI152" s="124" cm="1">
        <f t="array" ref="AI152">_xlfn.IFS(AH152="Undetermined", 0, AH152="Undiluted", AE152*$G152/$F152*1000, AH152="Ten-Fold", AG152*$G152/$F152*1000*10, AH152&lt;0, AG152*$G152/$F152*1000*10, AH152&lt;120, AE152*$G152/$F152*1000, AH152&gt;120, AG152*$G152/$F152*1000*10)</f>
        <v>48880.36120068896</v>
      </c>
      <c r="AJ152" s="121">
        <f t="shared" si="45"/>
        <v>37121.263894220741</v>
      </c>
      <c r="AK152" s="121">
        <f t="shared" si="46"/>
        <v>16629.874892072286</v>
      </c>
      <c r="AL152" s="121">
        <f t="shared" si="47"/>
        <v>11759.097306468218</v>
      </c>
      <c r="AM152" s="125" cm="1">
        <f t="array" ref="AM152">_xlfn.IFS(AJ152="DELETE", "DELETE", AJ152=0, 0, AJ152&gt;0,LOG10(AJ152))</f>
        <v>4.5696227545333876</v>
      </c>
      <c r="AN152" s="126" cm="1">
        <f t="array" ref="AN152">_xlfn.IFS(AJ152="DELETE", "DELETE", AJ152=0, 0, AJ152&gt;0, AL152/AJ152/LN(10))</f>
        <v>0.13757373905465575</v>
      </c>
      <c r="AO152" s="155">
        <f>qPCR_Raw!AA152</f>
        <v>30.97490119934082</v>
      </c>
      <c r="AP152" s="156" cm="1">
        <f t="array" ref="AP152">_xlfn.IFS(AO152="Undetermined", 0, qPCR_Raw!AB152&lt;=6, 0, qPCR_Raw!AB152&gt;6, qPCR_Raw!AB152)</f>
        <v>0</v>
      </c>
      <c r="AQ152" s="157" t="str">
        <f>qPCR_Raw!AD152</f>
        <v>Undetermined</v>
      </c>
      <c r="AR152" s="156" cm="1">
        <f t="array" ref="AR152">_xlfn.IFS(AQ152="Undetermined", 0, qPCR_Raw!AE152&lt;=6, 0, qPCR_Raw!AE152&gt;6, qPCR_Raw!AE152)</f>
        <v>0</v>
      </c>
      <c r="AS152" s="158" t="str" cm="1">
        <f t="array" ref="AS152">_xlfn.IFS(AND(AO152="Undetermined", AQ152="Undetermined"), "Undetermined", AND(AP152=0, AR152=0), "Undetermined", AND(AP152=0, AR152&gt;0), "Ten-Fold", AND(AP152&gt;0, AR152=0), "Undiluted", AND(AO152&lt;&gt;"Undetermined", AQ152&lt;&gt;"Undetermined", AP152&gt;0, AR152&gt;0, AO152&lt;&gt;AQ152), 100*(-1+10^(-1/(AO152-AQ152))), AND(AO152&lt;&gt;"Undetermined", AQ152&lt;&gt;"Undetermined", AO152=AQ152&gt;0), -100)</f>
        <v>Undetermined</v>
      </c>
      <c r="AT152" s="159" cm="1">
        <f t="array" ref="AT152">_xlfn.IFS(AS152="Undetermined", 0, AS152="Undiluted", AP152*$G152/$F152*1000, AS152="Ten-Fold", AR152*$G152/$F152*1000*10, AS152&lt;0, AR152*$G152/$F152*1000*10, AS152&lt;120, AP152*$G152/$F152*1000, AS152&gt;120, AR152*$G152/$F152*1000*10)</f>
        <v>0</v>
      </c>
      <c r="AU152" s="156">
        <f t="shared" si="48"/>
        <v>954.79618419300425</v>
      </c>
      <c r="AV152" s="156">
        <f t="shared" si="49"/>
        <v>1350.2857129878264</v>
      </c>
      <c r="AW152" s="156">
        <f t="shared" si="50"/>
        <v>954.79618419300425</v>
      </c>
      <c r="AX152" s="160" cm="1">
        <f t="array" ref="AX152">_xlfn.IFS(AU152="DELETE", "DELETE", AU152=0, 0, AU152&gt;0,LOG10(AU152))</f>
        <v>2.9799106746966424</v>
      </c>
      <c r="AY152" s="161" cm="1">
        <f t="array" ref="AY152">_xlfn.IFS(AU152="DELETE", "DELETE", AU152=0, 0, AU152&gt;0, AW152/AU152/LN(10))</f>
        <v>0.43429448190325176</v>
      </c>
      <c r="AZ152" s="120">
        <f>qPCR_Raw!AG152</f>
        <v>36.969406127929688</v>
      </c>
      <c r="BA152" s="121" cm="1">
        <f t="array" ref="BA152">_xlfn.IFS(AZ152="Undetermined", 0, qPCR_Raw!AH152&lt;=1, 0, qPCR_Raw!AH152&gt;1, qPCR_Raw!AH152)</f>
        <v>0</v>
      </c>
      <c r="BB152" s="122" t="str">
        <f>qPCR_Raw!AJ152</f>
        <v>Undetermined</v>
      </c>
      <c r="BC152" s="121" cm="1">
        <f t="array" ref="BC152">_xlfn.IFS(BB152="Undetermined", 0, qPCR_Raw!AK152&lt;=1, 0, qPCR_Raw!AK152&gt;1, qPCR_Raw!AK152)</f>
        <v>0</v>
      </c>
      <c r="BD152" s="123" t="str" cm="1">
        <f t="array" ref="BD152">_xlfn.IFS(AND(AZ152="Undetermined", BB152="Undetermined"), "Undetermined", AND(BA152=0, BC152=0), "Undetermined", AND(BA152=0, BC152&gt;0), "Ten-Fold", AND(BA152&gt;0, BC152=0), "Undiluted", AND(AZ152&lt;&gt;"Undetermined", BB152&lt;&gt;"Undetermined", BA152&gt;0, BC152&gt;0, AZ152&lt;&gt;BB152), 100*(-1+10^(-1/(AZ152-BB152))), AND(AZ152&lt;&gt;"Undetermined", BB152&lt;&gt;"Undetermined", AZ152=BB152&gt;0), -100)</f>
        <v>Undetermined</v>
      </c>
      <c r="BE152" s="124" cm="1">
        <f t="array" ref="BE152">_xlfn.IFS(BD152="Undetermined", 0, BD152="Undiluted", BA152*$G152/$F152*1000, BD152="Ten-Fold", BC152*$G152/$F152*1000*10, BD152&lt;0, BC152*$G152/$F152*1000*10, BD152&lt;120, BA152*$G152/$F152*1000, BD152&gt;120, BC152*$G152/$F152*1000*10)</f>
        <v>0</v>
      </c>
      <c r="BF152" s="121">
        <f t="shared" si="51"/>
        <v>0</v>
      </c>
      <c r="BG152" s="121">
        <f t="shared" si="52"/>
        <v>0</v>
      </c>
      <c r="BH152" s="121">
        <f t="shared" si="53"/>
        <v>0</v>
      </c>
      <c r="BI152" s="125" cm="1">
        <f t="array" ref="BI152">_xlfn.IFS(BF152="DELETE", "DELETE", BF152=0, 0, BF152&gt;0,LOG10(BF152))</f>
        <v>0</v>
      </c>
      <c r="BJ152" s="126" cm="1">
        <f t="array" ref="BJ152">_xlfn.IFS(BF152="DELETE", "DELETE", BF152=0, 0, BF152&gt;0, BH152/BF152/LN(10))</f>
        <v>0</v>
      </c>
    </row>
    <row r="153" spans="1:62" s="114" customFormat="1" x14ac:dyDescent="0.3">
      <c r="A153" s="115" t="str">
        <f>UPPER(LEFT(SUBSTITUTE(SUBSTITUTE(qPCR_Raw!A153,"-","")," ",""),2))&amp;RIGHT(SUBSTITUTE(SUBSTITUTE(qPCR_Raw!A153,"-","")," ",""),LEN(SUBSTITUTE(SUBSTITUTE(qPCR_Raw!A153,"-","")," ",""))-2)</f>
        <v>RG7</v>
      </c>
      <c r="B153" s="116" t="str" cm="1">
        <f t="array" ref="B153">_xlfn.IFS(LEFT(A153, LEN(A153)-1)="EP", "EP", LEFT(A153, LEN(A153)-1)="STa", "SPI", LEFT(A153, LEN(A153)-1)="STb", "SPO", LEFT(A153, LEN(A153)-1)="MRT", "MRT", LEFT(A153, LEN(A153)-1)="RG", "RN", LEFT(A153, LEN(A153)-1)="RT", "RU", LEFT(A153, LEN(A153)-1)="RW", "RL", LEFT(A153, LEN(A153)-1)="RC", "RS")</f>
        <v>RN</v>
      </c>
      <c r="C153" s="117">
        <f>qPCR_Raw!B153</f>
        <v>44398</v>
      </c>
      <c r="D153" s="117" t="str">
        <f t="shared" si="37"/>
        <v>RN44398</v>
      </c>
      <c r="E153" s="117" t="str">
        <f t="shared" si="38"/>
        <v>RN443987</v>
      </c>
      <c r="F153" s="118">
        <f>qPCR_Raw!C153</f>
        <v>990</v>
      </c>
      <c r="G153" s="119">
        <f>qPCR_Raw!F153</f>
        <v>100</v>
      </c>
      <c r="H153" s="120">
        <f>qPCR_Raw!G153</f>
        <v>15.437471389770508</v>
      </c>
      <c r="I153" s="121" cm="1">
        <f t="array" ref="I153">_xlfn.IFS(H153="Undetermined", 0, qPCR_Raw!H153-qPCR_Raw!$H$242&lt;0, 0, qPCR_Raw!H153-qPCR_Raw!$H$242&gt;0, qPCR_Raw!H153-qPCR_Raw!$H$242)</f>
        <v>2217019.6114461264</v>
      </c>
      <c r="J153" s="122">
        <f>qPCR_Raw!K153</f>
        <v>18.172719955444336</v>
      </c>
      <c r="K153" s="121" cm="1">
        <f t="array" ref="K153">_xlfn.IFS(J153="Undetermined", 0, qPCR_Raw!L153-qPCR_Raw!$H$242&lt;0, 0, qPCR_Raw!L153-qPCR_Raw!$H$242&gt;0, qPCR_Raw!L153-qPCR_Raw!$H$242)</f>
        <v>345175.92394612631</v>
      </c>
      <c r="L153" s="123" cm="1">
        <f t="array" ref="L153">_xlfn.IFS(AND(H153="Undetermined", J153="Undetermined"), "Undetermined", AND(I153=0, K153=0), "Undetermined", AND(I153=0, K153&gt;0), "Ten-Fold", AND(I153&gt;0, K153=0), "Undiluted", AND(H153&lt;&gt;"Undetermined", J153&lt;&gt;"Undetermined", I153&gt;0, K153&gt;0), 100*(-1+10^(-1/(H153-J153))))</f>
        <v>132.05850299636691</v>
      </c>
      <c r="M153" s="124" cm="1">
        <f t="array" ref="M153">_xlfn.IFS(L153="Undetermined", 0, L153="Undiluted", I153*$G153/$F153*1000, L153="Ten-Fold", K153*$G153/$F153*1000*10, L153&lt;0, K153*$G153/$F153*1000*10, L153&lt;120, I153*$G153/$F153*1000, L153&gt;120, K153*$G153/$F153*1000*10)</f>
        <v>348662549.44053167</v>
      </c>
      <c r="N153" s="121" t="str">
        <f t="shared" si="39"/>
        <v>DELETE</v>
      </c>
      <c r="O153" s="121" t="str">
        <f t="shared" si="40"/>
        <v>DELETE</v>
      </c>
      <c r="P153" s="121" t="str">
        <f t="shared" si="41"/>
        <v>DELETE</v>
      </c>
      <c r="Q153" s="125" t="str" cm="1">
        <f t="array" ref="Q153">_xlfn.IFS(N153="DELETE", "DELETE", N153=0, 0, N153&gt;0,LOG10(N153))</f>
        <v>DELETE</v>
      </c>
      <c r="R153" s="126" t="str" cm="1">
        <f t="array" ref="R153">_xlfn.IFS(N153="DELETE", "DELETE", N153=0, 0, N153&gt;0, P153/N153/LN(10))</f>
        <v>DELETE</v>
      </c>
      <c r="S153" s="155">
        <f>qPCR_Raw!O153</f>
        <v>36.937946319580078</v>
      </c>
      <c r="T153" s="156" cm="1">
        <f t="array" ref="T153">_xlfn.IFS(S153="Undetermined", 0, qPCR_Raw!P153&lt;=1, 0, qPCR_Raw!P153&gt;1, qPCR_Raw!P153)</f>
        <v>3.2903826236724854</v>
      </c>
      <c r="U153" s="157" t="str">
        <f>qPCR_Raw!R153</f>
        <v>Undetermined</v>
      </c>
      <c r="V153" s="156" cm="1">
        <f t="array" ref="V153">_xlfn.IFS(U153="Undetermined", 0, qPCR_Raw!S153&lt;=1, 0, qPCR_Raw!S153&gt;1, qPCR_Raw!S153)</f>
        <v>0</v>
      </c>
      <c r="W153" s="158" t="str" cm="1">
        <f t="array" ref="W153">_xlfn.IFS(AND(S153="Undetermined", U153="Undetermined"), "Undetermined", AND(T153=0, V153=0), "Undetermined", AND(T153=0, V153&gt;0), "Ten-Fold", AND(T153&gt;0, V153=0), "Undiluted", AND(S153&lt;&gt;"Undetermined", U153&lt;&gt;"Undetermined", T153&gt;0, V153&gt;0, S153&lt;&gt;U153), 100*(-1+10^(-1/(S153-U153))), AND(S153&lt;&gt;"Undetermined", U153&lt;&gt;"Undetermined", S153=U153&gt;0), -100)</f>
        <v>Undiluted</v>
      </c>
      <c r="X153" s="159" cm="1">
        <f t="array" ref="X153">_xlfn.IFS(W153="Undetermined", 0, W153="Undiluted", T153*$G153/$F153*1000, W153="Ten-Fold", V153*$G153/$F153*1000*10, W153&lt;0, V153*$G153/$F153*1000*10, W153&lt;120, T153*$G153/$F153*1000, W153&gt;120, V153*$G153/$F153*1000*10)</f>
        <v>332.3618811790389</v>
      </c>
      <c r="Y153" s="156" t="str">
        <f t="shared" si="42"/>
        <v>DELETE</v>
      </c>
      <c r="Z153" s="156" t="str">
        <f t="shared" si="43"/>
        <v>DELETE</v>
      </c>
      <c r="AA153" s="156" t="str">
        <f t="shared" si="44"/>
        <v>DELETE</v>
      </c>
      <c r="AB153" s="160" t="str" cm="1">
        <f t="array" ref="AB153">_xlfn.IFS(Y153="DELETE", "DELETE", Y153=0, 0, Y153&gt;0,LOG10(Y153))</f>
        <v>DELETE</v>
      </c>
      <c r="AC153" s="161" t="str" cm="1">
        <f t="array" ref="AC153">_xlfn.IFS(Y153="DELETE", "DELETE", Y153=0, 0, Y153&gt;0, AA153/Y153/LN(10))</f>
        <v>DELETE</v>
      </c>
      <c r="AD153" s="120">
        <f>qPCR_Raw!U153</f>
        <v>27.00065803527832</v>
      </c>
      <c r="AE153" s="121" cm="1">
        <f t="array" ref="AE153">_xlfn.IFS(AD153="Undetermined", 0, qPCR_Raw!V153&lt;=1, 0, qPCR_Raw!V153&gt;1, qPCR_Raw!V153)</f>
        <v>251.08544921875</v>
      </c>
      <c r="AF153" s="122">
        <f>qPCR_Raw!X153</f>
        <v>30.318517684936523</v>
      </c>
      <c r="AG153" s="121" cm="1">
        <f t="array" ref="AG153">_xlfn.IFS(AF153="Undetermined", 0, qPCR_Raw!Y153&lt;=1, 0, qPCR_Raw!Y153&gt;1, qPCR_Raw!Y153)</f>
        <v>29.705574035644531</v>
      </c>
      <c r="AH153" s="123" cm="1">
        <f t="array" ref="AH153">_xlfn.IFS(AND(AD153="Undetermined", AF153="Undetermined"), "Undetermined", AND(AE153=0, AG153=0), "Undetermined", AND(AE153=0, AG153&gt;0), "Ten-Fold", AND(AE153&gt;0, AG153=0), "Undiluted", AND(AD153&lt;&gt;"Undetermined", AF153&lt;&gt;"Undetermined", AE153&gt;0, AG153&gt;0, AD153&lt;&gt;AF153), 100*(-1+10^(-1/(AD153-AF153))), AND(AD153&lt;&gt;"Undetermined", AF153&lt;&gt;"Undetermined", AD153=AF153&gt;0), -100)</f>
        <v>100.17006325928244</v>
      </c>
      <c r="AI153" s="124" cm="1">
        <f t="array" ref="AI153">_xlfn.IFS(AH153="Undetermined", 0, AH153="Undiluted", AE153*$G153/$F153*1000, AH153="Ten-Fold", AG153*$G153/$F153*1000*10, AH153&lt;0, AG153*$G153/$F153*1000*10, AH153&lt;120, AE153*$G153/$F153*1000, AH153&gt;120, AG153*$G153/$F153*1000*10)</f>
        <v>25362.166587752527</v>
      </c>
      <c r="AJ153" s="121" t="str">
        <f t="shared" si="45"/>
        <v>DELETE</v>
      </c>
      <c r="AK153" s="121" t="str">
        <f t="shared" si="46"/>
        <v>DELETE</v>
      </c>
      <c r="AL153" s="121" t="str">
        <f t="shared" si="47"/>
        <v>DELETE</v>
      </c>
      <c r="AM153" s="125" t="str" cm="1">
        <f t="array" ref="AM153">_xlfn.IFS(AJ153="DELETE", "DELETE", AJ153=0, 0, AJ153&gt;0,LOG10(AJ153))</f>
        <v>DELETE</v>
      </c>
      <c r="AN153" s="126" t="str" cm="1">
        <f t="array" ref="AN153">_xlfn.IFS(AJ153="DELETE", "DELETE", AJ153=0, 0, AJ153&gt;0, AL153/AJ153/LN(10))</f>
        <v>DELETE</v>
      </c>
      <c r="AO153" s="155">
        <f>qPCR_Raw!AA153</f>
        <v>28.263824462890625</v>
      </c>
      <c r="AP153" s="156" cm="1">
        <f t="array" ref="AP153">_xlfn.IFS(AO153="Undetermined", 0, qPCR_Raw!AB153&lt;=6, 0, qPCR_Raw!AB153&gt;6, qPCR_Raw!AB153)</f>
        <v>18.904964447021484</v>
      </c>
      <c r="AQ153" s="157">
        <f>qPCR_Raw!AD153</f>
        <v>31.734594345092773</v>
      </c>
      <c r="AR153" s="156" cm="1">
        <f t="array" ref="AR153">_xlfn.IFS(AQ153="Undetermined", 0, qPCR_Raw!AE153&lt;=6, 0, qPCR_Raw!AE153&gt;6, qPCR_Raw!AE153)</f>
        <v>0</v>
      </c>
      <c r="AS153" s="158" t="str" cm="1">
        <f t="array" ref="AS153">_xlfn.IFS(AND(AO153="Undetermined", AQ153="Undetermined"), "Undetermined", AND(AP153=0, AR153=0), "Undetermined", AND(AP153=0, AR153&gt;0), "Ten-Fold", AND(AP153&gt;0, AR153=0), "Undiluted", AND(AO153&lt;&gt;"Undetermined", AQ153&lt;&gt;"Undetermined", AP153&gt;0, AR153&gt;0, AO153&lt;&gt;AQ153), 100*(-1+10^(-1/(AO153-AQ153))), AND(AO153&lt;&gt;"Undetermined", AQ153&lt;&gt;"Undetermined", AO153=AQ153&gt;0), -100)</f>
        <v>Undiluted</v>
      </c>
      <c r="AT153" s="159" cm="1">
        <f t="array" ref="AT153">_xlfn.IFS(AS153="Undetermined", 0, AS153="Undiluted", AP153*$G153/$F153*1000, AS153="Ten-Fold", AR153*$G153/$F153*1000*10, AS153&lt;0, AR153*$G153/$F153*1000*10, AS153&lt;120, AP153*$G153/$F153*1000, AS153&gt;120, AR153*$G153/$F153*1000*10)</f>
        <v>1909.5923683860085</v>
      </c>
      <c r="AU153" s="156" t="str">
        <f t="shared" si="48"/>
        <v>DELETE</v>
      </c>
      <c r="AV153" s="156" t="str">
        <f t="shared" si="49"/>
        <v>DELETE</v>
      </c>
      <c r="AW153" s="156" t="str">
        <f t="shared" si="50"/>
        <v>DELETE</v>
      </c>
      <c r="AX153" s="160" t="str" cm="1">
        <f t="array" ref="AX153">_xlfn.IFS(AU153="DELETE", "DELETE", AU153=0, 0, AU153&gt;0,LOG10(AU153))</f>
        <v>DELETE</v>
      </c>
      <c r="AY153" s="161" t="str" cm="1">
        <f t="array" ref="AY153">_xlfn.IFS(AU153="DELETE", "DELETE", AU153=0, 0, AU153&gt;0, AW153/AU153/LN(10))</f>
        <v>DELETE</v>
      </c>
      <c r="AZ153" s="120" t="str">
        <f>qPCR_Raw!AG153</f>
        <v>Undetermined</v>
      </c>
      <c r="BA153" s="121" cm="1">
        <f t="array" ref="BA153">_xlfn.IFS(AZ153="Undetermined", 0, qPCR_Raw!AH153&lt;=1, 0, qPCR_Raw!AH153&gt;1, qPCR_Raw!AH153)</f>
        <v>0</v>
      </c>
      <c r="BB153" s="122" t="str">
        <f>qPCR_Raw!AJ153</f>
        <v>Undetermined</v>
      </c>
      <c r="BC153" s="121" cm="1">
        <f t="array" ref="BC153">_xlfn.IFS(BB153="Undetermined", 0, qPCR_Raw!AK153&lt;=1, 0, qPCR_Raw!AK153&gt;1, qPCR_Raw!AK153)</f>
        <v>0</v>
      </c>
      <c r="BD153" s="123" t="str" cm="1">
        <f t="array" ref="BD153">_xlfn.IFS(AND(AZ153="Undetermined", BB153="Undetermined"), "Undetermined", AND(BA153=0, BC153=0), "Undetermined", AND(BA153=0, BC153&gt;0), "Ten-Fold", AND(BA153&gt;0, BC153=0), "Undiluted", AND(AZ153&lt;&gt;"Undetermined", BB153&lt;&gt;"Undetermined", BA153&gt;0, BC153&gt;0, AZ153&lt;&gt;BB153), 100*(-1+10^(-1/(AZ153-BB153))), AND(AZ153&lt;&gt;"Undetermined", BB153&lt;&gt;"Undetermined", AZ153=BB153&gt;0), -100)</f>
        <v>Undetermined</v>
      </c>
      <c r="BE153" s="124" cm="1">
        <f t="array" ref="BE153">_xlfn.IFS(BD153="Undetermined", 0, BD153="Undiluted", BA153*$G153/$F153*1000, BD153="Ten-Fold", BC153*$G153/$F153*1000*10, BD153&lt;0, BC153*$G153/$F153*1000*10, BD153&lt;120, BA153*$G153/$F153*1000, BD153&gt;120, BC153*$G153/$F153*1000*10)</f>
        <v>0</v>
      </c>
      <c r="BF153" s="121" t="str">
        <f t="shared" si="51"/>
        <v>DELETE</v>
      </c>
      <c r="BG153" s="121" t="str">
        <f t="shared" si="52"/>
        <v>DELETE</v>
      </c>
      <c r="BH153" s="121" t="str">
        <f t="shared" si="53"/>
        <v>DELETE</v>
      </c>
      <c r="BI153" s="125" t="str" cm="1">
        <f t="array" ref="BI153">_xlfn.IFS(BF153="DELETE", "DELETE", BF153=0, 0, BF153&gt;0,LOG10(BF153))</f>
        <v>DELETE</v>
      </c>
      <c r="BJ153" s="126" t="str" cm="1">
        <f t="array" ref="BJ153">_xlfn.IFS(BF153="DELETE", "DELETE", BF153=0, 0, BF153&gt;0, BH153/BF153/LN(10))</f>
        <v>DELETE</v>
      </c>
    </row>
    <row r="154" spans="1:62" s="114" customFormat="1" x14ac:dyDescent="0.3">
      <c r="A154" s="115" t="str">
        <f>UPPER(LEFT(SUBSTITUTE(SUBSTITUTE(qPCR_Raw!A154,"-","")," ",""),2))&amp;RIGHT(SUBSTITUTE(SUBSTITUTE(qPCR_Raw!A154,"-","")," ",""),LEN(SUBSTITUTE(SUBSTITUTE(qPCR_Raw!A154,"-","")," ",""))-2)</f>
        <v>STa6</v>
      </c>
      <c r="B154" s="116" t="str" cm="1">
        <f t="array" ref="B154">_xlfn.IFS(LEFT(A154, LEN(A154)-1)="EP", "EP", LEFT(A154, LEN(A154)-1)="STa", "SPI", LEFT(A154, LEN(A154)-1)="STb", "SPO", LEFT(A154, LEN(A154)-1)="MRT", "MRT", LEFT(A154, LEN(A154)-1)="RG", "RN", LEFT(A154, LEN(A154)-1)="RT", "RU", LEFT(A154, LEN(A154)-1)="RW", "RL", LEFT(A154, LEN(A154)-1)="RC", "RS")</f>
        <v>SPI</v>
      </c>
      <c r="C154" s="117">
        <f>qPCR_Raw!B154</f>
        <v>44398</v>
      </c>
      <c r="D154" s="117" t="str">
        <f t="shared" si="37"/>
        <v>SPI44398</v>
      </c>
      <c r="E154" s="117" t="str">
        <f t="shared" si="38"/>
        <v>SPI443986</v>
      </c>
      <c r="F154" s="118">
        <f>qPCR_Raw!C154</f>
        <v>875</v>
      </c>
      <c r="G154" s="119">
        <f>qPCR_Raw!F154</f>
        <v>100</v>
      </c>
      <c r="H154" s="120">
        <f>qPCR_Raw!G154</f>
        <v>21.147346496582031</v>
      </c>
      <c r="I154" s="121" cm="1">
        <f t="array" ref="I154">_xlfn.IFS(H154="Undetermined", 0, qPCR_Raw!H154-qPCR_Raw!$H$242&lt;0, 0, qPCR_Raw!H154-qPCR_Raw!$H$242&gt;0, qPCR_Raw!H154-qPCR_Raw!$H$242)</f>
        <v>36033.326289876306</v>
      </c>
      <c r="J154" s="122">
        <f>qPCR_Raw!K154</f>
        <v>24.170646667480469</v>
      </c>
      <c r="K154" s="121" cm="1">
        <f t="array" ref="K154">_xlfn.IFS(J154="Undetermined", 0, qPCR_Raw!L154-qPCR_Raw!$H$242&lt;0, 0, qPCR_Raw!L154-qPCR_Raw!$H$242&gt;0, qPCR_Raw!L154-qPCR_Raw!$H$242)</f>
        <v>0</v>
      </c>
      <c r="L154" s="123" t="str" cm="1">
        <f t="array" ref="L154">_xlfn.IFS(AND(H154="Undetermined", J154="Undetermined"), "Undetermined", AND(I154=0, K154=0), "Undetermined", AND(I154=0, K154&gt;0), "Ten-Fold", AND(I154&gt;0, K154=0), "Undiluted", AND(H154&lt;&gt;"Undetermined", J154&lt;&gt;"Undetermined", I154&gt;0, K154&gt;0), 100*(-1+10^(-1/(H154-J154))))</f>
        <v>Undiluted</v>
      </c>
      <c r="M154" s="124" cm="1">
        <f t="array" ref="M154">_xlfn.IFS(L154="Undetermined", 0, L154="Undiluted", I154*$G154/$F154*1000, L154="Ten-Fold", K154*$G154/$F154*1000*10, L154&lt;0, K154*$G154/$F154*1000*10, L154&lt;120, I154*$G154/$F154*1000, L154&gt;120, K154*$G154/$F154*1000*10)</f>
        <v>4118094.4331287211</v>
      </c>
      <c r="N154" s="121">
        <f t="shared" si="39"/>
        <v>2059047.2165643605</v>
      </c>
      <c r="O154" s="121">
        <f t="shared" si="40"/>
        <v>2911932.4992318898</v>
      </c>
      <c r="P154" s="121">
        <f t="shared" si="41"/>
        <v>2059047.2165643603</v>
      </c>
      <c r="Q154" s="125" cm="1">
        <f t="array" ref="Q154">_xlfn.IFS(N154="DELETE", "DELETE", N154=0, 0, N154&gt;0,LOG10(N154))</f>
        <v>6.3136663056555458</v>
      </c>
      <c r="R154" s="126" cm="1">
        <f t="array" ref="R154">_xlfn.IFS(N154="DELETE", "DELETE", N154=0, 0, N154&gt;0, P154/N154/LN(10))</f>
        <v>0.43429448190325176</v>
      </c>
      <c r="S154" s="155" t="str">
        <f>qPCR_Raw!O154</f>
        <v>Undetermined</v>
      </c>
      <c r="T154" s="156" cm="1">
        <f t="array" ref="T154">_xlfn.IFS(S154="Undetermined", 0, qPCR_Raw!P154&lt;=1, 0, qPCR_Raw!P154&gt;1, qPCR_Raw!P154)</f>
        <v>0</v>
      </c>
      <c r="U154" s="157" t="str">
        <f>qPCR_Raw!R154</f>
        <v>Undetermined</v>
      </c>
      <c r="V154" s="156" cm="1">
        <f t="array" ref="V154">_xlfn.IFS(U154="Undetermined", 0, qPCR_Raw!S154&lt;=1, 0, qPCR_Raw!S154&gt;1, qPCR_Raw!S154)</f>
        <v>0</v>
      </c>
      <c r="W154" s="158" t="str" cm="1">
        <f t="array" ref="W154">_xlfn.IFS(AND(S154="Undetermined", U154="Undetermined"), "Undetermined", AND(T154=0, V154=0), "Undetermined", AND(T154=0, V154&gt;0), "Ten-Fold", AND(T154&gt;0, V154=0), "Undiluted", AND(S154&lt;&gt;"Undetermined", U154&lt;&gt;"Undetermined", T154&gt;0, V154&gt;0, S154&lt;&gt;U154), 100*(-1+10^(-1/(S154-U154))), AND(S154&lt;&gt;"Undetermined", U154&lt;&gt;"Undetermined", S154=U154&gt;0), -100)</f>
        <v>Undetermined</v>
      </c>
      <c r="X154" s="159" cm="1">
        <f t="array" ref="X154">_xlfn.IFS(W154="Undetermined", 0, W154="Undiluted", T154*$G154/$F154*1000, W154="Ten-Fold", V154*$G154/$F154*1000*10, W154&lt;0, V154*$G154/$F154*1000*10, W154&lt;120, T154*$G154/$F154*1000, W154&gt;120, V154*$G154/$F154*1000*10)</f>
        <v>0</v>
      </c>
      <c r="Y154" s="156">
        <f t="shared" si="42"/>
        <v>0</v>
      </c>
      <c r="Z154" s="156">
        <f t="shared" si="43"/>
        <v>0</v>
      </c>
      <c r="AA154" s="156">
        <f t="shared" si="44"/>
        <v>0</v>
      </c>
      <c r="AB154" s="160" cm="1">
        <f t="array" ref="AB154">_xlfn.IFS(Y154="DELETE", "DELETE", Y154=0, 0, Y154&gt;0,LOG10(Y154))</f>
        <v>0</v>
      </c>
      <c r="AC154" s="161" cm="1">
        <f t="array" ref="AC154">_xlfn.IFS(Y154="DELETE", "DELETE", Y154=0, 0, Y154&gt;0, AA154/Y154/LN(10))</f>
        <v>0</v>
      </c>
      <c r="AD154" s="120" t="str">
        <f>qPCR_Raw!U154</f>
        <v>Undetermined</v>
      </c>
      <c r="AE154" s="121" cm="1">
        <f t="array" ref="AE154">_xlfn.IFS(AD154="Undetermined", 0, qPCR_Raw!V154&lt;=1, 0, qPCR_Raw!V154&gt;1, qPCR_Raw!V154)</f>
        <v>0</v>
      </c>
      <c r="AF154" s="122" t="str">
        <f>qPCR_Raw!X154</f>
        <v>Undetermined</v>
      </c>
      <c r="AG154" s="121" cm="1">
        <f t="array" ref="AG154">_xlfn.IFS(AF154="Undetermined", 0, qPCR_Raw!Y154&lt;=1, 0, qPCR_Raw!Y154&gt;1, qPCR_Raw!Y154)</f>
        <v>0</v>
      </c>
      <c r="AH154" s="123" t="str" cm="1">
        <f t="array" ref="AH154">_xlfn.IFS(AND(AD154="Undetermined", AF154="Undetermined"), "Undetermined", AND(AE154=0, AG154=0), "Undetermined", AND(AE154=0, AG154&gt;0), "Ten-Fold", AND(AE154&gt;0, AG154=0), "Undiluted", AND(AD154&lt;&gt;"Undetermined", AF154&lt;&gt;"Undetermined", AE154&gt;0, AG154&gt;0, AD154&lt;&gt;AF154), 100*(-1+10^(-1/(AD154-AF154))), AND(AD154&lt;&gt;"Undetermined", AF154&lt;&gt;"Undetermined", AD154=AF154&gt;0), -100)</f>
        <v>Undetermined</v>
      </c>
      <c r="AI154" s="124" cm="1">
        <f t="array" ref="AI154">_xlfn.IFS(AH154="Undetermined", 0, AH154="Undiluted", AE154*$G154/$F154*1000, AH154="Ten-Fold", AG154*$G154/$F154*1000*10, AH154&lt;0, AG154*$G154/$F154*1000*10, AH154&lt;120, AE154*$G154/$F154*1000, AH154&gt;120, AG154*$G154/$F154*1000*10)</f>
        <v>0</v>
      </c>
      <c r="AJ154" s="121">
        <f t="shared" si="45"/>
        <v>0</v>
      </c>
      <c r="AK154" s="121">
        <f t="shared" si="46"/>
        <v>0</v>
      </c>
      <c r="AL154" s="121">
        <f t="shared" si="47"/>
        <v>0</v>
      </c>
      <c r="AM154" s="125" cm="1">
        <f t="array" ref="AM154">_xlfn.IFS(AJ154="DELETE", "DELETE", AJ154=0, 0, AJ154&gt;0,LOG10(AJ154))</f>
        <v>0</v>
      </c>
      <c r="AN154" s="126" cm="1">
        <f t="array" ref="AN154">_xlfn.IFS(AJ154="DELETE", "DELETE", AJ154=0, 0, AJ154&gt;0, AL154/AJ154/LN(10))</f>
        <v>0</v>
      </c>
      <c r="AO154" s="155">
        <f>qPCR_Raw!AA154</f>
        <v>24.41816520690918</v>
      </c>
      <c r="AP154" s="156" cm="1">
        <f t="array" ref="AP154">_xlfn.IFS(AO154="Undetermined", 0, qPCR_Raw!AB154&lt;=6, 0, qPCR_Raw!AB154&gt;6, qPCR_Raw!AB154)</f>
        <v>222.91964721679688</v>
      </c>
      <c r="AQ154" s="157">
        <f>qPCR_Raw!AD154</f>
        <v>27.684137344360352</v>
      </c>
      <c r="AR154" s="156" cm="1">
        <f t="array" ref="AR154">_xlfn.IFS(AQ154="Undetermined", 0, qPCR_Raw!AE154&lt;=6, 0, qPCR_Raw!AE154&gt;6, qPCR_Raw!AE154)</f>
        <v>27.422220230102539</v>
      </c>
      <c r="AS154" s="158" cm="1">
        <f t="array" ref="AS154">_xlfn.IFS(AND(AO154="Undetermined", AQ154="Undetermined"), "Undetermined", AND(AP154=0, AR154=0), "Undetermined", AND(AP154=0, AR154&gt;0), "Ten-Fold", AND(AP154&gt;0, AR154=0), "Undiluted", AND(AO154&lt;&gt;"Undetermined", AQ154&lt;&gt;"Undetermined", AP154&gt;0, AR154&gt;0, AO154&lt;&gt;AQ154), 100*(-1+10^(-1/(AO154-AQ154))), AND(AO154&lt;&gt;"Undetermined", AQ154&lt;&gt;"Undetermined", AO154=AQ154&gt;0), -100)</f>
        <v>102.38929976629949</v>
      </c>
      <c r="AT154" s="159" cm="1">
        <f t="array" ref="AT154">_xlfn.IFS(AS154="Undetermined", 0, AS154="Undiluted", AP154*$G154/$F154*1000, AS154="Ten-Fold", AR154*$G154/$F154*1000*10, AS154&lt;0, AR154*$G154/$F154*1000*10, AS154&lt;120, AP154*$G154/$F154*1000, AS154&gt;120, AR154*$G154/$F154*1000*10)</f>
        <v>25476.531110491069</v>
      </c>
      <c r="AU154" s="156">
        <f t="shared" si="48"/>
        <v>12738.265555245534</v>
      </c>
      <c r="AV154" s="156">
        <f t="shared" si="49"/>
        <v>18014.62790933828</v>
      </c>
      <c r="AW154" s="156">
        <f t="shared" si="50"/>
        <v>12738.265555245534</v>
      </c>
      <c r="AX154" s="160" cm="1">
        <f t="array" ref="AX154">_xlfn.IFS(AU154="DELETE", "DELETE", AU154=0, 0, AU154&gt;0,LOG10(AU154))</f>
        <v>4.1051102984023373</v>
      </c>
      <c r="AY154" s="161" cm="1">
        <f t="array" ref="AY154">_xlfn.IFS(AU154="DELETE", "DELETE", AU154=0, 0, AU154&gt;0, AW154/AU154/LN(10))</f>
        <v>0.43429448190325176</v>
      </c>
      <c r="AZ154" s="120" t="str">
        <f>qPCR_Raw!AG154</f>
        <v>Undetermined</v>
      </c>
      <c r="BA154" s="121" cm="1">
        <f t="array" ref="BA154">_xlfn.IFS(AZ154="Undetermined", 0, qPCR_Raw!AH154&lt;=1, 0, qPCR_Raw!AH154&gt;1, qPCR_Raw!AH154)</f>
        <v>0</v>
      </c>
      <c r="BB154" s="122">
        <f>qPCR_Raw!AJ154</f>
        <v>39.059902191162109</v>
      </c>
      <c r="BC154" s="121" cm="1">
        <f t="array" ref="BC154">_xlfn.IFS(BB154="Undetermined", 0, qPCR_Raw!AK154&lt;=1, 0, qPCR_Raw!AK154&gt;1, qPCR_Raw!AK154)</f>
        <v>0</v>
      </c>
      <c r="BD154" s="123" t="str" cm="1">
        <f t="array" ref="BD154">_xlfn.IFS(AND(AZ154="Undetermined", BB154="Undetermined"), "Undetermined", AND(BA154=0, BC154=0), "Undetermined", AND(BA154=0, BC154&gt;0), "Ten-Fold", AND(BA154&gt;0, BC154=0), "Undiluted", AND(AZ154&lt;&gt;"Undetermined", BB154&lt;&gt;"Undetermined", BA154&gt;0, BC154&gt;0, AZ154&lt;&gt;BB154), 100*(-1+10^(-1/(AZ154-BB154))), AND(AZ154&lt;&gt;"Undetermined", BB154&lt;&gt;"Undetermined", AZ154=BB154&gt;0), -100)</f>
        <v>Undetermined</v>
      </c>
      <c r="BE154" s="124" cm="1">
        <f t="array" ref="BE154">_xlfn.IFS(BD154="Undetermined", 0, BD154="Undiluted", BA154*$G154/$F154*1000, BD154="Ten-Fold", BC154*$G154/$F154*1000*10, BD154&lt;0, BC154*$G154/$F154*1000*10, BD154&lt;120, BA154*$G154/$F154*1000, BD154&gt;120, BC154*$G154/$F154*1000*10)</f>
        <v>0</v>
      </c>
      <c r="BF154" s="121">
        <f t="shared" si="51"/>
        <v>0</v>
      </c>
      <c r="BG154" s="121">
        <f t="shared" si="52"/>
        <v>0</v>
      </c>
      <c r="BH154" s="121">
        <f t="shared" si="53"/>
        <v>0</v>
      </c>
      <c r="BI154" s="125" cm="1">
        <f t="array" ref="BI154">_xlfn.IFS(BF154="DELETE", "DELETE", BF154=0, 0, BF154&gt;0,LOG10(BF154))</f>
        <v>0</v>
      </c>
      <c r="BJ154" s="126" cm="1">
        <f t="array" ref="BJ154">_xlfn.IFS(BF154="DELETE", "DELETE", BF154=0, 0, BF154&gt;0, BH154/BF154/LN(10))</f>
        <v>0</v>
      </c>
    </row>
    <row r="155" spans="1:62" s="114" customFormat="1" x14ac:dyDescent="0.3">
      <c r="A155" s="115" t="str">
        <f>UPPER(LEFT(SUBSTITUTE(SUBSTITUTE(qPCR_Raw!A155,"-","")," ",""),2))&amp;RIGHT(SUBSTITUTE(SUBSTITUTE(qPCR_Raw!A155,"-","")," ",""),LEN(SUBSTITUTE(SUBSTITUTE(qPCR_Raw!A155,"-","")," ",""))-2)</f>
        <v>STa7</v>
      </c>
      <c r="B155" s="116" t="str" cm="1">
        <f t="array" ref="B155">_xlfn.IFS(LEFT(A155, LEN(A155)-1)="EP", "EP", LEFT(A155, LEN(A155)-1)="STa", "SPI", LEFT(A155, LEN(A155)-1)="STb", "SPO", LEFT(A155, LEN(A155)-1)="MRT", "MRT", LEFT(A155, LEN(A155)-1)="RG", "RN", LEFT(A155, LEN(A155)-1)="RT", "RU", LEFT(A155, LEN(A155)-1)="RW", "RL", LEFT(A155, LEN(A155)-1)="RC", "RS")</f>
        <v>SPI</v>
      </c>
      <c r="C155" s="117">
        <f>qPCR_Raw!B155</f>
        <v>44398</v>
      </c>
      <c r="D155" s="117" t="str">
        <f t="shared" si="37"/>
        <v>SPI44398</v>
      </c>
      <c r="E155" s="117" t="str">
        <f t="shared" si="38"/>
        <v>SPI443987</v>
      </c>
      <c r="F155" s="118">
        <f>qPCR_Raw!C155</f>
        <v>1000</v>
      </c>
      <c r="G155" s="119">
        <f>qPCR_Raw!F155</f>
        <v>100</v>
      </c>
      <c r="H155" s="120">
        <f>qPCR_Raw!G155</f>
        <v>25.696525573730469</v>
      </c>
      <c r="I155" s="121" cm="1">
        <f t="array" ref="I155">_xlfn.IFS(H155="Undetermined", 0, qPCR_Raw!H155-qPCR_Raw!$H$242&lt;0, 0, qPCR_Raw!H155-qPCR_Raw!$H$242&gt;0, qPCR_Raw!H155-qPCR_Raw!$H$242)</f>
        <v>0</v>
      </c>
      <c r="J155" s="122">
        <f>qPCR_Raw!K155</f>
        <v>28.4205322265625</v>
      </c>
      <c r="K155" s="121" cm="1">
        <f t="array" ref="K155">_xlfn.IFS(J155="Undetermined", 0, qPCR_Raw!L155-qPCR_Raw!$H$242&lt;0, 0, qPCR_Raw!L155-qPCR_Raw!$H$242&gt;0, qPCR_Raw!L155-qPCR_Raw!$H$242)</f>
        <v>0</v>
      </c>
      <c r="L155" s="123" t="str" cm="1">
        <f t="array" ref="L155">_xlfn.IFS(AND(H155="Undetermined", J155="Undetermined"), "Undetermined", AND(I155=0, K155=0), "Undetermined", AND(I155=0, K155&gt;0), "Ten-Fold", AND(I155&gt;0, K155=0), "Undiluted", AND(H155&lt;&gt;"Undetermined", J155&lt;&gt;"Undetermined", I155&gt;0, K155&gt;0), 100*(-1+10^(-1/(H155-J155))))</f>
        <v>Undetermined</v>
      </c>
      <c r="M155" s="124" cm="1">
        <f t="array" ref="M155">_xlfn.IFS(L155="Undetermined", 0, L155="Undiluted", I155*$G155/$F155*1000, L155="Ten-Fold", K155*$G155/$F155*1000*10, L155&lt;0, K155*$G155/$F155*1000*10, L155&lt;120, I155*$G155/$F155*1000, L155&gt;120, K155*$G155/$F155*1000*10)</f>
        <v>0</v>
      </c>
      <c r="N155" s="121" t="str">
        <f t="shared" si="39"/>
        <v>DELETE</v>
      </c>
      <c r="O155" s="121" t="str">
        <f t="shared" si="40"/>
        <v>DELETE</v>
      </c>
      <c r="P155" s="121" t="str">
        <f t="shared" si="41"/>
        <v>DELETE</v>
      </c>
      <c r="Q155" s="125" t="str" cm="1">
        <f t="array" ref="Q155">_xlfn.IFS(N155="DELETE", "DELETE", N155=0, 0, N155&gt;0,LOG10(N155))</f>
        <v>DELETE</v>
      </c>
      <c r="R155" s="126" t="str" cm="1">
        <f t="array" ref="R155">_xlfn.IFS(N155="DELETE", "DELETE", N155=0, 0, N155&gt;0, P155/N155/LN(10))</f>
        <v>DELETE</v>
      </c>
      <c r="S155" s="155">
        <f>qPCR_Raw!O155</f>
        <v>39.685085296630859</v>
      </c>
      <c r="T155" s="156" cm="1">
        <f t="array" ref="T155">_xlfn.IFS(S155="Undetermined", 0, qPCR_Raw!P155&lt;=1, 0, qPCR_Raw!P155&gt;1, qPCR_Raw!P155)</f>
        <v>0</v>
      </c>
      <c r="U155" s="157" t="str">
        <f>qPCR_Raw!R155</f>
        <v>Undetermined</v>
      </c>
      <c r="V155" s="156" cm="1">
        <f t="array" ref="V155">_xlfn.IFS(U155="Undetermined", 0, qPCR_Raw!S155&lt;=1, 0, qPCR_Raw!S155&gt;1, qPCR_Raw!S155)</f>
        <v>0</v>
      </c>
      <c r="W155" s="158" t="str" cm="1">
        <f t="array" ref="W155">_xlfn.IFS(AND(S155="Undetermined", U155="Undetermined"), "Undetermined", AND(T155=0, V155=0), "Undetermined", AND(T155=0, V155&gt;0), "Ten-Fold", AND(T155&gt;0, V155=0), "Undiluted", AND(S155&lt;&gt;"Undetermined", U155&lt;&gt;"Undetermined", T155&gt;0, V155&gt;0, S155&lt;&gt;U155), 100*(-1+10^(-1/(S155-U155))), AND(S155&lt;&gt;"Undetermined", U155&lt;&gt;"Undetermined", S155=U155&gt;0), -100)</f>
        <v>Undetermined</v>
      </c>
      <c r="X155" s="159" cm="1">
        <f t="array" ref="X155">_xlfn.IFS(W155="Undetermined", 0, W155="Undiluted", T155*$G155/$F155*1000, W155="Ten-Fold", V155*$G155/$F155*1000*10, W155&lt;0, V155*$G155/$F155*1000*10, W155&lt;120, T155*$G155/$F155*1000, W155&gt;120, V155*$G155/$F155*1000*10)</f>
        <v>0</v>
      </c>
      <c r="Y155" s="156" t="str">
        <f t="shared" si="42"/>
        <v>DELETE</v>
      </c>
      <c r="Z155" s="156" t="str">
        <f t="shared" si="43"/>
        <v>DELETE</v>
      </c>
      <c r="AA155" s="156" t="str">
        <f t="shared" si="44"/>
        <v>DELETE</v>
      </c>
      <c r="AB155" s="160" t="str" cm="1">
        <f t="array" ref="AB155">_xlfn.IFS(Y155="DELETE", "DELETE", Y155=0, 0, Y155&gt;0,LOG10(Y155))</f>
        <v>DELETE</v>
      </c>
      <c r="AC155" s="161" t="str" cm="1">
        <f t="array" ref="AC155">_xlfn.IFS(Y155="DELETE", "DELETE", Y155=0, 0, Y155&gt;0, AA155/Y155/LN(10))</f>
        <v>DELETE</v>
      </c>
      <c r="AD155" s="120" t="str">
        <f>qPCR_Raw!U155</f>
        <v>Undetermined</v>
      </c>
      <c r="AE155" s="121" cm="1">
        <f t="array" ref="AE155">_xlfn.IFS(AD155="Undetermined", 0, qPCR_Raw!V155&lt;=1, 0, qPCR_Raw!V155&gt;1, qPCR_Raw!V155)</f>
        <v>0</v>
      </c>
      <c r="AF155" s="122" t="str">
        <f>qPCR_Raw!X155</f>
        <v>Undetermined</v>
      </c>
      <c r="AG155" s="121" cm="1">
        <f t="array" ref="AG155">_xlfn.IFS(AF155="Undetermined", 0, qPCR_Raw!Y155&lt;=1, 0, qPCR_Raw!Y155&gt;1, qPCR_Raw!Y155)</f>
        <v>0</v>
      </c>
      <c r="AH155" s="123" t="str" cm="1">
        <f t="array" ref="AH155">_xlfn.IFS(AND(AD155="Undetermined", AF155="Undetermined"), "Undetermined", AND(AE155=0, AG155=0), "Undetermined", AND(AE155=0, AG155&gt;0), "Ten-Fold", AND(AE155&gt;0, AG155=0), "Undiluted", AND(AD155&lt;&gt;"Undetermined", AF155&lt;&gt;"Undetermined", AE155&gt;0, AG155&gt;0, AD155&lt;&gt;AF155), 100*(-1+10^(-1/(AD155-AF155))), AND(AD155&lt;&gt;"Undetermined", AF155&lt;&gt;"Undetermined", AD155=AF155&gt;0), -100)</f>
        <v>Undetermined</v>
      </c>
      <c r="AI155" s="124" cm="1">
        <f t="array" ref="AI155">_xlfn.IFS(AH155="Undetermined", 0, AH155="Undiluted", AE155*$G155/$F155*1000, AH155="Ten-Fold", AG155*$G155/$F155*1000*10, AH155&lt;0, AG155*$G155/$F155*1000*10, AH155&lt;120, AE155*$G155/$F155*1000, AH155&gt;120, AG155*$G155/$F155*1000*10)</f>
        <v>0</v>
      </c>
      <c r="AJ155" s="121" t="str">
        <f t="shared" si="45"/>
        <v>DELETE</v>
      </c>
      <c r="AK155" s="121" t="str">
        <f t="shared" si="46"/>
        <v>DELETE</v>
      </c>
      <c r="AL155" s="121" t="str">
        <f t="shared" si="47"/>
        <v>DELETE</v>
      </c>
      <c r="AM155" s="125" t="str" cm="1">
        <f t="array" ref="AM155">_xlfn.IFS(AJ155="DELETE", "DELETE", AJ155=0, 0, AJ155&gt;0,LOG10(AJ155))</f>
        <v>DELETE</v>
      </c>
      <c r="AN155" s="126" t="str" cm="1">
        <f t="array" ref="AN155">_xlfn.IFS(AJ155="DELETE", "DELETE", AJ155=0, 0, AJ155&gt;0, AL155/AJ155/LN(10))</f>
        <v>DELETE</v>
      </c>
      <c r="AO155" s="155" t="str">
        <f>qPCR_Raw!AA155</f>
        <v>Undetermined</v>
      </c>
      <c r="AP155" s="156" cm="1">
        <f t="array" ref="AP155">_xlfn.IFS(AO155="Undetermined", 0, qPCR_Raw!AB155&lt;=6, 0, qPCR_Raw!AB155&gt;6, qPCR_Raw!AB155)</f>
        <v>0</v>
      </c>
      <c r="AQ155" s="157" t="str">
        <f>qPCR_Raw!AD155</f>
        <v>Undetermined</v>
      </c>
      <c r="AR155" s="156" cm="1">
        <f t="array" ref="AR155">_xlfn.IFS(AQ155="Undetermined", 0, qPCR_Raw!AE155&lt;=6, 0, qPCR_Raw!AE155&gt;6, qPCR_Raw!AE155)</f>
        <v>0</v>
      </c>
      <c r="AS155" s="158" t="str" cm="1">
        <f t="array" ref="AS155">_xlfn.IFS(AND(AO155="Undetermined", AQ155="Undetermined"), "Undetermined", AND(AP155=0, AR155=0), "Undetermined", AND(AP155=0, AR155&gt;0), "Ten-Fold", AND(AP155&gt;0, AR155=0), "Undiluted", AND(AO155&lt;&gt;"Undetermined", AQ155&lt;&gt;"Undetermined", AP155&gt;0, AR155&gt;0, AO155&lt;&gt;AQ155), 100*(-1+10^(-1/(AO155-AQ155))), AND(AO155&lt;&gt;"Undetermined", AQ155&lt;&gt;"Undetermined", AO155=AQ155&gt;0), -100)</f>
        <v>Undetermined</v>
      </c>
      <c r="AT155" s="159" cm="1">
        <f t="array" ref="AT155">_xlfn.IFS(AS155="Undetermined", 0, AS155="Undiluted", AP155*$G155/$F155*1000, AS155="Ten-Fold", AR155*$G155/$F155*1000*10, AS155&lt;0, AR155*$G155/$F155*1000*10, AS155&lt;120, AP155*$G155/$F155*1000, AS155&gt;120, AR155*$G155/$F155*1000*10)</f>
        <v>0</v>
      </c>
      <c r="AU155" s="156" t="str">
        <f t="shared" si="48"/>
        <v>DELETE</v>
      </c>
      <c r="AV155" s="156" t="str">
        <f t="shared" si="49"/>
        <v>DELETE</v>
      </c>
      <c r="AW155" s="156" t="str">
        <f t="shared" si="50"/>
        <v>DELETE</v>
      </c>
      <c r="AX155" s="160" t="str" cm="1">
        <f t="array" ref="AX155">_xlfn.IFS(AU155="DELETE", "DELETE", AU155=0, 0, AU155&gt;0,LOG10(AU155))</f>
        <v>DELETE</v>
      </c>
      <c r="AY155" s="161" t="str" cm="1">
        <f t="array" ref="AY155">_xlfn.IFS(AU155="DELETE", "DELETE", AU155=0, 0, AU155&gt;0, AW155/AU155/LN(10))</f>
        <v>DELETE</v>
      </c>
      <c r="AZ155" s="120">
        <f>qPCR_Raw!AG155</f>
        <v>39.654727935791016</v>
      </c>
      <c r="BA155" s="121" cm="1">
        <f t="array" ref="BA155">_xlfn.IFS(AZ155="Undetermined", 0, qPCR_Raw!AH155&lt;=1, 0, qPCR_Raw!AH155&gt;1, qPCR_Raw!AH155)</f>
        <v>0</v>
      </c>
      <c r="BB155" s="122" t="str">
        <f>qPCR_Raw!AJ155</f>
        <v>Undetermined</v>
      </c>
      <c r="BC155" s="121" cm="1">
        <f t="array" ref="BC155">_xlfn.IFS(BB155="Undetermined", 0, qPCR_Raw!AK155&lt;=1, 0, qPCR_Raw!AK155&gt;1, qPCR_Raw!AK155)</f>
        <v>0</v>
      </c>
      <c r="BD155" s="123" t="str" cm="1">
        <f t="array" ref="BD155">_xlfn.IFS(AND(AZ155="Undetermined", BB155="Undetermined"), "Undetermined", AND(BA155=0, BC155=0), "Undetermined", AND(BA155=0, BC155&gt;0), "Ten-Fold", AND(BA155&gt;0, BC155=0), "Undiluted", AND(AZ155&lt;&gt;"Undetermined", BB155&lt;&gt;"Undetermined", BA155&gt;0, BC155&gt;0, AZ155&lt;&gt;BB155), 100*(-1+10^(-1/(AZ155-BB155))), AND(AZ155&lt;&gt;"Undetermined", BB155&lt;&gt;"Undetermined", AZ155=BB155&gt;0), -100)</f>
        <v>Undetermined</v>
      </c>
      <c r="BE155" s="124" cm="1">
        <f t="array" ref="BE155">_xlfn.IFS(BD155="Undetermined", 0, BD155="Undiluted", BA155*$G155/$F155*1000, BD155="Ten-Fold", BC155*$G155/$F155*1000*10, BD155&lt;0, BC155*$G155/$F155*1000*10, BD155&lt;120, BA155*$G155/$F155*1000, BD155&gt;120, BC155*$G155/$F155*1000*10)</f>
        <v>0</v>
      </c>
      <c r="BF155" s="121" t="str">
        <f t="shared" si="51"/>
        <v>DELETE</v>
      </c>
      <c r="BG155" s="121" t="str">
        <f t="shared" si="52"/>
        <v>DELETE</v>
      </c>
      <c r="BH155" s="121" t="str">
        <f t="shared" si="53"/>
        <v>DELETE</v>
      </c>
      <c r="BI155" s="125" t="str" cm="1">
        <f t="array" ref="BI155">_xlfn.IFS(BF155="DELETE", "DELETE", BF155=0, 0, BF155&gt;0,LOG10(BF155))</f>
        <v>DELETE</v>
      </c>
      <c r="BJ155" s="126" t="str" cm="1">
        <f t="array" ref="BJ155">_xlfn.IFS(BF155="DELETE", "DELETE", BF155=0, 0, BF155&gt;0, BH155/BF155/LN(10))</f>
        <v>DELETE</v>
      </c>
    </row>
    <row r="156" spans="1:62" s="114" customFormat="1" x14ac:dyDescent="0.3">
      <c r="A156" s="115" t="str">
        <f>UPPER(LEFT(SUBSTITUTE(SUBSTITUTE(qPCR_Raw!A156,"-","")," ",""),2))&amp;RIGHT(SUBSTITUTE(SUBSTITUTE(qPCR_Raw!A156,"-","")," ",""),LEN(SUBSTITUTE(SUBSTITUTE(qPCR_Raw!A156,"-","")," ",""))-2)</f>
        <v>EP6</v>
      </c>
      <c r="B156" s="116" t="str" cm="1">
        <f t="array" ref="B156">_xlfn.IFS(LEFT(A156, LEN(A156)-1)="EP", "EP", LEFT(A156, LEN(A156)-1)="STa", "SPI", LEFT(A156, LEN(A156)-1)="STb", "SPO", LEFT(A156, LEN(A156)-1)="MRT", "MRT", LEFT(A156, LEN(A156)-1)="RG", "RN", LEFT(A156, LEN(A156)-1)="RT", "RU", LEFT(A156, LEN(A156)-1)="RW", "RL", LEFT(A156, LEN(A156)-1)="RC", "RS")</f>
        <v>EP</v>
      </c>
      <c r="C156" s="117">
        <f>qPCR_Raw!B156</f>
        <v>44405</v>
      </c>
      <c r="D156" s="117" t="str">
        <f t="shared" si="37"/>
        <v>EP44405</v>
      </c>
      <c r="E156" s="117" t="str">
        <f t="shared" si="38"/>
        <v>EP444056</v>
      </c>
      <c r="F156" s="118">
        <f>qPCR_Raw!C156</f>
        <v>920</v>
      </c>
      <c r="G156" s="119">
        <f>qPCR_Raw!F156</f>
        <v>100</v>
      </c>
      <c r="H156" s="120">
        <f>qPCR_Raw!G156</f>
        <v>17.974996566772461</v>
      </c>
      <c r="I156" s="121" cm="1">
        <f t="array" ref="I156">_xlfn.IFS(H156="Undetermined", 0, qPCR_Raw!H156-qPCR_Raw!$H$242&lt;0, 0, qPCR_Raw!H156-qPCR_Raw!$H$242&gt;0, qPCR_Raw!H156-qPCR_Raw!$H$242)</f>
        <v>395795.79894612631</v>
      </c>
      <c r="J156" s="122">
        <f>qPCR_Raw!K156</f>
        <v>20.982244491577148</v>
      </c>
      <c r="K156" s="121" cm="1">
        <f t="array" ref="K156">_xlfn.IFS(J156="Undetermined", 0, qPCR_Raw!L156-qPCR_Raw!$H$242&lt;0, 0, qPCR_Raw!L156-qPCR_Raw!$H$242&gt;0, qPCR_Raw!L156-qPCR_Raw!$H$242)</f>
        <v>41753.982539876306</v>
      </c>
      <c r="L156" s="123" cm="1">
        <f t="array" ref="L156">_xlfn.IFS(AND(H156="Undetermined", J156="Undetermined"), "Undetermined", AND(I156=0, K156=0), "Undetermined", AND(I156=0, K156&gt;0), "Ten-Fold", AND(I156&gt;0, K156=0), "Undiluted", AND(H156&lt;&gt;"Undetermined", J156&lt;&gt;"Undetermined", I156&gt;0, K156&gt;0), 100*(-1+10^(-1/(H156-J156))))</f>
        <v>115.04529712624714</v>
      </c>
      <c r="M156" s="124" cm="1">
        <f t="array" ref="M156">_xlfn.IFS(L156="Undetermined", 0, L156="Undiluted", I156*$G156/$F156*1000, L156="Ten-Fold", K156*$G156/$F156*1000*10, L156&lt;0, K156*$G156/$F156*1000*10, L156&lt;120, I156*$G156/$F156*1000, L156&gt;120, K156*$G156/$F156*1000*10)</f>
        <v>43021282.494144164</v>
      </c>
      <c r="N156" s="121">
        <f t="shared" si="39"/>
        <v>27748361.570348252</v>
      </c>
      <c r="O156" s="121">
        <f t="shared" si="40"/>
        <v>21599171.907483995</v>
      </c>
      <c r="P156" s="121">
        <f t="shared" si="41"/>
        <v>15272920.923795909</v>
      </c>
      <c r="Q156" s="125" cm="1">
        <f t="array" ref="Q156">_xlfn.IFS(N156="DELETE", "DELETE", N156=0, 0, N156&gt;0,LOG10(N156))</f>
        <v>7.4432373448654072</v>
      </c>
      <c r="R156" s="126" cm="1">
        <f t="array" ref="R156">_xlfn.IFS(N156="DELETE", "DELETE", N156=0, 0, N156&gt;0, P156/N156/LN(10))</f>
        <v>0.239039168598596</v>
      </c>
      <c r="S156" s="155">
        <f>qPCR_Raw!O156</f>
        <v>28.264232635498047</v>
      </c>
      <c r="T156" s="156" cm="1">
        <f t="array" ref="T156">_xlfn.IFS(S156="Undetermined", 0, qPCR_Raw!P156&lt;=1, 0, qPCR_Raw!P156&gt;1, qPCR_Raw!P156)</f>
        <v>605.234375</v>
      </c>
      <c r="U156" s="157">
        <f>qPCR_Raw!R156</f>
        <v>31.538711547851563</v>
      </c>
      <c r="V156" s="156" cm="1">
        <f t="array" ref="V156">_xlfn.IFS(U156="Undetermined", 0, qPCR_Raw!S156&lt;=1, 0, qPCR_Raw!S156&gt;1, qPCR_Raw!S156)</f>
        <v>84.521705627441406</v>
      </c>
      <c r="W156" s="158" cm="1">
        <f t="array" ref="W156">_xlfn.IFS(AND(S156="Undetermined", U156="Undetermined"), "Undetermined", AND(T156=0, V156=0), "Undetermined", AND(T156=0, V156&gt;0), "Ten-Fold", AND(T156&gt;0, V156=0), "Undiluted", AND(S156&lt;&gt;"Undetermined", U156&lt;&gt;"Undetermined", T156&gt;0, V156&gt;0, S156&lt;&gt;U156), 100*(-1+10^(-1/(S156-U156))), AND(S156&lt;&gt;"Undetermined", U156&lt;&gt;"Undetermined", S156=U156&gt;0), -100)</f>
        <v>102.01894678722061</v>
      </c>
      <c r="X156" s="159" cm="1">
        <f t="array" ref="X156">_xlfn.IFS(W156="Undetermined", 0, W156="Undiluted", T156*$G156/$F156*1000, W156="Ten-Fold", V156*$G156/$F156*1000*10, W156&lt;0, V156*$G156/$F156*1000*10, W156&lt;120, T156*$G156/$F156*1000, W156&gt;120, V156*$G156/$F156*1000*10)</f>
        <v>65786.345108695663</v>
      </c>
      <c r="Y156" s="156">
        <f t="shared" si="42"/>
        <v>57975.628702935574</v>
      </c>
      <c r="Z156" s="156">
        <f t="shared" si="43"/>
        <v>11046.021072875945</v>
      </c>
      <c r="AA156" s="156">
        <f t="shared" si="44"/>
        <v>7810.716405760083</v>
      </c>
      <c r="AB156" s="160" cm="1">
        <f t="array" ref="AB156">_xlfn.IFS(Y156="DELETE", "DELETE", Y156=0, 0, Y156&gt;0,LOG10(Y156))</f>
        <v>4.7632454669389199</v>
      </c>
      <c r="AC156" s="161" cm="1">
        <f t="array" ref="AC156">_xlfn.IFS(Y156="DELETE", "DELETE", Y156=0, 0, Y156&gt;0, AA156/Y156/LN(10))</f>
        <v>5.8509948242459406E-2</v>
      </c>
      <c r="AD156" s="120">
        <f>qPCR_Raw!U156</f>
        <v>31.637613296508789</v>
      </c>
      <c r="AE156" s="121" cm="1">
        <f t="array" ref="AE156">_xlfn.IFS(AD156="Undetermined", 0, qPCR_Raw!V156&lt;=1, 0, qPCR_Raw!V156&gt;1, qPCR_Raw!V156)</f>
        <v>12.714320182800293</v>
      </c>
      <c r="AF156" s="122">
        <f>qPCR_Raw!X156</f>
        <v>36.388774871826172</v>
      </c>
      <c r="AG156" s="121" cm="1">
        <f t="array" ref="AG156">_xlfn.IFS(AF156="Undetermined", 0, qPCR_Raw!Y156&lt;=1, 0, qPCR_Raw!Y156&gt;1, qPCR_Raw!Y156)</f>
        <v>0</v>
      </c>
      <c r="AH156" s="123" t="str" cm="1">
        <f t="array" ref="AH156">_xlfn.IFS(AND(AD156="Undetermined", AF156="Undetermined"), "Undetermined", AND(AE156=0, AG156=0), "Undetermined", AND(AE156=0, AG156&gt;0), "Ten-Fold", AND(AE156&gt;0, AG156=0), "Undiluted", AND(AD156&lt;&gt;"Undetermined", AF156&lt;&gt;"Undetermined", AE156&gt;0, AG156&gt;0, AD156&lt;&gt;AF156), 100*(-1+10^(-1/(AD156-AF156))), AND(AD156&lt;&gt;"Undetermined", AF156&lt;&gt;"Undetermined", AD156=AF156&gt;0), -100)</f>
        <v>Undiluted</v>
      </c>
      <c r="AI156" s="124" cm="1">
        <f t="array" ref="AI156">_xlfn.IFS(AH156="Undetermined", 0, AH156="Undiluted", AE156*$G156/$F156*1000, AH156="Ten-Fold", AG156*$G156/$F156*1000*10, AH156&lt;0, AG156*$G156/$F156*1000*10, AH156&lt;120, AE156*$G156/$F156*1000, AH156&gt;120, AG156*$G156/$F156*1000*10)</f>
        <v>1381.9913242174232</v>
      </c>
      <c r="AJ156" s="121">
        <f t="shared" si="45"/>
        <v>904.69440033261537</v>
      </c>
      <c r="AK156" s="121">
        <f t="shared" si="46"/>
        <v>674.99978303685418</v>
      </c>
      <c r="AL156" s="121">
        <f t="shared" si="47"/>
        <v>477.29692388480788</v>
      </c>
      <c r="AM156" s="125" cm="1">
        <f t="array" ref="AM156">_xlfn.IFS(AJ156="DELETE", "DELETE", AJ156=0, 0, AJ156&gt;0,LOG10(AJ156))</f>
        <v>2.9565019022298489</v>
      </c>
      <c r="AN156" s="126" cm="1">
        <f t="array" ref="AN156">_xlfn.IFS(AJ156="DELETE", "DELETE", AJ156=0, 0, AJ156&gt;0, AL156/AJ156/LN(10))</f>
        <v>0.22912424371849563</v>
      </c>
      <c r="AO156" s="155">
        <f>qPCR_Raw!AA156</f>
        <v>27.355587005615234</v>
      </c>
      <c r="AP156" s="156" cm="1">
        <f t="array" ref="AP156">_xlfn.IFS(AO156="Undetermined", 0, qPCR_Raw!AB156&lt;=6, 0, qPCR_Raw!AB156&gt;6, qPCR_Raw!AB156)</f>
        <v>33.857227325439453</v>
      </c>
      <c r="AQ156" s="157">
        <f>qPCR_Raw!AD156</f>
        <v>31.213302612304688</v>
      </c>
      <c r="AR156" s="156" cm="1">
        <f t="array" ref="AR156">_xlfn.IFS(AQ156="Undetermined", 0, qPCR_Raw!AE156&lt;=6, 0, qPCR_Raw!AE156&gt;6, qPCR_Raw!AE156)</f>
        <v>0</v>
      </c>
      <c r="AS156" s="158" t="str" cm="1">
        <f t="array" ref="AS156">_xlfn.IFS(AND(AO156="Undetermined", AQ156="Undetermined"), "Undetermined", AND(AP156=0, AR156=0), "Undetermined", AND(AP156=0, AR156&gt;0), "Ten-Fold", AND(AP156&gt;0, AR156=0), "Undiluted", AND(AO156&lt;&gt;"Undetermined", AQ156&lt;&gt;"Undetermined", AP156&gt;0, AR156&gt;0, AO156&lt;&gt;AQ156), 100*(-1+10^(-1/(AO156-AQ156))), AND(AO156&lt;&gt;"Undetermined", AQ156&lt;&gt;"Undetermined", AO156=AQ156&gt;0), -100)</f>
        <v>Undiluted</v>
      </c>
      <c r="AT156" s="159" cm="1">
        <f t="array" ref="AT156">_xlfn.IFS(AS156="Undetermined", 0, AS156="Undiluted", AP156*$G156/$F156*1000, AS156="Ten-Fold", AR156*$G156/$F156*1000*10, AS156&lt;0, AR156*$G156/$F156*1000*10, AS156&lt;120, AP156*$G156/$F156*1000, AS156&gt;120, AR156*$G156/$F156*1000*10)</f>
        <v>3680.1334049390707</v>
      </c>
      <c r="AU156" s="156">
        <f t="shared" si="48"/>
        <v>1840.0667024695354</v>
      </c>
      <c r="AV156" s="156">
        <f t="shared" si="49"/>
        <v>2602.2472863035555</v>
      </c>
      <c r="AW156" s="156">
        <f t="shared" si="50"/>
        <v>1840.0667024695351</v>
      </c>
      <c r="AX156" s="160" cm="1">
        <f t="array" ref="AX156">_xlfn.IFS(AU156="DELETE", "DELETE", AU156=0, 0, AU156&gt;0,LOG10(AU156))</f>
        <v>3.2648335664820296</v>
      </c>
      <c r="AY156" s="161" cm="1">
        <f t="array" ref="AY156">_xlfn.IFS(AU156="DELETE", "DELETE", AU156=0, 0, AU156&gt;0, AW156/AU156/LN(10))</f>
        <v>0.43429448190325176</v>
      </c>
      <c r="AZ156" s="120">
        <f>qPCR_Raw!AG156</f>
        <v>36.201206207275391</v>
      </c>
      <c r="BA156" s="121" cm="1">
        <f t="array" ref="BA156">_xlfn.IFS(AZ156="Undetermined", 0, qPCR_Raw!AH156&lt;=1, 0, qPCR_Raw!AH156&gt;1, qPCR_Raw!AH156)</f>
        <v>1.2579010725021362</v>
      </c>
      <c r="BB156" s="122">
        <f>qPCR_Raw!AJ156</f>
        <v>35.269817352294922</v>
      </c>
      <c r="BC156" s="121" cm="1">
        <f t="array" ref="BC156">_xlfn.IFS(BB156="Undetermined", 0, qPCR_Raw!AK156&lt;=1, 0, qPCR_Raw!AK156&gt;1, qPCR_Raw!AK156)</f>
        <v>2.2670772075653076</v>
      </c>
      <c r="BD156" s="123" cm="1">
        <f t="array" ref="BD156">_xlfn.IFS(AND(AZ156="Undetermined", BB156="Undetermined"), "Undetermined", AND(BA156=0, BC156=0), "Undetermined", AND(BA156=0, BC156&gt;0), "Ten-Fold", AND(BA156&gt;0, BC156=0), "Undiluted", AND(AZ156&lt;&gt;"Undetermined", BB156&lt;&gt;"Undetermined", BA156&gt;0, BC156&gt;0, AZ156&lt;&gt;BB156), 100*(-1+10^(-1/(AZ156-BB156))), AND(AZ156&lt;&gt;"Undetermined", BB156&lt;&gt;"Undetermined", AZ156=BB156&gt;0), -100)</f>
        <v>-91.56015274853587</v>
      </c>
      <c r="BE156" s="124" cm="1">
        <f t="array" ref="BE156">_xlfn.IFS(BD156="Undetermined", 0, BD156="Undiluted", BA156*$G156/$F156*1000, BD156="Ten-Fold", BC156*$G156/$F156*1000*10, BD156&lt;0, BC156*$G156/$F156*1000*10, BD156&lt;120, BA156*$G156/$F156*1000, BD156&gt;120, BC156*$G156/$F156*1000*10)</f>
        <v>2464.2143560492473</v>
      </c>
      <c r="BF156" s="121">
        <f t="shared" si="51"/>
        <v>1232.1071780246236</v>
      </c>
      <c r="BG156" s="121">
        <f t="shared" si="52"/>
        <v>1742.4626814596641</v>
      </c>
      <c r="BH156" s="121">
        <f t="shared" si="53"/>
        <v>1232.1071780246234</v>
      </c>
      <c r="BI156" s="125" cm="1">
        <f t="array" ref="BI156">_xlfn.IFS(BF156="DELETE", "DELETE", BF156=0, 0, BF156&gt;0,LOG10(BF156))</f>
        <v>3.0906484876986329</v>
      </c>
      <c r="BJ156" s="126" cm="1">
        <f t="array" ref="BJ156">_xlfn.IFS(BF156="DELETE", "DELETE", BF156=0, 0, BF156&gt;0, BH156/BF156/LN(10))</f>
        <v>0.43429448190325171</v>
      </c>
    </row>
    <row r="157" spans="1:62" s="114" customFormat="1" x14ac:dyDescent="0.3">
      <c r="A157" s="115" t="str">
        <f>UPPER(LEFT(SUBSTITUTE(SUBSTITUTE(qPCR_Raw!A157,"-","")," ",""),2))&amp;RIGHT(SUBSTITUTE(SUBSTITUTE(qPCR_Raw!A157,"-","")," ",""),LEN(SUBSTITUTE(SUBSTITUTE(qPCR_Raw!A157,"-","")," ",""))-2)</f>
        <v>EP7</v>
      </c>
      <c r="B157" s="116" t="str" cm="1">
        <f t="array" ref="B157">_xlfn.IFS(LEFT(A157, LEN(A157)-1)="EP", "EP", LEFT(A157, LEN(A157)-1)="STa", "SPI", LEFT(A157, LEN(A157)-1)="STb", "SPO", LEFT(A157, LEN(A157)-1)="MRT", "MRT", LEFT(A157, LEN(A157)-1)="RG", "RN", LEFT(A157, LEN(A157)-1)="RT", "RU", LEFT(A157, LEN(A157)-1)="RW", "RL", LEFT(A157, LEN(A157)-1)="RC", "RS")</f>
        <v>EP</v>
      </c>
      <c r="C157" s="117">
        <f>qPCR_Raw!B157</f>
        <v>44405</v>
      </c>
      <c r="D157" s="117" t="str">
        <f t="shared" si="37"/>
        <v>EP44405</v>
      </c>
      <c r="E157" s="117" t="str">
        <f t="shared" si="38"/>
        <v>EP444057</v>
      </c>
      <c r="F157" s="118">
        <f>qPCR_Raw!C157</f>
        <v>910</v>
      </c>
      <c r="G157" s="119">
        <f>qPCR_Raw!F157</f>
        <v>100</v>
      </c>
      <c r="H157" s="120">
        <f>qPCR_Raw!G157</f>
        <v>19.729202270507813</v>
      </c>
      <c r="I157" s="121" cm="1">
        <f t="array" ref="I157">_xlfn.IFS(H157="Undetermined", 0, qPCR_Raw!H157-qPCR_Raw!$H$242&lt;0, 0, qPCR_Raw!H157-qPCR_Raw!$H$242&gt;0, qPCR_Raw!H157-qPCR_Raw!$H$242)</f>
        <v>113526.50988362631</v>
      </c>
      <c r="J157" s="122">
        <f>qPCR_Raw!K157</f>
        <v>22.737783432006836</v>
      </c>
      <c r="K157" s="121" cm="1">
        <f t="array" ref="K157">_xlfn.IFS(J157="Undetermined", 0, qPCR_Raw!L157-qPCR_Raw!$H$242&lt;0, 0, qPCR_Raw!L157-qPCR_Raw!$H$242&gt;0, qPCR_Raw!L157-qPCR_Raw!$H$242)</f>
        <v>3942.2110555013023</v>
      </c>
      <c r="L157" s="123" cm="1">
        <f t="array" ref="L157">_xlfn.IFS(AND(H157="Undetermined", J157="Undetermined"), "Undetermined", AND(I157=0, K157=0), "Undetermined", AND(I157=0, K157&gt;0), "Ten-Fold", AND(I157&gt;0, K157=0), "Undiluted", AND(H157&lt;&gt;"Undetermined", J157&lt;&gt;"Undetermined", I157&gt;0, K157&gt;0), 100*(-1+10^(-1/(H157-J157))))</f>
        <v>114.9723432699946</v>
      </c>
      <c r="M157" s="124" cm="1">
        <f t="array" ref="M157">_xlfn.IFS(L157="Undetermined", 0, L157="Undiluted", I157*$G157/$F157*1000, L157="Ten-Fold", K157*$G157/$F157*1000*10, L157&lt;0, K157*$G157/$F157*1000*10, L157&lt;120, I157*$G157/$F157*1000, L157&gt;120, K157*$G157/$F157*1000*10)</f>
        <v>12475440.646552341</v>
      </c>
      <c r="N157" s="121" t="str">
        <f t="shared" si="39"/>
        <v>DELETE</v>
      </c>
      <c r="O157" s="121" t="str">
        <f t="shared" si="40"/>
        <v>DELETE</v>
      </c>
      <c r="P157" s="121" t="str">
        <f t="shared" si="41"/>
        <v>DELETE</v>
      </c>
      <c r="Q157" s="125" t="str" cm="1">
        <f t="array" ref="Q157">_xlfn.IFS(N157="DELETE", "DELETE", N157=0, 0, N157&gt;0,LOG10(N157))</f>
        <v>DELETE</v>
      </c>
      <c r="R157" s="126" t="str" cm="1">
        <f t="array" ref="R157">_xlfn.IFS(N157="DELETE", "DELETE", N157=0, 0, N157&gt;0, P157/N157/LN(10))</f>
        <v>DELETE</v>
      </c>
      <c r="S157" s="155">
        <f>qPCR_Raw!O157</f>
        <v>29.684398651123047</v>
      </c>
      <c r="T157" s="156" cm="1">
        <f t="array" ref="T157">_xlfn.IFS(S157="Undetermined", 0, qPCR_Raw!P157&lt;=1, 0, qPCR_Raw!P157&gt;1, qPCR_Raw!P157)</f>
        <v>257.70513916015625</v>
      </c>
      <c r="U157" s="157">
        <f>qPCR_Raw!R157</f>
        <v>32.563339233398438</v>
      </c>
      <c r="V157" s="156" cm="1">
        <f t="array" ref="V157">_xlfn.IFS(U157="Undetermined", 0, qPCR_Raw!S157&lt;=1, 0, qPCR_Raw!S157&gt;1, qPCR_Raw!S157)</f>
        <v>45.650070190429688</v>
      </c>
      <c r="W157" s="158" cm="1">
        <f t="array" ref="W157">_xlfn.IFS(AND(S157="Undetermined", U157="Undetermined"), "Undetermined", AND(T157=0, V157=0), "Undetermined", AND(T157=0, V157&gt;0), "Ten-Fold", AND(T157&gt;0, V157=0), "Undiluted", AND(S157&lt;&gt;"Undetermined", U157&lt;&gt;"Undetermined", T157&gt;0, V157&gt;0, S157&lt;&gt;U157), 100*(-1+10^(-1/(S157-U157))), AND(S157&lt;&gt;"Undetermined", U157&lt;&gt;"Undetermined", S157=U157&gt;0), -100)</f>
        <v>122.51023688928501</v>
      </c>
      <c r="X157" s="159" cm="1">
        <f t="array" ref="X157">_xlfn.IFS(W157="Undetermined", 0, W157="Undiluted", T157*$G157/$F157*1000, W157="Ten-Fold", V157*$G157/$F157*1000*10, W157&lt;0, V157*$G157/$F157*1000*10, W157&lt;120, T157*$G157/$F157*1000, W157&gt;120, V157*$G157/$F157*1000*10)</f>
        <v>50164.912297175484</v>
      </c>
      <c r="Y157" s="156" t="str">
        <f t="shared" si="42"/>
        <v>DELETE</v>
      </c>
      <c r="Z157" s="156" t="str">
        <f t="shared" si="43"/>
        <v>DELETE</v>
      </c>
      <c r="AA157" s="156" t="str">
        <f t="shared" si="44"/>
        <v>DELETE</v>
      </c>
      <c r="AB157" s="160" t="str" cm="1">
        <f t="array" ref="AB157">_xlfn.IFS(Y157="DELETE", "DELETE", Y157=0, 0, Y157&gt;0,LOG10(Y157))</f>
        <v>DELETE</v>
      </c>
      <c r="AC157" s="161" t="str" cm="1">
        <f t="array" ref="AC157">_xlfn.IFS(Y157="DELETE", "DELETE", Y157=0, 0, Y157&gt;0, AA157/Y157/LN(10))</f>
        <v>DELETE</v>
      </c>
      <c r="AD157" s="120">
        <f>qPCR_Raw!U157</f>
        <v>33.478824615478516</v>
      </c>
      <c r="AE157" s="121" cm="1">
        <f t="array" ref="AE157">_xlfn.IFS(AD157="Undetermined", 0, qPCR_Raw!V157&lt;=1, 0, qPCR_Raw!V157&gt;1, qPCR_Raw!V157)</f>
        <v>3.8893170356750488</v>
      </c>
      <c r="AF157" s="122">
        <f>qPCR_Raw!X157</f>
        <v>36.096004486083984</v>
      </c>
      <c r="AG157" s="121" cm="1">
        <f t="array" ref="AG157">_xlfn.IFS(AF157="Undetermined", 0, qPCR_Raw!Y157&lt;=1, 0, qPCR_Raw!Y157&gt;1, qPCR_Raw!Y157)</f>
        <v>0</v>
      </c>
      <c r="AH157" s="123" t="str" cm="1">
        <f t="array" ref="AH157">_xlfn.IFS(AND(AD157="Undetermined", AF157="Undetermined"), "Undetermined", AND(AE157=0, AG157=0), "Undetermined", AND(AE157=0, AG157&gt;0), "Ten-Fold", AND(AE157&gt;0, AG157=0), "Undiluted", AND(AD157&lt;&gt;"Undetermined", AF157&lt;&gt;"Undetermined", AE157&gt;0, AG157&gt;0, AD157&lt;&gt;AF157), 100*(-1+10^(-1/(AD157-AF157))), AND(AD157&lt;&gt;"Undetermined", AF157&lt;&gt;"Undetermined", AD157=AF157&gt;0), -100)</f>
        <v>Undiluted</v>
      </c>
      <c r="AI157" s="124" cm="1">
        <f t="array" ref="AI157">_xlfn.IFS(AH157="Undetermined", 0, AH157="Undiluted", AE157*$G157/$F157*1000, AH157="Ten-Fold", AG157*$G157/$F157*1000*10, AH157&lt;0, AG157*$G157/$F157*1000*10, AH157&lt;120, AE157*$G157/$F157*1000, AH157&gt;120, AG157*$G157/$F157*1000*10)</f>
        <v>427.39747644780755</v>
      </c>
      <c r="AJ157" s="121" t="str">
        <f t="shared" si="45"/>
        <v>DELETE</v>
      </c>
      <c r="AK157" s="121" t="str">
        <f t="shared" si="46"/>
        <v>DELETE</v>
      </c>
      <c r="AL157" s="121" t="str">
        <f t="shared" si="47"/>
        <v>DELETE</v>
      </c>
      <c r="AM157" s="125" t="str" cm="1">
        <f t="array" ref="AM157">_xlfn.IFS(AJ157="DELETE", "DELETE", AJ157=0, 0, AJ157&gt;0,LOG10(AJ157))</f>
        <v>DELETE</v>
      </c>
      <c r="AN157" s="126" t="str" cm="1">
        <f t="array" ref="AN157">_xlfn.IFS(AJ157="DELETE", "DELETE", AJ157=0, 0, AJ157&gt;0, AL157/AJ157/LN(10))</f>
        <v>DELETE</v>
      </c>
      <c r="AO157" s="155">
        <f>qPCR_Raw!AA157</f>
        <v>30.731819152832031</v>
      </c>
      <c r="AP157" s="156" cm="1">
        <f t="array" ref="AP157">_xlfn.IFS(AO157="Undetermined", 0, qPCR_Raw!AB157&lt;=6, 0, qPCR_Raw!AB157&gt;6, qPCR_Raw!AB157)</f>
        <v>0</v>
      </c>
      <c r="AQ157" s="157">
        <f>qPCR_Raw!AD157</f>
        <v>33.030261993408203</v>
      </c>
      <c r="AR157" s="156" cm="1">
        <f t="array" ref="AR157">_xlfn.IFS(AQ157="Undetermined", 0, qPCR_Raw!AE157&lt;=6, 0, qPCR_Raw!AE157&gt;6, qPCR_Raw!AE157)</f>
        <v>0</v>
      </c>
      <c r="AS157" s="158" t="str" cm="1">
        <f t="array" ref="AS157">_xlfn.IFS(AND(AO157="Undetermined", AQ157="Undetermined"), "Undetermined", AND(AP157=0, AR157=0), "Undetermined", AND(AP157=0, AR157&gt;0), "Ten-Fold", AND(AP157&gt;0, AR157=0), "Undiluted", AND(AO157&lt;&gt;"Undetermined", AQ157&lt;&gt;"Undetermined", AP157&gt;0, AR157&gt;0, AO157&lt;&gt;AQ157), 100*(-1+10^(-1/(AO157-AQ157))), AND(AO157&lt;&gt;"Undetermined", AQ157&lt;&gt;"Undetermined", AO157=AQ157&gt;0), -100)</f>
        <v>Undetermined</v>
      </c>
      <c r="AT157" s="159" cm="1">
        <f t="array" ref="AT157">_xlfn.IFS(AS157="Undetermined", 0, AS157="Undiluted", AP157*$G157/$F157*1000, AS157="Ten-Fold", AR157*$G157/$F157*1000*10, AS157&lt;0, AR157*$G157/$F157*1000*10, AS157&lt;120, AP157*$G157/$F157*1000, AS157&gt;120, AR157*$G157/$F157*1000*10)</f>
        <v>0</v>
      </c>
      <c r="AU157" s="156" t="str">
        <f t="shared" si="48"/>
        <v>DELETE</v>
      </c>
      <c r="AV157" s="156" t="str">
        <f t="shared" si="49"/>
        <v>DELETE</v>
      </c>
      <c r="AW157" s="156" t="str">
        <f t="shared" si="50"/>
        <v>DELETE</v>
      </c>
      <c r="AX157" s="160" t="str" cm="1">
        <f t="array" ref="AX157">_xlfn.IFS(AU157="DELETE", "DELETE", AU157=0, 0, AU157&gt;0,LOG10(AU157))</f>
        <v>DELETE</v>
      </c>
      <c r="AY157" s="161" t="str" cm="1">
        <f t="array" ref="AY157">_xlfn.IFS(AU157="DELETE", "DELETE", AU157=0, 0, AU157&gt;0, AW157/AU157/LN(10))</f>
        <v>DELETE</v>
      </c>
      <c r="AZ157" s="120">
        <f>qPCR_Raw!AG157</f>
        <v>37.531112670898438</v>
      </c>
      <c r="BA157" s="121" cm="1">
        <f t="array" ref="BA157">_xlfn.IFS(AZ157="Undetermined", 0, qPCR_Raw!AH157&lt;=1, 0, qPCR_Raw!AH157&gt;1, qPCR_Raw!AH157)</f>
        <v>0</v>
      </c>
      <c r="BB157" s="122" t="str">
        <f>qPCR_Raw!AJ157</f>
        <v>Undetermined</v>
      </c>
      <c r="BC157" s="121" cm="1">
        <f t="array" ref="BC157">_xlfn.IFS(BB157="Undetermined", 0, qPCR_Raw!AK157&lt;=1, 0, qPCR_Raw!AK157&gt;1, qPCR_Raw!AK157)</f>
        <v>0</v>
      </c>
      <c r="BD157" s="123" t="str" cm="1">
        <f t="array" ref="BD157">_xlfn.IFS(AND(AZ157="Undetermined", BB157="Undetermined"), "Undetermined", AND(BA157=0, BC157=0), "Undetermined", AND(BA157=0, BC157&gt;0), "Ten-Fold", AND(BA157&gt;0, BC157=0), "Undiluted", AND(AZ157&lt;&gt;"Undetermined", BB157&lt;&gt;"Undetermined", BA157&gt;0, BC157&gt;0, AZ157&lt;&gt;BB157), 100*(-1+10^(-1/(AZ157-BB157))), AND(AZ157&lt;&gt;"Undetermined", BB157&lt;&gt;"Undetermined", AZ157=BB157&gt;0), -100)</f>
        <v>Undetermined</v>
      </c>
      <c r="BE157" s="124" cm="1">
        <f t="array" ref="BE157">_xlfn.IFS(BD157="Undetermined", 0, BD157="Undiluted", BA157*$G157/$F157*1000, BD157="Ten-Fold", BC157*$G157/$F157*1000*10, BD157&lt;0, BC157*$G157/$F157*1000*10, BD157&lt;120, BA157*$G157/$F157*1000, BD157&gt;120, BC157*$G157/$F157*1000*10)</f>
        <v>0</v>
      </c>
      <c r="BF157" s="121" t="str">
        <f t="shared" si="51"/>
        <v>DELETE</v>
      </c>
      <c r="BG157" s="121" t="str">
        <f t="shared" si="52"/>
        <v>DELETE</v>
      </c>
      <c r="BH157" s="121" t="str">
        <f t="shared" si="53"/>
        <v>DELETE</v>
      </c>
      <c r="BI157" s="125" t="str" cm="1">
        <f t="array" ref="BI157">_xlfn.IFS(BF157="DELETE", "DELETE", BF157=0, 0, BF157&gt;0,LOG10(BF157))</f>
        <v>DELETE</v>
      </c>
      <c r="BJ157" s="126" t="str" cm="1">
        <f t="array" ref="BJ157">_xlfn.IFS(BF157="DELETE", "DELETE", BF157=0, 0, BF157&gt;0, BH157/BF157/LN(10))</f>
        <v>DELETE</v>
      </c>
    </row>
    <row r="158" spans="1:62" s="114" customFormat="1" x14ac:dyDescent="0.3">
      <c r="A158" s="115" t="str">
        <f>UPPER(LEFT(SUBSTITUTE(SUBSTITUTE(qPCR_Raw!A158,"-","")," ",""),2))&amp;RIGHT(SUBSTITUTE(SUBSTITUTE(qPCR_Raw!A158,"-","")," ",""),LEN(SUBSTITUTE(SUBSTITUTE(qPCR_Raw!A158,"-","")," ",""))-2)</f>
        <v>RW6</v>
      </c>
      <c r="B158" s="116" t="str" cm="1">
        <f t="array" ref="B158">_xlfn.IFS(LEFT(A158, LEN(A158)-1)="EP", "EP", LEFT(A158, LEN(A158)-1)="STa", "SPI", LEFT(A158, LEN(A158)-1)="STb", "SPO", LEFT(A158, LEN(A158)-1)="MRT", "MRT", LEFT(A158, LEN(A158)-1)="RG", "RN", LEFT(A158, LEN(A158)-1)="RT", "RU", LEFT(A158, LEN(A158)-1)="RW", "RL", LEFT(A158, LEN(A158)-1)="RC", "RS")</f>
        <v>RL</v>
      </c>
      <c r="C158" s="117">
        <f>qPCR_Raw!B158</f>
        <v>44405</v>
      </c>
      <c r="D158" s="117" t="str">
        <f t="shared" si="37"/>
        <v>RL44405</v>
      </c>
      <c r="E158" s="117" t="str">
        <f t="shared" si="38"/>
        <v>RL444056</v>
      </c>
      <c r="F158" s="118">
        <f>qPCR_Raw!C158</f>
        <v>980</v>
      </c>
      <c r="G158" s="119">
        <f>qPCR_Raw!F158</f>
        <v>100</v>
      </c>
      <c r="H158" s="120">
        <f>qPCR_Raw!G158</f>
        <v>11.518232345581055</v>
      </c>
      <c r="I158" s="121" cm="1">
        <f t="array" ref="I158">_xlfn.IFS(H158="Undetermined", 0, qPCR_Raw!H158-qPCR_Raw!$H$242&lt;0, 0, qPCR_Raw!H158-qPCR_Raw!$H$242&gt;0, qPCR_Raw!H158-qPCR_Raw!$H$242)</f>
        <v>30629839.361446127</v>
      </c>
      <c r="J158" s="122">
        <f>qPCR_Raw!K158</f>
        <v>14.016977310180664</v>
      </c>
      <c r="K158" s="121" cm="1">
        <f t="array" ref="K158">_xlfn.IFS(J158="Undetermined", 0, qPCR_Raw!L158-qPCR_Raw!$H$242&lt;0, 0, qPCR_Raw!L158-qPCR_Raw!$H$242&gt;0, qPCR_Raw!L158-qPCR_Raw!$H$242)</f>
        <v>5751654.8614461264</v>
      </c>
      <c r="L158" s="123" cm="1">
        <f t="array" ref="L158">_xlfn.IFS(AND(H158="Undetermined", J158="Undetermined"), "Undetermined", AND(I158=0, K158=0), "Undetermined", AND(I158=0, K158&gt;0), "Ten-Fold", AND(I158&gt;0, K158=0), "Undiluted", AND(H158&lt;&gt;"Undetermined", J158&lt;&gt;"Undetermined", I158&gt;0, K158&gt;0), 100*(-1+10^(-1/(H158-J158))))</f>
        <v>151.3048709947962</v>
      </c>
      <c r="M158" s="124" cm="1">
        <f t="array" ref="M158">_xlfn.IFS(L158="Undetermined", 0, L158="Undiluted", I158*$G158/$F158*1000, L158="Ten-Fold", K158*$G158/$F158*1000*10, L158&lt;0, K158*$G158/$F158*1000*10, L158&lt;120, I158*$G158/$F158*1000, L158&gt;120, K158*$G158/$F158*1000*10)</f>
        <v>5869035572.904211</v>
      </c>
      <c r="N158" s="121">
        <f t="shared" si="39"/>
        <v>3173505443.792172</v>
      </c>
      <c r="O158" s="121">
        <f t="shared" si="40"/>
        <v>3812055266.3755455</v>
      </c>
      <c r="P158" s="121">
        <f t="shared" si="41"/>
        <v>2695530129.1120386</v>
      </c>
      <c r="Q158" s="125" cm="1">
        <f t="array" ref="Q158">_xlfn.IFS(N158="DELETE", "DELETE", N158=0, 0, N158&gt;0,LOG10(N158))</f>
        <v>9.5015392476340228</v>
      </c>
      <c r="R158" s="126" cm="1">
        <f t="array" ref="R158">_xlfn.IFS(N158="DELETE", "DELETE", N158=0, 0, N158&gt;0, P158/N158/LN(10))</f>
        <v>0.36888352064033281</v>
      </c>
      <c r="S158" s="155">
        <f>qPCR_Raw!O158</f>
        <v>29.599777221679688</v>
      </c>
      <c r="T158" s="156" cm="1">
        <f t="array" ref="T158">_xlfn.IFS(S158="Undetermined", 0, qPCR_Raw!P158&lt;=1, 0, qPCR_Raw!P158&gt;1, qPCR_Raw!P158)</f>
        <v>271.15487670898438</v>
      </c>
      <c r="U158" s="157">
        <f>qPCR_Raw!R158</f>
        <v>33.113933563232422</v>
      </c>
      <c r="V158" s="156" cm="1">
        <f t="array" ref="V158">_xlfn.IFS(U158="Undetermined", 0, qPCR_Raw!S158&lt;=1, 0, qPCR_Raw!S158&gt;1, qPCR_Raw!S158)</f>
        <v>32.785598754882813</v>
      </c>
      <c r="W158" s="158" cm="1">
        <f t="array" ref="W158">_xlfn.IFS(AND(S158="Undetermined", U158="Undetermined"), "Undetermined", AND(T158=0, V158=0), "Undetermined", AND(T158=0, V158&gt;0), "Ten-Fold", AND(T158&gt;0, V158=0), "Undiluted", AND(S158&lt;&gt;"Undetermined", U158&lt;&gt;"Undetermined", T158&gt;0, V158&gt;0, S158&lt;&gt;U158), 100*(-1+10^(-1/(S158-U158))), AND(S158&lt;&gt;"Undetermined", U158&lt;&gt;"Undetermined", S158=U158&gt;0), -100)</f>
        <v>92.558778032192748</v>
      </c>
      <c r="X158" s="159" cm="1">
        <f t="array" ref="X158">_xlfn.IFS(W158="Undetermined", 0, W158="Undiluted", T158*$G158/$F158*1000, W158="Ten-Fold", V158*$G158/$F158*1000*10, W158&lt;0, V158*$G158/$F158*1000*10, W158&lt;120, T158*$G158/$F158*1000, W158&gt;120, V158*$G158/$F158*1000*10)</f>
        <v>27668.86497030453</v>
      </c>
      <c r="Y158" s="156">
        <f t="shared" si="42"/>
        <v>23139.209931698319</v>
      </c>
      <c r="Z158" s="156">
        <f t="shared" si="43"/>
        <v>6405.8995884685201</v>
      </c>
      <c r="AA158" s="156">
        <f t="shared" si="44"/>
        <v>4529.6550386062045</v>
      </c>
      <c r="AB158" s="160" cm="1">
        <f t="array" ref="AB158">_xlfn.IFS(Y158="DELETE", "DELETE", Y158=0, 0, Y158&gt;0,LOG10(Y158))</f>
        <v>4.3643485262595734</v>
      </c>
      <c r="AC158" s="161" cm="1">
        <f t="array" ref="AC158">_xlfn.IFS(Y158="DELETE", "DELETE", Y158=0, 0, Y158&gt;0, AA158/Y158/LN(10))</f>
        <v>8.5016048257424287E-2</v>
      </c>
      <c r="AD158" s="120">
        <f>qPCR_Raw!U158</f>
        <v>33.169239044189453</v>
      </c>
      <c r="AE158" s="121" cm="1">
        <f t="array" ref="AE158">_xlfn.IFS(AD158="Undetermined", 0, qPCR_Raw!V158&lt;=1, 0, qPCR_Raw!V158&gt;1, qPCR_Raw!V158)</f>
        <v>4.7464518547058105</v>
      </c>
      <c r="AF158" s="122">
        <f>qPCR_Raw!X158</f>
        <v>38.341762542724609</v>
      </c>
      <c r="AG158" s="121" cm="1">
        <f t="array" ref="AG158">_xlfn.IFS(AF158="Undetermined", 0, qPCR_Raw!Y158&lt;=1, 0, qPCR_Raw!Y158&gt;1, qPCR_Raw!Y158)</f>
        <v>0</v>
      </c>
      <c r="AH158" s="123" t="str" cm="1">
        <f t="array" ref="AH158">_xlfn.IFS(AND(AD158="Undetermined", AF158="Undetermined"), "Undetermined", AND(AE158=0, AG158=0), "Undetermined", AND(AE158=0, AG158&gt;0), "Ten-Fold", AND(AE158&gt;0, AG158=0), "Undiluted", AND(AD158&lt;&gt;"Undetermined", AF158&lt;&gt;"Undetermined", AE158&gt;0, AG158&gt;0, AD158&lt;&gt;AF158), 100*(-1+10^(-1/(AD158-AF158))), AND(AD158&lt;&gt;"Undetermined", AF158&lt;&gt;"Undetermined", AD158=AF158&gt;0), -100)</f>
        <v>Undiluted</v>
      </c>
      <c r="AI158" s="124" cm="1">
        <f t="array" ref="AI158">_xlfn.IFS(AH158="Undetermined", 0, AH158="Undiluted", AE158*$G158/$F158*1000, AH158="Ten-Fold", AG158*$G158/$F158*1000*10, AH158&lt;0, AG158*$G158/$F158*1000*10, AH158&lt;120, AE158*$G158/$F158*1000, AH158&gt;120, AG158*$G158/$F158*1000*10)</f>
        <v>484.33182190875618</v>
      </c>
      <c r="AJ158" s="121">
        <f t="shared" si="45"/>
        <v>535.57325075315475</v>
      </c>
      <c r="AK158" s="121">
        <f t="shared" si="46"/>
        <v>72.466323627124439</v>
      </c>
      <c r="AL158" s="121">
        <f t="shared" si="47"/>
        <v>51.241428844398612</v>
      </c>
      <c r="AM158" s="125" cm="1">
        <f t="array" ref="AM158">_xlfn.IFS(AJ158="DELETE", "DELETE", AJ158=0, 0, AJ158&gt;0,LOG10(AJ158))</f>
        <v>2.7288188780106166</v>
      </c>
      <c r="AN158" s="126" cm="1">
        <f t="array" ref="AN158">_xlfn.IFS(AJ158="DELETE", "DELETE", AJ158=0, 0, AJ158&gt;0, AL158/AJ158/LN(10))</f>
        <v>4.1551496010425709E-2</v>
      </c>
      <c r="AO158" s="155">
        <f>qPCR_Raw!AA158</f>
        <v>30.370616912841797</v>
      </c>
      <c r="AP158" s="156" cm="1">
        <f t="array" ref="AP158">_xlfn.IFS(AO158="Undetermined", 0, qPCR_Raw!AB158&lt;=6, 0, qPCR_Raw!AB158&gt;6, qPCR_Raw!AB158)</f>
        <v>0</v>
      </c>
      <c r="AQ158" s="157" t="str">
        <f>qPCR_Raw!AD158</f>
        <v>Undetermined</v>
      </c>
      <c r="AR158" s="156" cm="1">
        <f t="array" ref="AR158">_xlfn.IFS(AQ158="Undetermined", 0, qPCR_Raw!AE158&lt;=6, 0, qPCR_Raw!AE158&gt;6, qPCR_Raw!AE158)</f>
        <v>0</v>
      </c>
      <c r="AS158" s="158" t="str" cm="1">
        <f t="array" ref="AS158">_xlfn.IFS(AND(AO158="Undetermined", AQ158="Undetermined"), "Undetermined", AND(AP158=0, AR158=0), "Undetermined", AND(AP158=0, AR158&gt;0), "Ten-Fold", AND(AP158&gt;0, AR158=0), "Undiluted", AND(AO158&lt;&gt;"Undetermined", AQ158&lt;&gt;"Undetermined", AP158&gt;0, AR158&gt;0, AO158&lt;&gt;AQ158), 100*(-1+10^(-1/(AO158-AQ158))), AND(AO158&lt;&gt;"Undetermined", AQ158&lt;&gt;"Undetermined", AO158=AQ158&gt;0), -100)</f>
        <v>Undetermined</v>
      </c>
      <c r="AT158" s="159" cm="1">
        <f t="array" ref="AT158">_xlfn.IFS(AS158="Undetermined", 0, AS158="Undiluted", AP158*$G158/$F158*1000, AS158="Ten-Fold", AR158*$G158/$F158*1000*10, AS158&lt;0, AR158*$G158/$F158*1000*10, AS158&lt;120, AP158*$G158/$F158*1000, AS158&gt;120, AR158*$G158/$F158*1000*10)</f>
        <v>0</v>
      </c>
      <c r="AU158" s="156">
        <f t="shared" si="48"/>
        <v>338.15275995354904</v>
      </c>
      <c r="AV158" s="156">
        <f t="shared" si="49"/>
        <v>478.22021928020268</v>
      </c>
      <c r="AW158" s="156">
        <f t="shared" si="50"/>
        <v>338.15275995354904</v>
      </c>
      <c r="AX158" s="160" cm="1">
        <f t="array" ref="AX158">_xlfn.IFS(AU158="DELETE", "DELETE", AU158=0, 0, AU158&gt;0,LOG10(AU158))</f>
        <v>2.5291129364241001</v>
      </c>
      <c r="AY158" s="161" cm="1">
        <f t="array" ref="AY158">_xlfn.IFS(AU158="DELETE", "DELETE", AU158=0, 0, AU158&gt;0, AW158/AU158/LN(10))</f>
        <v>0.43429448190325176</v>
      </c>
      <c r="AZ158" s="120">
        <f>qPCR_Raw!AG158</f>
        <v>35.217975616455078</v>
      </c>
      <c r="BA158" s="121" cm="1">
        <f t="array" ref="BA158">_xlfn.IFS(AZ158="Undetermined", 0, qPCR_Raw!AH158&lt;=1, 0, qPCR_Raw!AH158&gt;1, qPCR_Raw!AH158)</f>
        <v>2.3426394462585449</v>
      </c>
      <c r="BB158" s="122" t="str">
        <f>qPCR_Raw!AJ158</f>
        <v>Undetermined</v>
      </c>
      <c r="BC158" s="121" cm="1">
        <f t="array" ref="BC158">_xlfn.IFS(BB158="Undetermined", 0, qPCR_Raw!AK158&lt;=1, 0, qPCR_Raw!AK158&gt;1, qPCR_Raw!AK158)</f>
        <v>0</v>
      </c>
      <c r="BD158" s="123" t="str" cm="1">
        <f t="array" ref="BD158">_xlfn.IFS(AND(AZ158="Undetermined", BB158="Undetermined"), "Undetermined", AND(BA158=0, BC158=0), "Undetermined", AND(BA158=0, BC158&gt;0), "Ten-Fold", AND(BA158&gt;0, BC158=0), "Undiluted", AND(AZ158&lt;&gt;"Undetermined", BB158&lt;&gt;"Undetermined", BA158&gt;0, BC158&gt;0, AZ158&lt;&gt;BB158), 100*(-1+10^(-1/(AZ158-BB158))), AND(AZ158&lt;&gt;"Undetermined", BB158&lt;&gt;"Undetermined", AZ158=BB158&gt;0), -100)</f>
        <v>Undiluted</v>
      </c>
      <c r="BE158" s="124" cm="1">
        <f t="array" ref="BE158">_xlfn.IFS(BD158="Undetermined", 0, BD158="Undiluted", BA158*$G158/$F158*1000, BD158="Ten-Fold", BC158*$G158/$F158*1000*10, BD158&lt;0, BC158*$G158/$F158*1000*10, BD158&lt;120, BA158*$G158/$F158*1000, BD158&gt;120, BC158*$G158/$F158*1000*10)</f>
        <v>239.04484145495354</v>
      </c>
      <c r="BF158" s="121">
        <f t="shared" si="51"/>
        <v>119.52242072747677</v>
      </c>
      <c r="BG158" s="121">
        <f t="shared" si="52"/>
        <v>169.03022840046077</v>
      </c>
      <c r="BH158" s="121">
        <f t="shared" si="53"/>
        <v>119.52242072747676</v>
      </c>
      <c r="BI158" s="125" cm="1">
        <f t="array" ref="BI158">_xlfn.IFS(BF158="DELETE", "DELETE", BF158=0, 0, BF158&gt;0,LOG10(BF158))</f>
        <v>2.0774493804714829</v>
      </c>
      <c r="BJ158" s="126" cm="1">
        <f t="array" ref="BJ158">_xlfn.IFS(BF158="DELETE", "DELETE", BF158=0, 0, BF158&gt;0, BH158/BF158/LN(10))</f>
        <v>0.43429448190325176</v>
      </c>
    </row>
    <row r="159" spans="1:62" s="114" customFormat="1" x14ac:dyDescent="0.3">
      <c r="A159" s="115" t="str">
        <f>UPPER(LEFT(SUBSTITUTE(SUBSTITUTE(qPCR_Raw!A159,"-","")," ",""),2))&amp;RIGHT(SUBSTITUTE(SUBSTITUTE(qPCR_Raw!A159,"-","")," ",""),LEN(SUBSTITUTE(SUBSTITUTE(qPCR_Raw!A159,"-","")," ",""))-2)</f>
        <v>RW7</v>
      </c>
      <c r="B159" s="116" t="str" cm="1">
        <f t="array" ref="B159">_xlfn.IFS(LEFT(A159, LEN(A159)-1)="EP", "EP", LEFT(A159, LEN(A159)-1)="STa", "SPI", LEFT(A159, LEN(A159)-1)="STb", "SPO", LEFT(A159, LEN(A159)-1)="MRT", "MRT", LEFT(A159, LEN(A159)-1)="RG", "RN", LEFT(A159, LEN(A159)-1)="RT", "RU", LEFT(A159, LEN(A159)-1)="RW", "RL", LEFT(A159, LEN(A159)-1)="RC", "RS")</f>
        <v>RL</v>
      </c>
      <c r="C159" s="117">
        <f>qPCR_Raw!B159</f>
        <v>44405</v>
      </c>
      <c r="D159" s="117" t="str">
        <f t="shared" si="37"/>
        <v>RL44405</v>
      </c>
      <c r="E159" s="117" t="str">
        <f t="shared" si="38"/>
        <v>RL444057</v>
      </c>
      <c r="F159" s="118">
        <f>qPCR_Raw!C159</f>
        <v>950</v>
      </c>
      <c r="G159" s="119">
        <f>qPCR_Raw!F159</f>
        <v>100</v>
      </c>
      <c r="H159" s="120">
        <f>qPCR_Raw!G159</f>
        <v>15.417634010314941</v>
      </c>
      <c r="I159" s="121" cm="1">
        <f t="array" ref="I159">_xlfn.IFS(H159="Undetermined", 0, qPCR_Raw!H159-qPCR_Raw!$H$242&lt;0, 0, qPCR_Raw!H159-qPCR_Raw!$H$242&gt;0, qPCR_Raw!H159-qPCR_Raw!$H$242)</f>
        <v>2246793.6114461264</v>
      </c>
      <c r="J159" s="122">
        <f>qPCR_Raw!K159</f>
        <v>17.775650024414063</v>
      </c>
      <c r="K159" s="121" cm="1">
        <f t="array" ref="K159">_xlfn.IFS(J159="Undetermined", 0, qPCR_Raw!L159-qPCR_Raw!$H$242&lt;0, 0, qPCR_Raw!L159-qPCR_Raw!$H$242&gt;0, qPCR_Raw!L159-qPCR_Raw!$H$242)</f>
        <v>454076.54894612631</v>
      </c>
      <c r="L159" s="123" cm="1">
        <f t="array" ref="L159">_xlfn.IFS(AND(H159="Undetermined", J159="Undetermined"), "Undetermined", AND(I159=0, K159=0), "Undetermined", AND(I159=0, K159&gt;0), "Ten-Fold", AND(I159&gt;0, K159=0), "Undiluted", AND(H159&lt;&gt;"Undetermined", J159&lt;&gt;"Undetermined", I159&gt;0, K159&gt;0), 100*(-1+10^(-1/(H159-J159))))</f>
        <v>165.51271903566814</v>
      </c>
      <c r="M159" s="124" cm="1">
        <f t="array" ref="M159">_xlfn.IFS(L159="Undetermined", 0, L159="Undiluted", I159*$G159/$F159*1000, L159="Ten-Fold", K159*$G159/$F159*1000*10, L159&lt;0, K159*$G159/$F159*1000*10, L159&lt;120, I159*$G159/$F159*1000, L159&gt;120, K159*$G159/$F159*1000*10)</f>
        <v>477975314.68013293</v>
      </c>
      <c r="N159" s="121" t="str">
        <f t="shared" si="39"/>
        <v>DELETE</v>
      </c>
      <c r="O159" s="121" t="str">
        <f t="shared" si="40"/>
        <v>DELETE</v>
      </c>
      <c r="P159" s="121" t="str">
        <f t="shared" si="41"/>
        <v>DELETE</v>
      </c>
      <c r="Q159" s="125" t="str" cm="1">
        <f t="array" ref="Q159">_xlfn.IFS(N159="DELETE", "DELETE", N159=0, 0, N159&gt;0,LOG10(N159))</f>
        <v>DELETE</v>
      </c>
      <c r="R159" s="126" t="str" cm="1">
        <f t="array" ref="R159">_xlfn.IFS(N159="DELETE", "DELETE", N159=0, 0, N159&gt;0, P159/N159/LN(10))</f>
        <v>DELETE</v>
      </c>
      <c r="S159" s="155">
        <f>qPCR_Raw!O159</f>
        <v>30.311229705810547</v>
      </c>
      <c r="T159" s="156" cm="1">
        <f t="array" ref="T159">_xlfn.IFS(S159="Undetermined", 0, qPCR_Raw!P159&lt;=1, 0, qPCR_Raw!P159&gt;1, qPCR_Raw!P159)</f>
        <v>176.790771484375</v>
      </c>
      <c r="U159" s="157">
        <f>qPCR_Raw!R159</f>
        <v>33.761325836181641</v>
      </c>
      <c r="V159" s="156" cm="1">
        <f t="array" ref="V159">_xlfn.IFS(U159="Undetermined", 0, qPCR_Raw!S159&lt;=1, 0, qPCR_Raw!S159&gt;1, qPCR_Raw!S159)</f>
        <v>22.215250015258789</v>
      </c>
      <c r="W159" s="158" cm="1">
        <f t="array" ref="W159">_xlfn.IFS(AND(S159="Undetermined", U159="Undetermined"), "Undetermined", AND(T159=0, V159=0), "Undetermined", AND(T159=0, V159&gt;0), "Ten-Fold", AND(T159&gt;0, V159=0), "Undiluted", AND(S159&lt;&gt;"Undetermined", U159&lt;&gt;"Undetermined", T159&gt;0, V159&gt;0, S159&lt;&gt;U159), 100*(-1+10^(-1/(S159-U159))), AND(S159&lt;&gt;"Undetermined", U159&lt;&gt;"Undetermined", S159=U159&gt;0), -100)</f>
        <v>94.915778218696417</v>
      </c>
      <c r="X159" s="159" cm="1">
        <f t="array" ref="X159">_xlfn.IFS(W159="Undetermined", 0, W159="Undiluted", T159*$G159/$F159*1000, W159="Ten-Fold", V159*$G159/$F159*1000*10, W159&lt;0, V159*$G159/$F159*1000*10, W159&lt;120, T159*$G159/$F159*1000, W159&gt;120, V159*$G159/$F159*1000*10)</f>
        <v>18609.554893092107</v>
      </c>
      <c r="Y159" s="156" t="str">
        <f t="shared" si="42"/>
        <v>DELETE</v>
      </c>
      <c r="Z159" s="156" t="str">
        <f t="shared" si="43"/>
        <v>DELETE</v>
      </c>
      <c r="AA159" s="156" t="str">
        <f t="shared" si="44"/>
        <v>DELETE</v>
      </c>
      <c r="AB159" s="160" t="str" cm="1">
        <f t="array" ref="AB159">_xlfn.IFS(Y159="DELETE", "DELETE", Y159=0, 0, Y159&gt;0,LOG10(Y159))</f>
        <v>DELETE</v>
      </c>
      <c r="AC159" s="161" t="str" cm="1">
        <f t="array" ref="AC159">_xlfn.IFS(Y159="DELETE", "DELETE", Y159=0, 0, Y159&gt;0, AA159/Y159/LN(10))</f>
        <v>DELETE</v>
      </c>
      <c r="AD159" s="120">
        <f>qPCR_Raw!U159</f>
        <v>32.919212341308594</v>
      </c>
      <c r="AE159" s="121" cm="1">
        <f t="array" ref="AE159">_xlfn.IFS(AD159="Undetermined", 0, qPCR_Raw!V159&lt;=1, 0, qPCR_Raw!V159&gt;1, qPCR_Raw!V159)</f>
        <v>5.5747394561767578</v>
      </c>
      <c r="AF159" s="122">
        <f>qPCR_Raw!X159</f>
        <v>35.809711456298828</v>
      </c>
      <c r="AG159" s="121" cm="1">
        <f t="array" ref="AG159">_xlfn.IFS(AF159="Undetermined", 0, qPCR_Raw!Y159&lt;=1, 0, qPCR_Raw!Y159&gt;1, qPCR_Raw!Y159)</f>
        <v>0</v>
      </c>
      <c r="AH159" s="123" t="str" cm="1">
        <f t="array" ref="AH159">_xlfn.IFS(AND(AD159="Undetermined", AF159="Undetermined"), "Undetermined", AND(AE159=0, AG159=0), "Undetermined", AND(AE159=0, AG159&gt;0), "Ten-Fold", AND(AE159&gt;0, AG159=0), "Undiluted", AND(AD159&lt;&gt;"Undetermined", AF159&lt;&gt;"Undetermined", AE159&gt;0, AG159&gt;0, AD159&lt;&gt;AF159), 100*(-1+10^(-1/(AD159-AF159))), AND(AD159&lt;&gt;"Undetermined", AF159&lt;&gt;"Undetermined", AD159=AF159&gt;0), -100)</f>
        <v>Undiluted</v>
      </c>
      <c r="AI159" s="124" cm="1">
        <f t="array" ref="AI159">_xlfn.IFS(AH159="Undetermined", 0, AH159="Undiluted", AE159*$G159/$F159*1000, AH159="Ten-Fold", AG159*$G159/$F159*1000*10, AH159&lt;0, AG159*$G159/$F159*1000*10, AH159&lt;120, AE159*$G159/$F159*1000, AH159&gt;120, AG159*$G159/$F159*1000*10)</f>
        <v>586.81467959755344</v>
      </c>
      <c r="AJ159" s="121" t="str">
        <f t="shared" si="45"/>
        <v>DELETE</v>
      </c>
      <c r="AK159" s="121" t="str">
        <f t="shared" si="46"/>
        <v>DELETE</v>
      </c>
      <c r="AL159" s="121" t="str">
        <f t="shared" si="47"/>
        <v>DELETE</v>
      </c>
      <c r="AM159" s="125" t="str" cm="1">
        <f t="array" ref="AM159">_xlfn.IFS(AJ159="DELETE", "DELETE", AJ159=0, 0, AJ159&gt;0,LOG10(AJ159))</f>
        <v>DELETE</v>
      </c>
      <c r="AN159" s="126" t="str" cm="1">
        <f t="array" ref="AN159">_xlfn.IFS(AJ159="DELETE", "DELETE", AJ159=0, 0, AJ159&gt;0, AL159/AJ159/LN(10))</f>
        <v>DELETE</v>
      </c>
      <c r="AO159" s="155">
        <f>qPCR_Raw!AA159</f>
        <v>29.945928573608398</v>
      </c>
      <c r="AP159" s="156" cm="1">
        <f t="array" ref="AP159">_xlfn.IFS(AO159="Undetermined", 0, qPCR_Raw!AB159&lt;=6, 0, qPCR_Raw!AB159&gt;6, qPCR_Raw!AB159)</f>
        <v>6.4249024391174316</v>
      </c>
      <c r="AQ159" s="157">
        <f>qPCR_Raw!AD159</f>
        <v>33.216773986816406</v>
      </c>
      <c r="AR159" s="156" cm="1">
        <f t="array" ref="AR159">_xlfn.IFS(AQ159="Undetermined", 0, qPCR_Raw!AE159&lt;=6, 0, qPCR_Raw!AE159&gt;6, qPCR_Raw!AE159)</f>
        <v>0</v>
      </c>
      <c r="AS159" s="158" t="str" cm="1">
        <f t="array" ref="AS159">_xlfn.IFS(AND(AO159="Undetermined", AQ159="Undetermined"), "Undetermined", AND(AP159=0, AR159=0), "Undetermined", AND(AP159=0, AR159&gt;0), "Ten-Fold", AND(AP159&gt;0, AR159=0), "Undiluted", AND(AO159&lt;&gt;"Undetermined", AQ159&lt;&gt;"Undetermined", AP159&gt;0, AR159&gt;0, AO159&lt;&gt;AQ159), 100*(-1+10^(-1/(AO159-AQ159))), AND(AO159&lt;&gt;"Undetermined", AQ159&lt;&gt;"Undetermined", AO159=AQ159&gt;0), -100)</f>
        <v>Undiluted</v>
      </c>
      <c r="AT159" s="159" cm="1">
        <f t="array" ref="AT159">_xlfn.IFS(AS159="Undetermined", 0, AS159="Undiluted", AP159*$G159/$F159*1000, AS159="Ten-Fold", AR159*$G159/$F159*1000*10, AS159&lt;0, AR159*$G159/$F159*1000*10, AS159&lt;120, AP159*$G159/$F159*1000, AS159&gt;120, AR159*$G159/$F159*1000*10)</f>
        <v>676.30551990709807</v>
      </c>
      <c r="AU159" s="156" t="str">
        <f t="shared" si="48"/>
        <v>DELETE</v>
      </c>
      <c r="AV159" s="156" t="str">
        <f t="shared" si="49"/>
        <v>DELETE</v>
      </c>
      <c r="AW159" s="156" t="str">
        <f t="shared" si="50"/>
        <v>DELETE</v>
      </c>
      <c r="AX159" s="160" t="str" cm="1">
        <f t="array" ref="AX159">_xlfn.IFS(AU159="DELETE", "DELETE", AU159=0, 0, AU159&gt;0,LOG10(AU159))</f>
        <v>DELETE</v>
      </c>
      <c r="AY159" s="161" t="str" cm="1">
        <f t="array" ref="AY159">_xlfn.IFS(AU159="DELETE", "DELETE", AU159=0, 0, AU159&gt;0, AW159/AU159/LN(10))</f>
        <v>DELETE</v>
      </c>
      <c r="AZ159" s="120" t="str">
        <f>qPCR_Raw!AG159</f>
        <v>Undetermined</v>
      </c>
      <c r="BA159" s="121" cm="1">
        <f t="array" ref="BA159">_xlfn.IFS(AZ159="Undetermined", 0, qPCR_Raw!AH159&lt;=1, 0, qPCR_Raw!AH159&gt;1, qPCR_Raw!AH159)</f>
        <v>0</v>
      </c>
      <c r="BB159" s="122" t="str">
        <f>qPCR_Raw!AJ159</f>
        <v>Undetermined</v>
      </c>
      <c r="BC159" s="121" cm="1">
        <f t="array" ref="BC159">_xlfn.IFS(BB159="Undetermined", 0, qPCR_Raw!AK159&lt;=1, 0, qPCR_Raw!AK159&gt;1, qPCR_Raw!AK159)</f>
        <v>0</v>
      </c>
      <c r="BD159" s="123" t="str" cm="1">
        <f t="array" ref="BD159">_xlfn.IFS(AND(AZ159="Undetermined", BB159="Undetermined"), "Undetermined", AND(BA159=0, BC159=0), "Undetermined", AND(BA159=0, BC159&gt;0), "Ten-Fold", AND(BA159&gt;0, BC159=0), "Undiluted", AND(AZ159&lt;&gt;"Undetermined", BB159&lt;&gt;"Undetermined", BA159&gt;0, BC159&gt;0, AZ159&lt;&gt;BB159), 100*(-1+10^(-1/(AZ159-BB159))), AND(AZ159&lt;&gt;"Undetermined", BB159&lt;&gt;"Undetermined", AZ159=BB159&gt;0), -100)</f>
        <v>Undetermined</v>
      </c>
      <c r="BE159" s="124" cm="1">
        <f t="array" ref="BE159">_xlfn.IFS(BD159="Undetermined", 0, BD159="Undiluted", BA159*$G159/$F159*1000, BD159="Ten-Fold", BC159*$G159/$F159*1000*10, BD159&lt;0, BC159*$G159/$F159*1000*10, BD159&lt;120, BA159*$G159/$F159*1000, BD159&gt;120, BC159*$G159/$F159*1000*10)</f>
        <v>0</v>
      </c>
      <c r="BF159" s="121" t="str">
        <f t="shared" si="51"/>
        <v>DELETE</v>
      </c>
      <c r="BG159" s="121" t="str">
        <f t="shared" si="52"/>
        <v>DELETE</v>
      </c>
      <c r="BH159" s="121" t="str">
        <f t="shared" si="53"/>
        <v>DELETE</v>
      </c>
      <c r="BI159" s="125" t="str" cm="1">
        <f t="array" ref="BI159">_xlfn.IFS(BF159="DELETE", "DELETE", BF159=0, 0, BF159&gt;0,LOG10(BF159))</f>
        <v>DELETE</v>
      </c>
      <c r="BJ159" s="126" t="str" cm="1">
        <f t="array" ref="BJ159">_xlfn.IFS(BF159="DELETE", "DELETE", BF159=0, 0, BF159&gt;0, BH159/BF159/LN(10))</f>
        <v>DELETE</v>
      </c>
    </row>
    <row r="160" spans="1:62" s="114" customFormat="1" x14ac:dyDescent="0.3">
      <c r="A160" s="115" t="str">
        <f>UPPER(LEFT(SUBSTITUTE(SUBSTITUTE(qPCR_Raw!A160,"-","")," ",""),2))&amp;RIGHT(SUBSTITUTE(SUBSTITUTE(qPCR_Raw!A160,"-","")," ",""),LEN(SUBSTITUTE(SUBSTITUTE(qPCR_Raw!A160,"-","")," ",""))-2)</f>
        <v>MRT6</v>
      </c>
      <c r="B160" s="116" t="str" cm="1">
        <f t="array" ref="B160">_xlfn.IFS(LEFT(A160, LEN(A160)-1)="EP", "EP", LEFT(A160, LEN(A160)-1)="STa", "SPI", LEFT(A160, LEN(A160)-1)="STb", "SPO", LEFT(A160, LEN(A160)-1)="MRT", "MRT", LEFT(A160, LEN(A160)-1)="RG", "RN", LEFT(A160, LEN(A160)-1)="RT", "RU", LEFT(A160, LEN(A160)-1)="RW", "RL", LEFT(A160, LEN(A160)-1)="RC", "RS")</f>
        <v>MRT</v>
      </c>
      <c r="C160" s="117">
        <f>qPCR_Raw!B160</f>
        <v>44405</v>
      </c>
      <c r="D160" s="117" t="str">
        <f t="shared" si="37"/>
        <v>MRT44405</v>
      </c>
      <c r="E160" s="117" t="str">
        <f t="shared" si="38"/>
        <v>MRT444056</v>
      </c>
      <c r="F160" s="118">
        <f>qPCR_Raw!C160</f>
        <v>940</v>
      </c>
      <c r="G160" s="119">
        <f>qPCR_Raw!F160</f>
        <v>100</v>
      </c>
      <c r="H160" s="120">
        <f>qPCR_Raw!G160</f>
        <v>21.371309280395508</v>
      </c>
      <c r="I160" s="121" cm="1">
        <f t="array" ref="I160">_xlfn.IFS(H160="Undetermined", 0, qPCR_Raw!H160-qPCR_Raw!$H$242&lt;0, 0, qPCR_Raw!H160-qPCR_Raw!$H$242&gt;0, qPCR_Raw!H160-qPCR_Raw!$H$242)</f>
        <v>29216.716914876302</v>
      </c>
      <c r="J160" s="122">
        <f>qPCR_Raw!K160</f>
        <v>24.564243316650391</v>
      </c>
      <c r="K160" s="121" cm="1">
        <f t="array" ref="K160">_xlfn.IFS(J160="Undetermined", 0, qPCR_Raw!L160-qPCR_Raw!$H$242&lt;0, 0, qPCR_Raw!L160-qPCR_Raw!$H$242&gt;0, qPCR_Raw!L160-qPCR_Raw!$H$242)</f>
        <v>0</v>
      </c>
      <c r="L160" s="123" t="str" cm="1">
        <f t="array" ref="L160">_xlfn.IFS(AND(H160="Undetermined", J160="Undetermined"), "Undetermined", AND(I160=0, K160=0), "Undetermined", AND(I160=0, K160&gt;0), "Ten-Fold", AND(I160&gt;0, K160=0), "Undiluted", AND(H160&lt;&gt;"Undetermined", J160&lt;&gt;"Undetermined", I160&gt;0, K160&gt;0), 100*(-1+10^(-1/(H160-J160))))</f>
        <v>Undiluted</v>
      </c>
      <c r="M160" s="124" cm="1">
        <f t="array" ref="M160">_xlfn.IFS(L160="Undetermined", 0, L160="Undiluted", I160*$G160/$F160*1000, L160="Ten-Fold", K160*$G160/$F160*1000*10, L160&lt;0, K160*$G160/$F160*1000*10, L160&lt;120, I160*$G160/$F160*1000, L160&gt;120, K160*$G160/$F160*1000*10)</f>
        <v>3108161.3739230111</v>
      </c>
      <c r="N160" s="121">
        <f t="shared" si="39"/>
        <v>7210440.946767821</v>
      </c>
      <c r="O160" s="121">
        <f t="shared" si="40"/>
        <v>5801499.4085632376</v>
      </c>
      <c r="P160" s="121">
        <f t="shared" si="41"/>
        <v>4102279.5728448099</v>
      </c>
      <c r="Q160" s="125" cm="1">
        <f t="array" ref="Q160">_xlfn.IFS(N160="DELETE", "DELETE", N160=0, 0, N160&gt;0,LOG10(N160))</f>
        <v>6.857961824343902</v>
      </c>
      <c r="R160" s="126" cm="1">
        <f t="array" ref="R160">_xlfn.IFS(N160="DELETE", "DELETE", N160=0, 0, N160&gt;0, P160/N160/LN(10))</f>
        <v>0.24708577393031075</v>
      </c>
      <c r="S160" s="155">
        <f>qPCR_Raw!O160</f>
        <v>36.334987640380859</v>
      </c>
      <c r="T160" s="156" cm="1">
        <f t="array" ref="T160">_xlfn.IFS(S160="Undetermined", 0, qPCR_Raw!P160&lt;=1, 0, qPCR_Raw!P160&gt;1, qPCR_Raw!P160)</f>
        <v>4.7279934883117676</v>
      </c>
      <c r="U160" s="157">
        <f>qPCR_Raw!R160</f>
        <v>39.219959259033203</v>
      </c>
      <c r="V160" s="156" cm="1">
        <f t="array" ref="V160">_xlfn.IFS(U160="Undetermined", 0, qPCR_Raw!S160&lt;=1, 0, qPCR_Raw!S160&gt;1, qPCR_Raw!S160)</f>
        <v>0</v>
      </c>
      <c r="W160" s="158" t="str" cm="1">
        <f t="array" ref="W160">_xlfn.IFS(AND(S160="Undetermined", U160="Undetermined"), "Undetermined", AND(T160=0, V160=0), "Undetermined", AND(T160=0, V160&gt;0), "Ten-Fold", AND(T160&gt;0, V160=0), "Undiluted", AND(S160&lt;&gt;"Undetermined", U160&lt;&gt;"Undetermined", T160&gt;0, V160&gt;0, S160&lt;&gt;U160), 100*(-1+10^(-1/(S160-U160))), AND(S160&lt;&gt;"Undetermined", U160&lt;&gt;"Undetermined", S160=U160&gt;0), -100)</f>
        <v>Undiluted</v>
      </c>
      <c r="X160" s="159" cm="1">
        <f t="array" ref="X160">_xlfn.IFS(W160="Undetermined", 0, W160="Undiluted", T160*$G160/$F160*1000, W160="Ten-Fold", V160*$G160/$F160*1000*10, W160&lt;0, V160*$G160/$F160*1000*10, W160&lt;120, T160*$G160/$F160*1000, W160&gt;120, V160*$G160/$F160*1000*10)</f>
        <v>502.97803067146464</v>
      </c>
      <c r="Y160" s="156">
        <f t="shared" si="42"/>
        <v>433.24586939304436</v>
      </c>
      <c r="Z160" s="156">
        <f t="shared" si="43"/>
        <v>98.616168213529406</v>
      </c>
      <c r="AA160" s="156">
        <f t="shared" si="44"/>
        <v>69.732161278419895</v>
      </c>
      <c r="AB160" s="160" cm="1">
        <f t="array" ref="AB160">_xlfn.IFS(Y160="DELETE", "DELETE", Y160=0, 0, Y160&gt;0,LOG10(Y160))</f>
        <v>2.6367344308011669</v>
      </c>
      <c r="AC160" s="161" cm="1">
        <f t="array" ref="AC160">_xlfn.IFS(Y160="DELETE", "DELETE", Y160=0, 0, Y160&gt;0, AA160/Y160/LN(10))</f>
        <v>6.9900938459799125E-2</v>
      </c>
      <c r="AD160" s="120">
        <f>qPCR_Raw!U160</f>
        <v>34.146427154541016</v>
      </c>
      <c r="AE160" s="121" cm="1">
        <f t="array" ref="AE160">_xlfn.IFS(AD160="Undetermined", 0, qPCR_Raw!V160&lt;=1, 0, qPCR_Raw!V160&gt;1, qPCR_Raw!V160)</f>
        <v>2.5313401222229004</v>
      </c>
      <c r="AF160" s="122" t="str">
        <f>qPCR_Raw!X160</f>
        <v>Undetermined</v>
      </c>
      <c r="AG160" s="121" cm="1">
        <f t="array" ref="AG160">_xlfn.IFS(AF160="Undetermined", 0, qPCR_Raw!Y160&lt;=1, 0, qPCR_Raw!Y160&gt;1, qPCR_Raw!Y160)</f>
        <v>0</v>
      </c>
      <c r="AH160" s="123" t="str" cm="1">
        <f t="array" ref="AH160">_xlfn.IFS(AND(AD160="Undetermined", AF160="Undetermined"), "Undetermined", AND(AE160=0, AG160=0), "Undetermined", AND(AE160=0, AG160&gt;0), "Ten-Fold", AND(AE160&gt;0, AG160=0), "Undiluted", AND(AD160&lt;&gt;"Undetermined", AF160&lt;&gt;"Undetermined", AE160&gt;0, AG160&gt;0, AD160&lt;&gt;AF160), 100*(-1+10^(-1/(AD160-AF160))), AND(AD160&lt;&gt;"Undetermined", AF160&lt;&gt;"Undetermined", AD160=AF160&gt;0), -100)</f>
        <v>Undiluted</v>
      </c>
      <c r="AI160" s="124" cm="1">
        <f t="array" ref="AI160">_xlfn.IFS(AH160="Undetermined", 0, AH160="Undiluted", AE160*$G160/$F160*1000, AH160="Ten-Fold", AG160*$G160/$F160*1000*10, AH160&lt;0, AG160*$G160/$F160*1000*10, AH160&lt;120, AE160*$G160/$F160*1000, AH160&gt;120, AG160*$G160/$F160*1000*10)</f>
        <v>269.29150236413835</v>
      </c>
      <c r="AJ160" s="121">
        <f t="shared" si="45"/>
        <v>214.79730314396798</v>
      </c>
      <c r="AK160" s="121">
        <f t="shared" si="46"/>
        <v>77.06643560782625</v>
      </c>
      <c r="AL160" s="121">
        <f t="shared" si="47"/>
        <v>54.494199220170344</v>
      </c>
      <c r="AM160" s="125" cm="1">
        <f t="array" ref="AM160">_xlfn.IFS(AJ160="DELETE", "DELETE", AJ160=0, 0, AJ160&gt;0,LOG10(AJ160))</f>
        <v>2.3320288243410854</v>
      </c>
      <c r="AN160" s="126" cm="1">
        <f t="array" ref="AN160">_xlfn.IFS(AJ160="DELETE", "DELETE", AJ160=0, 0, AJ160&gt;0, AL160/AJ160/LN(10))</f>
        <v>0.11018075958427638</v>
      </c>
      <c r="AO160" s="155">
        <f>qPCR_Raw!AA160</f>
        <v>31.422845840454102</v>
      </c>
      <c r="AP160" s="156" cm="1">
        <f t="array" ref="AP160">_xlfn.IFS(AO160="Undetermined", 0, qPCR_Raw!AB160&lt;=6, 0, qPCR_Raw!AB160&gt;6, qPCR_Raw!AB160)</f>
        <v>0</v>
      </c>
      <c r="AQ160" s="157" t="str">
        <f>qPCR_Raw!AD160</f>
        <v>Undetermined</v>
      </c>
      <c r="AR160" s="156" cm="1">
        <f t="array" ref="AR160">_xlfn.IFS(AQ160="Undetermined", 0, qPCR_Raw!AE160&lt;=6, 0, qPCR_Raw!AE160&gt;6, qPCR_Raw!AE160)</f>
        <v>0</v>
      </c>
      <c r="AS160" s="158" t="str" cm="1">
        <f t="array" ref="AS160">_xlfn.IFS(AND(AO160="Undetermined", AQ160="Undetermined"), "Undetermined", AND(AP160=0, AR160=0), "Undetermined", AND(AP160=0, AR160&gt;0), "Ten-Fold", AND(AP160&gt;0, AR160=0), "Undiluted", AND(AO160&lt;&gt;"Undetermined", AQ160&lt;&gt;"Undetermined", AP160&gt;0, AR160&gt;0, AO160&lt;&gt;AQ160), 100*(-1+10^(-1/(AO160-AQ160))), AND(AO160&lt;&gt;"Undetermined", AQ160&lt;&gt;"Undetermined", AO160=AQ160&gt;0), -100)</f>
        <v>Undetermined</v>
      </c>
      <c r="AT160" s="159" cm="1">
        <f t="array" ref="AT160">_xlfn.IFS(AS160="Undetermined", 0, AS160="Undiluted", AP160*$G160/$F160*1000, AS160="Ten-Fold", AR160*$G160/$F160*1000*10, AS160&lt;0, AR160*$G160/$F160*1000*10, AS160&lt;120, AP160*$G160/$F160*1000, AS160&gt;120, AR160*$G160/$F160*1000*10)</f>
        <v>0</v>
      </c>
      <c r="AU160" s="156">
        <f t="shared" si="48"/>
        <v>0</v>
      </c>
      <c r="AV160" s="156">
        <f t="shared" si="49"/>
        <v>0</v>
      </c>
      <c r="AW160" s="156">
        <f t="shared" si="50"/>
        <v>0</v>
      </c>
      <c r="AX160" s="160" cm="1">
        <f t="array" ref="AX160">_xlfn.IFS(AU160="DELETE", "DELETE", AU160=0, 0, AU160&gt;0,LOG10(AU160))</f>
        <v>0</v>
      </c>
      <c r="AY160" s="161" cm="1">
        <f t="array" ref="AY160">_xlfn.IFS(AU160="DELETE", "DELETE", AU160=0, 0, AU160&gt;0, AW160/AU160/LN(10))</f>
        <v>0</v>
      </c>
      <c r="AZ160" s="120" t="str">
        <f>qPCR_Raw!AG160</f>
        <v>Undetermined</v>
      </c>
      <c r="BA160" s="121" cm="1">
        <f t="array" ref="BA160">_xlfn.IFS(AZ160="Undetermined", 0, qPCR_Raw!AH160&lt;=1, 0, qPCR_Raw!AH160&gt;1, qPCR_Raw!AH160)</f>
        <v>0</v>
      </c>
      <c r="BB160" s="122" t="str">
        <f>qPCR_Raw!AJ160</f>
        <v>Undetermined</v>
      </c>
      <c r="BC160" s="121" cm="1">
        <f t="array" ref="BC160">_xlfn.IFS(BB160="Undetermined", 0, qPCR_Raw!AK160&lt;=1, 0, qPCR_Raw!AK160&gt;1, qPCR_Raw!AK160)</f>
        <v>0</v>
      </c>
      <c r="BD160" s="123" t="str" cm="1">
        <f t="array" ref="BD160">_xlfn.IFS(AND(AZ160="Undetermined", BB160="Undetermined"), "Undetermined", AND(BA160=0, BC160=0), "Undetermined", AND(BA160=0, BC160&gt;0), "Ten-Fold", AND(BA160&gt;0, BC160=0), "Undiluted", AND(AZ160&lt;&gt;"Undetermined", BB160&lt;&gt;"Undetermined", BA160&gt;0, BC160&gt;0, AZ160&lt;&gt;BB160), 100*(-1+10^(-1/(AZ160-BB160))), AND(AZ160&lt;&gt;"Undetermined", BB160&lt;&gt;"Undetermined", AZ160=BB160&gt;0), -100)</f>
        <v>Undetermined</v>
      </c>
      <c r="BE160" s="124" cm="1">
        <f t="array" ref="BE160">_xlfn.IFS(BD160="Undetermined", 0, BD160="Undiluted", BA160*$G160/$F160*1000, BD160="Ten-Fold", BC160*$G160/$F160*1000*10, BD160&lt;0, BC160*$G160/$F160*1000*10, BD160&lt;120, BA160*$G160/$F160*1000, BD160&gt;120, BC160*$G160/$F160*1000*10)</f>
        <v>0</v>
      </c>
      <c r="BF160" s="121">
        <f t="shared" si="51"/>
        <v>0</v>
      </c>
      <c r="BG160" s="121">
        <f t="shared" si="52"/>
        <v>0</v>
      </c>
      <c r="BH160" s="121">
        <f t="shared" si="53"/>
        <v>0</v>
      </c>
      <c r="BI160" s="125" cm="1">
        <f t="array" ref="BI160">_xlfn.IFS(BF160="DELETE", "DELETE", BF160=0, 0, BF160&gt;0,LOG10(BF160))</f>
        <v>0</v>
      </c>
      <c r="BJ160" s="126" cm="1">
        <f t="array" ref="BJ160">_xlfn.IFS(BF160="DELETE", "DELETE", BF160=0, 0, BF160&gt;0, BH160/BF160/LN(10))</f>
        <v>0</v>
      </c>
    </row>
    <row r="161" spans="1:62" s="114" customFormat="1" x14ac:dyDescent="0.3">
      <c r="A161" s="115" t="str">
        <f>UPPER(LEFT(SUBSTITUTE(SUBSTITUTE(qPCR_Raw!A161,"-","")," ",""),2))&amp;RIGHT(SUBSTITUTE(SUBSTITUTE(qPCR_Raw!A161,"-","")," ",""),LEN(SUBSTITUTE(SUBSTITUTE(qPCR_Raw!A161,"-","")," ",""))-2)</f>
        <v>MRT7</v>
      </c>
      <c r="B161" s="116" t="str" cm="1">
        <f t="array" ref="B161">_xlfn.IFS(LEFT(A161, LEN(A161)-1)="EP", "EP", LEFT(A161, LEN(A161)-1)="STa", "SPI", LEFT(A161, LEN(A161)-1)="STb", "SPO", LEFT(A161, LEN(A161)-1)="MRT", "MRT", LEFT(A161, LEN(A161)-1)="RG", "RN", LEFT(A161, LEN(A161)-1)="RT", "RU", LEFT(A161, LEN(A161)-1)="RW", "RL", LEFT(A161, LEN(A161)-1)="RC", "RS")</f>
        <v>MRT</v>
      </c>
      <c r="C161" s="117">
        <f>qPCR_Raw!B161</f>
        <v>44405</v>
      </c>
      <c r="D161" s="117" t="str">
        <f t="shared" si="37"/>
        <v>MRT44405</v>
      </c>
      <c r="E161" s="117" t="str">
        <f t="shared" si="38"/>
        <v>MRT444057</v>
      </c>
      <c r="F161" s="118">
        <f>qPCR_Raw!C161</f>
        <v>1000</v>
      </c>
      <c r="G161" s="119">
        <f>qPCR_Raw!F161</f>
        <v>100</v>
      </c>
      <c r="H161" s="120">
        <f>qPCR_Raw!G161</f>
        <v>19.733930587768555</v>
      </c>
      <c r="I161" s="121" cm="1">
        <f t="array" ref="I161">_xlfn.IFS(H161="Undetermined", 0, qPCR_Raw!H161-qPCR_Raw!$H$242&lt;0, 0, qPCR_Raw!H161-qPCR_Raw!$H$242&gt;0, qPCR_Raw!H161-qPCR_Raw!$H$242)</f>
        <v>113127.20519612631</v>
      </c>
      <c r="J161" s="122">
        <f>qPCR_Raw!K161</f>
        <v>23.404430389404297</v>
      </c>
      <c r="K161" s="121" cm="1">
        <f t="array" ref="K161">_xlfn.IFS(J161="Undetermined", 0, qPCR_Raw!L161-qPCR_Raw!$H$242&lt;0, 0, qPCR_Raw!L161-qPCR_Raw!$H$242&gt;0, qPCR_Raw!L161-qPCR_Raw!$H$242)</f>
        <v>0</v>
      </c>
      <c r="L161" s="123" t="str" cm="1">
        <f t="array" ref="L161">_xlfn.IFS(AND(H161="Undetermined", J161="Undetermined"), "Undetermined", AND(I161=0, K161=0), "Undetermined", AND(I161=0, K161&gt;0), "Ten-Fold", AND(I161&gt;0, K161=0), "Undiluted", AND(H161&lt;&gt;"Undetermined", J161&lt;&gt;"Undetermined", I161&gt;0, K161&gt;0), 100*(-1+10^(-1/(H161-J161))))</f>
        <v>Undiluted</v>
      </c>
      <c r="M161" s="124" cm="1">
        <f t="array" ref="M161">_xlfn.IFS(L161="Undetermined", 0, L161="Undiluted", I161*$G161/$F161*1000, L161="Ten-Fold", K161*$G161/$F161*1000*10, L161&lt;0, K161*$G161/$F161*1000*10, L161&lt;120, I161*$G161/$F161*1000, L161&gt;120, K161*$G161/$F161*1000*10)</f>
        <v>11312720.519612631</v>
      </c>
      <c r="N161" s="121" t="str">
        <f t="shared" si="39"/>
        <v>DELETE</v>
      </c>
      <c r="O161" s="121" t="str">
        <f t="shared" si="40"/>
        <v>DELETE</v>
      </c>
      <c r="P161" s="121" t="str">
        <f t="shared" si="41"/>
        <v>DELETE</v>
      </c>
      <c r="Q161" s="125" t="str" cm="1">
        <f t="array" ref="Q161">_xlfn.IFS(N161="DELETE", "DELETE", N161=0, 0, N161&gt;0,LOG10(N161))</f>
        <v>DELETE</v>
      </c>
      <c r="R161" s="126" t="str" cm="1">
        <f t="array" ref="R161">_xlfn.IFS(N161="DELETE", "DELETE", N161=0, 0, N161&gt;0, P161/N161/LN(10))</f>
        <v>DELETE</v>
      </c>
      <c r="S161" s="155">
        <f>qPCR_Raw!O161</f>
        <v>36.772205352783203</v>
      </c>
      <c r="T161" s="156" cm="1">
        <f t="array" ref="T161">_xlfn.IFS(S161="Undetermined", 0, qPCR_Raw!P161&lt;=1, 0, qPCR_Raw!P161&gt;1, qPCR_Raw!P161)</f>
        <v>3.6351370811462402</v>
      </c>
      <c r="U161" s="157">
        <f>qPCR_Raw!R161</f>
        <v>39.856990814208984</v>
      </c>
      <c r="V161" s="156" cm="1">
        <f t="array" ref="V161">_xlfn.IFS(U161="Undetermined", 0, qPCR_Raw!S161&lt;=1, 0, qPCR_Raw!S161&gt;1, qPCR_Raw!S161)</f>
        <v>0</v>
      </c>
      <c r="W161" s="158" t="str" cm="1">
        <f t="array" ref="W161">_xlfn.IFS(AND(S161="Undetermined", U161="Undetermined"), "Undetermined", AND(T161=0, V161=0), "Undetermined", AND(T161=0, V161&gt;0), "Ten-Fold", AND(T161&gt;0, V161=0), "Undiluted", AND(S161&lt;&gt;"Undetermined", U161&lt;&gt;"Undetermined", T161&gt;0, V161&gt;0, S161&lt;&gt;U161), 100*(-1+10^(-1/(S161-U161))), AND(S161&lt;&gt;"Undetermined", U161&lt;&gt;"Undetermined", S161=U161&gt;0), -100)</f>
        <v>Undiluted</v>
      </c>
      <c r="X161" s="159" cm="1">
        <f t="array" ref="X161">_xlfn.IFS(W161="Undetermined", 0, W161="Undiluted", T161*$G161/$F161*1000, W161="Ten-Fold", V161*$G161/$F161*1000*10, W161&lt;0, V161*$G161/$F161*1000*10, W161&lt;120, T161*$G161/$F161*1000, W161&gt;120, V161*$G161/$F161*1000*10)</f>
        <v>363.51370811462402</v>
      </c>
      <c r="Y161" s="156" t="str">
        <f t="shared" si="42"/>
        <v>DELETE</v>
      </c>
      <c r="Z161" s="156" t="str">
        <f t="shared" si="43"/>
        <v>DELETE</v>
      </c>
      <c r="AA161" s="156" t="str">
        <f t="shared" si="44"/>
        <v>DELETE</v>
      </c>
      <c r="AB161" s="160" t="str" cm="1">
        <f t="array" ref="AB161">_xlfn.IFS(Y161="DELETE", "DELETE", Y161=0, 0, Y161&gt;0,LOG10(Y161))</f>
        <v>DELETE</v>
      </c>
      <c r="AC161" s="161" t="str" cm="1">
        <f t="array" ref="AC161">_xlfn.IFS(Y161="DELETE", "DELETE", Y161=0, 0, Y161&gt;0, AA161/Y161/LN(10))</f>
        <v>DELETE</v>
      </c>
      <c r="AD161" s="120">
        <f>qPCR_Raw!U161</f>
        <v>34.856571197509766</v>
      </c>
      <c r="AE161" s="121" cm="1">
        <f t="array" ref="AE161">_xlfn.IFS(AD161="Undetermined", 0, qPCR_Raw!V161&lt;=1, 0, qPCR_Raw!V161&gt;1, qPCR_Raw!V161)</f>
        <v>1.6030310392379761</v>
      </c>
      <c r="AF161" s="122" t="str">
        <f>qPCR_Raw!X161</f>
        <v>Undetermined</v>
      </c>
      <c r="AG161" s="121" cm="1">
        <f t="array" ref="AG161">_xlfn.IFS(AF161="Undetermined", 0, qPCR_Raw!Y161&lt;=1, 0, qPCR_Raw!Y161&gt;1, qPCR_Raw!Y161)</f>
        <v>0</v>
      </c>
      <c r="AH161" s="123" t="str" cm="1">
        <f t="array" ref="AH161">_xlfn.IFS(AND(AD161="Undetermined", AF161="Undetermined"), "Undetermined", AND(AE161=0, AG161=0), "Undetermined", AND(AE161=0, AG161&gt;0), "Ten-Fold", AND(AE161&gt;0, AG161=0), "Undiluted", AND(AD161&lt;&gt;"Undetermined", AF161&lt;&gt;"Undetermined", AE161&gt;0, AG161&gt;0, AD161&lt;&gt;AF161), 100*(-1+10^(-1/(AD161-AF161))), AND(AD161&lt;&gt;"Undetermined", AF161&lt;&gt;"Undetermined", AD161=AF161&gt;0), -100)</f>
        <v>Undiluted</v>
      </c>
      <c r="AI161" s="124" cm="1">
        <f t="array" ref="AI161">_xlfn.IFS(AH161="Undetermined", 0, AH161="Undiluted", AE161*$G161/$F161*1000, AH161="Ten-Fold", AG161*$G161/$F161*1000*10, AH161&lt;0, AG161*$G161/$F161*1000*10, AH161&lt;120, AE161*$G161/$F161*1000, AH161&gt;120, AG161*$G161/$F161*1000*10)</f>
        <v>160.30310392379761</v>
      </c>
      <c r="AJ161" s="121" t="str">
        <f t="shared" si="45"/>
        <v>DELETE</v>
      </c>
      <c r="AK161" s="121" t="str">
        <f t="shared" si="46"/>
        <v>DELETE</v>
      </c>
      <c r="AL161" s="121" t="str">
        <f t="shared" si="47"/>
        <v>DELETE</v>
      </c>
      <c r="AM161" s="125" t="str" cm="1">
        <f t="array" ref="AM161">_xlfn.IFS(AJ161="DELETE", "DELETE", AJ161=0, 0, AJ161&gt;0,LOG10(AJ161))</f>
        <v>DELETE</v>
      </c>
      <c r="AN161" s="126" t="str" cm="1">
        <f t="array" ref="AN161">_xlfn.IFS(AJ161="DELETE", "DELETE", AJ161=0, 0, AJ161&gt;0, AL161/AJ161/LN(10))</f>
        <v>DELETE</v>
      </c>
      <c r="AO161" s="155">
        <f>qPCR_Raw!AA161</f>
        <v>31.055057525634766</v>
      </c>
      <c r="AP161" s="156" cm="1">
        <f t="array" ref="AP161">_xlfn.IFS(AO161="Undetermined", 0, qPCR_Raw!AB161&lt;=6, 0, qPCR_Raw!AB161&gt;6, qPCR_Raw!AB161)</f>
        <v>0</v>
      </c>
      <c r="AQ161" s="157">
        <f>qPCR_Raw!AD161</f>
        <v>33.534427642822266</v>
      </c>
      <c r="AR161" s="156" cm="1">
        <f t="array" ref="AR161">_xlfn.IFS(AQ161="Undetermined", 0, qPCR_Raw!AE161&lt;=6, 0, qPCR_Raw!AE161&gt;6, qPCR_Raw!AE161)</f>
        <v>0</v>
      </c>
      <c r="AS161" s="158" t="str" cm="1">
        <f t="array" ref="AS161">_xlfn.IFS(AND(AO161="Undetermined", AQ161="Undetermined"), "Undetermined", AND(AP161=0, AR161=0), "Undetermined", AND(AP161=0, AR161&gt;0), "Ten-Fold", AND(AP161&gt;0, AR161=0), "Undiluted", AND(AO161&lt;&gt;"Undetermined", AQ161&lt;&gt;"Undetermined", AP161&gt;0, AR161&gt;0, AO161&lt;&gt;AQ161), 100*(-1+10^(-1/(AO161-AQ161))), AND(AO161&lt;&gt;"Undetermined", AQ161&lt;&gt;"Undetermined", AO161=AQ161&gt;0), -100)</f>
        <v>Undetermined</v>
      </c>
      <c r="AT161" s="159" cm="1">
        <f t="array" ref="AT161">_xlfn.IFS(AS161="Undetermined", 0, AS161="Undiluted", AP161*$G161/$F161*1000, AS161="Ten-Fold", AR161*$G161/$F161*1000*10, AS161&lt;0, AR161*$G161/$F161*1000*10, AS161&lt;120, AP161*$G161/$F161*1000, AS161&gt;120, AR161*$G161/$F161*1000*10)</f>
        <v>0</v>
      </c>
      <c r="AU161" s="156" t="str">
        <f t="shared" si="48"/>
        <v>DELETE</v>
      </c>
      <c r="AV161" s="156" t="str">
        <f t="shared" si="49"/>
        <v>DELETE</v>
      </c>
      <c r="AW161" s="156" t="str">
        <f t="shared" si="50"/>
        <v>DELETE</v>
      </c>
      <c r="AX161" s="160" t="str" cm="1">
        <f t="array" ref="AX161">_xlfn.IFS(AU161="DELETE", "DELETE", AU161=0, 0, AU161&gt;0,LOG10(AU161))</f>
        <v>DELETE</v>
      </c>
      <c r="AY161" s="161" t="str" cm="1">
        <f t="array" ref="AY161">_xlfn.IFS(AU161="DELETE", "DELETE", AU161=0, 0, AU161&gt;0, AW161/AU161/LN(10))</f>
        <v>DELETE</v>
      </c>
      <c r="AZ161" s="120" t="str">
        <f>qPCR_Raw!AG161</f>
        <v>Undetermined</v>
      </c>
      <c r="BA161" s="121" cm="1">
        <f t="array" ref="BA161">_xlfn.IFS(AZ161="Undetermined", 0, qPCR_Raw!AH161&lt;=1, 0, qPCR_Raw!AH161&gt;1, qPCR_Raw!AH161)</f>
        <v>0</v>
      </c>
      <c r="BB161" s="122" t="str">
        <f>qPCR_Raw!AJ161</f>
        <v>Undetermined</v>
      </c>
      <c r="BC161" s="121" cm="1">
        <f t="array" ref="BC161">_xlfn.IFS(BB161="Undetermined", 0, qPCR_Raw!AK161&lt;=1, 0, qPCR_Raw!AK161&gt;1, qPCR_Raw!AK161)</f>
        <v>0</v>
      </c>
      <c r="BD161" s="123" t="str" cm="1">
        <f t="array" ref="BD161">_xlfn.IFS(AND(AZ161="Undetermined", BB161="Undetermined"), "Undetermined", AND(BA161=0, BC161=0), "Undetermined", AND(BA161=0, BC161&gt;0), "Ten-Fold", AND(BA161&gt;0, BC161=0), "Undiluted", AND(AZ161&lt;&gt;"Undetermined", BB161&lt;&gt;"Undetermined", BA161&gt;0, BC161&gt;0, AZ161&lt;&gt;BB161), 100*(-1+10^(-1/(AZ161-BB161))), AND(AZ161&lt;&gt;"Undetermined", BB161&lt;&gt;"Undetermined", AZ161=BB161&gt;0), -100)</f>
        <v>Undetermined</v>
      </c>
      <c r="BE161" s="124" cm="1">
        <f t="array" ref="BE161">_xlfn.IFS(BD161="Undetermined", 0, BD161="Undiluted", BA161*$G161/$F161*1000, BD161="Ten-Fold", BC161*$G161/$F161*1000*10, BD161&lt;0, BC161*$G161/$F161*1000*10, BD161&lt;120, BA161*$G161/$F161*1000, BD161&gt;120, BC161*$G161/$F161*1000*10)</f>
        <v>0</v>
      </c>
      <c r="BF161" s="121" t="str">
        <f t="shared" si="51"/>
        <v>DELETE</v>
      </c>
      <c r="BG161" s="121" t="str">
        <f t="shared" si="52"/>
        <v>DELETE</v>
      </c>
      <c r="BH161" s="121" t="str">
        <f t="shared" si="53"/>
        <v>DELETE</v>
      </c>
      <c r="BI161" s="125" t="str" cm="1">
        <f t="array" ref="BI161">_xlfn.IFS(BF161="DELETE", "DELETE", BF161=0, 0, BF161&gt;0,LOG10(BF161))</f>
        <v>DELETE</v>
      </c>
      <c r="BJ161" s="126" t="str" cm="1">
        <f t="array" ref="BJ161">_xlfn.IFS(BF161="DELETE", "DELETE", BF161=0, 0, BF161&gt;0, BH161/BF161/LN(10))</f>
        <v>DELETE</v>
      </c>
    </row>
    <row r="162" spans="1:62" s="114" customFormat="1" x14ac:dyDescent="0.3">
      <c r="A162" s="115" t="str">
        <f>UPPER(LEFT(SUBSTITUTE(SUBSTITUTE(qPCR_Raw!A162,"-","")," ",""),2))&amp;RIGHT(SUBSTITUTE(SUBSTITUTE(qPCR_Raw!A162,"-","")," ",""),LEN(SUBSTITUTE(SUBSTITUTE(qPCR_Raw!A162,"-","")," ",""))-2)</f>
        <v>RT6</v>
      </c>
      <c r="B162" s="116" t="str" cm="1">
        <f t="array" ref="B162">_xlfn.IFS(LEFT(A162, LEN(A162)-1)="EP", "EP", LEFT(A162, LEN(A162)-1)="STa", "SPI", LEFT(A162, LEN(A162)-1)="STb", "SPO", LEFT(A162, LEN(A162)-1)="MRT", "MRT", LEFT(A162, LEN(A162)-1)="RG", "RN", LEFT(A162, LEN(A162)-1)="RT", "RU", LEFT(A162, LEN(A162)-1)="RW", "RL", LEFT(A162, LEN(A162)-1)="RC", "RS")</f>
        <v>RU</v>
      </c>
      <c r="C162" s="117">
        <f>qPCR_Raw!B162</f>
        <v>44405</v>
      </c>
      <c r="D162" s="117" t="str">
        <f t="shared" si="37"/>
        <v>RU44405</v>
      </c>
      <c r="E162" s="117" t="str">
        <f t="shared" si="38"/>
        <v>RU444056</v>
      </c>
      <c r="F162" s="118">
        <f>qPCR_Raw!C162</f>
        <v>940</v>
      </c>
      <c r="G162" s="119">
        <f>qPCR_Raw!F162</f>
        <v>100</v>
      </c>
      <c r="H162" s="120">
        <f>qPCR_Raw!G162</f>
        <v>17.111537933349609</v>
      </c>
      <c r="I162" s="121" cm="1">
        <f t="array" ref="I162">_xlfn.IFS(H162="Undetermined", 0, qPCR_Raw!H162-qPCR_Raw!$H$242&lt;0, 0, qPCR_Raw!H162-qPCR_Raw!$H$242&gt;0, qPCR_Raw!H162-qPCR_Raw!$H$242)</f>
        <v>715147.73644612625</v>
      </c>
      <c r="J162" s="122">
        <f>qPCR_Raw!K162</f>
        <v>20.153596878051758</v>
      </c>
      <c r="K162" s="121" cm="1">
        <f t="array" ref="K162">_xlfn.IFS(J162="Undetermined", 0, qPCR_Raw!L162-qPCR_Raw!$H$242&lt;0, 0, qPCR_Raw!L162-qPCR_Raw!$H$242&gt;0, qPCR_Raw!L162-qPCR_Raw!$H$242)</f>
        <v>82273.095821126306</v>
      </c>
      <c r="L162" s="123" cm="1">
        <f t="array" ref="L162">_xlfn.IFS(AND(H162="Undetermined", J162="Undetermined"), "Undetermined", AND(I162=0, K162=0), "Undetermined", AND(I162=0, K162&gt;0), "Ten-Fold", AND(I162&gt;0, K162=0), "Undiluted", AND(H162&lt;&gt;"Undetermined", J162&lt;&gt;"Undetermined", I162&gt;0, K162&gt;0), 100*(-1+10^(-1/(H162-J162))))</f>
        <v>113.169333966778</v>
      </c>
      <c r="M162" s="124" cm="1">
        <f t="array" ref="M162">_xlfn.IFS(L162="Undetermined", 0, L162="Undiluted", I162*$G162/$F162*1000, L162="Ten-Fold", K162*$G162/$F162*1000*10, L162&lt;0, K162*$G162/$F162*1000*10, L162&lt;120, I162*$G162/$F162*1000, L162&gt;120, K162*$G162/$F162*1000*10)</f>
        <v>76079546.430438966</v>
      </c>
      <c r="N162" s="121">
        <f t="shared" si="39"/>
        <v>135947433.75445986</v>
      </c>
      <c r="O162" s="121">
        <f t="shared" si="40"/>
        <v>84665978.204254583</v>
      </c>
      <c r="P162" s="121">
        <f t="shared" si="41"/>
        <v>59867887.32402084</v>
      </c>
      <c r="Q162" s="125" cm="1">
        <f t="array" ref="Q162">_xlfn.IFS(N162="DELETE", "DELETE", N162=0, 0, N162&gt;0,LOG10(N162))</f>
        <v>8.1333710139331075</v>
      </c>
      <c r="R162" s="126" cm="1">
        <f t="array" ref="R162">_xlfn.IFS(N162="DELETE", "DELETE", N162=0, 0, N162&gt;0, P162/N162/LN(10))</f>
        <v>0.19125254806198155</v>
      </c>
      <c r="S162" s="155">
        <f>qPCR_Raw!O162</f>
        <v>29.574050903320313</v>
      </c>
      <c r="T162" s="156" cm="1">
        <f t="array" ref="T162">_xlfn.IFS(S162="Undetermined", 0, qPCR_Raw!P162&lt;=1, 0, qPCR_Raw!P162&gt;1, qPCR_Raw!P162)</f>
        <v>275.38131713867188</v>
      </c>
      <c r="U162" s="157">
        <f>qPCR_Raw!R162</f>
        <v>32.373714447021484</v>
      </c>
      <c r="V162" s="156" cm="1">
        <f t="array" ref="V162">_xlfn.IFS(U162="Undetermined", 0, qPCR_Raw!S162&lt;=1, 0, qPCR_Raw!S162&gt;1, qPCR_Raw!S162)</f>
        <v>51.162509918212891</v>
      </c>
      <c r="W162" s="158" cm="1">
        <f t="array" ref="W162">_xlfn.IFS(AND(S162="Undetermined", U162="Undetermined"), "Undetermined", AND(T162=0, V162=0), "Undetermined", AND(T162=0, V162&gt;0), "Ten-Fold", AND(T162&gt;0, V162=0), "Undiluted", AND(S162&lt;&gt;"Undetermined", U162&lt;&gt;"Undetermined", T162&gt;0, V162&gt;0, S162&lt;&gt;U162), 100*(-1+10^(-1/(S162-U162))), AND(S162&lt;&gt;"Undetermined", U162&lt;&gt;"Undetermined", S162=U162&gt;0), -100)</f>
        <v>127.60708547348099</v>
      </c>
      <c r="X162" s="159" cm="1">
        <f t="array" ref="X162">_xlfn.IFS(W162="Undetermined", 0, W162="Undiluted", T162*$G162/$F162*1000, W162="Ten-Fold", V162*$G162/$F162*1000*10, W162&lt;0, V162*$G162/$F162*1000*10, W162&lt;120, T162*$G162/$F162*1000, W162&gt;120, V162*$G162/$F162*1000*10)</f>
        <v>54428.202040652017</v>
      </c>
      <c r="Y162" s="156">
        <f t="shared" si="42"/>
        <v>34091.366242619821</v>
      </c>
      <c r="Z162" s="156">
        <f t="shared" si="43"/>
        <v>28760.629001331803</v>
      </c>
      <c r="AA162" s="156">
        <f t="shared" si="44"/>
        <v>20336.8357980322</v>
      </c>
      <c r="AB162" s="160" cm="1">
        <f t="array" ref="AB162">_xlfn.IFS(Y162="DELETE", "DELETE", Y162=0, 0, Y162&gt;0,LOG10(Y162))</f>
        <v>4.5326444063254305</v>
      </c>
      <c r="AC162" s="161" cm="1">
        <f t="array" ref="AC162">_xlfn.IFS(Y162="DELETE", "DELETE", Y162=0, 0, Y162&gt;0, AA162/Y162/LN(10))</f>
        <v>0.25907367582752444</v>
      </c>
      <c r="AD162" s="120">
        <f>qPCR_Raw!U162</f>
        <v>29.185979843139648</v>
      </c>
      <c r="AE162" s="121" cm="1">
        <f t="array" ref="AE162">_xlfn.IFS(AD162="Undetermined", 0, qPCR_Raw!V162&lt;=1, 0, qPCR_Raw!V162&gt;1, qPCR_Raw!V162)</f>
        <v>61.554527282714844</v>
      </c>
      <c r="AF162" s="122">
        <f>qPCR_Raw!X162</f>
        <v>32.107551574707031</v>
      </c>
      <c r="AG162" s="121" cm="1">
        <f t="array" ref="AG162">_xlfn.IFS(AF162="Undetermined", 0, qPCR_Raw!Y162&lt;=1, 0, qPCR_Raw!Y162&gt;1, qPCR_Raw!Y162)</f>
        <v>9.3971490859985352</v>
      </c>
      <c r="AH162" s="123" cm="1">
        <f t="array" ref="AH162">_xlfn.IFS(AND(AD162="Undetermined", AF162="Undetermined"), "Undetermined", AND(AE162=0, AG162=0), "Undetermined", AND(AE162=0, AG162&gt;0), "Ten-Fold", AND(AE162&gt;0, AG162=0), "Undiluted", AND(AD162&lt;&gt;"Undetermined", AF162&lt;&gt;"Undetermined", AE162&gt;0, AG162&gt;0, AD162&lt;&gt;AF162), 100*(-1+10^(-1/(AD162-AF162))), AND(AD162&lt;&gt;"Undetermined", AF162&lt;&gt;"Undetermined", AD162=AF162&gt;0), -100)</f>
        <v>119.92850169745122</v>
      </c>
      <c r="AI162" s="124" cm="1">
        <f t="array" ref="AI162">_xlfn.IFS(AH162="Undetermined", 0, AH162="Undiluted", AE162*$G162/$F162*1000, AH162="Ten-Fold", AG162*$G162/$F162*1000*10, AH162&lt;0, AG162*$G162/$F162*1000*10, AH162&lt;120, AE162*$G162/$F162*1000, AH162&gt;120, AG162*$G162/$F162*1000*10)</f>
        <v>6548.3539662462599</v>
      </c>
      <c r="AJ162" s="121">
        <f t="shared" si="45"/>
        <v>4336.9628494573963</v>
      </c>
      <c r="AK162" s="121">
        <f t="shared" si="46"/>
        <v>3127.3793090741951</v>
      </c>
      <c r="AL162" s="121">
        <f t="shared" si="47"/>
        <v>2211.3911167888627</v>
      </c>
      <c r="AM162" s="125" cm="1">
        <f t="array" ref="AM162">_xlfn.IFS(AJ162="DELETE", "DELETE", AJ162=0, 0, AJ162&gt;0,LOG10(AJ162))</f>
        <v>3.6371857019862635</v>
      </c>
      <c r="AN162" s="126" cm="1">
        <f t="array" ref="AN162">_xlfn.IFS(AJ162="DELETE", "DELETE", AJ162=0, 0, AJ162&gt;0, AL162/AJ162/LN(10))</f>
        <v>0.22144412868821989</v>
      </c>
      <c r="AO162" s="155">
        <f>qPCR_Raw!AA162</f>
        <v>30.645502090454102</v>
      </c>
      <c r="AP162" s="156" cm="1">
        <f t="array" ref="AP162">_xlfn.IFS(AO162="Undetermined", 0, qPCR_Raw!AB162&lt;=6, 0, qPCR_Raw!AB162&gt;6, qPCR_Raw!AB162)</f>
        <v>0</v>
      </c>
      <c r="AQ162" s="157" t="str">
        <f>qPCR_Raw!AD162</f>
        <v>Undetermined</v>
      </c>
      <c r="AR162" s="156" cm="1">
        <f t="array" ref="AR162">_xlfn.IFS(AQ162="Undetermined", 0, qPCR_Raw!AE162&lt;=6, 0, qPCR_Raw!AE162&gt;6, qPCR_Raw!AE162)</f>
        <v>0</v>
      </c>
      <c r="AS162" s="158" t="str" cm="1">
        <f t="array" ref="AS162">_xlfn.IFS(AND(AO162="Undetermined", AQ162="Undetermined"), "Undetermined", AND(AP162=0, AR162=0), "Undetermined", AND(AP162=0, AR162&gt;0), "Ten-Fold", AND(AP162&gt;0, AR162=0), "Undiluted", AND(AO162&lt;&gt;"Undetermined", AQ162&lt;&gt;"Undetermined", AP162&gt;0, AR162&gt;0, AO162&lt;&gt;AQ162), 100*(-1+10^(-1/(AO162-AQ162))), AND(AO162&lt;&gt;"Undetermined", AQ162&lt;&gt;"Undetermined", AO162=AQ162&gt;0), -100)</f>
        <v>Undetermined</v>
      </c>
      <c r="AT162" s="159" cm="1">
        <f t="array" ref="AT162">_xlfn.IFS(AS162="Undetermined", 0, AS162="Undiluted", AP162*$G162/$F162*1000, AS162="Ten-Fold", AR162*$G162/$F162*1000*10, AS162&lt;0, AR162*$G162/$F162*1000*10, AS162&lt;120, AP162*$G162/$F162*1000, AS162&gt;120, AR162*$G162/$F162*1000*10)</f>
        <v>0</v>
      </c>
      <c r="AU162" s="156">
        <f t="shared" si="48"/>
        <v>0</v>
      </c>
      <c r="AV162" s="156">
        <f t="shared" si="49"/>
        <v>0</v>
      </c>
      <c r="AW162" s="156">
        <f t="shared" si="50"/>
        <v>0</v>
      </c>
      <c r="AX162" s="160" cm="1">
        <f t="array" ref="AX162">_xlfn.IFS(AU162="DELETE", "DELETE", AU162=0, 0, AU162&gt;0,LOG10(AU162))</f>
        <v>0</v>
      </c>
      <c r="AY162" s="161" cm="1">
        <f t="array" ref="AY162">_xlfn.IFS(AU162="DELETE", "DELETE", AU162=0, 0, AU162&gt;0, AW162/AU162/LN(10))</f>
        <v>0</v>
      </c>
      <c r="AZ162" s="120">
        <f>qPCR_Raw!AG162</f>
        <v>37.150825500488281</v>
      </c>
      <c r="BA162" s="121" cm="1">
        <f t="array" ref="BA162">_xlfn.IFS(AZ162="Undetermined", 0, qPCR_Raw!AH162&lt;=1, 0, qPCR_Raw!AH162&gt;1, qPCR_Raw!AH162)</f>
        <v>0</v>
      </c>
      <c r="BB162" s="122" t="str">
        <f>qPCR_Raw!AJ162</f>
        <v>Undetermined</v>
      </c>
      <c r="BC162" s="121" cm="1">
        <f t="array" ref="BC162">_xlfn.IFS(BB162="Undetermined", 0, qPCR_Raw!AK162&lt;=1, 0, qPCR_Raw!AK162&gt;1, qPCR_Raw!AK162)</f>
        <v>0</v>
      </c>
      <c r="BD162" s="123" t="str" cm="1">
        <f t="array" ref="BD162">_xlfn.IFS(AND(AZ162="Undetermined", BB162="Undetermined"), "Undetermined", AND(BA162=0, BC162=0), "Undetermined", AND(BA162=0, BC162&gt;0), "Ten-Fold", AND(BA162&gt;0, BC162=0), "Undiluted", AND(AZ162&lt;&gt;"Undetermined", BB162&lt;&gt;"Undetermined", BA162&gt;0, BC162&gt;0, AZ162&lt;&gt;BB162), 100*(-1+10^(-1/(AZ162-BB162))), AND(AZ162&lt;&gt;"Undetermined", BB162&lt;&gt;"Undetermined", AZ162=BB162&gt;0), -100)</f>
        <v>Undetermined</v>
      </c>
      <c r="BE162" s="124" cm="1">
        <f t="array" ref="BE162">_xlfn.IFS(BD162="Undetermined", 0, BD162="Undiluted", BA162*$G162/$F162*1000, BD162="Ten-Fold", BC162*$G162/$F162*1000*10, BD162&lt;0, BC162*$G162/$F162*1000*10, BD162&lt;120, BA162*$G162/$F162*1000, BD162&gt;120, BC162*$G162/$F162*1000*10)</f>
        <v>0</v>
      </c>
      <c r="BF162" s="121">
        <f t="shared" si="51"/>
        <v>1087.3621272057603</v>
      </c>
      <c r="BG162" s="121">
        <f t="shared" si="52"/>
        <v>1537.7622675052448</v>
      </c>
      <c r="BH162" s="121">
        <f t="shared" si="53"/>
        <v>1087.3621272057603</v>
      </c>
      <c r="BI162" s="125" cm="1">
        <f t="array" ref="BI162">_xlfn.IFS(BF162="DELETE", "DELETE", BF162=0, 0, BF162&gt;0,LOG10(BF162))</f>
        <v>3.0363742024637514</v>
      </c>
      <c r="BJ162" s="126" cm="1">
        <f t="array" ref="BJ162">_xlfn.IFS(BF162="DELETE", "DELETE", BF162=0, 0, BF162&gt;0, BH162/BF162/LN(10))</f>
        <v>0.43429448190325176</v>
      </c>
    </row>
    <row r="163" spans="1:62" s="114" customFormat="1" x14ac:dyDescent="0.3">
      <c r="A163" s="115" t="str">
        <f>UPPER(LEFT(SUBSTITUTE(SUBSTITUTE(qPCR_Raw!A163,"-","")," ",""),2))&amp;RIGHT(SUBSTITUTE(SUBSTITUTE(qPCR_Raw!A163,"-","")," ",""),LEN(SUBSTITUTE(SUBSTITUTE(qPCR_Raw!A163,"-","")," ",""))-2)</f>
        <v>RT7</v>
      </c>
      <c r="B163" s="116" t="str" cm="1">
        <f t="array" ref="B163">_xlfn.IFS(LEFT(A163, LEN(A163)-1)="EP", "EP", LEFT(A163, LEN(A163)-1)="STa", "SPI", LEFT(A163, LEN(A163)-1)="STb", "SPO", LEFT(A163, LEN(A163)-1)="MRT", "MRT", LEFT(A163, LEN(A163)-1)="RG", "RN", LEFT(A163, LEN(A163)-1)="RT", "RU", LEFT(A163, LEN(A163)-1)="RW", "RL", LEFT(A163, LEN(A163)-1)="RC", "RS")</f>
        <v>RU</v>
      </c>
      <c r="C163" s="117">
        <f>qPCR_Raw!B163</f>
        <v>44405</v>
      </c>
      <c r="D163" s="117" t="str">
        <f t="shared" si="37"/>
        <v>RU44405</v>
      </c>
      <c r="E163" s="117" t="str">
        <f t="shared" si="38"/>
        <v>RU444057</v>
      </c>
      <c r="F163" s="118">
        <f>qPCR_Raw!C163</f>
        <v>970</v>
      </c>
      <c r="G163" s="119">
        <f>qPCR_Raw!F163</f>
        <v>100</v>
      </c>
      <c r="H163" s="120">
        <f>qPCR_Raw!G163</f>
        <v>16.426897048950195</v>
      </c>
      <c r="I163" s="121" cm="1">
        <f t="array" ref="I163">_xlfn.IFS(H163="Undetermined", 0, qPCR_Raw!H163-qPCR_Raw!$H$242&lt;0, 0, qPCR_Raw!H163-qPCR_Raw!$H$242&gt;0, qPCR_Raw!H163-qPCR_Raw!$H$242)</f>
        <v>1137836.9864461264</v>
      </c>
      <c r="J163" s="122">
        <f>qPCR_Raw!K163</f>
        <v>19.022478103637695</v>
      </c>
      <c r="K163" s="121" cm="1">
        <f t="array" ref="K163">_xlfn.IFS(J163="Undetermined", 0, qPCR_Raw!L163-qPCR_Raw!$H$242&lt;0, 0, qPCR_Raw!L163-qPCR_Raw!$H$242&gt;0, qPCR_Raw!L163-qPCR_Raw!$H$242)</f>
        <v>189940.86144612631</v>
      </c>
      <c r="L163" s="123" cm="1">
        <f t="array" ref="L163">_xlfn.IFS(AND(H163="Undetermined", J163="Undetermined"), "Undetermined", AND(I163=0, K163=0), "Undetermined", AND(I163=0, K163&gt;0), "Ten-Fold", AND(I163&gt;0, K163=0), "Undiluted", AND(H163&lt;&gt;"Undetermined", J163&lt;&gt;"Undetermined", I163&gt;0, K163&gt;0), 100*(-1+10^(-1/(H163-J163))))</f>
        <v>142.81202318563379</v>
      </c>
      <c r="M163" s="124" cm="1">
        <f t="array" ref="M163">_xlfn.IFS(L163="Undetermined", 0, L163="Undiluted", I163*$G163/$F163*1000, L163="Ten-Fold", K163*$G163/$F163*1000*10, L163&lt;0, K163*$G163/$F163*1000*10, L163&lt;120, I163*$G163/$F163*1000, L163&gt;120, K163*$G163/$F163*1000*10)</f>
        <v>195815321.07848072</v>
      </c>
      <c r="N163" s="121" t="str">
        <f t="shared" si="39"/>
        <v>DELETE</v>
      </c>
      <c r="O163" s="121" t="str">
        <f t="shared" si="40"/>
        <v>DELETE</v>
      </c>
      <c r="P163" s="121" t="str">
        <f t="shared" si="41"/>
        <v>DELETE</v>
      </c>
      <c r="Q163" s="125" t="str" cm="1">
        <f t="array" ref="Q163">_xlfn.IFS(N163="DELETE", "DELETE", N163=0, 0, N163&gt;0,LOG10(N163))</f>
        <v>DELETE</v>
      </c>
      <c r="R163" s="126" t="str" cm="1">
        <f t="array" ref="R163">_xlfn.IFS(N163="DELETE", "DELETE", N163=0, 0, N163&gt;0, P163/N163/LN(10))</f>
        <v>DELETE</v>
      </c>
      <c r="S163" s="155">
        <f>qPCR_Raw!O163</f>
        <v>30.779417037963867</v>
      </c>
      <c r="T163" s="156" cm="1">
        <f t="array" ref="T163">_xlfn.IFS(S163="Undetermined", 0, qPCR_Raw!P163&lt;=1, 0, qPCR_Raw!P163&gt;1, qPCR_Raw!P163)</f>
        <v>133.4189453125</v>
      </c>
      <c r="U163" s="157">
        <f>qPCR_Raw!R163</f>
        <v>34.7354736328125</v>
      </c>
      <c r="V163" s="156" cm="1">
        <f t="array" ref="V163">_xlfn.IFS(U163="Undetermined", 0, qPCR_Raw!S163&lt;=1, 0, qPCR_Raw!S163&gt;1, qPCR_Raw!S163)</f>
        <v>12.368144035339355</v>
      </c>
      <c r="W163" s="158" cm="1">
        <f t="array" ref="W163">_xlfn.IFS(AND(S163="Undetermined", U163="Undetermined"), "Undetermined", AND(T163=0, V163=0), "Undetermined", AND(T163=0, V163&gt;0), "Ten-Fold", AND(T163&gt;0, V163=0), "Undiluted", AND(S163&lt;&gt;"Undetermined", U163&lt;&gt;"Undetermined", T163&gt;0, V163&gt;0, S163&lt;&gt;U163), 100*(-1+10^(-1/(S163-U163))), AND(S163&lt;&gt;"Undetermined", U163&lt;&gt;"Undetermined", S163=U163&gt;0), -100)</f>
        <v>78.968653327743837</v>
      </c>
      <c r="X163" s="159" cm="1">
        <f t="array" ref="X163">_xlfn.IFS(W163="Undetermined", 0, W163="Undiluted", T163*$G163/$F163*1000, W163="Ten-Fold", V163*$G163/$F163*1000*10, W163&lt;0, V163*$G163/$F163*1000*10, W163&lt;120, T163*$G163/$F163*1000, W163&gt;120, V163*$G163/$F163*1000*10)</f>
        <v>13754.53044458763</v>
      </c>
      <c r="Y163" s="156" t="str">
        <f t="shared" si="42"/>
        <v>DELETE</v>
      </c>
      <c r="Z163" s="156" t="str">
        <f t="shared" si="43"/>
        <v>DELETE</v>
      </c>
      <c r="AA163" s="156" t="str">
        <f t="shared" si="44"/>
        <v>DELETE</v>
      </c>
      <c r="AB163" s="160" t="str" cm="1">
        <f t="array" ref="AB163">_xlfn.IFS(Y163="DELETE", "DELETE", Y163=0, 0, Y163&gt;0,LOG10(Y163))</f>
        <v>DELETE</v>
      </c>
      <c r="AC163" s="161" t="str" cm="1">
        <f t="array" ref="AC163">_xlfn.IFS(Y163="DELETE", "DELETE", Y163=0, 0, Y163&gt;0, AA163/Y163/LN(10))</f>
        <v>DELETE</v>
      </c>
      <c r="AD163" s="120">
        <f>qPCR_Raw!U163</f>
        <v>30.886144638061523</v>
      </c>
      <c r="AE163" s="121" cm="1">
        <f t="array" ref="AE163">_xlfn.IFS(AD163="Undetermined", 0, qPCR_Raw!V163&lt;=1, 0, qPCR_Raw!V163&gt;1, qPCR_Raw!V163)</f>
        <v>20.618045806884766</v>
      </c>
      <c r="AF163" s="122">
        <f>qPCR_Raw!X163</f>
        <v>34.576854705810547</v>
      </c>
      <c r="AG163" s="121" cm="1">
        <f t="array" ref="AG163">_xlfn.IFS(AF163="Undetermined", 0, qPCR_Raw!Y163&lt;=1, 0, qPCR_Raw!Y163&gt;1, qPCR_Raw!Y163)</f>
        <v>1.9190773963928223</v>
      </c>
      <c r="AH163" s="123" cm="1">
        <f t="array" ref="AH163">_xlfn.IFS(AND(AD163="Undetermined", AF163="Undetermined"), "Undetermined", AND(AE163=0, AG163=0), "Undetermined", AND(AE163=0, AG163&gt;0), "Ten-Fold", AND(AE163&gt;0, AG163=0), "Undiluted", AND(AD163&lt;&gt;"Undetermined", AF163&lt;&gt;"Undetermined", AE163&gt;0, AG163&gt;0, AD163&lt;&gt;AF163), 100*(-1+10^(-1/(AD163-AF163))), AND(AD163&lt;&gt;"Undetermined", AF163&lt;&gt;"Undetermined", AD163=AF163&gt;0), -100)</f>
        <v>86.616728159774354</v>
      </c>
      <c r="AI163" s="124" cm="1">
        <f t="array" ref="AI163">_xlfn.IFS(AH163="Undetermined", 0, AH163="Undiluted", AE163*$G163/$F163*1000, AH163="Ten-Fold", AG163*$G163/$F163*1000*10, AH163&lt;0, AG163*$G163/$F163*1000*10, AH163&lt;120, AE163*$G163/$F163*1000, AH163&gt;120, AG163*$G163/$F163*1000*10)</f>
        <v>2125.5717326685326</v>
      </c>
      <c r="AJ163" s="121" t="str">
        <f t="shared" si="45"/>
        <v>DELETE</v>
      </c>
      <c r="AK163" s="121" t="str">
        <f t="shared" si="46"/>
        <v>DELETE</v>
      </c>
      <c r="AL163" s="121" t="str">
        <f t="shared" si="47"/>
        <v>DELETE</v>
      </c>
      <c r="AM163" s="125" t="str" cm="1">
        <f t="array" ref="AM163">_xlfn.IFS(AJ163="DELETE", "DELETE", AJ163=0, 0, AJ163&gt;0,LOG10(AJ163))</f>
        <v>DELETE</v>
      </c>
      <c r="AN163" s="126" t="str" cm="1">
        <f t="array" ref="AN163">_xlfn.IFS(AJ163="DELETE", "DELETE", AJ163=0, 0, AJ163&gt;0, AL163/AJ163/LN(10))</f>
        <v>DELETE</v>
      </c>
      <c r="AO163" s="155">
        <f>qPCR_Raw!AA163</f>
        <v>30.712400436401367</v>
      </c>
      <c r="AP163" s="156" cm="1">
        <f t="array" ref="AP163">_xlfn.IFS(AO163="Undetermined", 0, qPCR_Raw!AB163&lt;=6, 0, qPCR_Raw!AB163&gt;6, qPCR_Raw!AB163)</f>
        <v>0</v>
      </c>
      <c r="AQ163" s="157" t="str">
        <f>qPCR_Raw!AD163</f>
        <v>Undetermined</v>
      </c>
      <c r="AR163" s="156" cm="1">
        <f t="array" ref="AR163">_xlfn.IFS(AQ163="Undetermined", 0, qPCR_Raw!AE163&lt;=6, 0, qPCR_Raw!AE163&gt;6, qPCR_Raw!AE163)</f>
        <v>0</v>
      </c>
      <c r="AS163" s="158" t="str" cm="1">
        <f t="array" ref="AS163">_xlfn.IFS(AND(AO163="Undetermined", AQ163="Undetermined"), "Undetermined", AND(AP163=0, AR163=0), "Undetermined", AND(AP163=0, AR163&gt;0), "Ten-Fold", AND(AP163&gt;0, AR163=0), "Undiluted", AND(AO163&lt;&gt;"Undetermined", AQ163&lt;&gt;"Undetermined", AP163&gt;0, AR163&gt;0, AO163&lt;&gt;AQ163), 100*(-1+10^(-1/(AO163-AQ163))), AND(AO163&lt;&gt;"Undetermined", AQ163&lt;&gt;"Undetermined", AO163=AQ163&gt;0), -100)</f>
        <v>Undetermined</v>
      </c>
      <c r="AT163" s="159" cm="1">
        <f t="array" ref="AT163">_xlfn.IFS(AS163="Undetermined", 0, AS163="Undiluted", AP163*$G163/$F163*1000, AS163="Ten-Fold", AR163*$G163/$F163*1000*10, AS163&lt;0, AR163*$G163/$F163*1000*10, AS163&lt;120, AP163*$G163/$F163*1000, AS163&gt;120, AR163*$G163/$F163*1000*10)</f>
        <v>0</v>
      </c>
      <c r="AU163" s="156" t="str">
        <f t="shared" si="48"/>
        <v>DELETE</v>
      </c>
      <c r="AV163" s="156" t="str">
        <f t="shared" si="49"/>
        <v>DELETE</v>
      </c>
      <c r="AW163" s="156" t="str">
        <f t="shared" si="50"/>
        <v>DELETE</v>
      </c>
      <c r="AX163" s="160" t="str" cm="1">
        <f t="array" ref="AX163">_xlfn.IFS(AU163="DELETE", "DELETE", AU163=0, 0, AU163&gt;0,LOG10(AU163))</f>
        <v>DELETE</v>
      </c>
      <c r="AY163" s="161" t="str" cm="1">
        <f t="array" ref="AY163">_xlfn.IFS(AU163="DELETE", "DELETE", AU163=0, 0, AU163&gt;0, AW163/AU163/LN(10))</f>
        <v>DELETE</v>
      </c>
      <c r="AZ163" s="120">
        <f>qPCR_Raw!AG163</f>
        <v>34.651805877685547</v>
      </c>
      <c r="BA163" s="121" cm="1">
        <f t="array" ref="BA163">_xlfn.IFS(AZ163="Undetermined", 0, qPCR_Raw!AH163&lt;=1, 0, qPCR_Raw!AH163&gt;1, qPCR_Raw!AH163)</f>
        <v>3.3512930870056152</v>
      </c>
      <c r="BB163" s="122">
        <f>qPCR_Raw!AJ163</f>
        <v>35.383739471435547</v>
      </c>
      <c r="BC163" s="121" cm="1">
        <f t="array" ref="BC163">_xlfn.IFS(BB163="Undetermined", 0, qPCR_Raw!AK163&lt;=1, 0, qPCR_Raw!AK163&gt;1, qPCR_Raw!AK163)</f>
        <v>2.1094825267791748</v>
      </c>
      <c r="BD163" s="123" cm="1">
        <f t="array" ref="BD163">_xlfn.IFS(AND(AZ163="Undetermined", BB163="Undetermined"), "Undetermined", AND(BA163=0, BC163=0), "Undetermined", AND(BA163=0, BC163&gt;0), "Ten-Fold", AND(BA163&gt;0, BC163=0), "Undiluted", AND(AZ163&lt;&gt;"Undetermined", BB163&lt;&gt;"Undetermined", BA163&gt;0, BC163&gt;0, AZ163&lt;&gt;BB163), 100*(-1+10^(-1/(AZ163-BB163))), AND(AZ163&lt;&gt;"Undetermined", BB163&lt;&gt;"Undetermined", AZ163=BB163&gt;0), -100)</f>
        <v>2224.0430190617376</v>
      </c>
      <c r="BE163" s="124" cm="1">
        <f t="array" ref="BE163">_xlfn.IFS(BD163="Undetermined", 0, BD163="Undiluted", BA163*$G163/$F163*1000, BD163="Ten-Fold", BC163*$G163/$F163*1000*10, BD163&lt;0, BC163*$G163/$F163*1000*10, BD163&lt;120, BA163*$G163/$F163*1000, BD163&gt;120, BC163*$G163/$F163*1000*10)</f>
        <v>2174.7242544115206</v>
      </c>
      <c r="BF163" s="121" t="str">
        <f t="shared" si="51"/>
        <v>DELETE</v>
      </c>
      <c r="BG163" s="121" t="str">
        <f t="shared" si="52"/>
        <v>DELETE</v>
      </c>
      <c r="BH163" s="121" t="str">
        <f t="shared" si="53"/>
        <v>DELETE</v>
      </c>
      <c r="BI163" s="125" t="str" cm="1">
        <f t="array" ref="BI163">_xlfn.IFS(BF163="DELETE", "DELETE", BF163=0, 0, BF163&gt;0,LOG10(BF163))</f>
        <v>DELETE</v>
      </c>
      <c r="BJ163" s="126" t="str" cm="1">
        <f t="array" ref="BJ163">_xlfn.IFS(BF163="DELETE", "DELETE", BF163=0, 0, BF163&gt;0, BH163/BF163/LN(10))</f>
        <v>DELETE</v>
      </c>
    </row>
    <row r="164" spans="1:62" s="114" customFormat="1" x14ac:dyDescent="0.3">
      <c r="A164" s="115" t="str">
        <f>UPPER(LEFT(SUBSTITUTE(SUBSTITUTE(qPCR_Raw!A164,"-","")," ",""),2))&amp;RIGHT(SUBSTITUTE(SUBSTITUTE(qPCR_Raw!A164,"-","")," ",""),LEN(SUBSTITUTE(SUBSTITUTE(qPCR_Raw!A164,"-","")," ",""))-2)</f>
        <v>STb6</v>
      </c>
      <c r="B164" s="116" t="str" cm="1">
        <f t="array" ref="B164">_xlfn.IFS(LEFT(A164, LEN(A164)-1)="EP", "EP", LEFT(A164, LEN(A164)-1)="STa", "SPI", LEFT(A164, LEN(A164)-1)="STb", "SPO", LEFT(A164, LEN(A164)-1)="MRT", "MRT", LEFT(A164, LEN(A164)-1)="RG", "RN", LEFT(A164, LEN(A164)-1)="RT", "RU", LEFT(A164, LEN(A164)-1)="RW", "RL", LEFT(A164, LEN(A164)-1)="RC", "RS")</f>
        <v>SPO</v>
      </c>
      <c r="C164" s="117">
        <f>qPCR_Raw!B164</f>
        <v>44405</v>
      </c>
      <c r="D164" s="117" t="str">
        <f t="shared" si="37"/>
        <v>SPO44405</v>
      </c>
      <c r="E164" s="117" t="str">
        <f t="shared" si="38"/>
        <v>SPO444056</v>
      </c>
      <c r="F164" s="118">
        <f>qPCR_Raw!C164</f>
        <v>900</v>
      </c>
      <c r="G164" s="119">
        <f>qPCR_Raw!F164</f>
        <v>100</v>
      </c>
      <c r="H164" s="120" t="str">
        <f>qPCR_Raw!G164</f>
        <v>Undetermined</v>
      </c>
      <c r="I164" s="121" cm="1">
        <f t="array" ref="I164">_xlfn.IFS(H164="Undetermined", 0, qPCR_Raw!H164-qPCR_Raw!$H$242&lt;0, 0, qPCR_Raw!H164-qPCR_Raw!$H$242&gt;0, qPCR_Raw!H164-qPCR_Raw!$H$242)</f>
        <v>0</v>
      </c>
      <c r="J164" s="122" t="str">
        <f>qPCR_Raw!K164</f>
        <v>Undetermined</v>
      </c>
      <c r="K164" s="121" cm="1">
        <f t="array" ref="K164">_xlfn.IFS(J164="Undetermined", 0, qPCR_Raw!L164-qPCR_Raw!$H$242&lt;0, 0, qPCR_Raw!L164-qPCR_Raw!$H$242&gt;0, qPCR_Raw!L164-qPCR_Raw!$H$242)</f>
        <v>0</v>
      </c>
      <c r="L164" s="123" t="str" cm="1">
        <f t="array" ref="L164">_xlfn.IFS(AND(H164="Undetermined", J164="Undetermined"), "Undetermined", AND(I164=0, K164=0), "Undetermined", AND(I164=0, K164&gt;0), "Ten-Fold", AND(I164&gt;0, K164=0), "Undiluted", AND(H164&lt;&gt;"Undetermined", J164&lt;&gt;"Undetermined", I164&gt;0, K164&gt;0), 100*(-1+10^(-1/(H164-J164))))</f>
        <v>Undetermined</v>
      </c>
      <c r="M164" s="124" cm="1">
        <f t="array" ref="M164">_xlfn.IFS(L164="Undetermined", 0, L164="Undiluted", I164*$G164/$F164*1000, L164="Ten-Fold", K164*$G164/$F164*1000*10, L164&lt;0, K164*$G164/$F164*1000*10, L164&lt;120, I164*$G164/$F164*1000, L164&gt;120, K164*$G164/$F164*1000*10)</f>
        <v>0</v>
      </c>
      <c r="N164" s="121">
        <f t="shared" si="39"/>
        <v>4793686.0464590564</v>
      </c>
      <c r="O164" s="121">
        <f t="shared" si="40"/>
        <v>6779295.8206610605</v>
      </c>
      <c r="P164" s="121">
        <f t="shared" si="41"/>
        <v>4793686.0464590564</v>
      </c>
      <c r="Q164" s="125" cm="1">
        <f t="array" ref="Q164">_xlfn.IFS(N164="DELETE", "DELETE", N164=0, 0, N164&gt;0,LOG10(N164))</f>
        <v>6.6806695873206543</v>
      </c>
      <c r="R164" s="126" cm="1">
        <f t="array" ref="R164">_xlfn.IFS(N164="DELETE", "DELETE", N164=0, 0, N164&gt;0, P164/N164/LN(10))</f>
        <v>0.43429448190325176</v>
      </c>
      <c r="S164" s="155" t="str">
        <f>qPCR_Raw!O164</f>
        <v>Undetermined</v>
      </c>
      <c r="T164" s="156" cm="1">
        <f t="array" ref="T164">_xlfn.IFS(S164="Undetermined", 0, qPCR_Raw!P164&lt;=1, 0, qPCR_Raw!P164&gt;1, qPCR_Raw!P164)</f>
        <v>0</v>
      </c>
      <c r="U164" s="157" t="str">
        <f>qPCR_Raw!R164</f>
        <v>Undetermined</v>
      </c>
      <c r="V164" s="156" cm="1">
        <f t="array" ref="V164">_xlfn.IFS(U164="Undetermined", 0, qPCR_Raw!S164&lt;=1, 0, qPCR_Raw!S164&gt;1, qPCR_Raw!S164)</f>
        <v>0</v>
      </c>
      <c r="W164" s="158" t="str" cm="1">
        <f t="array" ref="W164">_xlfn.IFS(AND(S164="Undetermined", U164="Undetermined"), "Undetermined", AND(T164=0, V164=0), "Undetermined", AND(T164=0, V164&gt;0), "Ten-Fold", AND(T164&gt;0, V164=0), "Undiluted", AND(S164&lt;&gt;"Undetermined", U164&lt;&gt;"Undetermined", T164&gt;0, V164&gt;0, S164&lt;&gt;U164), 100*(-1+10^(-1/(S164-U164))), AND(S164&lt;&gt;"Undetermined", U164&lt;&gt;"Undetermined", S164=U164&gt;0), -100)</f>
        <v>Undetermined</v>
      </c>
      <c r="X164" s="159" cm="1">
        <f t="array" ref="X164">_xlfn.IFS(W164="Undetermined", 0, W164="Undiluted", T164*$G164/$F164*1000, W164="Ten-Fold", V164*$G164/$F164*1000*10, W164&lt;0, V164*$G164/$F164*1000*10, W164&lt;120, T164*$G164/$F164*1000, W164&gt;120, V164*$G164/$F164*1000*10)</f>
        <v>0</v>
      </c>
      <c r="Y164" s="156">
        <f t="shared" si="42"/>
        <v>8111.5696165296768</v>
      </c>
      <c r="Z164" s="156">
        <f t="shared" si="43"/>
        <v>11471.491763829794</v>
      </c>
      <c r="AA164" s="156">
        <f t="shared" si="44"/>
        <v>8111.5696165296758</v>
      </c>
      <c r="AB164" s="160" cm="1">
        <f t="array" ref="AB164">_xlfn.IFS(Y164="DELETE", "DELETE", Y164=0, 0, Y164&gt;0,LOG10(Y164))</f>
        <v>3.9091048998141136</v>
      </c>
      <c r="AC164" s="161" cm="1">
        <f t="array" ref="AC164">_xlfn.IFS(Y164="DELETE", "DELETE", Y164=0, 0, Y164&gt;0, AA164/Y164/LN(10))</f>
        <v>0.43429448190325176</v>
      </c>
      <c r="AD164" s="120">
        <f>qPCR_Raw!U164</f>
        <v>36.980148315429688</v>
      </c>
      <c r="AE164" s="121" cm="1">
        <f t="array" ref="AE164">_xlfn.IFS(AD164="Undetermined", 0, qPCR_Raw!V164&lt;=1, 0, qPCR_Raw!V164&gt;1, qPCR_Raw!V164)</f>
        <v>0</v>
      </c>
      <c r="AF164" s="122" t="str">
        <f>qPCR_Raw!X164</f>
        <v>Undetermined</v>
      </c>
      <c r="AG164" s="121" cm="1">
        <f t="array" ref="AG164">_xlfn.IFS(AF164="Undetermined", 0, qPCR_Raw!Y164&lt;=1, 0, qPCR_Raw!Y164&gt;1, qPCR_Raw!Y164)</f>
        <v>0</v>
      </c>
      <c r="AH164" s="123" t="str" cm="1">
        <f t="array" ref="AH164">_xlfn.IFS(AND(AD164="Undetermined", AF164="Undetermined"), "Undetermined", AND(AE164=0, AG164=0), "Undetermined", AND(AE164=0, AG164&gt;0), "Ten-Fold", AND(AE164&gt;0, AG164=0), "Undiluted", AND(AD164&lt;&gt;"Undetermined", AF164&lt;&gt;"Undetermined", AE164&gt;0, AG164&gt;0, AD164&lt;&gt;AF164), 100*(-1+10^(-1/(AD164-AF164))), AND(AD164&lt;&gt;"Undetermined", AF164&lt;&gt;"Undetermined", AD164=AF164&gt;0), -100)</f>
        <v>Undetermined</v>
      </c>
      <c r="AI164" s="124" cm="1">
        <f t="array" ref="AI164">_xlfn.IFS(AH164="Undetermined", 0, AH164="Undiluted", AE164*$G164/$F164*1000, AH164="Ten-Fold", AG164*$G164/$F164*1000*10, AH164&lt;0, AG164*$G164/$F164*1000*10, AH164&lt;120, AE164*$G164/$F164*1000, AH164&gt;120, AG164*$G164/$F164*1000*10)</f>
        <v>0</v>
      </c>
      <c r="AJ164" s="121">
        <f t="shared" si="45"/>
        <v>1903.4889009263782</v>
      </c>
      <c r="AK164" s="121">
        <f t="shared" si="46"/>
        <v>2691.9398195167405</v>
      </c>
      <c r="AL164" s="121">
        <f t="shared" si="47"/>
        <v>1903.4889009263779</v>
      </c>
      <c r="AM164" s="125" cm="1">
        <f t="array" ref="AM164">_xlfn.IFS(AJ164="DELETE", "DELETE", AJ164=0, 0, AJ164&gt;0,LOG10(AJ164))</f>
        <v>3.279550348825468</v>
      </c>
      <c r="AN164" s="126" cm="1">
        <f t="array" ref="AN164">_xlfn.IFS(AJ164="DELETE", "DELETE", AJ164=0, 0, AJ164&gt;0, AL164/AJ164/LN(10))</f>
        <v>0.43429448190325176</v>
      </c>
      <c r="AO164" s="155" t="str">
        <f>qPCR_Raw!AA164</f>
        <v>Undetermined</v>
      </c>
      <c r="AP164" s="156" cm="1">
        <f t="array" ref="AP164">_xlfn.IFS(AO164="Undetermined", 0, qPCR_Raw!AB164&lt;=6, 0, qPCR_Raw!AB164&gt;6, qPCR_Raw!AB164)</f>
        <v>0</v>
      </c>
      <c r="AQ164" s="157" t="str">
        <f>qPCR_Raw!AD164</f>
        <v>Undetermined</v>
      </c>
      <c r="AR164" s="156" cm="1">
        <f t="array" ref="AR164">_xlfn.IFS(AQ164="Undetermined", 0, qPCR_Raw!AE164&lt;=6, 0, qPCR_Raw!AE164&gt;6, qPCR_Raw!AE164)</f>
        <v>0</v>
      </c>
      <c r="AS164" s="158" t="str" cm="1">
        <f t="array" ref="AS164">_xlfn.IFS(AND(AO164="Undetermined", AQ164="Undetermined"), "Undetermined", AND(AP164=0, AR164=0), "Undetermined", AND(AP164=0, AR164&gt;0), "Ten-Fold", AND(AP164&gt;0, AR164=0), "Undiluted", AND(AO164&lt;&gt;"Undetermined", AQ164&lt;&gt;"Undetermined", AP164&gt;0, AR164&gt;0, AO164&lt;&gt;AQ164), 100*(-1+10^(-1/(AO164-AQ164))), AND(AO164&lt;&gt;"Undetermined", AQ164&lt;&gt;"Undetermined", AO164=AQ164&gt;0), -100)</f>
        <v>Undetermined</v>
      </c>
      <c r="AT164" s="159" cm="1">
        <f t="array" ref="AT164">_xlfn.IFS(AS164="Undetermined", 0, AS164="Undiluted", AP164*$G164/$F164*1000, AS164="Ten-Fold", AR164*$G164/$F164*1000*10, AS164&lt;0, AR164*$G164/$F164*1000*10, AS164&lt;120, AP164*$G164/$F164*1000, AS164&gt;120, AR164*$G164/$F164*1000*10)</f>
        <v>0</v>
      </c>
      <c r="AU164" s="156">
        <f t="shared" si="48"/>
        <v>0</v>
      </c>
      <c r="AV164" s="156">
        <f t="shared" si="49"/>
        <v>0</v>
      </c>
      <c r="AW164" s="156">
        <f t="shared" si="50"/>
        <v>0</v>
      </c>
      <c r="AX164" s="160" cm="1">
        <f t="array" ref="AX164">_xlfn.IFS(AU164="DELETE", "DELETE", AU164=0, 0, AU164&gt;0,LOG10(AU164))</f>
        <v>0</v>
      </c>
      <c r="AY164" s="161" cm="1">
        <f t="array" ref="AY164">_xlfn.IFS(AU164="DELETE", "DELETE", AU164=0, 0, AU164&gt;0, AW164/AU164/LN(10))</f>
        <v>0</v>
      </c>
      <c r="AZ164" s="120" t="str">
        <f>qPCR_Raw!AG164</f>
        <v>Undetermined</v>
      </c>
      <c r="BA164" s="121" cm="1">
        <f t="array" ref="BA164">_xlfn.IFS(AZ164="Undetermined", 0, qPCR_Raw!AH164&lt;=1, 0, qPCR_Raw!AH164&gt;1, qPCR_Raw!AH164)</f>
        <v>0</v>
      </c>
      <c r="BB164" s="122" t="str">
        <f>qPCR_Raw!AJ164</f>
        <v>Undetermined</v>
      </c>
      <c r="BC164" s="121" cm="1">
        <f t="array" ref="BC164">_xlfn.IFS(BB164="Undetermined", 0, qPCR_Raw!AK164&lt;=1, 0, qPCR_Raw!AK164&gt;1, qPCR_Raw!AK164)</f>
        <v>0</v>
      </c>
      <c r="BD164" s="123" t="str" cm="1">
        <f t="array" ref="BD164">_xlfn.IFS(AND(AZ164="Undetermined", BB164="Undetermined"), "Undetermined", AND(BA164=0, BC164=0), "Undetermined", AND(BA164=0, BC164&gt;0), "Ten-Fold", AND(BA164&gt;0, BC164=0), "Undiluted", AND(AZ164&lt;&gt;"Undetermined", BB164&lt;&gt;"Undetermined", BA164&gt;0, BC164&gt;0, AZ164&lt;&gt;BB164), 100*(-1+10^(-1/(AZ164-BB164))), AND(AZ164&lt;&gt;"Undetermined", BB164&lt;&gt;"Undetermined", AZ164=BB164&gt;0), -100)</f>
        <v>Undetermined</v>
      </c>
      <c r="BE164" s="124" cm="1">
        <f t="array" ref="BE164">_xlfn.IFS(BD164="Undetermined", 0, BD164="Undiluted", BA164*$G164/$F164*1000, BD164="Ten-Fold", BC164*$G164/$F164*1000*10, BD164&lt;0, BC164*$G164/$F164*1000*10, BD164&lt;120, BA164*$G164/$F164*1000, BD164&gt;120, BC164*$G164/$F164*1000*10)</f>
        <v>0</v>
      </c>
      <c r="BF164" s="121">
        <f t="shared" si="51"/>
        <v>0</v>
      </c>
      <c r="BG164" s="121">
        <f t="shared" si="52"/>
        <v>0</v>
      </c>
      <c r="BH164" s="121">
        <f t="shared" si="53"/>
        <v>0</v>
      </c>
      <c r="BI164" s="125" cm="1">
        <f t="array" ref="BI164">_xlfn.IFS(BF164="DELETE", "DELETE", BF164=0, 0, BF164&gt;0,LOG10(BF164))</f>
        <v>0</v>
      </c>
      <c r="BJ164" s="126" cm="1">
        <f t="array" ref="BJ164">_xlfn.IFS(BF164="DELETE", "DELETE", BF164=0, 0, BF164&gt;0, BH164/BF164/LN(10))</f>
        <v>0</v>
      </c>
    </row>
    <row r="165" spans="1:62" s="114" customFormat="1" x14ac:dyDescent="0.3">
      <c r="A165" s="115" t="str">
        <f>UPPER(LEFT(SUBSTITUTE(SUBSTITUTE(qPCR_Raw!A165,"-","")," ",""),2))&amp;RIGHT(SUBSTITUTE(SUBSTITUTE(qPCR_Raw!A165,"-","")," ",""),LEN(SUBSTITUTE(SUBSTITUTE(qPCR_Raw!A165,"-","")," ",""))-2)</f>
        <v>STb7</v>
      </c>
      <c r="B165" s="116" t="str" cm="1">
        <f t="array" ref="B165">_xlfn.IFS(LEFT(A165, LEN(A165)-1)="EP", "EP", LEFT(A165, LEN(A165)-1)="STa", "SPI", LEFT(A165, LEN(A165)-1)="STb", "SPO", LEFT(A165, LEN(A165)-1)="MRT", "MRT", LEFT(A165, LEN(A165)-1)="RG", "RN", LEFT(A165, LEN(A165)-1)="RT", "RU", LEFT(A165, LEN(A165)-1)="RW", "RL", LEFT(A165, LEN(A165)-1)="RC", "RS")</f>
        <v>SPO</v>
      </c>
      <c r="C165" s="117">
        <f>qPCR_Raw!B165</f>
        <v>44405</v>
      </c>
      <c r="D165" s="117" t="str">
        <f t="shared" si="37"/>
        <v>SPO44405</v>
      </c>
      <c r="E165" s="117" t="str">
        <f t="shared" si="38"/>
        <v>SPO444057</v>
      </c>
      <c r="F165" s="118">
        <f>qPCR_Raw!C165</f>
        <v>900</v>
      </c>
      <c r="G165" s="119">
        <f>qPCR_Raw!F165</f>
        <v>100</v>
      </c>
      <c r="H165" s="120">
        <f>qPCR_Raw!G165</f>
        <v>19.936922073364258</v>
      </c>
      <c r="I165" s="121" cm="1">
        <f t="array" ref="I165">_xlfn.IFS(H165="Undetermined", 0, qPCR_Raw!H165-qPCR_Raw!$H$242&lt;0, 0, qPCR_Raw!H165-qPCR_Raw!$H$242&gt;0, qPCR_Raw!H165-qPCR_Raw!$H$242)</f>
        <v>97122.259883626306</v>
      </c>
      <c r="J165" s="122">
        <f>qPCR_Raw!K165</f>
        <v>22.372194290161133</v>
      </c>
      <c r="K165" s="121" cm="1">
        <f t="array" ref="K165">_xlfn.IFS(J165="Undetermined", 0, qPCR_Raw!L165-qPCR_Raw!$H$242&lt;0, 0, qPCR_Raw!L165-qPCR_Raw!$H$242&gt;0, qPCR_Raw!L165-qPCR_Raw!$H$242)</f>
        <v>8628.6348836263023</v>
      </c>
      <c r="L165" s="123" cm="1">
        <f t="array" ref="L165">_xlfn.IFS(AND(H165="Undetermined", J165="Undetermined"), "Undetermined", AND(I165=0, K165=0), "Undetermined", AND(I165=0, K165&gt;0), "Ten-Fold", AND(I165&gt;0, K165=0), "Undiluted", AND(H165&lt;&gt;"Undetermined", J165&lt;&gt;"Undetermined", I165&gt;0, K165&gt;0), 100*(-1+10^(-1/(H165-J165))))</f>
        <v>157.41373265505106</v>
      </c>
      <c r="M165" s="124" cm="1">
        <f t="array" ref="M165">_xlfn.IFS(L165="Undetermined", 0, L165="Undiluted", I165*$G165/$F165*1000, L165="Ten-Fold", K165*$G165/$F165*1000*10, L165&lt;0, K165*$G165/$F165*1000*10, L165&lt;120, I165*$G165/$F165*1000, L165&gt;120, K165*$G165/$F165*1000*10)</f>
        <v>9587372.0929181129</v>
      </c>
      <c r="N165" s="121" t="str">
        <f t="shared" si="39"/>
        <v>DELETE</v>
      </c>
      <c r="O165" s="121" t="str">
        <f t="shared" si="40"/>
        <v>DELETE</v>
      </c>
      <c r="P165" s="121" t="str">
        <f t="shared" si="41"/>
        <v>DELETE</v>
      </c>
      <c r="Q165" s="125" t="str" cm="1">
        <f t="array" ref="Q165">_xlfn.IFS(N165="DELETE", "DELETE", N165=0, 0, N165&gt;0,LOG10(N165))</f>
        <v>DELETE</v>
      </c>
      <c r="R165" s="126" t="str" cm="1">
        <f t="array" ref="R165">_xlfn.IFS(N165="DELETE", "DELETE", N165=0, 0, N165&gt;0, P165/N165/LN(10))</f>
        <v>DELETE</v>
      </c>
      <c r="S165" s="155">
        <f>qPCR_Raw!O165</f>
        <v>31.612625122070313</v>
      </c>
      <c r="T165" s="156" cm="1">
        <f t="array" ref="T165">_xlfn.IFS(S165="Undetermined", 0, qPCR_Raw!P165&lt;=1, 0, qPCR_Raw!P165&gt;1, qPCR_Raw!P165)</f>
        <v>80.848075866699219</v>
      </c>
      <c r="U165" s="157">
        <f>qPCR_Raw!R165</f>
        <v>34.459434509277344</v>
      </c>
      <c r="V165" s="156" cm="1">
        <f t="array" ref="V165">_xlfn.IFS(U165="Undetermined", 0, qPCR_Raw!S165&lt;=1, 0, qPCR_Raw!S165&gt;1, qPCR_Raw!S165)</f>
        <v>14.600825309753418</v>
      </c>
      <c r="W165" s="158" cm="1">
        <f t="array" ref="W165">_xlfn.IFS(AND(S165="Undetermined", U165="Undetermined"), "Undetermined", AND(T165=0, V165=0), "Undetermined", AND(T165=0, V165&gt;0), "Ten-Fold", AND(T165&gt;0, V165=0), "Undiluted", AND(S165&lt;&gt;"Undetermined", U165&lt;&gt;"Undetermined", T165&gt;0, V165&gt;0, S165&lt;&gt;U165), 100*(-1+10^(-1/(S165-U165))), AND(S165&lt;&gt;"Undetermined", U165&lt;&gt;"Undetermined", S165=U165&gt;0), -100)</f>
        <v>124.52796744877728</v>
      </c>
      <c r="X165" s="159" cm="1">
        <f t="array" ref="X165">_xlfn.IFS(W165="Undetermined", 0, W165="Undiluted", T165*$G165/$F165*1000, W165="Ten-Fold", V165*$G165/$F165*1000*10, W165&lt;0, V165*$G165/$F165*1000*10, W165&lt;120, T165*$G165/$F165*1000, W165&gt;120, V165*$G165/$F165*1000*10)</f>
        <v>16223.139233059354</v>
      </c>
      <c r="Y165" s="156" t="str">
        <f t="shared" si="42"/>
        <v>DELETE</v>
      </c>
      <c r="Z165" s="156" t="str">
        <f t="shared" si="43"/>
        <v>DELETE</v>
      </c>
      <c r="AA165" s="156" t="str">
        <f t="shared" si="44"/>
        <v>DELETE</v>
      </c>
      <c r="AB165" s="160" t="str" cm="1">
        <f t="array" ref="AB165">_xlfn.IFS(Y165="DELETE", "DELETE", Y165=0, 0, Y165&gt;0,LOG10(Y165))</f>
        <v>DELETE</v>
      </c>
      <c r="AC165" s="161" t="str" cm="1">
        <f t="array" ref="AC165">_xlfn.IFS(Y165="DELETE", "DELETE", Y165=0, 0, Y165&gt;0, AA165/Y165/LN(10))</f>
        <v>DELETE</v>
      </c>
      <c r="AD165" s="120">
        <f>qPCR_Raw!U165</f>
        <v>31.113363265991211</v>
      </c>
      <c r="AE165" s="121" cm="1">
        <f t="array" ref="AE165">_xlfn.IFS(AD165="Undetermined", 0, qPCR_Raw!V165&lt;=1, 0, qPCR_Raw!V165&gt;1, qPCR_Raw!V165)</f>
        <v>17.814121246337891</v>
      </c>
      <c r="AF165" s="122">
        <f>qPCR_Raw!X165</f>
        <v>33.675861358642578</v>
      </c>
      <c r="AG165" s="121" cm="1">
        <f t="array" ref="AG165">_xlfn.IFS(AF165="Undetermined", 0, qPCR_Raw!Y165&lt;=1, 0, qPCR_Raw!Y165&gt;1, qPCR_Raw!Y165)</f>
        <v>3.4262800216674805</v>
      </c>
      <c r="AH165" s="123" cm="1">
        <f t="array" ref="AH165">_xlfn.IFS(AND(AD165="Undetermined", AF165="Undetermined"), "Undetermined", AND(AE165=0, AG165=0), "Undetermined", AND(AE165=0, AG165&gt;0), "Ten-Fold", AND(AE165&gt;0, AG165=0), "Undiluted", AND(AD165&lt;&gt;"Undetermined", AF165&lt;&gt;"Undetermined", AE165&gt;0, AG165&gt;0, AD165&lt;&gt;AF165), 100*(-1+10^(-1/(AD165-AF165))), AND(AD165&lt;&gt;"Undetermined", AF165&lt;&gt;"Undetermined", AD165=AF165&gt;0), -100)</f>
        <v>145.60895251329745</v>
      </c>
      <c r="AI165" s="124" cm="1">
        <f t="array" ref="AI165">_xlfn.IFS(AH165="Undetermined", 0, AH165="Undiluted", AE165*$G165/$F165*1000, AH165="Ten-Fold", AG165*$G165/$F165*1000*10, AH165&lt;0, AG165*$G165/$F165*1000*10, AH165&lt;120, AE165*$G165/$F165*1000, AH165&gt;120, AG165*$G165/$F165*1000*10)</f>
        <v>3806.9778018527563</v>
      </c>
      <c r="AJ165" s="121" t="str">
        <f t="shared" si="45"/>
        <v>DELETE</v>
      </c>
      <c r="AK165" s="121" t="str">
        <f t="shared" si="46"/>
        <v>DELETE</v>
      </c>
      <c r="AL165" s="121" t="str">
        <f t="shared" si="47"/>
        <v>DELETE</v>
      </c>
      <c r="AM165" s="125" t="str" cm="1">
        <f t="array" ref="AM165">_xlfn.IFS(AJ165="DELETE", "DELETE", AJ165=0, 0, AJ165&gt;0,LOG10(AJ165))</f>
        <v>DELETE</v>
      </c>
      <c r="AN165" s="126" t="str" cm="1">
        <f t="array" ref="AN165">_xlfn.IFS(AJ165="DELETE", "DELETE", AJ165=0, 0, AJ165&gt;0, AL165/AJ165/LN(10))</f>
        <v>DELETE</v>
      </c>
      <c r="AO165" s="155" t="str">
        <f>qPCR_Raw!AA165</f>
        <v>Undetermined</v>
      </c>
      <c r="AP165" s="156" cm="1">
        <f t="array" ref="AP165">_xlfn.IFS(AO165="Undetermined", 0, qPCR_Raw!AB165&lt;=6, 0, qPCR_Raw!AB165&gt;6, qPCR_Raw!AB165)</f>
        <v>0</v>
      </c>
      <c r="AQ165" s="157" t="str">
        <f>qPCR_Raw!AD165</f>
        <v>Undetermined</v>
      </c>
      <c r="AR165" s="156" cm="1">
        <f t="array" ref="AR165">_xlfn.IFS(AQ165="Undetermined", 0, qPCR_Raw!AE165&lt;=6, 0, qPCR_Raw!AE165&gt;6, qPCR_Raw!AE165)</f>
        <v>0</v>
      </c>
      <c r="AS165" s="158" t="str" cm="1">
        <f t="array" ref="AS165">_xlfn.IFS(AND(AO165="Undetermined", AQ165="Undetermined"), "Undetermined", AND(AP165=0, AR165=0), "Undetermined", AND(AP165=0, AR165&gt;0), "Ten-Fold", AND(AP165&gt;0, AR165=0), "Undiluted", AND(AO165&lt;&gt;"Undetermined", AQ165&lt;&gt;"Undetermined", AP165&gt;0, AR165&gt;0, AO165&lt;&gt;AQ165), 100*(-1+10^(-1/(AO165-AQ165))), AND(AO165&lt;&gt;"Undetermined", AQ165&lt;&gt;"Undetermined", AO165=AQ165&gt;0), -100)</f>
        <v>Undetermined</v>
      </c>
      <c r="AT165" s="159" cm="1">
        <f t="array" ref="AT165">_xlfn.IFS(AS165="Undetermined", 0, AS165="Undiluted", AP165*$G165/$F165*1000, AS165="Ten-Fold", AR165*$G165/$F165*1000*10, AS165&lt;0, AR165*$G165/$F165*1000*10, AS165&lt;120, AP165*$G165/$F165*1000, AS165&gt;120, AR165*$G165/$F165*1000*10)</f>
        <v>0</v>
      </c>
      <c r="AU165" s="156" t="str">
        <f t="shared" si="48"/>
        <v>DELETE</v>
      </c>
      <c r="AV165" s="156" t="str">
        <f t="shared" si="49"/>
        <v>DELETE</v>
      </c>
      <c r="AW165" s="156" t="str">
        <f t="shared" si="50"/>
        <v>DELETE</v>
      </c>
      <c r="AX165" s="160" t="str" cm="1">
        <f t="array" ref="AX165">_xlfn.IFS(AU165="DELETE", "DELETE", AU165=0, 0, AU165&gt;0,LOG10(AU165))</f>
        <v>DELETE</v>
      </c>
      <c r="AY165" s="161" t="str" cm="1">
        <f t="array" ref="AY165">_xlfn.IFS(AU165="DELETE", "DELETE", AU165=0, 0, AU165&gt;0, AW165/AU165/LN(10))</f>
        <v>DELETE</v>
      </c>
      <c r="AZ165" s="120" t="str">
        <f>qPCR_Raw!AG165</f>
        <v>Undetermined</v>
      </c>
      <c r="BA165" s="121" cm="1">
        <f t="array" ref="BA165">_xlfn.IFS(AZ165="Undetermined", 0, qPCR_Raw!AH165&lt;=1, 0, qPCR_Raw!AH165&gt;1, qPCR_Raw!AH165)</f>
        <v>0</v>
      </c>
      <c r="BB165" s="122" t="str">
        <f>qPCR_Raw!AJ165</f>
        <v>Undetermined</v>
      </c>
      <c r="BC165" s="121" cm="1">
        <f t="array" ref="BC165">_xlfn.IFS(BB165="Undetermined", 0, qPCR_Raw!AK165&lt;=1, 0, qPCR_Raw!AK165&gt;1, qPCR_Raw!AK165)</f>
        <v>0</v>
      </c>
      <c r="BD165" s="123" t="str" cm="1">
        <f t="array" ref="BD165">_xlfn.IFS(AND(AZ165="Undetermined", BB165="Undetermined"), "Undetermined", AND(BA165=0, BC165=0), "Undetermined", AND(BA165=0, BC165&gt;0), "Ten-Fold", AND(BA165&gt;0, BC165=0), "Undiluted", AND(AZ165&lt;&gt;"Undetermined", BB165&lt;&gt;"Undetermined", BA165&gt;0, BC165&gt;0, AZ165&lt;&gt;BB165), 100*(-1+10^(-1/(AZ165-BB165))), AND(AZ165&lt;&gt;"Undetermined", BB165&lt;&gt;"Undetermined", AZ165=BB165&gt;0), -100)</f>
        <v>Undetermined</v>
      </c>
      <c r="BE165" s="124" cm="1">
        <f t="array" ref="BE165">_xlfn.IFS(BD165="Undetermined", 0, BD165="Undiluted", BA165*$G165/$F165*1000, BD165="Ten-Fold", BC165*$G165/$F165*1000*10, BD165&lt;0, BC165*$G165/$F165*1000*10, BD165&lt;120, BA165*$G165/$F165*1000, BD165&gt;120, BC165*$G165/$F165*1000*10)</f>
        <v>0</v>
      </c>
      <c r="BF165" s="121" t="str">
        <f t="shared" si="51"/>
        <v>DELETE</v>
      </c>
      <c r="BG165" s="121" t="str">
        <f t="shared" si="52"/>
        <v>DELETE</v>
      </c>
      <c r="BH165" s="121" t="str">
        <f t="shared" si="53"/>
        <v>DELETE</v>
      </c>
      <c r="BI165" s="125" t="str" cm="1">
        <f t="array" ref="BI165">_xlfn.IFS(BF165="DELETE", "DELETE", BF165=0, 0, BF165&gt;0,LOG10(BF165))</f>
        <v>DELETE</v>
      </c>
      <c r="BJ165" s="126" t="str" cm="1">
        <f t="array" ref="BJ165">_xlfn.IFS(BF165="DELETE", "DELETE", BF165=0, 0, BF165&gt;0, BH165/BF165/LN(10))</f>
        <v>DELETE</v>
      </c>
    </row>
    <row r="166" spans="1:62" s="114" customFormat="1" x14ac:dyDescent="0.3">
      <c r="A166" s="115" t="str">
        <f>UPPER(LEFT(SUBSTITUTE(SUBSTITUTE(qPCR_Raw!A166,"-","")," ",""),2))&amp;RIGHT(SUBSTITUTE(SUBSTITUTE(qPCR_Raw!A166,"-","")," ",""),LEN(SUBSTITUTE(SUBSTITUTE(qPCR_Raw!A166,"-","")," ",""))-2)</f>
        <v>RC6</v>
      </c>
      <c r="B166" s="116" t="str" cm="1">
        <f t="array" ref="B166">_xlfn.IFS(LEFT(A166, LEN(A166)-1)="EP", "EP", LEFT(A166, LEN(A166)-1)="STa", "SPI", LEFT(A166, LEN(A166)-1)="STb", "SPO", LEFT(A166, LEN(A166)-1)="MRT", "MRT", LEFT(A166, LEN(A166)-1)="RG", "RN", LEFT(A166, LEN(A166)-1)="RT", "RU", LEFT(A166, LEN(A166)-1)="RW", "RL", LEFT(A166, LEN(A166)-1)="RC", "RS")</f>
        <v>RS</v>
      </c>
      <c r="C166" s="117">
        <f>qPCR_Raw!B166</f>
        <v>44405</v>
      </c>
      <c r="D166" s="117" t="str">
        <f t="shared" si="37"/>
        <v>RS44405</v>
      </c>
      <c r="E166" s="117" t="str">
        <f t="shared" si="38"/>
        <v>RS444056</v>
      </c>
      <c r="F166" s="118">
        <f>qPCR_Raw!C166</f>
        <v>950</v>
      </c>
      <c r="G166" s="119">
        <f>qPCR_Raw!F166</f>
        <v>100</v>
      </c>
      <c r="H166" s="120">
        <f>qPCR_Raw!G166</f>
        <v>11.591992378234863</v>
      </c>
      <c r="I166" s="121" cm="1">
        <f t="array" ref="I166">_xlfn.IFS(H166="Undetermined", 0, qPCR_Raw!H166-qPCR_Raw!$H$242&lt;0, 0, qPCR_Raw!H166-qPCR_Raw!$H$242&gt;0, qPCR_Raw!H166-qPCR_Raw!$H$242)</f>
        <v>29155321.361446127</v>
      </c>
      <c r="J166" s="122">
        <f>qPCR_Raw!K166</f>
        <v>13.812515258789063</v>
      </c>
      <c r="K166" s="121" cm="1">
        <f t="array" ref="K166">_xlfn.IFS(J166="Undetermined", 0, qPCR_Raw!L166-qPCR_Raw!$H$242&lt;0, 0, qPCR_Raw!L166-qPCR_Raw!$H$242&gt;0, qPCR_Raw!L166-qPCR_Raw!$H$242)</f>
        <v>6596102.3614461264</v>
      </c>
      <c r="L166" s="123" cm="1">
        <f t="array" ref="L166">_xlfn.IFS(AND(H166="Undetermined", J166="Undetermined"), "Undetermined", AND(I166=0, K166=0), "Undetermined", AND(I166=0, K166&gt;0), "Ten-Fold", AND(I166&gt;0, K166=0), "Undiluted", AND(H166&lt;&gt;"Undetermined", J166&lt;&gt;"Undetermined", I166&gt;0, K166&gt;0), 100*(-1+10^(-1/(H166-J166))))</f>
        <v>182.06186947438897</v>
      </c>
      <c r="M166" s="124" cm="1">
        <f t="array" ref="M166">_xlfn.IFS(L166="Undetermined", 0, L166="Undiluted", I166*$G166/$F166*1000, L166="Ten-Fold", K166*$G166/$F166*1000*10, L166&lt;0, K166*$G166/$F166*1000*10, L166&lt;120, I166*$G166/$F166*1000, L166&gt;120, K166*$G166/$F166*1000*10)</f>
        <v>6943265643.6275015</v>
      </c>
      <c r="N166" s="121">
        <f t="shared" si="39"/>
        <v>6587094752.5368137</v>
      </c>
      <c r="O166" s="121">
        <f t="shared" si="40"/>
        <v>503701704.70296049</v>
      </c>
      <c r="P166" s="121">
        <f t="shared" si="41"/>
        <v>356170891.09068722</v>
      </c>
      <c r="Q166" s="125" cm="1">
        <f t="array" ref="Q166">_xlfn.IFS(N166="DELETE", "DELETE", N166=0, 0, N166&gt;0,LOG10(N166))</f>
        <v>9.8186939106265623</v>
      </c>
      <c r="R166" s="126" cm="1">
        <f t="array" ref="R166">_xlfn.IFS(N166="DELETE", "DELETE", N166=0, 0, N166&gt;0, P166/N166/LN(10))</f>
        <v>2.3482742912674541E-2</v>
      </c>
      <c r="S166" s="155">
        <f>qPCR_Raw!O166</f>
        <v>31.659402847290039</v>
      </c>
      <c r="T166" s="156" cm="1">
        <f t="array" ref="T166">_xlfn.IFS(S166="Undetermined", 0, qPCR_Raw!P166&lt;=1, 0, qPCR_Raw!P166&gt;1, qPCR_Raw!P166)</f>
        <v>78.606086730957031</v>
      </c>
      <c r="U166" s="157">
        <f>qPCR_Raw!R166</f>
        <v>31.659402847290039</v>
      </c>
      <c r="V166" s="156" cm="1">
        <f t="array" ref="V166">_xlfn.IFS(U166="Undetermined", 0, qPCR_Raw!S166&lt;=1, 0, qPCR_Raw!S166&gt;1, qPCR_Raw!S166)</f>
        <v>78.606086730957031</v>
      </c>
      <c r="W166" s="158" cm="1">
        <f t="array" ref="W166">_xlfn.IFS(AND(S166="Undetermined", U166="Undetermined"), "Undetermined", AND(T166=0, V166=0), "Undetermined", AND(T166=0, V166&gt;0), "Ten-Fold", AND(T166&gt;0, V166=0), "Undiluted", AND(S166&lt;&gt;"Undetermined", U166&lt;&gt;"Undetermined", T166&gt;0, V166&gt;0, S166&lt;&gt;U166), 100*(-1+10^(-1/(S166-U166))), AND(S166&lt;&gt;"Undetermined", U166&lt;&gt;"Undetermined", S166=U166&gt;0), -100)</f>
        <v>-100</v>
      </c>
      <c r="X166" s="159" cm="1">
        <f t="array" ref="X166">_xlfn.IFS(W166="Undetermined", 0, W166="Undiluted", T166*$G166/$F166*1000, W166="Ten-Fold", V166*$G166/$F166*1000*10, W166&lt;0, V166*$G166/$F166*1000*10, W166&lt;120, T166*$G166/$F166*1000, W166&gt;120, V166*$G166/$F166*1000*10)</f>
        <v>82743.249190481089</v>
      </c>
      <c r="Y166" s="156">
        <f t="shared" si="42"/>
        <v>70088.184959010076</v>
      </c>
      <c r="Z166" s="156">
        <f t="shared" si="43"/>
        <v>17896.963468848993</v>
      </c>
      <c r="AA166" s="156">
        <f t="shared" si="44"/>
        <v>12655.064231471039</v>
      </c>
      <c r="AB166" s="160" cm="1">
        <f t="array" ref="AB166">_xlfn.IFS(Y166="DELETE", "DELETE", Y166=0, 0, Y166&gt;0,LOG10(Y166))</f>
        <v>4.8456448134078149</v>
      </c>
      <c r="AC166" s="161" cm="1">
        <f t="array" ref="AC166">_xlfn.IFS(Y166="DELETE", "DELETE", Y166=0, 0, Y166&gt;0, AA166/Y166/LN(10))</f>
        <v>7.8415849505495794E-2</v>
      </c>
      <c r="AD166" s="120">
        <f>qPCR_Raw!U166</f>
        <v>24.715827941894531</v>
      </c>
      <c r="AE166" s="121" cm="1">
        <f t="array" ref="AE166">_xlfn.IFS(AD166="Undetermined", 0, qPCR_Raw!V166&lt;=1, 0, qPCR_Raw!V166&gt;1, qPCR_Raw!V166)</f>
        <v>1091.905029296875</v>
      </c>
      <c r="AF166" s="122">
        <f>qPCR_Raw!X166</f>
        <v>27.596872329711914</v>
      </c>
      <c r="AG166" s="121" cm="1">
        <f t="array" ref="AG166">_xlfn.IFS(AF166="Undetermined", 0, qPCR_Raw!Y166&lt;=1, 0, qPCR_Raw!Y166&gt;1, qPCR_Raw!Y166)</f>
        <v>171.09764099121094</v>
      </c>
      <c r="AH166" s="123" cm="1">
        <f t="array" ref="AH166">_xlfn.IFS(AND(AD166="Undetermined", AF166="Undetermined"), "Undetermined", AND(AE166=0, AG166=0), "Undetermined", AND(AE166=0, AG166&gt;0), "Ten-Fold", AND(AE166&gt;0, AG166=0), "Undiluted", AND(AD166&lt;&gt;"Undetermined", AF166&lt;&gt;"Undetermined", AE166&gt;0, AG166&gt;0, AD166&lt;&gt;AF166), 100*(-1+10^(-1/(AD166-AF166))), AND(AD166&lt;&gt;"Undetermined", AF166&lt;&gt;"Undetermined", AD166=AF166&gt;0), -100)</f>
        <v>122.38032113679695</v>
      </c>
      <c r="AI166" s="124" cm="1">
        <f t="array" ref="AI166">_xlfn.IFS(AH166="Undetermined", 0, AH166="Undiluted", AE166*$G166/$F166*1000, AH166="Ten-Fold", AG166*$G166/$F166*1000*10, AH166&lt;0, AG166*$G166/$F166*1000*10, AH166&lt;120, AE166*$G166/$F166*1000, AH166&gt;120, AG166*$G166/$F166*1000*10)</f>
        <v>180102.77999074836</v>
      </c>
      <c r="AJ166" s="121">
        <f t="shared" si="45"/>
        <v>107617.26218775699</v>
      </c>
      <c r="AK166" s="121">
        <f t="shared" si="46"/>
        <v>102510.00235262682</v>
      </c>
      <c r="AL166" s="121">
        <f t="shared" si="47"/>
        <v>72485.517802991366</v>
      </c>
      <c r="AM166" s="125" cm="1">
        <f t="array" ref="AM166">_xlfn.IFS(AJ166="DELETE", "DELETE", AJ166=0, 0, AJ166&gt;0,LOG10(AJ166))</f>
        <v>5.0318819392819867</v>
      </c>
      <c r="AN166" s="126" cm="1">
        <f t="array" ref="AN166">_xlfn.IFS(AJ166="DELETE", "DELETE", AJ166=0, 0, AJ166&gt;0, AL166/AJ166/LN(10))</f>
        <v>0.29251868854289048</v>
      </c>
      <c r="AO166" s="155">
        <f>qPCR_Raw!AA166</f>
        <v>29.731021881103516</v>
      </c>
      <c r="AP166" s="156" cm="1">
        <f t="array" ref="AP166">_xlfn.IFS(AO166="Undetermined", 0, qPCR_Raw!AB166&lt;=6, 0, qPCR_Raw!AB166&gt;6, qPCR_Raw!AB166)</f>
        <v>7.3747811317443848</v>
      </c>
      <c r="AQ166" s="157" t="str">
        <f>qPCR_Raw!AD166</f>
        <v>Undetermined</v>
      </c>
      <c r="AR166" s="156" cm="1">
        <f t="array" ref="AR166">_xlfn.IFS(AQ166="Undetermined", 0, qPCR_Raw!AE166&lt;=6, 0, qPCR_Raw!AE166&gt;6, qPCR_Raw!AE166)</f>
        <v>0</v>
      </c>
      <c r="AS166" s="158" t="str" cm="1">
        <f t="array" ref="AS166">_xlfn.IFS(AND(AO166="Undetermined", AQ166="Undetermined"), "Undetermined", AND(AP166=0, AR166=0), "Undetermined", AND(AP166=0, AR166&gt;0), "Ten-Fold", AND(AP166&gt;0, AR166=0), "Undiluted", AND(AO166&lt;&gt;"Undetermined", AQ166&lt;&gt;"Undetermined", AP166&gt;0, AR166&gt;0, AO166&lt;&gt;AQ166), 100*(-1+10^(-1/(AO166-AQ166))), AND(AO166&lt;&gt;"Undetermined", AQ166&lt;&gt;"Undetermined", AO166=AQ166&gt;0), -100)</f>
        <v>Undiluted</v>
      </c>
      <c r="AT166" s="159" cm="1">
        <f t="array" ref="AT166">_xlfn.IFS(AS166="Undetermined", 0, AS166="Undiluted", AP166*$G166/$F166*1000, AS166="Ten-Fold", AR166*$G166/$F166*1000*10, AS166&lt;0, AR166*$G166/$F166*1000*10, AS166&lt;120, AP166*$G166/$F166*1000, AS166&gt;120, AR166*$G166/$F166*1000*10)</f>
        <v>776.29275070993515</v>
      </c>
      <c r="AU166" s="156">
        <f t="shared" si="48"/>
        <v>388.14637535496757</v>
      </c>
      <c r="AV166" s="156">
        <f t="shared" si="49"/>
        <v>548.9218682129532</v>
      </c>
      <c r="AW166" s="156">
        <f t="shared" si="50"/>
        <v>388.14637535496757</v>
      </c>
      <c r="AX166" s="160" cm="1">
        <f t="array" ref="AX166">_xlfn.IFS(AU166="DELETE", "DELETE", AU166=0, 0, AU166&gt;0,LOG10(AU166))</f>
        <v>2.5889955349263674</v>
      </c>
      <c r="AY166" s="161" cm="1">
        <f t="array" ref="AY166">_xlfn.IFS(AU166="DELETE", "DELETE", AU166=0, 0, AU166&gt;0, AW166/AU166/LN(10))</f>
        <v>0.43429448190325176</v>
      </c>
      <c r="AZ166" s="120">
        <f>qPCR_Raw!AG166</f>
        <v>22.272575378417969</v>
      </c>
      <c r="BA166" s="121" cm="1">
        <f t="array" ref="BA166">_xlfn.IFS(AZ166="Undetermined", 0, qPCR_Raw!AH166&lt;=1, 0, qPCR_Raw!AH166&gt;1, qPCR_Raw!AH166)</f>
        <v>8420.7861328125</v>
      </c>
      <c r="BB166" s="122">
        <f>qPCR_Raw!AJ166</f>
        <v>25.945003509521484</v>
      </c>
      <c r="BC166" s="121" cm="1">
        <f t="array" ref="BC166">_xlfn.IFS(BB166="Undetermined", 0, qPCR_Raw!AK166&lt;=1, 0, qPCR_Raw!AK166&gt;1, qPCR_Raw!AK166)</f>
        <v>825.40191650390625</v>
      </c>
      <c r="BD166" s="123" cm="1">
        <f t="array" ref="BD166">_xlfn.IFS(AND(AZ166="Undetermined", BB166="Undetermined"), "Undetermined", AND(BA166=0, BC166=0), "Undetermined", AND(BA166=0, BC166&gt;0), "Ten-Fold", AND(BA166&gt;0, BC166=0), "Undiluted", AND(AZ166&lt;&gt;"Undetermined", BB166&lt;&gt;"Undetermined", BA166&gt;0, BC166&gt;0, AZ166&lt;&gt;BB166), 100*(-1+10^(-1/(AZ166-BB166))), AND(AZ166&lt;&gt;"Undetermined", BB166&lt;&gt;"Undetermined", AZ166=BB166&gt;0), -100)</f>
        <v>87.197224941698195</v>
      </c>
      <c r="BE166" s="124" cm="1">
        <f t="array" ref="BE166">_xlfn.IFS(BD166="Undetermined", 0, BD166="Undiluted", BA166*$G166/$F166*1000, BD166="Ten-Fold", BC166*$G166/$F166*1000*10, BD166&lt;0, BC166*$G166/$F166*1000*10, BD166&lt;120, BA166*$G166/$F166*1000, BD166&gt;120, BC166*$G166/$F166*1000*10)</f>
        <v>886398.54029605258</v>
      </c>
      <c r="BF166" s="121">
        <f t="shared" si="51"/>
        <v>474137.22028230364</v>
      </c>
      <c r="BG166" s="121">
        <f t="shared" si="52"/>
        <v>583025.55000527843</v>
      </c>
      <c r="BH166" s="121">
        <f t="shared" si="53"/>
        <v>412261.32001374889</v>
      </c>
      <c r="BI166" s="125" cm="1">
        <f t="array" ref="BI166">_xlfn.IFS(BF166="DELETE", "DELETE", BF166=0, 0, BF166&gt;0,LOG10(BF166))</f>
        <v>5.6759040492416206</v>
      </c>
      <c r="BJ166" s="126" cm="1">
        <f t="array" ref="BJ166">_xlfn.IFS(BF166="DELETE", "DELETE", BF166=0, 0, BF166&gt;0, BH166/BF166/LN(10))</f>
        <v>0.37761814243884673</v>
      </c>
    </row>
    <row r="167" spans="1:62" s="114" customFormat="1" x14ac:dyDescent="0.3">
      <c r="A167" s="115" t="str">
        <f>UPPER(LEFT(SUBSTITUTE(SUBSTITUTE(qPCR_Raw!A167,"-","")," ",""),2))&amp;RIGHT(SUBSTITUTE(SUBSTITUTE(qPCR_Raw!A167,"-","")," ",""),LEN(SUBSTITUTE(SUBSTITUTE(qPCR_Raw!A167,"-","")," ",""))-2)</f>
        <v>RC7</v>
      </c>
      <c r="B167" s="116" t="str" cm="1">
        <f t="array" ref="B167">_xlfn.IFS(LEFT(A167, LEN(A167)-1)="EP", "EP", LEFT(A167, LEN(A167)-1)="STa", "SPI", LEFT(A167, LEN(A167)-1)="STb", "SPO", LEFT(A167, LEN(A167)-1)="MRT", "MRT", LEFT(A167, LEN(A167)-1)="RG", "RN", LEFT(A167, LEN(A167)-1)="RT", "RU", LEFT(A167, LEN(A167)-1)="RW", "RL", LEFT(A167, LEN(A167)-1)="RC", "RS")</f>
        <v>RS</v>
      </c>
      <c r="C167" s="117">
        <f>qPCR_Raw!B167</f>
        <v>44405</v>
      </c>
      <c r="D167" s="117" t="str">
        <f t="shared" si="37"/>
        <v>RS44405</v>
      </c>
      <c r="E167" s="117" t="str">
        <f t="shared" si="38"/>
        <v>RS444057</v>
      </c>
      <c r="F167" s="118">
        <f>qPCR_Raw!C167</f>
        <v>1000</v>
      </c>
      <c r="G167" s="119">
        <f>qPCR_Raw!F167</f>
        <v>100</v>
      </c>
      <c r="H167" s="120">
        <f>qPCR_Raw!G167</f>
        <v>11.315443992614746</v>
      </c>
      <c r="I167" s="121" cm="1">
        <f t="array" ref="I167">_xlfn.IFS(H167="Undetermined", 0, qPCR_Raw!H167-qPCR_Raw!$H$242&lt;0, 0, qPCR_Raw!H167-qPCR_Raw!$H$242&gt;0, qPCR_Raw!H167-qPCR_Raw!$H$242)</f>
        <v>35079341.361446127</v>
      </c>
      <c r="J167" s="122">
        <f>qPCR_Raw!K167</f>
        <v>13.897527694702148</v>
      </c>
      <c r="K167" s="121" cm="1">
        <f t="array" ref="K167">_xlfn.IFS(J167="Undetermined", 0, qPCR_Raw!L167-qPCR_Raw!$H$242&lt;0, 0, qPCR_Raw!L167-qPCR_Raw!$H$242&gt;0, qPCR_Raw!L167-qPCR_Raw!$H$242)</f>
        <v>6230923.8614461264</v>
      </c>
      <c r="L167" s="123" cm="1">
        <f t="array" ref="L167">_xlfn.IFS(AND(H167="Undetermined", J167="Undetermined"), "Undetermined", AND(I167=0, K167=0), "Undetermined", AND(I167=0, K167&gt;0), "Ten-Fold", AND(I167&gt;0, K167=0), "Undiluted", AND(H167&lt;&gt;"Undetermined", J167&lt;&gt;"Undetermined", I167&gt;0, K167&gt;0), 100*(-1+10^(-1/(H167-J167))))</f>
        <v>143.94061503697168</v>
      </c>
      <c r="M167" s="124" cm="1">
        <f t="array" ref="M167">_xlfn.IFS(L167="Undetermined", 0, L167="Undiluted", I167*$G167/$F167*1000, L167="Ten-Fold", K167*$G167/$F167*1000*10, L167&lt;0, K167*$G167/$F167*1000*10, L167&lt;120, I167*$G167/$F167*1000, L167&gt;120, K167*$G167/$F167*1000*10)</f>
        <v>6230923861.4461269</v>
      </c>
      <c r="N167" s="121" t="str">
        <f t="shared" si="39"/>
        <v>DELETE</v>
      </c>
      <c r="O167" s="121" t="str">
        <f t="shared" si="40"/>
        <v>DELETE</v>
      </c>
      <c r="P167" s="121" t="str">
        <f t="shared" si="41"/>
        <v>DELETE</v>
      </c>
      <c r="Q167" s="125" t="str" cm="1">
        <f t="array" ref="Q167">_xlfn.IFS(N167="DELETE", "DELETE", N167=0, 0, N167&gt;0,LOG10(N167))</f>
        <v>DELETE</v>
      </c>
      <c r="R167" s="126" t="str" cm="1">
        <f t="array" ref="R167">_xlfn.IFS(N167="DELETE", "DELETE", N167=0, 0, N167&gt;0, P167/N167/LN(10))</f>
        <v>DELETE</v>
      </c>
      <c r="S167" s="155">
        <f>qPCR_Raw!O167</f>
        <v>29.643230438232422</v>
      </c>
      <c r="T167" s="156" cm="1">
        <f t="array" ref="T167">_xlfn.IFS(S167="Undetermined", 0, qPCR_Raw!P167&lt;=1, 0, qPCR_Raw!P167&gt;1, qPCR_Raw!P167)</f>
        <v>264.1629638671875</v>
      </c>
      <c r="U167" s="157">
        <f>qPCR_Raw!R167</f>
        <v>32.181407928466797</v>
      </c>
      <c r="V167" s="156" cm="1">
        <f t="array" ref="V167">_xlfn.IFS(U167="Undetermined", 0, qPCR_Raw!S167&lt;=1, 0, qPCR_Raw!S167&gt;1, qPCR_Raw!S167)</f>
        <v>57.433120727539063</v>
      </c>
      <c r="W167" s="158" cm="1">
        <f t="array" ref="W167">_xlfn.IFS(AND(S167="Undetermined", U167="Undetermined"), "Undetermined", AND(T167=0, V167=0), "Undetermined", AND(T167=0, V167&gt;0), "Ten-Fold", AND(T167&gt;0, V167=0), "Undiluted", AND(S167&lt;&gt;"Undetermined", U167&lt;&gt;"Undetermined", T167&gt;0, V167&gt;0, S167&lt;&gt;U167), 100*(-1+10^(-1/(S167-U167))), AND(S167&lt;&gt;"Undetermined", U167&lt;&gt;"Undetermined", S167=U167&gt;0), -100)</f>
        <v>147.73278204627155</v>
      </c>
      <c r="X167" s="159" cm="1">
        <f t="array" ref="X167">_xlfn.IFS(W167="Undetermined", 0, W167="Undiluted", T167*$G167/$F167*1000, W167="Ten-Fold", V167*$G167/$F167*1000*10, W167&lt;0, V167*$G167/$F167*1000*10, W167&lt;120, T167*$G167/$F167*1000, W167&gt;120, V167*$G167/$F167*1000*10)</f>
        <v>57433.120727539063</v>
      </c>
      <c r="Y167" s="156" t="str">
        <f t="shared" si="42"/>
        <v>DELETE</v>
      </c>
      <c r="Z167" s="156" t="str">
        <f t="shared" si="43"/>
        <v>DELETE</v>
      </c>
      <c r="AA167" s="156" t="str">
        <f t="shared" si="44"/>
        <v>DELETE</v>
      </c>
      <c r="AB167" s="160" t="str" cm="1">
        <f t="array" ref="AB167">_xlfn.IFS(Y167="DELETE", "DELETE", Y167=0, 0, Y167&gt;0,LOG10(Y167))</f>
        <v>DELETE</v>
      </c>
      <c r="AC167" s="161" t="str" cm="1">
        <f t="array" ref="AC167">_xlfn.IFS(Y167="DELETE", "DELETE", Y167=0, 0, Y167&gt;0, AA167/Y167/LN(10))</f>
        <v>DELETE</v>
      </c>
      <c r="AD167" s="120">
        <f>qPCR_Raw!U167</f>
        <v>26.478530883789063</v>
      </c>
      <c r="AE167" s="121" cm="1">
        <f t="array" ref="AE167">_xlfn.IFS(AD167="Undetermined", 0, qPCR_Raw!V167&lt;=1, 0, qPCR_Raw!V167&gt;1, qPCR_Raw!V167)</f>
        <v>351.31744384765625</v>
      </c>
      <c r="AF167" s="122">
        <f>qPCR_Raw!X167</f>
        <v>30.00700569152832</v>
      </c>
      <c r="AG167" s="121" cm="1">
        <f t="array" ref="AG167">_xlfn.IFS(AF167="Undetermined", 0, qPCR_Raw!Y167&lt;=1, 0, qPCR_Raw!Y167&gt;1, qPCR_Raw!Y167)</f>
        <v>36.297100067138672</v>
      </c>
      <c r="AH167" s="123" cm="1">
        <f t="array" ref="AH167">_xlfn.IFS(AND(AD167="Undetermined", AF167="Undetermined"), "Undetermined", AND(AE167=0, AG167=0), "Undetermined", AND(AE167=0, AG167&gt;0), "Ten-Fold", AND(AE167&gt;0, AG167=0), "Undiluted", AND(AD167&lt;&gt;"Undetermined", AF167&lt;&gt;"Undetermined", AE167&gt;0, AG167&gt;0, AD167&lt;&gt;AF167), 100*(-1+10^(-1/(AD167-AF167))), AND(AD167&lt;&gt;"Undetermined", AF167&lt;&gt;"Undetermined", AD167=AF167&gt;0), -100)</f>
        <v>92.047461116463651</v>
      </c>
      <c r="AI167" s="124" cm="1">
        <f t="array" ref="AI167">_xlfn.IFS(AH167="Undetermined", 0, AH167="Undiluted", AE167*$G167/$F167*1000, AH167="Ten-Fold", AG167*$G167/$F167*1000*10, AH167&lt;0, AG167*$G167/$F167*1000*10, AH167&lt;120, AE167*$G167/$F167*1000, AH167&gt;120, AG167*$G167/$F167*1000*10)</f>
        <v>35131.744384765625</v>
      </c>
      <c r="AJ167" s="121" t="str">
        <f t="shared" si="45"/>
        <v>DELETE</v>
      </c>
      <c r="AK167" s="121" t="str">
        <f t="shared" si="46"/>
        <v>DELETE</v>
      </c>
      <c r="AL167" s="121" t="str">
        <f t="shared" si="47"/>
        <v>DELETE</v>
      </c>
      <c r="AM167" s="125" t="str" cm="1">
        <f t="array" ref="AM167">_xlfn.IFS(AJ167="DELETE", "DELETE", AJ167=0, 0, AJ167&gt;0,LOG10(AJ167))</f>
        <v>DELETE</v>
      </c>
      <c r="AN167" s="126" t="str" cm="1">
        <f t="array" ref="AN167">_xlfn.IFS(AJ167="DELETE", "DELETE", AJ167=0, 0, AJ167&gt;0, AL167/AJ167/LN(10))</f>
        <v>DELETE</v>
      </c>
      <c r="AO167" s="155">
        <f>qPCR_Raw!AA167</f>
        <v>30.168846130371094</v>
      </c>
      <c r="AP167" s="156" cm="1">
        <f t="array" ref="AP167">_xlfn.IFS(AO167="Undetermined", 0, qPCR_Raw!AB167&lt;=6, 0, qPCR_Raw!AB167&gt;6, qPCR_Raw!AB167)</f>
        <v>0</v>
      </c>
      <c r="AQ167" s="157">
        <f>qPCR_Raw!AD167</f>
        <v>31.146970748901367</v>
      </c>
      <c r="AR167" s="156" cm="1">
        <f t="array" ref="AR167">_xlfn.IFS(AQ167="Undetermined", 0, qPCR_Raw!AE167&lt;=6, 0, qPCR_Raw!AE167&gt;6, qPCR_Raw!AE167)</f>
        <v>0</v>
      </c>
      <c r="AS167" s="158" t="str" cm="1">
        <f t="array" ref="AS167">_xlfn.IFS(AND(AO167="Undetermined", AQ167="Undetermined"), "Undetermined", AND(AP167=0, AR167=0), "Undetermined", AND(AP167=0, AR167&gt;0), "Ten-Fold", AND(AP167&gt;0, AR167=0), "Undiluted", AND(AO167&lt;&gt;"Undetermined", AQ167&lt;&gt;"Undetermined", AP167&gt;0, AR167&gt;0, AO167&lt;&gt;AQ167), 100*(-1+10^(-1/(AO167-AQ167))), AND(AO167&lt;&gt;"Undetermined", AQ167&lt;&gt;"Undetermined", AO167=AQ167&gt;0), -100)</f>
        <v>Undetermined</v>
      </c>
      <c r="AT167" s="159" cm="1">
        <f t="array" ref="AT167">_xlfn.IFS(AS167="Undetermined", 0, AS167="Undiluted", AP167*$G167/$F167*1000, AS167="Ten-Fold", AR167*$G167/$F167*1000*10, AS167&lt;0, AR167*$G167/$F167*1000*10, AS167&lt;120, AP167*$G167/$F167*1000, AS167&gt;120, AR167*$G167/$F167*1000*10)</f>
        <v>0</v>
      </c>
      <c r="AU167" s="156" t="str">
        <f t="shared" si="48"/>
        <v>DELETE</v>
      </c>
      <c r="AV167" s="156" t="str">
        <f t="shared" si="49"/>
        <v>DELETE</v>
      </c>
      <c r="AW167" s="156" t="str">
        <f t="shared" si="50"/>
        <v>DELETE</v>
      </c>
      <c r="AX167" s="160" t="str" cm="1">
        <f t="array" ref="AX167">_xlfn.IFS(AU167="DELETE", "DELETE", AU167=0, 0, AU167&gt;0,LOG10(AU167))</f>
        <v>DELETE</v>
      </c>
      <c r="AY167" s="161" t="str" cm="1">
        <f t="array" ref="AY167">_xlfn.IFS(AU167="DELETE", "DELETE", AU167=0, 0, AU167&gt;0, AW167/AU167/LN(10))</f>
        <v>DELETE</v>
      </c>
      <c r="AZ167" s="120">
        <f>qPCR_Raw!AG167</f>
        <v>27.300806045532227</v>
      </c>
      <c r="BA167" s="121" cm="1">
        <f t="array" ref="BA167">_xlfn.IFS(AZ167="Undetermined", 0, qPCR_Raw!AH167&lt;=1, 0, qPCR_Raw!AH167&gt;1, qPCR_Raw!AH167)</f>
        <v>350.16610717773438</v>
      </c>
      <c r="BB167" s="122">
        <f>qPCR_Raw!AJ167</f>
        <v>30.041427612304688</v>
      </c>
      <c r="BC167" s="121" cm="1">
        <f t="array" ref="BC167">_xlfn.IFS(BB167="Undetermined", 0, qPCR_Raw!AK167&lt;=1, 0, qPCR_Raw!AK167&gt;1, qPCR_Raw!AK167)</f>
        <v>61.875900268554688</v>
      </c>
      <c r="BD167" s="123" cm="1">
        <f t="array" ref="BD167">_xlfn.IFS(AND(AZ167="Undetermined", BB167="Undetermined"), "Undetermined", AND(BA167=0, BC167=0), "Undetermined", AND(BA167=0, BC167&gt;0), "Ten-Fold", AND(BA167&gt;0, BC167=0), "Undiluted", AND(AZ167&lt;&gt;"Undetermined", BB167&lt;&gt;"Undetermined", BA167&gt;0, BC167&gt;0, AZ167&lt;&gt;BB167), 100*(-1+10^(-1/(AZ167-BB167))), AND(AZ167&lt;&gt;"Undetermined", BB167&lt;&gt;"Undetermined", AZ167=BB167&gt;0), -100)</f>
        <v>131.67583168388825</v>
      </c>
      <c r="BE167" s="124" cm="1">
        <f t="array" ref="BE167">_xlfn.IFS(BD167="Undetermined", 0, BD167="Undiluted", BA167*$G167/$F167*1000, BD167="Ten-Fold", BC167*$G167/$F167*1000*10, BD167&lt;0, BC167*$G167/$F167*1000*10, BD167&lt;120, BA167*$G167/$F167*1000, BD167&gt;120, BC167*$G167/$F167*1000*10)</f>
        <v>61875.900268554688</v>
      </c>
      <c r="BF167" s="121" t="str">
        <f t="shared" si="51"/>
        <v>DELETE</v>
      </c>
      <c r="BG167" s="121" t="str">
        <f t="shared" si="52"/>
        <v>DELETE</v>
      </c>
      <c r="BH167" s="121" t="str">
        <f t="shared" si="53"/>
        <v>DELETE</v>
      </c>
      <c r="BI167" s="125" t="str" cm="1">
        <f t="array" ref="BI167">_xlfn.IFS(BF167="DELETE", "DELETE", BF167=0, 0, BF167&gt;0,LOG10(BF167))</f>
        <v>DELETE</v>
      </c>
      <c r="BJ167" s="126" t="str" cm="1">
        <f t="array" ref="BJ167">_xlfn.IFS(BF167="DELETE", "DELETE", BF167=0, 0, BF167&gt;0, BH167/BF167/LN(10))</f>
        <v>DELETE</v>
      </c>
    </row>
    <row r="168" spans="1:62" s="114" customFormat="1" x14ac:dyDescent="0.3">
      <c r="A168" s="115" t="str">
        <f>UPPER(LEFT(SUBSTITUTE(SUBSTITUTE(qPCR_Raw!A168,"-","")," ",""),2))&amp;RIGHT(SUBSTITUTE(SUBSTITUTE(qPCR_Raw!A168,"-","")," ",""),LEN(SUBSTITUTE(SUBSTITUTE(qPCR_Raw!A168,"-","")," ",""))-2)</f>
        <v>RG6</v>
      </c>
      <c r="B168" s="116" t="str" cm="1">
        <f t="array" ref="B168">_xlfn.IFS(LEFT(A168, LEN(A168)-1)="EP", "EP", LEFT(A168, LEN(A168)-1)="STa", "SPI", LEFT(A168, LEN(A168)-1)="STb", "SPO", LEFT(A168, LEN(A168)-1)="MRT", "MRT", LEFT(A168, LEN(A168)-1)="RG", "RN", LEFT(A168, LEN(A168)-1)="RT", "RU", LEFT(A168, LEN(A168)-1)="RW", "RL", LEFT(A168, LEN(A168)-1)="RC", "RS")</f>
        <v>RN</v>
      </c>
      <c r="C168" s="117">
        <f>qPCR_Raw!B168</f>
        <v>44405</v>
      </c>
      <c r="D168" s="117" t="str">
        <f t="shared" si="37"/>
        <v>RN44405</v>
      </c>
      <c r="E168" s="117" t="str">
        <f t="shared" si="38"/>
        <v>RN444056</v>
      </c>
      <c r="F168" s="118">
        <f>qPCR_Raw!C168</f>
        <v>910</v>
      </c>
      <c r="G168" s="119">
        <f>qPCR_Raw!F168</f>
        <v>100</v>
      </c>
      <c r="H168" s="120">
        <f>qPCR_Raw!G168</f>
        <v>11.578070640563965</v>
      </c>
      <c r="I168" s="121" cm="1">
        <f t="array" ref="I168">_xlfn.IFS(H168="Undetermined", 0, qPCR_Raw!H168-qPCR_Raw!$H$242&lt;0, 0, qPCR_Raw!H168-qPCR_Raw!$H$242&gt;0, qPCR_Raw!H168-qPCR_Raw!$H$242)</f>
        <v>29428089.361446127</v>
      </c>
      <c r="J168" s="122">
        <f>qPCR_Raw!K168</f>
        <v>13.503117561340332</v>
      </c>
      <c r="K168" s="121" cm="1">
        <f t="array" ref="K168">_xlfn.IFS(J168="Undetermined", 0, qPCR_Raw!L168-qPCR_Raw!$H$242&lt;0, 0, qPCR_Raw!L168-qPCR_Raw!$H$242&gt;0, qPCR_Raw!L168-qPCR_Raw!$H$242)</f>
        <v>8114960.8614461264</v>
      </c>
      <c r="L168" s="123" cm="1">
        <f t="array" ref="L168">_xlfn.IFS(AND(H168="Undetermined", J168="Undetermined"), "Undetermined", AND(I168=0, K168=0), "Undetermined", AND(I168=0, K168&gt;0), "Ten-Fold", AND(I168&gt;0, K168=0), "Undiluted", AND(H168&lt;&gt;"Undetermined", J168&lt;&gt;"Undetermined", I168&gt;0, K168&gt;0), 100*(-1+10^(-1/(H168-J168))))</f>
        <v>230.72563405984559</v>
      </c>
      <c r="M168" s="124" cm="1">
        <f t="array" ref="M168">_xlfn.IFS(L168="Undetermined", 0, L168="Undiluted", I168*$G168/$F168*1000, L168="Ten-Fold", K168*$G168/$F168*1000*10, L168&lt;0, K168*$G168/$F168*1000*10, L168&lt;120, I168*$G168/$F168*1000, L168&gt;120, K168*$G168/$F168*1000*10)</f>
        <v>8917539408.1825562</v>
      </c>
      <c r="N168" s="121">
        <f t="shared" si="39"/>
        <v>7024192134.8143406</v>
      </c>
      <c r="O168" s="121">
        <f t="shared" si="40"/>
        <v>2677597392.2794523</v>
      </c>
      <c r="P168" s="121">
        <f t="shared" si="41"/>
        <v>1893347273.3682168</v>
      </c>
      <c r="Q168" s="125" cm="1">
        <f t="array" ref="Q168">_xlfn.IFS(N168="DELETE", "DELETE", N168=0, 0, N168&gt;0,LOG10(N168))</f>
        <v>9.8465963824465117</v>
      </c>
      <c r="R168" s="126" cm="1">
        <f t="array" ref="R168">_xlfn.IFS(N168="DELETE", "DELETE", N168=0, 0, N168&gt;0, P168/N168/LN(10))</f>
        <v>0.11706261123965082</v>
      </c>
      <c r="S168" s="155">
        <f>qPCR_Raw!O168</f>
        <v>36.790328979492188</v>
      </c>
      <c r="T168" s="156" cm="1">
        <f t="array" ref="T168">_xlfn.IFS(S168="Undetermined", 0, qPCR_Raw!P168&lt;=1, 0, qPCR_Raw!P168&gt;1, qPCR_Raw!P168)</f>
        <v>3.5957441329956055</v>
      </c>
      <c r="U168" s="157" t="str">
        <f>qPCR_Raw!R168</f>
        <v>Undetermined</v>
      </c>
      <c r="V168" s="156" cm="1">
        <f t="array" ref="V168">_xlfn.IFS(U168="Undetermined", 0, qPCR_Raw!S168&lt;=1, 0, qPCR_Raw!S168&gt;1, qPCR_Raw!S168)</f>
        <v>0</v>
      </c>
      <c r="W168" s="158" t="str" cm="1">
        <f t="array" ref="W168">_xlfn.IFS(AND(S168="Undetermined", U168="Undetermined"), "Undetermined", AND(T168=0, V168=0), "Undetermined", AND(T168=0, V168&gt;0), "Ten-Fold", AND(T168&gt;0, V168=0), "Undiluted", AND(S168&lt;&gt;"Undetermined", U168&lt;&gt;"Undetermined", T168&gt;0, V168&gt;0, S168&lt;&gt;U168), 100*(-1+10^(-1/(S168-U168))), AND(S168&lt;&gt;"Undetermined", U168&lt;&gt;"Undetermined", S168=U168&gt;0), -100)</f>
        <v>Undiluted</v>
      </c>
      <c r="X168" s="159" cm="1">
        <f t="array" ref="X168">_xlfn.IFS(W168="Undetermined", 0, W168="Undiluted", T168*$G168/$F168*1000, W168="Ten-Fold", V168*$G168/$F168*1000*10, W168&lt;0, V168*$G168/$F168*1000*10, W168&lt;120, T168*$G168/$F168*1000, W168&gt;120, V168*$G168/$F168*1000*10)</f>
        <v>395.13671791160499</v>
      </c>
      <c r="Y168" s="156">
        <f t="shared" si="42"/>
        <v>11993.938865242424</v>
      </c>
      <c r="Z168" s="156">
        <f t="shared" si="43"/>
        <v>16403.183304037422</v>
      </c>
      <c r="AA168" s="156">
        <f t="shared" si="44"/>
        <v>11598.802147330818</v>
      </c>
      <c r="AB168" s="160" cm="1">
        <f t="array" ref="AB168">_xlfn.IFS(Y168="DELETE", "DELETE", Y168=0, 0, Y168&gt;0,LOG10(Y168))</f>
        <v>4.0789618308486393</v>
      </c>
      <c r="AC168" s="161" cm="1">
        <f t="array" ref="AC168">_xlfn.IFS(Y168="DELETE", "DELETE", Y168=0, 0, Y168&gt;0, AA168/Y168/LN(10))</f>
        <v>0.41998678047885374</v>
      </c>
      <c r="AD168" s="120">
        <f>qPCR_Raw!U168</f>
        <v>25.314691543579102</v>
      </c>
      <c r="AE168" s="121" cm="1">
        <f t="array" ref="AE168">_xlfn.IFS(AD168="Undetermined", 0, qPCR_Raw!V168&lt;=1, 0, qPCR_Raw!V168&gt;1, qPCR_Raw!V168)</f>
        <v>742.7918701171875</v>
      </c>
      <c r="AF168" s="122">
        <f>qPCR_Raw!X168</f>
        <v>28.130033493041992</v>
      </c>
      <c r="AG168" s="121" cm="1">
        <f t="array" ref="AG168">_xlfn.IFS(AF168="Undetermined", 0, qPCR_Raw!Y168&lt;=1, 0, qPCR_Raw!Y168&gt;1, qPCR_Raw!Y168)</f>
        <v>121.41798400878906</v>
      </c>
      <c r="AH168" s="123" cm="1">
        <f t="array" ref="AH168">_xlfn.IFS(AND(AD168="Undetermined", AF168="Undetermined"), "Undetermined", AND(AE168=0, AG168=0), "Undetermined", AND(AE168=0, AG168&gt;0), "Ten-Fold", AND(AE168&gt;0, AG168=0), "Undiluted", AND(AD168&lt;&gt;"Undetermined", AF168&lt;&gt;"Undetermined", AE168&gt;0, AG168&gt;0, AD168&lt;&gt;AF168), 100*(-1+10^(-1/(AD168-AF168))), AND(AD168&lt;&gt;"Undetermined", AF168&lt;&gt;"Undetermined", AD168=AF168&gt;0), -100)</f>
        <v>126.56699245002861</v>
      </c>
      <c r="AI168" s="124" cm="1">
        <f t="array" ref="AI168">_xlfn.IFS(AH168="Undetermined", 0, AH168="Undiluted", AE168*$G168/$F168*1000, AH168="Ten-Fold", AG168*$G168/$F168*1000*10, AH168&lt;0, AG168*$G168/$F168*1000*10, AH168&lt;120, AE168*$G168/$F168*1000, AH168&gt;120, AG168*$G168/$F168*1000*10)</f>
        <v>133426.35605361435</v>
      </c>
      <c r="AJ168" s="121">
        <f t="shared" si="45"/>
        <v>92658.185351025924</v>
      </c>
      <c r="AK168" s="121">
        <f t="shared" si="46"/>
        <v>57654.899920741991</v>
      </c>
      <c r="AL168" s="121">
        <f t="shared" si="47"/>
        <v>40768.170702588402</v>
      </c>
      <c r="AM168" s="125" cm="1">
        <f t="array" ref="AM168">_xlfn.IFS(AJ168="DELETE", "DELETE", AJ168=0, 0, AJ168&gt;0,LOG10(AJ168))</f>
        <v>4.966883790581651</v>
      </c>
      <c r="AN168" s="126" cm="1">
        <f t="array" ref="AN168">_xlfn.IFS(AJ168="DELETE", "DELETE", AJ168=0, 0, AJ168&gt;0, AL168/AJ168/LN(10))</f>
        <v>0.19108286554877929</v>
      </c>
      <c r="AO168" s="155">
        <f>qPCR_Raw!AA168</f>
        <v>31.29296875</v>
      </c>
      <c r="AP168" s="156" cm="1">
        <f t="array" ref="AP168">_xlfn.IFS(AO168="Undetermined", 0, qPCR_Raw!AB168&lt;=6, 0, qPCR_Raw!AB168&gt;6, qPCR_Raw!AB168)</f>
        <v>0</v>
      </c>
      <c r="AQ168" s="157">
        <f>qPCR_Raw!AD168</f>
        <v>32.261356353759766</v>
      </c>
      <c r="AR168" s="156" cm="1">
        <f t="array" ref="AR168">_xlfn.IFS(AQ168="Undetermined", 0, qPCR_Raw!AE168&lt;=6, 0, qPCR_Raw!AE168&gt;6, qPCR_Raw!AE168)</f>
        <v>0</v>
      </c>
      <c r="AS168" s="158" t="str" cm="1">
        <f t="array" ref="AS168">_xlfn.IFS(AND(AO168="Undetermined", AQ168="Undetermined"), "Undetermined", AND(AP168=0, AR168=0), "Undetermined", AND(AP168=0, AR168&gt;0), "Ten-Fold", AND(AP168&gt;0, AR168=0), "Undiluted", AND(AO168&lt;&gt;"Undetermined", AQ168&lt;&gt;"Undetermined", AP168&gt;0, AR168&gt;0, AO168&lt;&gt;AQ168), 100*(-1+10^(-1/(AO168-AQ168))), AND(AO168&lt;&gt;"Undetermined", AQ168&lt;&gt;"Undetermined", AO168=AQ168&gt;0), -100)</f>
        <v>Undetermined</v>
      </c>
      <c r="AT168" s="159" cm="1">
        <f t="array" ref="AT168">_xlfn.IFS(AS168="Undetermined", 0, AS168="Undiluted", AP168*$G168/$F168*1000, AS168="Ten-Fold", AR168*$G168/$F168*1000*10, AS168&lt;0, AR168*$G168/$F168*1000*10, AS168&lt;120, AP168*$G168/$F168*1000, AS168&gt;120, AR168*$G168/$F168*1000*10)</f>
        <v>0</v>
      </c>
      <c r="AU168" s="156">
        <f t="shared" si="48"/>
        <v>0</v>
      </c>
      <c r="AV168" s="156">
        <f t="shared" si="49"/>
        <v>0</v>
      </c>
      <c r="AW168" s="156">
        <f t="shared" si="50"/>
        <v>0</v>
      </c>
      <c r="AX168" s="160" cm="1">
        <f t="array" ref="AX168">_xlfn.IFS(AU168="DELETE", "DELETE", AU168=0, 0, AU168&gt;0,LOG10(AU168))</f>
        <v>0</v>
      </c>
      <c r="AY168" s="161" cm="1">
        <f t="array" ref="AY168">_xlfn.IFS(AU168="DELETE", "DELETE", AU168=0, 0, AU168&gt;0, AW168/AU168/LN(10))</f>
        <v>0</v>
      </c>
      <c r="AZ168" s="120">
        <f>qPCR_Raw!AG168</f>
        <v>21.463846206665039</v>
      </c>
      <c r="BA168" s="121" cm="1">
        <f t="array" ref="BA168">_xlfn.IFS(AZ168="Undetermined", 0, qPCR_Raw!AH168&lt;=1, 0, qPCR_Raw!AH168&gt;1, qPCR_Raw!AH168)</f>
        <v>14043.7197265625</v>
      </c>
      <c r="BB168" s="122">
        <f>qPCR_Raw!AJ168</f>
        <v>23.0555419921875</v>
      </c>
      <c r="BC168" s="121" cm="1">
        <f t="array" ref="BC168">_xlfn.IFS(BB168="Undetermined", 0, qPCR_Raw!AK168&lt;=1, 0, qPCR_Raw!AK168&gt;1, qPCR_Raw!AK168)</f>
        <v>5132.14794921875</v>
      </c>
      <c r="BD168" s="123" cm="1">
        <f t="array" ref="BD168">_xlfn.IFS(AND(AZ168="Undetermined", BB168="Undetermined"), "Undetermined", AND(BA168=0, BC168=0), "Undetermined", AND(BA168=0, BC168&gt;0), "Ten-Fold", AND(BA168&gt;0, BC168=0), "Undiluted", AND(AZ168&lt;&gt;"Undetermined", BB168&lt;&gt;"Undetermined", BA168&gt;0, BC168&gt;0, AZ168&lt;&gt;BB168), 100*(-1+10^(-1/(AZ168-BB168))), AND(AZ168&lt;&gt;"Undetermined", BB168&lt;&gt;"Undetermined", AZ168=BB168&gt;0), -100)</f>
        <v>324.87458906850912</v>
      </c>
      <c r="BE168" s="124" cm="1">
        <f t="array" ref="BE168">_xlfn.IFS(BD168="Undetermined", 0, BD168="Undiluted", BA168*$G168/$F168*1000, BD168="Ten-Fold", BC168*$G168/$F168*1000*10, BD168&lt;0, BC168*$G168/$F168*1000*10, BD168&lt;120, BA168*$G168/$F168*1000, BD168&gt;120, BC168*$G168/$F168*1000*10)</f>
        <v>5639723.0211195052</v>
      </c>
      <c r="BF168" s="121">
        <f t="shared" si="51"/>
        <v>3108902.8313605338</v>
      </c>
      <c r="BG168" s="121">
        <f t="shared" si="52"/>
        <v>3579120.2362847878</v>
      </c>
      <c r="BH168" s="121">
        <f t="shared" si="53"/>
        <v>2530820.1897589713</v>
      </c>
      <c r="BI168" s="125" cm="1">
        <f t="array" ref="BI168">_xlfn.IFS(BF168="DELETE", "DELETE", BF168=0, 0, BF168&gt;0,LOG10(BF168))</f>
        <v>6.4926071483978385</v>
      </c>
      <c r="BJ168" s="126" cm="1">
        <f t="array" ref="BJ168">_xlfn.IFS(BF168="DELETE", "DELETE", BF168=0, 0, BF168&gt;0, BH168/BF168/LN(10))</f>
        <v>0.35353991511553895</v>
      </c>
    </row>
    <row r="169" spans="1:62" s="114" customFormat="1" x14ac:dyDescent="0.3">
      <c r="A169" s="115" t="str">
        <f>UPPER(LEFT(SUBSTITUTE(SUBSTITUTE(qPCR_Raw!A169,"-","")," ",""),2))&amp;RIGHT(SUBSTITUTE(SUBSTITUTE(qPCR_Raw!A169,"-","")," ",""),LEN(SUBSTITUTE(SUBSTITUTE(qPCR_Raw!A169,"-","")," ",""))-2)</f>
        <v>RG7</v>
      </c>
      <c r="B169" s="116" t="str" cm="1">
        <f t="array" ref="B169">_xlfn.IFS(LEFT(A169, LEN(A169)-1)="EP", "EP", LEFT(A169, LEN(A169)-1)="STa", "SPI", LEFT(A169, LEN(A169)-1)="STb", "SPO", LEFT(A169, LEN(A169)-1)="MRT", "MRT", LEFT(A169, LEN(A169)-1)="RG", "RN", LEFT(A169, LEN(A169)-1)="RT", "RU", LEFT(A169, LEN(A169)-1)="RW", "RL", LEFT(A169, LEN(A169)-1)="RC", "RS")</f>
        <v>RN</v>
      </c>
      <c r="C169" s="117">
        <f>qPCR_Raw!B169</f>
        <v>44405</v>
      </c>
      <c r="D169" s="117" t="str">
        <f t="shared" si="37"/>
        <v>RN44405</v>
      </c>
      <c r="E169" s="117" t="str">
        <f t="shared" si="38"/>
        <v>RN444057</v>
      </c>
      <c r="F169" s="118">
        <f>qPCR_Raw!C169</f>
        <v>1000</v>
      </c>
      <c r="G169" s="119">
        <f>qPCR_Raw!F169</f>
        <v>100</v>
      </c>
      <c r="H169" s="120">
        <f>qPCR_Raw!G169</f>
        <v>11.831710815429688</v>
      </c>
      <c r="I169" s="121" cm="1">
        <f t="array" ref="I169">_xlfn.IFS(H169="Undetermined", 0, qPCR_Raw!H169-qPCR_Raw!$H$242&lt;0, 0, qPCR_Raw!H169-qPCR_Raw!$H$242&gt;0, qPCR_Raw!H169-qPCR_Raw!$H$242)</f>
        <v>24835765.361446127</v>
      </c>
      <c r="J169" s="122">
        <f>qPCR_Raw!K169</f>
        <v>14.187400817871094</v>
      </c>
      <c r="K169" s="121" cm="1">
        <f t="array" ref="K169">_xlfn.IFS(J169="Undetermined", 0, qPCR_Raw!L169-qPCR_Raw!$H$242&lt;0, 0, qPCR_Raw!L169-qPCR_Raw!$H$242&gt;0, qPCR_Raw!L169-qPCR_Raw!$H$242)</f>
        <v>5130844.8614461264</v>
      </c>
      <c r="L169" s="123" cm="1">
        <f t="array" ref="L169">_xlfn.IFS(AND(H169="Undetermined", J169="Undetermined"), "Undetermined", AND(I169=0, K169=0), "Undetermined", AND(I169=0, K169&gt;0), "Ten-Fold", AND(I169&gt;0, K169=0), "Undiluted", AND(H169&lt;&gt;"Undetermined", J169&lt;&gt;"Undetermined", I169&gt;0, K169&gt;0), 100*(-1+10^(-1/(H169-J169))))</f>
        <v>165.76884724014437</v>
      </c>
      <c r="M169" s="124" cm="1">
        <f t="array" ref="M169">_xlfn.IFS(L169="Undetermined", 0, L169="Undiluted", I169*$G169/$F169*1000, L169="Ten-Fold", K169*$G169/$F169*1000*10, L169&lt;0, K169*$G169/$F169*1000*10, L169&lt;120, I169*$G169/$F169*1000, L169&gt;120, K169*$G169/$F169*1000*10)</f>
        <v>5130844861.446126</v>
      </c>
      <c r="N169" s="121" t="str">
        <f t="shared" si="39"/>
        <v>DELETE</v>
      </c>
      <c r="O169" s="121" t="str">
        <f t="shared" si="40"/>
        <v>DELETE</v>
      </c>
      <c r="P169" s="121" t="str">
        <f t="shared" si="41"/>
        <v>DELETE</v>
      </c>
      <c r="Q169" s="125" t="str" cm="1">
        <f t="array" ref="Q169">_xlfn.IFS(N169="DELETE", "DELETE", N169=0, 0, N169&gt;0,LOG10(N169))</f>
        <v>DELETE</v>
      </c>
      <c r="R169" s="126" t="str" cm="1">
        <f t="array" ref="R169">_xlfn.IFS(N169="DELETE", "DELETE", N169=0, 0, N169&gt;0, P169/N169/LN(10))</f>
        <v>DELETE</v>
      </c>
      <c r="S169" s="155">
        <f>qPCR_Raw!O169</f>
        <v>31.242767333984375</v>
      </c>
      <c r="T169" s="156" cm="1">
        <f t="array" ref="T169">_xlfn.IFS(S169="Undetermined", 0, qPCR_Raw!P169&lt;=1, 0, qPCR_Raw!P169&gt;1, qPCR_Raw!P169)</f>
        <v>100.98068237304688</v>
      </c>
      <c r="U169" s="157">
        <f>qPCR_Raw!R169</f>
        <v>33.661258697509766</v>
      </c>
      <c r="V169" s="156" cm="1">
        <f t="array" ref="V169">_xlfn.IFS(U169="Undetermined", 0, qPCR_Raw!S169&lt;=1, 0, qPCR_Raw!S169&gt;1, qPCR_Raw!S169)</f>
        <v>23.592741012573242</v>
      </c>
      <c r="W169" s="158" cm="1">
        <f t="array" ref="W169">_xlfn.IFS(AND(S169="Undetermined", U169="Undetermined"), "Undetermined", AND(T169=0, V169=0), "Undetermined", AND(T169=0, V169&gt;0), "Ten-Fold", AND(T169&gt;0, V169=0), "Undiluted", AND(S169&lt;&gt;"Undetermined", U169&lt;&gt;"Undetermined", T169&gt;0, V169&gt;0, S169&lt;&gt;U169), 100*(-1+10^(-1/(S169-U169))), AND(S169&lt;&gt;"Undetermined", U169&lt;&gt;"Undetermined", S169=U169&gt;0), -100)</f>
        <v>159.10805001914005</v>
      </c>
      <c r="X169" s="159" cm="1">
        <f t="array" ref="X169">_xlfn.IFS(W169="Undetermined", 0, W169="Undiluted", T169*$G169/$F169*1000, W169="Ten-Fold", V169*$G169/$F169*1000*10, W169&lt;0, V169*$G169/$F169*1000*10, W169&lt;120, T169*$G169/$F169*1000, W169&gt;120, V169*$G169/$F169*1000*10)</f>
        <v>23592.741012573242</v>
      </c>
      <c r="Y169" s="156" t="str">
        <f t="shared" si="42"/>
        <v>DELETE</v>
      </c>
      <c r="Z169" s="156" t="str">
        <f t="shared" si="43"/>
        <v>DELETE</v>
      </c>
      <c r="AA169" s="156" t="str">
        <f t="shared" si="44"/>
        <v>DELETE</v>
      </c>
      <c r="AB169" s="160" t="str" cm="1">
        <f t="array" ref="AB169">_xlfn.IFS(Y169="DELETE", "DELETE", Y169=0, 0, Y169&gt;0,LOG10(Y169))</f>
        <v>DELETE</v>
      </c>
      <c r="AC169" s="161" t="str" cm="1">
        <f t="array" ref="AC169">_xlfn.IFS(Y169="DELETE", "DELETE", Y169=0, 0, Y169&gt;0, AA169/Y169/LN(10))</f>
        <v>DELETE</v>
      </c>
      <c r="AD169" s="120">
        <f>qPCR_Raw!U169</f>
        <v>27.093761444091797</v>
      </c>
      <c r="AE169" s="121" cm="1">
        <f t="array" ref="AE169">_xlfn.IFS(AD169="Undetermined", 0, qPCR_Raw!V169&lt;=1, 0, qPCR_Raw!V169&gt;1, qPCR_Raw!V169)</f>
        <v>236.488037109375</v>
      </c>
      <c r="AF169" s="122">
        <f>qPCR_Raw!X169</f>
        <v>29.451471328735352</v>
      </c>
      <c r="AG169" s="121" cm="1">
        <f t="array" ref="AG169">_xlfn.IFS(AF169="Undetermined", 0, qPCR_Raw!Y169&lt;=1, 0, qPCR_Raw!Y169&gt;1, qPCR_Raw!Y169)</f>
        <v>51.8900146484375</v>
      </c>
      <c r="AH169" s="123" cm="1">
        <f t="array" ref="AH169">_xlfn.IFS(AND(AD169="Undetermined", AF169="Undetermined"), "Undetermined", AND(AE169=0, AG169=0), "Undetermined", AND(AE169=0, AG169&gt;0), "Ten-Fold", AND(AE169&gt;0, AG169=0), "Undiluted", AND(AD169&lt;&gt;"Undetermined", AF169&lt;&gt;"Undetermined", AE169&gt;0, AG169&gt;0, AD169&lt;&gt;AF169), 100*(-1+10^(-1/(AD169-AF169))), AND(AD169&lt;&gt;"Undetermined", AF169&lt;&gt;"Undetermined", AD169=AF169&gt;0), -100)</f>
        <v>165.54638542611602</v>
      </c>
      <c r="AI169" s="124" cm="1">
        <f t="array" ref="AI169">_xlfn.IFS(AH169="Undetermined", 0, AH169="Undiluted", AE169*$G169/$F169*1000, AH169="Ten-Fold", AG169*$G169/$F169*1000*10, AH169&lt;0, AG169*$G169/$F169*1000*10, AH169&lt;120, AE169*$G169/$F169*1000, AH169&gt;120, AG169*$G169/$F169*1000*10)</f>
        <v>51890.0146484375</v>
      </c>
      <c r="AJ169" s="121" t="str">
        <f t="shared" si="45"/>
        <v>DELETE</v>
      </c>
      <c r="AK169" s="121" t="str">
        <f t="shared" si="46"/>
        <v>DELETE</v>
      </c>
      <c r="AL169" s="121" t="str">
        <f t="shared" si="47"/>
        <v>DELETE</v>
      </c>
      <c r="AM169" s="125" t="str" cm="1">
        <f t="array" ref="AM169">_xlfn.IFS(AJ169="DELETE", "DELETE", AJ169=0, 0, AJ169&gt;0,LOG10(AJ169))</f>
        <v>DELETE</v>
      </c>
      <c r="AN169" s="126" t="str" cm="1">
        <f t="array" ref="AN169">_xlfn.IFS(AJ169="DELETE", "DELETE", AJ169=0, 0, AJ169&gt;0, AL169/AJ169/LN(10))</f>
        <v>DELETE</v>
      </c>
      <c r="AO169" s="155">
        <f>qPCR_Raw!AA169</f>
        <v>30.620615005493164</v>
      </c>
      <c r="AP169" s="156" cm="1">
        <f t="array" ref="AP169">_xlfn.IFS(AO169="Undetermined", 0, qPCR_Raw!AB169&lt;=6, 0, qPCR_Raw!AB169&gt;6, qPCR_Raw!AB169)</f>
        <v>0</v>
      </c>
      <c r="AQ169" s="157" t="str">
        <f>qPCR_Raw!AD169</f>
        <v>Undetermined</v>
      </c>
      <c r="AR169" s="156" cm="1">
        <f t="array" ref="AR169">_xlfn.IFS(AQ169="Undetermined", 0, qPCR_Raw!AE169&lt;=6, 0, qPCR_Raw!AE169&gt;6, qPCR_Raw!AE169)</f>
        <v>0</v>
      </c>
      <c r="AS169" s="158" t="str" cm="1">
        <f t="array" ref="AS169">_xlfn.IFS(AND(AO169="Undetermined", AQ169="Undetermined"), "Undetermined", AND(AP169=0, AR169=0), "Undetermined", AND(AP169=0, AR169&gt;0), "Ten-Fold", AND(AP169&gt;0, AR169=0), "Undiluted", AND(AO169&lt;&gt;"Undetermined", AQ169&lt;&gt;"Undetermined", AP169&gt;0, AR169&gt;0, AO169&lt;&gt;AQ169), 100*(-1+10^(-1/(AO169-AQ169))), AND(AO169&lt;&gt;"Undetermined", AQ169&lt;&gt;"Undetermined", AO169=AQ169&gt;0), -100)</f>
        <v>Undetermined</v>
      </c>
      <c r="AT169" s="159" cm="1">
        <f t="array" ref="AT169">_xlfn.IFS(AS169="Undetermined", 0, AS169="Undiluted", AP169*$G169/$F169*1000, AS169="Ten-Fold", AR169*$G169/$F169*1000*10, AS169&lt;0, AR169*$G169/$F169*1000*10, AS169&lt;120, AP169*$G169/$F169*1000, AS169&gt;120, AR169*$G169/$F169*1000*10)</f>
        <v>0</v>
      </c>
      <c r="AU169" s="156" t="str">
        <f t="shared" si="48"/>
        <v>DELETE</v>
      </c>
      <c r="AV169" s="156" t="str">
        <f t="shared" si="49"/>
        <v>DELETE</v>
      </c>
      <c r="AW169" s="156" t="str">
        <f t="shared" si="50"/>
        <v>DELETE</v>
      </c>
      <c r="AX169" s="160" t="str" cm="1">
        <f t="array" ref="AX169">_xlfn.IFS(AU169="DELETE", "DELETE", AU169=0, 0, AU169&gt;0,LOG10(AU169))</f>
        <v>DELETE</v>
      </c>
      <c r="AY169" s="161" t="str" cm="1">
        <f t="array" ref="AY169">_xlfn.IFS(AU169="DELETE", "DELETE", AU169=0, 0, AU169&gt;0, AW169/AU169/LN(10))</f>
        <v>DELETE</v>
      </c>
      <c r="AZ169" s="120">
        <f>qPCR_Raw!AG169</f>
        <v>24.087650299072266</v>
      </c>
      <c r="BA169" s="121" cm="1">
        <f t="array" ref="BA169">_xlfn.IFS(AZ169="Undetermined", 0, qPCR_Raw!AH169&lt;=1, 0, qPCR_Raw!AH169&gt;1, qPCR_Raw!AH169)</f>
        <v>2671.869384765625</v>
      </c>
      <c r="BB169" s="122">
        <f>qPCR_Raw!AJ169</f>
        <v>26.508146286010742</v>
      </c>
      <c r="BC169" s="121" cm="1">
        <f t="array" ref="BC169">_xlfn.IFS(BB169="Undetermined", 0, qPCR_Raw!AK169&lt;=1, 0, qPCR_Raw!AK169&gt;1, qPCR_Raw!AK169)</f>
        <v>578.0826416015625</v>
      </c>
      <c r="BD169" s="123" cm="1">
        <f t="array" ref="BD169">_xlfn.IFS(AND(AZ169="Undetermined", BB169="Undetermined"), "Undetermined", AND(BA169=0, BC169=0), "Undetermined", AND(BA169=0, BC169&gt;0), "Ten-Fold", AND(BA169&gt;0, BC169=0), "Undiluted", AND(AZ169&lt;&gt;"Undetermined", BB169&lt;&gt;"Undetermined", BA169&gt;0, BC169&gt;0, AZ169&lt;&gt;BB169), 100*(-1+10^(-1/(AZ169-BB169))), AND(AZ169&lt;&gt;"Undetermined", BB169&lt;&gt;"Undetermined", AZ169=BB169&gt;0), -100)</f>
        <v>158.90382484420198</v>
      </c>
      <c r="BE169" s="124" cm="1">
        <f t="array" ref="BE169">_xlfn.IFS(BD169="Undetermined", 0, BD169="Undiluted", BA169*$G169/$F169*1000, BD169="Ten-Fold", BC169*$G169/$F169*1000*10, BD169&lt;0, BC169*$G169/$F169*1000*10, BD169&lt;120, BA169*$G169/$F169*1000, BD169&gt;120, BC169*$G169/$F169*1000*10)</f>
        <v>578082.6416015625</v>
      </c>
      <c r="BF169" s="121" t="str">
        <f t="shared" si="51"/>
        <v>DELETE</v>
      </c>
      <c r="BG169" s="121" t="str">
        <f t="shared" si="52"/>
        <v>DELETE</v>
      </c>
      <c r="BH169" s="121" t="str">
        <f t="shared" si="53"/>
        <v>DELETE</v>
      </c>
      <c r="BI169" s="125" t="str" cm="1">
        <f t="array" ref="BI169">_xlfn.IFS(BF169="DELETE", "DELETE", BF169=0, 0, BF169&gt;0,LOG10(BF169))</f>
        <v>DELETE</v>
      </c>
      <c r="BJ169" s="126" t="str" cm="1">
        <f t="array" ref="BJ169">_xlfn.IFS(BF169="DELETE", "DELETE", BF169=0, 0, BF169&gt;0, BH169/BF169/LN(10))</f>
        <v>DELETE</v>
      </c>
    </row>
    <row r="170" spans="1:62" s="114" customFormat="1" x14ac:dyDescent="0.3">
      <c r="A170" s="115" t="str">
        <f>UPPER(LEFT(SUBSTITUTE(SUBSTITUTE(qPCR_Raw!A170,"-","")," ",""),2))&amp;RIGHT(SUBSTITUTE(SUBSTITUTE(qPCR_Raw!A170,"-","")," ",""),LEN(SUBSTITUTE(SUBSTITUTE(qPCR_Raw!A170,"-","")," ",""))-2)</f>
        <v>STa6</v>
      </c>
      <c r="B170" s="116" t="str" cm="1">
        <f t="array" ref="B170">_xlfn.IFS(LEFT(A170, LEN(A170)-1)="EP", "EP", LEFT(A170, LEN(A170)-1)="STa", "SPI", LEFT(A170, LEN(A170)-1)="STb", "SPO", LEFT(A170, LEN(A170)-1)="MRT", "MRT", LEFT(A170, LEN(A170)-1)="RG", "RN", LEFT(A170, LEN(A170)-1)="RT", "RU", LEFT(A170, LEN(A170)-1)="RW", "RL", LEFT(A170, LEN(A170)-1)="RC", "RS")</f>
        <v>SPI</v>
      </c>
      <c r="C170" s="117">
        <f>qPCR_Raw!B170</f>
        <v>44405</v>
      </c>
      <c r="D170" s="117" t="str">
        <f t="shared" si="37"/>
        <v>SPI44405</v>
      </c>
      <c r="E170" s="117" t="str">
        <f t="shared" si="38"/>
        <v>SPI444056</v>
      </c>
      <c r="F170" s="118">
        <f>qPCR_Raw!C170</f>
        <v>950</v>
      </c>
      <c r="G170" s="119">
        <f>qPCR_Raw!F170</f>
        <v>100</v>
      </c>
      <c r="H170" s="120">
        <f>qPCR_Raw!G170</f>
        <v>17.352470397949219</v>
      </c>
      <c r="I170" s="121" cm="1">
        <f t="array" ref="I170">_xlfn.IFS(H170="Undetermined", 0, qPCR_Raw!H170-qPCR_Raw!$H$242&lt;0, 0, qPCR_Raw!H170-qPCR_Raw!$H$242&gt;0, qPCR_Raw!H170-qPCR_Raw!$H$242)</f>
        <v>606815.04894612625</v>
      </c>
      <c r="J170" s="122">
        <f>qPCR_Raw!K170</f>
        <v>20.250705718994141</v>
      </c>
      <c r="K170" s="121" cm="1">
        <f t="array" ref="K170">_xlfn.IFS(J170="Undetermined", 0, qPCR_Raw!L170-qPCR_Raw!$H$242&lt;0, 0, qPCR_Raw!L170-qPCR_Raw!$H$242&gt;0, qPCR_Raw!L170-qPCR_Raw!$H$242)</f>
        <v>76284.947383626306</v>
      </c>
      <c r="L170" s="123" cm="1">
        <f t="array" ref="L170">_xlfn.IFS(AND(H170="Undetermined", J170="Undetermined"), "Undetermined", AND(I170=0, K170=0), "Undetermined", AND(I170=0, K170&gt;0), "Ten-Fold", AND(I170&gt;0, K170=0), "Undiluted", AND(H170&lt;&gt;"Undetermined", J170&lt;&gt;"Undetermined", I170&gt;0, K170&gt;0), 100*(-1+10^(-1/(H170-J170))))</f>
        <v>121.32860411370237</v>
      </c>
      <c r="M170" s="124" cm="1">
        <f t="array" ref="M170">_xlfn.IFS(L170="Undetermined", 0, L170="Undiluted", I170*$G170/$F170*1000, L170="Ten-Fold", K170*$G170/$F170*1000*10, L170&lt;0, K170*$G170/$F170*1000*10, L170&lt;120, I170*$G170/$F170*1000, L170&gt;120, K170*$G170/$F170*1000*10)</f>
        <v>80299944.614343479</v>
      </c>
      <c r="N170" s="121">
        <f t="shared" si="39"/>
        <v>405670191.50834006</v>
      </c>
      <c r="O170" s="121">
        <f t="shared" si="40"/>
        <v>460143015.95017231</v>
      </c>
      <c r="P170" s="121">
        <f t="shared" si="41"/>
        <v>325370246.89399654</v>
      </c>
      <c r="Q170" s="125" cm="1">
        <f t="array" ref="Q170">_xlfn.IFS(N170="DELETE", "DELETE", N170=0, 0, N170&gt;0,LOG10(N170))</f>
        <v>8.6081730970830517</v>
      </c>
      <c r="R170" s="126" cm="1">
        <f t="array" ref="R170">_xlfn.IFS(N170="DELETE", "DELETE", N170=0, 0, N170&gt;0, P170/N170/LN(10))</f>
        <v>0.34832853327517965</v>
      </c>
      <c r="S170" s="155" t="str">
        <f>qPCR_Raw!O170</f>
        <v>Undetermined</v>
      </c>
      <c r="T170" s="156" cm="1">
        <f t="array" ref="T170">_xlfn.IFS(S170="Undetermined", 0, qPCR_Raw!P170&lt;=1, 0, qPCR_Raw!P170&gt;1, qPCR_Raw!P170)</f>
        <v>0</v>
      </c>
      <c r="U170" s="157" t="str">
        <f>qPCR_Raw!R170</f>
        <v>Undetermined</v>
      </c>
      <c r="V170" s="156" cm="1">
        <f t="array" ref="V170">_xlfn.IFS(U170="Undetermined", 0, qPCR_Raw!S170&lt;=1, 0, qPCR_Raw!S170&gt;1, qPCR_Raw!S170)</f>
        <v>0</v>
      </c>
      <c r="W170" s="158" t="str" cm="1">
        <f t="array" ref="W170">_xlfn.IFS(AND(S170="Undetermined", U170="Undetermined"), "Undetermined", AND(T170=0, V170=0), "Undetermined", AND(T170=0, V170&gt;0), "Ten-Fold", AND(T170&gt;0, V170=0), "Undiluted", AND(S170&lt;&gt;"Undetermined", U170&lt;&gt;"Undetermined", T170&gt;0, V170&gt;0, S170&lt;&gt;U170), 100*(-1+10^(-1/(S170-U170))), AND(S170&lt;&gt;"Undetermined", U170&lt;&gt;"Undetermined", S170=U170&gt;0), -100)</f>
        <v>Undetermined</v>
      </c>
      <c r="X170" s="159" cm="1">
        <f t="array" ref="X170">_xlfn.IFS(W170="Undetermined", 0, W170="Undiluted", T170*$G170/$F170*1000, W170="Ten-Fold", V170*$G170/$F170*1000*10, W170&lt;0, V170*$G170/$F170*1000*10, W170&lt;120, T170*$G170/$F170*1000, W170&gt;120, V170*$G170/$F170*1000*10)</f>
        <v>0</v>
      </c>
      <c r="Y170" s="156">
        <f t="shared" si="42"/>
        <v>0</v>
      </c>
      <c r="Z170" s="156">
        <f t="shared" si="43"/>
        <v>0</v>
      </c>
      <c r="AA170" s="156">
        <f t="shared" si="44"/>
        <v>0</v>
      </c>
      <c r="AB170" s="160" cm="1">
        <f t="array" ref="AB170">_xlfn.IFS(Y170="DELETE", "DELETE", Y170=0, 0, Y170&gt;0,LOG10(Y170))</f>
        <v>0</v>
      </c>
      <c r="AC170" s="161" cm="1">
        <f t="array" ref="AC170">_xlfn.IFS(Y170="DELETE", "DELETE", Y170=0, 0, Y170&gt;0, AA170/Y170/LN(10))</f>
        <v>0</v>
      </c>
      <c r="AD170" s="120">
        <f>qPCR_Raw!U170</f>
        <v>36.078182220458984</v>
      </c>
      <c r="AE170" s="121" cm="1">
        <f t="array" ref="AE170">_xlfn.IFS(AD170="Undetermined", 0, qPCR_Raw!V170&lt;=1, 0, qPCR_Raw!V170&gt;1, qPCR_Raw!V170)</f>
        <v>0</v>
      </c>
      <c r="AF170" s="122" t="str">
        <f>qPCR_Raw!X170</f>
        <v>Undetermined</v>
      </c>
      <c r="AG170" s="121" cm="1">
        <f t="array" ref="AG170">_xlfn.IFS(AF170="Undetermined", 0, qPCR_Raw!Y170&lt;=1, 0, qPCR_Raw!Y170&gt;1, qPCR_Raw!Y170)</f>
        <v>0</v>
      </c>
      <c r="AH170" s="123" t="str" cm="1">
        <f t="array" ref="AH170">_xlfn.IFS(AND(AD170="Undetermined", AF170="Undetermined"), "Undetermined", AND(AE170=0, AG170=0), "Undetermined", AND(AE170=0, AG170&gt;0), "Ten-Fold", AND(AE170&gt;0, AG170=0), "Undiluted", AND(AD170&lt;&gt;"Undetermined", AF170&lt;&gt;"Undetermined", AE170&gt;0, AG170&gt;0, AD170&lt;&gt;AF170), 100*(-1+10^(-1/(AD170-AF170))), AND(AD170&lt;&gt;"Undetermined", AF170&lt;&gt;"Undetermined", AD170=AF170&gt;0), -100)</f>
        <v>Undetermined</v>
      </c>
      <c r="AI170" s="124" cm="1">
        <f t="array" ref="AI170">_xlfn.IFS(AH170="Undetermined", 0, AH170="Undiluted", AE170*$G170/$F170*1000, AH170="Ten-Fold", AG170*$G170/$F170*1000*10, AH170&lt;0, AG170*$G170/$F170*1000*10, AH170&lt;120, AE170*$G170/$F170*1000, AH170&gt;120, AG170*$G170/$F170*1000*10)</f>
        <v>0</v>
      </c>
      <c r="AJ170" s="121">
        <f t="shared" si="45"/>
        <v>0</v>
      </c>
      <c r="AK170" s="121">
        <f t="shared" si="46"/>
        <v>0</v>
      </c>
      <c r="AL170" s="121">
        <f t="shared" si="47"/>
        <v>0</v>
      </c>
      <c r="AM170" s="125" cm="1">
        <f t="array" ref="AM170">_xlfn.IFS(AJ170="DELETE", "DELETE", AJ170=0, 0, AJ170&gt;0,LOG10(AJ170))</f>
        <v>0</v>
      </c>
      <c r="AN170" s="126" cm="1">
        <f t="array" ref="AN170">_xlfn.IFS(AJ170="DELETE", "DELETE", AJ170=0, 0, AJ170&gt;0, AL170/AJ170/LN(10))</f>
        <v>0</v>
      </c>
      <c r="AO170" s="155">
        <f>qPCR_Raw!AA170</f>
        <v>22.188026428222656</v>
      </c>
      <c r="AP170" s="156" cm="1">
        <f t="array" ref="AP170">_xlfn.IFS(AO170="Undetermined", 0, qPCR_Raw!AB170&lt;=6, 0, qPCR_Raw!AB170&gt;6, qPCR_Raw!AB170)</f>
        <v>932.3192138671875</v>
      </c>
      <c r="AQ170" s="157">
        <f>qPCR_Raw!AD170</f>
        <v>25.010467529296875</v>
      </c>
      <c r="AR170" s="156" cm="1">
        <f t="array" ref="AR170">_xlfn.IFS(AQ170="Undetermined", 0, qPCR_Raw!AE170&lt;=6, 0, qPCR_Raw!AE170&gt;6, qPCR_Raw!AE170)</f>
        <v>152.44264221191406</v>
      </c>
      <c r="AS170" s="158" cm="1">
        <f t="array" ref="AS170">_xlfn.IFS(AND(AO170="Undetermined", AQ170="Undetermined"), "Undetermined", AND(AP170=0, AR170=0), "Undetermined", AND(AP170=0, AR170&gt;0), "Ten-Fold", AND(AP170&gt;0, AR170=0), "Undiluted", AND(AO170&lt;&gt;"Undetermined", AQ170&lt;&gt;"Undetermined", AP170&gt;0, AR170&gt;0, AO170&lt;&gt;AQ170), 100*(-1+10^(-1/(AO170-AQ170))), AND(AO170&lt;&gt;"Undetermined", AQ170&lt;&gt;"Undetermined", AO170=AQ170&gt;0), -100)</f>
        <v>126.10138908302066</v>
      </c>
      <c r="AT170" s="159" cm="1">
        <f t="array" ref="AT170">_xlfn.IFS(AS170="Undetermined", 0, AS170="Undiluted", AP170*$G170/$F170*1000, AS170="Ten-Fold", AR170*$G170/$F170*1000*10, AS170&lt;0, AR170*$G170/$F170*1000*10, AS170&lt;120, AP170*$G170/$F170*1000, AS170&gt;120, AR170*$G170/$F170*1000*10)</f>
        <v>160465.93917043583</v>
      </c>
      <c r="AU170" s="156">
        <f t="shared" si="48"/>
        <v>735372.31754194864</v>
      </c>
      <c r="AV170" s="156">
        <f t="shared" si="49"/>
        <v>813040.39738779177</v>
      </c>
      <c r="AW170" s="156">
        <f t="shared" si="50"/>
        <v>574906.37837151287</v>
      </c>
      <c r="AX170" s="160" cm="1">
        <f t="array" ref="AX170">_xlfn.IFS(AU170="DELETE", "DELETE", AU170=0, 0, AU170&gt;0,LOG10(AU170))</f>
        <v>5.8665072771985223</v>
      </c>
      <c r="AY170" s="161" cm="1">
        <f t="array" ref="AY170">_xlfn.IFS(AU170="DELETE", "DELETE", AU170=0, 0, AU170&gt;0, AW170/AU170/LN(10))</f>
        <v>0.33952687880923438</v>
      </c>
      <c r="AZ170" s="120" t="str">
        <f>qPCR_Raw!AG170</f>
        <v>Undetermined</v>
      </c>
      <c r="BA170" s="121" cm="1">
        <f t="array" ref="BA170">_xlfn.IFS(AZ170="Undetermined", 0, qPCR_Raw!AH170&lt;=1, 0, qPCR_Raw!AH170&gt;1, qPCR_Raw!AH170)</f>
        <v>0</v>
      </c>
      <c r="BB170" s="122" t="str">
        <f>qPCR_Raw!AJ170</f>
        <v>Undetermined</v>
      </c>
      <c r="BC170" s="121" cm="1">
        <f t="array" ref="BC170">_xlfn.IFS(BB170="Undetermined", 0, qPCR_Raw!AK170&lt;=1, 0, qPCR_Raw!AK170&gt;1, qPCR_Raw!AK170)</f>
        <v>0</v>
      </c>
      <c r="BD170" s="123" t="str" cm="1">
        <f t="array" ref="BD170">_xlfn.IFS(AND(AZ170="Undetermined", BB170="Undetermined"), "Undetermined", AND(BA170=0, BC170=0), "Undetermined", AND(BA170=0, BC170&gt;0), "Ten-Fold", AND(BA170&gt;0, BC170=0), "Undiluted", AND(AZ170&lt;&gt;"Undetermined", BB170&lt;&gt;"Undetermined", BA170&gt;0, BC170&gt;0, AZ170&lt;&gt;BB170), 100*(-1+10^(-1/(AZ170-BB170))), AND(AZ170&lt;&gt;"Undetermined", BB170&lt;&gt;"Undetermined", AZ170=BB170&gt;0), -100)</f>
        <v>Undetermined</v>
      </c>
      <c r="BE170" s="124" cm="1">
        <f t="array" ref="BE170">_xlfn.IFS(BD170="Undetermined", 0, BD170="Undiluted", BA170*$G170/$F170*1000, BD170="Ten-Fold", BC170*$G170/$F170*1000*10, BD170&lt;0, BC170*$G170/$F170*1000*10, BD170&lt;120, BA170*$G170/$F170*1000, BD170&gt;120, BC170*$G170/$F170*1000*10)</f>
        <v>0</v>
      </c>
      <c r="BF170" s="121">
        <f t="shared" si="51"/>
        <v>0</v>
      </c>
      <c r="BG170" s="121">
        <f t="shared" si="52"/>
        <v>0</v>
      </c>
      <c r="BH170" s="121">
        <f t="shared" si="53"/>
        <v>0</v>
      </c>
      <c r="BI170" s="125" cm="1">
        <f t="array" ref="BI170">_xlfn.IFS(BF170="DELETE", "DELETE", BF170=0, 0, BF170&gt;0,LOG10(BF170))</f>
        <v>0</v>
      </c>
      <c r="BJ170" s="126" cm="1">
        <f t="array" ref="BJ170">_xlfn.IFS(BF170="DELETE", "DELETE", BF170=0, 0, BF170&gt;0, BH170/BF170/LN(10))</f>
        <v>0</v>
      </c>
    </row>
    <row r="171" spans="1:62" s="114" customFormat="1" x14ac:dyDescent="0.3">
      <c r="A171" s="115" t="str">
        <f>UPPER(LEFT(SUBSTITUTE(SUBSTITUTE(qPCR_Raw!A171,"-","")," ",""),2))&amp;RIGHT(SUBSTITUTE(SUBSTITUTE(qPCR_Raw!A171,"-","")," ",""),LEN(SUBSTITUTE(SUBSTITUTE(qPCR_Raw!A171,"-","")," ",""))-2)</f>
        <v>STa7</v>
      </c>
      <c r="B171" s="116" t="str" cm="1">
        <f t="array" ref="B171">_xlfn.IFS(LEFT(A171, LEN(A171)-1)="EP", "EP", LEFT(A171, LEN(A171)-1)="STa", "SPI", LEFT(A171, LEN(A171)-1)="STb", "SPO", LEFT(A171, LEN(A171)-1)="MRT", "MRT", LEFT(A171, LEN(A171)-1)="RG", "RN", LEFT(A171, LEN(A171)-1)="RT", "RU", LEFT(A171, LEN(A171)-1)="RW", "RL", LEFT(A171, LEN(A171)-1)="RC", "RS")</f>
        <v>SPI</v>
      </c>
      <c r="C171" s="117">
        <f>qPCR_Raw!B171</f>
        <v>44405</v>
      </c>
      <c r="D171" s="117" t="str">
        <f t="shared" si="37"/>
        <v>SPI44405</v>
      </c>
      <c r="E171" s="117" t="str">
        <f t="shared" si="38"/>
        <v>SPI444057</v>
      </c>
      <c r="F171" s="118">
        <f>qPCR_Raw!C171</f>
        <v>910</v>
      </c>
      <c r="G171" s="119">
        <f>qPCR_Raw!F171</f>
        <v>100</v>
      </c>
      <c r="H171" s="120">
        <f>qPCR_Raw!G171</f>
        <v>14.333409309387207</v>
      </c>
      <c r="I171" s="121" cm="1">
        <f t="array" ref="I171">_xlfn.IFS(H171="Undetermined", 0, qPCR_Raw!H171-qPCR_Raw!$H$242&lt;0, 0, qPCR_Raw!H171-qPCR_Raw!$H$242&gt;0, qPCR_Raw!H171-qPCR_Raw!$H$242)</f>
        <v>4652430.8614461264</v>
      </c>
      <c r="J171" s="122">
        <f>qPCR_Raw!K171</f>
        <v>17.217721939086914</v>
      </c>
      <c r="K171" s="121" cm="1">
        <f t="array" ref="K171">_xlfn.IFS(J171="Undetermined", 0, qPCR_Raw!L171-qPCR_Raw!$H$242&lt;0, 0, qPCR_Raw!L171-qPCR_Raw!$H$242&gt;0, qPCR_Raw!L171-qPCR_Raw!$H$242)</f>
        <v>665246.79894612625</v>
      </c>
      <c r="L171" s="123" cm="1">
        <f t="array" ref="L171">_xlfn.IFS(AND(H171="Undetermined", J171="Undetermined"), "Undetermined", AND(I171=0, K171=0), "Undetermined", AND(I171=0, K171&gt;0), "Ten-Fold", AND(I171&gt;0, K171=0), "Undiluted", AND(H171&lt;&gt;"Undetermined", J171&lt;&gt;"Undetermined", I171&gt;0, K171&gt;0), 100*(-1+10^(-1/(H171-J171))))</f>
        <v>122.17902412979957</v>
      </c>
      <c r="M171" s="124" cm="1">
        <f t="array" ref="M171">_xlfn.IFS(L171="Undetermined", 0, L171="Undiluted", I171*$G171/$F171*1000, L171="Ten-Fold", K171*$G171/$F171*1000*10, L171&lt;0, K171*$G171/$F171*1000*10, L171&lt;120, I171*$G171/$F171*1000, L171&gt;120, K171*$G171/$F171*1000*10)</f>
        <v>731040438.4023366</v>
      </c>
      <c r="N171" s="121" t="str">
        <f t="shared" si="39"/>
        <v>DELETE</v>
      </c>
      <c r="O171" s="121" t="str">
        <f t="shared" si="40"/>
        <v>DELETE</v>
      </c>
      <c r="P171" s="121" t="str">
        <f t="shared" si="41"/>
        <v>DELETE</v>
      </c>
      <c r="Q171" s="125" t="str" cm="1">
        <f t="array" ref="Q171">_xlfn.IFS(N171="DELETE", "DELETE", N171=0, 0, N171&gt;0,LOG10(N171))</f>
        <v>DELETE</v>
      </c>
      <c r="R171" s="126" t="str" cm="1">
        <f t="array" ref="R171">_xlfn.IFS(N171="DELETE", "DELETE", N171=0, 0, N171&gt;0, P171/N171/LN(10))</f>
        <v>DELETE</v>
      </c>
      <c r="S171" s="155" t="str">
        <f>qPCR_Raw!O171</f>
        <v>Undetermined</v>
      </c>
      <c r="T171" s="156" cm="1">
        <f t="array" ref="T171">_xlfn.IFS(S171="Undetermined", 0, qPCR_Raw!P171&lt;=1, 0, qPCR_Raw!P171&gt;1, qPCR_Raw!P171)</f>
        <v>0</v>
      </c>
      <c r="U171" s="157" t="str">
        <f>qPCR_Raw!R171</f>
        <v>Undetermined</v>
      </c>
      <c r="V171" s="156" cm="1">
        <f t="array" ref="V171">_xlfn.IFS(U171="Undetermined", 0, qPCR_Raw!S171&lt;=1, 0, qPCR_Raw!S171&gt;1, qPCR_Raw!S171)</f>
        <v>0</v>
      </c>
      <c r="W171" s="158" t="str" cm="1">
        <f t="array" ref="W171">_xlfn.IFS(AND(S171="Undetermined", U171="Undetermined"), "Undetermined", AND(T171=0, V171=0), "Undetermined", AND(T171=0, V171&gt;0), "Ten-Fold", AND(T171&gt;0, V171=0), "Undiluted", AND(S171&lt;&gt;"Undetermined", U171&lt;&gt;"Undetermined", T171&gt;0, V171&gt;0, S171&lt;&gt;U171), 100*(-1+10^(-1/(S171-U171))), AND(S171&lt;&gt;"Undetermined", U171&lt;&gt;"Undetermined", S171=U171&gt;0), -100)</f>
        <v>Undetermined</v>
      </c>
      <c r="X171" s="159" cm="1">
        <f t="array" ref="X171">_xlfn.IFS(W171="Undetermined", 0, W171="Undiluted", T171*$G171/$F171*1000, W171="Ten-Fold", V171*$G171/$F171*1000*10, W171&lt;0, V171*$G171/$F171*1000*10, W171&lt;120, T171*$G171/$F171*1000, W171&gt;120, V171*$G171/$F171*1000*10)</f>
        <v>0</v>
      </c>
      <c r="Y171" s="156" t="str">
        <f t="shared" si="42"/>
        <v>DELETE</v>
      </c>
      <c r="Z171" s="156" t="str">
        <f t="shared" si="43"/>
        <v>DELETE</v>
      </c>
      <c r="AA171" s="156" t="str">
        <f t="shared" si="44"/>
        <v>DELETE</v>
      </c>
      <c r="AB171" s="160" t="str" cm="1">
        <f t="array" ref="AB171">_xlfn.IFS(Y171="DELETE", "DELETE", Y171=0, 0, Y171&gt;0,LOG10(Y171))</f>
        <v>DELETE</v>
      </c>
      <c r="AC171" s="161" t="str" cm="1">
        <f t="array" ref="AC171">_xlfn.IFS(Y171="DELETE", "DELETE", Y171=0, 0, Y171&gt;0, AA171/Y171/LN(10))</f>
        <v>DELETE</v>
      </c>
      <c r="AD171" s="120">
        <f>qPCR_Raw!U171</f>
        <v>38.537860870361328</v>
      </c>
      <c r="AE171" s="121" cm="1">
        <f t="array" ref="AE171">_xlfn.IFS(AD171="Undetermined", 0, qPCR_Raw!V171&lt;=1, 0, qPCR_Raw!V171&gt;1, qPCR_Raw!V171)</f>
        <v>0</v>
      </c>
      <c r="AF171" s="122">
        <f>qPCR_Raw!X171</f>
        <v>36.680885314941406</v>
      </c>
      <c r="AG171" s="121" cm="1">
        <f t="array" ref="AG171">_xlfn.IFS(AF171="Undetermined", 0, qPCR_Raw!Y171&lt;=1, 0, qPCR_Raw!Y171&gt;1, qPCR_Raw!Y171)</f>
        <v>0</v>
      </c>
      <c r="AH171" s="123" t="str" cm="1">
        <f t="array" ref="AH171">_xlfn.IFS(AND(AD171="Undetermined", AF171="Undetermined"), "Undetermined", AND(AE171=0, AG171=0), "Undetermined", AND(AE171=0, AG171&gt;0), "Ten-Fold", AND(AE171&gt;0, AG171=0), "Undiluted", AND(AD171&lt;&gt;"Undetermined", AF171&lt;&gt;"Undetermined", AE171&gt;0, AG171&gt;0, AD171&lt;&gt;AF171), 100*(-1+10^(-1/(AD171-AF171))), AND(AD171&lt;&gt;"Undetermined", AF171&lt;&gt;"Undetermined", AD171=AF171&gt;0), -100)</f>
        <v>Undetermined</v>
      </c>
      <c r="AI171" s="124" cm="1">
        <f t="array" ref="AI171">_xlfn.IFS(AH171="Undetermined", 0, AH171="Undiluted", AE171*$G171/$F171*1000, AH171="Ten-Fold", AG171*$G171/$F171*1000*10, AH171&lt;0, AG171*$G171/$F171*1000*10, AH171&lt;120, AE171*$G171/$F171*1000, AH171&gt;120, AG171*$G171/$F171*1000*10)</f>
        <v>0</v>
      </c>
      <c r="AJ171" s="121" t="str">
        <f t="shared" si="45"/>
        <v>DELETE</v>
      </c>
      <c r="AK171" s="121" t="str">
        <f t="shared" si="46"/>
        <v>DELETE</v>
      </c>
      <c r="AL171" s="121" t="str">
        <f t="shared" si="47"/>
        <v>DELETE</v>
      </c>
      <c r="AM171" s="125" t="str" cm="1">
        <f t="array" ref="AM171">_xlfn.IFS(AJ171="DELETE", "DELETE", AJ171=0, 0, AJ171&gt;0,LOG10(AJ171))</f>
        <v>DELETE</v>
      </c>
      <c r="AN171" s="126" t="str" cm="1">
        <f t="array" ref="AN171">_xlfn.IFS(AJ171="DELETE", "DELETE", AJ171=0, 0, AJ171&gt;0, AL171/AJ171/LN(10))</f>
        <v>DELETE</v>
      </c>
      <c r="AO171" s="155">
        <f>qPCR_Raw!AA171</f>
        <v>18.215797424316406</v>
      </c>
      <c r="AP171" s="156" cm="1">
        <f t="array" ref="AP171">_xlfn.IFS(AO171="Undetermined", 0, qPCR_Raw!AB171&lt;=6, 0, qPCR_Raw!AB171&gt;6, qPCR_Raw!AB171)</f>
        <v>11923.5361328125</v>
      </c>
      <c r="AQ171" s="157">
        <f>qPCR_Raw!AD171</f>
        <v>21.231155395507813</v>
      </c>
      <c r="AR171" s="156" cm="1">
        <f t="array" ref="AR171">_xlfn.IFS(AQ171="Undetermined", 0, qPCR_Raw!AE171&lt;=6, 0, qPCR_Raw!AE171&gt;6, qPCR_Raw!AE171)</f>
        <v>1722.6285400390625</v>
      </c>
      <c r="AS171" s="158" cm="1">
        <f t="array" ref="AS171">_xlfn.IFS(AND(AO171="Undetermined", AQ171="Undetermined"), "Undetermined", AND(AP171=0, AR171=0), "Undetermined", AND(AP171=0, AR171&gt;0), "Ten-Fold", AND(AP171&gt;0, AR171=0), "Undiluted", AND(AO171&lt;&gt;"Undetermined", AQ171&lt;&gt;"Undetermined", AP171&gt;0, AR171&gt;0, AO171&lt;&gt;AQ171), 100*(-1+10^(-1/(AO171-AQ171))), AND(AO171&lt;&gt;"Undetermined", AQ171&lt;&gt;"Undetermined", AO171=AQ171&gt;0), -100)</f>
        <v>114.60289851096839</v>
      </c>
      <c r="AT171" s="159" cm="1">
        <f t="array" ref="AT171">_xlfn.IFS(AS171="Undetermined", 0, AS171="Undiluted", AP171*$G171/$F171*1000, AS171="Ten-Fold", AR171*$G171/$F171*1000*10, AS171&lt;0, AR171*$G171/$F171*1000*10, AS171&lt;120, AP171*$G171/$F171*1000, AS171&gt;120, AR171*$G171/$F171*1000*10)</f>
        <v>1310278.6959134615</v>
      </c>
      <c r="AU171" s="156" t="str">
        <f t="shared" si="48"/>
        <v>DELETE</v>
      </c>
      <c r="AV171" s="156" t="str">
        <f t="shared" si="49"/>
        <v>DELETE</v>
      </c>
      <c r="AW171" s="156" t="str">
        <f t="shared" si="50"/>
        <v>DELETE</v>
      </c>
      <c r="AX171" s="160" t="str" cm="1">
        <f t="array" ref="AX171">_xlfn.IFS(AU171="DELETE", "DELETE", AU171=0, 0, AU171&gt;0,LOG10(AU171))</f>
        <v>DELETE</v>
      </c>
      <c r="AY171" s="161" t="str" cm="1">
        <f t="array" ref="AY171">_xlfn.IFS(AU171="DELETE", "DELETE", AU171=0, 0, AU171&gt;0, AW171/AU171/LN(10))</f>
        <v>DELETE</v>
      </c>
      <c r="AZ171" s="120">
        <f>qPCR_Raw!AG171</f>
        <v>37.065433502197266</v>
      </c>
      <c r="BA171" s="121" cm="1">
        <f t="array" ref="BA171">_xlfn.IFS(AZ171="Undetermined", 0, qPCR_Raw!AH171&lt;=1, 0, qPCR_Raw!AH171&gt;1, qPCR_Raw!AH171)</f>
        <v>0</v>
      </c>
      <c r="BB171" s="122" t="str">
        <f>qPCR_Raw!AJ171</f>
        <v>Undetermined</v>
      </c>
      <c r="BC171" s="121" cm="1">
        <f t="array" ref="BC171">_xlfn.IFS(BB171="Undetermined", 0, qPCR_Raw!AK171&lt;=1, 0, qPCR_Raw!AK171&gt;1, qPCR_Raw!AK171)</f>
        <v>0</v>
      </c>
      <c r="BD171" s="123" t="str" cm="1">
        <f t="array" ref="BD171">_xlfn.IFS(AND(AZ171="Undetermined", BB171="Undetermined"), "Undetermined", AND(BA171=0, BC171=0), "Undetermined", AND(BA171=0, BC171&gt;0), "Ten-Fold", AND(BA171&gt;0, BC171=0), "Undiluted", AND(AZ171&lt;&gt;"Undetermined", BB171&lt;&gt;"Undetermined", BA171&gt;0, BC171&gt;0, AZ171&lt;&gt;BB171), 100*(-1+10^(-1/(AZ171-BB171))), AND(AZ171&lt;&gt;"Undetermined", BB171&lt;&gt;"Undetermined", AZ171=BB171&gt;0), -100)</f>
        <v>Undetermined</v>
      </c>
      <c r="BE171" s="124" cm="1">
        <f t="array" ref="BE171">_xlfn.IFS(BD171="Undetermined", 0, BD171="Undiluted", BA171*$G171/$F171*1000, BD171="Ten-Fold", BC171*$G171/$F171*1000*10, BD171&lt;0, BC171*$G171/$F171*1000*10, BD171&lt;120, BA171*$G171/$F171*1000, BD171&gt;120, BC171*$G171/$F171*1000*10)</f>
        <v>0</v>
      </c>
      <c r="BF171" s="121" t="str">
        <f t="shared" si="51"/>
        <v>DELETE</v>
      </c>
      <c r="BG171" s="121" t="str">
        <f t="shared" si="52"/>
        <v>DELETE</v>
      </c>
      <c r="BH171" s="121" t="str">
        <f t="shared" si="53"/>
        <v>DELETE</v>
      </c>
      <c r="BI171" s="125" t="str" cm="1">
        <f t="array" ref="BI171">_xlfn.IFS(BF171="DELETE", "DELETE", BF171=0, 0, BF171&gt;0,LOG10(BF171))</f>
        <v>DELETE</v>
      </c>
      <c r="BJ171" s="126" t="str" cm="1">
        <f t="array" ref="BJ171">_xlfn.IFS(BF171="DELETE", "DELETE", BF171=0, 0, BF171&gt;0, BH171/BF171/LN(10))</f>
        <v>DELETE</v>
      </c>
    </row>
    <row r="172" spans="1:62" s="114" customFormat="1" x14ac:dyDescent="0.3">
      <c r="A172" s="115" t="str">
        <f>UPPER(LEFT(SUBSTITUTE(SUBSTITUTE(qPCR_Raw!A172,"-","")," ",""),2))&amp;RIGHT(SUBSTITUTE(SUBSTITUTE(qPCR_Raw!A172,"-","")," ",""),LEN(SUBSTITUTE(SUBSTITUTE(qPCR_Raw!A172,"-","")," ",""))-2)</f>
        <v>EP6</v>
      </c>
      <c r="B172" s="116" t="str" cm="1">
        <f t="array" ref="B172">_xlfn.IFS(LEFT(A172, LEN(A172)-1)="EP", "EP", LEFT(A172, LEN(A172)-1)="STa", "SPI", LEFT(A172, LEN(A172)-1)="STb", "SPO", LEFT(A172, LEN(A172)-1)="MRT", "MRT", LEFT(A172, LEN(A172)-1)="RG", "RN", LEFT(A172, LEN(A172)-1)="RT", "RU", LEFT(A172, LEN(A172)-1)="RW", "RL", LEFT(A172, LEN(A172)-1)="RC", "RS")</f>
        <v>EP</v>
      </c>
      <c r="C172" s="117">
        <f>qPCR_Raw!B172</f>
        <v>44412</v>
      </c>
      <c r="D172" s="117" t="str">
        <f t="shared" si="37"/>
        <v>EP44412</v>
      </c>
      <c r="E172" s="117" t="str">
        <f t="shared" si="38"/>
        <v>EP444126</v>
      </c>
      <c r="F172" s="118">
        <f>qPCR_Raw!C172</f>
        <v>1000</v>
      </c>
      <c r="G172" s="119">
        <f>qPCR_Raw!F172</f>
        <v>100</v>
      </c>
      <c r="H172" s="120">
        <f>qPCR_Raw!G172</f>
        <v>19.422399520874023</v>
      </c>
      <c r="I172" s="121" cm="1">
        <f t="array" ref="I172">_xlfn.IFS(H172="Undetermined", 0, qPCR_Raw!H172-qPCR_Raw!$H$242&lt;0, 0, qPCR_Raw!H172-qPCR_Raw!$H$242&gt;0, qPCR_Raw!H172-qPCR_Raw!$H$242)</f>
        <v>142330.34582112631</v>
      </c>
      <c r="J172" s="122">
        <f>qPCR_Raw!K172</f>
        <v>21.779279708862305</v>
      </c>
      <c r="K172" s="121" cm="1">
        <f t="array" ref="K172">_xlfn.IFS(J172="Undetermined", 0, qPCR_Raw!L172-qPCR_Raw!$H$242&lt;0, 0, qPCR_Raw!L172-qPCR_Raw!$H$242&gt;0, qPCR_Raw!L172-qPCR_Raw!$H$242)</f>
        <v>19142.429805501302</v>
      </c>
      <c r="L172" s="123" cm="1">
        <f t="array" ref="L172">_xlfn.IFS(AND(H172="Undetermined", J172="Undetermined"), "Undetermined", AND(I172=0, K172=0), "Undetermined", AND(I172=0, K172&gt;0), "Ten-Fold", AND(I172&gt;0, K172=0), "Undiluted", AND(H172&lt;&gt;"Undetermined", J172&lt;&gt;"Undetermined", I172&gt;0, K172&gt;0), 100*(-1+10^(-1/(H172-J172))))</f>
        <v>165.63769623917341</v>
      </c>
      <c r="M172" s="124" cm="1">
        <f t="array" ref="M172">_xlfn.IFS(L172="Undetermined", 0, L172="Undiluted", I172*$G172/$F172*1000, L172="Ten-Fold", K172*$G172/$F172*1000*10, L172&lt;0, K172*$G172/$F172*1000*10, L172&lt;120, I172*$G172/$F172*1000, L172&gt;120, K172*$G172/$F172*1000*10)</f>
        <v>19142429.805501301</v>
      </c>
      <c r="N172" s="121">
        <f t="shared" si="39"/>
        <v>35335407.344563805</v>
      </c>
      <c r="O172" s="121">
        <f t="shared" si="40"/>
        <v>22900328.450945098</v>
      </c>
      <c r="P172" s="121">
        <f t="shared" si="41"/>
        <v>16192977.539062504</v>
      </c>
      <c r="Q172" s="125" cm="1">
        <f t="array" ref="Q172">_xlfn.IFS(N172="DELETE", "DELETE", N172=0, 0, N172&gt;0,LOG10(N172))</f>
        <v>7.548210102201657</v>
      </c>
      <c r="R172" s="126" cm="1">
        <f t="array" ref="R172">_xlfn.IFS(N172="DELETE", "DELETE", N172=0, 0, N172&gt;0, P172/N172/LN(10))</f>
        <v>0.19902192501199695</v>
      </c>
      <c r="S172" s="155">
        <f>qPCR_Raw!O172</f>
        <v>34.063796997070313</v>
      </c>
      <c r="T172" s="156" cm="1">
        <f t="array" ref="T172">_xlfn.IFS(S172="Undetermined", 0, qPCR_Raw!P172&lt;=1, 0, qPCR_Raw!P172&gt;1, qPCR_Raw!P172)</f>
        <v>18.521537780761719</v>
      </c>
      <c r="U172" s="157">
        <f>qPCR_Raw!R172</f>
        <v>37.280063629150391</v>
      </c>
      <c r="V172" s="156" cm="1">
        <f t="array" ref="V172">_xlfn.IFS(U172="Undetermined", 0, qPCR_Raw!S172&lt;=1, 0, qPCR_Raw!S172&gt;1, qPCR_Raw!S172)</f>
        <v>2.6786792278289795</v>
      </c>
      <c r="W172" s="158" cm="1">
        <f t="array" ref="W172">_xlfn.IFS(AND(S172="Undetermined", U172="Undetermined"), "Undetermined", AND(T172=0, V172=0), "Undetermined", AND(T172=0, V172&gt;0), "Ten-Fold", AND(T172&gt;0, V172=0), "Undiluted", AND(S172&lt;&gt;"Undetermined", U172&lt;&gt;"Undetermined", T172&gt;0, V172&gt;0, S172&lt;&gt;U172), 100*(-1+10^(-1/(S172-U172))), AND(S172&lt;&gt;"Undetermined", U172&lt;&gt;"Undetermined", S172=U172&gt;0), -100)</f>
        <v>104.60653275802341</v>
      </c>
      <c r="X172" s="159" cm="1">
        <f t="array" ref="X172">_xlfn.IFS(W172="Undetermined", 0, W172="Undiluted", T172*$G172/$F172*1000, W172="Ten-Fold", V172*$G172/$F172*1000*10, W172&lt;0, V172*$G172/$F172*1000*10, W172&lt;120, T172*$G172/$F172*1000, W172&gt;120, V172*$G172/$F172*1000*10)</f>
        <v>1852.1537780761719</v>
      </c>
      <c r="Y172" s="156">
        <f t="shared" si="42"/>
        <v>5128.1604766845703</v>
      </c>
      <c r="Z172" s="156">
        <f t="shared" si="43"/>
        <v>4632.9731035971045</v>
      </c>
      <c r="AA172" s="156">
        <f t="shared" si="44"/>
        <v>3276.0066986083975</v>
      </c>
      <c r="AB172" s="160" cm="1">
        <f t="array" ref="AB172">_xlfn.IFS(Y172="DELETE", "DELETE", Y172=0, 0, Y172&gt;0,LOG10(Y172))</f>
        <v>3.7099616071987671</v>
      </c>
      <c r="AC172" s="161" cm="1">
        <f t="array" ref="AC172">_xlfn.IFS(Y172="DELETE", "DELETE", Y172=0, 0, Y172&gt;0, AA172/Y172/LN(10))</f>
        <v>0.27743898389146077</v>
      </c>
      <c r="AD172" s="120">
        <f>qPCR_Raw!U172</f>
        <v>32.312030792236328</v>
      </c>
      <c r="AE172" s="121" cm="1">
        <f t="array" ref="AE172">_xlfn.IFS(AD172="Undetermined", 0, qPCR_Raw!V172&lt;=1, 0, qPCR_Raw!V172&gt;1, qPCR_Raw!V172)</f>
        <v>8.2388439178466797</v>
      </c>
      <c r="AF172" s="122">
        <f>qPCR_Raw!X172</f>
        <v>34.808414459228516</v>
      </c>
      <c r="AG172" s="121" cm="1">
        <f t="array" ref="AG172">_xlfn.IFS(AF172="Undetermined", 0, qPCR_Raw!Y172&lt;=1, 0, qPCR_Raw!Y172&gt;1, qPCR_Raw!Y172)</f>
        <v>1.6534707546234131</v>
      </c>
      <c r="AH172" s="123" cm="1">
        <f t="array" ref="AH172">_xlfn.IFS(AND(AD172="Undetermined", AF172="Undetermined"), "Undetermined", AND(AE172=0, AG172=0), "Undetermined", AND(AE172=0, AG172&gt;0), "Ten-Fold", AND(AE172&gt;0, AG172=0), "Undiluted", AND(AD172&lt;&gt;"Undetermined", AF172&lt;&gt;"Undetermined", AE172&gt;0, AG172&gt;0, AD172&lt;&gt;AF172), 100*(-1+10^(-1/(AD172-AF172))), AND(AD172&lt;&gt;"Undetermined", AF172&lt;&gt;"Undetermined", AD172=AF172&gt;0), -100)</f>
        <v>151.52401184592742</v>
      </c>
      <c r="AI172" s="124" cm="1">
        <f t="array" ref="AI172">_xlfn.IFS(AH172="Undetermined", 0, AH172="Undiluted", AE172*$G172/$F172*1000, AH172="Ten-Fold", AG172*$G172/$F172*1000*10, AH172&lt;0, AG172*$G172/$F172*1000*10, AH172&lt;120, AE172*$G172/$F172*1000, AH172&gt;120, AG172*$G172/$F172*1000*10)</f>
        <v>1653.4707546234131</v>
      </c>
      <c r="AJ172" s="121">
        <f t="shared" si="45"/>
        <v>2701.2940645217896</v>
      </c>
      <c r="AK172" s="121">
        <f t="shared" si="46"/>
        <v>1481.8459358289506</v>
      </c>
      <c r="AL172" s="121">
        <f t="shared" si="47"/>
        <v>1047.8233098983765</v>
      </c>
      <c r="AM172" s="125" cm="1">
        <f t="array" ref="AM172">_xlfn.IFS(AJ172="DELETE", "DELETE", AJ172=0, 0, AJ172&gt;0,LOG10(AJ172))</f>
        <v>3.4315718643235331</v>
      </c>
      <c r="AN172" s="126" cm="1">
        <f t="array" ref="AN172">_xlfn.IFS(AJ172="DELETE", "DELETE", AJ172=0, 0, AJ172&gt;0, AL172/AJ172/LN(10))</f>
        <v>0.16846143760324955</v>
      </c>
      <c r="AO172" s="155">
        <f>qPCR_Raw!AA172</f>
        <v>29.942121505737305</v>
      </c>
      <c r="AP172" s="156" cm="1">
        <f t="array" ref="AP172">_xlfn.IFS(AO172="Undetermined", 0, qPCR_Raw!AB172&lt;=6, 0, qPCR_Raw!AB172&gt;6, qPCR_Raw!AB172)</f>
        <v>6.440615177154541</v>
      </c>
      <c r="AQ172" s="157" t="str">
        <f>qPCR_Raw!AD172</f>
        <v>Undetermined</v>
      </c>
      <c r="AR172" s="156" cm="1">
        <f t="array" ref="AR172">_xlfn.IFS(AQ172="Undetermined", 0, qPCR_Raw!AE172&lt;=6, 0, qPCR_Raw!AE172&gt;6, qPCR_Raw!AE172)</f>
        <v>0</v>
      </c>
      <c r="AS172" s="158" t="str" cm="1">
        <f t="array" ref="AS172">_xlfn.IFS(AND(AO172="Undetermined", AQ172="Undetermined"), "Undetermined", AND(AP172=0, AR172=0), "Undetermined", AND(AP172=0, AR172&gt;0), "Ten-Fold", AND(AP172&gt;0, AR172=0), "Undiluted", AND(AO172&lt;&gt;"Undetermined", AQ172&lt;&gt;"Undetermined", AP172&gt;0, AR172&gt;0, AO172&lt;&gt;AQ172), 100*(-1+10^(-1/(AO172-AQ172))), AND(AO172&lt;&gt;"Undetermined", AQ172&lt;&gt;"Undetermined", AO172=AQ172&gt;0), -100)</f>
        <v>Undiluted</v>
      </c>
      <c r="AT172" s="159" cm="1">
        <f t="array" ref="AT172">_xlfn.IFS(AS172="Undetermined", 0, AS172="Undiluted", AP172*$G172/$F172*1000, AS172="Ten-Fold", AR172*$G172/$F172*1000*10, AS172&lt;0, AR172*$G172/$F172*1000*10, AS172&lt;120, AP172*$G172/$F172*1000, AS172&gt;120, AR172*$G172/$F172*1000*10)</f>
        <v>644.0615177154541</v>
      </c>
      <c r="AU172" s="156">
        <f t="shared" si="48"/>
        <v>322.03075885772705</v>
      </c>
      <c r="AV172" s="156">
        <f t="shared" si="49"/>
        <v>455.4202666778973</v>
      </c>
      <c r="AW172" s="156">
        <f t="shared" si="50"/>
        <v>322.03075885772705</v>
      </c>
      <c r="AX172" s="160" cm="1">
        <f t="array" ref="AX172">_xlfn.IFS(AU172="DELETE", "DELETE", AU172=0, 0, AU172&gt;0,LOG10(AU172))</f>
        <v>2.5078973554355652</v>
      </c>
      <c r="AY172" s="161" cm="1">
        <f t="array" ref="AY172">_xlfn.IFS(AU172="DELETE", "DELETE", AU172=0, 0, AU172&gt;0, AW172/AU172/LN(10))</f>
        <v>0.43429448190325176</v>
      </c>
      <c r="AZ172" s="120">
        <f>qPCR_Raw!AG172</f>
        <v>38.787399291992188</v>
      </c>
      <c r="BA172" s="121" cm="1">
        <f t="array" ref="BA172">_xlfn.IFS(AZ172="Undetermined", 0, qPCR_Raw!AH172&lt;=1, 0, qPCR_Raw!AH172&gt;1, qPCR_Raw!AH172)</f>
        <v>0</v>
      </c>
      <c r="BB172" s="122" t="str">
        <f>qPCR_Raw!AJ172</f>
        <v>Undetermined</v>
      </c>
      <c r="BC172" s="121" cm="1">
        <f t="array" ref="BC172">_xlfn.IFS(BB172="Undetermined", 0, qPCR_Raw!AK172&lt;=1, 0, qPCR_Raw!AK172&gt;1, qPCR_Raw!AK172)</f>
        <v>0</v>
      </c>
      <c r="BD172" s="123" t="str" cm="1">
        <f t="array" ref="BD172">_xlfn.IFS(AND(AZ172="Undetermined", BB172="Undetermined"), "Undetermined", AND(BA172=0, BC172=0), "Undetermined", AND(BA172=0, BC172&gt;0), "Ten-Fold", AND(BA172&gt;0, BC172=0), "Undiluted", AND(AZ172&lt;&gt;"Undetermined", BB172&lt;&gt;"Undetermined", BA172&gt;0, BC172&gt;0, AZ172&lt;&gt;BB172), 100*(-1+10^(-1/(AZ172-BB172))), AND(AZ172&lt;&gt;"Undetermined", BB172&lt;&gt;"Undetermined", AZ172=BB172&gt;0), -100)</f>
        <v>Undetermined</v>
      </c>
      <c r="BE172" s="124" cm="1">
        <f t="array" ref="BE172">_xlfn.IFS(BD172="Undetermined", 0, BD172="Undiluted", BA172*$G172/$F172*1000, BD172="Ten-Fold", BC172*$G172/$F172*1000*10, BD172&lt;0, BC172*$G172/$F172*1000*10, BD172&lt;120, BA172*$G172/$F172*1000, BD172&gt;120, BC172*$G172/$F172*1000*10)</f>
        <v>0</v>
      </c>
      <c r="BF172" s="121">
        <f t="shared" si="51"/>
        <v>0</v>
      </c>
      <c r="BG172" s="121">
        <f t="shared" si="52"/>
        <v>0</v>
      </c>
      <c r="BH172" s="121">
        <f t="shared" si="53"/>
        <v>0</v>
      </c>
      <c r="BI172" s="125" cm="1">
        <f t="array" ref="BI172">_xlfn.IFS(BF172="DELETE", "DELETE", BF172=0, 0, BF172&gt;0,LOG10(BF172))</f>
        <v>0</v>
      </c>
      <c r="BJ172" s="126" cm="1">
        <f t="array" ref="BJ172">_xlfn.IFS(BF172="DELETE", "DELETE", BF172=0, 0, BF172&gt;0, BH172/BF172/LN(10))</f>
        <v>0</v>
      </c>
    </row>
    <row r="173" spans="1:62" s="114" customFormat="1" x14ac:dyDescent="0.3">
      <c r="A173" s="115" t="str">
        <f>UPPER(LEFT(SUBSTITUTE(SUBSTITUTE(qPCR_Raw!A173,"-","")," ",""),2))&amp;RIGHT(SUBSTITUTE(SUBSTITUTE(qPCR_Raw!A173,"-","")," ",""),LEN(SUBSTITUTE(SUBSTITUTE(qPCR_Raw!A173,"-","")," ",""))-2)</f>
        <v>EP7</v>
      </c>
      <c r="B173" s="116" t="str" cm="1">
        <f t="array" ref="B173">_xlfn.IFS(LEFT(A173, LEN(A173)-1)="EP", "EP", LEFT(A173, LEN(A173)-1)="STa", "SPI", LEFT(A173, LEN(A173)-1)="STb", "SPO", LEFT(A173, LEN(A173)-1)="MRT", "MRT", LEFT(A173, LEN(A173)-1)="RG", "RN", LEFT(A173, LEN(A173)-1)="RT", "RU", LEFT(A173, LEN(A173)-1)="RW", "RL", LEFT(A173, LEN(A173)-1)="RC", "RS")</f>
        <v>EP</v>
      </c>
      <c r="C173" s="117">
        <f>qPCR_Raw!B173</f>
        <v>44412</v>
      </c>
      <c r="D173" s="117" t="str">
        <f t="shared" si="37"/>
        <v>EP44412</v>
      </c>
      <c r="E173" s="117" t="str">
        <f t="shared" si="38"/>
        <v>EP444127</v>
      </c>
      <c r="F173" s="118">
        <f>qPCR_Raw!C173</f>
        <v>1000</v>
      </c>
      <c r="G173" s="119">
        <f>qPCR_Raw!F173</f>
        <v>100</v>
      </c>
      <c r="H173" s="120">
        <f>qPCR_Raw!G173</f>
        <v>18.431041717529297</v>
      </c>
      <c r="I173" s="121" cm="1">
        <f t="array" ref="I173">_xlfn.IFS(H173="Undetermined", 0, qPCR_Raw!H173-qPCR_Raw!$H$242&lt;0, 0, qPCR_Raw!H173-qPCR_Raw!$H$242&gt;0, qPCR_Raw!H173-qPCR_Raw!$H$242)</f>
        <v>288364.33019612631</v>
      </c>
      <c r="J173" s="122">
        <f>qPCR_Raw!K173</f>
        <v>20.736501693725586</v>
      </c>
      <c r="K173" s="121" cm="1">
        <f t="array" ref="K173">_xlfn.IFS(J173="Undetermined", 0, qPCR_Raw!L173-qPCR_Raw!$H$242&lt;0, 0, qPCR_Raw!L173-qPCR_Raw!$H$242&gt;0, qPCR_Raw!L173-qPCR_Raw!$H$242)</f>
        <v>51528.384883626306</v>
      </c>
      <c r="L173" s="123" cm="1">
        <f t="array" ref="L173">_xlfn.IFS(AND(H173="Undetermined", J173="Undetermined"), "Undetermined", AND(I173=0, K173=0), "Undetermined", AND(I173=0, K173&gt;0), "Ten-Fold", AND(I173&gt;0, K173=0), "Undiluted", AND(H173&lt;&gt;"Undetermined", J173&lt;&gt;"Undetermined", I173&gt;0, K173&gt;0), 100*(-1+10^(-1/(H173-J173))))</f>
        <v>171.48942735139084</v>
      </c>
      <c r="M173" s="124" cm="1">
        <f t="array" ref="M173">_xlfn.IFS(L173="Undetermined", 0, L173="Undiluted", I173*$G173/$F173*1000, L173="Ten-Fold", K173*$G173/$F173*1000*10, L173&lt;0, K173*$G173/$F173*1000*10, L173&lt;120, I173*$G173/$F173*1000, L173&gt;120, K173*$G173/$F173*1000*10)</f>
        <v>51528384.883626312</v>
      </c>
      <c r="N173" s="121" t="str">
        <f t="shared" si="39"/>
        <v>DELETE</v>
      </c>
      <c r="O173" s="121" t="str">
        <f t="shared" si="40"/>
        <v>DELETE</v>
      </c>
      <c r="P173" s="121" t="str">
        <f t="shared" si="41"/>
        <v>DELETE</v>
      </c>
      <c r="Q173" s="125" t="str" cm="1">
        <f t="array" ref="Q173">_xlfn.IFS(N173="DELETE", "DELETE", N173=0, 0, N173&gt;0,LOG10(N173))</f>
        <v>DELETE</v>
      </c>
      <c r="R173" s="126" t="str" cm="1">
        <f t="array" ref="R173">_xlfn.IFS(N173="DELETE", "DELETE", N173=0, 0, N173&gt;0, P173/N173/LN(10))</f>
        <v>DELETE</v>
      </c>
      <c r="S173" s="155">
        <f>qPCR_Raw!O173</f>
        <v>33.731376647949219</v>
      </c>
      <c r="T173" s="156" cm="1">
        <f t="array" ref="T173">_xlfn.IFS(S173="Undetermined", 0, qPCR_Raw!P173&lt;=1, 0, qPCR_Raw!P173&gt;1, qPCR_Raw!P173)</f>
        <v>22.618867874145508</v>
      </c>
      <c r="U173" s="157">
        <f>qPCR_Raw!R173</f>
        <v>35.378185272216797</v>
      </c>
      <c r="V173" s="156" cm="1">
        <f t="array" ref="V173">_xlfn.IFS(U173="Undetermined", 0, qPCR_Raw!S173&lt;=1, 0, qPCR_Raw!S173&gt;1, qPCR_Raw!S173)</f>
        <v>8.4041671752929688</v>
      </c>
      <c r="W173" s="158" cm="1">
        <f t="array" ref="W173">_xlfn.IFS(AND(S173="Undetermined", U173="Undetermined"), "Undetermined", AND(T173=0, V173=0), "Undetermined", AND(T173=0, V173&gt;0), "Ten-Fold", AND(T173&gt;0, V173=0), "Undiluted", AND(S173&lt;&gt;"Undetermined", U173&lt;&gt;"Undetermined", T173&gt;0, V173&gt;0, S173&lt;&gt;U173), 100*(-1+10^(-1/(S173-U173))), AND(S173&lt;&gt;"Undetermined", U173&lt;&gt;"Undetermined", S173=U173&gt;0), -100)</f>
        <v>304.79496339791041</v>
      </c>
      <c r="X173" s="159" cm="1">
        <f t="array" ref="X173">_xlfn.IFS(W173="Undetermined", 0, W173="Undiluted", T173*$G173/$F173*1000, W173="Ten-Fold", V173*$G173/$F173*1000*10, W173&lt;0, V173*$G173/$F173*1000*10, W173&lt;120, T173*$G173/$F173*1000, W173&gt;120, V173*$G173/$F173*1000*10)</f>
        <v>8404.1671752929688</v>
      </c>
      <c r="Y173" s="156" t="str">
        <f t="shared" si="42"/>
        <v>DELETE</v>
      </c>
      <c r="Z173" s="156" t="str">
        <f t="shared" si="43"/>
        <v>DELETE</v>
      </c>
      <c r="AA173" s="156" t="str">
        <f t="shared" si="44"/>
        <v>DELETE</v>
      </c>
      <c r="AB173" s="160" t="str" cm="1">
        <f t="array" ref="AB173">_xlfn.IFS(Y173="DELETE", "DELETE", Y173=0, 0, Y173&gt;0,LOG10(Y173))</f>
        <v>DELETE</v>
      </c>
      <c r="AC173" s="161" t="str" cm="1">
        <f t="array" ref="AC173">_xlfn.IFS(Y173="DELETE", "DELETE", Y173=0, 0, Y173&gt;0, AA173/Y173/LN(10))</f>
        <v>DELETE</v>
      </c>
      <c r="AD173" s="120">
        <f>qPCR_Raw!U173</f>
        <v>30.997001647949219</v>
      </c>
      <c r="AE173" s="121" cm="1">
        <f t="array" ref="AE173">_xlfn.IFS(AD173="Undetermined", 0, qPCR_Raw!V173&lt;=1, 0, qPCR_Raw!V173&gt;1, qPCR_Raw!V173)</f>
        <v>19.198837280273438</v>
      </c>
      <c r="AF173" s="122">
        <f>qPCR_Raw!X173</f>
        <v>33.535892486572266</v>
      </c>
      <c r="AG173" s="121" cm="1">
        <f t="array" ref="AG173">_xlfn.IFS(AF173="Undetermined", 0, qPCR_Raw!Y173&lt;=1, 0, qPCR_Raw!Y173&gt;1, qPCR_Raw!Y173)</f>
        <v>3.749117374420166</v>
      </c>
      <c r="AH173" s="123" cm="1">
        <f t="array" ref="AH173">_xlfn.IFS(AND(AD173="Undetermined", AF173="Undetermined"), "Undetermined", AND(AE173=0, AG173=0), "Undetermined", AND(AE173=0, AG173&gt;0), "Ten-Fold", AND(AE173&gt;0, AG173=0), "Undiluted", AND(AD173&lt;&gt;"Undetermined", AF173&lt;&gt;"Undetermined", AE173&gt;0, AG173&gt;0, AD173&lt;&gt;AF173), 100*(-1+10^(-1/(AD173-AF173))), AND(AD173&lt;&gt;"Undetermined", AF173&lt;&gt;"Undetermined", AD173=AF173&gt;0), -100)</f>
        <v>147.66964569366286</v>
      </c>
      <c r="AI173" s="124" cm="1">
        <f t="array" ref="AI173">_xlfn.IFS(AH173="Undetermined", 0, AH173="Undiluted", AE173*$G173/$F173*1000, AH173="Ten-Fold", AG173*$G173/$F173*1000*10, AH173&lt;0, AG173*$G173/$F173*1000*10, AH173&lt;120, AE173*$G173/$F173*1000, AH173&gt;120, AG173*$G173/$F173*1000*10)</f>
        <v>3749.117374420166</v>
      </c>
      <c r="AJ173" s="121" t="str">
        <f t="shared" si="45"/>
        <v>DELETE</v>
      </c>
      <c r="AK173" s="121" t="str">
        <f t="shared" si="46"/>
        <v>DELETE</v>
      </c>
      <c r="AL173" s="121" t="str">
        <f t="shared" si="47"/>
        <v>DELETE</v>
      </c>
      <c r="AM173" s="125" t="str" cm="1">
        <f t="array" ref="AM173">_xlfn.IFS(AJ173="DELETE", "DELETE", AJ173=0, 0, AJ173&gt;0,LOG10(AJ173))</f>
        <v>DELETE</v>
      </c>
      <c r="AN173" s="126" t="str" cm="1">
        <f t="array" ref="AN173">_xlfn.IFS(AJ173="DELETE", "DELETE", AJ173=0, 0, AJ173&gt;0, AL173/AJ173/LN(10))</f>
        <v>DELETE</v>
      </c>
      <c r="AO173" s="155">
        <f>qPCR_Raw!AA173</f>
        <v>30.493593215942383</v>
      </c>
      <c r="AP173" s="156" cm="1">
        <f t="array" ref="AP173">_xlfn.IFS(AO173="Undetermined", 0, qPCR_Raw!AB173&lt;=6, 0, qPCR_Raw!AB173&gt;6, qPCR_Raw!AB173)</f>
        <v>0</v>
      </c>
      <c r="AQ173" s="157">
        <f>qPCR_Raw!AD173</f>
        <v>34.663547515869141</v>
      </c>
      <c r="AR173" s="156" cm="1">
        <f t="array" ref="AR173">_xlfn.IFS(AQ173="Undetermined", 0, qPCR_Raw!AE173&lt;=6, 0, qPCR_Raw!AE173&gt;6, qPCR_Raw!AE173)</f>
        <v>0</v>
      </c>
      <c r="AS173" s="158" t="str" cm="1">
        <f t="array" ref="AS173">_xlfn.IFS(AND(AO173="Undetermined", AQ173="Undetermined"), "Undetermined", AND(AP173=0, AR173=0), "Undetermined", AND(AP173=0, AR173&gt;0), "Ten-Fold", AND(AP173&gt;0, AR173=0), "Undiluted", AND(AO173&lt;&gt;"Undetermined", AQ173&lt;&gt;"Undetermined", AP173&gt;0, AR173&gt;0, AO173&lt;&gt;AQ173), 100*(-1+10^(-1/(AO173-AQ173))), AND(AO173&lt;&gt;"Undetermined", AQ173&lt;&gt;"Undetermined", AO173=AQ173&gt;0), -100)</f>
        <v>Undetermined</v>
      </c>
      <c r="AT173" s="159" cm="1">
        <f t="array" ref="AT173">_xlfn.IFS(AS173="Undetermined", 0, AS173="Undiluted", AP173*$G173/$F173*1000, AS173="Ten-Fold", AR173*$G173/$F173*1000*10, AS173&lt;0, AR173*$G173/$F173*1000*10, AS173&lt;120, AP173*$G173/$F173*1000, AS173&gt;120, AR173*$G173/$F173*1000*10)</f>
        <v>0</v>
      </c>
      <c r="AU173" s="156" t="str">
        <f t="shared" si="48"/>
        <v>DELETE</v>
      </c>
      <c r="AV173" s="156" t="str">
        <f t="shared" si="49"/>
        <v>DELETE</v>
      </c>
      <c r="AW173" s="156" t="str">
        <f t="shared" si="50"/>
        <v>DELETE</v>
      </c>
      <c r="AX173" s="160" t="str" cm="1">
        <f t="array" ref="AX173">_xlfn.IFS(AU173="DELETE", "DELETE", AU173=0, 0, AU173&gt;0,LOG10(AU173))</f>
        <v>DELETE</v>
      </c>
      <c r="AY173" s="161" t="str" cm="1">
        <f t="array" ref="AY173">_xlfn.IFS(AU173="DELETE", "DELETE", AU173=0, 0, AU173&gt;0, AW173/AU173/LN(10))</f>
        <v>DELETE</v>
      </c>
      <c r="AZ173" s="120">
        <f>qPCR_Raw!AG173</f>
        <v>39.935615539550781</v>
      </c>
      <c r="BA173" s="121" cm="1">
        <f t="array" ref="BA173">_xlfn.IFS(AZ173="Undetermined", 0, qPCR_Raw!AH173&lt;=1, 0, qPCR_Raw!AH173&gt;1, qPCR_Raw!AH173)</f>
        <v>0</v>
      </c>
      <c r="BB173" s="122" t="str">
        <f>qPCR_Raw!AJ173</f>
        <v>Undetermined</v>
      </c>
      <c r="BC173" s="121" cm="1">
        <f t="array" ref="BC173">_xlfn.IFS(BB173="Undetermined", 0, qPCR_Raw!AK173&lt;=1, 0, qPCR_Raw!AK173&gt;1, qPCR_Raw!AK173)</f>
        <v>0</v>
      </c>
      <c r="BD173" s="123" t="str" cm="1">
        <f t="array" ref="BD173">_xlfn.IFS(AND(AZ173="Undetermined", BB173="Undetermined"), "Undetermined", AND(BA173=0, BC173=0), "Undetermined", AND(BA173=0, BC173&gt;0), "Ten-Fold", AND(BA173&gt;0, BC173=0), "Undiluted", AND(AZ173&lt;&gt;"Undetermined", BB173&lt;&gt;"Undetermined", BA173&gt;0, BC173&gt;0, AZ173&lt;&gt;BB173), 100*(-1+10^(-1/(AZ173-BB173))), AND(AZ173&lt;&gt;"Undetermined", BB173&lt;&gt;"Undetermined", AZ173=BB173&gt;0), -100)</f>
        <v>Undetermined</v>
      </c>
      <c r="BE173" s="124" cm="1">
        <f t="array" ref="BE173">_xlfn.IFS(BD173="Undetermined", 0, BD173="Undiluted", BA173*$G173/$F173*1000, BD173="Ten-Fold", BC173*$G173/$F173*1000*10, BD173&lt;0, BC173*$G173/$F173*1000*10, BD173&lt;120, BA173*$G173/$F173*1000, BD173&gt;120, BC173*$G173/$F173*1000*10)</f>
        <v>0</v>
      </c>
      <c r="BF173" s="121" t="str">
        <f t="shared" si="51"/>
        <v>DELETE</v>
      </c>
      <c r="BG173" s="121" t="str">
        <f t="shared" si="52"/>
        <v>DELETE</v>
      </c>
      <c r="BH173" s="121" t="str">
        <f t="shared" si="53"/>
        <v>DELETE</v>
      </c>
      <c r="BI173" s="125" t="str" cm="1">
        <f t="array" ref="BI173">_xlfn.IFS(BF173="DELETE", "DELETE", BF173=0, 0, BF173&gt;0,LOG10(BF173))</f>
        <v>DELETE</v>
      </c>
      <c r="BJ173" s="126" t="str" cm="1">
        <f t="array" ref="BJ173">_xlfn.IFS(BF173="DELETE", "DELETE", BF173=0, 0, BF173&gt;0, BH173/BF173/LN(10))</f>
        <v>DELETE</v>
      </c>
    </row>
    <row r="174" spans="1:62" s="114" customFormat="1" x14ac:dyDescent="0.3">
      <c r="A174" s="115" t="str">
        <f>UPPER(LEFT(SUBSTITUTE(SUBSTITUTE(qPCR_Raw!A174,"-","")," ",""),2))&amp;RIGHT(SUBSTITUTE(SUBSTITUTE(qPCR_Raw!A174,"-","")," ",""),LEN(SUBSTITUTE(SUBSTITUTE(qPCR_Raw!A174,"-","")," ",""))-2)</f>
        <v>RW6</v>
      </c>
      <c r="B174" s="116" t="str" cm="1">
        <f t="array" ref="B174">_xlfn.IFS(LEFT(A174, LEN(A174)-1)="EP", "EP", LEFT(A174, LEN(A174)-1)="STa", "SPI", LEFT(A174, LEN(A174)-1)="STb", "SPO", LEFT(A174, LEN(A174)-1)="MRT", "MRT", LEFT(A174, LEN(A174)-1)="RG", "RN", LEFT(A174, LEN(A174)-1)="RT", "RU", LEFT(A174, LEN(A174)-1)="RW", "RL", LEFT(A174, LEN(A174)-1)="RC", "RS")</f>
        <v>RL</v>
      </c>
      <c r="C174" s="117">
        <f>qPCR_Raw!B174</f>
        <v>44412</v>
      </c>
      <c r="D174" s="117" t="str">
        <f t="shared" si="37"/>
        <v>RL44412</v>
      </c>
      <c r="E174" s="117" t="str">
        <f t="shared" si="38"/>
        <v>RL444126</v>
      </c>
      <c r="F174" s="118">
        <f>qPCR_Raw!C174</f>
        <v>900</v>
      </c>
      <c r="G174" s="119">
        <f>qPCR_Raw!F174</f>
        <v>100</v>
      </c>
      <c r="H174" s="120">
        <f>qPCR_Raw!G174</f>
        <v>13.656390190124512</v>
      </c>
      <c r="I174" s="121" cm="1">
        <f t="array" ref="I174">_xlfn.IFS(H174="Undetermined", 0, qPCR_Raw!H174-qPCR_Raw!$H$242&lt;0, 0, qPCR_Raw!H174-qPCR_Raw!$H$242&gt;0, qPCR_Raw!H174-qPCR_Raw!$H$242)</f>
        <v>7557067.8614461264</v>
      </c>
      <c r="J174" s="122">
        <f>qPCR_Raw!K174</f>
        <v>16.248638153076172</v>
      </c>
      <c r="K174" s="121" cm="1">
        <f t="array" ref="K174">_xlfn.IFS(J174="Undetermined", 0, qPCR_Raw!L174-qPCR_Raw!$H$242&lt;0, 0, qPCR_Raw!L174-qPCR_Raw!$H$242&gt;0, qPCR_Raw!L174-qPCR_Raw!$H$242)</f>
        <v>1218528.4864461264</v>
      </c>
      <c r="L174" s="123" cm="1">
        <f t="array" ref="L174">_xlfn.IFS(AND(H174="Undetermined", J174="Undetermined"), "Undetermined", AND(I174=0, K174=0), "Undetermined", AND(I174=0, K174&gt;0), "Ten-Fold", AND(I174&gt;0, K174=0), "Undiluted", AND(H174&lt;&gt;"Undetermined", J174&lt;&gt;"Undetermined", I174&gt;0, K174&gt;0), 100*(-1+10^(-1/(H174-J174))))</f>
        <v>143.08914436457437</v>
      </c>
      <c r="M174" s="124" cm="1">
        <f t="array" ref="M174">_xlfn.IFS(L174="Undetermined", 0, L174="Undiluted", I174*$G174/$F174*1000, L174="Ten-Fold", K174*$G174/$F174*1000*10, L174&lt;0, K174*$G174/$F174*1000*10, L174&lt;120, I174*$G174/$F174*1000, L174&gt;120, K174*$G174/$F174*1000*10)</f>
        <v>1353920540.4956958</v>
      </c>
      <c r="N174" s="121">
        <f t="shared" si="39"/>
        <v>774557554.21707714</v>
      </c>
      <c r="O174" s="121">
        <f t="shared" si="40"/>
        <v>819342992.73220003</v>
      </c>
      <c r="P174" s="121">
        <f t="shared" si="41"/>
        <v>579362986.27861869</v>
      </c>
      <c r="Q174" s="125" cm="1">
        <f t="array" ref="Q174">_xlfn.IFS(N174="DELETE", "DELETE", N174=0, 0, N174&gt;0,LOG10(N174))</f>
        <v>8.889053693948302</v>
      </c>
      <c r="R174" s="126" cm="1">
        <f t="array" ref="R174">_xlfn.IFS(N174="DELETE", "DELETE", N174=0, 0, N174&gt;0, P174/N174/LN(10))</f>
        <v>0.32484887222373693</v>
      </c>
      <c r="S174" s="155">
        <f>qPCR_Raw!O174</f>
        <v>28.225099563598633</v>
      </c>
      <c r="T174" s="156" cm="1">
        <f t="array" ref="T174">_xlfn.IFS(S174="Undetermined", 0, qPCR_Raw!P174&lt;=1, 0, qPCR_Raw!P174&gt;1, qPCR_Raw!P174)</f>
        <v>267.10897827148438</v>
      </c>
      <c r="U174" s="157">
        <f>qPCR_Raw!R174</f>
        <v>33.648365020751953</v>
      </c>
      <c r="V174" s="156" cm="1">
        <f t="array" ref="V174">_xlfn.IFS(U174="Undetermined", 0, qPCR_Raw!S174&lt;=1, 0, qPCR_Raw!S174&gt;1, qPCR_Raw!S174)</f>
        <v>6.2309069633483887</v>
      </c>
      <c r="W174" s="158" cm="1">
        <f t="array" ref="W174">_xlfn.IFS(AND(S174="Undetermined", U174="Undetermined"), "Undetermined", AND(T174=0, V174=0), "Undetermined", AND(T174=0, V174&gt;0), "Ten-Fold", AND(T174&gt;0, V174=0), "Undiluted", AND(S174&lt;&gt;"Undetermined", U174&lt;&gt;"Undetermined", T174&gt;0, V174&gt;0, S174&lt;&gt;U174), 100*(-1+10^(-1/(S174-U174))), AND(S174&lt;&gt;"Undetermined", U174&lt;&gt;"Undetermined", S174=U174&gt;0), -100)</f>
        <v>52.894109123869782</v>
      </c>
      <c r="X174" s="159" cm="1">
        <f t="array" ref="X174">_xlfn.IFS(W174="Undetermined", 0, W174="Undiluted", T174*$G174/$F174*1000, W174="Ten-Fold", V174*$G174/$F174*1000*10, W174&lt;0, V174*$G174/$F174*1000*10, W174&lt;120, T174*$G174/$F174*1000, W174&gt;120, V174*$G174/$F174*1000*10)</f>
        <v>29678.775363498266</v>
      </c>
      <c r="Y174" s="156">
        <f t="shared" si="42"/>
        <v>23453.208923339844</v>
      </c>
      <c r="Z174" s="156">
        <f t="shared" si="43"/>
        <v>8804.2804931268329</v>
      </c>
      <c r="AA174" s="156">
        <f t="shared" si="44"/>
        <v>6225.5664401584236</v>
      </c>
      <c r="AB174" s="160" cm="1">
        <f t="array" ref="AB174">_xlfn.IFS(Y174="DELETE", "DELETE", Y174=0, 0, Y174&gt;0,LOG10(Y174))</f>
        <v>4.3702022723114844</v>
      </c>
      <c r="AC174" s="161" cm="1">
        <f t="array" ref="AC174">_xlfn.IFS(Y174="DELETE", "DELETE", Y174=0, 0, Y174&gt;0, AA174/Y174/LN(10))</f>
        <v>0.11528184311666682</v>
      </c>
      <c r="AD174" s="120">
        <f>qPCR_Raw!U174</f>
        <v>30.484441757202148</v>
      </c>
      <c r="AE174" s="121" cm="1">
        <f t="array" ref="AE174">_xlfn.IFS(AD174="Undetermined", 0, qPCR_Raw!V174&lt;=1, 0, qPCR_Raw!V174&gt;1, qPCR_Raw!V174)</f>
        <v>33.246749877929688</v>
      </c>
      <c r="AF174" s="122">
        <f>qPCR_Raw!X174</f>
        <v>33.382797241210938</v>
      </c>
      <c r="AG174" s="121" cm="1">
        <f t="array" ref="AG174">_xlfn.IFS(AF174="Undetermined", 0, qPCR_Raw!Y174&lt;=1, 0, qPCR_Raw!Y174&gt;1, qPCR_Raw!Y174)</f>
        <v>5.1165146827697754</v>
      </c>
      <c r="AH174" s="123" cm="1">
        <f t="array" ref="AH174">_xlfn.IFS(AND(AD174="Undetermined", AF174="Undetermined"), "Undetermined", AND(AE174=0, AG174=0), "Undetermined", AND(AE174=0, AG174&gt;0), "Ten-Fold", AND(AE174&gt;0, AG174=0), "Undiluted", AND(AD174&lt;&gt;"Undetermined", AF174&lt;&gt;"Undetermined", AE174&gt;0, AG174&gt;0, AD174&lt;&gt;AF174), 100*(-1+10^(-1/(AD174-AF174))), AND(AD174&lt;&gt;"Undetermined", AF174&lt;&gt;"Undetermined", AD174=AF174&gt;0), -100)</f>
        <v>121.32131404841986</v>
      </c>
      <c r="AI174" s="124" cm="1">
        <f t="array" ref="AI174">_xlfn.IFS(AH174="Undetermined", 0, AH174="Undiluted", AE174*$G174/$F174*1000, AH174="Ten-Fold", AG174*$G174/$F174*1000*10, AH174&lt;0, AG174*$G174/$F174*1000*10, AH174&lt;120, AE174*$G174/$F174*1000, AH174&gt;120, AG174*$G174/$F174*1000*10)</f>
        <v>5685.0163141886387</v>
      </c>
      <c r="AJ174" s="121">
        <f t="shared" si="45"/>
        <v>4095.562669965956</v>
      </c>
      <c r="AK174" s="121">
        <f t="shared" si="46"/>
        <v>2247.8269004230569</v>
      </c>
      <c r="AL174" s="121">
        <f t="shared" si="47"/>
        <v>1589.4536442226818</v>
      </c>
      <c r="AM174" s="125" cm="1">
        <f t="array" ref="AM174">_xlfn.IFS(AJ174="DELETE", "DELETE", AJ174=0, 0, AJ174&gt;0,LOG10(AJ174))</f>
        <v>3.6123135758582299</v>
      </c>
      <c r="AN174" s="126" cm="1">
        <f t="array" ref="AN174">_xlfn.IFS(AJ174="DELETE", "DELETE", AJ174=0, 0, AJ174&gt;0, AL174/AJ174/LN(10))</f>
        <v>0.16854605888198093</v>
      </c>
      <c r="AO174" s="155">
        <f>qPCR_Raw!AA174</f>
        <v>29.699268341064453</v>
      </c>
      <c r="AP174" s="156" cm="1">
        <f t="array" ref="AP174">_xlfn.IFS(AO174="Undetermined", 0, qPCR_Raw!AB174&lt;=6, 0, qPCR_Raw!AB174&gt;6, qPCR_Raw!AB174)</f>
        <v>6.4777283668518066</v>
      </c>
      <c r="AQ174" s="157">
        <f>qPCR_Raw!AD174</f>
        <v>33.310150146484375</v>
      </c>
      <c r="AR174" s="156" cm="1">
        <f t="array" ref="AR174">_xlfn.IFS(AQ174="Undetermined", 0, qPCR_Raw!AE174&lt;=6, 0, qPCR_Raw!AE174&gt;6, qPCR_Raw!AE174)</f>
        <v>0</v>
      </c>
      <c r="AS174" s="158" t="str" cm="1">
        <f t="array" ref="AS174">_xlfn.IFS(AND(AO174="Undetermined", AQ174="Undetermined"), "Undetermined", AND(AP174=0, AR174=0), "Undetermined", AND(AP174=0, AR174&gt;0), "Ten-Fold", AND(AP174&gt;0, AR174=0), "Undiluted", AND(AO174&lt;&gt;"Undetermined", AQ174&lt;&gt;"Undetermined", AP174&gt;0, AR174&gt;0, AO174&lt;&gt;AQ174), 100*(-1+10^(-1/(AO174-AQ174))), AND(AO174&lt;&gt;"Undetermined", AQ174&lt;&gt;"Undetermined", AO174=AQ174&gt;0), -100)</f>
        <v>Undiluted</v>
      </c>
      <c r="AT174" s="159" cm="1">
        <f t="array" ref="AT174">_xlfn.IFS(AS174="Undetermined", 0, AS174="Undiluted", AP174*$G174/$F174*1000, AS174="Ten-Fold", AR174*$G174/$F174*1000*10, AS174&lt;0, AR174*$G174/$F174*1000*10, AS174&lt;120, AP174*$G174/$F174*1000, AS174&gt;120, AR174*$G174/$F174*1000*10)</f>
        <v>719.74759631686732</v>
      </c>
      <c r="AU174" s="156">
        <f t="shared" si="48"/>
        <v>845.08628315395777</v>
      </c>
      <c r="AV174" s="156">
        <f t="shared" si="49"/>
        <v>177.25567081504738</v>
      </c>
      <c r="AW174" s="156">
        <f t="shared" si="50"/>
        <v>125.33868683709039</v>
      </c>
      <c r="AX174" s="160" cm="1">
        <f t="array" ref="AX174">_xlfn.IFS(AU174="DELETE", "DELETE", AU174=0, 0, AU174&gt;0,LOG10(AU174))</f>
        <v>2.9269010526001331</v>
      </c>
      <c r="AY174" s="161" cm="1">
        <f t="array" ref="AY174">_xlfn.IFS(AU174="DELETE", "DELETE", AU174=0, 0, AU174&gt;0, AW174/AU174/LN(10))</f>
        <v>6.4412239492510293E-2</v>
      </c>
      <c r="AZ174" s="120">
        <f>qPCR_Raw!AG174</f>
        <v>35.421173095703125</v>
      </c>
      <c r="BA174" s="121" cm="1">
        <f t="array" ref="BA174">_xlfn.IFS(AZ174="Undetermined", 0, qPCR_Raw!AH174&lt;=1, 0, qPCR_Raw!AH174&gt;1, qPCR_Raw!AH174)</f>
        <v>3.5535235404968262</v>
      </c>
      <c r="BB174" s="122" t="str">
        <f>qPCR_Raw!AJ174</f>
        <v>Undetermined</v>
      </c>
      <c r="BC174" s="121" cm="1">
        <f t="array" ref="BC174">_xlfn.IFS(BB174="Undetermined", 0, qPCR_Raw!AK174&lt;=1, 0, qPCR_Raw!AK174&gt;1, qPCR_Raw!AK174)</f>
        <v>0</v>
      </c>
      <c r="BD174" s="123" t="str" cm="1">
        <f t="array" ref="BD174">_xlfn.IFS(AND(AZ174="Undetermined", BB174="Undetermined"), "Undetermined", AND(BA174=0, BC174=0), "Undetermined", AND(BA174=0, BC174&gt;0), "Ten-Fold", AND(BA174&gt;0, BC174=0), "Undiluted", AND(AZ174&lt;&gt;"Undetermined", BB174&lt;&gt;"Undetermined", BA174&gt;0, BC174&gt;0, AZ174&lt;&gt;BB174), 100*(-1+10^(-1/(AZ174-BB174))), AND(AZ174&lt;&gt;"Undetermined", BB174&lt;&gt;"Undetermined", AZ174=BB174&gt;0), -100)</f>
        <v>Undiluted</v>
      </c>
      <c r="BE174" s="124" cm="1">
        <f t="array" ref="BE174">_xlfn.IFS(BD174="Undetermined", 0, BD174="Undiluted", BA174*$G174/$F174*1000, BD174="Ten-Fold", BC174*$G174/$F174*1000*10, BD174&lt;0, BC174*$G174/$F174*1000*10, BD174&lt;120, BA174*$G174/$F174*1000, BD174&gt;120, BC174*$G174/$F174*1000*10)</f>
        <v>394.8359489440918</v>
      </c>
      <c r="BF174" s="121">
        <f t="shared" si="51"/>
        <v>355.20115163591174</v>
      </c>
      <c r="BG174" s="121">
        <f t="shared" si="52"/>
        <v>56.052067895136837</v>
      </c>
      <c r="BH174" s="121">
        <f t="shared" si="53"/>
        <v>39.634797308180026</v>
      </c>
      <c r="BI174" s="125" cm="1">
        <f t="array" ref="BI174">_xlfn.IFS(BF174="DELETE", "DELETE", BF174=0, 0, BF174&gt;0,LOG10(BF174))</f>
        <v>2.550474365181763</v>
      </c>
      <c r="BJ174" s="126" cm="1">
        <f t="array" ref="BJ174">_xlfn.IFS(BF174="DELETE", "DELETE", BF174=0, 0, BF174&gt;0, BH174/BF174/LN(10))</f>
        <v>4.8460354599132296E-2</v>
      </c>
    </row>
    <row r="175" spans="1:62" s="114" customFormat="1" x14ac:dyDescent="0.3">
      <c r="A175" s="115" t="str">
        <f>UPPER(LEFT(SUBSTITUTE(SUBSTITUTE(qPCR_Raw!A175,"-","")," ",""),2))&amp;RIGHT(SUBSTITUTE(SUBSTITUTE(qPCR_Raw!A175,"-","")," ",""),LEN(SUBSTITUTE(SUBSTITUTE(qPCR_Raw!A175,"-","")," ",""))-2)</f>
        <v>RW7</v>
      </c>
      <c r="B175" s="116" t="str" cm="1">
        <f t="array" ref="B175">_xlfn.IFS(LEFT(A175, LEN(A175)-1)="EP", "EP", LEFT(A175, LEN(A175)-1)="STa", "SPI", LEFT(A175, LEN(A175)-1)="STb", "SPO", LEFT(A175, LEN(A175)-1)="MRT", "MRT", LEFT(A175, LEN(A175)-1)="RG", "RN", LEFT(A175, LEN(A175)-1)="RT", "RU", LEFT(A175, LEN(A175)-1)="RW", "RL", LEFT(A175, LEN(A175)-1)="RC", "RS")</f>
        <v>RL</v>
      </c>
      <c r="C175" s="117">
        <f>qPCR_Raw!B175</f>
        <v>44412</v>
      </c>
      <c r="D175" s="117" t="str">
        <f t="shared" si="37"/>
        <v>RL44412</v>
      </c>
      <c r="E175" s="117" t="str">
        <f t="shared" si="38"/>
        <v>RL444127</v>
      </c>
      <c r="F175" s="118">
        <f>qPCR_Raw!C175</f>
        <v>900</v>
      </c>
      <c r="G175" s="119">
        <f>qPCR_Raw!F175</f>
        <v>100</v>
      </c>
      <c r="H175" s="120">
        <f>qPCR_Raw!G175</f>
        <v>15.731051445007324</v>
      </c>
      <c r="I175" s="121" cm="1">
        <f t="array" ref="I175">_xlfn.IFS(H175="Undetermined", 0, qPCR_Raw!H175-qPCR_Raw!$H$242&lt;0, 0, qPCR_Raw!H175-qPCR_Raw!$H$242&gt;0, qPCR_Raw!H175-qPCR_Raw!$H$242)</f>
        <v>1756751.1114461264</v>
      </c>
      <c r="J175" s="122">
        <f>qPCR_Raw!K175</f>
        <v>19.002771377563477</v>
      </c>
      <c r="K175" s="121" cm="1">
        <f t="array" ref="K175">_xlfn.IFS(J175="Undetermined", 0, qPCR_Raw!L175-qPCR_Raw!$H$242&lt;0, 0, qPCR_Raw!L175-qPCR_Raw!$H$242&gt;0, qPCR_Raw!L175-qPCR_Raw!$H$242)</f>
        <v>165882.73644612631</v>
      </c>
      <c r="L175" s="123" cm="1">
        <f t="array" ref="L175">_xlfn.IFS(AND(H175="Undetermined", J175="Undetermined"), "Undetermined", AND(I175=0, K175=0), "Undetermined", AND(I175=0, K175&gt;0), "Ten-Fold", AND(I175&gt;0, K175=0), "Undiluted", AND(H175&lt;&gt;"Undetermined", J175&lt;&gt;"Undetermined", I175&gt;0, K175&gt;0), 100*(-1+10^(-1/(H175-J175))))</f>
        <v>102.13877712015021</v>
      </c>
      <c r="M175" s="124" cm="1">
        <f t="array" ref="M175">_xlfn.IFS(L175="Undetermined", 0, L175="Undiluted", I175*$G175/$F175*1000, L175="Ten-Fold", K175*$G175/$F175*1000*10, L175&lt;0, K175*$G175/$F175*1000*10, L175&lt;120, I175*$G175/$F175*1000, L175&gt;120, K175*$G175/$F175*1000*10)</f>
        <v>195194567.9384585</v>
      </c>
      <c r="N175" s="121" t="str">
        <f t="shared" si="39"/>
        <v>DELETE</v>
      </c>
      <c r="O175" s="121" t="str">
        <f t="shared" si="40"/>
        <v>DELETE</v>
      </c>
      <c r="P175" s="121" t="str">
        <f t="shared" si="41"/>
        <v>DELETE</v>
      </c>
      <c r="Q175" s="125" t="str" cm="1">
        <f t="array" ref="Q175">_xlfn.IFS(N175="DELETE", "DELETE", N175=0, 0, N175&gt;0,LOG10(N175))</f>
        <v>DELETE</v>
      </c>
      <c r="R175" s="126" t="str" cm="1">
        <f t="array" ref="R175">_xlfn.IFS(N175="DELETE", "DELETE", N175=0, 0, N175&gt;0, P175/N175/LN(10))</f>
        <v>DELETE</v>
      </c>
      <c r="S175" s="155">
        <f>qPCR_Raw!O175</f>
        <v>29.010011672973633</v>
      </c>
      <c r="T175" s="156" cm="1">
        <f t="array" ref="T175">_xlfn.IFS(S175="Undetermined", 0, qPCR_Raw!P175&lt;=1, 0, qPCR_Raw!P175&gt;1, qPCR_Raw!P175)</f>
        <v>155.04878234863281</v>
      </c>
      <c r="U175" s="157">
        <f>qPCR_Raw!R175</f>
        <v>32.685585021972656</v>
      </c>
      <c r="V175" s="156" cm="1">
        <f t="array" ref="V175">_xlfn.IFS(U175="Undetermined", 0, qPCR_Raw!S175&lt;=1, 0, qPCR_Raw!S175&gt;1, qPCR_Raw!S175)</f>
        <v>12.142297744750977</v>
      </c>
      <c r="W175" s="158" cm="1">
        <f t="array" ref="W175">_xlfn.IFS(AND(S175="Undetermined", U175="Undetermined"), "Undetermined", AND(T175=0, V175=0), "Undetermined", AND(T175=0, V175&gt;0), "Ten-Fold", AND(T175&gt;0, V175=0), "Undiluted", AND(S175&lt;&gt;"Undetermined", U175&lt;&gt;"Undetermined", T175&gt;0, V175&gt;0, S175&lt;&gt;U175), 100*(-1+10^(-1/(S175-U175))), AND(S175&lt;&gt;"Undetermined", U175&lt;&gt;"Undetermined", S175=U175&gt;0), -100)</f>
        <v>87.096816336421085</v>
      </c>
      <c r="X175" s="159" cm="1">
        <f t="array" ref="X175">_xlfn.IFS(W175="Undetermined", 0, W175="Undiluted", T175*$G175/$F175*1000, W175="Ten-Fold", V175*$G175/$F175*1000*10, W175&lt;0, V175*$G175/$F175*1000*10, W175&lt;120, T175*$G175/$F175*1000, W175&gt;120, V175*$G175/$F175*1000*10)</f>
        <v>17227.642483181422</v>
      </c>
      <c r="Y175" s="156" t="str">
        <f t="shared" si="42"/>
        <v>DELETE</v>
      </c>
      <c r="Z175" s="156" t="str">
        <f t="shared" si="43"/>
        <v>DELETE</v>
      </c>
      <c r="AA175" s="156" t="str">
        <f t="shared" si="44"/>
        <v>DELETE</v>
      </c>
      <c r="AB175" s="160" t="str" cm="1">
        <f t="array" ref="AB175">_xlfn.IFS(Y175="DELETE", "DELETE", Y175=0, 0, Y175&gt;0,LOG10(Y175))</f>
        <v>DELETE</v>
      </c>
      <c r="AC175" s="161" t="str" cm="1">
        <f t="array" ref="AC175">_xlfn.IFS(Y175="DELETE", "DELETE", Y175=0, 0, Y175&gt;0, AA175/Y175/LN(10))</f>
        <v>DELETE</v>
      </c>
      <c r="AD175" s="120">
        <f>qPCR_Raw!U175</f>
        <v>31.085336685180664</v>
      </c>
      <c r="AE175" s="121" cm="1">
        <f t="array" ref="AE175">_xlfn.IFS(AD175="Undetermined", 0, qPCR_Raw!V175&lt;=1, 0, qPCR_Raw!V175&gt;1, qPCR_Raw!V175)</f>
        <v>22.554981231689453</v>
      </c>
      <c r="AF175" s="122">
        <f>qPCR_Raw!X175</f>
        <v>34.260196685791016</v>
      </c>
      <c r="AG175" s="121" cm="1">
        <f t="array" ref="AG175">_xlfn.IFS(AF175="Undetermined", 0, qPCR_Raw!Y175&lt;=1, 0, qPCR_Raw!Y175&gt;1, qPCR_Raw!Y175)</f>
        <v>2.9035437107086182</v>
      </c>
      <c r="AH175" s="123" cm="1">
        <f t="array" ref="AH175">_xlfn.IFS(AND(AD175="Undetermined", AF175="Undetermined"), "Undetermined", AND(AE175=0, AG175=0), "Undetermined", AND(AE175=0, AG175&gt;0), "Ten-Fold", AND(AE175&gt;0, AG175=0), "Undiluted", AND(AD175&lt;&gt;"Undetermined", AF175&lt;&gt;"Undetermined", AE175&gt;0, AG175&gt;0, AD175&lt;&gt;AF175), 100*(-1+10^(-1/(AD175-AF175))), AND(AD175&lt;&gt;"Undetermined", AF175&lt;&gt;"Undetermined", AD175=AF175&gt;0), -100)</f>
        <v>106.52589766547855</v>
      </c>
      <c r="AI175" s="124" cm="1">
        <f t="array" ref="AI175">_xlfn.IFS(AH175="Undetermined", 0, AH175="Undiluted", AE175*$G175/$F175*1000, AH175="Ten-Fold", AG175*$G175/$F175*1000*10, AH175&lt;0, AG175*$G175/$F175*1000*10, AH175&lt;120, AE175*$G175/$F175*1000, AH175&gt;120, AG175*$G175/$F175*1000*10)</f>
        <v>2506.1090257432729</v>
      </c>
      <c r="AJ175" s="121" t="str">
        <f t="shared" si="45"/>
        <v>DELETE</v>
      </c>
      <c r="AK175" s="121" t="str">
        <f t="shared" si="46"/>
        <v>DELETE</v>
      </c>
      <c r="AL175" s="121" t="str">
        <f t="shared" si="47"/>
        <v>DELETE</v>
      </c>
      <c r="AM175" s="125" t="str" cm="1">
        <f t="array" ref="AM175">_xlfn.IFS(AJ175="DELETE", "DELETE", AJ175=0, 0, AJ175&gt;0,LOG10(AJ175))</f>
        <v>DELETE</v>
      </c>
      <c r="AN175" s="126" t="str" cm="1">
        <f t="array" ref="AN175">_xlfn.IFS(AJ175="DELETE", "DELETE", AJ175=0, 0, AJ175&gt;0, AL175/AJ175/LN(10))</f>
        <v>DELETE</v>
      </c>
      <c r="AO175" s="155">
        <f>qPCR_Raw!AA175</f>
        <v>29.233987808227539</v>
      </c>
      <c r="AP175" s="156" cm="1">
        <f t="array" ref="AP175">_xlfn.IFS(AO175="Undetermined", 0, qPCR_Raw!AB175&lt;=6, 0, qPCR_Raw!AB175&gt;6, qPCR_Raw!AB175)</f>
        <v>8.7338247299194336</v>
      </c>
      <c r="AQ175" s="157" t="str">
        <f>qPCR_Raw!AD175</f>
        <v>Undetermined</v>
      </c>
      <c r="AR175" s="156" cm="1">
        <f t="array" ref="AR175">_xlfn.IFS(AQ175="Undetermined", 0, qPCR_Raw!AE175&lt;=6, 0, qPCR_Raw!AE175&gt;6, qPCR_Raw!AE175)</f>
        <v>0</v>
      </c>
      <c r="AS175" s="158" t="str" cm="1">
        <f t="array" ref="AS175">_xlfn.IFS(AND(AO175="Undetermined", AQ175="Undetermined"), "Undetermined", AND(AP175=0, AR175=0), "Undetermined", AND(AP175=0, AR175&gt;0), "Ten-Fold", AND(AP175&gt;0, AR175=0), "Undiluted", AND(AO175&lt;&gt;"Undetermined", AQ175&lt;&gt;"Undetermined", AP175&gt;0, AR175&gt;0, AO175&lt;&gt;AQ175), 100*(-1+10^(-1/(AO175-AQ175))), AND(AO175&lt;&gt;"Undetermined", AQ175&lt;&gt;"Undetermined", AO175=AQ175&gt;0), -100)</f>
        <v>Undiluted</v>
      </c>
      <c r="AT175" s="159" cm="1">
        <f t="array" ref="AT175">_xlfn.IFS(AS175="Undetermined", 0, AS175="Undiluted", AP175*$G175/$F175*1000, AS175="Ten-Fold", AR175*$G175/$F175*1000*10, AS175&lt;0, AR175*$G175/$F175*1000*10, AS175&lt;120, AP175*$G175/$F175*1000, AS175&gt;120, AR175*$G175/$F175*1000*10)</f>
        <v>970.42496999104821</v>
      </c>
      <c r="AU175" s="156" t="str">
        <f t="shared" si="48"/>
        <v>DELETE</v>
      </c>
      <c r="AV175" s="156" t="str">
        <f t="shared" si="49"/>
        <v>DELETE</v>
      </c>
      <c r="AW175" s="156" t="str">
        <f t="shared" si="50"/>
        <v>DELETE</v>
      </c>
      <c r="AX175" s="160" t="str" cm="1">
        <f t="array" ref="AX175">_xlfn.IFS(AU175="DELETE", "DELETE", AU175=0, 0, AU175&gt;0,LOG10(AU175))</f>
        <v>DELETE</v>
      </c>
      <c r="AY175" s="161" t="str" cm="1">
        <f t="array" ref="AY175">_xlfn.IFS(AU175="DELETE", "DELETE", AU175=0, 0, AU175&gt;0, AW175/AU175/LN(10))</f>
        <v>DELETE</v>
      </c>
      <c r="AZ175" s="120">
        <f>qPCR_Raw!AG175</f>
        <v>35.802291870117188</v>
      </c>
      <c r="BA175" s="121" cm="1">
        <f t="array" ref="BA175">_xlfn.IFS(AZ175="Undetermined", 0, qPCR_Raw!AH175&lt;=1, 0, qPCR_Raw!AH175&gt;1, qPCR_Raw!AH175)</f>
        <v>2.840097188949585</v>
      </c>
      <c r="BB175" s="122" t="str">
        <f>qPCR_Raw!AJ175</f>
        <v>Undetermined</v>
      </c>
      <c r="BC175" s="121" cm="1">
        <f t="array" ref="BC175">_xlfn.IFS(BB175="Undetermined", 0, qPCR_Raw!AK175&lt;=1, 0, qPCR_Raw!AK175&gt;1, qPCR_Raw!AK175)</f>
        <v>0</v>
      </c>
      <c r="BD175" s="123" t="str" cm="1">
        <f t="array" ref="BD175">_xlfn.IFS(AND(AZ175="Undetermined", BB175="Undetermined"), "Undetermined", AND(BA175=0, BC175=0), "Undetermined", AND(BA175=0, BC175&gt;0), "Ten-Fold", AND(BA175&gt;0, BC175=0), "Undiluted", AND(AZ175&lt;&gt;"Undetermined", BB175&lt;&gt;"Undetermined", BA175&gt;0, BC175&gt;0, AZ175&lt;&gt;BB175), 100*(-1+10^(-1/(AZ175-BB175))), AND(AZ175&lt;&gt;"Undetermined", BB175&lt;&gt;"Undetermined", AZ175=BB175&gt;0), -100)</f>
        <v>Undiluted</v>
      </c>
      <c r="BE175" s="124" cm="1">
        <f t="array" ref="BE175">_xlfn.IFS(BD175="Undetermined", 0, BD175="Undiluted", BA175*$G175/$F175*1000, BD175="Ten-Fold", BC175*$G175/$F175*1000*10, BD175&lt;0, BC175*$G175/$F175*1000*10, BD175&lt;120, BA175*$G175/$F175*1000, BD175&gt;120, BC175*$G175/$F175*1000*10)</f>
        <v>315.56635432773169</v>
      </c>
      <c r="BF175" s="121" t="str">
        <f t="shared" si="51"/>
        <v>DELETE</v>
      </c>
      <c r="BG175" s="121" t="str">
        <f t="shared" si="52"/>
        <v>DELETE</v>
      </c>
      <c r="BH175" s="121" t="str">
        <f t="shared" si="53"/>
        <v>DELETE</v>
      </c>
      <c r="BI175" s="125" t="str" cm="1">
        <f t="array" ref="BI175">_xlfn.IFS(BF175="DELETE", "DELETE", BF175=0, 0, BF175&gt;0,LOG10(BF175))</f>
        <v>DELETE</v>
      </c>
      <c r="BJ175" s="126" t="str" cm="1">
        <f t="array" ref="BJ175">_xlfn.IFS(BF175="DELETE", "DELETE", BF175=0, 0, BF175&gt;0, BH175/BF175/LN(10))</f>
        <v>DELETE</v>
      </c>
    </row>
    <row r="176" spans="1:62" s="114" customFormat="1" x14ac:dyDescent="0.3">
      <c r="A176" s="115" t="str">
        <f>UPPER(LEFT(SUBSTITUTE(SUBSTITUTE(qPCR_Raw!A176,"-","")," ",""),2))&amp;RIGHT(SUBSTITUTE(SUBSTITUTE(qPCR_Raw!A176,"-","")," ",""),LEN(SUBSTITUTE(SUBSTITUTE(qPCR_Raw!A176,"-","")," ",""))-2)</f>
        <v>MRT6</v>
      </c>
      <c r="B176" s="116" t="str" cm="1">
        <f t="array" ref="B176">_xlfn.IFS(LEFT(A176, LEN(A176)-1)="EP", "EP", LEFT(A176, LEN(A176)-1)="STa", "SPI", LEFT(A176, LEN(A176)-1)="STb", "SPO", LEFT(A176, LEN(A176)-1)="MRT", "MRT", LEFT(A176, LEN(A176)-1)="RG", "RN", LEFT(A176, LEN(A176)-1)="RT", "RU", LEFT(A176, LEN(A176)-1)="RW", "RL", LEFT(A176, LEN(A176)-1)="RC", "RS")</f>
        <v>MRT</v>
      </c>
      <c r="C176" s="117">
        <f>qPCR_Raw!B176</f>
        <v>44412</v>
      </c>
      <c r="D176" s="117" t="str">
        <f t="shared" si="37"/>
        <v>MRT44412</v>
      </c>
      <c r="E176" s="117" t="str">
        <f t="shared" si="38"/>
        <v>MRT444126</v>
      </c>
      <c r="F176" s="118">
        <f>qPCR_Raw!C176</f>
        <v>930</v>
      </c>
      <c r="G176" s="119">
        <f>qPCR_Raw!F176</f>
        <v>100</v>
      </c>
      <c r="H176" s="120">
        <f>qPCR_Raw!G176</f>
        <v>16.910621643066406</v>
      </c>
      <c r="I176" s="121" cm="1">
        <f t="array" ref="I176">_xlfn.IFS(H176="Undetermined", 0, qPCR_Raw!H176-qPCR_Raw!$H$242&lt;0, 0, qPCR_Raw!H176-qPCR_Raw!$H$242&gt;0, qPCR_Raw!H176-qPCR_Raw!$H$242)</f>
        <v>761546.54894612625</v>
      </c>
      <c r="J176" s="122">
        <f>qPCR_Raw!K176</f>
        <v>26.416448593139648</v>
      </c>
      <c r="K176" s="121" cm="1">
        <f t="array" ref="K176">_xlfn.IFS(J176="Undetermined", 0, qPCR_Raw!L176-qPCR_Raw!$H$242&lt;0, 0, qPCR_Raw!L176-qPCR_Raw!$H$242&gt;0, qPCR_Raw!L176-qPCR_Raw!$H$242)</f>
        <v>0</v>
      </c>
      <c r="L176" s="123" t="str" cm="1">
        <f t="array" ref="L176">_xlfn.IFS(AND(H176="Undetermined", J176="Undetermined"), "Undetermined", AND(I176=0, K176=0), "Undetermined", AND(I176=0, K176&gt;0), "Ten-Fold", AND(I176&gt;0, K176=0), "Undiluted", AND(H176&lt;&gt;"Undetermined", J176&lt;&gt;"Undetermined", I176&gt;0, K176&gt;0), 100*(-1+10^(-1/(H176-J176))))</f>
        <v>Undiluted</v>
      </c>
      <c r="M176" s="124" cm="1">
        <f t="array" ref="M176">_xlfn.IFS(L176="Undetermined", 0, L176="Undiluted", I176*$G176/$F176*1000, L176="Ten-Fold", K176*$G176/$F176*1000*10, L176&lt;0, K176*$G176/$F176*1000*10, L176&lt;120, I176*$G176/$F176*1000, L176&gt;120, K176*$G176/$F176*1000*10)</f>
        <v>81886725.693131849</v>
      </c>
      <c r="N176" s="121">
        <f t="shared" si="39"/>
        <v>79702011.311411425</v>
      </c>
      <c r="O176" s="121">
        <f t="shared" si="40"/>
        <v>3089652.7085405742</v>
      </c>
      <c r="P176" s="121">
        <f t="shared" si="41"/>
        <v>2184714.3817204237</v>
      </c>
      <c r="Q176" s="125" cm="1">
        <f t="array" ref="Q176">_xlfn.IFS(N176="DELETE", "DELETE", N176=0, 0, N176&gt;0,LOG10(N176))</f>
        <v>7.9014692811254186</v>
      </c>
      <c r="R176" s="126" cm="1">
        <f t="array" ref="R176">_xlfn.IFS(N176="DELETE", "DELETE", N176=0, 0, N176&gt;0, P176/N176/LN(10))</f>
        <v>1.1904459936508623E-2</v>
      </c>
      <c r="S176" s="155">
        <f>qPCR_Raw!O176</f>
        <v>28.002193450927734</v>
      </c>
      <c r="T176" s="156" cm="1">
        <f t="array" ref="T176">_xlfn.IFS(S176="Undetermined", 0, qPCR_Raw!P176&lt;=1, 0, qPCR_Raw!P176&gt;1, qPCR_Raw!P176)</f>
        <v>311.7254638671875</v>
      </c>
      <c r="U176" s="157">
        <f>qPCR_Raw!R176</f>
        <v>30.471521377563477</v>
      </c>
      <c r="V176" s="156" cm="1">
        <f t="array" ref="V176">_xlfn.IFS(U176="Undetermined", 0, qPCR_Raw!S176&lt;=1, 0, qPCR_Raw!S176&gt;1, qPCR_Raw!S176)</f>
        <v>56.315193176269531</v>
      </c>
      <c r="W176" s="158" cm="1">
        <f t="array" ref="W176">_xlfn.IFS(AND(S176="Undetermined", U176="Undetermined"), "Undetermined", AND(T176=0, V176=0), "Undetermined", AND(T176=0, V176&gt;0), "Ten-Fold", AND(T176&gt;0, V176=0), "Undiluted", AND(S176&lt;&gt;"Undetermined", U176&lt;&gt;"Undetermined", T176&gt;0, V176&gt;0, S176&lt;&gt;U176), 100*(-1+10^(-1/(S176-U176))), AND(S176&lt;&gt;"Undetermined", U176&lt;&gt;"Undetermined", S176=U176&gt;0), -100)</f>
        <v>154.07883491635928</v>
      </c>
      <c r="X176" s="159" cm="1">
        <f t="array" ref="X176">_xlfn.IFS(W176="Undetermined", 0, W176="Undiluted", T176*$G176/$F176*1000, W176="Ten-Fold", V176*$G176/$F176*1000*10, W176&lt;0, V176*$G176/$F176*1000*10, W176&lt;120, T176*$G176/$F176*1000, W176&gt;120, V176*$G176/$F176*1000*10)</f>
        <v>60553.971157279069</v>
      </c>
      <c r="Y176" s="156">
        <f t="shared" si="42"/>
        <v>64895.859585013444</v>
      </c>
      <c r="Z176" s="156">
        <f t="shared" si="43"/>
        <v>6140.3575008127473</v>
      </c>
      <c r="AA176" s="156">
        <f t="shared" si="44"/>
        <v>4341.888427734375</v>
      </c>
      <c r="AB176" s="160" cm="1">
        <f t="array" ref="AB176">_xlfn.IFS(Y176="DELETE", "DELETE", Y176=0, 0, Y176&gt;0,LOG10(Y176))</f>
        <v>4.8122169893004871</v>
      </c>
      <c r="AC176" s="161" cm="1">
        <f t="array" ref="AC176">_xlfn.IFS(Y176="DELETE", "DELETE", Y176=0, 0, Y176&gt;0, AA176/Y176/LN(10))</f>
        <v>2.9056679382363625E-2</v>
      </c>
      <c r="AD176" s="120">
        <f>qPCR_Raw!U176</f>
        <v>32.979114532470703</v>
      </c>
      <c r="AE176" s="121" cm="1">
        <f t="array" ref="AE176">_xlfn.IFS(AD176="Undetermined", 0, qPCR_Raw!V176&lt;=1, 0, qPCR_Raw!V176&gt;1, qPCR_Raw!V176)</f>
        <v>6.6401433944702148</v>
      </c>
      <c r="AF176" s="122">
        <f>qPCR_Raw!X176</f>
        <v>31.55992317199707</v>
      </c>
      <c r="AG176" s="121" cm="1">
        <f t="array" ref="AG176">_xlfn.IFS(AF176="Undetermined", 0, qPCR_Raw!Y176&lt;=1, 0, qPCR_Raw!Y176&gt;1, qPCR_Raw!Y176)</f>
        <v>16.601829528808594</v>
      </c>
      <c r="AH176" s="123" cm="1">
        <f t="array" ref="AH176">_xlfn.IFS(AND(AD176="Undetermined", AF176="Undetermined"), "Undetermined", AND(AE176=0, AG176=0), "Undetermined", AND(AE176=0, AG176&gt;0), "Ten-Fold", AND(AE176&gt;0, AG176=0), "Undiluted", AND(AD176&lt;&gt;"Undetermined", AF176&lt;&gt;"Undetermined", AE176&gt;0, AG176&gt;0, AD176&lt;&gt;AF176), 100*(-1+10^(-1/(AD176-AF176))), AND(AD176&lt;&gt;"Undetermined", AF176&lt;&gt;"Undetermined", AD176=AF176&gt;0), -100)</f>
        <v>-80.258807288103043</v>
      </c>
      <c r="AI176" s="124" cm="1">
        <f t="array" ref="AI176">_xlfn.IFS(AH176="Undetermined", 0, AH176="Undiluted", AE176*$G176/$F176*1000, AH176="Ten-Fold", AG176*$G176/$F176*1000*10, AH176&lt;0, AG176*$G176/$F176*1000*10, AH176&lt;120, AE176*$G176/$F176*1000, AH176&gt;120, AG176*$G176/$F176*1000*10)</f>
        <v>17851.429600869455</v>
      </c>
      <c r="AJ176" s="121">
        <f t="shared" si="45"/>
        <v>10450.565174061765</v>
      </c>
      <c r="AK176" s="121">
        <f t="shared" si="46"/>
        <v>10466.402845676017</v>
      </c>
      <c r="AL176" s="121">
        <f t="shared" si="47"/>
        <v>7400.8644268076896</v>
      </c>
      <c r="AM176" s="125" cm="1">
        <f t="array" ref="AM176">_xlfn.IFS(AJ176="DELETE", "DELETE", AJ176=0, 0, AJ176&gt;0,LOG10(AJ176))</f>
        <v>4.0191397780393325</v>
      </c>
      <c r="AN176" s="126" cm="1">
        <f t="array" ref="AN176">_xlfn.IFS(AJ176="DELETE", "DELETE", AJ176=0, 0, AJ176&gt;0, AL176/AJ176/LN(10))</f>
        <v>0.30755796728144069</v>
      </c>
      <c r="AO176" s="155">
        <f>qPCR_Raw!AA176</f>
        <v>27.68017578125</v>
      </c>
      <c r="AP176" s="156" cm="1">
        <f t="array" ref="AP176">_xlfn.IFS(AO176="Undetermined", 0, qPCR_Raw!AB176&lt;=6, 0, qPCR_Raw!AB176&gt;6, qPCR_Raw!AB176)</f>
        <v>23.692602157592773</v>
      </c>
      <c r="AQ176" s="157" t="str">
        <f>qPCR_Raw!AD176</f>
        <v>Undetermined</v>
      </c>
      <c r="AR176" s="156" cm="1">
        <f t="array" ref="AR176">_xlfn.IFS(AQ176="Undetermined", 0, qPCR_Raw!AE176&lt;=6, 0, qPCR_Raw!AE176&gt;6, qPCR_Raw!AE176)</f>
        <v>0</v>
      </c>
      <c r="AS176" s="158" t="str" cm="1">
        <f t="array" ref="AS176">_xlfn.IFS(AND(AO176="Undetermined", AQ176="Undetermined"), "Undetermined", AND(AP176=0, AR176=0), "Undetermined", AND(AP176=0, AR176&gt;0), "Ten-Fold", AND(AP176&gt;0, AR176=0), "Undiluted", AND(AO176&lt;&gt;"Undetermined", AQ176&lt;&gt;"Undetermined", AP176&gt;0, AR176&gt;0, AO176&lt;&gt;AQ176), 100*(-1+10^(-1/(AO176-AQ176))), AND(AO176&lt;&gt;"Undetermined", AQ176&lt;&gt;"Undetermined", AO176=AQ176&gt;0), -100)</f>
        <v>Undiluted</v>
      </c>
      <c r="AT176" s="159" cm="1">
        <f t="array" ref="AT176">_xlfn.IFS(AS176="Undetermined", 0, AS176="Undiluted", AP176*$G176/$F176*1000, AS176="Ten-Fold", AR176*$G176/$F176*1000*10, AS176&lt;0, AR176*$G176/$F176*1000*10, AS176&lt;120, AP176*$G176/$F176*1000, AS176&gt;120, AR176*$G176/$F176*1000*10)</f>
        <v>2547.5916298486854</v>
      </c>
      <c r="AU176" s="156">
        <f t="shared" si="48"/>
        <v>1997.1930596136278</v>
      </c>
      <c r="AV176" s="156">
        <f t="shared" si="49"/>
        <v>778.38112273717934</v>
      </c>
      <c r="AW176" s="156">
        <f t="shared" si="50"/>
        <v>550.39857023505783</v>
      </c>
      <c r="AX176" s="160" cm="1">
        <f t="array" ref="AX176">_xlfn.IFS(AU176="DELETE", "DELETE", AU176=0, 0, AU176&gt;0,LOG10(AU176))</f>
        <v>3.3004200481818198</v>
      </c>
      <c r="AY176" s="161" cm="1">
        <f t="array" ref="AY176">_xlfn.IFS(AU176="DELETE", "DELETE", AU176=0, 0, AU176&gt;0, AW176/AU176/LN(10))</f>
        <v>0.1196855059904765</v>
      </c>
      <c r="AZ176" s="120">
        <f>qPCR_Raw!AG176</f>
        <v>32.559154510498047</v>
      </c>
      <c r="BA176" s="121" cm="1">
        <f t="array" ref="BA176">_xlfn.IFS(AZ176="Undetermined", 0, qPCR_Raw!AH176&lt;=1, 0, qPCR_Raw!AH176&gt;1, qPCR_Raw!AH176)</f>
        <v>19.121871948242188</v>
      </c>
      <c r="BB176" s="122">
        <f>qPCR_Raw!AJ176</f>
        <v>34.249011993408203</v>
      </c>
      <c r="BC176" s="121" cm="1">
        <f t="array" ref="BC176">_xlfn.IFS(BB176="Undetermined", 0, qPCR_Raw!AK176&lt;=1, 0, qPCR_Raw!AK176&gt;1, qPCR_Raw!AK176)</f>
        <v>7.0793428421020508</v>
      </c>
      <c r="BD176" s="123" cm="1">
        <f t="array" ref="BD176">_xlfn.IFS(AND(AZ176="Undetermined", BB176="Undetermined"), "Undetermined", AND(BA176=0, BC176=0), "Undetermined", AND(BA176=0, BC176&gt;0), "Ten-Fold", AND(BA176&gt;0, BC176=0), "Undiluted", AND(AZ176&lt;&gt;"Undetermined", BB176&lt;&gt;"Undetermined", BA176&gt;0, BC176&gt;0, AZ176&lt;&gt;BB176), 100*(-1+10^(-1/(AZ176-BB176))), AND(AZ176&lt;&gt;"Undetermined", BB176&lt;&gt;"Undetermined", AZ176=BB176&gt;0), -100)</f>
        <v>290.63025734641087</v>
      </c>
      <c r="BE176" s="124" cm="1">
        <f t="array" ref="BE176">_xlfn.IFS(BD176="Undetermined", 0, BD176="Undiluted", BA176*$G176/$F176*1000, BD176="Ten-Fold", BC176*$G176/$F176*1000*10, BD176&lt;0, BC176*$G176/$F176*1000*10, BD176&lt;120, BA176*$G176/$F176*1000, BD176&gt;120, BC176*$G176/$F176*1000*10)</f>
        <v>7612.1966044108067</v>
      </c>
      <c r="BF176" s="121">
        <f t="shared" si="51"/>
        <v>3987.8832653004633</v>
      </c>
      <c r="BG176" s="121">
        <f t="shared" si="52"/>
        <v>5125.5530784595658</v>
      </c>
      <c r="BH176" s="121">
        <f t="shared" si="53"/>
        <v>3624.3133391103429</v>
      </c>
      <c r="BI176" s="125" cm="1">
        <f t="array" ref="BI176">_xlfn.IFS(BF176="DELETE", "DELETE", BF176=0, 0, BF176&gt;0,LOG10(BF176))</f>
        <v>3.6007424370072556</v>
      </c>
      <c r="BJ176" s="126" cm="1">
        <f t="array" ref="BJ176">_xlfn.IFS(BF176="DELETE", "DELETE", BF176=0, 0, BF176&gt;0, BH176/BF176/LN(10))</f>
        <v>0.39470044109863828</v>
      </c>
    </row>
    <row r="177" spans="1:62" s="114" customFormat="1" x14ac:dyDescent="0.3">
      <c r="A177" s="115" t="str">
        <f>UPPER(LEFT(SUBSTITUTE(SUBSTITUTE(qPCR_Raw!A177,"-","")," ",""),2))&amp;RIGHT(SUBSTITUTE(SUBSTITUTE(qPCR_Raw!A177,"-","")," ",""),LEN(SUBSTITUTE(SUBSTITUTE(qPCR_Raw!A177,"-","")," ",""))-2)</f>
        <v>MRT7</v>
      </c>
      <c r="B177" s="116" t="str" cm="1">
        <f t="array" ref="B177">_xlfn.IFS(LEFT(A177, LEN(A177)-1)="EP", "EP", LEFT(A177, LEN(A177)-1)="STa", "SPI", LEFT(A177, LEN(A177)-1)="STb", "SPO", LEFT(A177, LEN(A177)-1)="MRT", "MRT", LEFT(A177, LEN(A177)-1)="RG", "RN", LEFT(A177, LEN(A177)-1)="RT", "RU", LEFT(A177, LEN(A177)-1)="RW", "RL", LEFT(A177, LEN(A177)-1)="RC", "RS")</f>
        <v>MRT</v>
      </c>
      <c r="C177" s="117">
        <f>qPCR_Raw!B177</f>
        <v>44412</v>
      </c>
      <c r="D177" s="117" t="str">
        <f t="shared" si="37"/>
        <v>MRT44412</v>
      </c>
      <c r="E177" s="117" t="str">
        <f t="shared" si="38"/>
        <v>MRT444127</v>
      </c>
      <c r="F177" s="118">
        <f>qPCR_Raw!C177</f>
        <v>930</v>
      </c>
      <c r="G177" s="119">
        <f>qPCR_Raw!F177</f>
        <v>100</v>
      </c>
      <c r="H177" s="120">
        <f>qPCR_Raw!G177</f>
        <v>16.987550735473633</v>
      </c>
      <c r="I177" s="121" cm="1">
        <f t="array" ref="I177">_xlfn.IFS(H177="Undetermined", 0, qPCR_Raw!H177-qPCR_Raw!$H$242&lt;0, 0, qPCR_Raw!H177-qPCR_Raw!$H$242&gt;0, qPCR_Raw!H177-qPCR_Raw!$H$242)</f>
        <v>720910.86144612625</v>
      </c>
      <c r="J177" s="122">
        <f>qPCR_Raw!K177</f>
        <v>26.379968643188477</v>
      </c>
      <c r="K177" s="121" cm="1">
        <f t="array" ref="K177">_xlfn.IFS(J177="Undetermined", 0, qPCR_Raw!L177-qPCR_Raw!$H$242&lt;0, 0, qPCR_Raw!L177-qPCR_Raw!$H$242&gt;0, qPCR_Raw!L177-qPCR_Raw!$H$242)</f>
        <v>0</v>
      </c>
      <c r="L177" s="123" t="str" cm="1">
        <f t="array" ref="L177">_xlfn.IFS(AND(H177="Undetermined", J177="Undetermined"), "Undetermined", AND(I177=0, K177=0), "Undetermined", AND(I177=0, K177&gt;0), "Ten-Fold", AND(I177&gt;0, K177=0), "Undiluted", AND(H177&lt;&gt;"Undetermined", J177&lt;&gt;"Undetermined", I177&gt;0, K177&gt;0), 100*(-1+10^(-1/(H177-J177))))</f>
        <v>Undiluted</v>
      </c>
      <c r="M177" s="124" cm="1">
        <f t="array" ref="M177">_xlfn.IFS(L177="Undetermined", 0, L177="Undiluted", I177*$G177/$F177*1000, L177="Ten-Fold", K177*$G177/$F177*1000*10, L177&lt;0, K177*$G177/$F177*1000*10, L177&lt;120, I177*$G177/$F177*1000, L177&gt;120, K177*$G177/$F177*1000*10)</f>
        <v>77517296.929691002</v>
      </c>
      <c r="N177" s="121" t="str">
        <f t="shared" si="39"/>
        <v>DELETE</v>
      </c>
      <c r="O177" s="121" t="str">
        <f t="shared" si="40"/>
        <v>DELETE</v>
      </c>
      <c r="P177" s="121" t="str">
        <f t="shared" si="41"/>
        <v>DELETE</v>
      </c>
      <c r="Q177" s="125" t="str" cm="1">
        <f t="array" ref="Q177">_xlfn.IFS(N177="DELETE", "DELETE", N177=0, 0, N177&gt;0,LOG10(N177))</f>
        <v>DELETE</v>
      </c>
      <c r="R177" s="126" t="str" cm="1">
        <f t="array" ref="R177">_xlfn.IFS(N177="DELETE", "DELETE", N177=0, 0, N177&gt;0, P177/N177/LN(10))</f>
        <v>DELETE</v>
      </c>
      <c r="S177" s="155">
        <f>qPCR_Raw!O177</f>
        <v>27.942075729370117</v>
      </c>
      <c r="T177" s="156" cm="1">
        <f t="array" ref="T177">_xlfn.IFS(S177="Undetermined", 0, qPCR_Raw!P177&lt;=1, 0, qPCR_Raw!P177&gt;1, qPCR_Raw!P177)</f>
        <v>324.986083984375</v>
      </c>
      <c r="U177" s="157">
        <f>qPCR_Raw!R177</f>
        <v>30.278133392333984</v>
      </c>
      <c r="V177" s="156" cm="1">
        <f t="array" ref="V177">_xlfn.IFS(U177="Undetermined", 0, qPCR_Raw!S177&lt;=1, 0, qPCR_Raw!S177&gt;1, qPCR_Raw!S177)</f>
        <v>64.391105651855469</v>
      </c>
      <c r="W177" s="158" cm="1">
        <f t="array" ref="W177">_xlfn.IFS(AND(S177="Undetermined", U177="Undetermined"), "Undetermined", AND(T177=0, V177=0), "Undetermined", AND(T177=0, V177&gt;0), "Ten-Fold", AND(T177&gt;0, V177=0), "Undiluted", AND(S177&lt;&gt;"Undetermined", U177&lt;&gt;"Undetermined", T177&gt;0, V177&gt;0, S177&lt;&gt;U177), 100*(-1+10^(-1/(S177-U177))), AND(S177&lt;&gt;"Undetermined", U177&lt;&gt;"Undetermined", S177=U177&gt;0), -100)</f>
        <v>167.96102171370015</v>
      </c>
      <c r="X177" s="159" cm="1">
        <f t="array" ref="X177">_xlfn.IFS(W177="Undetermined", 0, W177="Undiluted", T177*$G177/$F177*1000, W177="Ten-Fold", V177*$G177/$F177*1000*10, W177&lt;0, V177*$G177/$F177*1000*10, W177&lt;120, T177*$G177/$F177*1000, W177&gt;120, V177*$G177/$F177*1000*10)</f>
        <v>69237.748012747819</v>
      </c>
      <c r="Y177" s="156" t="str">
        <f t="shared" si="42"/>
        <v>DELETE</v>
      </c>
      <c r="Z177" s="156" t="str">
        <f t="shared" si="43"/>
        <v>DELETE</v>
      </c>
      <c r="AA177" s="156" t="str">
        <f t="shared" si="44"/>
        <v>DELETE</v>
      </c>
      <c r="AB177" s="160" t="str" cm="1">
        <f t="array" ref="AB177">_xlfn.IFS(Y177="DELETE", "DELETE", Y177=0, 0, Y177&gt;0,LOG10(Y177))</f>
        <v>DELETE</v>
      </c>
      <c r="AC177" s="161" t="str" cm="1">
        <f t="array" ref="AC177">_xlfn.IFS(Y177="DELETE", "DELETE", Y177=0, 0, Y177&gt;0, AA177/Y177/LN(10))</f>
        <v>DELETE</v>
      </c>
      <c r="AD177" s="120">
        <f>qPCR_Raw!U177</f>
        <v>32.226707458496094</v>
      </c>
      <c r="AE177" s="121" cm="1">
        <f t="array" ref="AE177">_xlfn.IFS(AD177="Undetermined", 0, qPCR_Raw!V177&lt;=1, 0, qPCR_Raw!V177&gt;1, qPCR_Raw!V177)</f>
        <v>10.793745040893555</v>
      </c>
      <c r="AF177" s="122">
        <f>qPCR_Raw!X177</f>
        <v>34.296527862548828</v>
      </c>
      <c r="AG177" s="121" cm="1">
        <f t="array" ref="AG177">_xlfn.IFS(AF177="Undetermined", 0, qPCR_Raw!Y177&lt;=1, 0, qPCR_Raw!Y177&gt;1, qPCR_Raw!Y177)</f>
        <v>2.8362216949462891</v>
      </c>
      <c r="AH177" s="123" cm="1">
        <f t="array" ref="AH177">_xlfn.IFS(AND(AD177="Undetermined", AF177="Undetermined"), "Undetermined", AND(AE177=0, AG177=0), "Undetermined", AND(AE177=0, AG177&gt;0), "Ten-Fold", AND(AE177&gt;0, AG177=0), "Undiluted", AND(AD177&lt;&gt;"Undetermined", AF177&lt;&gt;"Undetermined", AE177&gt;0, AG177&gt;0, AD177&lt;&gt;AF177), 100*(-1+10^(-1/(AD177-AF177))), AND(AD177&lt;&gt;"Undetermined", AF177&lt;&gt;"Undetermined", AD177=AF177&gt;0), -100)</f>
        <v>204.18213567037577</v>
      </c>
      <c r="AI177" s="124" cm="1">
        <f t="array" ref="AI177">_xlfn.IFS(AH177="Undetermined", 0, AH177="Undiluted", AE177*$G177/$F177*1000, AH177="Ten-Fold", AG177*$G177/$F177*1000*10, AH177&lt;0, AG177*$G177/$F177*1000*10, AH177&lt;120, AE177*$G177/$F177*1000, AH177&gt;120, AG177*$G177/$F177*1000*10)</f>
        <v>3049.700747254074</v>
      </c>
      <c r="AJ177" s="121" t="str">
        <f t="shared" si="45"/>
        <v>DELETE</v>
      </c>
      <c r="AK177" s="121" t="str">
        <f t="shared" si="46"/>
        <v>DELETE</v>
      </c>
      <c r="AL177" s="121" t="str">
        <f t="shared" si="47"/>
        <v>DELETE</v>
      </c>
      <c r="AM177" s="125" t="str" cm="1">
        <f t="array" ref="AM177">_xlfn.IFS(AJ177="DELETE", "DELETE", AJ177=0, 0, AJ177&gt;0,LOG10(AJ177))</f>
        <v>DELETE</v>
      </c>
      <c r="AN177" s="126" t="str" cm="1">
        <f t="array" ref="AN177">_xlfn.IFS(AJ177="DELETE", "DELETE", AJ177=0, 0, AJ177&gt;0, AL177/AJ177/LN(10))</f>
        <v>DELETE</v>
      </c>
      <c r="AO177" s="155">
        <f>qPCR_Raw!AA177</f>
        <v>28.561117172241211</v>
      </c>
      <c r="AP177" s="156" cm="1">
        <f t="array" ref="AP177">_xlfn.IFS(AO177="Undetermined", 0, qPCR_Raw!AB177&lt;=6, 0, qPCR_Raw!AB177&gt;6, qPCR_Raw!AB177)</f>
        <v>13.455188751220703</v>
      </c>
      <c r="AQ177" s="157">
        <f>qPCR_Raw!AD177</f>
        <v>31.674997329711914</v>
      </c>
      <c r="AR177" s="156" cm="1">
        <f t="array" ref="AR177">_xlfn.IFS(AQ177="Undetermined", 0, qPCR_Raw!AE177&lt;=6, 0, qPCR_Raw!AE177&gt;6, qPCR_Raw!AE177)</f>
        <v>0</v>
      </c>
      <c r="AS177" s="158" t="str" cm="1">
        <f t="array" ref="AS177">_xlfn.IFS(AND(AO177="Undetermined", AQ177="Undetermined"), "Undetermined", AND(AP177=0, AR177=0), "Undetermined", AND(AP177=0, AR177&gt;0), "Ten-Fold", AND(AP177&gt;0, AR177=0), "Undiluted", AND(AO177&lt;&gt;"Undetermined", AQ177&lt;&gt;"Undetermined", AP177&gt;0, AR177&gt;0, AO177&lt;&gt;AQ177), 100*(-1+10^(-1/(AO177-AQ177))), AND(AO177&lt;&gt;"Undetermined", AQ177&lt;&gt;"Undetermined", AO177=AQ177&gt;0), -100)</f>
        <v>Undiluted</v>
      </c>
      <c r="AT177" s="159" cm="1">
        <f t="array" ref="AT177">_xlfn.IFS(AS177="Undetermined", 0, AS177="Undiluted", AP177*$G177/$F177*1000, AS177="Ten-Fold", AR177*$G177/$F177*1000*10, AS177&lt;0, AR177*$G177/$F177*1000*10, AS177&lt;120, AP177*$G177/$F177*1000, AS177&gt;120, AR177*$G177/$F177*1000*10)</f>
        <v>1446.7944893785702</v>
      </c>
      <c r="AU177" s="156" t="str">
        <f t="shared" si="48"/>
        <v>DELETE</v>
      </c>
      <c r="AV177" s="156" t="str">
        <f t="shared" si="49"/>
        <v>DELETE</v>
      </c>
      <c r="AW177" s="156" t="str">
        <f t="shared" si="50"/>
        <v>DELETE</v>
      </c>
      <c r="AX177" s="160" t="str" cm="1">
        <f t="array" ref="AX177">_xlfn.IFS(AU177="DELETE", "DELETE", AU177=0, 0, AU177&gt;0,LOG10(AU177))</f>
        <v>DELETE</v>
      </c>
      <c r="AY177" s="161" t="str" cm="1">
        <f t="array" ref="AY177">_xlfn.IFS(AU177="DELETE", "DELETE", AU177=0, 0, AU177&gt;0, AW177/AU177/LN(10))</f>
        <v>DELETE</v>
      </c>
      <c r="AZ177" s="120">
        <f>qPCR_Raw!AG177</f>
        <v>35.505710601806641</v>
      </c>
      <c r="BA177" s="121" cm="1">
        <f t="array" ref="BA177">_xlfn.IFS(AZ177="Undetermined", 0, qPCR_Raw!AH177&lt;=1, 0, qPCR_Raw!AH177&gt;1, qPCR_Raw!AH177)</f>
        <v>3.3812003135681152</v>
      </c>
      <c r="BB177" s="122" t="str">
        <f>qPCR_Raw!AJ177</f>
        <v>Undetermined</v>
      </c>
      <c r="BC177" s="121" cm="1">
        <f t="array" ref="BC177">_xlfn.IFS(BB177="Undetermined", 0, qPCR_Raw!AK177&lt;=1, 0, qPCR_Raw!AK177&gt;1, qPCR_Raw!AK177)</f>
        <v>0</v>
      </c>
      <c r="BD177" s="123" t="str" cm="1">
        <f t="array" ref="BD177">_xlfn.IFS(AND(AZ177="Undetermined", BB177="Undetermined"), "Undetermined", AND(BA177=0, BC177=0), "Undetermined", AND(BA177=0, BC177&gt;0), "Ten-Fold", AND(BA177&gt;0, BC177=0), "Undiluted", AND(AZ177&lt;&gt;"Undetermined", BB177&lt;&gt;"Undetermined", BA177&gt;0, BC177&gt;0, AZ177&lt;&gt;BB177), 100*(-1+10^(-1/(AZ177-BB177))), AND(AZ177&lt;&gt;"Undetermined", BB177&lt;&gt;"Undetermined", AZ177=BB177&gt;0), -100)</f>
        <v>Undiluted</v>
      </c>
      <c r="BE177" s="124" cm="1">
        <f t="array" ref="BE177">_xlfn.IFS(BD177="Undetermined", 0, BD177="Undiluted", BA177*$G177/$F177*1000, BD177="Ten-Fold", BC177*$G177/$F177*1000*10, BD177&lt;0, BC177*$G177/$F177*1000*10, BD177&lt;120, BA177*$G177/$F177*1000, BD177&gt;120, BC177*$G177/$F177*1000*10)</f>
        <v>363.56992619011993</v>
      </c>
      <c r="BF177" s="121" t="str">
        <f t="shared" si="51"/>
        <v>DELETE</v>
      </c>
      <c r="BG177" s="121" t="str">
        <f t="shared" si="52"/>
        <v>DELETE</v>
      </c>
      <c r="BH177" s="121" t="str">
        <f t="shared" si="53"/>
        <v>DELETE</v>
      </c>
      <c r="BI177" s="125" t="str" cm="1">
        <f t="array" ref="BI177">_xlfn.IFS(BF177="DELETE", "DELETE", BF177=0, 0, BF177&gt;0,LOG10(BF177))</f>
        <v>DELETE</v>
      </c>
      <c r="BJ177" s="126" t="str" cm="1">
        <f t="array" ref="BJ177">_xlfn.IFS(BF177="DELETE", "DELETE", BF177=0, 0, BF177&gt;0, BH177/BF177/LN(10))</f>
        <v>DELETE</v>
      </c>
    </row>
    <row r="178" spans="1:62" s="114" customFormat="1" x14ac:dyDescent="0.3">
      <c r="A178" s="115" t="str">
        <f>UPPER(LEFT(SUBSTITUTE(SUBSTITUTE(qPCR_Raw!A178,"-","")," ",""),2))&amp;RIGHT(SUBSTITUTE(SUBSTITUTE(qPCR_Raw!A178,"-","")," ",""),LEN(SUBSTITUTE(SUBSTITUTE(qPCR_Raw!A178,"-","")," ",""))-2)</f>
        <v>RT6</v>
      </c>
      <c r="B178" s="116" t="str" cm="1">
        <f t="array" ref="B178">_xlfn.IFS(LEFT(A178, LEN(A178)-1)="EP", "EP", LEFT(A178, LEN(A178)-1)="STa", "SPI", LEFT(A178, LEN(A178)-1)="STb", "SPO", LEFT(A178, LEN(A178)-1)="MRT", "MRT", LEFT(A178, LEN(A178)-1)="RG", "RN", LEFT(A178, LEN(A178)-1)="RT", "RU", LEFT(A178, LEN(A178)-1)="RW", "RL", LEFT(A178, LEN(A178)-1)="RC", "RS")</f>
        <v>RU</v>
      </c>
      <c r="C178" s="117">
        <f>qPCR_Raw!B178</f>
        <v>44412</v>
      </c>
      <c r="D178" s="117" t="str">
        <f t="shared" si="37"/>
        <v>RU44412</v>
      </c>
      <c r="E178" s="117" t="str">
        <f t="shared" si="38"/>
        <v>RU444126</v>
      </c>
      <c r="F178" s="118">
        <f>qPCR_Raw!C178</f>
        <v>900</v>
      </c>
      <c r="G178" s="119">
        <f>qPCR_Raw!F178</f>
        <v>100</v>
      </c>
      <c r="H178" s="120">
        <f>qPCR_Raw!G178</f>
        <v>16.971319198608398</v>
      </c>
      <c r="I178" s="121" cm="1">
        <f t="array" ref="I178">_xlfn.IFS(H178="Undetermined", 0, qPCR_Raw!H178-qPCR_Raw!$H$242&lt;0, 0, qPCR_Raw!H178-qPCR_Raw!$H$242&gt;0, qPCR_Raw!H178-qPCR_Raw!$H$242)</f>
        <v>729303.42394612625</v>
      </c>
      <c r="J178" s="122">
        <f>qPCR_Raw!K178</f>
        <v>19.778060913085938</v>
      </c>
      <c r="K178" s="121" cm="1">
        <f t="array" ref="K178">_xlfn.IFS(J178="Undetermined", 0, qPCR_Raw!L178-qPCR_Raw!$H$242&lt;0, 0, qPCR_Raw!L178-qPCR_Raw!$H$242&gt;0, qPCR_Raw!L178-qPCR_Raw!$H$242)</f>
        <v>90926.494258626306</v>
      </c>
      <c r="L178" s="123" cm="1">
        <f t="array" ref="L178">_xlfn.IFS(AND(H178="Undetermined", J178="Undetermined"), "Undetermined", AND(I178=0, K178=0), "Undetermined", AND(I178=0, K178&gt;0), "Ten-Fold", AND(I178&gt;0, K178=0), "Undiluted", AND(H178&lt;&gt;"Undetermined", J178&lt;&gt;"Undetermined", I178&gt;0, K178&gt;0), 100*(-1+10^(-1/(H178-J178))))</f>
        <v>127.13549621362108</v>
      </c>
      <c r="M178" s="124" cm="1">
        <f t="array" ref="M178">_xlfn.IFS(L178="Undetermined", 0, L178="Undiluted", I178*$G178/$F178*1000, L178="Ten-Fold", K178*$G178/$F178*1000*10, L178&lt;0, K178*$G178/$F178*1000*10, L178&lt;120, I178*$G178/$F178*1000, L178&gt;120, K178*$G178/$F178*1000*10)</f>
        <v>101029438.06514034</v>
      </c>
      <c r="N178" s="121">
        <f t="shared" si="39"/>
        <v>62663974.075787343</v>
      </c>
      <c r="O178" s="121">
        <f t="shared" si="40"/>
        <v>54256959.500479601</v>
      </c>
      <c r="P178" s="121">
        <f t="shared" si="41"/>
        <v>38365463.989353001</v>
      </c>
      <c r="Q178" s="125" cm="1">
        <f t="array" ref="Q178">_xlfn.IFS(N178="DELETE", "DELETE", N178=0, 0, N178&gt;0,LOG10(N178))</f>
        <v>7.7970179338660834</v>
      </c>
      <c r="R178" s="126" cm="1">
        <f t="array" ref="R178">_xlfn.IFS(N178="DELETE", "DELETE", N178=0, 0, N178&gt;0, P178/N178/LN(10))</f>
        <v>0.26589295607205832</v>
      </c>
      <c r="S178" s="155">
        <f>qPCR_Raw!O178</f>
        <v>31.676891326904297</v>
      </c>
      <c r="T178" s="156" cm="1">
        <f t="array" ref="T178">_xlfn.IFS(S178="Undetermined", 0, qPCR_Raw!P178&lt;=1, 0, qPCR_Raw!P178&gt;1, qPCR_Raw!P178)</f>
        <v>24.426895141601563</v>
      </c>
      <c r="U178" s="157">
        <f>qPCR_Raw!R178</f>
        <v>34.428462982177734</v>
      </c>
      <c r="V178" s="156" cm="1">
        <f t="array" ref="V178">_xlfn.IFS(U178="Undetermined", 0, qPCR_Raw!S178&lt;=1, 0, qPCR_Raw!S178&gt;1, qPCR_Raw!S178)</f>
        <v>3.6289417743682861</v>
      </c>
      <c r="W178" s="158" cm="1">
        <f t="array" ref="W178">_xlfn.IFS(AND(S178="Undetermined", U178="Undetermined"), "Undetermined", AND(T178=0, V178=0), "Undetermined", AND(T178=0, V178&gt;0), "Ten-Fold", AND(T178&gt;0, V178=0), "Undiluted", AND(S178&lt;&gt;"Undetermined", U178&lt;&gt;"Undetermined", T178&gt;0, V178&gt;0, S178&lt;&gt;U178), 100*(-1+10^(-1/(S178-U178))), AND(S178&lt;&gt;"Undetermined", U178&lt;&gt;"Undetermined", S178=U178&gt;0), -100)</f>
        <v>130.90251333022439</v>
      </c>
      <c r="X178" s="159" cm="1">
        <f t="array" ref="X178">_xlfn.IFS(W178="Undetermined", 0, W178="Undiluted", T178*$G178/$F178*1000, W178="Ten-Fold", V178*$G178/$F178*1000*10, W178&lt;0, V178*$G178/$F178*1000*10, W178&lt;120, T178*$G178/$F178*1000, W178&gt;120, V178*$G178/$F178*1000*10)</f>
        <v>4032.1575270758735</v>
      </c>
      <c r="Y178" s="156">
        <f t="shared" si="42"/>
        <v>5374.9038950044514</v>
      </c>
      <c r="Z178" s="156">
        <f t="shared" si="43"/>
        <v>1898.9301243518062</v>
      </c>
      <c r="AA178" s="156">
        <f t="shared" si="44"/>
        <v>1342.7463679285761</v>
      </c>
      <c r="AB178" s="160" cm="1">
        <f t="array" ref="AB178">_xlfn.IFS(Y178="DELETE", "DELETE", Y178=0, 0, Y178&gt;0,LOG10(Y178))</f>
        <v>3.7303707033332447</v>
      </c>
      <c r="AC178" s="161" cm="1">
        <f t="array" ref="AC178">_xlfn.IFS(Y178="DELETE", "DELETE", Y178=0, 0, Y178&gt;0, AA178/Y178/LN(10))</f>
        <v>0.10849446791578979</v>
      </c>
      <c r="AD178" s="120">
        <f>qPCR_Raw!U178</f>
        <v>28.235794067382813</v>
      </c>
      <c r="AE178" s="121" cm="1">
        <f t="array" ref="AE178">_xlfn.IFS(AD178="Undetermined", 0, qPCR_Raw!V178&lt;=1, 0, qPCR_Raw!V178&gt;1, qPCR_Raw!V178)</f>
        <v>142.0133056640625</v>
      </c>
      <c r="AF178" s="122">
        <f>qPCR_Raw!X178</f>
        <v>31.637243270874023</v>
      </c>
      <c r="AG178" s="121" cm="1">
        <f t="array" ref="AG178">_xlfn.IFS(AF178="Undetermined", 0, qPCR_Raw!Y178&lt;=1, 0, qPCR_Raw!Y178&gt;1, qPCR_Raw!Y178)</f>
        <v>15.793317794799805</v>
      </c>
      <c r="AH178" s="123" cm="1">
        <f t="array" ref="AH178">_xlfn.IFS(AND(AD178="Undetermined", AF178="Undetermined"), "Undetermined", AND(AE178=0, AG178=0), "Undetermined", AND(AE178=0, AG178&gt;0), "Ten-Fold", AND(AE178&gt;0, AG178=0), "Undiluted", AND(AD178&lt;&gt;"Undetermined", AF178&lt;&gt;"Undetermined", AE178&gt;0, AG178&gt;0, AD178&lt;&gt;AF178), 100*(-1+10^(-1/(AD178-AF178))), AND(AD178&lt;&gt;"Undetermined", AF178&lt;&gt;"Undetermined", AD178=AF178&gt;0), -100)</f>
        <v>96.785156653687409</v>
      </c>
      <c r="AI178" s="124" cm="1">
        <f t="array" ref="AI178">_xlfn.IFS(AH178="Undetermined", 0, AH178="Undiluted", AE178*$G178/$F178*1000, AH178="Ten-Fold", AG178*$G178/$F178*1000*10, AH178&lt;0, AG178*$G178/$F178*1000*10, AH178&lt;120, AE178*$G178/$F178*1000, AH178&gt;120, AG178*$G178/$F178*1000*10)</f>
        <v>15779.256184895834</v>
      </c>
      <c r="AJ178" s="121">
        <f t="shared" si="45"/>
        <v>10308.560555441338</v>
      </c>
      <c r="AK178" s="121">
        <f t="shared" si="46"/>
        <v>7736.731954789765</v>
      </c>
      <c r="AL178" s="121">
        <f t="shared" si="47"/>
        <v>5470.6956294544962</v>
      </c>
      <c r="AM178" s="125" cm="1">
        <f t="array" ref="AM178">_xlfn.IFS(AJ178="DELETE", "DELETE", AJ178=0, 0, AJ178&gt;0,LOG10(AJ178))</f>
        <v>4.0131980264403566</v>
      </c>
      <c r="AN178" s="126" cm="1">
        <f t="array" ref="AN178">_xlfn.IFS(AJ178="DELETE", "DELETE", AJ178=0, 0, AJ178&gt;0, AL178/AJ178/LN(10))</f>
        <v>0.23047766089807925</v>
      </c>
      <c r="AO178" s="155">
        <f>qPCR_Raw!AA178</f>
        <v>30.149606704711914</v>
      </c>
      <c r="AP178" s="156" cm="1">
        <f t="array" ref="AP178">_xlfn.IFS(AO178="Undetermined", 0, qPCR_Raw!AB178&lt;=6, 0, qPCR_Raw!AB178&gt;6, qPCR_Raw!AB178)</f>
        <v>0</v>
      </c>
      <c r="AQ178" s="157" t="str">
        <f>qPCR_Raw!AD178</f>
        <v>Undetermined</v>
      </c>
      <c r="AR178" s="156" cm="1">
        <f t="array" ref="AR178">_xlfn.IFS(AQ178="Undetermined", 0, qPCR_Raw!AE178&lt;=6, 0, qPCR_Raw!AE178&gt;6, qPCR_Raw!AE178)</f>
        <v>0</v>
      </c>
      <c r="AS178" s="158" t="str" cm="1">
        <f t="array" ref="AS178">_xlfn.IFS(AND(AO178="Undetermined", AQ178="Undetermined"), "Undetermined", AND(AP178=0, AR178=0), "Undetermined", AND(AP178=0, AR178&gt;0), "Ten-Fold", AND(AP178&gt;0, AR178=0), "Undiluted", AND(AO178&lt;&gt;"Undetermined", AQ178&lt;&gt;"Undetermined", AP178&gt;0, AR178&gt;0, AO178&lt;&gt;AQ178), 100*(-1+10^(-1/(AO178-AQ178))), AND(AO178&lt;&gt;"Undetermined", AQ178&lt;&gt;"Undetermined", AO178=AQ178&gt;0), -100)</f>
        <v>Undetermined</v>
      </c>
      <c r="AT178" s="159" cm="1">
        <f t="array" ref="AT178">_xlfn.IFS(AS178="Undetermined", 0, AS178="Undiluted", AP178*$G178/$F178*1000, AS178="Ten-Fold", AR178*$G178/$F178*1000*10, AS178&lt;0, AR178*$G178/$F178*1000*10, AS178&lt;120, AP178*$G178/$F178*1000, AS178&gt;120, AR178*$G178/$F178*1000*10)</f>
        <v>0</v>
      </c>
      <c r="AU178" s="156">
        <f t="shared" si="48"/>
        <v>0</v>
      </c>
      <c r="AV178" s="156">
        <f t="shared" si="49"/>
        <v>0</v>
      </c>
      <c r="AW178" s="156">
        <f t="shared" si="50"/>
        <v>0</v>
      </c>
      <c r="AX178" s="160" cm="1">
        <f t="array" ref="AX178">_xlfn.IFS(AU178="DELETE", "DELETE", AU178=0, 0, AU178&gt;0,LOG10(AU178))</f>
        <v>0</v>
      </c>
      <c r="AY178" s="161" cm="1">
        <f t="array" ref="AY178">_xlfn.IFS(AU178="DELETE", "DELETE", AU178=0, 0, AU178&gt;0, AW178/AU178/LN(10))</f>
        <v>0</v>
      </c>
      <c r="AZ178" s="120" t="str">
        <f>qPCR_Raw!AG178</f>
        <v>Undetermined</v>
      </c>
      <c r="BA178" s="121" cm="1">
        <f t="array" ref="BA178">_xlfn.IFS(AZ178="Undetermined", 0, qPCR_Raw!AH178&lt;=1, 0, qPCR_Raw!AH178&gt;1, qPCR_Raw!AH178)</f>
        <v>0</v>
      </c>
      <c r="BB178" s="122" t="str">
        <f>qPCR_Raw!AJ178</f>
        <v>Undetermined</v>
      </c>
      <c r="BC178" s="121" cm="1">
        <f t="array" ref="BC178">_xlfn.IFS(BB178="Undetermined", 0, qPCR_Raw!AK178&lt;=1, 0, qPCR_Raw!AK178&gt;1, qPCR_Raw!AK178)</f>
        <v>0</v>
      </c>
      <c r="BD178" s="123" t="str" cm="1">
        <f t="array" ref="BD178">_xlfn.IFS(AND(AZ178="Undetermined", BB178="Undetermined"), "Undetermined", AND(BA178=0, BC178=0), "Undetermined", AND(BA178=0, BC178&gt;0), "Ten-Fold", AND(BA178&gt;0, BC178=0), "Undiluted", AND(AZ178&lt;&gt;"Undetermined", BB178&lt;&gt;"Undetermined", BA178&gt;0, BC178&gt;0, AZ178&lt;&gt;BB178), 100*(-1+10^(-1/(AZ178-BB178))), AND(AZ178&lt;&gt;"Undetermined", BB178&lt;&gt;"Undetermined", AZ178=BB178&gt;0), -100)</f>
        <v>Undetermined</v>
      </c>
      <c r="BE178" s="124" cm="1">
        <f t="array" ref="BE178">_xlfn.IFS(BD178="Undetermined", 0, BD178="Undiluted", BA178*$G178/$F178*1000, BD178="Ten-Fold", BC178*$G178/$F178*1000*10, BD178&lt;0, BC178*$G178/$F178*1000*10, BD178&lt;120, BA178*$G178/$F178*1000, BD178&gt;120, BC178*$G178/$F178*1000*10)</f>
        <v>0</v>
      </c>
      <c r="BF178" s="121">
        <f t="shared" si="51"/>
        <v>1204.345703125</v>
      </c>
      <c r="BG178" s="121">
        <f t="shared" si="52"/>
        <v>1703.2020271451363</v>
      </c>
      <c r="BH178" s="121">
        <f t="shared" si="53"/>
        <v>1204.345703125</v>
      </c>
      <c r="BI178" s="125" cm="1">
        <f t="array" ref="BI178">_xlfn.IFS(BF178="DELETE", "DELETE", BF178=0, 0, BF178&gt;0,LOG10(BF178))</f>
        <v>3.0807511674943671</v>
      </c>
      <c r="BJ178" s="126" cm="1">
        <f t="array" ref="BJ178">_xlfn.IFS(BF178="DELETE", "DELETE", BF178=0, 0, BF178&gt;0, BH178/BF178/LN(10))</f>
        <v>0.43429448190325176</v>
      </c>
    </row>
    <row r="179" spans="1:62" s="114" customFormat="1" x14ac:dyDescent="0.3">
      <c r="A179" s="115" t="str">
        <f>UPPER(LEFT(SUBSTITUTE(SUBSTITUTE(qPCR_Raw!A179,"-","")," ",""),2))&amp;RIGHT(SUBSTITUTE(SUBSTITUTE(qPCR_Raw!A179,"-","")," ",""),LEN(SUBSTITUTE(SUBSTITUTE(qPCR_Raw!A179,"-","")," ",""))-2)</f>
        <v>RT7</v>
      </c>
      <c r="B179" s="116" t="str" cm="1">
        <f t="array" ref="B179">_xlfn.IFS(LEFT(A179, LEN(A179)-1)="EP", "EP", LEFT(A179, LEN(A179)-1)="STa", "SPI", LEFT(A179, LEN(A179)-1)="STb", "SPO", LEFT(A179, LEN(A179)-1)="MRT", "MRT", LEFT(A179, LEN(A179)-1)="RG", "RN", LEFT(A179, LEN(A179)-1)="RT", "RU", LEFT(A179, LEN(A179)-1)="RW", "RL", LEFT(A179, LEN(A179)-1)="RC", "RS")</f>
        <v>RU</v>
      </c>
      <c r="C179" s="117">
        <f>qPCR_Raw!B179</f>
        <v>44412</v>
      </c>
      <c r="D179" s="117" t="str">
        <f t="shared" si="37"/>
        <v>RU44412</v>
      </c>
      <c r="E179" s="117" t="str">
        <f t="shared" si="38"/>
        <v>RU444127</v>
      </c>
      <c r="F179" s="118">
        <f>qPCR_Raw!C179</f>
        <v>950</v>
      </c>
      <c r="G179" s="119">
        <f>qPCR_Raw!F179</f>
        <v>100</v>
      </c>
      <c r="H179" s="120">
        <f>qPCR_Raw!G179</f>
        <v>18.560550689697266</v>
      </c>
      <c r="I179" s="121" cm="1">
        <f t="array" ref="I179">_xlfn.IFS(H179="Undetermined", 0, qPCR_Raw!H179-qPCR_Raw!$H$242&lt;0, 0, qPCR_Raw!H179-qPCR_Raw!$H$242&gt;0, qPCR_Raw!H179-qPCR_Raw!$H$242)</f>
        <v>230835.84582112631</v>
      </c>
      <c r="J179" s="122">
        <f>qPCR_Raw!K179</f>
        <v>22.145429611206055</v>
      </c>
      <c r="K179" s="121" cm="1">
        <f t="array" ref="K179">_xlfn.IFS(J179="Undetermined", 0, qPCR_Raw!L179-qPCR_Raw!$H$242&lt;0, 0, qPCR_Raw!L179-qPCR_Raw!$H$242&gt;0, qPCR_Raw!L179-qPCR_Raw!$H$242)</f>
        <v>6805.7344930013023</v>
      </c>
      <c r="L179" s="123" cm="1">
        <f t="array" ref="L179">_xlfn.IFS(AND(H179="Undetermined", J179="Undetermined"), "Undetermined", AND(I179=0, K179=0), "Undetermined", AND(I179=0, K179&gt;0), "Ten-Fold", AND(I179&gt;0, K179=0), "Undiluted", AND(H179&lt;&gt;"Undetermined", J179&lt;&gt;"Undetermined", I179&gt;0, K179&gt;0), 100*(-1+10^(-1/(H179-J179))))</f>
        <v>90.085701126986223</v>
      </c>
      <c r="M179" s="124" cm="1">
        <f t="array" ref="M179">_xlfn.IFS(L179="Undetermined", 0, L179="Undiluted", I179*$G179/$F179*1000, L179="Ten-Fold", K179*$G179/$F179*1000*10, L179&lt;0, K179*$G179/$F179*1000*10, L179&lt;120, I179*$G179/$F179*1000, L179&gt;120, K179*$G179/$F179*1000*10)</f>
        <v>24298510.086434349</v>
      </c>
      <c r="N179" s="121" t="str">
        <f t="shared" si="39"/>
        <v>DELETE</v>
      </c>
      <c r="O179" s="121" t="str">
        <f t="shared" si="40"/>
        <v>DELETE</v>
      </c>
      <c r="P179" s="121" t="str">
        <f t="shared" si="41"/>
        <v>DELETE</v>
      </c>
      <c r="Q179" s="125" t="str" cm="1">
        <f t="array" ref="Q179">_xlfn.IFS(N179="DELETE", "DELETE", N179=0, 0, N179&gt;0,LOG10(N179))</f>
        <v>DELETE</v>
      </c>
      <c r="R179" s="126" t="str" cm="1">
        <f t="array" ref="R179">_xlfn.IFS(N179="DELETE", "DELETE", N179=0, 0, N179&gt;0, P179/N179/LN(10))</f>
        <v>DELETE</v>
      </c>
      <c r="S179" s="155">
        <f>qPCR_Raw!O179</f>
        <v>31.958885192871094</v>
      </c>
      <c r="T179" s="156" cm="1">
        <f t="array" ref="T179">_xlfn.IFS(S179="Undetermined", 0, qPCR_Raw!P179&lt;=1, 0, qPCR_Raw!P179&gt;1, qPCR_Raw!P179)</f>
        <v>20.09101676940918</v>
      </c>
      <c r="U179" s="157">
        <f>qPCR_Raw!R179</f>
        <v>33.613842010498047</v>
      </c>
      <c r="V179" s="156" cm="1">
        <f t="array" ref="V179">_xlfn.IFS(U179="Undetermined", 0, qPCR_Raw!S179&lt;=1, 0, qPCR_Raw!S179&gt;1, qPCR_Raw!S179)</f>
        <v>6.381767749786377</v>
      </c>
      <c r="W179" s="158" cm="1">
        <f t="array" ref="W179">_xlfn.IFS(AND(S179="Undetermined", U179="Undetermined"), "Undetermined", AND(T179=0, V179=0), "Undetermined", AND(T179=0, V179&gt;0), "Ten-Fold", AND(T179&gt;0, V179=0), "Undiluted", AND(S179&lt;&gt;"Undetermined", U179&lt;&gt;"Undetermined", T179&gt;0, V179&gt;0, S179&lt;&gt;U179), 100*(-1+10^(-1/(S179-U179))), AND(S179&lt;&gt;"Undetermined", U179&lt;&gt;"Undetermined", S179=U179&gt;0), -100)</f>
        <v>302.01788391189268</v>
      </c>
      <c r="X179" s="159" cm="1">
        <f t="array" ref="X179">_xlfn.IFS(W179="Undetermined", 0, W179="Undiluted", T179*$G179/$F179*1000, W179="Ten-Fold", V179*$G179/$F179*1000*10, W179&lt;0, V179*$G179/$F179*1000*10, W179&lt;120, T179*$G179/$F179*1000, W179&gt;120, V179*$G179/$F179*1000*10)</f>
        <v>6717.6502629330289</v>
      </c>
      <c r="Y179" s="156" t="str">
        <f t="shared" si="42"/>
        <v>DELETE</v>
      </c>
      <c r="Z179" s="156" t="str">
        <f t="shared" si="43"/>
        <v>DELETE</v>
      </c>
      <c r="AA179" s="156" t="str">
        <f t="shared" si="44"/>
        <v>DELETE</v>
      </c>
      <c r="AB179" s="160" t="str" cm="1">
        <f t="array" ref="AB179">_xlfn.IFS(Y179="DELETE", "DELETE", Y179=0, 0, Y179&gt;0,LOG10(Y179))</f>
        <v>DELETE</v>
      </c>
      <c r="AC179" s="161" t="str" cm="1">
        <f t="array" ref="AC179">_xlfn.IFS(Y179="DELETE", "DELETE", Y179=0, 0, Y179&gt;0, AA179/Y179/LN(10))</f>
        <v>DELETE</v>
      </c>
      <c r="AD179" s="120">
        <f>qPCR_Raw!U179</f>
        <v>29.982961654663086</v>
      </c>
      <c r="AE179" s="121" cm="1">
        <f t="array" ref="AE179">_xlfn.IFS(AD179="Undetermined", 0, qPCR_Raw!V179&lt;=1, 0, qPCR_Raw!V179&gt;1, qPCR_Raw!V179)</f>
        <v>45.959716796875</v>
      </c>
      <c r="AF179" s="122">
        <f>qPCR_Raw!X179</f>
        <v>33.955562591552734</v>
      </c>
      <c r="AG179" s="121" cm="1">
        <f t="array" ref="AG179">_xlfn.IFS(AF179="Undetermined", 0, qPCR_Raw!Y179&lt;=1, 0, qPCR_Raw!Y179&gt;1, qPCR_Raw!Y179)</f>
        <v>3.5347261428833008</v>
      </c>
      <c r="AH179" s="123" cm="1">
        <f t="array" ref="AH179">_xlfn.IFS(AND(AD179="Undetermined", AF179="Undetermined"), "Undetermined", AND(AE179=0, AG179=0), "Undetermined", AND(AE179=0, AG179&gt;0), "Ten-Fold", AND(AE179&gt;0, AG179=0), "Undiluted", AND(AD179&lt;&gt;"Undetermined", AF179&lt;&gt;"Undetermined", AE179&gt;0, AG179&gt;0, AD179&lt;&gt;AF179), 100*(-1+10^(-1/(AD179-AF179))), AND(AD179&lt;&gt;"Undetermined", AF179&lt;&gt;"Undetermined", AD179=AF179&gt;0), -100)</f>
        <v>78.535363523471673</v>
      </c>
      <c r="AI179" s="124" cm="1">
        <f t="array" ref="AI179">_xlfn.IFS(AH179="Undetermined", 0, AH179="Undiluted", AE179*$G179/$F179*1000, AH179="Ten-Fold", AG179*$G179/$F179*1000*10, AH179&lt;0, AG179*$G179/$F179*1000*10, AH179&lt;120, AE179*$G179/$F179*1000, AH179&gt;120, AG179*$G179/$F179*1000*10)</f>
        <v>4837.8649259868425</v>
      </c>
      <c r="AJ179" s="121" t="str">
        <f t="shared" si="45"/>
        <v>DELETE</v>
      </c>
      <c r="AK179" s="121" t="str">
        <f t="shared" si="46"/>
        <v>DELETE</v>
      </c>
      <c r="AL179" s="121" t="str">
        <f t="shared" si="47"/>
        <v>DELETE</v>
      </c>
      <c r="AM179" s="125" t="str" cm="1">
        <f t="array" ref="AM179">_xlfn.IFS(AJ179="DELETE", "DELETE", AJ179=0, 0, AJ179&gt;0,LOG10(AJ179))</f>
        <v>DELETE</v>
      </c>
      <c r="AN179" s="126" t="str" cm="1">
        <f t="array" ref="AN179">_xlfn.IFS(AJ179="DELETE", "DELETE", AJ179=0, 0, AJ179&gt;0, AL179/AJ179/LN(10))</f>
        <v>DELETE</v>
      </c>
      <c r="AO179" s="155">
        <f>qPCR_Raw!AA179</f>
        <v>30.248077392578125</v>
      </c>
      <c r="AP179" s="156" cm="1">
        <f t="array" ref="AP179">_xlfn.IFS(AO179="Undetermined", 0, qPCR_Raw!AB179&lt;=6, 0, qPCR_Raw!AB179&gt;6, qPCR_Raw!AB179)</f>
        <v>0</v>
      </c>
      <c r="AQ179" s="157" t="str">
        <f>qPCR_Raw!AD179</f>
        <v>Undetermined</v>
      </c>
      <c r="AR179" s="156" cm="1">
        <f t="array" ref="AR179">_xlfn.IFS(AQ179="Undetermined", 0, qPCR_Raw!AE179&lt;=6, 0, qPCR_Raw!AE179&gt;6, qPCR_Raw!AE179)</f>
        <v>0</v>
      </c>
      <c r="AS179" s="158" t="str" cm="1">
        <f t="array" ref="AS179">_xlfn.IFS(AND(AO179="Undetermined", AQ179="Undetermined"), "Undetermined", AND(AP179=0, AR179=0), "Undetermined", AND(AP179=0, AR179&gt;0), "Ten-Fold", AND(AP179&gt;0, AR179=0), "Undiluted", AND(AO179&lt;&gt;"Undetermined", AQ179&lt;&gt;"Undetermined", AP179&gt;0, AR179&gt;0, AO179&lt;&gt;AQ179), 100*(-1+10^(-1/(AO179-AQ179))), AND(AO179&lt;&gt;"Undetermined", AQ179&lt;&gt;"Undetermined", AO179=AQ179&gt;0), -100)</f>
        <v>Undetermined</v>
      </c>
      <c r="AT179" s="159" cm="1">
        <f t="array" ref="AT179">_xlfn.IFS(AS179="Undetermined", 0, AS179="Undiluted", AP179*$G179/$F179*1000, AS179="Ten-Fold", AR179*$G179/$F179*1000*10, AS179&lt;0, AR179*$G179/$F179*1000*10, AS179&lt;120, AP179*$G179/$F179*1000, AS179&gt;120, AR179*$G179/$F179*1000*10)</f>
        <v>0</v>
      </c>
      <c r="AU179" s="156" t="str">
        <f t="shared" si="48"/>
        <v>DELETE</v>
      </c>
      <c r="AV179" s="156" t="str">
        <f t="shared" si="49"/>
        <v>DELETE</v>
      </c>
      <c r="AW179" s="156" t="str">
        <f t="shared" si="50"/>
        <v>DELETE</v>
      </c>
      <c r="AX179" s="160" t="str" cm="1">
        <f t="array" ref="AX179">_xlfn.IFS(AU179="DELETE", "DELETE", AU179=0, 0, AU179&gt;0,LOG10(AU179))</f>
        <v>DELETE</v>
      </c>
      <c r="AY179" s="161" t="str" cm="1">
        <f t="array" ref="AY179">_xlfn.IFS(AU179="DELETE", "DELETE", AU179=0, 0, AU179&gt;0, AW179/AU179/LN(10))</f>
        <v>DELETE</v>
      </c>
      <c r="AZ179" s="120">
        <f>qPCR_Raw!AG179</f>
        <v>32.253814697265625</v>
      </c>
      <c r="BA179" s="121" cm="1">
        <f t="array" ref="BA179">_xlfn.IFS(AZ179="Undetermined", 0, qPCR_Raw!AH179&lt;=1, 0, qPCR_Raw!AH179&gt;1, qPCR_Raw!AH179)</f>
        <v>22.882568359375</v>
      </c>
      <c r="BB179" s="122">
        <f>qPCR_Raw!AJ179</f>
        <v>38.112113952636719</v>
      </c>
      <c r="BC179" s="121" cm="1">
        <f t="array" ref="BC179">_xlfn.IFS(BB179="Undetermined", 0, qPCR_Raw!AK179&lt;=1, 0, qPCR_Raw!AK179&gt;1, qPCR_Raw!AK179)</f>
        <v>0</v>
      </c>
      <c r="BD179" s="123" t="str" cm="1">
        <f t="array" ref="BD179">_xlfn.IFS(AND(AZ179="Undetermined", BB179="Undetermined"), "Undetermined", AND(BA179=0, BC179=0), "Undetermined", AND(BA179=0, BC179&gt;0), "Ten-Fold", AND(BA179&gt;0, BC179=0), "Undiluted", AND(AZ179&lt;&gt;"Undetermined", BB179&lt;&gt;"Undetermined", BA179&gt;0, BC179&gt;0, AZ179&lt;&gt;BB179), 100*(-1+10^(-1/(AZ179-BB179))), AND(AZ179&lt;&gt;"Undetermined", BB179&lt;&gt;"Undetermined", AZ179=BB179&gt;0), -100)</f>
        <v>Undiluted</v>
      </c>
      <c r="BE179" s="124" cm="1">
        <f t="array" ref="BE179">_xlfn.IFS(BD179="Undetermined", 0, BD179="Undiluted", BA179*$G179/$F179*1000, BD179="Ten-Fold", BC179*$G179/$F179*1000*10, BD179&lt;0, BC179*$G179/$F179*1000*10, BD179&lt;120, BA179*$G179/$F179*1000, BD179&gt;120, BC179*$G179/$F179*1000*10)</f>
        <v>2408.69140625</v>
      </c>
      <c r="BF179" s="121" t="str">
        <f t="shared" si="51"/>
        <v>DELETE</v>
      </c>
      <c r="BG179" s="121" t="str">
        <f t="shared" si="52"/>
        <v>DELETE</v>
      </c>
      <c r="BH179" s="121" t="str">
        <f t="shared" si="53"/>
        <v>DELETE</v>
      </c>
      <c r="BI179" s="125" t="str" cm="1">
        <f t="array" ref="BI179">_xlfn.IFS(BF179="DELETE", "DELETE", BF179=0, 0, BF179&gt;0,LOG10(BF179))</f>
        <v>DELETE</v>
      </c>
      <c r="BJ179" s="126" t="str" cm="1">
        <f t="array" ref="BJ179">_xlfn.IFS(BF179="DELETE", "DELETE", BF179=0, 0, BF179&gt;0, BH179/BF179/LN(10))</f>
        <v>DELETE</v>
      </c>
    </row>
    <row r="180" spans="1:62" s="114" customFormat="1" x14ac:dyDescent="0.3">
      <c r="A180" s="115" t="str">
        <f>UPPER(LEFT(SUBSTITUTE(SUBSTITUTE(qPCR_Raw!A180,"-","")," ",""),2))&amp;RIGHT(SUBSTITUTE(SUBSTITUTE(qPCR_Raw!A180,"-","")," ",""),LEN(SUBSTITUTE(SUBSTITUTE(qPCR_Raw!A180,"-","")," ",""))-2)</f>
        <v>STb6</v>
      </c>
      <c r="B180" s="116" t="str" cm="1">
        <f t="array" ref="B180">_xlfn.IFS(LEFT(A180, LEN(A180)-1)="EP", "EP", LEFT(A180, LEN(A180)-1)="STa", "SPI", LEFT(A180, LEN(A180)-1)="STb", "SPO", LEFT(A180, LEN(A180)-1)="MRT", "MRT", LEFT(A180, LEN(A180)-1)="RG", "RN", LEFT(A180, LEN(A180)-1)="RT", "RU", LEFT(A180, LEN(A180)-1)="RW", "RL", LEFT(A180, LEN(A180)-1)="RC", "RS")</f>
        <v>SPO</v>
      </c>
      <c r="C180" s="117">
        <f>qPCR_Raw!B180</f>
        <v>44412</v>
      </c>
      <c r="D180" s="117" t="str">
        <f t="shared" si="37"/>
        <v>SPO44412</v>
      </c>
      <c r="E180" s="117" t="str">
        <f t="shared" si="38"/>
        <v>SPO444126</v>
      </c>
      <c r="F180" s="118">
        <f>qPCR_Raw!C180</f>
        <v>900</v>
      </c>
      <c r="G180" s="119">
        <f>qPCR_Raw!F180</f>
        <v>100</v>
      </c>
      <c r="H180" s="120">
        <f>qPCR_Raw!G180</f>
        <v>20.064113616943359</v>
      </c>
      <c r="I180" s="121" cm="1">
        <f t="array" ref="I180">_xlfn.IFS(H180="Undetermined", 0, qPCR_Raw!H180-qPCR_Raw!$H$242&lt;0, 0, qPCR_Raw!H180-qPCR_Raw!$H$242&gt;0, qPCR_Raw!H180-qPCR_Raw!$H$242)</f>
        <v>72057.822383626306</v>
      </c>
      <c r="J180" s="122">
        <f>qPCR_Raw!K180</f>
        <v>22.586648941040039</v>
      </c>
      <c r="K180" s="121" cm="1">
        <f t="array" ref="K180">_xlfn.IFS(J180="Undetermined", 0, qPCR_Raw!L180-qPCR_Raw!$H$242&lt;0, 0, qPCR_Raw!L180-qPCR_Raw!$H$242&gt;0, qPCR_Raw!L180-qPCR_Raw!$H$242)</f>
        <v>1544.3106648763023</v>
      </c>
      <c r="L180" s="123" cm="1">
        <f t="array" ref="L180">_xlfn.IFS(AND(H180="Undetermined", J180="Undetermined"), "Undetermined", AND(I180=0, K180=0), "Undetermined", AND(I180=0, K180&gt;0), "Ten-Fold", AND(I180&gt;0, K180=0), "Undiluted", AND(H180&lt;&gt;"Undetermined", J180&lt;&gt;"Undetermined", I180&gt;0, K180&gt;0), 100*(-1+10^(-1/(H180-J180))))</f>
        <v>149.13030493817968</v>
      </c>
      <c r="M180" s="124" cm="1">
        <f t="array" ref="M180">_xlfn.IFS(L180="Undetermined", 0, L180="Undiluted", I180*$G180/$F180*1000, L180="Ten-Fold", K180*$G180/$F180*1000*10, L180&lt;0, K180*$G180/$F180*1000*10, L180&lt;120, I180*$G180/$F180*1000, L180&gt;120, K180*$G180/$F180*1000*10)</f>
        <v>1715900.7387514473</v>
      </c>
      <c r="N180" s="121">
        <f t="shared" si="39"/>
        <v>2937071.3611744074</v>
      </c>
      <c r="O180" s="121">
        <f t="shared" si="40"/>
        <v>1726996.0562021448</v>
      </c>
      <c r="P180" s="121">
        <f t="shared" si="41"/>
        <v>1221170.6224229604</v>
      </c>
      <c r="Q180" s="125" cm="1">
        <f t="array" ref="Q180">_xlfn.IFS(N180="DELETE", "DELETE", N180=0, 0, N180&gt;0,LOG10(N180))</f>
        <v>6.4679144985785593</v>
      </c>
      <c r="R180" s="126" cm="1">
        <f t="array" ref="R180">_xlfn.IFS(N180="DELETE", "DELETE", N180=0, 0, N180&gt;0, P180/N180/LN(10))</f>
        <v>0.18057023393826838</v>
      </c>
      <c r="S180" s="155">
        <f>qPCR_Raw!O180</f>
        <v>30.946060180664063</v>
      </c>
      <c r="T180" s="156" cm="1">
        <f t="array" ref="T180">_xlfn.IFS(S180="Undetermined", 0, qPCR_Raw!P180&lt;=1, 0, qPCR_Raw!P180&gt;1, qPCR_Raw!P180)</f>
        <v>40.533363342285156</v>
      </c>
      <c r="U180" s="157">
        <f>qPCR_Raw!R180</f>
        <v>34.244098663330078</v>
      </c>
      <c r="V180" s="156" cm="1">
        <f t="array" ref="V180">_xlfn.IFS(U180="Undetermined", 0, qPCR_Raw!S180&lt;=1, 0, qPCR_Raw!S180&gt;1, qPCR_Raw!S180)</f>
        <v>4.1234869956970215</v>
      </c>
      <c r="W180" s="158" cm="1">
        <f t="array" ref="W180">_xlfn.IFS(AND(S180="Undetermined", U180="Undetermined"), "Undetermined", AND(T180=0, V180=0), "Undetermined", AND(T180=0, V180&gt;0), "Ten-Fold", AND(T180&gt;0, V180=0), "Undiluted", AND(S180&lt;&gt;"Undetermined", U180&lt;&gt;"Undetermined", T180&gt;0, V180&gt;0, S180&lt;&gt;U180), 100*(-1+10^(-1/(S180-U180))), AND(S180&lt;&gt;"Undetermined", U180&lt;&gt;"Undetermined", S180=U180&gt;0), -100)</f>
        <v>101.00669882583166</v>
      </c>
      <c r="X180" s="159" cm="1">
        <f t="array" ref="X180">_xlfn.IFS(W180="Undetermined", 0, W180="Undiluted", T180*$G180/$F180*1000, W180="Ten-Fold", V180*$G180/$F180*1000*10, W180&lt;0, V180*$G180/$F180*1000*10, W180&lt;120, T180*$G180/$F180*1000, W180&gt;120, V180*$G180/$F180*1000*10)</f>
        <v>4503.7070380316836</v>
      </c>
      <c r="Y180" s="156">
        <f t="shared" si="42"/>
        <v>4646.8658447265625</v>
      </c>
      <c r="Z180" s="156">
        <f t="shared" si="43"/>
        <v>202.45712600104594</v>
      </c>
      <c r="AA180" s="156">
        <f t="shared" si="44"/>
        <v>143.15880669487885</v>
      </c>
      <c r="AB180" s="160" cm="1">
        <f t="array" ref="AB180">_xlfn.IFS(Y180="DELETE", "DELETE", Y180=0, 0, Y180&gt;0,LOG10(Y180))</f>
        <v>3.6671601345541878</v>
      </c>
      <c r="AC180" s="161" cm="1">
        <f t="array" ref="AC180">_xlfn.IFS(Y180="DELETE", "DELETE", Y180=0, 0, Y180&gt;0, AA180/Y180/LN(10))</f>
        <v>1.3379572783233354E-2</v>
      </c>
      <c r="AD180" s="120">
        <f>qPCR_Raw!U180</f>
        <v>34.688251495361328</v>
      </c>
      <c r="AE180" s="121" cm="1">
        <f t="array" ref="AE180">_xlfn.IFS(AD180="Undetermined", 0, qPCR_Raw!V180&lt;=1, 0, qPCR_Raw!V180&gt;1, qPCR_Raw!V180)</f>
        <v>2.2023715972900391</v>
      </c>
      <c r="AF180" s="122">
        <f>qPCR_Raw!X180</f>
        <v>36.251605987548828</v>
      </c>
      <c r="AG180" s="121" cm="1">
        <f t="array" ref="AG180">_xlfn.IFS(AF180="Undetermined", 0, qPCR_Raw!Y180&lt;=1, 0, qPCR_Raw!Y180&gt;1, qPCR_Raw!Y180)</f>
        <v>0</v>
      </c>
      <c r="AH180" s="123" t="str" cm="1">
        <f t="array" ref="AH180">_xlfn.IFS(AND(AD180="Undetermined", AF180="Undetermined"), "Undetermined", AND(AE180=0, AG180=0), "Undetermined", AND(AE180=0, AG180&gt;0), "Ten-Fold", AND(AE180&gt;0, AG180=0), "Undiluted", AND(AD180&lt;&gt;"Undetermined", AF180&lt;&gt;"Undetermined", AE180&gt;0, AG180&gt;0, AD180&lt;&gt;AF180), 100*(-1+10^(-1/(AD180-AF180))), AND(AD180&lt;&gt;"Undetermined", AF180&lt;&gt;"Undetermined", AD180=AF180&gt;0), -100)</f>
        <v>Undiluted</v>
      </c>
      <c r="AI180" s="124" cm="1">
        <f t="array" ref="AI180">_xlfn.IFS(AH180="Undetermined", 0, AH180="Undiluted", AE180*$G180/$F180*1000, AH180="Ten-Fold", AG180*$G180/$F180*1000*10, AH180&lt;0, AG180*$G180/$F180*1000*10, AH180&lt;120, AE180*$G180/$F180*1000, AH180&gt;120, AG180*$G180/$F180*1000*10)</f>
        <v>244.70795525444876</v>
      </c>
      <c r="AJ180" s="121">
        <f t="shared" si="45"/>
        <v>122.35397762722438</v>
      </c>
      <c r="AK180" s="121">
        <f t="shared" si="46"/>
        <v>173.03465457071496</v>
      </c>
      <c r="AL180" s="121">
        <f t="shared" si="47"/>
        <v>122.35397762722437</v>
      </c>
      <c r="AM180" s="125" cm="1">
        <f t="array" ref="AM180">_xlfn.IFS(AJ180="DELETE", "DELETE", AJ180=0, 0, AJ180&gt;0,LOG10(AJ180))</f>
        <v>2.0876180924738739</v>
      </c>
      <c r="AN180" s="126" cm="1">
        <f t="array" ref="AN180">_xlfn.IFS(AJ180="DELETE", "DELETE", AJ180=0, 0, AJ180&gt;0, AL180/AJ180/LN(10))</f>
        <v>0.43429448190325176</v>
      </c>
      <c r="AO180" s="155">
        <f>qPCR_Raw!AA180</f>
        <v>29.796222686767578</v>
      </c>
      <c r="AP180" s="156" cm="1">
        <f t="array" ref="AP180">_xlfn.IFS(AO180="Undetermined", 0, qPCR_Raw!AB180&lt;=6, 0, qPCR_Raw!AB180&gt;6, qPCR_Raw!AB180)</f>
        <v>6.0866599082946777</v>
      </c>
      <c r="AQ180" s="157">
        <f>qPCR_Raw!AD180</f>
        <v>31.675756454467773</v>
      </c>
      <c r="AR180" s="156" cm="1">
        <f t="array" ref="AR180">_xlfn.IFS(AQ180="Undetermined", 0, qPCR_Raw!AE180&lt;=6, 0, qPCR_Raw!AE180&gt;6, qPCR_Raw!AE180)</f>
        <v>0</v>
      </c>
      <c r="AS180" s="158" t="str" cm="1">
        <f t="array" ref="AS180">_xlfn.IFS(AND(AO180="Undetermined", AQ180="Undetermined"), "Undetermined", AND(AP180=0, AR180=0), "Undetermined", AND(AP180=0, AR180&gt;0), "Ten-Fold", AND(AP180&gt;0, AR180=0), "Undiluted", AND(AO180&lt;&gt;"Undetermined", AQ180&lt;&gt;"Undetermined", AP180&gt;0, AR180&gt;0, AO180&lt;&gt;AQ180), 100*(-1+10^(-1/(AO180-AQ180))), AND(AO180&lt;&gt;"Undetermined", AQ180&lt;&gt;"Undetermined", AO180=AQ180&gt;0), -100)</f>
        <v>Undiluted</v>
      </c>
      <c r="AT180" s="159" cm="1">
        <f t="array" ref="AT180">_xlfn.IFS(AS180="Undetermined", 0, AS180="Undiluted", AP180*$G180/$F180*1000, AS180="Ten-Fold", AR180*$G180/$F180*1000*10, AS180&lt;0, AR180*$G180/$F180*1000*10, AS180&lt;120, AP180*$G180/$F180*1000, AS180&gt;120, AR180*$G180/$F180*1000*10)</f>
        <v>676.29554536607532</v>
      </c>
      <c r="AU180" s="156">
        <f t="shared" si="48"/>
        <v>338.14777268303766</v>
      </c>
      <c r="AV180" s="156">
        <f t="shared" si="49"/>
        <v>478.21316621460625</v>
      </c>
      <c r="AW180" s="156">
        <f t="shared" si="50"/>
        <v>338.14777268303766</v>
      </c>
      <c r="AX180" s="160" cm="1">
        <f t="array" ref="AX180">_xlfn.IFS(AU180="DELETE", "DELETE", AU180=0, 0, AU180&gt;0,LOG10(AU180))</f>
        <v>2.5291065311531939</v>
      </c>
      <c r="AY180" s="161" cm="1">
        <f t="array" ref="AY180">_xlfn.IFS(AU180="DELETE", "DELETE", AU180=0, 0, AU180&gt;0, AW180/AU180/LN(10))</f>
        <v>0.43429448190325176</v>
      </c>
      <c r="AZ180" s="120" t="str">
        <f>qPCR_Raw!AG180</f>
        <v>Undetermined</v>
      </c>
      <c r="BA180" s="121" cm="1">
        <f t="array" ref="BA180">_xlfn.IFS(AZ180="Undetermined", 0, qPCR_Raw!AH180&lt;=1, 0, qPCR_Raw!AH180&gt;1, qPCR_Raw!AH180)</f>
        <v>0</v>
      </c>
      <c r="BB180" s="122" t="str">
        <f>qPCR_Raw!AJ180</f>
        <v>Undetermined</v>
      </c>
      <c r="BC180" s="121" cm="1">
        <f t="array" ref="BC180">_xlfn.IFS(BB180="Undetermined", 0, qPCR_Raw!AK180&lt;=1, 0, qPCR_Raw!AK180&gt;1, qPCR_Raw!AK180)</f>
        <v>0</v>
      </c>
      <c r="BD180" s="123" t="str" cm="1">
        <f t="array" ref="BD180">_xlfn.IFS(AND(AZ180="Undetermined", BB180="Undetermined"), "Undetermined", AND(BA180=0, BC180=0), "Undetermined", AND(BA180=0, BC180&gt;0), "Ten-Fold", AND(BA180&gt;0, BC180=0), "Undiluted", AND(AZ180&lt;&gt;"Undetermined", BB180&lt;&gt;"Undetermined", BA180&gt;0, BC180&gt;0, AZ180&lt;&gt;BB180), 100*(-1+10^(-1/(AZ180-BB180))), AND(AZ180&lt;&gt;"Undetermined", BB180&lt;&gt;"Undetermined", AZ180=BB180&gt;0), -100)</f>
        <v>Undetermined</v>
      </c>
      <c r="BE180" s="124" cm="1">
        <f t="array" ref="BE180">_xlfn.IFS(BD180="Undetermined", 0, BD180="Undiluted", BA180*$G180/$F180*1000, BD180="Ten-Fold", BC180*$G180/$F180*1000*10, BD180&lt;0, BC180*$G180/$F180*1000*10, BD180&lt;120, BA180*$G180/$F180*1000, BD180&gt;120, BC180*$G180/$F180*1000*10)</f>
        <v>0</v>
      </c>
      <c r="BF180" s="121">
        <f t="shared" si="51"/>
        <v>0</v>
      </c>
      <c r="BG180" s="121">
        <f t="shared" si="52"/>
        <v>0</v>
      </c>
      <c r="BH180" s="121">
        <f t="shared" si="53"/>
        <v>0</v>
      </c>
      <c r="BI180" s="125" cm="1">
        <f t="array" ref="BI180">_xlfn.IFS(BF180="DELETE", "DELETE", BF180=0, 0, BF180&gt;0,LOG10(BF180))</f>
        <v>0</v>
      </c>
      <c r="BJ180" s="126" cm="1">
        <f t="array" ref="BJ180">_xlfn.IFS(BF180="DELETE", "DELETE", BF180=0, 0, BF180&gt;0, BH180/BF180/LN(10))</f>
        <v>0</v>
      </c>
    </row>
    <row r="181" spans="1:62" s="114" customFormat="1" x14ac:dyDescent="0.3">
      <c r="A181" s="115" t="str">
        <f>UPPER(LEFT(SUBSTITUTE(SUBSTITUTE(qPCR_Raw!A181,"-","")," ",""),2))&amp;RIGHT(SUBSTITUTE(SUBSTITUTE(qPCR_Raw!A181,"-","")," ",""),LEN(SUBSTITUTE(SUBSTITUTE(qPCR_Raw!A181,"-","")," ",""))-2)</f>
        <v>STb7</v>
      </c>
      <c r="B181" s="116" t="str" cm="1">
        <f t="array" ref="B181">_xlfn.IFS(LEFT(A181, LEN(A181)-1)="EP", "EP", LEFT(A181, LEN(A181)-1)="STa", "SPI", LEFT(A181, LEN(A181)-1)="STb", "SPO", LEFT(A181, LEN(A181)-1)="MRT", "MRT", LEFT(A181, LEN(A181)-1)="RG", "RN", LEFT(A181, LEN(A181)-1)="RT", "RU", LEFT(A181, LEN(A181)-1)="RW", "RL", LEFT(A181, LEN(A181)-1)="RC", "RS")</f>
        <v>SPO</v>
      </c>
      <c r="C181" s="117">
        <f>qPCR_Raw!B181</f>
        <v>44412</v>
      </c>
      <c r="D181" s="117" t="str">
        <f t="shared" si="37"/>
        <v>SPO44412</v>
      </c>
      <c r="E181" s="117" t="str">
        <f t="shared" si="38"/>
        <v>SPO444127</v>
      </c>
      <c r="F181" s="118">
        <f>qPCR_Raw!C181</f>
        <v>900</v>
      </c>
      <c r="G181" s="119">
        <f>qPCR_Raw!F181</f>
        <v>100</v>
      </c>
      <c r="H181" s="120">
        <f>qPCR_Raw!G181</f>
        <v>20.810688018798828</v>
      </c>
      <c r="I181" s="121" cm="1">
        <f t="array" ref="I181">_xlfn.IFS(H181="Undetermined", 0, qPCR_Raw!H181-qPCR_Raw!$H$242&lt;0, 0, qPCR_Raw!H181-qPCR_Raw!$H$242&gt;0, qPCR_Raw!H181-qPCR_Raw!$H$242)</f>
        <v>37424.177852376306</v>
      </c>
      <c r="J181" s="122">
        <f>qPCR_Raw!K181</f>
        <v>23.529008865356445</v>
      </c>
      <c r="K181" s="121" cm="1">
        <f t="array" ref="K181">_xlfn.IFS(J181="Undetermined", 0, qPCR_Raw!L181-qPCR_Raw!$H$242&lt;0, 0, qPCR_Raw!L181-qPCR_Raw!$H$242&gt;0, qPCR_Raw!L181-qPCR_Raw!$H$242)</f>
        <v>0</v>
      </c>
      <c r="L181" s="123" t="str" cm="1">
        <f t="array" ref="L181">_xlfn.IFS(AND(H181="Undetermined", J181="Undetermined"), "Undetermined", AND(I181=0, K181=0), "Undetermined", AND(I181=0, K181&gt;0), "Ten-Fold", AND(I181&gt;0, K181=0), "Undiluted", AND(H181&lt;&gt;"Undetermined", J181&lt;&gt;"Undetermined", I181&gt;0, K181&gt;0), 100*(-1+10^(-1/(H181-J181))))</f>
        <v>Undiluted</v>
      </c>
      <c r="M181" s="124" cm="1">
        <f t="array" ref="M181">_xlfn.IFS(L181="Undetermined", 0, L181="Undiluted", I181*$G181/$F181*1000, L181="Ten-Fold", K181*$G181/$F181*1000*10, L181&lt;0, K181*$G181/$F181*1000*10, L181&lt;120, I181*$G181/$F181*1000, L181&gt;120, K181*$G181/$F181*1000*10)</f>
        <v>4158241.983597368</v>
      </c>
      <c r="N181" s="121" t="str">
        <f t="shared" si="39"/>
        <v>DELETE</v>
      </c>
      <c r="O181" s="121" t="str">
        <f t="shared" si="40"/>
        <v>DELETE</v>
      </c>
      <c r="P181" s="121" t="str">
        <f t="shared" si="41"/>
        <v>DELETE</v>
      </c>
      <c r="Q181" s="125" t="str" cm="1">
        <f t="array" ref="Q181">_xlfn.IFS(N181="DELETE", "DELETE", N181=0, 0, N181&gt;0,LOG10(N181))</f>
        <v>DELETE</v>
      </c>
      <c r="R181" s="126" t="str" cm="1">
        <f t="array" ref="R181">_xlfn.IFS(N181="DELETE", "DELETE", N181=0, 0, N181&gt;0, P181/N181/LN(10))</f>
        <v>DELETE</v>
      </c>
      <c r="S181" s="155">
        <f>qPCR_Raw!O181</f>
        <v>30.85711669921875</v>
      </c>
      <c r="T181" s="156" cm="1">
        <f t="array" ref="T181">_xlfn.IFS(S181="Undetermined", 0, qPCR_Raw!P181&lt;=1, 0, qPCR_Raw!P181&gt;1, qPCR_Raw!P181)</f>
        <v>43.110221862792969</v>
      </c>
      <c r="U181" s="157">
        <f>qPCR_Raw!R181</f>
        <v>34.544326782226563</v>
      </c>
      <c r="V181" s="156" cm="1">
        <f t="array" ref="V181">_xlfn.IFS(U181="Undetermined", 0, qPCR_Raw!S181&lt;=1, 0, qPCR_Raw!S181&gt;1, qPCR_Raw!S181)</f>
        <v>3.3489656448364258</v>
      </c>
      <c r="W181" s="158" cm="1">
        <f t="array" ref="W181">_xlfn.IFS(AND(S181="Undetermined", U181="Undetermined"), "Undetermined", AND(T181=0, V181=0), "Undetermined", AND(T181=0, V181&gt;0), "Ten-Fold", AND(T181&gt;0, V181=0), "Undiluted", AND(S181&lt;&gt;"Undetermined", U181&lt;&gt;"Undetermined", T181&gt;0, V181&gt;0, S181&lt;&gt;U181), 100*(-1+10^(-1/(S181-U181))), AND(S181&lt;&gt;"Undetermined", U181&lt;&gt;"Undetermined", S181=U181&gt;0), -100)</f>
        <v>86.727276748052745</v>
      </c>
      <c r="X181" s="159" cm="1">
        <f t="array" ref="X181">_xlfn.IFS(W181="Undetermined", 0, W181="Undiluted", T181*$G181/$F181*1000, W181="Ten-Fold", V181*$G181/$F181*1000*10, W181&lt;0, V181*$G181/$F181*1000*10, W181&lt;120, T181*$G181/$F181*1000, W181&gt;120, V181*$G181/$F181*1000*10)</f>
        <v>4790.0246514214414</v>
      </c>
      <c r="Y181" s="156" t="str">
        <f t="shared" si="42"/>
        <v>DELETE</v>
      </c>
      <c r="Z181" s="156" t="str">
        <f t="shared" si="43"/>
        <v>DELETE</v>
      </c>
      <c r="AA181" s="156" t="str">
        <f t="shared" si="44"/>
        <v>DELETE</v>
      </c>
      <c r="AB181" s="160" t="str" cm="1">
        <f t="array" ref="AB181">_xlfn.IFS(Y181="DELETE", "DELETE", Y181=0, 0, Y181&gt;0,LOG10(Y181))</f>
        <v>DELETE</v>
      </c>
      <c r="AC181" s="161" t="str" cm="1">
        <f t="array" ref="AC181">_xlfn.IFS(Y181="DELETE", "DELETE", Y181=0, 0, Y181&gt;0, AA181/Y181/LN(10))</f>
        <v>DELETE</v>
      </c>
      <c r="AD181" s="120">
        <f>qPCR_Raw!U181</f>
        <v>36.605567932128906</v>
      </c>
      <c r="AE181" s="121" cm="1">
        <f t="array" ref="AE181">_xlfn.IFS(AD181="Undetermined", 0, qPCR_Raw!V181&lt;=1, 0, qPCR_Raw!V181&gt;1, qPCR_Raw!V181)</f>
        <v>0</v>
      </c>
      <c r="AF181" s="122">
        <f>qPCR_Raw!X181</f>
        <v>36.455234527587891</v>
      </c>
      <c r="AG181" s="121" cm="1">
        <f t="array" ref="AG181">_xlfn.IFS(AF181="Undetermined", 0, qPCR_Raw!Y181&lt;=1, 0, qPCR_Raw!Y181&gt;1, qPCR_Raw!Y181)</f>
        <v>0</v>
      </c>
      <c r="AH181" s="123" t="str" cm="1">
        <f t="array" ref="AH181">_xlfn.IFS(AND(AD181="Undetermined", AF181="Undetermined"), "Undetermined", AND(AE181=0, AG181=0), "Undetermined", AND(AE181=0, AG181&gt;0), "Ten-Fold", AND(AE181&gt;0, AG181=0), "Undiluted", AND(AD181&lt;&gt;"Undetermined", AF181&lt;&gt;"Undetermined", AE181&gt;0, AG181&gt;0, AD181&lt;&gt;AF181), 100*(-1+10^(-1/(AD181-AF181))), AND(AD181&lt;&gt;"Undetermined", AF181&lt;&gt;"Undetermined", AD181=AF181&gt;0), -100)</f>
        <v>Undetermined</v>
      </c>
      <c r="AI181" s="124" cm="1">
        <f t="array" ref="AI181">_xlfn.IFS(AH181="Undetermined", 0, AH181="Undiluted", AE181*$G181/$F181*1000, AH181="Ten-Fold", AG181*$G181/$F181*1000*10, AH181&lt;0, AG181*$G181/$F181*1000*10, AH181&lt;120, AE181*$G181/$F181*1000, AH181&gt;120, AG181*$G181/$F181*1000*10)</f>
        <v>0</v>
      </c>
      <c r="AJ181" s="121" t="str">
        <f t="shared" si="45"/>
        <v>DELETE</v>
      </c>
      <c r="AK181" s="121" t="str">
        <f t="shared" si="46"/>
        <v>DELETE</v>
      </c>
      <c r="AL181" s="121" t="str">
        <f t="shared" si="47"/>
        <v>DELETE</v>
      </c>
      <c r="AM181" s="125" t="str" cm="1">
        <f t="array" ref="AM181">_xlfn.IFS(AJ181="DELETE", "DELETE", AJ181=0, 0, AJ181&gt;0,LOG10(AJ181))</f>
        <v>DELETE</v>
      </c>
      <c r="AN181" s="126" t="str" cm="1">
        <f t="array" ref="AN181">_xlfn.IFS(AJ181="DELETE", "DELETE", AJ181=0, 0, AJ181&gt;0, AL181/AJ181/LN(10))</f>
        <v>DELETE</v>
      </c>
      <c r="AO181" s="155">
        <f>qPCR_Raw!AA181</f>
        <v>30.218723297119141</v>
      </c>
      <c r="AP181" s="156" cm="1">
        <f t="array" ref="AP181">_xlfn.IFS(AO181="Undetermined", 0, qPCR_Raw!AB181&lt;=6, 0, qPCR_Raw!AB181&gt;6, qPCR_Raw!AB181)</f>
        <v>0</v>
      </c>
      <c r="AQ181" s="157" t="str">
        <f>qPCR_Raw!AD181</f>
        <v>Undetermined</v>
      </c>
      <c r="AR181" s="156" cm="1">
        <f t="array" ref="AR181">_xlfn.IFS(AQ181="Undetermined", 0, qPCR_Raw!AE181&lt;=6, 0, qPCR_Raw!AE181&gt;6, qPCR_Raw!AE181)</f>
        <v>0</v>
      </c>
      <c r="AS181" s="158" t="str" cm="1">
        <f t="array" ref="AS181">_xlfn.IFS(AND(AO181="Undetermined", AQ181="Undetermined"), "Undetermined", AND(AP181=0, AR181=0), "Undetermined", AND(AP181=0, AR181&gt;0), "Ten-Fold", AND(AP181&gt;0, AR181=0), "Undiluted", AND(AO181&lt;&gt;"Undetermined", AQ181&lt;&gt;"Undetermined", AP181&gt;0, AR181&gt;0, AO181&lt;&gt;AQ181), 100*(-1+10^(-1/(AO181-AQ181))), AND(AO181&lt;&gt;"Undetermined", AQ181&lt;&gt;"Undetermined", AO181=AQ181&gt;0), -100)</f>
        <v>Undetermined</v>
      </c>
      <c r="AT181" s="159" cm="1">
        <f t="array" ref="AT181">_xlfn.IFS(AS181="Undetermined", 0, AS181="Undiluted", AP181*$G181/$F181*1000, AS181="Ten-Fold", AR181*$G181/$F181*1000*10, AS181&lt;0, AR181*$G181/$F181*1000*10, AS181&lt;120, AP181*$G181/$F181*1000, AS181&gt;120, AR181*$G181/$F181*1000*10)</f>
        <v>0</v>
      </c>
      <c r="AU181" s="156" t="str">
        <f t="shared" si="48"/>
        <v>DELETE</v>
      </c>
      <c r="AV181" s="156" t="str">
        <f t="shared" si="49"/>
        <v>DELETE</v>
      </c>
      <c r="AW181" s="156" t="str">
        <f t="shared" si="50"/>
        <v>DELETE</v>
      </c>
      <c r="AX181" s="160" t="str" cm="1">
        <f t="array" ref="AX181">_xlfn.IFS(AU181="DELETE", "DELETE", AU181=0, 0, AU181&gt;0,LOG10(AU181))</f>
        <v>DELETE</v>
      </c>
      <c r="AY181" s="161" t="str" cm="1">
        <f t="array" ref="AY181">_xlfn.IFS(AU181="DELETE", "DELETE", AU181=0, 0, AU181&gt;0, AW181/AU181/LN(10))</f>
        <v>DELETE</v>
      </c>
      <c r="AZ181" s="120" t="str">
        <f>qPCR_Raw!AG181</f>
        <v>Undetermined</v>
      </c>
      <c r="BA181" s="121" cm="1">
        <f t="array" ref="BA181">_xlfn.IFS(AZ181="Undetermined", 0, qPCR_Raw!AH181&lt;=1, 0, qPCR_Raw!AH181&gt;1, qPCR_Raw!AH181)</f>
        <v>0</v>
      </c>
      <c r="BB181" s="122" t="str">
        <f>qPCR_Raw!AJ181</f>
        <v>Undetermined</v>
      </c>
      <c r="BC181" s="121" cm="1">
        <f t="array" ref="BC181">_xlfn.IFS(BB181="Undetermined", 0, qPCR_Raw!AK181&lt;=1, 0, qPCR_Raw!AK181&gt;1, qPCR_Raw!AK181)</f>
        <v>0</v>
      </c>
      <c r="BD181" s="123" t="str" cm="1">
        <f t="array" ref="BD181">_xlfn.IFS(AND(AZ181="Undetermined", BB181="Undetermined"), "Undetermined", AND(BA181=0, BC181=0), "Undetermined", AND(BA181=0, BC181&gt;0), "Ten-Fold", AND(BA181&gt;0, BC181=0), "Undiluted", AND(AZ181&lt;&gt;"Undetermined", BB181&lt;&gt;"Undetermined", BA181&gt;0, BC181&gt;0, AZ181&lt;&gt;BB181), 100*(-1+10^(-1/(AZ181-BB181))), AND(AZ181&lt;&gt;"Undetermined", BB181&lt;&gt;"Undetermined", AZ181=BB181&gt;0), -100)</f>
        <v>Undetermined</v>
      </c>
      <c r="BE181" s="124" cm="1">
        <f t="array" ref="BE181">_xlfn.IFS(BD181="Undetermined", 0, BD181="Undiluted", BA181*$G181/$F181*1000, BD181="Ten-Fold", BC181*$G181/$F181*1000*10, BD181&lt;0, BC181*$G181/$F181*1000*10, BD181&lt;120, BA181*$G181/$F181*1000, BD181&gt;120, BC181*$G181/$F181*1000*10)</f>
        <v>0</v>
      </c>
      <c r="BF181" s="121" t="str">
        <f t="shared" si="51"/>
        <v>DELETE</v>
      </c>
      <c r="BG181" s="121" t="str">
        <f t="shared" si="52"/>
        <v>DELETE</v>
      </c>
      <c r="BH181" s="121" t="str">
        <f t="shared" si="53"/>
        <v>DELETE</v>
      </c>
      <c r="BI181" s="125" t="str" cm="1">
        <f t="array" ref="BI181">_xlfn.IFS(BF181="DELETE", "DELETE", BF181=0, 0, BF181&gt;0,LOG10(BF181))</f>
        <v>DELETE</v>
      </c>
      <c r="BJ181" s="126" t="str" cm="1">
        <f t="array" ref="BJ181">_xlfn.IFS(BF181="DELETE", "DELETE", BF181=0, 0, BF181&gt;0, BH181/BF181/LN(10))</f>
        <v>DELETE</v>
      </c>
    </row>
    <row r="182" spans="1:62" s="114" customFormat="1" x14ac:dyDescent="0.3">
      <c r="A182" s="115" t="str">
        <f>UPPER(LEFT(SUBSTITUTE(SUBSTITUTE(qPCR_Raw!A182,"-","")," ",""),2))&amp;RIGHT(SUBSTITUTE(SUBSTITUTE(qPCR_Raw!A182,"-","")," ",""),LEN(SUBSTITUTE(SUBSTITUTE(qPCR_Raw!A182,"-","")," ",""))-2)</f>
        <v>RC6</v>
      </c>
      <c r="B182" s="116" t="str" cm="1">
        <f t="array" ref="B182">_xlfn.IFS(LEFT(A182, LEN(A182)-1)="EP", "EP", LEFT(A182, LEN(A182)-1)="STa", "SPI", LEFT(A182, LEN(A182)-1)="STb", "SPO", LEFT(A182, LEN(A182)-1)="MRT", "MRT", LEFT(A182, LEN(A182)-1)="RG", "RN", LEFT(A182, LEN(A182)-1)="RT", "RU", LEFT(A182, LEN(A182)-1)="RW", "RL", LEFT(A182, LEN(A182)-1)="RC", "RS")</f>
        <v>RS</v>
      </c>
      <c r="C182" s="117">
        <f>qPCR_Raw!B182</f>
        <v>44412</v>
      </c>
      <c r="D182" s="117" t="str">
        <f t="shared" si="37"/>
        <v>RS44412</v>
      </c>
      <c r="E182" s="117" t="str">
        <f t="shared" si="38"/>
        <v>RS444126</v>
      </c>
      <c r="F182" s="118">
        <f>qPCR_Raw!C182</f>
        <v>940</v>
      </c>
      <c r="G182" s="119">
        <f>qPCR_Raw!F182</f>
        <v>100</v>
      </c>
      <c r="H182" s="120">
        <f>qPCR_Raw!G182</f>
        <v>15.468379974365234</v>
      </c>
      <c r="I182" s="121" cm="1">
        <f t="array" ref="I182">_xlfn.IFS(H182="Undetermined", 0, qPCR_Raw!H182-qPCR_Raw!$H$242&lt;0, 0, qPCR_Raw!H182-qPCR_Raw!$H$242&gt;0, qPCR_Raw!H182-qPCR_Raw!$H$242)</f>
        <v>2114287.1114461264</v>
      </c>
      <c r="J182" s="122">
        <f>qPCR_Raw!K182</f>
        <v>18.206680297851563</v>
      </c>
      <c r="K182" s="121" cm="1">
        <f t="array" ref="K182">_xlfn.IFS(J182="Undetermined", 0, qPCR_Raw!L182-qPCR_Raw!$H$242&lt;0, 0, qPCR_Raw!L182-qPCR_Raw!$H$242&gt;0, qPCR_Raw!L182-qPCR_Raw!$H$242)</f>
        <v>299429.17394612631</v>
      </c>
      <c r="L182" s="123" cm="1">
        <f t="array" ref="L182">_xlfn.IFS(AND(H182="Undetermined", J182="Undetermined"), "Undetermined", AND(I182=0, K182=0), "Undetermined", AND(I182=0, K182&gt;0), "Ten-Fold", AND(I182&gt;0, K182=0), "Undiluted", AND(H182&lt;&gt;"Undetermined", J182&lt;&gt;"Undetermined", I182&gt;0, K182&gt;0), 100*(-1+10^(-1/(H182-J182))))</f>
        <v>131.8408915902119</v>
      </c>
      <c r="M182" s="124" cm="1">
        <f t="array" ref="M182">_xlfn.IFS(L182="Undetermined", 0, L182="Undiluted", I182*$G182/$F182*1000, L182="Ten-Fold", K182*$G182/$F182*1000*10, L182&lt;0, K182*$G182/$F182*1000*10, L182&lt;120, I182*$G182/$F182*1000, L182&gt;120, K182*$G182/$F182*1000*10)</f>
        <v>318541674.41077268</v>
      </c>
      <c r="N182" s="121">
        <f t="shared" si="39"/>
        <v>16064625517.928452</v>
      </c>
      <c r="O182" s="121">
        <f t="shared" si="40"/>
        <v>22268325325.766567</v>
      </c>
      <c r="P182" s="121">
        <f t="shared" si="41"/>
        <v>15746083843.517673</v>
      </c>
      <c r="Q182" s="125" cm="1">
        <f t="array" ref="Q182">_xlfn.IFS(N182="DELETE", "DELETE", N182=0, 0, N182&gt;0,LOG10(N182))</f>
        <v>10.205870606178054</v>
      </c>
      <c r="R182" s="126" cm="1">
        <f t="array" ref="R182">_xlfn.IFS(N182="DELETE", "DELETE", N182=0, 0, N182&gt;0, P182/N182/LN(10))</f>
        <v>0.42568295894565583</v>
      </c>
      <c r="S182" s="155">
        <f>qPCR_Raw!O182</f>
        <v>27.994468688964844</v>
      </c>
      <c r="T182" s="156" cm="1">
        <f t="array" ref="T182">_xlfn.IFS(S182="Undetermined", 0, qPCR_Raw!P182&lt;=1, 0, qPCR_Raw!P182&gt;1, qPCR_Raw!P182)</f>
        <v>313.39862060546875</v>
      </c>
      <c r="U182" s="157">
        <f>qPCR_Raw!R182</f>
        <v>30.954055786132813</v>
      </c>
      <c r="V182" s="156" cm="1">
        <f t="array" ref="V182">_xlfn.IFS(U182="Undetermined", 0, qPCR_Raw!S182&lt;=1, 0, qPCR_Raw!S182&gt;1, qPCR_Raw!S182)</f>
        <v>40.309402465820313</v>
      </c>
      <c r="W182" s="158" cm="1">
        <f t="array" ref="W182">_xlfn.IFS(AND(S182="Undetermined", U182="Undetermined"), "Undetermined", AND(T182=0, V182=0), "Undetermined", AND(T182=0, V182&gt;0), "Ten-Fold", AND(T182&gt;0, V182=0), "Undiluted", AND(S182&lt;&gt;"Undetermined", U182&lt;&gt;"Undetermined", T182&gt;0, V182&gt;0, S182&lt;&gt;U182), 100*(-1+10^(-1/(S182-U182))), AND(S182&lt;&gt;"Undetermined", U182&lt;&gt;"Undetermined", S182=U182&gt;0), -100)</f>
        <v>117.71330508350735</v>
      </c>
      <c r="X182" s="159" cm="1">
        <f t="array" ref="X182">_xlfn.IFS(W182="Undetermined", 0, W182="Undiluted", T182*$G182/$F182*1000, W182="Ten-Fold", V182*$G182/$F182*1000*10, W182&lt;0, V182*$G182/$F182*1000*10, W182&lt;120, T182*$G182/$F182*1000, W182&gt;120, V182*$G182/$F182*1000*10)</f>
        <v>33340.278787815827</v>
      </c>
      <c r="Y182" s="156">
        <f t="shared" si="42"/>
        <v>36254.02649412764</v>
      </c>
      <c r="Z182" s="156">
        <f t="shared" si="43"/>
        <v>4120.6615235996642</v>
      </c>
      <c r="AA182" s="156">
        <f t="shared" si="44"/>
        <v>2913.7477063118131</v>
      </c>
      <c r="AB182" s="160" cm="1">
        <f t="array" ref="AB182">_xlfn.IFS(Y182="DELETE", "DELETE", Y182=0, 0, Y182&gt;0,LOG10(Y182))</f>
        <v>4.5593562477917047</v>
      </c>
      <c r="AC182" s="161" cm="1">
        <f t="array" ref="AC182">_xlfn.IFS(Y182="DELETE", "DELETE", Y182=0, 0, Y182&gt;0, AA182/Y182/LN(10))</f>
        <v>3.490438643317173E-2</v>
      </c>
      <c r="AD182" s="120">
        <f>qPCR_Raw!U182</f>
        <v>25.414493560791016</v>
      </c>
      <c r="AE182" s="121" cm="1">
        <f t="array" ref="AE182">_xlfn.IFS(AD182="Undetermined", 0, qPCR_Raw!V182&lt;=1, 0, qPCR_Raw!V182&gt;1, qPCR_Raw!V182)</f>
        <v>878.00244140625</v>
      </c>
      <c r="AF182" s="122">
        <f>qPCR_Raw!X182</f>
        <v>28.370578765869141</v>
      </c>
      <c r="AG182" s="121" cm="1">
        <f t="array" ref="AG182">_xlfn.IFS(AF182="Undetermined", 0, qPCR_Raw!Y182&lt;=1, 0, qPCR_Raw!Y182&gt;1, qPCR_Raw!Y182)</f>
        <v>130.17626953125</v>
      </c>
      <c r="AH182" s="123" cm="1">
        <f t="array" ref="AH182">_xlfn.IFS(AND(AD182="Undetermined", AF182="Undetermined"), "Undetermined", AND(AE182=0, AG182=0), "Undetermined", AND(AE182=0, AG182&gt;0), "Ten-Fold", AND(AE182&gt;0, AG182=0), "Undiluted", AND(AD182&lt;&gt;"Undetermined", AF182&lt;&gt;"Undetermined", AE182&gt;0, AG182&gt;0, AD182&lt;&gt;AF182), 100*(-1+10^(-1/(AD182-AF182))), AND(AD182&lt;&gt;"Undetermined", AF182&lt;&gt;"Undetermined", AD182=AF182&gt;0), -100)</f>
        <v>117.91405505708777</v>
      </c>
      <c r="AI182" s="124" cm="1">
        <f t="array" ref="AI182">_xlfn.IFS(AH182="Undetermined", 0, AH182="Undiluted", AE182*$G182/$F182*1000, AH182="Ten-Fold", AG182*$G182/$F182*1000*10, AH182&lt;0, AG182*$G182/$F182*1000*10, AH182&lt;120, AE182*$G182/$F182*1000, AH182&gt;120, AG182*$G182/$F182*1000*10)</f>
        <v>93404.515043218082</v>
      </c>
      <c r="AJ182" s="121">
        <f t="shared" si="45"/>
        <v>73374.810011843423</v>
      </c>
      <c r="AK182" s="121">
        <f t="shared" si="46"/>
        <v>28326.280505702656</v>
      </c>
      <c r="AL182" s="121">
        <f t="shared" si="47"/>
        <v>20029.705031374655</v>
      </c>
      <c r="AM182" s="125" cm="1">
        <f t="array" ref="AM182">_xlfn.IFS(AJ182="DELETE", "DELETE", AJ182=0, 0, AJ182&gt;0,LOG10(AJ182))</f>
        <v>4.8655469897457584</v>
      </c>
      <c r="AN182" s="126" cm="1">
        <f t="array" ref="AN182">_xlfn.IFS(AJ182="DELETE", "DELETE", AJ182=0, 0, AJ182&gt;0, AL182/AJ182/LN(10))</f>
        <v>0.11855281625767398</v>
      </c>
      <c r="AO182" s="155">
        <f>qPCR_Raw!AA182</f>
        <v>29.339820861816406</v>
      </c>
      <c r="AP182" s="156" cm="1">
        <f t="array" ref="AP182">_xlfn.IFS(AO182="Undetermined", 0, qPCR_Raw!AB182&lt;=6, 0, qPCR_Raw!AB182&gt;6, qPCR_Raw!AB182)</f>
        <v>8.1598882675170898</v>
      </c>
      <c r="AQ182" s="157" t="str">
        <f>qPCR_Raw!AD182</f>
        <v>Undetermined</v>
      </c>
      <c r="AR182" s="156" cm="1">
        <f t="array" ref="AR182">_xlfn.IFS(AQ182="Undetermined", 0, qPCR_Raw!AE182&lt;=6, 0, qPCR_Raw!AE182&gt;6, qPCR_Raw!AE182)</f>
        <v>0</v>
      </c>
      <c r="AS182" s="158" t="str" cm="1">
        <f t="array" ref="AS182">_xlfn.IFS(AND(AO182="Undetermined", AQ182="Undetermined"), "Undetermined", AND(AP182=0, AR182=0), "Undetermined", AND(AP182=0, AR182&gt;0), "Ten-Fold", AND(AP182&gt;0, AR182=0), "Undiluted", AND(AO182&lt;&gt;"Undetermined", AQ182&lt;&gt;"Undetermined", AP182&gt;0, AR182&gt;0, AO182&lt;&gt;AQ182), 100*(-1+10^(-1/(AO182-AQ182))), AND(AO182&lt;&gt;"Undetermined", AQ182&lt;&gt;"Undetermined", AO182=AQ182&gt;0), -100)</f>
        <v>Undiluted</v>
      </c>
      <c r="AT182" s="159" cm="1">
        <f t="array" ref="AT182">_xlfn.IFS(AS182="Undetermined", 0, AS182="Undiluted", AP182*$G182/$F182*1000, AS182="Ten-Fold", AR182*$G182/$F182*1000*10, AS182&lt;0, AR182*$G182/$F182*1000*10, AS182&lt;120, AP182*$G182/$F182*1000, AS182&gt;120, AR182*$G182/$F182*1000*10)</f>
        <v>868.07321994862662</v>
      </c>
      <c r="AU182" s="156">
        <f t="shared" si="48"/>
        <v>434.03660997431331</v>
      </c>
      <c r="AV182" s="156">
        <f t="shared" si="49"/>
        <v>613.82046039211525</v>
      </c>
      <c r="AW182" s="156">
        <f t="shared" si="50"/>
        <v>434.03660997431325</v>
      </c>
      <c r="AX182" s="160" cm="1">
        <f t="array" ref="AX182">_xlfn.IFS(AU182="DELETE", "DELETE", AU182=0, 0, AU182&gt;0,LOG10(AU182))</f>
        <v>2.6375263627827059</v>
      </c>
      <c r="AY182" s="161" cm="1">
        <f t="array" ref="AY182">_xlfn.IFS(AU182="DELETE", "DELETE", AU182=0, 0, AU182&gt;0, AW182/AU182/LN(10))</f>
        <v>0.43429448190325176</v>
      </c>
      <c r="AZ182" s="120">
        <f>qPCR_Raw!AG182</f>
        <v>24.887418746948242</v>
      </c>
      <c r="BA182" s="121" cm="1">
        <f t="array" ref="BA182">_xlfn.IFS(AZ182="Undetermined", 0, qPCR_Raw!AH182&lt;=1, 0, qPCR_Raw!AH182&gt;1, qPCR_Raw!AH182)</f>
        <v>1740.4234619140625</v>
      </c>
      <c r="BB182" s="122">
        <f>qPCR_Raw!AJ182</f>
        <v>28.700822830200195</v>
      </c>
      <c r="BC182" s="121" cm="1">
        <f t="array" ref="BC182">_xlfn.IFS(BB182="Undetermined", 0, qPCR_Raw!AK182&lt;=1, 0, qPCR_Raw!AK182&gt;1, qPCR_Raw!AK182)</f>
        <v>184.85415649414063</v>
      </c>
      <c r="BD182" s="123" cm="1">
        <f t="array" ref="BD182">_xlfn.IFS(AND(AZ182="Undetermined", BB182="Undetermined"), "Undetermined", AND(BA182=0, BC182=0), "Undetermined", AND(BA182=0, BC182&gt;0), "Ten-Fold", AND(BA182&gt;0, BC182=0), "Undiluted", AND(AZ182&lt;&gt;"Undetermined", BB182&lt;&gt;"Undetermined", BA182&gt;0, BC182&gt;0, AZ182&lt;&gt;BB182), 100*(-1+10^(-1/(AZ182-BB182))), AND(AZ182&lt;&gt;"Undetermined", BB182&lt;&gt;"Undetermined", AZ182=BB182&gt;0), -100)</f>
        <v>82.908082530632797</v>
      </c>
      <c r="BE182" s="124" cm="1">
        <f t="array" ref="BE182">_xlfn.IFS(BD182="Undetermined", 0, BD182="Undiluted", BA182*$G182/$F182*1000, BD182="Ten-Fold", BC182*$G182/$F182*1000*10, BD182&lt;0, BC182*$G182/$F182*1000*10, BD182&lt;120, BA182*$G182/$F182*1000, BD182&gt;120, BC182*$G182/$F182*1000*10)</f>
        <v>185151.43211851729</v>
      </c>
      <c r="BF182" s="121">
        <f t="shared" si="51"/>
        <v>179645.90038543052</v>
      </c>
      <c r="BG182" s="121">
        <f t="shared" si="52"/>
        <v>7785.9976450067597</v>
      </c>
      <c r="BH182" s="121">
        <f t="shared" si="53"/>
        <v>5505.5317330867692</v>
      </c>
      <c r="BI182" s="125" cm="1">
        <f t="array" ref="BI182">_xlfn.IFS(BF182="DELETE", "DELETE", BF182=0, 0, BF182&gt;0,LOG10(BF182))</f>
        <v>5.2544173108237153</v>
      </c>
      <c r="BJ182" s="126" cm="1">
        <f t="array" ref="BJ182">_xlfn.IFS(BF182="DELETE", "DELETE", BF182=0, 0, BF182&gt;0, BH182/BF182/LN(10))</f>
        <v>1.3309638831127731E-2</v>
      </c>
    </row>
    <row r="183" spans="1:62" s="114" customFormat="1" x14ac:dyDescent="0.3">
      <c r="A183" s="115" t="str">
        <f>UPPER(LEFT(SUBSTITUTE(SUBSTITUTE(qPCR_Raw!A183,"-","")," ",""),2))&amp;RIGHT(SUBSTITUTE(SUBSTITUTE(qPCR_Raw!A183,"-","")," ",""),LEN(SUBSTITUTE(SUBSTITUTE(qPCR_Raw!A183,"-","")," ",""))-2)</f>
        <v>RC7</v>
      </c>
      <c r="B183" s="116" t="str" cm="1">
        <f t="array" ref="B183">_xlfn.IFS(LEFT(A183, LEN(A183)-1)="EP", "EP", LEFT(A183, LEN(A183)-1)="STa", "SPI", LEFT(A183, LEN(A183)-1)="STb", "SPO", LEFT(A183, LEN(A183)-1)="MRT", "MRT", LEFT(A183, LEN(A183)-1)="RG", "RN", LEFT(A183, LEN(A183)-1)="RT", "RU", LEFT(A183, LEN(A183)-1)="RW", "RL", LEFT(A183, LEN(A183)-1)="RC", "RS")</f>
        <v>RS</v>
      </c>
      <c r="C183" s="117">
        <f>qPCR_Raw!B183</f>
        <v>44412</v>
      </c>
      <c r="D183" s="117" t="str">
        <f t="shared" si="37"/>
        <v>RS44412</v>
      </c>
      <c r="E183" s="117" t="str">
        <f t="shared" si="38"/>
        <v>RS444127</v>
      </c>
      <c r="F183" s="118">
        <f>qPCR_Raw!C183</f>
        <v>1000</v>
      </c>
      <c r="G183" s="119">
        <f>qPCR_Raw!F183</f>
        <v>100</v>
      </c>
      <c r="H183" s="120">
        <f>qPCR_Raw!G183</f>
        <v>8.7335424423217773</v>
      </c>
      <c r="I183" s="121" cm="1">
        <f t="array" ref="I183">_xlfn.IFS(H183="Undetermined", 0, qPCR_Raw!H183-qPCR_Raw!$H$242&lt;0, 0, qPCR_Raw!H183-qPCR_Raw!$H$242&gt;0, qPCR_Raw!H183-qPCR_Raw!$H$242)</f>
        <v>238118233.36144611</v>
      </c>
      <c r="J183" s="122">
        <f>qPCR_Raw!K183</f>
        <v>11.606509208679199</v>
      </c>
      <c r="K183" s="121" cm="1">
        <f t="array" ref="K183">_xlfn.IFS(J183="Undetermined", 0, qPCR_Raw!L183-qPCR_Raw!$H$242&lt;0, 0, qPCR_Raw!L183-qPCR_Raw!$H$242&gt;0, qPCR_Raw!L183-qPCR_Raw!$H$242)</f>
        <v>31810709.361446127</v>
      </c>
      <c r="L183" s="123" cm="1">
        <f t="array" ref="L183">_xlfn.IFS(AND(H183="Undetermined", J183="Undetermined"), "Undetermined", AND(I183=0, K183=0), "Undetermined", AND(I183=0, K183&gt;0), "Ten-Fold", AND(I183&gt;0, K183=0), "Undiluted", AND(H183&lt;&gt;"Undetermined", J183&lt;&gt;"Undetermined", I183&gt;0, K183&gt;0), 100*(-1+10^(-1/(H183-J183))))</f>
        <v>122.88058948470275</v>
      </c>
      <c r="M183" s="124" cm="1">
        <f t="array" ref="M183">_xlfn.IFS(L183="Undetermined", 0, L183="Undiluted", I183*$G183/$F183*1000, L183="Ten-Fold", K183*$G183/$F183*1000*10, L183&lt;0, K183*$G183/$F183*1000*10, L183&lt;120, I183*$G183/$F183*1000, L183&gt;120, K183*$G183/$F183*1000*10)</f>
        <v>31810709361.446129</v>
      </c>
      <c r="N183" s="121" t="str">
        <f t="shared" si="39"/>
        <v>DELETE</v>
      </c>
      <c r="O183" s="121" t="str">
        <f t="shared" si="40"/>
        <v>DELETE</v>
      </c>
      <c r="P183" s="121" t="str">
        <f t="shared" si="41"/>
        <v>DELETE</v>
      </c>
      <c r="Q183" s="125" t="str" cm="1">
        <f t="array" ref="Q183">_xlfn.IFS(N183="DELETE", "DELETE", N183=0, 0, N183&gt;0,LOG10(N183))</f>
        <v>DELETE</v>
      </c>
      <c r="R183" s="126" t="str" cm="1">
        <f t="array" ref="R183">_xlfn.IFS(N183="DELETE", "DELETE", N183=0, 0, N183&gt;0, P183/N183/LN(10))</f>
        <v>DELETE</v>
      </c>
      <c r="S183" s="155">
        <f>qPCR_Raw!O183</f>
        <v>28.408882141113281</v>
      </c>
      <c r="T183" s="156" cm="1">
        <f t="array" ref="T183">_xlfn.IFS(S183="Undetermined", 0, qPCR_Raw!P183&lt;=1, 0, qPCR_Raw!P183&gt;1, qPCR_Raw!P183)</f>
        <v>235.16838073730469</v>
      </c>
      <c r="U183" s="157">
        <f>qPCR_Raw!R183</f>
        <v>30.995515823364258</v>
      </c>
      <c r="V183" s="156" cm="1">
        <f t="array" ref="V183">_xlfn.IFS(U183="Undetermined", 0, qPCR_Raw!S183&lt;=1, 0, qPCR_Raw!S183&gt;1, qPCR_Raw!S183)</f>
        <v>39.167774200439453</v>
      </c>
      <c r="W183" s="158" cm="1">
        <f t="array" ref="W183">_xlfn.IFS(AND(S183="Undetermined", U183="Undetermined"), "Undetermined", AND(T183=0, V183=0), "Undetermined", AND(T183=0, V183&gt;0), "Ten-Fold", AND(T183&gt;0, V183=0), "Undiluted", AND(S183&lt;&gt;"Undetermined", U183&lt;&gt;"Undetermined", T183&gt;0, V183&gt;0, S183&lt;&gt;U183), 100*(-1+10^(-1/(S183-U183))), AND(S183&lt;&gt;"Undetermined", U183&lt;&gt;"Undetermined", S183=U183&gt;0), -100)</f>
        <v>143.55826293438176</v>
      </c>
      <c r="X183" s="159" cm="1">
        <f t="array" ref="X183">_xlfn.IFS(W183="Undetermined", 0, W183="Undiluted", T183*$G183/$F183*1000, W183="Ten-Fold", V183*$G183/$F183*1000*10, W183&lt;0, V183*$G183/$F183*1000*10, W183&lt;120, T183*$G183/$F183*1000, W183&gt;120, V183*$G183/$F183*1000*10)</f>
        <v>39167.774200439453</v>
      </c>
      <c r="Y183" s="156" t="str">
        <f t="shared" si="42"/>
        <v>DELETE</v>
      </c>
      <c r="Z183" s="156" t="str">
        <f t="shared" si="43"/>
        <v>DELETE</v>
      </c>
      <c r="AA183" s="156" t="str">
        <f t="shared" si="44"/>
        <v>DELETE</v>
      </c>
      <c r="AB183" s="160" t="str" cm="1">
        <f t="array" ref="AB183">_xlfn.IFS(Y183="DELETE", "DELETE", Y183=0, 0, Y183&gt;0,LOG10(Y183))</f>
        <v>DELETE</v>
      </c>
      <c r="AC183" s="161" t="str" cm="1">
        <f t="array" ref="AC183">_xlfn.IFS(Y183="DELETE", "DELETE", Y183=0, 0, Y183&gt;0, AA183/Y183/LN(10))</f>
        <v>DELETE</v>
      </c>
      <c r="AD183" s="120">
        <f>qPCR_Raw!U183</f>
        <v>26.186180114746094</v>
      </c>
      <c r="AE183" s="121" cm="1">
        <f t="array" ref="AE183">_xlfn.IFS(AD183="Undetermined", 0, qPCR_Raw!V183&lt;=1, 0, qPCR_Raw!V183&gt;1, qPCR_Raw!V183)</f>
        <v>533.4510498046875</v>
      </c>
      <c r="AF183" s="122">
        <f>qPCR_Raw!X183</f>
        <v>29.471223831176758</v>
      </c>
      <c r="AG183" s="121" cm="1">
        <f t="array" ref="AG183">_xlfn.IFS(AF183="Undetermined", 0, qPCR_Raw!Y183&lt;=1, 0, qPCR_Raw!Y183&gt;1, qPCR_Raw!Y183)</f>
        <v>63.95611572265625</v>
      </c>
      <c r="AH183" s="123" cm="1">
        <f t="array" ref="AH183">_xlfn.IFS(AND(AD183="Undetermined", AF183="Undetermined"), "Undetermined", AND(AE183=0, AG183=0), "Undetermined", AND(AE183=0, AG183&gt;0), "Ten-Fold", AND(AE183&gt;0, AG183=0), "Undiluted", AND(AD183&lt;&gt;"Undetermined", AF183&lt;&gt;"Undetermined", AE183&gt;0, AG183&gt;0, AD183&lt;&gt;AF183), 100*(-1+10^(-1/(AD183-AF183))), AND(AD183&lt;&gt;"Undetermined", AF183&lt;&gt;"Undetermined", AD183=AF183&gt;0), -100)</f>
        <v>101.56260009729405</v>
      </c>
      <c r="AI183" s="124" cm="1">
        <f t="array" ref="AI183">_xlfn.IFS(AH183="Undetermined", 0, AH183="Undiluted", AE183*$G183/$F183*1000, AH183="Ten-Fold", AG183*$G183/$F183*1000*10, AH183&lt;0, AG183*$G183/$F183*1000*10, AH183&lt;120, AE183*$G183/$F183*1000, AH183&gt;120, AG183*$G183/$F183*1000*10)</f>
        <v>53345.10498046875</v>
      </c>
      <c r="AJ183" s="121" t="str">
        <f t="shared" si="45"/>
        <v>DELETE</v>
      </c>
      <c r="AK183" s="121" t="str">
        <f t="shared" si="46"/>
        <v>DELETE</v>
      </c>
      <c r="AL183" s="121" t="str">
        <f t="shared" si="47"/>
        <v>DELETE</v>
      </c>
      <c r="AM183" s="125" t="str" cm="1">
        <f t="array" ref="AM183">_xlfn.IFS(AJ183="DELETE", "DELETE", AJ183=0, 0, AJ183&gt;0,LOG10(AJ183))</f>
        <v>DELETE</v>
      </c>
      <c r="AN183" s="126" t="str" cm="1">
        <f t="array" ref="AN183">_xlfn.IFS(AJ183="DELETE", "DELETE", AJ183=0, 0, AJ183&gt;0, AL183/AJ183/LN(10))</f>
        <v>DELETE</v>
      </c>
      <c r="AO183" s="155">
        <f>qPCR_Raw!AA183</f>
        <v>29.87959098815918</v>
      </c>
      <c r="AP183" s="156" cm="1">
        <f t="array" ref="AP183">_xlfn.IFS(AO183="Undetermined", 0, qPCR_Raw!AB183&lt;=6, 0, qPCR_Raw!AB183&gt;6, qPCR_Raw!AB183)</f>
        <v>0</v>
      </c>
      <c r="AQ183" s="157">
        <f>qPCR_Raw!AD183</f>
        <v>32.090984344482422</v>
      </c>
      <c r="AR183" s="156" cm="1">
        <f t="array" ref="AR183">_xlfn.IFS(AQ183="Undetermined", 0, qPCR_Raw!AE183&lt;=6, 0, qPCR_Raw!AE183&gt;6, qPCR_Raw!AE183)</f>
        <v>0</v>
      </c>
      <c r="AS183" s="158" t="str" cm="1">
        <f t="array" ref="AS183">_xlfn.IFS(AND(AO183="Undetermined", AQ183="Undetermined"), "Undetermined", AND(AP183=0, AR183=0), "Undetermined", AND(AP183=0, AR183&gt;0), "Ten-Fold", AND(AP183&gt;0, AR183=0), "Undiluted", AND(AO183&lt;&gt;"Undetermined", AQ183&lt;&gt;"Undetermined", AP183&gt;0, AR183&gt;0, AO183&lt;&gt;AQ183), 100*(-1+10^(-1/(AO183-AQ183))), AND(AO183&lt;&gt;"Undetermined", AQ183&lt;&gt;"Undetermined", AO183=AQ183&gt;0), -100)</f>
        <v>Undetermined</v>
      </c>
      <c r="AT183" s="159" cm="1">
        <f t="array" ref="AT183">_xlfn.IFS(AS183="Undetermined", 0, AS183="Undiluted", AP183*$G183/$F183*1000, AS183="Ten-Fold", AR183*$G183/$F183*1000*10, AS183&lt;0, AR183*$G183/$F183*1000*10, AS183&lt;120, AP183*$G183/$F183*1000, AS183&gt;120, AR183*$G183/$F183*1000*10)</f>
        <v>0</v>
      </c>
      <c r="AU183" s="156" t="str">
        <f t="shared" si="48"/>
        <v>DELETE</v>
      </c>
      <c r="AV183" s="156" t="str">
        <f t="shared" si="49"/>
        <v>DELETE</v>
      </c>
      <c r="AW183" s="156" t="str">
        <f t="shared" si="50"/>
        <v>DELETE</v>
      </c>
      <c r="AX183" s="160" t="str" cm="1">
        <f t="array" ref="AX183">_xlfn.IFS(AU183="DELETE", "DELETE", AU183=0, 0, AU183&gt;0,LOG10(AU183))</f>
        <v>DELETE</v>
      </c>
      <c r="AY183" s="161" t="str" cm="1">
        <f t="array" ref="AY183">_xlfn.IFS(AU183="DELETE", "DELETE", AU183=0, 0, AU183&gt;0, AW183/AU183/LN(10))</f>
        <v>DELETE</v>
      </c>
      <c r="AZ183" s="120">
        <f>qPCR_Raw!AG183</f>
        <v>24.88646125793457</v>
      </c>
      <c r="BA183" s="121" cm="1">
        <f t="array" ref="BA183">_xlfn.IFS(AZ183="Undetermined", 0, qPCR_Raw!AH183&lt;=1, 0, qPCR_Raw!AH183&gt;1, qPCR_Raw!AH183)</f>
        <v>1741.4036865234375</v>
      </c>
      <c r="BB183" s="122">
        <f>qPCR_Raw!AJ183</f>
        <v>27.948446273803711</v>
      </c>
      <c r="BC183" s="121" cm="1">
        <f t="array" ref="BC183">_xlfn.IFS(BB183="Undetermined", 0, qPCR_Raw!AK183&lt;=1, 0, qPCR_Raw!AK183&gt;1, qPCR_Raw!AK183)</f>
        <v>287.71530151367188</v>
      </c>
      <c r="BD183" s="123" cm="1">
        <f t="array" ref="BD183">_xlfn.IFS(AND(AZ183="Undetermined", BB183="Undetermined"), "Undetermined", AND(BA183=0, BC183=0), "Undetermined", AND(BA183=0, BC183&gt;0), "Ten-Fold", AND(BA183&gt;0, BC183=0), "Undiluted", AND(AZ183&lt;&gt;"Undetermined", BB183&lt;&gt;"Undetermined", BA183&gt;0, BC183&gt;0, AZ183&lt;&gt;BB183), 100*(-1+10^(-1/(AZ183-BB183))), AND(AZ183&lt;&gt;"Undetermined", BB183&lt;&gt;"Undetermined", AZ183=BB183&gt;0), -100)</f>
        <v>112.12191062465781</v>
      </c>
      <c r="BE183" s="124" cm="1">
        <f t="array" ref="BE183">_xlfn.IFS(BD183="Undetermined", 0, BD183="Undiluted", BA183*$G183/$F183*1000, BD183="Ten-Fold", BC183*$G183/$F183*1000*10, BD183&lt;0, BC183*$G183/$F183*1000*10, BD183&lt;120, BA183*$G183/$F183*1000, BD183&gt;120, BC183*$G183/$F183*1000*10)</f>
        <v>174140.36865234375</v>
      </c>
      <c r="BF183" s="121" t="str">
        <f t="shared" si="51"/>
        <v>DELETE</v>
      </c>
      <c r="BG183" s="121" t="str">
        <f t="shared" si="52"/>
        <v>DELETE</v>
      </c>
      <c r="BH183" s="121" t="str">
        <f t="shared" si="53"/>
        <v>DELETE</v>
      </c>
      <c r="BI183" s="125" t="str" cm="1">
        <f t="array" ref="BI183">_xlfn.IFS(BF183="DELETE", "DELETE", BF183=0, 0, BF183&gt;0,LOG10(BF183))</f>
        <v>DELETE</v>
      </c>
      <c r="BJ183" s="126" t="str" cm="1">
        <f t="array" ref="BJ183">_xlfn.IFS(BF183="DELETE", "DELETE", BF183=0, 0, BF183&gt;0, BH183/BF183/LN(10))</f>
        <v>DELETE</v>
      </c>
    </row>
    <row r="184" spans="1:62" s="114" customFormat="1" x14ac:dyDescent="0.3">
      <c r="A184" s="115" t="str">
        <f>UPPER(LEFT(SUBSTITUTE(SUBSTITUTE(qPCR_Raw!A184,"-","")," ",""),2))&amp;RIGHT(SUBSTITUTE(SUBSTITUTE(qPCR_Raw!A184,"-","")," ",""),LEN(SUBSTITUTE(SUBSTITUTE(qPCR_Raw!A184,"-","")," ",""))-2)</f>
        <v>RG6</v>
      </c>
      <c r="B184" s="116" t="str" cm="1">
        <f t="array" ref="B184">_xlfn.IFS(LEFT(A184, LEN(A184)-1)="EP", "EP", LEFT(A184, LEN(A184)-1)="STa", "SPI", LEFT(A184, LEN(A184)-1)="STb", "SPO", LEFT(A184, LEN(A184)-1)="MRT", "MRT", LEFT(A184, LEN(A184)-1)="RG", "RN", LEFT(A184, LEN(A184)-1)="RT", "RU", LEFT(A184, LEN(A184)-1)="RW", "RL", LEFT(A184, LEN(A184)-1)="RC", "RS")</f>
        <v>RN</v>
      </c>
      <c r="C184" s="117">
        <f>qPCR_Raw!B184</f>
        <v>44412</v>
      </c>
      <c r="D184" s="117" t="str">
        <f t="shared" si="37"/>
        <v>RN44412</v>
      </c>
      <c r="E184" s="117" t="str">
        <f t="shared" si="38"/>
        <v>RN444126</v>
      </c>
      <c r="F184" s="118">
        <f>qPCR_Raw!C184</f>
        <v>1000</v>
      </c>
      <c r="G184" s="119">
        <f>qPCR_Raw!F184</f>
        <v>100</v>
      </c>
      <c r="H184" s="120">
        <f>qPCR_Raw!G184</f>
        <v>14.904446601867676</v>
      </c>
      <c r="I184" s="121" cm="1">
        <f t="array" ref="I184">_xlfn.IFS(H184="Undetermined", 0, qPCR_Raw!H184-qPCR_Raw!$H$242&lt;0, 0, qPCR_Raw!H184-qPCR_Raw!$H$242&gt;0, qPCR_Raw!H184-qPCR_Raw!$H$242)</f>
        <v>3144875.1114461264</v>
      </c>
      <c r="J184" s="122">
        <f>qPCR_Raw!K184</f>
        <v>17.79698371887207</v>
      </c>
      <c r="K184" s="121" cm="1">
        <f t="array" ref="K184">_xlfn.IFS(J184="Undetermined", 0, qPCR_Raw!L184-qPCR_Raw!$H$242&lt;0, 0, qPCR_Raw!L184-qPCR_Raw!$H$242&gt;0, qPCR_Raw!L184-qPCR_Raw!$H$242)</f>
        <v>403285.08019612631</v>
      </c>
      <c r="L184" s="123" cm="1">
        <f t="array" ref="L184">_xlfn.IFS(AND(H184="Undetermined", J184="Undetermined"), "Undetermined", AND(I184=0, K184=0), "Undetermined", AND(I184=0, K184&gt;0), "Ten-Fold", AND(I184&gt;0, K184=0), "Undiluted", AND(H184&lt;&gt;"Undetermined", J184&lt;&gt;"Undetermined", I184&gt;0, K184&gt;0), 100*(-1+10^(-1/(H184-J184))))</f>
        <v>121.67527593753036</v>
      </c>
      <c r="M184" s="124" cm="1">
        <f t="array" ref="M184">_xlfn.IFS(L184="Undetermined", 0, L184="Undiluted", I184*$G184/$F184*1000, L184="Ten-Fold", K184*$G184/$F184*1000*10, L184&lt;0, K184*$G184/$F184*1000*10, L184&lt;120, I184*$G184/$F184*1000, L184&gt;120, K184*$G184/$F184*1000*10)</f>
        <v>403285080.19612634</v>
      </c>
      <c r="N184" s="121">
        <f t="shared" si="39"/>
        <v>577977421.28951466</v>
      </c>
      <c r="O184" s="121">
        <f t="shared" si="40"/>
        <v>247052278.01697642</v>
      </c>
      <c r="P184" s="121">
        <f t="shared" si="41"/>
        <v>174692341.09338823</v>
      </c>
      <c r="Q184" s="125" cm="1">
        <f t="array" ref="Q184">_xlfn.IFS(N184="DELETE", "DELETE", N184=0, 0, N184&gt;0,LOG10(N184))</f>
        <v>8.7619108730210442</v>
      </c>
      <c r="R184" s="126" cm="1">
        <f t="array" ref="R184">_xlfn.IFS(N184="DELETE", "DELETE", N184=0, 0, N184&gt;0, P184/N184/LN(10))</f>
        <v>0.13126450441325488</v>
      </c>
      <c r="S184" s="155">
        <f>qPCR_Raw!O184</f>
        <v>31.077102661132813</v>
      </c>
      <c r="T184" s="156" cm="1">
        <f t="array" ref="T184">_xlfn.IFS(S184="Undetermined", 0, qPCR_Raw!P184&lt;=1, 0, qPCR_Raw!P184&gt;1, qPCR_Raw!P184)</f>
        <v>37.014789581298828</v>
      </c>
      <c r="U184" s="157">
        <f>qPCR_Raw!R184</f>
        <v>34.536109924316406</v>
      </c>
      <c r="V184" s="156" cm="1">
        <f t="array" ref="V184">_xlfn.IFS(U184="Undetermined", 0, qPCR_Raw!S184&lt;=1, 0, qPCR_Raw!S184&gt;1, qPCR_Raw!S184)</f>
        <v>3.368088960647583</v>
      </c>
      <c r="W184" s="158" cm="1">
        <f t="array" ref="W184">_xlfn.IFS(AND(S184="Undetermined", U184="Undetermined"), "Undetermined", AND(T184=0, V184=0), "Undetermined", AND(T184=0, V184&gt;0), "Ten-Fold", AND(T184&gt;0, V184=0), "Undiluted", AND(S184&lt;&gt;"Undetermined", U184&lt;&gt;"Undetermined", T184&gt;0, V184&gt;0, S184&lt;&gt;U184), 100*(-1+10^(-1/(S184-U184))), AND(S184&lt;&gt;"Undetermined", U184&lt;&gt;"Undetermined", S184=U184&gt;0), -100)</f>
        <v>94.580936446835963</v>
      </c>
      <c r="X184" s="159" cm="1">
        <f t="array" ref="X184">_xlfn.IFS(W184="Undetermined", 0, W184="Undiluted", T184*$G184/$F184*1000, W184="Ten-Fold", V184*$G184/$F184*1000*10, W184&lt;0, V184*$G184/$F184*1000*10, W184&lt;120, T184*$G184/$F184*1000, W184&gt;120, V184*$G184/$F184*1000*10)</f>
        <v>3701.4789581298828</v>
      </c>
      <c r="Y184" s="156">
        <f t="shared" si="42"/>
        <v>5921.2174945407442</v>
      </c>
      <c r="Z184" s="156">
        <f t="shared" si="43"/>
        <v>3139.1843431144475</v>
      </c>
      <c r="AA184" s="156">
        <f t="shared" si="44"/>
        <v>2219.7385364108636</v>
      </c>
      <c r="AB184" s="160" cm="1">
        <f t="array" ref="AB184">_xlfn.IFS(Y184="DELETE", "DELETE", Y184=0, 0, Y184&gt;0,LOG10(Y184))</f>
        <v>3.7724110136143607</v>
      </c>
      <c r="AC184" s="161" cm="1">
        <f t="array" ref="AC184">_xlfn.IFS(Y184="DELETE", "DELETE", Y184=0, 0, Y184&gt;0, AA184/Y184/LN(10))</f>
        <v>0.16280776690267629</v>
      </c>
      <c r="AD184" s="120">
        <f>qPCR_Raw!U184</f>
        <v>27.313604354858398</v>
      </c>
      <c r="AE184" s="121" cm="1">
        <f t="array" ref="AE184">_xlfn.IFS(AD184="Undetermined", 0, qPCR_Raw!V184&lt;=1, 0, qPCR_Raw!V184&gt;1, qPCR_Raw!V184)</f>
        <v>257.59368896484375</v>
      </c>
      <c r="AF184" s="122">
        <f>qPCR_Raw!X184</f>
        <v>30.790792465209961</v>
      </c>
      <c r="AG184" s="121" cm="1">
        <f t="array" ref="AG184">_xlfn.IFS(AF184="Undetermined", 0, qPCR_Raw!Y184&lt;=1, 0, qPCR_Raw!Y184&gt;1, qPCR_Raw!Y184)</f>
        <v>27.279750823974609</v>
      </c>
      <c r="AH184" s="123" cm="1">
        <f t="array" ref="AH184">_xlfn.IFS(AND(AD184="Undetermined", AF184="Undetermined"), "Undetermined", AND(AE184=0, AG184=0), "Undetermined", AND(AE184=0, AG184&gt;0), "Ten-Fold", AND(AE184&gt;0, AG184=0), "Undiluted", AND(AD184&lt;&gt;"Undetermined", AF184&lt;&gt;"Undetermined", AE184&gt;0, AG184&gt;0, AD184&lt;&gt;AF184), 100*(-1+10^(-1/(AD184-AF184))), AND(AD184&lt;&gt;"Undetermined", AF184&lt;&gt;"Undetermined", AD184=AF184&gt;0), -100)</f>
        <v>93.904861476989154</v>
      </c>
      <c r="AI184" s="124" cm="1">
        <f t="array" ref="AI184">_xlfn.IFS(AH184="Undetermined", 0, AH184="Undiluted", AE184*$G184/$F184*1000, AH184="Ten-Fold", AG184*$G184/$F184*1000*10, AH184&lt;0, AG184*$G184/$F184*1000*10, AH184&lt;120, AE184*$G184/$F184*1000, AH184&gt;120, AG184*$G184/$F184*1000*10)</f>
        <v>25759.368896484375</v>
      </c>
      <c r="AJ184" s="121">
        <f t="shared" si="45"/>
        <v>43565.980275472008</v>
      </c>
      <c r="AK184" s="121">
        <f t="shared" si="46"/>
        <v>25182.351312071383</v>
      </c>
      <c r="AL184" s="121">
        <f t="shared" si="47"/>
        <v>17806.611378987625</v>
      </c>
      <c r="AM184" s="125" cm="1">
        <f t="array" ref="AM184">_xlfn.IFS(AJ184="DELETE", "DELETE", AJ184=0, 0, AJ184&gt;0,LOG10(AJ184))</f>
        <v>4.6391474905137544</v>
      </c>
      <c r="AN184" s="126" cm="1">
        <f t="array" ref="AN184">_xlfn.IFS(AJ184="DELETE", "DELETE", AJ184=0, 0, AJ184&gt;0, AL184/AJ184/LN(10))</f>
        <v>0.17750806970006125</v>
      </c>
      <c r="AO184" s="155">
        <f>qPCR_Raw!AA184</f>
        <v>28.132722854614258</v>
      </c>
      <c r="AP184" s="156" cm="1">
        <f t="array" ref="AP184">_xlfn.IFS(AO184="Undetermined", 0, qPCR_Raw!AB184&lt;=6, 0, qPCR_Raw!AB184&gt;6, qPCR_Raw!AB184)</f>
        <v>17.716697692871094</v>
      </c>
      <c r="AQ184" s="157">
        <f>qPCR_Raw!AD184</f>
        <v>31.496271133422852</v>
      </c>
      <c r="AR184" s="156" cm="1">
        <f t="array" ref="AR184">_xlfn.IFS(AQ184="Undetermined", 0, qPCR_Raw!AE184&lt;=6, 0, qPCR_Raw!AE184&gt;6, qPCR_Raw!AE184)</f>
        <v>0</v>
      </c>
      <c r="AS184" s="158" t="str" cm="1">
        <f t="array" ref="AS184">_xlfn.IFS(AND(AO184="Undetermined", AQ184="Undetermined"), "Undetermined", AND(AP184=0, AR184=0), "Undetermined", AND(AP184=0, AR184&gt;0), "Ten-Fold", AND(AP184&gt;0, AR184=0), "Undiluted", AND(AO184&lt;&gt;"Undetermined", AQ184&lt;&gt;"Undetermined", AP184&gt;0, AR184&gt;0, AO184&lt;&gt;AQ184), 100*(-1+10^(-1/(AO184-AQ184))), AND(AO184&lt;&gt;"Undetermined", AQ184&lt;&gt;"Undetermined", AO184=AQ184&gt;0), -100)</f>
        <v>Undiluted</v>
      </c>
      <c r="AT184" s="159" cm="1">
        <f t="array" ref="AT184">_xlfn.IFS(AS184="Undetermined", 0, AS184="Undiluted", AP184*$G184/$F184*1000, AS184="Ten-Fold", AR184*$G184/$F184*1000*10, AS184&lt;0, AR184*$G184/$F184*1000*10, AS184&lt;120, AP184*$G184/$F184*1000, AS184&gt;120, AR184*$G184/$F184*1000*10)</f>
        <v>1771.6697692871094</v>
      </c>
      <c r="AU184" s="156">
        <f t="shared" si="48"/>
        <v>3200.3125932481557</v>
      </c>
      <c r="AV184" s="156">
        <f t="shared" si="49"/>
        <v>2020.4060574327095</v>
      </c>
      <c r="AW184" s="156">
        <f t="shared" si="50"/>
        <v>1428.6428239610459</v>
      </c>
      <c r="AX184" s="160" cm="1">
        <f t="array" ref="AX184">_xlfn.IFS(AU184="DELETE", "DELETE", AU184=0, 0, AU184&gt;0,LOG10(AU184))</f>
        <v>3.505192400473788</v>
      </c>
      <c r="AY184" s="161" cm="1">
        <f t="array" ref="AY184">_xlfn.IFS(AU184="DELETE", "DELETE", AU184=0, 0, AU184&gt;0, AW184/AU184/LN(10))</f>
        <v>0.19387221622223902</v>
      </c>
      <c r="AZ184" s="120">
        <f>qPCR_Raw!AG184</f>
        <v>24.569562911987305</v>
      </c>
      <c r="BA184" s="121" cm="1">
        <f t="array" ref="BA184">_xlfn.IFS(AZ184="Undetermined", 0, qPCR_Raw!AH184&lt;=1, 0, qPCR_Raw!AH184&gt;1, qPCR_Raw!AH184)</f>
        <v>2098.0966796875</v>
      </c>
      <c r="BB184" s="122">
        <f>qPCR_Raw!AJ184</f>
        <v>27.813833236694336</v>
      </c>
      <c r="BC184" s="121" cm="1">
        <f t="array" ref="BC184">_xlfn.IFS(BB184="Undetermined", 0, qPCR_Raw!AK184&lt;=1, 0, qPCR_Raw!AK184&gt;1, qPCR_Raw!AK184)</f>
        <v>311.41461181640625</v>
      </c>
      <c r="BD184" s="123" cm="1">
        <f t="array" ref="BD184">_xlfn.IFS(AND(AZ184="Undetermined", BB184="Undetermined"), "Undetermined", AND(BA184=0, BC184=0), "Undetermined", AND(BA184=0, BC184&gt;0), "Ten-Fold", AND(BA184&gt;0, BC184=0), "Undiluted", AND(AZ184&lt;&gt;"Undetermined", BB184&lt;&gt;"Undetermined", BA184&gt;0, BC184&gt;0, AZ184&lt;&gt;BB184), 100*(-1+10^(-1/(AZ184-BB184))), AND(AZ184&lt;&gt;"Undetermined", BB184&lt;&gt;"Undetermined", AZ184=BB184&gt;0), -100)</f>
        <v>103.34604041820729</v>
      </c>
      <c r="BE184" s="124" cm="1">
        <f t="array" ref="BE184">_xlfn.IFS(BD184="Undetermined", 0, BD184="Undiluted", BA184*$G184/$F184*1000, BD184="Ten-Fold", BC184*$G184/$F184*1000*10, BD184&lt;0, BC184*$G184/$F184*1000*10, BD184&lt;120, BA184*$G184/$F184*1000, BD184&gt;120, BC184*$G184/$F184*1000*10)</f>
        <v>209809.66796875</v>
      </c>
      <c r="BF184" s="121">
        <f t="shared" si="51"/>
        <v>229751.8798828125</v>
      </c>
      <c r="BG184" s="121">
        <f t="shared" si="52"/>
        <v>28202.546552585507</v>
      </c>
      <c r="BH184" s="121">
        <f t="shared" si="53"/>
        <v>19942.2119140625</v>
      </c>
      <c r="BI184" s="125" cm="1">
        <f t="array" ref="BI184">_xlfn.IFS(BF184="DELETE", "DELETE", BF184=0, 0, BF184&gt;0,LOG10(BF184))</f>
        <v>5.3612590735701922</v>
      </c>
      <c r="BJ184" s="126" cm="1">
        <f t="array" ref="BJ184">_xlfn.IFS(BF184="DELETE", "DELETE", BF184=0, 0, BF184&gt;0, BH184/BF184/LN(10))</f>
        <v>3.769628607887849E-2</v>
      </c>
    </row>
    <row r="185" spans="1:62" s="114" customFormat="1" x14ac:dyDescent="0.3">
      <c r="A185" s="115" t="str">
        <f>UPPER(LEFT(SUBSTITUTE(SUBSTITUTE(qPCR_Raw!A185,"-","")," ",""),2))&amp;RIGHT(SUBSTITUTE(SUBSTITUTE(qPCR_Raw!A185,"-","")," ",""),LEN(SUBSTITUTE(SUBSTITUTE(qPCR_Raw!A185,"-","")," ",""))-2)</f>
        <v>RG7</v>
      </c>
      <c r="B185" s="116" t="str" cm="1">
        <f t="array" ref="B185">_xlfn.IFS(LEFT(A185, LEN(A185)-1)="EP", "EP", LEFT(A185, LEN(A185)-1)="STa", "SPI", LEFT(A185, LEN(A185)-1)="STb", "SPO", LEFT(A185, LEN(A185)-1)="MRT", "MRT", LEFT(A185, LEN(A185)-1)="RG", "RN", LEFT(A185, LEN(A185)-1)="RT", "RU", LEFT(A185, LEN(A185)-1)="RW", "RL", LEFT(A185, LEN(A185)-1)="RC", "RS")</f>
        <v>RN</v>
      </c>
      <c r="C185" s="117">
        <f>qPCR_Raw!B185</f>
        <v>44412</v>
      </c>
      <c r="D185" s="117" t="str">
        <f t="shared" si="37"/>
        <v>RN44412</v>
      </c>
      <c r="E185" s="117" t="str">
        <f t="shared" si="38"/>
        <v>RN444127</v>
      </c>
      <c r="F185" s="118">
        <f>qPCR_Raw!C185</f>
        <v>900</v>
      </c>
      <c r="G185" s="119">
        <f>qPCR_Raw!F185</f>
        <v>100</v>
      </c>
      <c r="H185" s="120">
        <f>qPCR_Raw!G185</f>
        <v>13.812255859375</v>
      </c>
      <c r="I185" s="121" cm="1">
        <f t="array" ref="I185">_xlfn.IFS(H185="Undetermined", 0, qPCR_Raw!H185-qPCR_Raw!$H$242&lt;0, 0, qPCR_Raw!H185-qPCR_Raw!$H$242&gt;0, qPCR_Raw!H185-qPCR_Raw!$H$242)</f>
        <v>6774027.8614461264</v>
      </c>
      <c r="J185" s="122">
        <f>qPCR_Raw!K185</f>
        <v>16.899646759033203</v>
      </c>
      <c r="K185" s="121" cm="1">
        <f t="array" ref="K185">_xlfn.IFS(J185="Undetermined", 0, qPCR_Raw!L185-qPCR_Raw!$H$242&lt;0, 0, qPCR_Raw!L185-qPCR_Raw!$H$242&gt;0, qPCR_Raw!L185-qPCR_Raw!$H$242)</f>
        <v>767524.29894612625</v>
      </c>
      <c r="L185" s="123" cm="1">
        <f t="array" ref="L185">_xlfn.IFS(AND(H185="Undetermined", J185="Undetermined"), "Undetermined", AND(I185=0, K185=0), "Undetermined", AND(I185=0, K185&gt;0), "Ten-Fold", AND(I185&gt;0, K185=0), "Undiluted", AND(H185&lt;&gt;"Undetermined", J185&lt;&gt;"Undetermined", I185&gt;0, K185&gt;0), 100*(-1+10^(-1/(H185-J185))))</f>
        <v>110.81333804511209</v>
      </c>
      <c r="M185" s="124" cm="1">
        <f t="array" ref="M185">_xlfn.IFS(L185="Undetermined", 0, L185="Undiluted", I185*$G185/$F185*1000, L185="Ten-Fold", K185*$G185/$F185*1000*10, L185&lt;0, K185*$G185/$F185*1000*10, L185&lt;120, I185*$G185/$F185*1000, L185&gt;120, K185*$G185/$F185*1000*10)</f>
        <v>752669762.38290298</v>
      </c>
      <c r="N185" s="121" t="str">
        <f t="shared" si="39"/>
        <v>DELETE</v>
      </c>
      <c r="O185" s="121" t="str">
        <f t="shared" si="40"/>
        <v>DELETE</v>
      </c>
      <c r="P185" s="121" t="str">
        <f t="shared" si="41"/>
        <v>DELETE</v>
      </c>
      <c r="Q185" s="125" t="str" cm="1">
        <f t="array" ref="Q185">_xlfn.IFS(N185="DELETE", "DELETE", N185=0, 0, N185&gt;0,LOG10(N185))</f>
        <v>DELETE</v>
      </c>
      <c r="R185" s="126" t="str" cm="1">
        <f t="array" ref="R185">_xlfn.IFS(N185="DELETE", "DELETE", N185=0, 0, N185&gt;0, P185/N185/LN(10))</f>
        <v>DELETE</v>
      </c>
      <c r="S185" s="155">
        <f>qPCR_Raw!O185</f>
        <v>31.55195426940918</v>
      </c>
      <c r="T185" s="156" cm="1">
        <f t="array" ref="T185">_xlfn.IFS(S185="Undetermined", 0, qPCR_Raw!P185&lt;=1, 0, qPCR_Raw!P185&gt;1, qPCR_Raw!P185)</f>
        <v>26.635950088500977</v>
      </c>
      <c r="U185" s="157">
        <f>qPCR_Raw!R185</f>
        <v>33.41455078125</v>
      </c>
      <c r="V185" s="156" cm="1">
        <f t="array" ref="V185">_xlfn.IFS(U185="Undetermined", 0, qPCR_Raw!S185&lt;=1, 0, qPCR_Raw!S185&gt;1, qPCR_Raw!S185)</f>
        <v>7.3268604278564453</v>
      </c>
      <c r="W185" s="158" cm="1">
        <f t="array" ref="W185">_xlfn.IFS(AND(S185="Undetermined", U185="Undetermined"), "Undetermined", AND(T185=0, V185=0), "Undetermined", AND(T185=0, V185&gt;0), "Ten-Fold", AND(T185&gt;0, V185=0), "Undiluted", AND(S185&lt;&gt;"Undetermined", U185&lt;&gt;"Undetermined", T185&gt;0, V185&gt;0, S185&lt;&gt;U185), 100*(-1+10^(-1/(S185-U185))), AND(S185&lt;&gt;"Undetermined", U185&lt;&gt;"Undetermined", S185=U185&gt;0), -100)</f>
        <v>244.25870532294519</v>
      </c>
      <c r="X185" s="159" cm="1">
        <f t="array" ref="X185">_xlfn.IFS(W185="Undetermined", 0, W185="Undiluted", T185*$G185/$F185*1000, W185="Ten-Fold", V185*$G185/$F185*1000*10, W185&lt;0, V185*$G185/$F185*1000*10, W185&lt;120, T185*$G185/$F185*1000, W185&gt;120, V185*$G185/$F185*1000*10)</f>
        <v>8140.9560309516064</v>
      </c>
      <c r="Y185" s="156" t="str">
        <f t="shared" si="42"/>
        <v>DELETE</v>
      </c>
      <c r="Z185" s="156" t="str">
        <f t="shared" si="43"/>
        <v>DELETE</v>
      </c>
      <c r="AA185" s="156" t="str">
        <f t="shared" si="44"/>
        <v>DELETE</v>
      </c>
      <c r="AB185" s="160" t="str" cm="1">
        <f t="array" ref="AB185">_xlfn.IFS(Y185="DELETE", "DELETE", Y185=0, 0, Y185&gt;0,LOG10(Y185))</f>
        <v>DELETE</v>
      </c>
      <c r="AC185" s="161" t="str" cm="1">
        <f t="array" ref="AC185">_xlfn.IFS(Y185="DELETE", "DELETE", Y185=0, 0, Y185&gt;0, AA185/Y185/LN(10))</f>
        <v>DELETE</v>
      </c>
      <c r="AD185" s="120">
        <f>qPCR_Raw!U185</f>
        <v>27.185388565063477</v>
      </c>
      <c r="AE185" s="121" cm="1">
        <f t="array" ref="AE185">_xlfn.IFS(AD185="Undetermined", 0, qPCR_Raw!V185&lt;=1, 0, qPCR_Raw!V185&gt;1, qPCR_Raw!V185)</f>
        <v>279.82742309570313</v>
      </c>
      <c r="AF185" s="122">
        <f>qPCR_Raw!X185</f>
        <v>29.698253631591797</v>
      </c>
      <c r="AG185" s="121" cm="1">
        <f t="array" ref="AG185">_xlfn.IFS(AF185="Undetermined", 0, qPCR_Raw!Y185&lt;=1, 0, qPCR_Raw!Y185&gt;1, qPCR_Raw!Y185)</f>
        <v>55.235332489013672</v>
      </c>
      <c r="AH185" s="123" cm="1">
        <f t="array" ref="AH185">_xlfn.IFS(AND(AD185="Undetermined", AF185="Undetermined"), "Undetermined", AND(AE185=0, AG185=0), "Undetermined", AND(AE185=0, AG185&gt;0), "Ten-Fold", AND(AE185&gt;0, AG185=0), "Undiluted", AND(AD185&lt;&gt;"Undetermined", AF185&lt;&gt;"Undetermined", AE185&gt;0, AG185&gt;0, AD185&lt;&gt;AF185), 100*(-1+10^(-1/(AD185-AF185))), AND(AD185&lt;&gt;"Undetermined", AF185&lt;&gt;"Undetermined", AD185=AF185&gt;0), -100)</f>
        <v>150.00697640545283</v>
      </c>
      <c r="AI185" s="124" cm="1">
        <f t="array" ref="AI185">_xlfn.IFS(AH185="Undetermined", 0, AH185="Undiluted", AE185*$G185/$F185*1000, AH185="Ten-Fold", AG185*$G185/$F185*1000*10, AH185&lt;0, AG185*$G185/$F185*1000*10, AH185&lt;120, AE185*$G185/$F185*1000, AH185&gt;120, AG185*$G185/$F185*1000*10)</f>
        <v>61372.59165445964</v>
      </c>
      <c r="AJ185" s="121" t="str">
        <f t="shared" si="45"/>
        <v>DELETE</v>
      </c>
      <c r="AK185" s="121" t="str">
        <f t="shared" si="46"/>
        <v>DELETE</v>
      </c>
      <c r="AL185" s="121" t="str">
        <f t="shared" si="47"/>
        <v>DELETE</v>
      </c>
      <c r="AM185" s="125" t="str" cm="1">
        <f t="array" ref="AM185">_xlfn.IFS(AJ185="DELETE", "DELETE", AJ185=0, 0, AJ185&gt;0,LOG10(AJ185))</f>
        <v>DELETE</v>
      </c>
      <c r="AN185" s="126" t="str" cm="1">
        <f t="array" ref="AN185">_xlfn.IFS(AJ185="DELETE", "DELETE", AJ185=0, 0, AJ185&gt;0, AL185/AJ185/LN(10))</f>
        <v>DELETE</v>
      </c>
      <c r="AO185" s="155">
        <f>qPCR_Raw!AA185</f>
        <v>26.801422119140625</v>
      </c>
      <c r="AP185" s="156" cm="1">
        <f t="array" ref="AP185">_xlfn.IFS(AO185="Undetermined", 0, qPCR_Raw!AB185&lt;=6, 0, qPCR_Raw!AB185&gt;6, qPCR_Raw!AB185)</f>
        <v>41.660598754882813</v>
      </c>
      <c r="AQ185" s="157">
        <f>qPCR_Raw!AD185</f>
        <v>30.105449676513672</v>
      </c>
      <c r="AR185" s="156" cm="1">
        <f t="array" ref="AR185">_xlfn.IFS(AQ185="Undetermined", 0, qPCR_Raw!AE185&lt;=6, 0, qPCR_Raw!AE185&gt;6, qPCR_Raw!AE185)</f>
        <v>0</v>
      </c>
      <c r="AS185" s="158" t="str" cm="1">
        <f t="array" ref="AS185">_xlfn.IFS(AND(AO185="Undetermined", AQ185="Undetermined"), "Undetermined", AND(AP185=0, AR185=0), "Undetermined", AND(AP185=0, AR185&gt;0), "Ten-Fold", AND(AP185&gt;0, AR185=0), "Undiluted", AND(AO185&lt;&gt;"Undetermined", AQ185&lt;&gt;"Undetermined", AP185&gt;0, AR185&gt;0, AO185&lt;&gt;AQ185), 100*(-1+10^(-1/(AO185-AQ185))), AND(AO185&lt;&gt;"Undetermined", AQ185&lt;&gt;"Undetermined", AO185=AQ185&gt;0), -100)</f>
        <v>Undiluted</v>
      </c>
      <c r="AT185" s="159" cm="1">
        <f t="array" ref="AT185">_xlfn.IFS(AS185="Undetermined", 0, AS185="Undiluted", AP185*$G185/$F185*1000, AS185="Ten-Fold", AR185*$G185/$F185*1000*10, AS185&lt;0, AR185*$G185/$F185*1000*10, AS185&lt;120, AP185*$G185/$F185*1000, AS185&gt;120, AR185*$G185/$F185*1000*10)</f>
        <v>4628.9554172092021</v>
      </c>
      <c r="AU185" s="156" t="str">
        <f t="shared" si="48"/>
        <v>DELETE</v>
      </c>
      <c r="AV185" s="156" t="str">
        <f t="shared" si="49"/>
        <v>DELETE</v>
      </c>
      <c r="AW185" s="156" t="str">
        <f t="shared" si="50"/>
        <v>DELETE</v>
      </c>
      <c r="AX185" s="160" t="str" cm="1">
        <f t="array" ref="AX185">_xlfn.IFS(AU185="DELETE", "DELETE", AU185=0, 0, AU185&gt;0,LOG10(AU185))</f>
        <v>DELETE</v>
      </c>
      <c r="AY185" s="161" t="str" cm="1">
        <f t="array" ref="AY185">_xlfn.IFS(AU185="DELETE", "DELETE", AU185=0, 0, AU185&gt;0, AW185/AU185/LN(10))</f>
        <v>DELETE</v>
      </c>
      <c r="AZ185" s="120">
        <f>qPCR_Raw!AG185</f>
        <v>24.452770233154297</v>
      </c>
      <c r="BA185" s="121" cm="1">
        <f t="array" ref="BA185">_xlfn.IFS(AZ185="Undetermined", 0, qPCR_Raw!AH185&lt;=1, 0, qPCR_Raw!AH185&gt;1, qPCR_Raw!AH185)</f>
        <v>2247.246826171875</v>
      </c>
      <c r="BB185" s="122">
        <f>qPCR_Raw!AJ185</f>
        <v>28.018842697143555</v>
      </c>
      <c r="BC185" s="121" cm="1">
        <f t="array" ref="BC185">_xlfn.IFS(BB185="Undetermined", 0, qPCR_Raw!AK185&lt;=1, 0, qPCR_Raw!AK185&gt;1, qPCR_Raw!AK185)</f>
        <v>276.048828125</v>
      </c>
      <c r="BD185" s="123" cm="1">
        <f t="array" ref="BD185">_xlfn.IFS(AND(AZ185="Undetermined", BB185="Undetermined"), "Undetermined", AND(BA185=0, BC185=0), "Undetermined", AND(BA185=0, BC185&gt;0), "Ten-Fold", AND(BA185&gt;0, BC185=0), "Undiluted", AND(AZ185&lt;&gt;"Undetermined", BB185&lt;&gt;"Undetermined", BA185&gt;0, BC185&gt;0, AZ185&lt;&gt;BB185), 100*(-1+10^(-1/(AZ185-BB185))), AND(AZ185&lt;&gt;"Undetermined", BB185&lt;&gt;"Undetermined", AZ185=BB185&gt;0), -100)</f>
        <v>90.73067665528302</v>
      </c>
      <c r="BE185" s="124" cm="1">
        <f t="array" ref="BE185">_xlfn.IFS(BD185="Undetermined", 0, BD185="Undiluted", BA185*$G185/$F185*1000, BD185="Ten-Fold", BC185*$G185/$F185*1000*10, BD185&lt;0, BC185*$G185/$F185*1000*10, BD185&lt;120, BA185*$G185/$F185*1000, BD185&gt;120, BC185*$G185/$F185*1000*10)</f>
        <v>249694.091796875</v>
      </c>
      <c r="BF185" s="121" t="str">
        <f t="shared" si="51"/>
        <v>DELETE</v>
      </c>
      <c r="BG185" s="121" t="str">
        <f t="shared" si="52"/>
        <v>DELETE</v>
      </c>
      <c r="BH185" s="121" t="str">
        <f t="shared" si="53"/>
        <v>DELETE</v>
      </c>
      <c r="BI185" s="125" t="str" cm="1">
        <f t="array" ref="BI185">_xlfn.IFS(BF185="DELETE", "DELETE", BF185=0, 0, BF185&gt;0,LOG10(BF185))</f>
        <v>DELETE</v>
      </c>
      <c r="BJ185" s="126" t="str" cm="1">
        <f t="array" ref="BJ185">_xlfn.IFS(BF185="DELETE", "DELETE", BF185=0, 0, BF185&gt;0, BH185/BF185/LN(10))</f>
        <v>DELETE</v>
      </c>
    </row>
    <row r="186" spans="1:62" s="114" customFormat="1" x14ac:dyDescent="0.3">
      <c r="A186" s="115" t="str">
        <f>UPPER(LEFT(SUBSTITUTE(SUBSTITUTE(qPCR_Raw!A186,"-","")," ",""),2))&amp;RIGHT(SUBSTITUTE(SUBSTITUTE(qPCR_Raw!A186,"-","")," ",""),LEN(SUBSTITUTE(SUBSTITUTE(qPCR_Raw!A186,"-","")," ",""))-2)</f>
        <v>STa6</v>
      </c>
      <c r="B186" s="116" t="str" cm="1">
        <f t="array" ref="B186">_xlfn.IFS(LEFT(A186, LEN(A186)-1)="EP", "EP", LEFT(A186, LEN(A186)-1)="STa", "SPI", LEFT(A186, LEN(A186)-1)="STb", "SPO", LEFT(A186, LEN(A186)-1)="MRT", "MRT", LEFT(A186, LEN(A186)-1)="RG", "RN", LEFT(A186, LEN(A186)-1)="RT", "RU", LEFT(A186, LEN(A186)-1)="RW", "RL", LEFT(A186, LEN(A186)-1)="RC", "RS")</f>
        <v>SPI</v>
      </c>
      <c r="C186" s="117">
        <f>qPCR_Raw!B186</f>
        <v>44412</v>
      </c>
      <c r="D186" s="117" t="str">
        <f t="shared" si="37"/>
        <v>SPI44412</v>
      </c>
      <c r="E186" s="117" t="str">
        <f t="shared" si="38"/>
        <v>SPI444126</v>
      </c>
      <c r="F186" s="118">
        <f>qPCR_Raw!C186</f>
        <v>1000</v>
      </c>
      <c r="G186" s="119">
        <f>qPCR_Raw!F186</f>
        <v>100</v>
      </c>
      <c r="H186" s="120">
        <f>qPCR_Raw!G186</f>
        <v>21.251625061035156</v>
      </c>
      <c r="I186" s="121" cm="1">
        <f t="array" ref="I186">_xlfn.IFS(H186="Undetermined", 0, qPCR_Raw!H186-qPCR_Raw!$H$242&lt;0, 0, qPCR_Raw!H186-qPCR_Raw!$H$242&gt;0, qPCR_Raw!H186-qPCR_Raw!$H$242)</f>
        <v>24029.095821126302</v>
      </c>
      <c r="J186" s="122">
        <f>qPCR_Raw!K186</f>
        <v>23.986415863037109</v>
      </c>
      <c r="K186" s="121" cm="1">
        <f t="array" ref="K186">_xlfn.IFS(J186="Undetermined", 0, qPCR_Raw!L186-qPCR_Raw!$H$242&lt;0, 0, qPCR_Raw!L186-qPCR_Raw!$H$242&gt;0, qPCR_Raw!L186-qPCR_Raw!$H$242)</f>
        <v>0</v>
      </c>
      <c r="L186" s="123" t="str" cm="1">
        <f t="array" ref="L186">_xlfn.IFS(AND(H186="Undetermined", J186="Undetermined"), "Undetermined", AND(I186=0, K186=0), "Undetermined", AND(I186=0, K186&gt;0), "Ten-Fold", AND(I186&gt;0, K186=0), "Undiluted", AND(H186&lt;&gt;"Undetermined", J186&lt;&gt;"Undetermined", I186&gt;0, K186&gt;0), 100*(-1+10^(-1/(H186-J186))))</f>
        <v>Undiluted</v>
      </c>
      <c r="M186" s="124" cm="1">
        <f t="array" ref="M186">_xlfn.IFS(L186="Undetermined", 0, L186="Undiluted", I186*$G186/$F186*1000, L186="Ten-Fold", K186*$G186/$F186*1000*10, L186&lt;0, K186*$G186/$F186*1000*10, L186&lt;120, I186*$G186/$F186*1000, L186&gt;120, K186*$G186/$F186*1000*10)</f>
        <v>2402909.5821126304</v>
      </c>
      <c r="N186" s="121">
        <f t="shared" si="39"/>
        <v>57927326.48095873</v>
      </c>
      <c r="O186" s="121">
        <f t="shared" si="40"/>
        <v>78523383.421206027</v>
      </c>
      <c r="P186" s="121">
        <f t="shared" si="41"/>
        <v>55524416.898846097</v>
      </c>
      <c r="Q186" s="125" cm="1">
        <f t="array" ref="Q186">_xlfn.IFS(N186="DELETE", "DELETE", N186=0, 0, N186&gt;0,LOG10(N186))</f>
        <v>7.7628834849747959</v>
      </c>
      <c r="R186" s="126" cm="1">
        <f t="array" ref="R186">_xlfn.IFS(N186="DELETE", "DELETE", N186=0, 0, N186&gt;0, P186/N186/LN(10))</f>
        <v>0.4162793164291988</v>
      </c>
      <c r="S186" s="155">
        <f>qPCR_Raw!O186</f>
        <v>31.858633041381836</v>
      </c>
      <c r="T186" s="156" cm="1">
        <f t="array" ref="T186">_xlfn.IFS(S186="Undetermined", 0, qPCR_Raw!P186&lt;=1, 0, qPCR_Raw!P186&gt;1, qPCR_Raw!P186)</f>
        <v>21.53639030456543</v>
      </c>
      <c r="U186" s="157">
        <f>qPCR_Raw!R186</f>
        <v>36.183986663818359</v>
      </c>
      <c r="V186" s="156" cm="1">
        <f t="array" ref="V186">_xlfn.IFS(U186="Undetermined", 0, qPCR_Raw!S186&lt;=1, 0, qPCR_Raw!S186&gt;1, qPCR_Raw!S186)</f>
        <v>1.0751112699508667</v>
      </c>
      <c r="W186" s="158" cm="1">
        <f t="array" ref="W186">_xlfn.IFS(AND(S186="Undetermined", U186="Undetermined"), "Undetermined", AND(T186=0, V186=0), "Undetermined", AND(T186=0, V186&gt;0), "Ten-Fold", AND(T186&gt;0, V186=0), "Undiluted", AND(S186&lt;&gt;"Undetermined", U186&lt;&gt;"Undetermined", T186&gt;0, V186&gt;0, S186&lt;&gt;U186), 100*(-1+10^(-1/(S186-U186))), AND(S186&lt;&gt;"Undetermined", U186&lt;&gt;"Undetermined", S186=U186&gt;0), -100)</f>
        <v>70.292283761872909</v>
      </c>
      <c r="X186" s="159" cm="1">
        <f t="array" ref="X186">_xlfn.IFS(W186="Undetermined", 0, W186="Undiluted", T186*$G186/$F186*1000, W186="Ten-Fold", V186*$G186/$F186*1000*10, W186&lt;0, V186*$G186/$F186*1000*10, W186&lt;120, T186*$G186/$F186*1000, W186&gt;120, V186*$G186/$F186*1000*10)</f>
        <v>2153.639030456543</v>
      </c>
      <c r="Y186" s="156">
        <f t="shared" si="42"/>
        <v>5782.9686164855957</v>
      </c>
      <c r="Z186" s="156">
        <f t="shared" si="43"/>
        <v>5132.6471228842174</v>
      </c>
      <c r="AA186" s="156">
        <f t="shared" si="44"/>
        <v>3629.3295860290527</v>
      </c>
      <c r="AB186" s="160" cm="1">
        <f t="array" ref="AB186">_xlfn.IFS(Y186="DELETE", "DELETE", Y186=0, 0, Y186&gt;0,LOG10(Y186))</f>
        <v>3.7621508354431223</v>
      </c>
      <c r="AC186" s="161" cm="1">
        <f t="array" ref="AC186">_xlfn.IFS(Y186="DELETE", "DELETE", Y186=0, 0, Y186&gt;0, AA186/Y186/LN(10))</f>
        <v>0.27255859693364748</v>
      </c>
      <c r="AD186" s="120">
        <f>qPCR_Raw!U186</f>
        <v>33.204261779785156</v>
      </c>
      <c r="AE186" s="121" cm="1">
        <f t="array" ref="AE186">_xlfn.IFS(AD186="Undetermined", 0, qPCR_Raw!V186&lt;=1, 0, qPCR_Raw!V186&gt;1, qPCR_Raw!V186)</f>
        <v>5.741696834564209</v>
      </c>
      <c r="AF186" s="122">
        <f>qPCR_Raw!X186</f>
        <v>39.186714172363281</v>
      </c>
      <c r="AG186" s="121" cm="1">
        <f t="array" ref="AG186">_xlfn.IFS(AF186="Undetermined", 0, qPCR_Raw!Y186&lt;=1, 0, qPCR_Raw!Y186&gt;1, qPCR_Raw!Y186)</f>
        <v>0</v>
      </c>
      <c r="AH186" s="123" t="str" cm="1">
        <f t="array" ref="AH186">_xlfn.IFS(AND(AD186="Undetermined", AF186="Undetermined"), "Undetermined", AND(AE186=0, AG186=0), "Undetermined", AND(AE186=0, AG186&gt;0), "Ten-Fold", AND(AE186&gt;0, AG186=0), "Undiluted", AND(AD186&lt;&gt;"Undetermined", AF186&lt;&gt;"Undetermined", AE186&gt;0, AG186&gt;0, AD186&lt;&gt;AF186), 100*(-1+10^(-1/(AD186-AF186))), AND(AD186&lt;&gt;"Undetermined", AF186&lt;&gt;"Undetermined", AD186=AF186&gt;0), -100)</f>
        <v>Undiluted</v>
      </c>
      <c r="AI186" s="124" cm="1">
        <f t="array" ref="AI186">_xlfn.IFS(AH186="Undetermined", 0, AH186="Undiluted", AE186*$G186/$F186*1000, AH186="Ten-Fold", AG186*$G186/$F186*1000*10, AH186&lt;0, AG186*$G186/$F186*1000*10, AH186&lt;120, AE186*$G186/$F186*1000, AH186&gt;120, AG186*$G186/$F186*1000*10)</f>
        <v>574.1696834564209</v>
      </c>
      <c r="AJ186" s="121">
        <f t="shared" si="45"/>
        <v>673.59232803185773</v>
      </c>
      <c r="AK186" s="121">
        <f t="shared" si="46"/>
        <v>140.60485236558324</v>
      </c>
      <c r="AL186" s="121">
        <f t="shared" si="47"/>
        <v>99.422644575437275</v>
      </c>
      <c r="AM186" s="125" cm="1">
        <f t="array" ref="AM186">_xlfn.IFS(AJ186="DELETE", "DELETE", AJ186=0, 0, AJ186&gt;0,LOG10(AJ186))</f>
        <v>2.828397132065815</v>
      </c>
      <c r="AN186" s="126" cm="1">
        <f t="array" ref="AN186">_xlfn.IFS(AJ186="DELETE", "DELETE", AJ186=0, 0, AJ186&gt;0, AL186/AJ186/LN(10))</f>
        <v>6.4102134359966353E-2</v>
      </c>
      <c r="AO186" s="155">
        <f>qPCR_Raw!AA186</f>
        <v>31.345977783203125</v>
      </c>
      <c r="AP186" s="156" cm="1">
        <f t="array" ref="AP186">_xlfn.IFS(AO186="Undetermined", 0, qPCR_Raw!AB186&lt;=6, 0, qPCR_Raw!AB186&gt;6, qPCR_Raw!AB186)</f>
        <v>0</v>
      </c>
      <c r="AQ186" s="157" t="str">
        <f>qPCR_Raw!AD186</f>
        <v>Undetermined</v>
      </c>
      <c r="AR186" s="156" cm="1">
        <f t="array" ref="AR186">_xlfn.IFS(AQ186="Undetermined", 0, qPCR_Raw!AE186&lt;=6, 0, qPCR_Raw!AE186&gt;6, qPCR_Raw!AE186)</f>
        <v>0</v>
      </c>
      <c r="AS186" s="158" t="str" cm="1">
        <f t="array" ref="AS186">_xlfn.IFS(AND(AO186="Undetermined", AQ186="Undetermined"), "Undetermined", AND(AP186=0, AR186=0), "Undetermined", AND(AP186=0, AR186&gt;0), "Ten-Fold", AND(AP186&gt;0, AR186=0), "Undiluted", AND(AO186&lt;&gt;"Undetermined", AQ186&lt;&gt;"Undetermined", AP186&gt;0, AR186&gt;0, AO186&lt;&gt;AQ186), 100*(-1+10^(-1/(AO186-AQ186))), AND(AO186&lt;&gt;"Undetermined", AQ186&lt;&gt;"Undetermined", AO186=AQ186&gt;0), -100)</f>
        <v>Undetermined</v>
      </c>
      <c r="AT186" s="159" cm="1">
        <f t="array" ref="AT186">_xlfn.IFS(AS186="Undetermined", 0, AS186="Undiluted", AP186*$G186/$F186*1000, AS186="Ten-Fold", AR186*$G186/$F186*1000*10, AS186&lt;0, AR186*$G186/$F186*1000*10, AS186&lt;120, AP186*$G186/$F186*1000, AS186&gt;120, AR186*$G186/$F186*1000*10)</f>
        <v>0</v>
      </c>
      <c r="AU186" s="156">
        <f t="shared" si="48"/>
        <v>0</v>
      </c>
      <c r="AV186" s="156">
        <f t="shared" si="49"/>
        <v>0</v>
      </c>
      <c r="AW186" s="156">
        <f t="shared" si="50"/>
        <v>0</v>
      </c>
      <c r="AX186" s="160" cm="1">
        <f t="array" ref="AX186">_xlfn.IFS(AU186="DELETE", "DELETE", AU186=0, 0, AU186&gt;0,LOG10(AU186))</f>
        <v>0</v>
      </c>
      <c r="AY186" s="161" cm="1">
        <f t="array" ref="AY186">_xlfn.IFS(AU186="DELETE", "DELETE", AU186=0, 0, AU186&gt;0, AW186/AU186/LN(10))</f>
        <v>0</v>
      </c>
      <c r="AZ186" s="120" t="str">
        <f>qPCR_Raw!AG186</f>
        <v>Undetermined</v>
      </c>
      <c r="BA186" s="121" cm="1">
        <f t="array" ref="BA186">_xlfn.IFS(AZ186="Undetermined", 0, qPCR_Raw!AH186&lt;=1, 0, qPCR_Raw!AH186&gt;1, qPCR_Raw!AH186)</f>
        <v>0</v>
      </c>
      <c r="BB186" s="122" t="str">
        <f>qPCR_Raw!AJ186</f>
        <v>Undetermined</v>
      </c>
      <c r="BC186" s="121" cm="1">
        <f t="array" ref="BC186">_xlfn.IFS(BB186="Undetermined", 0, qPCR_Raw!AK186&lt;=1, 0, qPCR_Raw!AK186&gt;1, qPCR_Raw!AK186)</f>
        <v>0</v>
      </c>
      <c r="BD186" s="123" t="str" cm="1">
        <f t="array" ref="BD186">_xlfn.IFS(AND(AZ186="Undetermined", BB186="Undetermined"), "Undetermined", AND(BA186=0, BC186=0), "Undetermined", AND(BA186=0, BC186&gt;0), "Ten-Fold", AND(BA186&gt;0, BC186=0), "Undiluted", AND(AZ186&lt;&gt;"Undetermined", BB186&lt;&gt;"Undetermined", BA186&gt;0, BC186&gt;0, AZ186&lt;&gt;BB186), 100*(-1+10^(-1/(AZ186-BB186))), AND(AZ186&lt;&gt;"Undetermined", BB186&lt;&gt;"Undetermined", AZ186=BB186&gt;0), -100)</f>
        <v>Undetermined</v>
      </c>
      <c r="BE186" s="124" cm="1">
        <f t="array" ref="BE186">_xlfn.IFS(BD186="Undetermined", 0, BD186="Undiluted", BA186*$G186/$F186*1000, BD186="Ten-Fold", BC186*$G186/$F186*1000*10, BD186&lt;0, BC186*$G186/$F186*1000*10, BD186&lt;120, BA186*$G186/$F186*1000, BD186&gt;120, BC186*$G186/$F186*1000*10)</f>
        <v>0</v>
      </c>
      <c r="BF186" s="121">
        <f t="shared" si="51"/>
        <v>0</v>
      </c>
      <c r="BG186" s="121">
        <f t="shared" si="52"/>
        <v>0</v>
      </c>
      <c r="BH186" s="121">
        <f t="shared" si="53"/>
        <v>0</v>
      </c>
      <c r="BI186" s="125" cm="1">
        <f t="array" ref="BI186">_xlfn.IFS(BF186="DELETE", "DELETE", BF186=0, 0, BF186&gt;0,LOG10(BF186))</f>
        <v>0</v>
      </c>
      <c r="BJ186" s="126" cm="1">
        <f t="array" ref="BJ186">_xlfn.IFS(BF186="DELETE", "DELETE", BF186=0, 0, BF186&gt;0, BH186/BF186/LN(10))</f>
        <v>0</v>
      </c>
    </row>
    <row r="187" spans="1:62" s="114" customFormat="1" x14ac:dyDescent="0.3">
      <c r="A187" s="115" t="str">
        <f>UPPER(LEFT(SUBSTITUTE(SUBSTITUTE(qPCR_Raw!A187,"-","")," ",""),2))&amp;RIGHT(SUBSTITUTE(SUBSTITUTE(qPCR_Raw!A187,"-","")," ",""),LEN(SUBSTITUTE(SUBSTITUTE(qPCR_Raw!A187,"-","")," ",""))-2)</f>
        <v>STa7</v>
      </c>
      <c r="B187" s="116" t="str" cm="1">
        <f t="array" ref="B187">_xlfn.IFS(LEFT(A187, LEN(A187)-1)="EP", "EP", LEFT(A187, LEN(A187)-1)="STa", "SPI", LEFT(A187, LEN(A187)-1)="STb", "SPO", LEFT(A187, LEN(A187)-1)="MRT", "MRT", LEFT(A187, LEN(A187)-1)="RG", "RN", LEFT(A187, LEN(A187)-1)="RT", "RU", LEFT(A187, LEN(A187)-1)="RW", "RL", LEFT(A187, LEN(A187)-1)="RC", "RS")</f>
        <v>SPI</v>
      </c>
      <c r="C187" s="117">
        <f>qPCR_Raw!B187</f>
        <v>44412</v>
      </c>
      <c r="D187" s="117" t="str">
        <f t="shared" si="37"/>
        <v>SPI44412</v>
      </c>
      <c r="E187" s="117" t="str">
        <f t="shared" si="38"/>
        <v>SPI444127</v>
      </c>
      <c r="F187" s="118">
        <f>qPCR_Raw!C187</f>
        <v>960</v>
      </c>
      <c r="G187" s="119">
        <f>qPCR_Raw!F187</f>
        <v>100</v>
      </c>
      <c r="H187" s="120">
        <f>qPCR_Raw!G187</f>
        <v>16.407098770141602</v>
      </c>
      <c r="I187" s="121" cm="1">
        <f t="array" ref="I187">_xlfn.IFS(H187="Undetermined", 0, qPCR_Raw!H187-qPCR_Raw!$H$242&lt;0, 0, qPCR_Raw!H187-qPCR_Raw!$H$242&gt;0, qPCR_Raw!H187-qPCR_Raw!$H$242)</f>
        <v>1089136.7364461264</v>
      </c>
      <c r="J187" s="122">
        <f>qPCR_Raw!K187</f>
        <v>19.825040817260742</v>
      </c>
      <c r="K187" s="121" cm="1">
        <f t="array" ref="K187">_xlfn.IFS(J187="Undetermined", 0, qPCR_Raw!L187-qPCR_Raw!$H$242&lt;0, 0, qPCR_Raw!L187-qPCR_Raw!$H$242&gt;0, qPCR_Raw!L187-qPCR_Raw!$H$242)</f>
        <v>87562.400508626306</v>
      </c>
      <c r="L187" s="123" cm="1">
        <f t="array" ref="L187">_xlfn.IFS(AND(H187="Undetermined", J187="Undetermined"), "Undetermined", AND(I187=0, K187=0), "Undetermined", AND(I187=0, K187&gt;0), "Ten-Fold", AND(I187&gt;0, K187=0), "Undiluted", AND(H187&lt;&gt;"Undetermined", J187&lt;&gt;"Undetermined", I187&gt;0, K187&gt;0), 100*(-1+10^(-1/(H187-J187))))</f>
        <v>96.143406820791213</v>
      </c>
      <c r="M187" s="124" cm="1">
        <f t="array" ref="M187">_xlfn.IFS(L187="Undetermined", 0, L187="Undiluted", I187*$G187/$F187*1000, L187="Ten-Fold", K187*$G187/$F187*1000*10, L187&lt;0, K187*$G187/$F187*1000*10, L187&lt;120, I187*$G187/$F187*1000, L187&gt;120, K187*$G187/$F187*1000*10)</f>
        <v>113451743.37980483</v>
      </c>
      <c r="N187" s="121" t="str">
        <f t="shared" si="39"/>
        <v>DELETE</v>
      </c>
      <c r="O187" s="121" t="str">
        <f t="shared" si="40"/>
        <v>DELETE</v>
      </c>
      <c r="P187" s="121" t="str">
        <f t="shared" si="41"/>
        <v>DELETE</v>
      </c>
      <c r="Q187" s="125" t="str" cm="1">
        <f t="array" ref="Q187">_xlfn.IFS(N187="DELETE", "DELETE", N187=0, 0, N187&gt;0,LOG10(N187))</f>
        <v>DELETE</v>
      </c>
      <c r="R187" s="126" t="str" cm="1">
        <f t="array" ref="R187">_xlfn.IFS(N187="DELETE", "DELETE", N187=0, 0, N187&gt;0, P187/N187/LN(10))</f>
        <v>DELETE</v>
      </c>
      <c r="S187" s="155">
        <f>qPCR_Raw!O187</f>
        <v>29.789213180541992</v>
      </c>
      <c r="T187" s="156" cm="1">
        <f t="array" ref="T187">_xlfn.IFS(S187="Undetermined", 0, qPCR_Raw!P187&lt;=1, 0, qPCR_Raw!P187&gt;1, qPCR_Raw!P187)</f>
        <v>90.358062744140625</v>
      </c>
      <c r="U187" s="157">
        <f>qPCR_Raw!R187</f>
        <v>36.642097473144531</v>
      </c>
      <c r="V187" s="156" cm="1">
        <f t="array" ref="V187">_xlfn.IFS(U187="Undetermined", 0, qPCR_Raw!S187&lt;=1, 0, qPCR_Raw!S187&gt;1, qPCR_Raw!S187)</f>
        <v>0</v>
      </c>
      <c r="W187" s="158" t="str" cm="1">
        <f t="array" ref="W187">_xlfn.IFS(AND(S187="Undetermined", U187="Undetermined"), "Undetermined", AND(T187=0, V187=0), "Undetermined", AND(T187=0, V187&gt;0), "Ten-Fold", AND(T187&gt;0, V187=0), "Undiluted", AND(S187&lt;&gt;"Undetermined", U187&lt;&gt;"Undetermined", T187&gt;0, V187&gt;0, S187&lt;&gt;U187), 100*(-1+10^(-1/(S187-U187))), AND(S187&lt;&gt;"Undetermined", U187&lt;&gt;"Undetermined", S187=U187&gt;0), -100)</f>
        <v>Undiluted</v>
      </c>
      <c r="X187" s="159" cm="1">
        <f t="array" ref="X187">_xlfn.IFS(W187="Undetermined", 0, W187="Undiluted", T187*$G187/$F187*1000, W187="Ten-Fold", V187*$G187/$F187*1000*10, W187&lt;0, V187*$G187/$F187*1000*10, W187&lt;120, T187*$G187/$F187*1000, W187&gt;120, V187*$G187/$F187*1000*10)</f>
        <v>9412.2982025146484</v>
      </c>
      <c r="Y187" s="156" t="str">
        <f t="shared" si="42"/>
        <v>DELETE</v>
      </c>
      <c r="Z187" s="156" t="str">
        <f t="shared" si="43"/>
        <v>DELETE</v>
      </c>
      <c r="AA187" s="156" t="str">
        <f t="shared" si="44"/>
        <v>DELETE</v>
      </c>
      <c r="AB187" s="160" t="str" cm="1">
        <f t="array" ref="AB187">_xlfn.IFS(Y187="DELETE", "DELETE", Y187=0, 0, Y187&gt;0,LOG10(Y187))</f>
        <v>DELETE</v>
      </c>
      <c r="AC187" s="161" t="str" cm="1">
        <f t="array" ref="AC187">_xlfn.IFS(Y187="DELETE", "DELETE", Y187=0, 0, Y187&gt;0, AA187/Y187/LN(10))</f>
        <v>DELETE</v>
      </c>
      <c r="AD187" s="120">
        <f>qPCR_Raw!U187</f>
        <v>32.806941986083984</v>
      </c>
      <c r="AE187" s="121" cm="1">
        <f t="array" ref="AE187">_xlfn.IFS(AD187="Undetermined", 0, qPCR_Raw!V187&lt;=1, 0, qPCR_Raw!V187&gt;1, qPCR_Raw!V187)</f>
        <v>7.4209437370300293</v>
      </c>
      <c r="AF187" s="122">
        <f>qPCR_Raw!X187</f>
        <v>37.584175109863281</v>
      </c>
      <c r="AG187" s="121" cm="1">
        <f t="array" ref="AG187">_xlfn.IFS(AF187="Undetermined", 0, qPCR_Raw!Y187&lt;=1, 0, qPCR_Raw!Y187&gt;1, qPCR_Raw!Y187)</f>
        <v>0</v>
      </c>
      <c r="AH187" s="123" t="str" cm="1">
        <f t="array" ref="AH187">_xlfn.IFS(AND(AD187="Undetermined", AF187="Undetermined"), "Undetermined", AND(AE187=0, AG187=0), "Undetermined", AND(AE187=0, AG187&gt;0), "Ten-Fold", AND(AE187&gt;0, AG187=0), "Undiluted", AND(AD187&lt;&gt;"Undetermined", AF187&lt;&gt;"Undetermined", AE187&gt;0, AG187&gt;0, AD187&lt;&gt;AF187), 100*(-1+10^(-1/(AD187-AF187))), AND(AD187&lt;&gt;"Undetermined", AF187&lt;&gt;"Undetermined", AD187=AF187&gt;0), -100)</f>
        <v>Undiluted</v>
      </c>
      <c r="AI187" s="124" cm="1">
        <f t="array" ref="AI187">_xlfn.IFS(AH187="Undetermined", 0, AH187="Undiluted", AE187*$G187/$F187*1000, AH187="Ten-Fold", AG187*$G187/$F187*1000*10, AH187&lt;0, AG187*$G187/$F187*1000*10, AH187&lt;120, AE187*$G187/$F187*1000, AH187&gt;120, AG187*$G187/$F187*1000*10)</f>
        <v>773.01497260729468</v>
      </c>
      <c r="AJ187" s="121" t="str">
        <f t="shared" si="45"/>
        <v>DELETE</v>
      </c>
      <c r="AK187" s="121" t="str">
        <f t="shared" si="46"/>
        <v>DELETE</v>
      </c>
      <c r="AL187" s="121" t="str">
        <f t="shared" si="47"/>
        <v>DELETE</v>
      </c>
      <c r="AM187" s="125" t="str" cm="1">
        <f t="array" ref="AM187">_xlfn.IFS(AJ187="DELETE", "DELETE", AJ187=0, 0, AJ187&gt;0,LOG10(AJ187))</f>
        <v>DELETE</v>
      </c>
      <c r="AN187" s="126" t="str" cm="1">
        <f t="array" ref="AN187">_xlfn.IFS(AJ187="DELETE", "DELETE", AJ187=0, 0, AJ187&gt;0, AL187/AJ187/LN(10))</f>
        <v>DELETE</v>
      </c>
      <c r="AO187" s="155">
        <f>qPCR_Raw!AA187</f>
        <v>30.51911735534668</v>
      </c>
      <c r="AP187" s="156" cm="1">
        <f t="array" ref="AP187">_xlfn.IFS(AO187="Undetermined", 0, qPCR_Raw!AB187&lt;=6, 0, qPCR_Raw!AB187&gt;6, qPCR_Raw!AB187)</f>
        <v>0</v>
      </c>
      <c r="AQ187" s="157">
        <f>qPCR_Raw!AD187</f>
        <v>32.136444091796875</v>
      </c>
      <c r="AR187" s="156" cm="1">
        <f t="array" ref="AR187">_xlfn.IFS(AQ187="Undetermined", 0, qPCR_Raw!AE187&lt;=6, 0, qPCR_Raw!AE187&gt;6, qPCR_Raw!AE187)</f>
        <v>0</v>
      </c>
      <c r="AS187" s="158" t="str" cm="1">
        <f t="array" ref="AS187">_xlfn.IFS(AND(AO187="Undetermined", AQ187="Undetermined"), "Undetermined", AND(AP187=0, AR187=0), "Undetermined", AND(AP187=0, AR187&gt;0), "Ten-Fold", AND(AP187&gt;0, AR187=0), "Undiluted", AND(AO187&lt;&gt;"Undetermined", AQ187&lt;&gt;"Undetermined", AP187&gt;0, AR187&gt;0, AO187&lt;&gt;AQ187), 100*(-1+10^(-1/(AO187-AQ187))), AND(AO187&lt;&gt;"Undetermined", AQ187&lt;&gt;"Undetermined", AO187=AQ187&gt;0), -100)</f>
        <v>Undetermined</v>
      </c>
      <c r="AT187" s="159" cm="1">
        <f t="array" ref="AT187">_xlfn.IFS(AS187="Undetermined", 0, AS187="Undiluted", AP187*$G187/$F187*1000, AS187="Ten-Fold", AR187*$G187/$F187*1000*10, AS187&lt;0, AR187*$G187/$F187*1000*10, AS187&lt;120, AP187*$G187/$F187*1000, AS187&gt;120, AR187*$G187/$F187*1000*10)</f>
        <v>0</v>
      </c>
      <c r="AU187" s="156" t="str">
        <f t="shared" si="48"/>
        <v>DELETE</v>
      </c>
      <c r="AV187" s="156" t="str">
        <f t="shared" si="49"/>
        <v>DELETE</v>
      </c>
      <c r="AW187" s="156" t="str">
        <f t="shared" si="50"/>
        <v>DELETE</v>
      </c>
      <c r="AX187" s="160" t="str" cm="1">
        <f t="array" ref="AX187">_xlfn.IFS(AU187="DELETE", "DELETE", AU187=0, 0, AU187&gt;0,LOG10(AU187))</f>
        <v>DELETE</v>
      </c>
      <c r="AY187" s="161" t="str" cm="1">
        <f t="array" ref="AY187">_xlfn.IFS(AU187="DELETE", "DELETE", AU187=0, 0, AU187&gt;0, AW187/AU187/LN(10))</f>
        <v>DELETE</v>
      </c>
      <c r="AZ187" s="120" t="str">
        <f>qPCR_Raw!AG187</f>
        <v>Undetermined</v>
      </c>
      <c r="BA187" s="121" cm="1">
        <f t="array" ref="BA187">_xlfn.IFS(AZ187="Undetermined", 0, qPCR_Raw!AH187&lt;=1, 0, qPCR_Raw!AH187&gt;1, qPCR_Raw!AH187)</f>
        <v>0</v>
      </c>
      <c r="BB187" s="122">
        <f>qPCR_Raw!AJ187</f>
        <v>39.022430419921875</v>
      </c>
      <c r="BC187" s="121" cm="1">
        <f t="array" ref="BC187">_xlfn.IFS(BB187="Undetermined", 0, qPCR_Raw!AK187&lt;=1, 0, qPCR_Raw!AK187&gt;1, qPCR_Raw!AK187)</f>
        <v>0</v>
      </c>
      <c r="BD187" s="123" t="str" cm="1">
        <f t="array" ref="BD187">_xlfn.IFS(AND(AZ187="Undetermined", BB187="Undetermined"), "Undetermined", AND(BA187=0, BC187=0), "Undetermined", AND(BA187=0, BC187&gt;0), "Ten-Fold", AND(BA187&gt;0, BC187=0), "Undiluted", AND(AZ187&lt;&gt;"Undetermined", BB187&lt;&gt;"Undetermined", BA187&gt;0, BC187&gt;0, AZ187&lt;&gt;BB187), 100*(-1+10^(-1/(AZ187-BB187))), AND(AZ187&lt;&gt;"Undetermined", BB187&lt;&gt;"Undetermined", AZ187=BB187&gt;0), -100)</f>
        <v>Undetermined</v>
      </c>
      <c r="BE187" s="124" cm="1">
        <f t="array" ref="BE187">_xlfn.IFS(BD187="Undetermined", 0, BD187="Undiluted", BA187*$G187/$F187*1000, BD187="Ten-Fold", BC187*$G187/$F187*1000*10, BD187&lt;0, BC187*$G187/$F187*1000*10, BD187&lt;120, BA187*$G187/$F187*1000, BD187&gt;120, BC187*$G187/$F187*1000*10)</f>
        <v>0</v>
      </c>
      <c r="BF187" s="121" t="str">
        <f t="shared" si="51"/>
        <v>DELETE</v>
      </c>
      <c r="BG187" s="121" t="str">
        <f t="shared" si="52"/>
        <v>DELETE</v>
      </c>
      <c r="BH187" s="121" t="str">
        <f t="shared" si="53"/>
        <v>DELETE</v>
      </c>
      <c r="BI187" s="125" t="str" cm="1">
        <f t="array" ref="BI187">_xlfn.IFS(BF187="DELETE", "DELETE", BF187=0, 0, BF187&gt;0,LOG10(BF187))</f>
        <v>DELETE</v>
      </c>
      <c r="BJ187" s="126" t="str" cm="1">
        <f t="array" ref="BJ187">_xlfn.IFS(BF187="DELETE", "DELETE", BF187=0, 0, BF187&gt;0, BH187/BF187/LN(10))</f>
        <v>DELETE</v>
      </c>
    </row>
    <row r="188" spans="1:62" s="114" customFormat="1" x14ac:dyDescent="0.3">
      <c r="A188" s="115" t="str">
        <f>UPPER(LEFT(SUBSTITUTE(SUBSTITUTE(qPCR_Raw!A188,"-","")," ",""),2))&amp;RIGHT(SUBSTITUTE(SUBSTITUTE(qPCR_Raw!A188,"-","")," ",""),LEN(SUBSTITUTE(SUBSTITUTE(qPCR_Raw!A188,"-","")," ",""))-2)</f>
        <v>EP6</v>
      </c>
      <c r="B188" s="116" t="str" cm="1">
        <f t="array" ref="B188">_xlfn.IFS(LEFT(A188, LEN(A188)-1)="EP", "EP", LEFT(A188, LEN(A188)-1)="STa", "SPI", LEFT(A188, LEN(A188)-1)="STb", "SPO", LEFT(A188, LEN(A188)-1)="MRT", "MRT", LEFT(A188, LEN(A188)-1)="RG", "RN", LEFT(A188, LEN(A188)-1)="RT", "RU", LEFT(A188, LEN(A188)-1)="RW", "RL", LEFT(A188, LEN(A188)-1)="RC", "RS")</f>
        <v>EP</v>
      </c>
      <c r="C188" s="117">
        <f>qPCR_Raw!B188</f>
        <v>44419</v>
      </c>
      <c r="D188" s="117" t="str">
        <f t="shared" si="37"/>
        <v>EP44419</v>
      </c>
      <c r="E188" s="117" t="str">
        <f t="shared" si="38"/>
        <v>EP444196</v>
      </c>
      <c r="F188" s="118">
        <f>qPCR_Raw!C188</f>
        <v>940</v>
      </c>
      <c r="G188" s="119">
        <f>qPCR_Raw!F188</f>
        <v>100</v>
      </c>
      <c r="H188" s="120">
        <f>qPCR_Raw!G188</f>
        <v>19.156782150268555</v>
      </c>
      <c r="I188" s="121" cm="1">
        <f t="array" ref="I188">_xlfn.IFS(H188="Undetermined", 0, qPCR_Raw!H188-qPCR_Raw!$H$242&lt;0, 0, qPCR_Raw!H188-qPCR_Raw!$H$242&gt;0, qPCR_Raw!H188-qPCR_Raw!$H$242)</f>
        <v>147589.54894612631</v>
      </c>
      <c r="J188" s="122">
        <f>qPCR_Raw!K188</f>
        <v>22.508766174316406</v>
      </c>
      <c r="K188" s="121" cm="1">
        <f t="array" ref="K188">_xlfn.IFS(J188="Undetermined", 0, qPCR_Raw!L188-qPCR_Raw!$H$242&lt;0, 0, qPCR_Raw!L188-qPCR_Raw!$H$242&gt;0, qPCR_Raw!L188-qPCR_Raw!$H$242)</f>
        <v>2358.9141805013023</v>
      </c>
      <c r="L188" s="123" cm="1">
        <f t="array" ref="L188">_xlfn.IFS(AND(H188="Undetermined", J188="Undetermined"), "Undetermined", AND(I188=0, K188=0), "Undetermined", AND(I188=0, K188&gt;0), "Ten-Fold", AND(I188&gt;0, K188=0), "Undiluted", AND(H188&lt;&gt;"Undetermined", J188&lt;&gt;"Undetermined", I188&gt;0, K188&gt;0), 100*(-1+10^(-1/(H188-J188))))</f>
        <v>98.760818945431382</v>
      </c>
      <c r="M188" s="124" cm="1">
        <f t="array" ref="M188">_xlfn.IFS(L188="Undetermined", 0, L188="Undiluted", I188*$G188/$F188*1000, L188="Ten-Fold", K188*$G188/$F188*1000*10, L188&lt;0, K188*$G188/$F188*1000*10, L188&lt;120, I188*$G188/$F188*1000, L188&gt;120, K188*$G188/$F188*1000*10)</f>
        <v>15701015.845332585</v>
      </c>
      <c r="N188" s="121">
        <f t="shared" si="39"/>
        <v>29980105.893515047</v>
      </c>
      <c r="O188" s="121">
        <f t="shared" si="40"/>
        <v>20193682.804486334</v>
      </c>
      <c r="P188" s="121">
        <f t="shared" si="41"/>
        <v>14279090.048182465</v>
      </c>
      <c r="Q188" s="125" cm="1">
        <f t="array" ref="Q188">_xlfn.IFS(N188="DELETE", "DELETE", N188=0, 0, N188&gt;0,LOG10(N188))</f>
        <v>7.4768331624978526</v>
      </c>
      <c r="R188" s="126" cm="1">
        <f t="array" ref="R188">_xlfn.IFS(N188="DELETE", "DELETE", N188=0, 0, N188&gt;0, P188/N188/LN(10))</f>
        <v>0.20684816913427523</v>
      </c>
      <c r="S188" s="155">
        <f>qPCR_Raw!O188</f>
        <v>32.512104034423828</v>
      </c>
      <c r="T188" s="156" cm="1">
        <f t="array" ref="T188">_xlfn.IFS(S188="Undetermined", 0, qPCR_Raw!P188&lt;=1, 0, qPCR_Raw!P188&gt;1, qPCR_Raw!P188)</f>
        <v>13.693364143371582</v>
      </c>
      <c r="U188" s="157">
        <f>qPCR_Raw!R188</f>
        <v>36.292255401611328</v>
      </c>
      <c r="V188" s="156" cm="1">
        <f t="array" ref="V188">_xlfn.IFS(U188="Undetermined", 0, qPCR_Raw!S188&lt;=1, 0, qPCR_Raw!S188&gt;1, qPCR_Raw!S188)</f>
        <v>0</v>
      </c>
      <c r="W188" s="158" t="str" cm="1">
        <f t="array" ref="W188">_xlfn.IFS(AND(S188="Undetermined", U188="Undetermined"), "Undetermined", AND(T188=0, V188=0), "Undetermined", AND(T188=0, V188&gt;0), "Ten-Fold", AND(T188&gt;0, V188=0), "Undiluted", AND(S188&lt;&gt;"Undetermined", U188&lt;&gt;"Undetermined", T188&gt;0, V188&gt;0, S188&lt;&gt;U188), 100*(-1+10^(-1/(S188-U188))), AND(S188&lt;&gt;"Undetermined", U188&lt;&gt;"Undetermined", S188=U188&gt;0), -100)</f>
        <v>Undiluted</v>
      </c>
      <c r="X188" s="159" cm="1">
        <f t="array" ref="X188">_xlfn.IFS(W188="Undetermined", 0, W188="Undiluted", T188*$G188/$F188*1000, W188="Ten-Fold", V188*$G188/$F188*1000*10, W188&lt;0, V188*$G188/$F188*1000*10, W188&lt;120, T188*$G188/$F188*1000, W188&gt;120, V188*$G188/$F188*1000*10)</f>
        <v>1456.7408663161257</v>
      </c>
      <c r="Y188" s="156">
        <f t="shared" si="42"/>
        <v>2072.9144925099336</v>
      </c>
      <c r="Z188" s="156">
        <f t="shared" si="43"/>
        <v>871.40109893989347</v>
      </c>
      <c r="AA188" s="156">
        <f t="shared" si="44"/>
        <v>616.17362619380822</v>
      </c>
      <c r="AB188" s="160" cm="1">
        <f t="array" ref="AB188">_xlfn.IFS(Y188="DELETE", "DELETE", Y188=0, 0, Y188&gt;0,LOG10(Y188))</f>
        <v>3.3165813878647228</v>
      </c>
      <c r="AC188" s="161" cm="1">
        <f t="array" ref="AC188">_xlfn.IFS(Y188="DELETE", "DELETE", Y188=0, 0, Y188&gt;0, AA188/Y188/LN(10))</f>
        <v>0.12909399143920816</v>
      </c>
      <c r="AD188" s="120">
        <f>qPCR_Raw!U188</f>
        <v>32.398563385009766</v>
      </c>
      <c r="AE188" s="121" cm="1">
        <f t="array" ref="AE188">_xlfn.IFS(AD188="Undetermined", 0, qPCR_Raw!V188&lt;=1, 0, qPCR_Raw!V188&gt;1, qPCR_Raw!V188)</f>
        <v>9.6600465774536133</v>
      </c>
      <c r="AF188" s="122">
        <f>qPCR_Raw!X188</f>
        <v>34.338115692138672</v>
      </c>
      <c r="AG188" s="121" cm="1">
        <f t="array" ref="AG188">_xlfn.IFS(AF188="Undetermined", 0, qPCR_Raw!Y188&lt;=1, 0, qPCR_Raw!Y188&gt;1, qPCR_Raw!Y188)</f>
        <v>2.7610726356506348</v>
      </c>
      <c r="AH188" s="123" cm="1">
        <f t="array" ref="AH188">_xlfn.IFS(AND(AD188="Undetermined", AF188="Undetermined"), "Undetermined", AND(AE188=0, AG188=0), "Undetermined", AND(AE188=0, AG188&gt;0), "Ten-Fold", AND(AE188&gt;0, AG188=0), "Undiluted", AND(AD188&lt;&gt;"Undetermined", AF188&lt;&gt;"Undetermined", AE188&gt;0, AG188&gt;0, AD188&lt;&gt;AF188), 100*(-1+10^(-1/(AD188-AF188))), AND(AD188&lt;&gt;"Undetermined", AF188&lt;&gt;"Undetermined", AD188=AF188&gt;0), -100)</f>
        <v>227.7803377062649</v>
      </c>
      <c r="AI188" s="124" cm="1">
        <f t="array" ref="AI188">_xlfn.IFS(AH188="Undetermined", 0, AH188="Undiluted", AE188*$G188/$F188*1000, AH188="Ten-Fold", AG188*$G188/$F188*1000*10, AH188&lt;0, AG188*$G188/$F188*1000*10, AH188&lt;120, AE188*$G188/$F188*1000, AH188&gt;120, AG188*$G188/$F188*1000*10)</f>
        <v>2937.3113145219522</v>
      </c>
      <c r="AJ188" s="121">
        <f t="shared" si="45"/>
        <v>2975.4120131489412</v>
      </c>
      <c r="AK188" s="121">
        <f t="shared" si="46"/>
        <v>53.882524734177821</v>
      </c>
      <c r="AL188" s="121">
        <f t="shared" si="47"/>
        <v>38.100698626989008</v>
      </c>
      <c r="AM188" s="125" cm="1">
        <f t="array" ref="AM188">_xlfn.IFS(AJ188="DELETE", "DELETE", AJ188=0, 0, AJ188&gt;0,LOG10(AJ188))</f>
        <v>3.473547112131016</v>
      </c>
      <c r="AN188" s="126" cm="1">
        <f t="array" ref="AN188">_xlfn.IFS(AJ188="DELETE", "DELETE", AJ188=0, 0, AJ188&gt;0, AL188/AJ188/LN(10))</f>
        <v>5.5612207980729935E-3</v>
      </c>
      <c r="AO188" s="155">
        <f>qPCR_Raw!AA188</f>
        <v>30.087734222412109</v>
      </c>
      <c r="AP188" s="156" cm="1">
        <f t="array" ref="AP188">_xlfn.IFS(AO188="Undetermined", 0, qPCR_Raw!AB188&lt;=6, 0, qPCR_Raw!AB188&gt;6, qPCR_Raw!AB188)</f>
        <v>0</v>
      </c>
      <c r="AQ188" s="157" t="str">
        <f>qPCR_Raw!AD188</f>
        <v>Undetermined</v>
      </c>
      <c r="AR188" s="156" cm="1">
        <f t="array" ref="AR188">_xlfn.IFS(AQ188="Undetermined", 0, qPCR_Raw!AE188&lt;=6, 0, qPCR_Raw!AE188&gt;6, qPCR_Raw!AE188)</f>
        <v>0</v>
      </c>
      <c r="AS188" s="158" t="str" cm="1">
        <f t="array" ref="AS188">_xlfn.IFS(AND(AO188="Undetermined", AQ188="Undetermined"), "Undetermined", AND(AP188=0, AR188=0), "Undetermined", AND(AP188=0, AR188&gt;0), "Ten-Fold", AND(AP188&gt;0, AR188=0), "Undiluted", AND(AO188&lt;&gt;"Undetermined", AQ188&lt;&gt;"Undetermined", AP188&gt;0, AR188&gt;0, AO188&lt;&gt;AQ188), 100*(-1+10^(-1/(AO188-AQ188))), AND(AO188&lt;&gt;"Undetermined", AQ188&lt;&gt;"Undetermined", AO188=AQ188&gt;0), -100)</f>
        <v>Undetermined</v>
      </c>
      <c r="AT188" s="159" cm="1">
        <f t="array" ref="AT188">_xlfn.IFS(AS188="Undetermined", 0, AS188="Undiluted", AP188*$G188/$F188*1000, AS188="Ten-Fold", AR188*$G188/$F188*1000*10, AS188&lt;0, AR188*$G188/$F188*1000*10, AS188&lt;120, AP188*$G188/$F188*1000, AS188&gt;120, AR188*$G188/$F188*1000*10)</f>
        <v>0</v>
      </c>
      <c r="AU188" s="156">
        <f t="shared" si="48"/>
        <v>0</v>
      </c>
      <c r="AV188" s="156">
        <f t="shared" si="49"/>
        <v>0</v>
      </c>
      <c r="AW188" s="156">
        <f t="shared" si="50"/>
        <v>0</v>
      </c>
      <c r="AX188" s="160" cm="1">
        <f t="array" ref="AX188">_xlfn.IFS(AU188="DELETE", "DELETE", AU188=0, 0, AU188&gt;0,LOG10(AU188))</f>
        <v>0</v>
      </c>
      <c r="AY188" s="161" cm="1">
        <f t="array" ref="AY188">_xlfn.IFS(AU188="DELETE", "DELETE", AU188=0, 0, AU188&gt;0, AW188/AU188/LN(10))</f>
        <v>0</v>
      </c>
      <c r="AZ188" s="120">
        <f>qPCR_Raw!AG188</f>
        <v>39.613780975341797</v>
      </c>
      <c r="BA188" s="121" cm="1">
        <f t="array" ref="BA188">_xlfn.IFS(AZ188="Undetermined", 0, qPCR_Raw!AH188&lt;=1, 0, qPCR_Raw!AH188&gt;1, qPCR_Raw!AH188)</f>
        <v>0</v>
      </c>
      <c r="BB188" s="122" t="str">
        <f>qPCR_Raw!AJ188</f>
        <v>Undetermined</v>
      </c>
      <c r="BC188" s="121" cm="1">
        <f t="array" ref="BC188">_xlfn.IFS(BB188="Undetermined", 0, qPCR_Raw!AK188&lt;=1, 0, qPCR_Raw!AK188&gt;1, qPCR_Raw!AK188)</f>
        <v>0</v>
      </c>
      <c r="BD188" s="123" t="str" cm="1">
        <f t="array" ref="BD188">_xlfn.IFS(AND(AZ188="Undetermined", BB188="Undetermined"), "Undetermined", AND(BA188=0, BC188=0), "Undetermined", AND(BA188=0, BC188&gt;0), "Ten-Fold", AND(BA188&gt;0, BC188=0), "Undiluted", AND(AZ188&lt;&gt;"Undetermined", BB188&lt;&gt;"Undetermined", BA188&gt;0, BC188&gt;0, AZ188&lt;&gt;BB188), 100*(-1+10^(-1/(AZ188-BB188))), AND(AZ188&lt;&gt;"Undetermined", BB188&lt;&gt;"Undetermined", AZ188=BB188&gt;0), -100)</f>
        <v>Undetermined</v>
      </c>
      <c r="BE188" s="124" cm="1">
        <f t="array" ref="BE188">_xlfn.IFS(BD188="Undetermined", 0, BD188="Undiluted", BA188*$G188/$F188*1000, BD188="Ten-Fold", BC188*$G188/$F188*1000*10, BD188&lt;0, BC188*$G188/$F188*1000*10, BD188&lt;120, BA188*$G188/$F188*1000, BD188&gt;120, BC188*$G188/$F188*1000*10)</f>
        <v>0</v>
      </c>
      <c r="BF188" s="121">
        <f t="shared" si="51"/>
        <v>64.278841018676758</v>
      </c>
      <c r="BG188" s="121">
        <f t="shared" si="52"/>
        <v>90.904008742236684</v>
      </c>
      <c r="BH188" s="121">
        <f t="shared" si="53"/>
        <v>64.278841018676758</v>
      </c>
      <c r="BI188" s="125" cm="1">
        <f t="array" ref="BI188">_xlfn.IFS(BF188="DELETE", "DELETE", BF188=0, 0, BF188&gt;0,LOG10(BF188))</f>
        <v>1.8080680376038922</v>
      </c>
      <c r="BJ188" s="126" cm="1">
        <f t="array" ref="BJ188">_xlfn.IFS(BF188="DELETE", "DELETE", BF188=0, 0, BF188&gt;0, BH188/BF188/LN(10))</f>
        <v>0.43429448190325176</v>
      </c>
    </row>
    <row r="189" spans="1:62" s="114" customFormat="1" x14ac:dyDescent="0.3">
      <c r="A189" s="115" t="str">
        <f>UPPER(LEFT(SUBSTITUTE(SUBSTITUTE(qPCR_Raw!A189,"-","")," ",""),2))&amp;RIGHT(SUBSTITUTE(SUBSTITUTE(qPCR_Raw!A189,"-","")," ",""),LEN(SUBSTITUTE(SUBSTITUTE(qPCR_Raw!A189,"-","")," ",""))-2)</f>
        <v>EP7</v>
      </c>
      <c r="B189" s="116" t="str" cm="1">
        <f t="array" ref="B189">_xlfn.IFS(LEFT(A189, LEN(A189)-1)="EP", "EP", LEFT(A189, LEN(A189)-1)="STa", "SPI", LEFT(A189, LEN(A189)-1)="STb", "SPO", LEFT(A189, LEN(A189)-1)="MRT", "MRT", LEFT(A189, LEN(A189)-1)="RG", "RN", LEFT(A189, LEN(A189)-1)="RT", "RU", LEFT(A189, LEN(A189)-1)="RW", "RL", LEFT(A189, LEN(A189)-1)="RC", "RS")</f>
        <v>EP</v>
      </c>
      <c r="C189" s="117">
        <f>qPCR_Raw!B189</f>
        <v>44419</v>
      </c>
      <c r="D189" s="117" t="str">
        <f t="shared" si="37"/>
        <v>EP44419</v>
      </c>
      <c r="E189" s="117" t="str">
        <f t="shared" si="38"/>
        <v>EP444197</v>
      </c>
      <c r="F189" s="118">
        <f>qPCR_Raw!C189</f>
        <v>950</v>
      </c>
      <c r="G189" s="119">
        <f>qPCR_Raw!F189</f>
        <v>100</v>
      </c>
      <c r="H189" s="120">
        <f>qPCR_Raw!G189</f>
        <v>17.739261627197266</v>
      </c>
      <c r="I189" s="121" cm="1">
        <f t="array" ref="I189">_xlfn.IFS(H189="Undetermined", 0, qPCR_Raw!H189-qPCR_Raw!$H$242&lt;0, 0, qPCR_Raw!H189-qPCR_Raw!$H$242&gt;0, qPCR_Raw!H189-qPCR_Raw!$H$242)</f>
        <v>420462.36144612631</v>
      </c>
      <c r="J189" s="122">
        <f>qPCR_Raw!K189</f>
        <v>21.156517028808594</v>
      </c>
      <c r="K189" s="121" cm="1">
        <f t="array" ref="K189">_xlfn.IFS(J189="Undetermined", 0, qPCR_Raw!L189-qPCR_Raw!$H$242&lt;0, 0, qPCR_Raw!L189-qPCR_Raw!$H$242&gt;0, qPCR_Raw!L189-qPCR_Raw!$H$242)</f>
        <v>26579.060664876302</v>
      </c>
      <c r="L189" s="123" cm="1">
        <f t="array" ref="L189">_xlfn.IFS(AND(H189="Undetermined", J189="Undetermined"), "Undetermined", AND(I189=0, K189=0), "Undetermined", AND(I189=0, K189&gt;0), "Ten-Fold", AND(I189&gt;0, K189=0), "Undiluted", AND(H189&lt;&gt;"Undetermined", J189&lt;&gt;"Undetermined", I189&gt;0, K189&gt;0), 100*(-1+10^(-1/(H189-J189))))</f>
        <v>96.169959554935147</v>
      </c>
      <c r="M189" s="124" cm="1">
        <f t="array" ref="M189">_xlfn.IFS(L189="Undetermined", 0, L189="Undiluted", I189*$G189/$F189*1000, L189="Ten-Fold", K189*$G189/$F189*1000*10, L189&lt;0, K189*$G189/$F189*1000*10, L189&lt;120, I189*$G189/$F189*1000, L189&gt;120, K189*$G189/$F189*1000*10)</f>
        <v>44259195.941697508</v>
      </c>
      <c r="N189" s="121" t="str">
        <f t="shared" si="39"/>
        <v>DELETE</v>
      </c>
      <c r="O189" s="121" t="str">
        <f t="shared" si="40"/>
        <v>DELETE</v>
      </c>
      <c r="P189" s="121" t="str">
        <f t="shared" si="41"/>
        <v>DELETE</v>
      </c>
      <c r="Q189" s="125" t="str" cm="1">
        <f t="array" ref="Q189">_xlfn.IFS(N189="DELETE", "DELETE", N189=0, 0, N189&gt;0,LOG10(N189))</f>
        <v>DELETE</v>
      </c>
      <c r="R189" s="126" t="str" cm="1">
        <f t="array" ref="R189">_xlfn.IFS(N189="DELETE", "DELETE", N189=0, 0, N189&gt;0, P189/N189/LN(10))</f>
        <v>DELETE</v>
      </c>
      <c r="S189" s="155">
        <f>qPCR_Raw!O189</f>
        <v>31.612228393554688</v>
      </c>
      <c r="T189" s="156" cm="1">
        <f t="array" ref="T189">_xlfn.IFS(S189="Undetermined", 0, qPCR_Raw!P189&lt;=1, 0, qPCR_Raw!P189&gt;1, qPCR_Raw!P189)</f>
        <v>25.546337127685547</v>
      </c>
      <c r="U189" s="157">
        <f>qPCR_Raw!R189</f>
        <v>35.840137481689453</v>
      </c>
      <c r="V189" s="156" cm="1">
        <f t="array" ref="V189">_xlfn.IFS(U189="Undetermined", 0, qPCR_Raw!S189&lt;=1, 0, qPCR_Raw!S189&gt;1, qPCR_Raw!S189)</f>
        <v>1.3643794059753418</v>
      </c>
      <c r="W189" s="158" cm="1">
        <f t="array" ref="W189">_xlfn.IFS(AND(S189="Undetermined", U189="Undetermined"), "Undetermined", AND(T189=0, V189=0), "Undetermined", AND(T189=0, V189&gt;0), "Ten-Fold", AND(T189&gt;0, V189=0), "Undiluted", AND(S189&lt;&gt;"Undetermined", U189&lt;&gt;"Undetermined", T189&gt;0, V189&gt;0, S189&lt;&gt;U189), 100*(-1+10^(-1/(S189-U189))), AND(S189&lt;&gt;"Undetermined", U189&lt;&gt;"Undetermined", S189=U189&gt;0), -100)</f>
        <v>72.394550842361951</v>
      </c>
      <c r="X189" s="159" cm="1">
        <f t="array" ref="X189">_xlfn.IFS(W189="Undetermined", 0, W189="Undiluted", T189*$G189/$F189*1000, W189="Ten-Fold", V189*$G189/$F189*1000*10, W189&lt;0, V189*$G189/$F189*1000*10, W189&lt;120, T189*$G189/$F189*1000, W189&gt;120, V189*$G189/$F189*1000*10)</f>
        <v>2689.0881187037417</v>
      </c>
      <c r="Y189" s="156" t="str">
        <f t="shared" si="42"/>
        <v>DELETE</v>
      </c>
      <c r="Z189" s="156" t="str">
        <f t="shared" si="43"/>
        <v>DELETE</v>
      </c>
      <c r="AA189" s="156" t="str">
        <f t="shared" si="44"/>
        <v>DELETE</v>
      </c>
      <c r="AB189" s="160" t="str" cm="1">
        <f t="array" ref="AB189">_xlfn.IFS(Y189="DELETE", "DELETE", Y189=0, 0, Y189&gt;0,LOG10(Y189))</f>
        <v>DELETE</v>
      </c>
      <c r="AC189" s="161" t="str" cm="1">
        <f t="array" ref="AC189">_xlfn.IFS(Y189="DELETE", "DELETE", Y189=0, 0, Y189&gt;0, AA189/Y189/LN(10))</f>
        <v>DELETE</v>
      </c>
      <c r="AD189" s="120">
        <f>qPCR_Raw!U189</f>
        <v>31.790031433105469</v>
      </c>
      <c r="AE189" s="121" cm="1">
        <f t="array" ref="AE189">_xlfn.IFS(AD189="Undetermined", 0, qPCR_Raw!V189&lt;=1, 0, qPCR_Raw!V189&gt;1, qPCR_Raw!V189)</f>
        <v>14.309601783752441</v>
      </c>
      <c r="AF189" s="122">
        <f>qPCR_Raw!X189</f>
        <v>34.282062530517578</v>
      </c>
      <c r="AG189" s="121" cm="1">
        <f t="array" ref="AG189">_xlfn.IFS(AF189="Undetermined", 0, qPCR_Raw!Y189&lt;=1, 0, qPCR_Raw!Y189&gt;1, qPCR_Raw!Y189)</f>
        <v>2.8628370761871338</v>
      </c>
      <c r="AH189" s="123" cm="1">
        <f t="array" ref="AH189">_xlfn.IFS(AND(AD189="Undetermined", AF189="Undetermined"), "Undetermined", AND(AE189=0, AG189=0), "Undetermined", AND(AE189=0, AG189&gt;0), "Ten-Fold", AND(AE189&gt;0, AG189=0), "Undiluted", AND(AD189&lt;&gt;"Undetermined", AF189&lt;&gt;"Undetermined", AE189&gt;0, AG189&gt;0, AD189&lt;&gt;AF189), 100*(-1+10^(-1/(AD189-AF189))), AND(AD189&lt;&gt;"Undetermined", AF189&lt;&gt;"Undetermined", AD189=AF189&gt;0), -100)</f>
        <v>151.9295446071674</v>
      </c>
      <c r="AI189" s="124" cm="1">
        <f t="array" ref="AI189">_xlfn.IFS(AH189="Undetermined", 0, AH189="Undiluted", AE189*$G189/$F189*1000, AH189="Ten-Fold", AG189*$G189/$F189*1000*10, AH189&lt;0, AG189*$G189/$F189*1000*10, AH189&lt;120, AE189*$G189/$F189*1000, AH189&gt;120, AG189*$G189/$F189*1000*10)</f>
        <v>3013.5127117759303</v>
      </c>
      <c r="AJ189" s="121" t="str">
        <f t="shared" si="45"/>
        <v>DELETE</v>
      </c>
      <c r="AK189" s="121" t="str">
        <f t="shared" si="46"/>
        <v>DELETE</v>
      </c>
      <c r="AL189" s="121" t="str">
        <f t="shared" si="47"/>
        <v>DELETE</v>
      </c>
      <c r="AM189" s="125" t="str" cm="1">
        <f t="array" ref="AM189">_xlfn.IFS(AJ189="DELETE", "DELETE", AJ189=0, 0, AJ189&gt;0,LOG10(AJ189))</f>
        <v>DELETE</v>
      </c>
      <c r="AN189" s="126" t="str" cm="1">
        <f t="array" ref="AN189">_xlfn.IFS(AJ189="DELETE", "DELETE", AJ189=0, 0, AJ189&gt;0, AL189/AJ189/LN(10))</f>
        <v>DELETE</v>
      </c>
      <c r="AO189" s="155">
        <f>qPCR_Raw!AA189</f>
        <v>30.44000244140625</v>
      </c>
      <c r="AP189" s="156" cm="1">
        <f t="array" ref="AP189">_xlfn.IFS(AO189="Undetermined", 0, qPCR_Raw!AB189&lt;=6, 0, qPCR_Raw!AB189&gt;6, qPCR_Raw!AB189)</f>
        <v>0</v>
      </c>
      <c r="AQ189" s="157" t="str">
        <f>qPCR_Raw!AD189</f>
        <v>Undetermined</v>
      </c>
      <c r="AR189" s="156" cm="1">
        <f t="array" ref="AR189">_xlfn.IFS(AQ189="Undetermined", 0, qPCR_Raw!AE189&lt;=6, 0, qPCR_Raw!AE189&gt;6, qPCR_Raw!AE189)</f>
        <v>0</v>
      </c>
      <c r="AS189" s="158" t="str" cm="1">
        <f t="array" ref="AS189">_xlfn.IFS(AND(AO189="Undetermined", AQ189="Undetermined"), "Undetermined", AND(AP189=0, AR189=0), "Undetermined", AND(AP189=0, AR189&gt;0), "Ten-Fold", AND(AP189&gt;0, AR189=0), "Undiluted", AND(AO189&lt;&gt;"Undetermined", AQ189&lt;&gt;"Undetermined", AP189&gt;0, AR189&gt;0, AO189&lt;&gt;AQ189), 100*(-1+10^(-1/(AO189-AQ189))), AND(AO189&lt;&gt;"Undetermined", AQ189&lt;&gt;"Undetermined", AO189=AQ189&gt;0), -100)</f>
        <v>Undetermined</v>
      </c>
      <c r="AT189" s="159" cm="1">
        <f t="array" ref="AT189">_xlfn.IFS(AS189="Undetermined", 0, AS189="Undiluted", AP189*$G189/$F189*1000, AS189="Ten-Fold", AR189*$G189/$F189*1000*10, AS189&lt;0, AR189*$G189/$F189*1000*10, AS189&lt;120, AP189*$G189/$F189*1000, AS189&gt;120, AR189*$G189/$F189*1000*10)</f>
        <v>0</v>
      </c>
      <c r="AU189" s="156" t="str">
        <f t="shared" si="48"/>
        <v>DELETE</v>
      </c>
      <c r="AV189" s="156" t="str">
        <f t="shared" si="49"/>
        <v>DELETE</v>
      </c>
      <c r="AW189" s="156" t="str">
        <f t="shared" si="50"/>
        <v>DELETE</v>
      </c>
      <c r="AX189" s="160" t="str" cm="1">
        <f t="array" ref="AX189">_xlfn.IFS(AU189="DELETE", "DELETE", AU189=0, 0, AU189&gt;0,LOG10(AU189))</f>
        <v>DELETE</v>
      </c>
      <c r="AY189" s="161" t="str" cm="1">
        <f t="array" ref="AY189">_xlfn.IFS(AU189="DELETE", "DELETE", AU189=0, 0, AU189&gt;0, AW189/AU189/LN(10))</f>
        <v>DELETE</v>
      </c>
      <c r="AZ189" s="120">
        <f>qPCR_Raw!AG189</f>
        <v>37.237514495849609</v>
      </c>
      <c r="BA189" s="121" cm="1">
        <f t="array" ref="BA189">_xlfn.IFS(AZ189="Undetermined", 0, qPCR_Raw!AH189&lt;=1, 0, qPCR_Raw!AH189&gt;1, qPCR_Raw!AH189)</f>
        <v>1.2212979793548584</v>
      </c>
      <c r="BB189" s="122" t="str">
        <f>qPCR_Raw!AJ189</f>
        <v>Undetermined</v>
      </c>
      <c r="BC189" s="121" cm="1">
        <f t="array" ref="BC189">_xlfn.IFS(BB189="Undetermined", 0, qPCR_Raw!AK189&lt;=1, 0, qPCR_Raw!AK189&gt;1, qPCR_Raw!AK189)</f>
        <v>0</v>
      </c>
      <c r="BD189" s="123" t="str" cm="1">
        <f t="array" ref="BD189">_xlfn.IFS(AND(AZ189="Undetermined", BB189="Undetermined"), "Undetermined", AND(BA189=0, BC189=0), "Undetermined", AND(BA189=0, BC189&gt;0), "Ten-Fold", AND(BA189&gt;0, BC189=0), "Undiluted", AND(AZ189&lt;&gt;"Undetermined", BB189&lt;&gt;"Undetermined", BA189&gt;0, BC189&gt;0, AZ189&lt;&gt;BB189), 100*(-1+10^(-1/(AZ189-BB189))), AND(AZ189&lt;&gt;"Undetermined", BB189&lt;&gt;"Undetermined", AZ189=BB189&gt;0), -100)</f>
        <v>Undiluted</v>
      </c>
      <c r="BE189" s="124" cm="1">
        <f t="array" ref="BE189">_xlfn.IFS(BD189="Undetermined", 0, BD189="Undiluted", BA189*$G189/$F189*1000, BD189="Ten-Fold", BC189*$G189/$F189*1000*10, BD189&lt;0, BC189*$G189/$F189*1000*10, BD189&lt;120, BA189*$G189/$F189*1000, BD189&gt;120, BC189*$G189/$F189*1000*10)</f>
        <v>128.55768203735352</v>
      </c>
      <c r="BF189" s="121" t="str">
        <f t="shared" si="51"/>
        <v>DELETE</v>
      </c>
      <c r="BG189" s="121" t="str">
        <f t="shared" si="52"/>
        <v>DELETE</v>
      </c>
      <c r="BH189" s="121" t="str">
        <f t="shared" si="53"/>
        <v>DELETE</v>
      </c>
      <c r="BI189" s="125" t="str" cm="1">
        <f t="array" ref="BI189">_xlfn.IFS(BF189="DELETE", "DELETE", BF189=0, 0, BF189&gt;0,LOG10(BF189))</f>
        <v>DELETE</v>
      </c>
      <c r="BJ189" s="126" t="str" cm="1">
        <f t="array" ref="BJ189">_xlfn.IFS(BF189="DELETE", "DELETE", BF189=0, 0, BF189&gt;0, BH189/BF189/LN(10))</f>
        <v>DELETE</v>
      </c>
    </row>
    <row r="190" spans="1:62" s="114" customFormat="1" x14ac:dyDescent="0.3">
      <c r="A190" s="115" t="str">
        <f>UPPER(LEFT(SUBSTITUTE(SUBSTITUTE(qPCR_Raw!A190,"-","")," ",""),2))&amp;RIGHT(SUBSTITUTE(SUBSTITUTE(qPCR_Raw!A190,"-","")," ",""),LEN(SUBSTITUTE(SUBSTITUTE(qPCR_Raw!A190,"-","")," ",""))-2)</f>
        <v>RW6</v>
      </c>
      <c r="B190" s="116" t="str" cm="1">
        <f t="array" ref="B190">_xlfn.IFS(LEFT(A190, LEN(A190)-1)="EP", "EP", LEFT(A190, LEN(A190)-1)="STa", "SPI", LEFT(A190, LEN(A190)-1)="STb", "SPO", LEFT(A190, LEN(A190)-1)="MRT", "MRT", LEFT(A190, LEN(A190)-1)="RG", "RN", LEFT(A190, LEN(A190)-1)="RT", "RU", LEFT(A190, LEN(A190)-1)="RW", "RL", LEFT(A190, LEN(A190)-1)="RC", "RS")</f>
        <v>RL</v>
      </c>
      <c r="C190" s="117">
        <f>qPCR_Raw!B190</f>
        <v>44419</v>
      </c>
      <c r="D190" s="117" t="str">
        <f t="shared" si="37"/>
        <v>RL44419</v>
      </c>
      <c r="E190" s="117" t="str">
        <f t="shared" si="38"/>
        <v>RL444196</v>
      </c>
      <c r="F190" s="118">
        <f>qPCR_Raw!C190</f>
        <v>900</v>
      </c>
      <c r="G190" s="119">
        <f>qPCR_Raw!F190</f>
        <v>100</v>
      </c>
      <c r="H190" s="120">
        <f>qPCR_Raw!G190</f>
        <v>17.805286407470703</v>
      </c>
      <c r="I190" s="121" cm="1">
        <f t="array" ref="I190">_xlfn.IFS(H190="Undetermined", 0, qPCR_Raw!H190-qPCR_Raw!$H$242&lt;0, 0, qPCR_Raw!H190-qPCR_Raw!$H$242&gt;0, qPCR_Raw!H190-qPCR_Raw!$H$242)</f>
        <v>400870.98644612631</v>
      </c>
      <c r="J190" s="122">
        <f>qPCR_Raw!K190</f>
        <v>20.795173645019531</v>
      </c>
      <c r="K190" s="121" cm="1">
        <f t="array" ref="K190">_xlfn.IFS(J190="Undetermined", 0, qPCR_Raw!L190-qPCR_Raw!$H$242&lt;0, 0, qPCR_Raw!L190-qPCR_Raw!$H$242&gt;0, qPCR_Raw!L190-qPCR_Raw!$H$242)</f>
        <v>37975.005977376306</v>
      </c>
      <c r="L190" s="123" cm="1">
        <f t="array" ref="L190">_xlfn.IFS(AND(H190="Undetermined", J190="Undetermined"), "Undetermined", AND(I190=0, K190=0), "Undetermined", AND(I190=0, K190&gt;0), "Ten-Fold", AND(I190&gt;0, K190=0), "Undiluted", AND(H190&lt;&gt;"Undetermined", J190&lt;&gt;"Undetermined", I190&gt;0, K190&gt;0), 100*(-1+10^(-1/(H190-J190))))</f>
        <v>116.00349296041431</v>
      </c>
      <c r="M190" s="124" cm="1">
        <f t="array" ref="M190">_xlfn.IFS(L190="Undetermined", 0, L190="Undiluted", I190*$G190/$F190*1000, L190="Ten-Fold", K190*$G190/$F190*1000*10, L190&lt;0, K190*$G190/$F190*1000*10, L190&lt;120, I190*$G190/$F190*1000, L190&gt;120, K190*$G190/$F190*1000*10)</f>
        <v>44541220.716236264</v>
      </c>
      <c r="N190" s="121">
        <f t="shared" si="39"/>
        <v>43430463.771791816</v>
      </c>
      <c r="O190" s="121">
        <f t="shared" si="40"/>
        <v>1570847.5353334364</v>
      </c>
      <c r="P190" s="121">
        <f t="shared" si="41"/>
        <v>1110756.9444444478</v>
      </c>
      <c r="Q190" s="125" cm="1">
        <f t="array" ref="Q190">_xlfn.IFS(N190="DELETE", "DELETE", N190=0, 0, N190&gt;0,LOG10(N190))</f>
        <v>7.6377944669964597</v>
      </c>
      <c r="R190" s="126" cm="1">
        <f t="array" ref="R190">_xlfn.IFS(N190="DELETE", "DELETE", N190=0, 0, N190&gt;0, P190/N190/LN(10))</f>
        <v>1.1107309704144985E-2</v>
      </c>
      <c r="S190" s="155">
        <f>qPCR_Raw!O190</f>
        <v>29.904788970947266</v>
      </c>
      <c r="T190" s="156" cm="1">
        <f t="array" ref="T190">_xlfn.IFS(S190="Undetermined", 0, qPCR_Raw!P190&lt;=1, 0, qPCR_Raw!P190&gt;1, qPCR_Raw!P190)</f>
        <v>83.403495788574219</v>
      </c>
      <c r="U190" s="157">
        <f>qPCR_Raw!R190</f>
        <v>34.491390228271484</v>
      </c>
      <c r="V190" s="156" cm="1">
        <f t="array" ref="V190">_xlfn.IFS(U190="Undetermined", 0, qPCR_Raw!S190&lt;=1, 0, qPCR_Raw!S190&gt;1, qPCR_Raw!S190)</f>
        <v>3.4740974903106689</v>
      </c>
      <c r="W190" s="158" cm="1">
        <f t="array" ref="W190">_xlfn.IFS(AND(S190="Undetermined", U190="Undetermined"), "Undetermined", AND(T190=0, V190=0), "Undetermined", AND(T190=0, V190&gt;0), "Ten-Fold", AND(T190&gt;0, V190=0), "Undiluted", AND(S190&lt;&gt;"Undetermined", U190&lt;&gt;"Undetermined", T190&gt;0, V190&gt;0, S190&lt;&gt;U190), 100*(-1+10^(-1/(S190-U190))), AND(S190&lt;&gt;"Undetermined", U190&lt;&gt;"Undetermined", S190=U190&gt;0), -100)</f>
        <v>65.206208813536776</v>
      </c>
      <c r="X190" s="159" cm="1">
        <f t="array" ref="X190">_xlfn.IFS(W190="Undetermined", 0, W190="Undiluted", T190*$G190/$F190*1000, W190="Ten-Fold", V190*$G190/$F190*1000*10, W190&lt;0, V190*$G190/$F190*1000*10, W190&lt;120, T190*$G190/$F190*1000, W190&gt;120, V190*$G190/$F190*1000*10)</f>
        <v>9267.0550876193574</v>
      </c>
      <c r="Y190" s="156">
        <f t="shared" si="42"/>
        <v>10669.250700208877</v>
      </c>
      <c r="Z190" s="156">
        <f t="shared" si="43"/>
        <v>1983.0040524241465</v>
      </c>
      <c r="AA190" s="156">
        <f t="shared" si="44"/>
        <v>1402.1956125895179</v>
      </c>
      <c r="AB190" s="160" cm="1">
        <f t="array" ref="AB190">_xlfn.IFS(Y190="DELETE", "DELETE", Y190=0, 0, Y190&gt;0,LOG10(Y190))</f>
        <v>4.0281339200625865</v>
      </c>
      <c r="AC190" s="161" cm="1">
        <f t="array" ref="AC190">_xlfn.IFS(Y190="DELETE", "DELETE", Y190=0, 0, Y190&gt;0, AA190/Y190/LN(10))</f>
        <v>5.7076718338304251E-2</v>
      </c>
      <c r="AD190" s="120">
        <f>qPCR_Raw!U190</f>
        <v>33.143051147460938</v>
      </c>
      <c r="AE190" s="121" cm="1">
        <f t="array" ref="AE190">_xlfn.IFS(AD190="Undetermined", 0, qPCR_Raw!V190&lt;=1, 0, qPCR_Raw!V190&gt;1, qPCR_Raw!V190)</f>
        <v>5.9731760025024414</v>
      </c>
      <c r="AF190" s="122" t="str">
        <f>qPCR_Raw!X190</f>
        <v>Undetermined</v>
      </c>
      <c r="AG190" s="121" cm="1">
        <f t="array" ref="AG190">_xlfn.IFS(AF190="Undetermined", 0, qPCR_Raw!Y190&lt;=1, 0, qPCR_Raw!Y190&gt;1, qPCR_Raw!Y190)</f>
        <v>0</v>
      </c>
      <c r="AH190" s="123" t="str" cm="1">
        <f t="array" ref="AH190">_xlfn.IFS(AND(AD190="Undetermined", AF190="Undetermined"), "Undetermined", AND(AE190=0, AG190=0), "Undetermined", AND(AE190=0, AG190&gt;0), "Ten-Fold", AND(AE190&gt;0, AG190=0), "Undiluted", AND(AD190&lt;&gt;"Undetermined", AF190&lt;&gt;"Undetermined", AE190&gt;0, AG190&gt;0, AD190&lt;&gt;AF190), 100*(-1+10^(-1/(AD190-AF190))), AND(AD190&lt;&gt;"Undetermined", AF190&lt;&gt;"Undetermined", AD190=AF190&gt;0), -100)</f>
        <v>Undiluted</v>
      </c>
      <c r="AI190" s="124" cm="1">
        <f t="array" ref="AI190">_xlfn.IFS(AH190="Undetermined", 0, AH190="Undiluted", AE190*$G190/$F190*1000, AH190="Ten-Fold", AG190*$G190/$F190*1000*10, AH190&lt;0, AG190*$G190/$F190*1000*10, AH190&lt;120, AE190*$G190/$F190*1000, AH190&gt;120, AG190*$G190/$F190*1000*10)</f>
        <v>663.68622250027136</v>
      </c>
      <c r="AJ190" s="121">
        <f t="shared" si="45"/>
        <v>1108.0127424663967</v>
      </c>
      <c r="AK190" s="121">
        <f t="shared" si="46"/>
        <v>628.37259065813464</v>
      </c>
      <c r="AL190" s="121">
        <f t="shared" si="47"/>
        <v>444.3265199661256</v>
      </c>
      <c r="AM190" s="125" cm="1">
        <f t="array" ref="AM190">_xlfn.IFS(AJ190="DELETE", "DELETE", AJ190=0, 0, AJ190&gt;0,LOG10(AJ190))</f>
        <v>3.0445447549330433</v>
      </c>
      <c r="AN190" s="126" cm="1">
        <f t="array" ref="AN190">_xlfn.IFS(AJ190="DELETE", "DELETE", AJ190=0, 0, AJ190&gt;0, AL190/AJ190/LN(10))</f>
        <v>0.1741573434932005</v>
      </c>
      <c r="AO190" s="155">
        <f>qPCR_Raw!AA190</f>
        <v>29.661544799804688</v>
      </c>
      <c r="AP190" s="156" cm="1">
        <f t="array" ref="AP190">_xlfn.IFS(AO190="Undetermined", 0, qPCR_Raw!AB190&lt;=6, 0, qPCR_Raw!AB190&gt;6, qPCR_Raw!AB190)</f>
        <v>6.6365909576416016</v>
      </c>
      <c r="AQ190" s="157" t="str">
        <f>qPCR_Raw!AD190</f>
        <v>Undetermined</v>
      </c>
      <c r="AR190" s="156" cm="1">
        <f t="array" ref="AR190">_xlfn.IFS(AQ190="Undetermined", 0, qPCR_Raw!AE190&lt;=6, 0, qPCR_Raw!AE190&gt;6, qPCR_Raw!AE190)</f>
        <v>0</v>
      </c>
      <c r="AS190" s="158" t="str" cm="1">
        <f t="array" ref="AS190">_xlfn.IFS(AND(AO190="Undetermined", AQ190="Undetermined"), "Undetermined", AND(AP190=0, AR190=0), "Undetermined", AND(AP190=0, AR190&gt;0), "Ten-Fold", AND(AP190&gt;0, AR190=0), "Undiluted", AND(AO190&lt;&gt;"Undetermined", AQ190&lt;&gt;"Undetermined", AP190&gt;0, AR190&gt;0, AO190&lt;&gt;AQ190), 100*(-1+10^(-1/(AO190-AQ190))), AND(AO190&lt;&gt;"Undetermined", AQ190&lt;&gt;"Undetermined", AO190=AQ190&gt;0), -100)</f>
        <v>Undiluted</v>
      </c>
      <c r="AT190" s="159" cm="1">
        <f t="array" ref="AT190">_xlfn.IFS(AS190="Undetermined", 0, AS190="Undiluted", AP190*$G190/$F190*1000, AS190="Ten-Fold", AR190*$G190/$F190*1000*10, AS190&lt;0, AR190*$G190/$F190*1000*10, AS190&lt;120, AP190*$G190/$F190*1000, AS190&gt;120, AR190*$G190/$F190*1000*10)</f>
        <v>737.39899529351123</v>
      </c>
      <c r="AU190" s="156">
        <f t="shared" si="48"/>
        <v>2564.7217432657872</v>
      </c>
      <c r="AV190" s="156">
        <f t="shared" si="49"/>
        <v>2584.2246130152662</v>
      </c>
      <c r="AW190" s="156">
        <f t="shared" si="50"/>
        <v>1827.3227479722761</v>
      </c>
      <c r="AX190" s="160" cm="1">
        <f t="array" ref="AX190">_xlfn.IFS(AU190="DELETE", "DELETE", AU190=0, 0, AU190&gt;0,LOG10(AU190))</f>
        <v>3.4090402536897542</v>
      </c>
      <c r="AY190" s="161" cm="1">
        <f t="array" ref="AY190">_xlfn.IFS(AU190="DELETE", "DELETE", AU190=0, 0, AU190&gt;0, AW190/AU190/LN(10))</f>
        <v>0.30942779199513504</v>
      </c>
      <c r="AZ190" s="120" t="str">
        <f>qPCR_Raw!AG190</f>
        <v>Undetermined</v>
      </c>
      <c r="BA190" s="121" cm="1">
        <f t="array" ref="BA190">_xlfn.IFS(AZ190="Undetermined", 0, qPCR_Raw!AH190&lt;=1, 0, qPCR_Raw!AH190&gt;1, qPCR_Raw!AH190)</f>
        <v>0</v>
      </c>
      <c r="BB190" s="122" t="str">
        <f>qPCR_Raw!AJ190</f>
        <v>Undetermined</v>
      </c>
      <c r="BC190" s="121" cm="1">
        <f t="array" ref="BC190">_xlfn.IFS(BB190="Undetermined", 0, qPCR_Raw!AK190&lt;=1, 0, qPCR_Raw!AK190&gt;1, qPCR_Raw!AK190)</f>
        <v>0</v>
      </c>
      <c r="BD190" s="123" t="str" cm="1">
        <f t="array" ref="BD190">_xlfn.IFS(AND(AZ190="Undetermined", BB190="Undetermined"), "Undetermined", AND(BA190=0, BC190=0), "Undetermined", AND(BA190=0, BC190&gt;0), "Ten-Fold", AND(BA190&gt;0, BC190=0), "Undiluted", AND(AZ190&lt;&gt;"Undetermined", BB190&lt;&gt;"Undetermined", BA190&gt;0, BC190&gt;0, AZ190&lt;&gt;BB190), 100*(-1+10^(-1/(AZ190-BB190))), AND(AZ190&lt;&gt;"Undetermined", BB190&lt;&gt;"Undetermined", AZ190=BB190&gt;0), -100)</f>
        <v>Undetermined</v>
      </c>
      <c r="BE190" s="124" cm="1">
        <f t="array" ref="BE190">_xlfn.IFS(BD190="Undetermined", 0, BD190="Undiluted", BA190*$G190/$F190*1000, BD190="Ten-Fold", BC190*$G190/$F190*1000*10, BD190&lt;0, BC190*$G190/$F190*1000*10, BD190&lt;120, BA190*$G190/$F190*1000, BD190&gt;120, BC190*$G190/$F190*1000*10)</f>
        <v>0</v>
      </c>
      <c r="BF190" s="121">
        <f t="shared" si="51"/>
        <v>0</v>
      </c>
      <c r="BG190" s="121">
        <f t="shared" si="52"/>
        <v>0</v>
      </c>
      <c r="BH190" s="121">
        <f t="shared" si="53"/>
        <v>0</v>
      </c>
      <c r="BI190" s="125" cm="1">
        <f t="array" ref="BI190">_xlfn.IFS(BF190="DELETE", "DELETE", BF190=0, 0, BF190&gt;0,LOG10(BF190))</f>
        <v>0</v>
      </c>
      <c r="BJ190" s="126" cm="1">
        <f t="array" ref="BJ190">_xlfn.IFS(BF190="DELETE", "DELETE", BF190=0, 0, BF190&gt;0, BH190/BF190/LN(10))</f>
        <v>0</v>
      </c>
    </row>
    <row r="191" spans="1:62" s="114" customFormat="1" x14ac:dyDescent="0.3">
      <c r="A191" s="115" t="str">
        <f>UPPER(LEFT(SUBSTITUTE(SUBSTITUTE(qPCR_Raw!A191,"-","")," ",""),2))&amp;RIGHT(SUBSTITUTE(SUBSTITUTE(qPCR_Raw!A191,"-","")," ",""),LEN(SUBSTITUTE(SUBSTITUTE(qPCR_Raw!A191,"-","")," ",""))-2)</f>
        <v>RW7</v>
      </c>
      <c r="B191" s="116" t="str" cm="1">
        <f t="array" ref="B191">_xlfn.IFS(LEFT(A191, LEN(A191)-1)="EP", "EP", LEFT(A191, LEN(A191)-1)="STa", "SPI", LEFT(A191, LEN(A191)-1)="STb", "SPO", LEFT(A191, LEN(A191)-1)="MRT", "MRT", LEFT(A191, LEN(A191)-1)="RG", "RN", LEFT(A191, LEN(A191)-1)="RT", "RU", LEFT(A191, LEN(A191)-1)="RW", "RL", LEFT(A191, LEN(A191)-1)="RC", "RS")</f>
        <v>RL</v>
      </c>
      <c r="C191" s="117">
        <f>qPCR_Raw!B191</f>
        <v>44419</v>
      </c>
      <c r="D191" s="117" t="str">
        <f t="shared" si="37"/>
        <v>RL44419</v>
      </c>
      <c r="E191" s="117" t="str">
        <f t="shared" si="38"/>
        <v>RL444197</v>
      </c>
      <c r="F191" s="118">
        <f>qPCR_Raw!C191</f>
        <v>900</v>
      </c>
      <c r="G191" s="119">
        <f>qPCR_Raw!F191</f>
        <v>100</v>
      </c>
      <c r="H191" s="120">
        <f>qPCR_Raw!G191</f>
        <v>17.875970840454102</v>
      </c>
      <c r="I191" s="121" cm="1">
        <f t="array" ref="I191">_xlfn.IFS(H191="Undetermined", 0, qPCR_Raw!H191-qPCR_Raw!$H$242&lt;0, 0, qPCR_Raw!H191-qPCR_Raw!$H$242&gt;0, qPCR_Raw!H191-qPCR_Raw!$H$242)</f>
        <v>380877.36144612631</v>
      </c>
      <c r="J191" s="122">
        <f>qPCR_Raw!K191</f>
        <v>20.883537292480469</v>
      </c>
      <c r="K191" s="121" cm="1">
        <f t="array" ref="K191">_xlfn.IFS(J191="Undetermined", 0, qPCR_Raw!L191-qPCR_Raw!$H$242&lt;0, 0, qPCR_Raw!L191-qPCR_Raw!$H$242&gt;0, qPCR_Raw!L191-qPCR_Raw!$H$242)</f>
        <v>34916.283321126306</v>
      </c>
      <c r="L191" s="123" cm="1">
        <f t="array" ref="L191">_xlfn.IFS(AND(H191="Undetermined", J191="Undetermined"), "Undetermined", AND(I191=0, K191=0), "Undetermined", AND(I191=0, K191&gt;0), "Ten-Fold", AND(I191&gt;0, K191=0), "Undiluted", AND(H191&lt;&gt;"Undetermined", J191&lt;&gt;"Undetermined", I191&gt;0, K191&gt;0), 100*(-1+10^(-1/(H191-J191))))</f>
        <v>115.02785938949516</v>
      </c>
      <c r="M191" s="124" cm="1">
        <f t="array" ref="M191">_xlfn.IFS(L191="Undetermined", 0, L191="Undiluted", I191*$G191/$F191*1000, L191="Ten-Fold", K191*$G191/$F191*1000*10, L191&lt;0, K191*$G191/$F191*1000*10, L191&lt;120, I191*$G191/$F191*1000, L191&gt;120, K191*$G191/$F191*1000*10)</f>
        <v>42319706.827347368</v>
      </c>
      <c r="N191" s="121" t="str">
        <f t="shared" si="39"/>
        <v>DELETE</v>
      </c>
      <c r="O191" s="121" t="str">
        <f t="shared" si="40"/>
        <v>DELETE</v>
      </c>
      <c r="P191" s="121" t="str">
        <f t="shared" si="41"/>
        <v>DELETE</v>
      </c>
      <c r="Q191" s="125" t="str" cm="1">
        <f t="array" ref="Q191">_xlfn.IFS(N191="DELETE", "DELETE", N191=0, 0, N191&gt;0,LOG10(N191))</f>
        <v>DELETE</v>
      </c>
      <c r="R191" s="126" t="str" cm="1">
        <f t="array" ref="R191">_xlfn.IFS(N191="DELETE", "DELETE", N191=0, 0, N191&gt;0, P191/N191/LN(10))</f>
        <v>DELETE</v>
      </c>
      <c r="S191" s="155">
        <f>qPCR_Raw!O191</f>
        <v>30.768043518066406</v>
      </c>
      <c r="T191" s="156" cm="1">
        <f t="array" ref="T191">_xlfn.IFS(S191="Undetermined", 0, qPCR_Raw!P191&lt;=1, 0, qPCR_Raw!P191&gt;1, qPCR_Raw!P191)</f>
        <v>45.855022430419922</v>
      </c>
      <c r="U191" s="157">
        <f>qPCR_Raw!R191</f>
        <v>32.846073150634766</v>
      </c>
      <c r="V191" s="156" cm="1">
        <f t="array" ref="V191">_xlfn.IFS(U191="Undetermined", 0, qPCR_Raw!S191&lt;=1, 0, qPCR_Raw!S191&gt;1, qPCR_Raw!S191)</f>
        <v>10.864301681518555</v>
      </c>
      <c r="W191" s="158" cm="1">
        <f t="array" ref="W191">_xlfn.IFS(AND(S191="Undetermined", U191="Undetermined"), "Undetermined", AND(T191=0, V191=0), "Undetermined", AND(T191=0, V191&gt;0), "Ten-Fold", AND(T191&gt;0, V191=0), "Undiluted", AND(S191&lt;&gt;"Undetermined", U191&lt;&gt;"Undetermined", T191&gt;0, V191&gt;0, S191&lt;&gt;U191), 100*(-1+10^(-1/(S191-U191))), AND(S191&lt;&gt;"Undetermined", U191&lt;&gt;"Undetermined", S191=U191&gt;0), -100)</f>
        <v>202.84826605045828</v>
      </c>
      <c r="X191" s="159" cm="1">
        <f t="array" ref="X191">_xlfn.IFS(W191="Undetermined", 0, W191="Undiluted", T191*$G191/$F191*1000, W191="Ten-Fold", V191*$G191/$F191*1000*10, W191&lt;0, V191*$G191/$F191*1000*10, W191&lt;120, T191*$G191/$F191*1000, W191&gt;120, V191*$G191/$F191*1000*10)</f>
        <v>12071.446312798396</v>
      </c>
      <c r="Y191" s="156" t="str">
        <f t="shared" si="42"/>
        <v>DELETE</v>
      </c>
      <c r="Z191" s="156" t="str">
        <f t="shared" si="43"/>
        <v>DELETE</v>
      </c>
      <c r="AA191" s="156" t="str">
        <f t="shared" si="44"/>
        <v>DELETE</v>
      </c>
      <c r="AB191" s="160" t="str" cm="1">
        <f t="array" ref="AB191">_xlfn.IFS(Y191="DELETE", "DELETE", Y191=0, 0, Y191&gt;0,LOG10(Y191))</f>
        <v>DELETE</v>
      </c>
      <c r="AC191" s="161" t="str" cm="1">
        <f t="array" ref="AC191">_xlfn.IFS(Y191="DELETE", "DELETE", Y191=0, 0, Y191&gt;0, AA191/Y191/LN(10))</f>
        <v>DELETE</v>
      </c>
      <c r="AD191" s="120">
        <f>qPCR_Raw!U191</f>
        <v>33.531646728515625</v>
      </c>
      <c r="AE191" s="121" cm="1">
        <f t="array" ref="AE191">_xlfn.IFS(AD191="Undetermined", 0, qPCR_Raw!V191&lt;=1, 0, qPCR_Raw!V191&gt;1, qPCR_Raw!V191)</f>
        <v>4.6476445198059082</v>
      </c>
      <c r="AF191" s="122">
        <f>qPCR_Raw!X191</f>
        <v>35.393112182617188</v>
      </c>
      <c r="AG191" s="121" cm="1">
        <f t="array" ref="AG191">_xlfn.IFS(AF191="Undetermined", 0, qPCR_Raw!Y191&lt;=1, 0, qPCR_Raw!Y191&gt;1, qPCR_Raw!Y191)</f>
        <v>1.39710533618927</v>
      </c>
      <c r="AH191" s="123" cm="1">
        <f t="array" ref="AH191">_xlfn.IFS(AND(AD191="Undetermined", AF191="Undetermined"), "Undetermined", AND(AE191=0, AG191=0), "Undetermined", AND(AE191=0, AG191&gt;0), "Ten-Fold", AND(AE191&gt;0, AG191=0), "Undiluted", AND(AD191&lt;&gt;"Undetermined", AF191&lt;&gt;"Undetermined", AE191&gt;0, AG191&gt;0, AD191&lt;&gt;AF191), 100*(-1+10^(-1/(AD191-AF191))), AND(AD191&lt;&gt;"Undetermined", AF191&lt;&gt;"Undetermined", AD191=AF191&gt;0), -100)</f>
        <v>244.51739240963204</v>
      </c>
      <c r="AI191" s="124" cm="1">
        <f t="array" ref="AI191">_xlfn.IFS(AH191="Undetermined", 0, AH191="Undiluted", AE191*$G191/$F191*1000, AH191="Ten-Fold", AG191*$G191/$F191*1000*10, AH191&lt;0, AG191*$G191/$F191*1000*10, AH191&lt;120, AE191*$G191/$F191*1000, AH191&gt;120, AG191*$G191/$F191*1000*10)</f>
        <v>1552.3392624325222</v>
      </c>
      <c r="AJ191" s="121" t="str">
        <f t="shared" si="45"/>
        <v>DELETE</v>
      </c>
      <c r="AK191" s="121" t="str">
        <f t="shared" si="46"/>
        <v>DELETE</v>
      </c>
      <c r="AL191" s="121" t="str">
        <f t="shared" si="47"/>
        <v>DELETE</v>
      </c>
      <c r="AM191" s="125" t="str" cm="1">
        <f t="array" ref="AM191">_xlfn.IFS(AJ191="DELETE", "DELETE", AJ191=0, 0, AJ191&gt;0,LOG10(AJ191))</f>
        <v>DELETE</v>
      </c>
      <c r="AN191" s="126" t="str" cm="1">
        <f t="array" ref="AN191">_xlfn.IFS(AJ191="DELETE", "DELETE", AJ191=0, 0, AJ191&gt;0, AL191/AJ191/LN(10))</f>
        <v>DELETE</v>
      </c>
      <c r="AO191" s="155">
        <f>qPCR_Raw!AA191</f>
        <v>26.883220672607422</v>
      </c>
      <c r="AP191" s="156" cm="1">
        <f t="array" ref="AP191">_xlfn.IFS(AO191="Undetermined", 0, qPCR_Raw!AB191&lt;=6, 0, qPCR_Raw!AB191&gt;6, qPCR_Raw!AB191)</f>
        <v>39.528400421142578</v>
      </c>
      <c r="AQ191" s="157">
        <f>qPCR_Raw!AD191</f>
        <v>31.106695175170898</v>
      </c>
      <c r="AR191" s="156" cm="1">
        <f t="array" ref="AR191">_xlfn.IFS(AQ191="Undetermined", 0, qPCR_Raw!AE191&lt;=6, 0, qPCR_Raw!AE191&gt;6, qPCR_Raw!AE191)</f>
        <v>0</v>
      </c>
      <c r="AS191" s="158" t="str" cm="1">
        <f t="array" ref="AS191">_xlfn.IFS(AND(AO191="Undetermined", AQ191="Undetermined"), "Undetermined", AND(AP191=0, AR191=0), "Undetermined", AND(AP191=0, AR191&gt;0), "Ten-Fold", AND(AP191&gt;0, AR191=0), "Undiluted", AND(AO191&lt;&gt;"Undetermined", AQ191&lt;&gt;"Undetermined", AP191&gt;0, AR191&gt;0, AO191&lt;&gt;AQ191), 100*(-1+10^(-1/(AO191-AQ191))), AND(AO191&lt;&gt;"Undetermined", AQ191&lt;&gt;"Undetermined", AO191=AQ191&gt;0), -100)</f>
        <v>Undiluted</v>
      </c>
      <c r="AT191" s="159" cm="1">
        <f t="array" ref="AT191">_xlfn.IFS(AS191="Undetermined", 0, AS191="Undiluted", AP191*$G191/$F191*1000, AS191="Ten-Fold", AR191*$G191/$F191*1000*10, AS191&lt;0, AR191*$G191/$F191*1000*10, AS191&lt;120, AP191*$G191/$F191*1000, AS191&gt;120, AR191*$G191/$F191*1000*10)</f>
        <v>4392.0444912380635</v>
      </c>
      <c r="AU191" s="156" t="str">
        <f t="shared" si="48"/>
        <v>DELETE</v>
      </c>
      <c r="AV191" s="156" t="str">
        <f t="shared" si="49"/>
        <v>DELETE</v>
      </c>
      <c r="AW191" s="156" t="str">
        <f t="shared" si="50"/>
        <v>DELETE</v>
      </c>
      <c r="AX191" s="160" t="str" cm="1">
        <f t="array" ref="AX191">_xlfn.IFS(AU191="DELETE", "DELETE", AU191=0, 0, AU191&gt;0,LOG10(AU191))</f>
        <v>DELETE</v>
      </c>
      <c r="AY191" s="161" t="str" cm="1">
        <f t="array" ref="AY191">_xlfn.IFS(AU191="DELETE", "DELETE", AU191=0, 0, AU191&gt;0, AW191/AU191/LN(10))</f>
        <v>DELETE</v>
      </c>
      <c r="AZ191" s="120">
        <f>qPCR_Raw!AG191</f>
        <v>38.205024719238281</v>
      </c>
      <c r="BA191" s="121" cm="1">
        <f t="array" ref="BA191">_xlfn.IFS(AZ191="Undetermined", 0, qPCR_Raw!AH191&lt;=1, 0, qPCR_Raw!AH191&gt;1, qPCR_Raw!AH191)</f>
        <v>0</v>
      </c>
      <c r="BB191" s="122" t="str">
        <f>qPCR_Raw!AJ191</f>
        <v>Undetermined</v>
      </c>
      <c r="BC191" s="121" cm="1">
        <f t="array" ref="BC191">_xlfn.IFS(BB191="Undetermined", 0, qPCR_Raw!AK191&lt;=1, 0, qPCR_Raw!AK191&gt;1, qPCR_Raw!AK191)</f>
        <v>0</v>
      </c>
      <c r="BD191" s="123" t="str" cm="1">
        <f t="array" ref="BD191">_xlfn.IFS(AND(AZ191="Undetermined", BB191="Undetermined"), "Undetermined", AND(BA191=0, BC191=0), "Undetermined", AND(BA191=0, BC191&gt;0), "Ten-Fold", AND(BA191&gt;0, BC191=0), "Undiluted", AND(AZ191&lt;&gt;"Undetermined", BB191&lt;&gt;"Undetermined", BA191&gt;0, BC191&gt;0, AZ191&lt;&gt;BB191), 100*(-1+10^(-1/(AZ191-BB191))), AND(AZ191&lt;&gt;"Undetermined", BB191&lt;&gt;"Undetermined", AZ191=BB191&gt;0), -100)</f>
        <v>Undetermined</v>
      </c>
      <c r="BE191" s="124" cm="1">
        <f t="array" ref="BE191">_xlfn.IFS(BD191="Undetermined", 0, BD191="Undiluted", BA191*$G191/$F191*1000, BD191="Ten-Fold", BC191*$G191/$F191*1000*10, BD191&lt;0, BC191*$G191/$F191*1000*10, BD191&lt;120, BA191*$G191/$F191*1000, BD191&gt;120, BC191*$G191/$F191*1000*10)</f>
        <v>0</v>
      </c>
      <c r="BF191" s="121" t="str">
        <f t="shared" si="51"/>
        <v>DELETE</v>
      </c>
      <c r="BG191" s="121" t="str">
        <f t="shared" si="52"/>
        <v>DELETE</v>
      </c>
      <c r="BH191" s="121" t="str">
        <f t="shared" si="53"/>
        <v>DELETE</v>
      </c>
      <c r="BI191" s="125" t="str" cm="1">
        <f t="array" ref="BI191">_xlfn.IFS(BF191="DELETE", "DELETE", BF191=0, 0, BF191&gt;0,LOG10(BF191))</f>
        <v>DELETE</v>
      </c>
      <c r="BJ191" s="126" t="str" cm="1">
        <f t="array" ref="BJ191">_xlfn.IFS(BF191="DELETE", "DELETE", BF191=0, 0, BF191&gt;0, BH191/BF191/LN(10))</f>
        <v>DELETE</v>
      </c>
    </row>
    <row r="192" spans="1:62" s="114" customFormat="1" x14ac:dyDescent="0.3">
      <c r="A192" s="115" t="str">
        <f>UPPER(LEFT(SUBSTITUTE(SUBSTITUTE(qPCR_Raw!A192,"-","")," ",""),2))&amp;RIGHT(SUBSTITUTE(SUBSTITUTE(qPCR_Raw!A192,"-","")," ",""),LEN(SUBSTITUTE(SUBSTITUTE(qPCR_Raw!A192,"-","")," ",""))-2)</f>
        <v>MRT6</v>
      </c>
      <c r="B192" s="116" t="str" cm="1">
        <f t="array" ref="B192">_xlfn.IFS(LEFT(A192, LEN(A192)-1)="EP", "EP", LEFT(A192, LEN(A192)-1)="STa", "SPI", LEFT(A192, LEN(A192)-1)="STb", "SPO", LEFT(A192, LEN(A192)-1)="MRT", "MRT", LEFT(A192, LEN(A192)-1)="RG", "RN", LEFT(A192, LEN(A192)-1)="RT", "RU", LEFT(A192, LEN(A192)-1)="RW", "RL", LEFT(A192, LEN(A192)-1)="RC", "RS")</f>
        <v>MRT</v>
      </c>
      <c r="C192" s="117">
        <f>qPCR_Raw!B192</f>
        <v>44419</v>
      </c>
      <c r="D192" s="117" t="str">
        <f t="shared" si="37"/>
        <v>MRT44419</v>
      </c>
      <c r="E192" s="117" t="str">
        <f t="shared" si="38"/>
        <v>MRT444196</v>
      </c>
      <c r="F192" s="118">
        <f>qPCR_Raw!C192</f>
        <v>970</v>
      </c>
      <c r="G192" s="119">
        <f>qPCR_Raw!F192</f>
        <v>100</v>
      </c>
      <c r="H192" s="120">
        <f>qPCR_Raw!G192</f>
        <v>18.42497444152832</v>
      </c>
      <c r="I192" s="121" cm="1">
        <f t="array" ref="I192">_xlfn.IFS(H192="Undetermined", 0, qPCR_Raw!H192-qPCR_Raw!$H$242&lt;0, 0, qPCR_Raw!H192-qPCR_Raw!$H$242&gt;0, qPCR_Raw!H192-qPCR_Raw!$H$242)</f>
        <v>255128.01769612631</v>
      </c>
      <c r="J192" s="122">
        <f>qPCR_Raw!K192</f>
        <v>21.8284912109375</v>
      </c>
      <c r="K192" s="121" cm="1">
        <f t="array" ref="K192">_xlfn.IFS(J192="Undetermined", 0, qPCR_Raw!L192-qPCR_Raw!$H$242&lt;0, 0, qPCR_Raw!L192-qPCR_Raw!$H$242&gt;0, qPCR_Raw!L192-qPCR_Raw!$H$242)</f>
        <v>11725.203243001302</v>
      </c>
      <c r="L192" s="123" cm="1">
        <f t="array" ref="L192">_xlfn.IFS(AND(H192="Undetermined", J192="Undetermined"), "Undetermined", AND(I192=0, K192=0), "Undetermined", AND(I192=0, K192&gt;0), "Ten-Fold", AND(I192&gt;0, K192=0), "Undiluted", AND(H192&lt;&gt;"Undetermined", J192&lt;&gt;"Undetermined", I192&gt;0, K192&gt;0), 100*(-1+10^(-1/(H192-J192))))</f>
        <v>96.704249632518753</v>
      </c>
      <c r="M192" s="124" cm="1">
        <f t="array" ref="M192">_xlfn.IFS(L192="Undetermined", 0, L192="Undiluted", I192*$G192/$F192*1000, L192="Ten-Fold", K192*$G192/$F192*1000*10, L192&lt;0, K192*$G192/$F192*1000*10, L192&lt;120, I192*$G192/$F192*1000, L192&gt;120, K192*$G192/$F192*1000*10)</f>
        <v>26301857.494446009</v>
      </c>
      <c r="N192" s="121">
        <f t="shared" si="39"/>
        <v>22343931.466452245</v>
      </c>
      <c r="O192" s="121">
        <f t="shared" si="40"/>
        <v>5597352.6676582564</v>
      </c>
      <c r="P192" s="121">
        <f t="shared" si="41"/>
        <v>3957926.0279937643</v>
      </c>
      <c r="Q192" s="125" cm="1">
        <f t="array" ref="Q192">_xlfn.IFS(N192="DELETE", "DELETE", N192=0, 0, N192&gt;0,LOG10(N192))</f>
        <v>7.3491595906222695</v>
      </c>
      <c r="R192" s="126" cm="1">
        <f t="array" ref="R192">_xlfn.IFS(N192="DELETE", "DELETE", N192=0, 0, N192&gt;0, P192/N192/LN(10))</f>
        <v>7.6929408610107664E-2</v>
      </c>
      <c r="S192" s="155">
        <f>qPCR_Raw!O192</f>
        <v>30.832712173461914</v>
      </c>
      <c r="T192" s="156" cm="1">
        <f t="array" ref="T192">_xlfn.IFS(S192="Undetermined", 0, qPCR_Raw!P192&lt;=1, 0, qPCR_Raw!P192&gt;1, qPCR_Raw!P192)</f>
        <v>43.845481872558594</v>
      </c>
      <c r="U192" s="157">
        <f>qPCR_Raw!R192</f>
        <v>33.352619171142578</v>
      </c>
      <c r="V192" s="156" cm="1">
        <f t="array" ref="V192">_xlfn.IFS(U192="Undetermined", 0, qPCR_Raw!S192&lt;=1, 0, qPCR_Raw!S192&gt;1, qPCR_Raw!S192)</f>
        <v>7.6481480598449707</v>
      </c>
      <c r="W192" s="158" cm="1">
        <f t="array" ref="W192">_xlfn.IFS(AND(S192="Undetermined", U192="Undetermined"), "Undetermined", AND(T192=0, V192=0), "Undetermined", AND(T192=0, V192&gt;0), "Ten-Fold", AND(T192&gt;0, V192=0), "Undiluted", AND(S192&lt;&gt;"Undetermined", U192&lt;&gt;"Undetermined", T192&gt;0, V192&gt;0, S192&lt;&gt;U192), 100*(-1+10^(-1/(S192-U192))), AND(S192&lt;&gt;"Undetermined", U192&lt;&gt;"Undetermined", S192=U192&gt;0), -100)</f>
        <v>149.36760974590811</v>
      </c>
      <c r="X192" s="159" cm="1">
        <f t="array" ref="X192">_xlfn.IFS(W192="Undetermined", 0, W192="Undiluted", T192*$G192/$F192*1000, W192="Ten-Fold", V192*$G192/$F192*1000*10, W192&lt;0, V192*$G192/$F192*1000*10, W192&lt;120, T192*$G192/$F192*1000, W192&gt;120, V192*$G192/$F192*1000*10)</f>
        <v>7884.6887214896606</v>
      </c>
      <c r="Y192" s="156">
        <f t="shared" si="42"/>
        <v>4823.8886858316355</v>
      </c>
      <c r="Z192" s="156">
        <f t="shared" si="43"/>
        <v>4328.624922139632</v>
      </c>
      <c r="AA192" s="156">
        <f t="shared" si="44"/>
        <v>3060.8000356580246</v>
      </c>
      <c r="AB192" s="160" cm="1">
        <f t="array" ref="AB192">_xlfn.IFS(Y192="DELETE", "DELETE", Y192=0, 0, Y192&gt;0,LOG10(Y192))</f>
        <v>3.6833972776381381</v>
      </c>
      <c r="AC192" s="161" cm="1">
        <f t="array" ref="AC192">_xlfn.IFS(Y192="DELETE", "DELETE", Y192=0, 0, Y192&gt;0, AA192/Y192/LN(10))</f>
        <v>0.27556368985044022</v>
      </c>
      <c r="AD192" s="120">
        <f>qPCR_Raw!U192</f>
        <v>35.981620788574219</v>
      </c>
      <c r="AE192" s="121" cm="1">
        <f t="array" ref="AE192">_xlfn.IFS(AD192="Undetermined", 0, qPCR_Raw!V192&lt;=1, 0, qPCR_Raw!V192&gt;1, qPCR_Raw!V192)</f>
        <v>0</v>
      </c>
      <c r="AF192" s="122" t="str">
        <f>qPCR_Raw!X192</f>
        <v>Undetermined</v>
      </c>
      <c r="AG192" s="121" cm="1">
        <f t="array" ref="AG192">_xlfn.IFS(AF192="Undetermined", 0, qPCR_Raw!Y192&lt;=1, 0, qPCR_Raw!Y192&gt;1, qPCR_Raw!Y192)</f>
        <v>0</v>
      </c>
      <c r="AH192" s="123" t="str" cm="1">
        <f t="array" ref="AH192">_xlfn.IFS(AND(AD192="Undetermined", AF192="Undetermined"), "Undetermined", AND(AE192=0, AG192=0), "Undetermined", AND(AE192=0, AG192&gt;0), "Ten-Fold", AND(AE192&gt;0, AG192=0), "Undiluted", AND(AD192&lt;&gt;"Undetermined", AF192&lt;&gt;"Undetermined", AE192&gt;0, AG192&gt;0, AD192&lt;&gt;AF192), 100*(-1+10^(-1/(AD192-AF192))), AND(AD192&lt;&gt;"Undetermined", AF192&lt;&gt;"Undetermined", AD192=AF192&gt;0), -100)</f>
        <v>Undetermined</v>
      </c>
      <c r="AI192" s="124" cm="1">
        <f t="array" ref="AI192">_xlfn.IFS(AH192="Undetermined", 0, AH192="Undiluted", AE192*$G192/$F192*1000, AH192="Ten-Fold", AG192*$G192/$F192*1000*10, AH192&lt;0, AG192*$G192/$F192*1000*10, AH192&lt;120, AE192*$G192/$F192*1000, AH192&gt;120, AG192*$G192/$F192*1000*10)</f>
        <v>0</v>
      </c>
      <c r="AJ192" s="121">
        <f t="shared" si="45"/>
        <v>0</v>
      </c>
      <c r="AK192" s="121">
        <f t="shared" si="46"/>
        <v>0</v>
      </c>
      <c r="AL192" s="121">
        <f t="shared" si="47"/>
        <v>0</v>
      </c>
      <c r="AM192" s="125" cm="1">
        <f t="array" ref="AM192">_xlfn.IFS(AJ192="DELETE", "DELETE", AJ192=0, 0, AJ192&gt;0,LOG10(AJ192))</f>
        <v>0</v>
      </c>
      <c r="AN192" s="126" cm="1">
        <f t="array" ref="AN192">_xlfn.IFS(AJ192="DELETE", "DELETE", AJ192=0, 0, AJ192&gt;0, AL192/AJ192/LN(10))</f>
        <v>0</v>
      </c>
      <c r="AO192" s="155">
        <f>qPCR_Raw!AA192</f>
        <v>30.977235794067383</v>
      </c>
      <c r="AP192" s="156" cm="1">
        <f t="array" ref="AP192">_xlfn.IFS(AO192="Undetermined", 0, qPCR_Raw!AB192&lt;=6, 0, qPCR_Raw!AB192&gt;6, qPCR_Raw!AB192)</f>
        <v>0</v>
      </c>
      <c r="AQ192" s="157" t="str">
        <f>qPCR_Raw!AD192</f>
        <v>Undetermined</v>
      </c>
      <c r="AR192" s="156" cm="1">
        <f t="array" ref="AR192">_xlfn.IFS(AQ192="Undetermined", 0, qPCR_Raw!AE192&lt;=6, 0, qPCR_Raw!AE192&gt;6, qPCR_Raw!AE192)</f>
        <v>0</v>
      </c>
      <c r="AS192" s="158" t="str" cm="1">
        <f t="array" ref="AS192">_xlfn.IFS(AND(AO192="Undetermined", AQ192="Undetermined"), "Undetermined", AND(AP192=0, AR192=0), "Undetermined", AND(AP192=0, AR192&gt;0), "Ten-Fold", AND(AP192&gt;0, AR192=0), "Undiluted", AND(AO192&lt;&gt;"Undetermined", AQ192&lt;&gt;"Undetermined", AP192&gt;0, AR192&gt;0, AO192&lt;&gt;AQ192), 100*(-1+10^(-1/(AO192-AQ192))), AND(AO192&lt;&gt;"Undetermined", AQ192&lt;&gt;"Undetermined", AO192=AQ192&gt;0), -100)</f>
        <v>Undetermined</v>
      </c>
      <c r="AT192" s="159" cm="1">
        <f t="array" ref="AT192">_xlfn.IFS(AS192="Undetermined", 0, AS192="Undiluted", AP192*$G192/$F192*1000, AS192="Ten-Fold", AR192*$G192/$F192*1000*10, AS192&lt;0, AR192*$G192/$F192*1000*10, AS192&lt;120, AP192*$G192/$F192*1000, AS192&gt;120, AR192*$G192/$F192*1000*10)</f>
        <v>0</v>
      </c>
      <c r="AU192" s="156">
        <f t="shared" si="48"/>
        <v>0</v>
      </c>
      <c r="AV192" s="156">
        <f t="shared" si="49"/>
        <v>0</v>
      </c>
      <c r="AW192" s="156">
        <f t="shared" si="50"/>
        <v>0</v>
      </c>
      <c r="AX192" s="160" cm="1">
        <f t="array" ref="AX192">_xlfn.IFS(AU192="DELETE", "DELETE", AU192=0, 0, AU192&gt;0,LOG10(AU192))</f>
        <v>0</v>
      </c>
      <c r="AY192" s="161" cm="1">
        <f t="array" ref="AY192">_xlfn.IFS(AU192="DELETE", "DELETE", AU192=0, 0, AU192&gt;0, AW192/AU192/LN(10))</f>
        <v>0</v>
      </c>
      <c r="AZ192" s="120">
        <f>qPCR_Raw!AG192</f>
        <v>35.710826873779297</v>
      </c>
      <c r="BA192" s="121" cm="1">
        <f t="array" ref="BA192">_xlfn.IFS(AZ192="Undetermined", 0, qPCR_Raw!AH192&lt;=1, 0, qPCR_Raw!AH192&gt;1, qPCR_Raw!AH192)</f>
        <v>2.9970262050628662</v>
      </c>
      <c r="BB192" s="122" t="str">
        <f>qPCR_Raw!AJ192</f>
        <v>Undetermined</v>
      </c>
      <c r="BC192" s="121" cm="1">
        <f t="array" ref="BC192">_xlfn.IFS(BB192="Undetermined", 0, qPCR_Raw!AK192&lt;=1, 0, qPCR_Raw!AK192&gt;1, qPCR_Raw!AK192)</f>
        <v>0</v>
      </c>
      <c r="BD192" s="123" t="str" cm="1">
        <f t="array" ref="BD192">_xlfn.IFS(AND(AZ192="Undetermined", BB192="Undetermined"), "Undetermined", AND(BA192=0, BC192=0), "Undetermined", AND(BA192=0, BC192&gt;0), "Ten-Fold", AND(BA192&gt;0, BC192=0), "Undiluted", AND(AZ192&lt;&gt;"Undetermined", BB192&lt;&gt;"Undetermined", BA192&gt;0, BC192&gt;0, AZ192&lt;&gt;BB192), 100*(-1+10^(-1/(AZ192-BB192))), AND(AZ192&lt;&gt;"Undetermined", BB192&lt;&gt;"Undetermined", AZ192=BB192&gt;0), -100)</f>
        <v>Undiluted</v>
      </c>
      <c r="BE192" s="124" cm="1">
        <f t="array" ref="BE192">_xlfn.IFS(BD192="Undetermined", 0, BD192="Undiluted", BA192*$G192/$F192*1000, BD192="Ten-Fold", BC192*$G192/$F192*1000*10, BD192&lt;0, BC192*$G192/$F192*1000*10, BD192&lt;120, BA192*$G192/$F192*1000, BD192&gt;120, BC192*$G192/$F192*1000*10)</f>
        <v>308.97177371782124</v>
      </c>
      <c r="BF192" s="121">
        <f t="shared" si="51"/>
        <v>388.69497401880915</v>
      </c>
      <c r="BG192" s="121">
        <f t="shared" si="52"/>
        <v>112.74563110144419</v>
      </c>
      <c r="BH192" s="121">
        <f t="shared" si="53"/>
        <v>79.723200300988097</v>
      </c>
      <c r="BI192" s="125" cm="1">
        <f t="array" ref="BI192">_xlfn.IFS(BF192="DELETE", "DELETE", BF192=0, 0, BF192&gt;0,LOG10(BF192))</f>
        <v>2.5896089250665399</v>
      </c>
      <c r="BJ192" s="126" cm="1">
        <f t="array" ref="BJ192">_xlfn.IFS(BF192="DELETE", "DELETE", BF192=0, 0, BF192&gt;0, BH192/BF192/LN(10))</f>
        <v>8.9075877705358117E-2</v>
      </c>
    </row>
    <row r="193" spans="1:62" s="114" customFormat="1" x14ac:dyDescent="0.3">
      <c r="A193" s="115" t="str">
        <f>UPPER(LEFT(SUBSTITUTE(SUBSTITUTE(qPCR_Raw!A193,"-","")," ",""),2))&amp;RIGHT(SUBSTITUTE(SUBSTITUTE(qPCR_Raw!A193,"-","")," ",""),LEN(SUBSTITUTE(SUBSTITUTE(qPCR_Raw!A193,"-","")," ",""))-2)</f>
        <v>MRT7</v>
      </c>
      <c r="B193" s="116" t="str" cm="1">
        <f t="array" ref="B193">_xlfn.IFS(LEFT(A193, LEN(A193)-1)="EP", "EP", LEFT(A193, LEN(A193)-1)="STa", "SPI", LEFT(A193, LEN(A193)-1)="STb", "SPO", LEFT(A193, LEN(A193)-1)="MRT", "MRT", LEFT(A193, LEN(A193)-1)="RG", "RN", LEFT(A193, LEN(A193)-1)="RT", "RU", LEFT(A193, LEN(A193)-1)="RW", "RL", LEFT(A193, LEN(A193)-1)="RC", "RS")</f>
        <v>MRT</v>
      </c>
      <c r="C193" s="117">
        <f>qPCR_Raw!B193</f>
        <v>44419</v>
      </c>
      <c r="D193" s="117" t="str">
        <f t="shared" si="37"/>
        <v>MRT44419</v>
      </c>
      <c r="E193" s="117" t="str">
        <f t="shared" si="38"/>
        <v>MRT444197</v>
      </c>
      <c r="F193" s="118">
        <f>qPCR_Raw!C193</f>
        <v>900</v>
      </c>
      <c r="G193" s="119">
        <f>qPCR_Raw!F193</f>
        <v>100</v>
      </c>
      <c r="H193" s="120">
        <f>qPCR_Raw!G193</f>
        <v>19.006036758422852</v>
      </c>
      <c r="I193" s="121" cm="1">
        <f t="array" ref="I193">_xlfn.IFS(H193="Undetermined", 0, qPCR_Raw!H193-qPCR_Raw!$H$242&lt;0, 0, qPCR_Raw!H193-qPCR_Raw!$H$242&gt;0, qPCR_Raw!H193-qPCR_Raw!$H$242)</f>
        <v>165474.04894612631</v>
      </c>
      <c r="J193" s="122">
        <f>qPCR_Raw!K193</f>
        <v>22.813756942749023</v>
      </c>
      <c r="K193" s="121" cm="1">
        <f t="array" ref="K193">_xlfn.IFS(J193="Undetermined", 0, qPCR_Raw!L193-qPCR_Raw!$H$242&lt;0, 0, qPCR_Raw!L193-qPCR_Raw!$H$242&gt;0, qPCR_Raw!L193-qPCR_Raw!$H$242)</f>
        <v>0</v>
      </c>
      <c r="L193" s="123" t="str" cm="1">
        <f t="array" ref="L193">_xlfn.IFS(AND(H193="Undetermined", J193="Undetermined"), "Undetermined", AND(I193=0, K193=0), "Undetermined", AND(I193=0, K193&gt;0), "Ten-Fold", AND(I193&gt;0, K193=0), "Undiluted", AND(H193&lt;&gt;"Undetermined", J193&lt;&gt;"Undetermined", I193&gt;0, K193&gt;0), 100*(-1+10^(-1/(H193-J193))))</f>
        <v>Undiluted</v>
      </c>
      <c r="M193" s="124" cm="1">
        <f t="array" ref="M193">_xlfn.IFS(L193="Undetermined", 0, L193="Undiluted", I193*$G193/$F193*1000, L193="Ten-Fold", K193*$G193/$F193*1000*10, L193&lt;0, K193*$G193/$F193*1000*10, L193&lt;120, I193*$G193/$F193*1000, L193&gt;120, K193*$G193/$F193*1000*10)</f>
        <v>18386005.43845848</v>
      </c>
      <c r="N193" s="121" t="str">
        <f t="shared" si="39"/>
        <v>DELETE</v>
      </c>
      <c r="O193" s="121" t="str">
        <f t="shared" si="40"/>
        <v>DELETE</v>
      </c>
      <c r="P193" s="121" t="str">
        <f t="shared" si="41"/>
        <v>DELETE</v>
      </c>
      <c r="Q193" s="125" t="str" cm="1">
        <f t="array" ref="Q193">_xlfn.IFS(N193="DELETE", "DELETE", N193=0, 0, N193&gt;0,LOG10(N193))</f>
        <v>DELETE</v>
      </c>
      <c r="R193" s="126" t="str" cm="1">
        <f t="array" ref="R193">_xlfn.IFS(N193="DELETE", "DELETE", N193=0, 0, N193&gt;0, P193/N193/LN(10))</f>
        <v>DELETE</v>
      </c>
      <c r="S193" s="155">
        <f>qPCR_Raw!O193</f>
        <v>32.299423217773438</v>
      </c>
      <c r="T193" s="156" cm="1">
        <f t="array" ref="T193">_xlfn.IFS(S193="Undetermined", 0, qPCR_Raw!P193&lt;=1, 0, qPCR_Raw!P193&gt;1, qPCR_Raw!P193)</f>
        <v>15.8677978515625</v>
      </c>
      <c r="U193" s="157">
        <f>qPCR_Raw!R193</f>
        <v>36.962139129638672</v>
      </c>
      <c r="V193" s="156" cm="1">
        <f t="array" ref="V193">_xlfn.IFS(U193="Undetermined", 0, qPCR_Raw!S193&lt;=1, 0, qPCR_Raw!S193&gt;1, qPCR_Raw!S193)</f>
        <v>0</v>
      </c>
      <c r="W193" s="158" t="str" cm="1">
        <f t="array" ref="W193">_xlfn.IFS(AND(S193="Undetermined", U193="Undetermined"), "Undetermined", AND(T193=0, V193=0), "Undetermined", AND(T193=0, V193&gt;0), "Ten-Fold", AND(T193&gt;0, V193=0), "Undiluted", AND(S193&lt;&gt;"Undetermined", U193&lt;&gt;"Undetermined", T193&gt;0, V193&gt;0, S193&lt;&gt;U193), 100*(-1+10^(-1/(S193-U193))), AND(S193&lt;&gt;"Undetermined", U193&lt;&gt;"Undetermined", S193=U193&gt;0), -100)</f>
        <v>Undiluted</v>
      </c>
      <c r="X193" s="159" cm="1">
        <f t="array" ref="X193">_xlfn.IFS(W193="Undetermined", 0, W193="Undiluted", T193*$G193/$F193*1000, W193="Ten-Fold", V193*$G193/$F193*1000*10, W193&lt;0, V193*$G193/$F193*1000*10, W193&lt;120, T193*$G193/$F193*1000, W193&gt;120, V193*$G193/$F193*1000*10)</f>
        <v>1763.0886501736111</v>
      </c>
      <c r="Y193" s="156" t="str">
        <f t="shared" si="42"/>
        <v>DELETE</v>
      </c>
      <c r="Z193" s="156" t="str">
        <f t="shared" si="43"/>
        <v>DELETE</v>
      </c>
      <c r="AA193" s="156" t="str">
        <f t="shared" si="44"/>
        <v>DELETE</v>
      </c>
      <c r="AB193" s="160" t="str" cm="1">
        <f t="array" ref="AB193">_xlfn.IFS(Y193="DELETE", "DELETE", Y193=0, 0, Y193&gt;0,LOG10(Y193))</f>
        <v>DELETE</v>
      </c>
      <c r="AC193" s="161" t="str" cm="1">
        <f t="array" ref="AC193">_xlfn.IFS(Y193="DELETE", "DELETE", Y193=0, 0, Y193&gt;0, AA193/Y193/LN(10))</f>
        <v>DELETE</v>
      </c>
      <c r="AD193" s="120" t="str">
        <f>qPCR_Raw!U193</f>
        <v>Undetermined</v>
      </c>
      <c r="AE193" s="121" cm="1">
        <f t="array" ref="AE193">_xlfn.IFS(AD193="Undetermined", 0, qPCR_Raw!V193&lt;=1, 0, qPCR_Raw!V193&gt;1, qPCR_Raw!V193)</f>
        <v>0</v>
      </c>
      <c r="AF193" s="122" t="str">
        <f>qPCR_Raw!X193</f>
        <v>Undetermined</v>
      </c>
      <c r="AG193" s="121" cm="1">
        <f t="array" ref="AG193">_xlfn.IFS(AF193="Undetermined", 0, qPCR_Raw!Y193&lt;=1, 0, qPCR_Raw!Y193&gt;1, qPCR_Raw!Y193)</f>
        <v>0</v>
      </c>
      <c r="AH193" s="123" t="str" cm="1">
        <f t="array" ref="AH193">_xlfn.IFS(AND(AD193="Undetermined", AF193="Undetermined"), "Undetermined", AND(AE193=0, AG193=0), "Undetermined", AND(AE193=0, AG193&gt;0), "Ten-Fold", AND(AE193&gt;0, AG193=0), "Undiluted", AND(AD193&lt;&gt;"Undetermined", AF193&lt;&gt;"Undetermined", AE193&gt;0, AG193&gt;0, AD193&lt;&gt;AF193), 100*(-1+10^(-1/(AD193-AF193))), AND(AD193&lt;&gt;"Undetermined", AF193&lt;&gt;"Undetermined", AD193=AF193&gt;0), -100)</f>
        <v>Undetermined</v>
      </c>
      <c r="AI193" s="124" cm="1">
        <f t="array" ref="AI193">_xlfn.IFS(AH193="Undetermined", 0, AH193="Undiluted", AE193*$G193/$F193*1000, AH193="Ten-Fold", AG193*$G193/$F193*1000*10, AH193&lt;0, AG193*$G193/$F193*1000*10, AH193&lt;120, AE193*$G193/$F193*1000, AH193&gt;120, AG193*$G193/$F193*1000*10)</f>
        <v>0</v>
      </c>
      <c r="AJ193" s="121" t="str">
        <f t="shared" si="45"/>
        <v>DELETE</v>
      </c>
      <c r="AK193" s="121" t="str">
        <f t="shared" si="46"/>
        <v>DELETE</v>
      </c>
      <c r="AL193" s="121" t="str">
        <f t="shared" si="47"/>
        <v>DELETE</v>
      </c>
      <c r="AM193" s="125" t="str" cm="1">
        <f t="array" ref="AM193">_xlfn.IFS(AJ193="DELETE", "DELETE", AJ193=0, 0, AJ193&gt;0,LOG10(AJ193))</f>
        <v>DELETE</v>
      </c>
      <c r="AN193" s="126" t="str" cm="1">
        <f t="array" ref="AN193">_xlfn.IFS(AJ193="DELETE", "DELETE", AJ193=0, 0, AJ193&gt;0, AL193/AJ193/LN(10))</f>
        <v>DELETE</v>
      </c>
      <c r="AO193" s="155" t="str">
        <f>qPCR_Raw!AA193</f>
        <v>Undetermined</v>
      </c>
      <c r="AP193" s="156" cm="1">
        <f t="array" ref="AP193">_xlfn.IFS(AO193="Undetermined", 0, qPCR_Raw!AB193&lt;=6, 0, qPCR_Raw!AB193&gt;6, qPCR_Raw!AB193)</f>
        <v>0</v>
      </c>
      <c r="AQ193" s="157">
        <f>qPCR_Raw!AD193</f>
        <v>33.627147674560547</v>
      </c>
      <c r="AR193" s="156" cm="1">
        <f t="array" ref="AR193">_xlfn.IFS(AQ193="Undetermined", 0, qPCR_Raw!AE193&lt;=6, 0, qPCR_Raw!AE193&gt;6, qPCR_Raw!AE193)</f>
        <v>0</v>
      </c>
      <c r="AS193" s="158" t="str" cm="1">
        <f t="array" ref="AS193">_xlfn.IFS(AND(AO193="Undetermined", AQ193="Undetermined"), "Undetermined", AND(AP193=0, AR193=0), "Undetermined", AND(AP193=0, AR193&gt;0), "Ten-Fold", AND(AP193&gt;0, AR193=0), "Undiluted", AND(AO193&lt;&gt;"Undetermined", AQ193&lt;&gt;"Undetermined", AP193&gt;0, AR193&gt;0, AO193&lt;&gt;AQ193), 100*(-1+10^(-1/(AO193-AQ193))), AND(AO193&lt;&gt;"Undetermined", AQ193&lt;&gt;"Undetermined", AO193=AQ193&gt;0), -100)</f>
        <v>Undetermined</v>
      </c>
      <c r="AT193" s="159" cm="1">
        <f t="array" ref="AT193">_xlfn.IFS(AS193="Undetermined", 0, AS193="Undiluted", AP193*$G193/$F193*1000, AS193="Ten-Fold", AR193*$G193/$F193*1000*10, AS193&lt;0, AR193*$G193/$F193*1000*10, AS193&lt;120, AP193*$G193/$F193*1000, AS193&gt;120, AR193*$G193/$F193*1000*10)</f>
        <v>0</v>
      </c>
      <c r="AU193" s="156" t="str">
        <f t="shared" si="48"/>
        <v>DELETE</v>
      </c>
      <c r="AV193" s="156" t="str">
        <f t="shared" si="49"/>
        <v>DELETE</v>
      </c>
      <c r="AW193" s="156" t="str">
        <f t="shared" si="50"/>
        <v>DELETE</v>
      </c>
      <c r="AX193" s="160" t="str" cm="1">
        <f t="array" ref="AX193">_xlfn.IFS(AU193="DELETE", "DELETE", AU193=0, 0, AU193&gt;0,LOG10(AU193))</f>
        <v>DELETE</v>
      </c>
      <c r="AY193" s="161" t="str" cm="1">
        <f t="array" ref="AY193">_xlfn.IFS(AU193="DELETE", "DELETE", AU193=0, 0, AU193&gt;0, AW193/AU193/LN(10))</f>
        <v>DELETE</v>
      </c>
      <c r="AZ193" s="120">
        <f>qPCR_Raw!AG193</f>
        <v>35.130546569824219</v>
      </c>
      <c r="BA193" s="121" cm="1">
        <f t="array" ref="BA193">_xlfn.IFS(AZ193="Undetermined", 0, qPCR_Raw!AH193&lt;=1, 0, qPCR_Raw!AH193&gt;1, qPCR_Raw!AH193)</f>
        <v>4.2157635688781738</v>
      </c>
      <c r="BB193" s="122" t="str">
        <f>qPCR_Raw!AJ193</f>
        <v>Undetermined</v>
      </c>
      <c r="BC193" s="121" cm="1">
        <f t="array" ref="BC193">_xlfn.IFS(BB193="Undetermined", 0, qPCR_Raw!AK193&lt;=1, 0, qPCR_Raw!AK193&gt;1, qPCR_Raw!AK193)</f>
        <v>0</v>
      </c>
      <c r="BD193" s="123" t="str" cm="1">
        <f t="array" ref="BD193">_xlfn.IFS(AND(AZ193="Undetermined", BB193="Undetermined"), "Undetermined", AND(BA193=0, BC193=0), "Undetermined", AND(BA193=0, BC193&gt;0), "Ten-Fold", AND(BA193&gt;0, BC193=0), "Undiluted", AND(AZ193&lt;&gt;"Undetermined", BB193&lt;&gt;"Undetermined", BA193&gt;0, BC193&gt;0, AZ193&lt;&gt;BB193), 100*(-1+10^(-1/(AZ193-BB193))), AND(AZ193&lt;&gt;"Undetermined", BB193&lt;&gt;"Undetermined", AZ193=BB193&gt;0), -100)</f>
        <v>Undiluted</v>
      </c>
      <c r="BE193" s="124" cm="1">
        <f t="array" ref="BE193">_xlfn.IFS(BD193="Undetermined", 0, BD193="Undiluted", BA193*$G193/$F193*1000, BD193="Ten-Fold", BC193*$G193/$F193*1000*10, BD193&lt;0, BC193*$G193/$F193*1000*10, BD193&lt;120, BA193*$G193/$F193*1000, BD193&gt;120, BC193*$G193/$F193*1000*10)</f>
        <v>468.41817431979712</v>
      </c>
      <c r="BF193" s="121" t="str">
        <f t="shared" si="51"/>
        <v>DELETE</v>
      </c>
      <c r="BG193" s="121" t="str">
        <f t="shared" si="52"/>
        <v>DELETE</v>
      </c>
      <c r="BH193" s="121" t="str">
        <f t="shared" si="53"/>
        <v>DELETE</v>
      </c>
      <c r="BI193" s="125" t="str" cm="1">
        <f t="array" ref="BI193">_xlfn.IFS(BF193="DELETE", "DELETE", BF193=0, 0, BF193&gt;0,LOG10(BF193))</f>
        <v>DELETE</v>
      </c>
      <c r="BJ193" s="126" t="str" cm="1">
        <f t="array" ref="BJ193">_xlfn.IFS(BF193="DELETE", "DELETE", BF193=0, 0, BF193&gt;0, BH193/BF193/LN(10))</f>
        <v>DELETE</v>
      </c>
    </row>
    <row r="194" spans="1:62" s="114" customFormat="1" x14ac:dyDescent="0.3">
      <c r="A194" s="115" t="str">
        <f>UPPER(LEFT(SUBSTITUTE(SUBSTITUTE(qPCR_Raw!A194,"-","")," ",""),2))&amp;RIGHT(SUBSTITUTE(SUBSTITUTE(qPCR_Raw!A194,"-","")," ",""),LEN(SUBSTITUTE(SUBSTITUTE(qPCR_Raw!A194,"-","")," ",""))-2)</f>
        <v>RT6</v>
      </c>
      <c r="B194" s="116" t="str" cm="1">
        <f t="array" ref="B194">_xlfn.IFS(LEFT(A194, LEN(A194)-1)="EP", "EP", LEFT(A194, LEN(A194)-1)="STa", "SPI", LEFT(A194, LEN(A194)-1)="STb", "SPO", LEFT(A194, LEN(A194)-1)="MRT", "MRT", LEFT(A194, LEN(A194)-1)="RG", "RN", LEFT(A194, LEN(A194)-1)="RT", "RU", LEFT(A194, LEN(A194)-1)="RW", "RL", LEFT(A194, LEN(A194)-1)="RC", "RS")</f>
        <v>RU</v>
      </c>
      <c r="C194" s="117">
        <f>qPCR_Raw!B194</f>
        <v>44419</v>
      </c>
      <c r="D194" s="117" t="str">
        <f t="shared" si="37"/>
        <v>RU44419</v>
      </c>
      <c r="E194" s="117" t="str">
        <f t="shared" si="38"/>
        <v>RU444196</v>
      </c>
      <c r="F194" s="118">
        <f>qPCR_Raw!C194</f>
        <v>900</v>
      </c>
      <c r="G194" s="119">
        <f>qPCR_Raw!F194</f>
        <v>100</v>
      </c>
      <c r="H194" s="120">
        <f>qPCR_Raw!G194</f>
        <v>14.459794044494629</v>
      </c>
      <c r="I194" s="121" cm="1">
        <f t="array" ref="I194">_xlfn.IFS(H194="Undetermined", 0, qPCR_Raw!H194-qPCR_Raw!$H$242&lt;0, 0, qPCR_Raw!H194-qPCR_Raw!$H$242&gt;0, qPCR_Raw!H194-qPCR_Raw!$H$242)</f>
        <v>4298957.8614461264</v>
      </c>
      <c r="J194" s="122">
        <f>qPCR_Raw!K194</f>
        <v>17.597894668579102</v>
      </c>
      <c r="K194" s="121" cm="1">
        <f t="array" ref="K194">_xlfn.IFS(J194="Undetermined", 0, qPCR_Raw!L194-qPCR_Raw!$H$242&lt;0, 0, qPCR_Raw!L194-qPCR_Raw!$H$242&gt;0, qPCR_Raw!L194-qPCR_Raw!$H$242)</f>
        <v>465584.86144612631</v>
      </c>
      <c r="L194" s="123" cm="1">
        <f t="array" ref="L194">_xlfn.IFS(AND(H194="Undetermined", J194="Undetermined"), "Undetermined", AND(I194=0, K194=0), "Undetermined", AND(I194=0, K194&gt;0), "Ten-Fold", AND(I194&gt;0, K194=0), "Undiluted", AND(H194&lt;&gt;"Undetermined", J194&lt;&gt;"Undetermined", I194&gt;0, K194&gt;0), 100*(-1+10^(-1/(H194-J194))))</f>
        <v>108.2879264322918</v>
      </c>
      <c r="M194" s="124" cm="1">
        <f t="array" ref="M194">_xlfn.IFS(L194="Undetermined", 0, L194="Undiluted", I194*$G194/$F194*1000, L194="Ten-Fold", K194*$G194/$F194*1000*10, L194&lt;0, K194*$G194/$F194*1000*10, L194&lt;120, I194*$G194/$F194*1000, L194&gt;120, K194*$G194/$F194*1000*10)</f>
        <v>477661984.60512513</v>
      </c>
      <c r="N194" s="121">
        <f t="shared" si="39"/>
        <v>293259200.57923603</v>
      </c>
      <c r="O194" s="121">
        <f t="shared" si="40"/>
        <v>260784918.10876903</v>
      </c>
      <c r="P194" s="121">
        <f t="shared" si="41"/>
        <v>184402784.02588904</v>
      </c>
      <c r="Q194" s="125" cm="1">
        <f t="array" ref="Q194">_xlfn.IFS(N194="DELETE", "DELETE", N194=0, 0, N194&gt;0,LOG10(N194))</f>
        <v>8.4672516463565746</v>
      </c>
      <c r="R194" s="126" cm="1">
        <f t="array" ref="R194">_xlfn.IFS(N194="DELETE", "DELETE", N194=0, 0, N194&gt;0, P194/N194/LN(10))</f>
        <v>0.27308644159112216</v>
      </c>
      <c r="S194" s="155">
        <f>qPCR_Raw!O194</f>
        <v>29.306299209594727</v>
      </c>
      <c r="T194" s="156" cm="1">
        <f t="array" ref="T194">_xlfn.IFS(S194="Undetermined", 0, qPCR_Raw!P194&lt;=1, 0, qPCR_Raw!P194&gt;1, qPCR_Raw!P194)</f>
        <v>126.27005004882813</v>
      </c>
      <c r="U194" s="157">
        <f>qPCR_Raw!R194</f>
        <v>33.101203918457031</v>
      </c>
      <c r="V194" s="156" cm="1">
        <f t="array" ref="V194">_xlfn.IFS(U194="Undetermined", 0, qPCR_Raw!S194&lt;=1, 0, qPCR_Raw!S194&gt;1, qPCR_Raw!S194)</f>
        <v>9.1037425994873047</v>
      </c>
      <c r="W194" s="158" cm="1">
        <f t="array" ref="W194">_xlfn.IFS(AND(S194="Undetermined", U194="Undetermined"), "Undetermined", AND(T194=0, V194=0), "Undetermined", AND(T194=0, V194&gt;0), "Ten-Fold", AND(T194&gt;0, V194=0), "Undiluted", AND(S194&lt;&gt;"Undetermined", U194&lt;&gt;"Undetermined", T194&gt;0, V194&gt;0, S194&lt;&gt;U194), 100*(-1+10^(-1/(S194-U194))), AND(S194&lt;&gt;"Undetermined", U194&lt;&gt;"Undetermined", S194=U194&gt;0), -100)</f>
        <v>83.447259393255905</v>
      </c>
      <c r="X194" s="159" cm="1">
        <f t="array" ref="X194">_xlfn.IFS(W194="Undetermined", 0, W194="Undiluted", T194*$G194/$F194*1000, W194="Ten-Fold", V194*$G194/$F194*1000*10, W194&lt;0, V194*$G194/$F194*1000*10, W194&lt;120, T194*$G194/$F194*1000, W194&gt;120, V194*$G194/$F194*1000*10)</f>
        <v>14030.005560980904</v>
      </c>
      <c r="Y194" s="156">
        <f t="shared" si="42"/>
        <v>12165.310158951736</v>
      </c>
      <c r="Z194" s="156">
        <f t="shared" si="43"/>
        <v>2637.0775272443998</v>
      </c>
      <c r="AA194" s="156">
        <f t="shared" si="44"/>
        <v>1864.6954020291676</v>
      </c>
      <c r="AB194" s="160" cm="1">
        <f t="array" ref="AB194">_xlfn.IFS(Y194="DELETE", "DELETE", Y194=0, 0, Y194&gt;0,LOG10(Y194))</f>
        <v>4.0851231859017831</v>
      </c>
      <c r="AC194" s="161" cm="1">
        <f t="array" ref="AC194">_xlfn.IFS(Y194="DELETE", "DELETE", Y194=0, 0, Y194&gt;0, AA194/Y194/LN(10))</f>
        <v>6.6568538980958838E-2</v>
      </c>
      <c r="AD194" s="120">
        <f>qPCR_Raw!U194</f>
        <v>29.873462677001953</v>
      </c>
      <c r="AE194" s="121" cm="1">
        <f t="array" ref="AE194">_xlfn.IFS(AD194="Undetermined", 0, qPCR_Raw!V194&lt;=1, 0, qPCR_Raw!V194&gt;1, qPCR_Raw!V194)</f>
        <v>49.326892852783203</v>
      </c>
      <c r="AF194" s="122">
        <f>qPCR_Raw!X194</f>
        <v>33.298820495605469</v>
      </c>
      <c r="AG194" s="121" cm="1">
        <f t="array" ref="AG194">_xlfn.IFS(AF194="Undetermined", 0, qPCR_Raw!Y194&lt;=1, 0, qPCR_Raw!Y194&gt;1, qPCR_Raw!Y194)</f>
        <v>5.4016132354736328</v>
      </c>
      <c r="AH194" s="123" cm="1">
        <f t="array" ref="AH194">_xlfn.IFS(AND(AD194="Undetermined", AF194="Undetermined"), "Undetermined", AND(AE194=0, AG194=0), "Undetermined", AND(AE194=0, AG194&gt;0), "Ten-Fold", AND(AE194&gt;0, AG194=0), "Undiluted", AND(AD194&lt;&gt;"Undetermined", AF194&lt;&gt;"Undetermined", AE194&gt;0, AG194&gt;0, AD194&lt;&gt;AF194), 100*(-1+10^(-1/(AD194-AF194))), AND(AD194&lt;&gt;"Undetermined", AF194&lt;&gt;"Undetermined", AD194=AF194&gt;0), -100)</f>
        <v>95.857543500007296</v>
      </c>
      <c r="AI194" s="124" cm="1">
        <f t="array" ref="AI194">_xlfn.IFS(AH194="Undetermined", 0, AH194="Undiluted", AE194*$G194/$F194*1000, AH194="Ten-Fold", AG194*$G194/$F194*1000*10, AH194&lt;0, AG194*$G194/$F194*1000*10, AH194&lt;120, AE194*$G194/$F194*1000, AH194&gt;120, AG194*$G194/$F194*1000*10)</f>
        <v>5480.7658725314677</v>
      </c>
      <c r="AJ194" s="121">
        <f t="shared" si="45"/>
        <v>13426.09979089443</v>
      </c>
      <c r="AK194" s="121">
        <f t="shared" si="46"/>
        <v>11236.398984931864</v>
      </c>
      <c r="AL194" s="121">
        <f t="shared" si="47"/>
        <v>7945.3339183629596</v>
      </c>
      <c r="AM194" s="125" cm="1">
        <f t="array" ref="AM194">_xlfn.IFS(AJ194="DELETE", "DELETE", AJ194=0, 0, AJ194&gt;0,LOG10(AJ194))</f>
        <v>4.1279498708001707</v>
      </c>
      <c r="AN194" s="126" cm="1">
        <f t="array" ref="AN194">_xlfn.IFS(AJ194="DELETE", "DELETE", AJ194=0, 0, AJ194&gt;0, AL194/AJ194/LN(10))</f>
        <v>0.25700797188800723</v>
      </c>
      <c r="AO194" s="155">
        <f>qPCR_Raw!AA194</f>
        <v>22.675451278686523</v>
      </c>
      <c r="AP194" s="156" cm="1">
        <f t="array" ref="AP194">_xlfn.IFS(AO194="Undetermined", 0, qPCR_Raw!AB194&lt;=6, 0, qPCR_Raw!AB194&gt;6, qPCR_Raw!AB194)</f>
        <v>589.6466064453125</v>
      </c>
      <c r="AQ194" s="157">
        <f>qPCR_Raw!AD194</f>
        <v>26.201759338378906</v>
      </c>
      <c r="AR194" s="156" cm="1">
        <f t="array" ref="AR194">_xlfn.IFS(AQ194="Undetermined", 0, qPCR_Raw!AE194&lt;=6, 0, qPCR_Raw!AE194&gt;6, qPCR_Raw!AE194)</f>
        <v>61.233737945556641</v>
      </c>
      <c r="AS194" s="158" cm="1">
        <f t="array" ref="AS194">_xlfn.IFS(AND(AO194="Undetermined", AQ194="Undetermined"), "Undetermined", AND(AP194=0, AR194=0), "Undetermined", AND(AP194=0, AR194&gt;0), "Ten-Fold", AND(AP194&gt;0, AR194=0), "Undiluted", AND(AO194&lt;&gt;"Undetermined", AQ194&lt;&gt;"Undetermined", AP194&gt;0, AR194&gt;0, AO194&lt;&gt;AQ194), 100*(-1+10^(-1/(AO194-AQ194))), AND(AO194&lt;&gt;"Undetermined", AQ194&lt;&gt;"Undetermined", AO194=AQ194&gt;0), -100)</f>
        <v>92.124482705655993</v>
      </c>
      <c r="AT194" s="159" cm="1">
        <f t="array" ref="AT194">_xlfn.IFS(AS194="Undetermined", 0, AS194="Undiluted", AP194*$G194/$F194*1000, AS194="Ten-Fold", AR194*$G194/$F194*1000*10, AS194&lt;0, AR194*$G194/$F194*1000*10, AS194&lt;120, AP194*$G194/$F194*1000, AS194&gt;120, AR194*$G194/$F194*1000*10)</f>
        <v>65516.289605034726</v>
      </c>
      <c r="AU194" s="156">
        <f t="shared" si="48"/>
        <v>33261.758571884537</v>
      </c>
      <c r="AV194" s="156">
        <f t="shared" si="49"/>
        <v>45614.795235064877</v>
      </c>
      <c r="AW194" s="156">
        <f t="shared" si="50"/>
        <v>32254.53103315019</v>
      </c>
      <c r="AX194" s="160" cm="1">
        <f t="array" ref="AX194">_xlfn.IFS(AU194="DELETE", "DELETE", AU194=0, 0, AU194&gt;0,LOG10(AU194))</f>
        <v>4.5219452069362802</v>
      </c>
      <c r="AY194" s="161" cm="1">
        <f t="array" ref="AY194">_xlfn.IFS(AU194="DELETE", "DELETE", AU194=0, 0, AU194&gt;0, AW194/AU194/LN(10))</f>
        <v>0.42114324213497706</v>
      </c>
      <c r="AZ194" s="120">
        <f>qPCR_Raw!AG194</f>
        <v>38.211170196533203</v>
      </c>
      <c r="BA194" s="121" cm="1">
        <f t="array" ref="BA194">_xlfn.IFS(AZ194="Undetermined", 0, qPCR_Raw!AH194&lt;=1, 0, qPCR_Raw!AH194&gt;1, qPCR_Raw!AH194)</f>
        <v>0</v>
      </c>
      <c r="BB194" s="122" t="str">
        <f>qPCR_Raw!AJ194</f>
        <v>Undetermined</v>
      </c>
      <c r="BC194" s="121" cm="1">
        <f t="array" ref="BC194">_xlfn.IFS(BB194="Undetermined", 0, qPCR_Raw!AK194&lt;=1, 0, qPCR_Raw!AK194&gt;1, qPCR_Raw!AK194)</f>
        <v>0</v>
      </c>
      <c r="BD194" s="123" t="str" cm="1">
        <f t="array" ref="BD194">_xlfn.IFS(AND(AZ194="Undetermined", BB194="Undetermined"), "Undetermined", AND(BA194=0, BC194=0), "Undetermined", AND(BA194=0, BC194&gt;0), "Ten-Fold", AND(BA194&gt;0, BC194=0), "Undiluted", AND(AZ194&lt;&gt;"Undetermined", BB194&lt;&gt;"Undetermined", BA194&gt;0, BC194&gt;0, AZ194&lt;&gt;BB194), 100*(-1+10^(-1/(AZ194-BB194))), AND(AZ194&lt;&gt;"Undetermined", BB194&lt;&gt;"Undetermined", AZ194=BB194&gt;0), -100)</f>
        <v>Undetermined</v>
      </c>
      <c r="BE194" s="124" cm="1">
        <f t="array" ref="BE194">_xlfn.IFS(BD194="Undetermined", 0, BD194="Undiluted", BA194*$G194/$F194*1000, BD194="Ten-Fold", BC194*$G194/$F194*1000*10, BD194&lt;0, BC194*$G194/$F194*1000*10, BD194&lt;120, BA194*$G194/$F194*1000, BD194&gt;120, BC194*$G194/$F194*1000*10)</f>
        <v>0</v>
      </c>
      <c r="BF194" s="121">
        <f t="shared" si="51"/>
        <v>0</v>
      </c>
      <c r="BG194" s="121">
        <f t="shared" si="52"/>
        <v>0</v>
      </c>
      <c r="BH194" s="121">
        <f t="shared" si="53"/>
        <v>0</v>
      </c>
      <c r="BI194" s="125" cm="1">
        <f t="array" ref="BI194">_xlfn.IFS(BF194="DELETE", "DELETE", BF194=0, 0, BF194&gt;0,LOG10(BF194))</f>
        <v>0</v>
      </c>
      <c r="BJ194" s="126" cm="1">
        <f t="array" ref="BJ194">_xlfn.IFS(BF194="DELETE", "DELETE", BF194=0, 0, BF194&gt;0, BH194/BF194/LN(10))</f>
        <v>0</v>
      </c>
    </row>
    <row r="195" spans="1:62" s="114" customFormat="1" x14ac:dyDescent="0.3">
      <c r="A195" s="115" t="str">
        <f>UPPER(LEFT(SUBSTITUTE(SUBSTITUTE(qPCR_Raw!A195,"-","")," ",""),2))&amp;RIGHT(SUBSTITUTE(SUBSTITUTE(qPCR_Raw!A195,"-","")," ",""),LEN(SUBSTITUTE(SUBSTITUTE(qPCR_Raw!A195,"-","")," ",""))-2)</f>
        <v>RT7</v>
      </c>
      <c r="B195" s="116" t="str" cm="1">
        <f t="array" ref="B195">_xlfn.IFS(LEFT(A195, LEN(A195)-1)="EP", "EP", LEFT(A195, LEN(A195)-1)="STa", "SPI", LEFT(A195, LEN(A195)-1)="STb", "SPO", LEFT(A195, LEN(A195)-1)="MRT", "MRT", LEFT(A195, LEN(A195)-1)="RG", "RN", LEFT(A195, LEN(A195)-1)="RT", "RU", LEFT(A195, LEN(A195)-1)="RW", "RL", LEFT(A195, LEN(A195)-1)="RC", "RS")</f>
        <v>RU</v>
      </c>
      <c r="C195" s="117">
        <f>qPCR_Raw!B195</f>
        <v>44419</v>
      </c>
      <c r="D195" s="117" t="str">
        <f t="shared" si="37"/>
        <v>RU44419</v>
      </c>
      <c r="E195" s="117" t="str">
        <f t="shared" si="38"/>
        <v>RU444197</v>
      </c>
      <c r="F195" s="118">
        <f>qPCR_Raw!C195</f>
        <v>930</v>
      </c>
      <c r="G195" s="119">
        <f>qPCR_Raw!F195</f>
        <v>100</v>
      </c>
      <c r="H195" s="120">
        <f>qPCR_Raw!G195</f>
        <v>16.510168075561523</v>
      </c>
      <c r="I195" s="121" cm="1">
        <f t="array" ref="I195">_xlfn.IFS(H195="Undetermined", 0, qPCR_Raw!H195-qPCR_Raw!$H$242&lt;0, 0, qPCR_Raw!H195-qPCR_Raw!$H$242&gt;0, qPCR_Raw!H195-qPCR_Raw!$H$242)</f>
        <v>1012364.6739461262</v>
      </c>
      <c r="J195" s="122">
        <f>qPCR_Raw!K195</f>
        <v>19.478096008300781</v>
      </c>
      <c r="K195" s="121" cm="1">
        <f t="array" ref="K195">_xlfn.IFS(J195="Undetermined", 0, qPCR_Raw!L195-qPCR_Raw!$H$242&lt;0, 0, qPCR_Raw!L195-qPCR_Raw!$H$242&gt;0, qPCR_Raw!L195-qPCR_Raw!$H$242)</f>
        <v>115225.15832112631</v>
      </c>
      <c r="L195" s="123" cm="1">
        <f t="array" ref="L195">_xlfn.IFS(AND(H195="Undetermined", J195="Undetermined"), "Undetermined", AND(I195=0, K195=0), "Undetermined", AND(I195=0, K195&gt;0), "Ten-Fold", AND(I195&gt;0, K195=0), "Undiluted", AND(H195&lt;&gt;"Undetermined", J195&lt;&gt;"Undetermined", I195&gt;0, K195&gt;0), 100*(-1+10^(-1/(H195-J195))))</f>
        <v>117.2378045085742</v>
      </c>
      <c r="M195" s="124" cm="1">
        <f t="array" ref="M195">_xlfn.IFS(L195="Undetermined", 0, L195="Undiluted", I195*$G195/$F195*1000, L195="Ten-Fold", K195*$G195/$F195*1000*10, L195&lt;0, K195*$G195/$F195*1000*10, L195&lt;120, I195*$G195/$F195*1000, L195&gt;120, K195*$G195/$F195*1000*10)</f>
        <v>108856416.5533469</v>
      </c>
      <c r="N195" s="121" t="str">
        <f t="shared" si="39"/>
        <v>DELETE</v>
      </c>
      <c r="O195" s="121" t="str">
        <f t="shared" si="40"/>
        <v>DELETE</v>
      </c>
      <c r="P195" s="121" t="str">
        <f t="shared" si="41"/>
        <v>DELETE</v>
      </c>
      <c r="Q195" s="125" t="str" cm="1">
        <f t="array" ref="Q195">_xlfn.IFS(N195="DELETE", "DELETE", N195=0, 0, N195&gt;0,LOG10(N195))</f>
        <v>DELETE</v>
      </c>
      <c r="R195" s="126" t="str" cm="1">
        <f t="array" ref="R195">_xlfn.IFS(N195="DELETE", "DELETE", N195=0, 0, N195&gt;0, P195/N195/LN(10))</f>
        <v>DELETE</v>
      </c>
      <c r="S195" s="155">
        <f>qPCR_Raw!O195</f>
        <v>31.713201522827148</v>
      </c>
      <c r="T195" s="156" cm="1">
        <f t="array" ref="T195">_xlfn.IFS(S195="Undetermined", 0, qPCR_Raw!P195&lt;=1, 0, qPCR_Raw!P195&gt;1, qPCR_Raw!P195)</f>
        <v>23.819940567016602</v>
      </c>
      <c r="U195" s="157">
        <f>qPCR_Raw!R195</f>
        <v>33.027683258056641</v>
      </c>
      <c r="V195" s="156" cm="1">
        <f t="array" ref="V195">_xlfn.IFS(U195="Undetermined", 0, qPCR_Raw!S195&lt;=1, 0, qPCR_Raw!S195&gt;1, qPCR_Raw!S195)</f>
        <v>9.5795717239379883</v>
      </c>
      <c r="W195" s="158" cm="1">
        <f t="array" ref="W195">_xlfn.IFS(AND(S195="Undetermined", U195="Undetermined"), "Undetermined", AND(T195=0, V195=0), "Undetermined", AND(T195=0, V195&gt;0), "Ten-Fold", AND(T195&gt;0, V195=0), "Undiluted", AND(S195&lt;&gt;"Undetermined", U195&lt;&gt;"Undetermined", T195&gt;0, V195&gt;0, S195&lt;&gt;U195), 100*(-1+10^(-1/(S195-U195))), AND(S195&lt;&gt;"Undetermined", U195&lt;&gt;"Undetermined", S195=U195&gt;0), -100)</f>
        <v>476.44264359430701</v>
      </c>
      <c r="X195" s="159" cm="1">
        <f t="array" ref="X195">_xlfn.IFS(W195="Undetermined", 0, W195="Undiluted", T195*$G195/$F195*1000, W195="Ten-Fold", V195*$G195/$F195*1000*10, W195&lt;0, V195*$G195/$F195*1000*10, W195&lt;120, T195*$G195/$F195*1000, W195&gt;120, V195*$G195/$F195*1000*10)</f>
        <v>10300.614756922569</v>
      </c>
      <c r="Y195" s="156" t="str">
        <f t="shared" si="42"/>
        <v>DELETE</v>
      </c>
      <c r="Z195" s="156" t="str">
        <f t="shared" si="43"/>
        <v>DELETE</v>
      </c>
      <c r="AA195" s="156" t="str">
        <f t="shared" si="44"/>
        <v>DELETE</v>
      </c>
      <c r="AB195" s="160" t="str" cm="1">
        <f t="array" ref="AB195">_xlfn.IFS(Y195="DELETE", "DELETE", Y195=0, 0, Y195&gt;0,LOG10(Y195))</f>
        <v>DELETE</v>
      </c>
      <c r="AC195" s="161" t="str" cm="1">
        <f t="array" ref="AC195">_xlfn.IFS(Y195="DELETE", "DELETE", Y195=0, 0, Y195&gt;0, AA195/Y195/LN(10))</f>
        <v>DELETE</v>
      </c>
      <c r="AD195" s="120">
        <f>qPCR_Raw!U195</f>
        <v>27.715202331542969</v>
      </c>
      <c r="AE195" s="121" cm="1">
        <f t="array" ref="AE195">_xlfn.IFS(AD195="Undetermined", 0, qPCR_Raw!V195&lt;=1, 0, qPCR_Raw!V195&gt;1, qPCR_Raw!V195)</f>
        <v>198.75433349609375</v>
      </c>
      <c r="AF195" s="122">
        <f>qPCR_Raw!X195</f>
        <v>31.813934326171875</v>
      </c>
      <c r="AG195" s="121" cm="1">
        <f t="array" ref="AG195">_xlfn.IFS(AF195="Undetermined", 0, qPCR_Raw!Y195&lt;=1, 0, qPCR_Raw!Y195&gt;1, qPCR_Raw!Y195)</f>
        <v>14.090439796447754</v>
      </c>
      <c r="AH195" s="123" cm="1">
        <f t="array" ref="AH195">_xlfn.IFS(AND(AD195="Undetermined", AF195="Undetermined"), "Undetermined", AND(AE195=0, AG195=0), "Undetermined", AND(AE195=0, AG195&gt;0), "Ten-Fold", AND(AE195&gt;0, AG195=0), "Undiluted", AND(AD195&lt;&gt;"Undetermined", AF195&lt;&gt;"Undetermined", AE195&gt;0, AG195&gt;0, AD195&lt;&gt;AF195), 100*(-1+10^(-1/(AD195-AF195))), AND(AD195&lt;&gt;"Undetermined", AF195&lt;&gt;"Undetermined", AD195=AF195&gt;0), -100)</f>
        <v>75.379122981875327</v>
      </c>
      <c r="AI195" s="124" cm="1">
        <f t="array" ref="AI195">_xlfn.IFS(AH195="Undetermined", 0, AH195="Undiluted", AE195*$G195/$F195*1000, AH195="Ten-Fold", AG195*$G195/$F195*1000*10, AH195&lt;0, AG195*$G195/$F195*1000*10, AH195&lt;120, AE195*$G195/$F195*1000, AH195&gt;120, AG195*$G195/$F195*1000*10)</f>
        <v>21371.433709257391</v>
      </c>
      <c r="AJ195" s="121" t="str">
        <f t="shared" si="45"/>
        <v>DELETE</v>
      </c>
      <c r="AK195" s="121" t="str">
        <f t="shared" si="46"/>
        <v>DELETE</v>
      </c>
      <c r="AL195" s="121" t="str">
        <f t="shared" si="47"/>
        <v>DELETE</v>
      </c>
      <c r="AM195" s="125" t="str" cm="1">
        <f t="array" ref="AM195">_xlfn.IFS(AJ195="DELETE", "DELETE", AJ195=0, 0, AJ195&gt;0,LOG10(AJ195))</f>
        <v>DELETE</v>
      </c>
      <c r="AN195" s="126" t="str" cm="1">
        <f t="array" ref="AN195">_xlfn.IFS(AJ195="DELETE", "DELETE", AJ195=0, 0, AJ195&gt;0, AL195/AJ195/LN(10))</f>
        <v>DELETE</v>
      </c>
      <c r="AO195" s="155">
        <f>qPCR_Raw!AA195</f>
        <v>29.124979019165039</v>
      </c>
      <c r="AP195" s="156" cm="1">
        <f t="array" ref="AP195">_xlfn.IFS(AO195="Undetermined", 0, qPCR_Raw!AB195&lt;=6, 0, qPCR_Raw!AB195&gt;6, qPCR_Raw!AB195)</f>
        <v>9.3672161102294922</v>
      </c>
      <c r="AQ195" s="157">
        <f>qPCR_Raw!AD195</f>
        <v>31.792131423950195</v>
      </c>
      <c r="AR195" s="156" cm="1">
        <f t="array" ref="AR195">_xlfn.IFS(AQ195="Undetermined", 0, qPCR_Raw!AE195&lt;=6, 0, qPCR_Raw!AE195&gt;6, qPCR_Raw!AE195)</f>
        <v>0</v>
      </c>
      <c r="AS195" s="158" t="str" cm="1">
        <f t="array" ref="AS195">_xlfn.IFS(AND(AO195="Undetermined", AQ195="Undetermined"), "Undetermined", AND(AP195=0, AR195=0), "Undetermined", AND(AP195=0, AR195&gt;0), "Ten-Fold", AND(AP195&gt;0, AR195=0), "Undiluted", AND(AO195&lt;&gt;"Undetermined", AQ195&lt;&gt;"Undetermined", AP195&gt;0, AR195&gt;0, AO195&lt;&gt;AQ195), 100*(-1+10^(-1/(AO195-AQ195))), AND(AO195&lt;&gt;"Undetermined", AQ195&lt;&gt;"Undetermined", AO195=AQ195&gt;0), -100)</f>
        <v>Undiluted</v>
      </c>
      <c r="AT195" s="159" cm="1">
        <f t="array" ref="AT195">_xlfn.IFS(AS195="Undetermined", 0, AS195="Undiluted", AP195*$G195/$F195*1000, AS195="Ten-Fold", AR195*$G195/$F195*1000*10, AS195&lt;0, AR195*$G195/$F195*1000*10, AS195&lt;120, AP195*$G195/$F195*1000, AS195&gt;120, AR195*$G195/$F195*1000*10)</f>
        <v>1007.2275387343539</v>
      </c>
      <c r="AU195" s="156" t="str">
        <f t="shared" si="48"/>
        <v>DELETE</v>
      </c>
      <c r="AV195" s="156" t="str">
        <f t="shared" si="49"/>
        <v>DELETE</v>
      </c>
      <c r="AW195" s="156" t="str">
        <f t="shared" si="50"/>
        <v>DELETE</v>
      </c>
      <c r="AX195" s="160" t="str" cm="1">
        <f t="array" ref="AX195">_xlfn.IFS(AU195="DELETE", "DELETE", AU195=0, 0, AU195&gt;0,LOG10(AU195))</f>
        <v>DELETE</v>
      </c>
      <c r="AY195" s="161" t="str" cm="1">
        <f t="array" ref="AY195">_xlfn.IFS(AU195="DELETE", "DELETE", AU195=0, 0, AU195&gt;0, AW195/AU195/LN(10))</f>
        <v>DELETE</v>
      </c>
      <c r="AZ195" s="120" t="str">
        <f>qPCR_Raw!AG195</f>
        <v>Undetermined</v>
      </c>
      <c r="BA195" s="121" cm="1">
        <f t="array" ref="BA195">_xlfn.IFS(AZ195="Undetermined", 0, qPCR_Raw!AH195&lt;=1, 0, qPCR_Raw!AH195&gt;1, qPCR_Raw!AH195)</f>
        <v>0</v>
      </c>
      <c r="BB195" s="122" t="str">
        <f>qPCR_Raw!AJ195</f>
        <v>Undetermined</v>
      </c>
      <c r="BC195" s="121" cm="1">
        <f t="array" ref="BC195">_xlfn.IFS(BB195="Undetermined", 0, qPCR_Raw!AK195&lt;=1, 0, qPCR_Raw!AK195&gt;1, qPCR_Raw!AK195)</f>
        <v>0</v>
      </c>
      <c r="BD195" s="123" t="str" cm="1">
        <f t="array" ref="BD195">_xlfn.IFS(AND(AZ195="Undetermined", BB195="Undetermined"), "Undetermined", AND(BA195=0, BC195=0), "Undetermined", AND(BA195=0, BC195&gt;0), "Ten-Fold", AND(BA195&gt;0, BC195=0), "Undiluted", AND(AZ195&lt;&gt;"Undetermined", BB195&lt;&gt;"Undetermined", BA195&gt;0, BC195&gt;0, AZ195&lt;&gt;BB195), 100*(-1+10^(-1/(AZ195-BB195))), AND(AZ195&lt;&gt;"Undetermined", BB195&lt;&gt;"Undetermined", AZ195=BB195&gt;0), -100)</f>
        <v>Undetermined</v>
      </c>
      <c r="BE195" s="124" cm="1">
        <f t="array" ref="BE195">_xlfn.IFS(BD195="Undetermined", 0, BD195="Undiluted", BA195*$G195/$F195*1000, BD195="Ten-Fold", BC195*$G195/$F195*1000*10, BD195&lt;0, BC195*$G195/$F195*1000*10, BD195&lt;120, BA195*$G195/$F195*1000, BD195&gt;120, BC195*$G195/$F195*1000*10)</f>
        <v>0</v>
      </c>
      <c r="BF195" s="121" t="str">
        <f t="shared" si="51"/>
        <v>DELETE</v>
      </c>
      <c r="BG195" s="121" t="str">
        <f t="shared" si="52"/>
        <v>DELETE</v>
      </c>
      <c r="BH195" s="121" t="str">
        <f t="shared" si="53"/>
        <v>DELETE</v>
      </c>
      <c r="BI195" s="125" t="str" cm="1">
        <f t="array" ref="BI195">_xlfn.IFS(BF195="DELETE", "DELETE", BF195=0, 0, BF195&gt;0,LOG10(BF195))</f>
        <v>DELETE</v>
      </c>
      <c r="BJ195" s="126" t="str" cm="1">
        <f t="array" ref="BJ195">_xlfn.IFS(BF195="DELETE", "DELETE", BF195=0, 0, BF195&gt;0, BH195/BF195/LN(10))</f>
        <v>DELETE</v>
      </c>
    </row>
    <row r="196" spans="1:62" s="114" customFormat="1" x14ac:dyDescent="0.3">
      <c r="A196" s="115" t="str">
        <f>UPPER(LEFT(SUBSTITUTE(SUBSTITUTE(qPCR_Raw!A196,"-","")," ",""),2))&amp;RIGHT(SUBSTITUTE(SUBSTITUTE(qPCR_Raw!A196,"-","")," ",""),LEN(SUBSTITUTE(SUBSTITUTE(qPCR_Raw!A196,"-","")," ",""))-2)</f>
        <v>STb6</v>
      </c>
      <c r="B196" s="116" t="str" cm="1">
        <f t="array" ref="B196">_xlfn.IFS(LEFT(A196, LEN(A196)-1)="EP", "EP", LEFT(A196, LEN(A196)-1)="STa", "SPI", LEFT(A196, LEN(A196)-1)="STb", "SPO", LEFT(A196, LEN(A196)-1)="MRT", "MRT", LEFT(A196, LEN(A196)-1)="RG", "RN", LEFT(A196, LEN(A196)-1)="RT", "RU", LEFT(A196, LEN(A196)-1)="RW", "RL", LEFT(A196, LEN(A196)-1)="RC", "RS")</f>
        <v>SPO</v>
      </c>
      <c r="C196" s="117">
        <f>qPCR_Raw!B196</f>
        <v>44419</v>
      </c>
      <c r="D196" s="117" t="str">
        <f t="shared" si="37"/>
        <v>SPO44419</v>
      </c>
      <c r="E196" s="117" t="str">
        <f t="shared" si="38"/>
        <v>SPO444196</v>
      </c>
      <c r="F196" s="118">
        <f>qPCR_Raw!C196</f>
        <v>1000</v>
      </c>
      <c r="G196" s="119">
        <f>qPCR_Raw!F196</f>
        <v>100</v>
      </c>
      <c r="H196" s="120">
        <f>qPCR_Raw!G196</f>
        <v>18.500480651855469</v>
      </c>
      <c r="I196" s="121" cm="1">
        <f t="array" ref="I196">_xlfn.IFS(H196="Undetermined", 0, qPCR_Raw!H196-qPCR_Raw!$H$242&lt;0, 0, qPCR_Raw!H196-qPCR_Raw!$H$242&gt;0, qPCR_Raw!H196-qPCR_Raw!$H$242)</f>
        <v>241314.93957112631</v>
      </c>
      <c r="J196" s="122">
        <f>qPCR_Raw!K196</f>
        <v>21.589138031005859</v>
      </c>
      <c r="K196" s="121" cm="1">
        <f t="array" ref="K196">_xlfn.IFS(J196="Undetermined", 0, qPCR_Raw!L196-qPCR_Raw!$H$242&lt;0, 0, qPCR_Raw!L196-qPCR_Raw!$H$242&gt;0, qPCR_Raw!L196-qPCR_Raw!$H$242)</f>
        <v>16235.675899251302</v>
      </c>
      <c r="L196" s="123" cm="1">
        <f t="array" ref="L196">_xlfn.IFS(AND(H196="Undetermined", J196="Undetermined"), "Undetermined", AND(I196=0, K196=0), "Undetermined", AND(I196=0, K196&gt;0), "Ten-Fold", AND(I196&gt;0, K196=0), "Undiluted", AND(H196&lt;&gt;"Undetermined", J196&lt;&gt;"Undetermined", I196&gt;0, K196&gt;0), 100*(-1+10^(-1/(H196-J196))))</f>
        <v>110.74887895419323</v>
      </c>
      <c r="M196" s="124" cm="1">
        <f t="array" ref="M196">_xlfn.IFS(L196="Undetermined", 0, L196="Undiluted", I196*$G196/$F196*1000, L196="Ten-Fold", K196*$G196/$F196*1000*10, L196&lt;0, K196*$G196/$F196*1000*10, L196&lt;120, I196*$G196/$F196*1000, L196&gt;120, K196*$G196/$F196*1000*10)</f>
        <v>24131493.957112629</v>
      </c>
      <c r="N196" s="121">
        <f t="shared" si="39"/>
        <v>29949175.790985227</v>
      </c>
      <c r="O196" s="121">
        <f t="shared" si="40"/>
        <v>8227444.5510341944</v>
      </c>
      <c r="P196" s="121">
        <f t="shared" si="41"/>
        <v>5817681.8338725884</v>
      </c>
      <c r="Q196" s="125" cm="1">
        <f t="array" ref="Q196">_xlfn.IFS(N196="DELETE", "DELETE", N196=0, 0, N196&gt;0,LOG10(N196))</f>
        <v>7.4763848749940305</v>
      </c>
      <c r="R196" s="126" cm="1">
        <f t="array" ref="R196">_xlfn.IFS(N196="DELETE", "DELETE", N196=0, 0, N196&gt;0, P196/N196/LN(10))</f>
        <v>8.4362492495708832E-2</v>
      </c>
      <c r="S196" s="155">
        <f>qPCR_Raw!O196</f>
        <v>29.808658599853516</v>
      </c>
      <c r="T196" s="156" cm="1">
        <f t="array" ref="T196">_xlfn.IFS(S196="Undetermined", 0, qPCR_Raw!P196&lt;=1, 0, qPCR_Raw!P196&gt;1, qPCR_Raw!P196)</f>
        <v>89.148651123046875</v>
      </c>
      <c r="U196" s="157">
        <f>qPCR_Raw!R196</f>
        <v>32.615322113037109</v>
      </c>
      <c r="V196" s="156" cm="1">
        <f t="array" ref="V196">_xlfn.IFS(U196="Undetermined", 0, qPCR_Raw!S196&lt;=1, 0, qPCR_Raw!S196&gt;1, qPCR_Raw!S196)</f>
        <v>12.748132705688477</v>
      </c>
      <c r="W196" s="158" cm="1">
        <f t="array" ref="W196">_xlfn.IFS(AND(S196="Undetermined", U196="Undetermined"), "Undetermined", AND(T196=0, V196=0), "Undetermined", AND(T196=0, V196&gt;0), "Ten-Fold", AND(T196&gt;0, V196=0), "Undiluted", AND(S196&lt;&gt;"Undetermined", U196&lt;&gt;"Undetermined", T196&gt;0, V196&gt;0, S196&lt;&gt;U196), 100*(-1+10^(-1/(S196-U196))), AND(S196&lt;&gt;"Undetermined", U196&lt;&gt;"Undetermined", S196=U196&gt;0), -100)</f>
        <v>127.14068811941068</v>
      </c>
      <c r="X196" s="159" cm="1">
        <f t="array" ref="X196">_xlfn.IFS(W196="Undetermined", 0, W196="Undiluted", T196*$G196/$F196*1000, W196="Ten-Fold", V196*$G196/$F196*1000*10, W196&lt;0, V196*$G196/$F196*1000*10, W196&lt;120, T196*$G196/$F196*1000, W196&gt;120, V196*$G196/$F196*1000*10)</f>
        <v>12748.132705688477</v>
      </c>
      <c r="Y196" s="156">
        <f t="shared" si="42"/>
        <v>10585.327707487961</v>
      </c>
      <c r="Z196" s="156">
        <f t="shared" si="43"/>
        <v>3058.6681612234838</v>
      </c>
      <c r="AA196" s="156">
        <f t="shared" si="44"/>
        <v>2162.8049982005136</v>
      </c>
      <c r="AB196" s="160" cm="1">
        <f t="array" ref="AB196">_xlfn.IFS(Y196="DELETE", "DELETE", Y196=0, 0, Y196&gt;0,LOG10(Y196))</f>
        <v>4.0247043077357461</v>
      </c>
      <c r="AC196" s="161" cm="1">
        <f t="array" ref="AC196">_xlfn.IFS(Y196="DELETE", "DELETE", Y196=0, 0, Y196&gt;0, AA196/Y196/LN(10))</f>
        <v>8.873549332693853E-2</v>
      </c>
      <c r="AD196" s="120">
        <f>qPCR_Raw!U196</f>
        <v>32.183826446533203</v>
      </c>
      <c r="AE196" s="121" cm="1">
        <f t="array" ref="AE196">_xlfn.IFS(AD196="Undetermined", 0, qPCR_Raw!V196&lt;=1, 0, qPCR_Raw!V196&gt;1, qPCR_Raw!V196)</f>
        <v>11.096783638000488</v>
      </c>
      <c r="AF196" s="122">
        <f>qPCR_Raw!X196</f>
        <v>35.081314086914063</v>
      </c>
      <c r="AG196" s="121" cm="1">
        <f t="array" ref="AG196">_xlfn.IFS(AF196="Undetermined", 0, qPCR_Raw!Y196&lt;=1, 0, qPCR_Raw!Y196&gt;1, qPCR_Raw!Y196)</f>
        <v>1.7086987495422363</v>
      </c>
      <c r="AH196" s="123" cm="1">
        <f t="array" ref="AH196">_xlfn.IFS(AND(AD196="Undetermined", AF196="Undetermined"), "Undetermined", AND(AE196=0, AG196=0), "Undetermined", AND(AE196=0, AG196&gt;0), "Ten-Fold", AND(AE196&gt;0, AG196=0), "Undiluted", AND(AD196&lt;&gt;"Undetermined", AF196&lt;&gt;"Undetermined", AE196&gt;0, AG196&gt;0, AD196&lt;&gt;AF196), 100*(-1+10^(-1/(AD196-AF196))), AND(AD196&lt;&gt;"Undetermined", AF196&lt;&gt;"Undetermined", AD196=AF196&gt;0), -100)</f>
        <v>121.37398350481456</v>
      </c>
      <c r="AI196" s="124" cm="1">
        <f t="array" ref="AI196">_xlfn.IFS(AH196="Undetermined", 0, AH196="Undiluted", AE196*$G196/$F196*1000, AH196="Ten-Fold", AG196*$G196/$F196*1000*10, AH196&lt;0, AG196*$G196/$F196*1000*10, AH196&lt;120, AE196*$G196/$F196*1000, AH196&gt;120, AG196*$G196/$F196*1000*10)</f>
        <v>1708.6987495422363</v>
      </c>
      <c r="AJ196" s="121">
        <f t="shared" si="45"/>
        <v>1335.8274191275411</v>
      </c>
      <c r="AK196" s="121">
        <f t="shared" si="46"/>
        <v>527.31969249256122</v>
      </c>
      <c r="AL196" s="121">
        <f t="shared" si="47"/>
        <v>372.87133041469497</v>
      </c>
      <c r="AM196" s="125" cm="1">
        <f t="array" ref="AM196">_xlfn.IFS(AJ196="DELETE", "DELETE", AJ196=0, 0, AJ196&gt;0,LOG10(AJ196))</f>
        <v>3.1257503535272613</v>
      </c>
      <c r="AN196" s="126" cm="1">
        <f t="array" ref="AN196">_xlfn.IFS(AJ196="DELETE", "DELETE", AJ196=0, 0, AJ196&gt;0, AL196/AJ196/LN(10))</f>
        <v>0.12122521138605627</v>
      </c>
      <c r="AO196" s="155">
        <f>qPCR_Raw!AA196</f>
        <v>30.048637390136719</v>
      </c>
      <c r="AP196" s="156" cm="1">
        <f t="array" ref="AP196">_xlfn.IFS(AO196="Undetermined", 0, qPCR_Raw!AB196&lt;=6, 0, qPCR_Raw!AB196&gt;6, qPCR_Raw!AB196)</f>
        <v>0</v>
      </c>
      <c r="AQ196" s="157" t="str">
        <f>qPCR_Raw!AD196</f>
        <v>Undetermined</v>
      </c>
      <c r="AR196" s="156" cm="1">
        <f t="array" ref="AR196">_xlfn.IFS(AQ196="Undetermined", 0, qPCR_Raw!AE196&lt;=6, 0, qPCR_Raw!AE196&gt;6, qPCR_Raw!AE196)</f>
        <v>0</v>
      </c>
      <c r="AS196" s="158" t="str" cm="1">
        <f t="array" ref="AS196">_xlfn.IFS(AND(AO196="Undetermined", AQ196="Undetermined"), "Undetermined", AND(AP196=0, AR196=0), "Undetermined", AND(AP196=0, AR196&gt;0), "Ten-Fold", AND(AP196&gt;0, AR196=0), "Undiluted", AND(AO196&lt;&gt;"Undetermined", AQ196&lt;&gt;"Undetermined", AP196&gt;0, AR196&gt;0, AO196&lt;&gt;AQ196), 100*(-1+10^(-1/(AO196-AQ196))), AND(AO196&lt;&gt;"Undetermined", AQ196&lt;&gt;"Undetermined", AO196=AQ196&gt;0), -100)</f>
        <v>Undetermined</v>
      </c>
      <c r="AT196" s="159" cm="1">
        <f t="array" ref="AT196">_xlfn.IFS(AS196="Undetermined", 0, AS196="Undiluted", AP196*$G196/$F196*1000, AS196="Ten-Fold", AR196*$G196/$F196*1000*10, AS196&lt;0, AR196*$G196/$F196*1000*10, AS196&lt;120, AP196*$G196/$F196*1000, AS196&gt;120, AR196*$G196/$F196*1000*10)</f>
        <v>0</v>
      </c>
      <c r="AU196" s="156">
        <f t="shared" si="48"/>
        <v>0</v>
      </c>
      <c r="AV196" s="156">
        <f t="shared" si="49"/>
        <v>0</v>
      </c>
      <c r="AW196" s="156">
        <f t="shared" si="50"/>
        <v>0</v>
      </c>
      <c r="AX196" s="160" cm="1">
        <f t="array" ref="AX196">_xlfn.IFS(AU196="DELETE", "DELETE", AU196=0, 0, AU196&gt;0,LOG10(AU196))</f>
        <v>0</v>
      </c>
      <c r="AY196" s="161" cm="1">
        <f t="array" ref="AY196">_xlfn.IFS(AU196="DELETE", "DELETE", AU196=0, 0, AU196&gt;0, AW196/AU196/LN(10))</f>
        <v>0</v>
      </c>
      <c r="AZ196" s="120" t="str">
        <f>qPCR_Raw!AG196</f>
        <v>Undetermined</v>
      </c>
      <c r="BA196" s="121" cm="1">
        <f t="array" ref="BA196">_xlfn.IFS(AZ196="Undetermined", 0, qPCR_Raw!AH196&lt;=1, 0, qPCR_Raw!AH196&gt;1, qPCR_Raw!AH196)</f>
        <v>0</v>
      </c>
      <c r="BB196" s="122" t="str">
        <f>qPCR_Raw!AJ196</f>
        <v>Undetermined</v>
      </c>
      <c r="BC196" s="121" cm="1">
        <f t="array" ref="BC196">_xlfn.IFS(BB196="Undetermined", 0, qPCR_Raw!AK196&lt;=1, 0, qPCR_Raw!AK196&gt;1, qPCR_Raw!AK196)</f>
        <v>0</v>
      </c>
      <c r="BD196" s="123" t="str" cm="1">
        <f t="array" ref="BD196">_xlfn.IFS(AND(AZ196="Undetermined", BB196="Undetermined"), "Undetermined", AND(BA196=0, BC196=0), "Undetermined", AND(BA196=0, BC196&gt;0), "Ten-Fold", AND(BA196&gt;0, BC196=0), "Undiluted", AND(AZ196&lt;&gt;"Undetermined", BB196&lt;&gt;"Undetermined", BA196&gt;0, BC196&gt;0, AZ196&lt;&gt;BB196), 100*(-1+10^(-1/(AZ196-BB196))), AND(AZ196&lt;&gt;"Undetermined", BB196&lt;&gt;"Undetermined", AZ196=BB196&gt;0), -100)</f>
        <v>Undetermined</v>
      </c>
      <c r="BE196" s="124" cm="1">
        <f t="array" ref="BE196">_xlfn.IFS(BD196="Undetermined", 0, BD196="Undiluted", BA196*$G196/$F196*1000, BD196="Ten-Fold", BC196*$G196/$F196*1000*10, BD196&lt;0, BC196*$G196/$F196*1000*10, BD196&lt;120, BA196*$G196/$F196*1000, BD196&gt;120, BC196*$G196/$F196*1000*10)</f>
        <v>0</v>
      </c>
      <c r="BF196" s="121">
        <f t="shared" si="51"/>
        <v>0</v>
      </c>
      <c r="BG196" s="121">
        <f t="shared" si="52"/>
        <v>0</v>
      </c>
      <c r="BH196" s="121">
        <f t="shared" si="53"/>
        <v>0</v>
      </c>
      <c r="BI196" s="125" cm="1">
        <f t="array" ref="BI196">_xlfn.IFS(BF196="DELETE", "DELETE", BF196=0, 0, BF196&gt;0,LOG10(BF196))</f>
        <v>0</v>
      </c>
      <c r="BJ196" s="126" cm="1">
        <f t="array" ref="BJ196">_xlfn.IFS(BF196="DELETE", "DELETE", BF196=0, 0, BF196&gt;0, BH196/BF196/LN(10))</f>
        <v>0</v>
      </c>
    </row>
    <row r="197" spans="1:62" s="114" customFormat="1" x14ac:dyDescent="0.3">
      <c r="A197" s="115" t="str">
        <f>UPPER(LEFT(SUBSTITUTE(SUBSTITUTE(qPCR_Raw!A197,"-","")," ",""),2))&amp;RIGHT(SUBSTITUTE(SUBSTITUTE(qPCR_Raw!A197,"-","")," ",""),LEN(SUBSTITUTE(SUBSTITUTE(qPCR_Raw!A197,"-","")," ",""))-2)</f>
        <v>STb7</v>
      </c>
      <c r="B197" s="116" t="str" cm="1">
        <f t="array" ref="B197">_xlfn.IFS(LEFT(A197, LEN(A197)-1)="EP", "EP", LEFT(A197, LEN(A197)-1)="STa", "SPI", LEFT(A197, LEN(A197)-1)="STb", "SPO", LEFT(A197, LEN(A197)-1)="MRT", "MRT", LEFT(A197, LEN(A197)-1)="RG", "RN", LEFT(A197, LEN(A197)-1)="RT", "RU", LEFT(A197, LEN(A197)-1)="RW", "RL", LEFT(A197, LEN(A197)-1)="RC", "RS")</f>
        <v>SPO</v>
      </c>
      <c r="C197" s="117">
        <f>qPCR_Raw!B197</f>
        <v>44419</v>
      </c>
      <c r="D197" s="117" t="str">
        <f t="shared" ref="D197:D235" si="54">B197&amp;C197</f>
        <v>SPO44419</v>
      </c>
      <c r="E197" s="117" t="str">
        <f t="shared" ref="E197:E235" si="55">D197&amp;RIGHT(A197,1)</f>
        <v>SPO444197</v>
      </c>
      <c r="F197" s="118">
        <f>qPCR_Raw!C197</f>
        <v>870</v>
      </c>
      <c r="G197" s="119">
        <f>qPCR_Raw!F197</f>
        <v>100</v>
      </c>
      <c r="H197" s="120">
        <f>qPCR_Raw!G197</f>
        <v>18.10639762878418</v>
      </c>
      <c r="I197" s="121" cm="1">
        <f t="array" ref="I197">_xlfn.IFS(H197="Undetermined", 0, qPCR_Raw!H197-qPCR_Raw!$H$242&lt;0, 0, qPCR_Raw!H197-qPCR_Raw!$H$242&gt;0, qPCR_Raw!H197-qPCR_Raw!$H$242)</f>
        <v>322165.86144612631</v>
      </c>
      <c r="J197" s="122">
        <f>qPCR_Raw!K197</f>
        <v>21.001501083374023</v>
      </c>
      <c r="K197" s="121" cm="1">
        <f t="array" ref="K197">_xlfn.IFS(J197="Undetermined", 0, qPCR_Raw!L197-qPCR_Raw!$H$242&lt;0, 0, qPCR_Raw!L197-qPCR_Raw!$H$242&gt;0, qPCR_Raw!L197-qPCR_Raw!$H$242)</f>
        <v>31117.166133626302</v>
      </c>
      <c r="L197" s="123" cm="1">
        <f t="array" ref="L197">_xlfn.IFS(AND(H197="Undetermined", J197="Undetermined"), "Undetermined", AND(I197=0, K197=0), "Undetermined", AND(I197=0, K197&gt;0), "Ten-Fold", AND(I197&gt;0, K197=0), "Undiluted", AND(H197&lt;&gt;"Undetermined", J197&lt;&gt;"Undetermined", I197&gt;0, K197&gt;0), 100*(-1+10^(-1/(H197-J197))))</f>
        <v>121.51890700085789</v>
      </c>
      <c r="M197" s="124" cm="1">
        <f t="array" ref="M197">_xlfn.IFS(L197="Undetermined", 0, L197="Undiluted", I197*$G197/$F197*1000, L197="Ten-Fold", K197*$G197/$F197*1000*10, L197&lt;0, K197*$G197/$F197*1000*10, L197&lt;120, I197*$G197/$F197*1000, L197&gt;120, K197*$G197/$F197*1000*10)</f>
        <v>35766857.624857821</v>
      </c>
      <c r="N197" s="121" t="str">
        <f t="shared" ref="N197:N235" si="56">IF($D197&lt;&gt;$D198,"DELETE",AVERAGE(M197:M198))</f>
        <v>DELETE</v>
      </c>
      <c r="O197" s="121" t="str">
        <f t="shared" ref="O197:O235" si="57">IF($D197&lt;&gt;$D198,"DELETE", STDEV(M197:M198))</f>
        <v>DELETE</v>
      </c>
      <c r="P197" s="121" t="str">
        <f t="shared" ref="P197:P235" si="58">IF(O197&lt;&gt;"DELETE", O197/2^0.5, "DELETE")</f>
        <v>DELETE</v>
      </c>
      <c r="Q197" s="125" t="str" cm="1">
        <f t="array" ref="Q197">_xlfn.IFS(N197="DELETE", "DELETE", N197=0, 0, N197&gt;0,LOG10(N197))</f>
        <v>DELETE</v>
      </c>
      <c r="R197" s="126" t="str" cm="1">
        <f t="array" ref="R197">_xlfn.IFS(N197="DELETE", "DELETE", N197=0, 0, N197&gt;0, P197/N197/LN(10))</f>
        <v>DELETE</v>
      </c>
      <c r="S197" s="155">
        <f>qPCR_Raw!O197</f>
        <v>30.091606140136719</v>
      </c>
      <c r="T197" s="156" cm="1">
        <f t="array" ref="T197">_xlfn.IFS(S197="Undetermined", 0, qPCR_Raw!P197&lt;=1, 0, qPCR_Raw!P197&gt;1, qPCR_Raw!P197)</f>
        <v>73.275947570800781</v>
      </c>
      <c r="U197" s="157">
        <f>qPCR_Raw!R197</f>
        <v>33.914192199707031</v>
      </c>
      <c r="V197" s="156" cm="1">
        <f t="array" ref="V197">_xlfn.IFS(U197="Undetermined", 0, qPCR_Raw!S197&lt;=1, 0, qPCR_Raw!S197&gt;1, qPCR_Raw!S197)</f>
        <v>5.1826314926147461</v>
      </c>
      <c r="W197" s="158" cm="1">
        <f t="array" ref="W197">_xlfn.IFS(AND(S197="Undetermined", U197="Undetermined"), "Undetermined", AND(T197=0, V197=0), "Undetermined", AND(T197=0, V197&gt;0), "Ten-Fold", AND(T197&gt;0, V197=0), "Undiluted", AND(S197&lt;&gt;"Undetermined", U197&lt;&gt;"Undetermined", T197&gt;0, V197&gt;0, S197&lt;&gt;U197), 100*(-1+10^(-1/(S197-U197))), AND(S197&lt;&gt;"Undetermined", U197&lt;&gt;"Undetermined", S197=U197&gt;0), -100)</f>
        <v>82.642988622869026</v>
      </c>
      <c r="X197" s="159" cm="1">
        <f t="array" ref="X197">_xlfn.IFS(W197="Undetermined", 0, W197="Undiluted", T197*$G197/$F197*1000, W197="Ten-Fold", V197*$G197/$F197*1000*10, W197&lt;0, V197*$G197/$F197*1000*10, W197&lt;120, T197*$G197/$F197*1000, W197&gt;120, V197*$G197/$F197*1000*10)</f>
        <v>8422.5227092874447</v>
      </c>
      <c r="Y197" s="156" t="str">
        <f t="shared" ref="Y197:Y235" si="59">IF($D197&lt;&gt;$D198,"DELETE",AVERAGE(X197:X198))</f>
        <v>DELETE</v>
      </c>
      <c r="Z197" s="156" t="str">
        <f t="shared" ref="Z197:Z234" si="60">IF($D197&lt;&gt;$D198,"DELETE", STDEV(X197:X198))</f>
        <v>DELETE</v>
      </c>
      <c r="AA197" s="156" t="str">
        <f t="shared" ref="AA197:AA235" si="61">IF(Z197&lt;&gt;"DELETE", Z197/2^0.5, "DELETE")</f>
        <v>DELETE</v>
      </c>
      <c r="AB197" s="160" t="str" cm="1">
        <f t="array" ref="AB197">_xlfn.IFS(Y197="DELETE", "DELETE", Y197=0, 0, Y197&gt;0,LOG10(Y197))</f>
        <v>DELETE</v>
      </c>
      <c r="AC197" s="161" t="str" cm="1">
        <f t="array" ref="AC197">_xlfn.IFS(Y197="DELETE", "DELETE", Y197=0, 0, Y197&gt;0, AA197/Y197/LN(10))</f>
        <v>DELETE</v>
      </c>
      <c r="AD197" s="120">
        <f>qPCR_Raw!U197</f>
        <v>32.619132995605469</v>
      </c>
      <c r="AE197" s="121" cm="1">
        <f t="array" ref="AE197">_xlfn.IFS(AD197="Undetermined", 0, qPCR_Raw!V197&lt;=1, 0, qPCR_Raw!V197&gt;1, qPCR_Raw!V197)</f>
        <v>8.3777179718017578</v>
      </c>
      <c r="AF197" s="122">
        <f>qPCR_Raw!X197</f>
        <v>36.211864471435547</v>
      </c>
      <c r="AG197" s="121" cm="1">
        <f t="array" ref="AG197">_xlfn.IFS(AF197="Undetermined", 0, qPCR_Raw!Y197&lt;=1, 0, qPCR_Raw!Y197&gt;1, qPCR_Raw!Y197)</f>
        <v>0</v>
      </c>
      <c r="AH197" s="123" t="str" cm="1">
        <f t="array" ref="AH197">_xlfn.IFS(AND(AD197="Undetermined", AF197="Undetermined"), "Undetermined", AND(AE197=0, AG197=0), "Undetermined", AND(AE197=0, AG197&gt;0), "Ten-Fold", AND(AE197&gt;0, AG197=0), "Undiluted", AND(AD197&lt;&gt;"Undetermined", AF197&lt;&gt;"Undetermined", AE197&gt;0, AG197&gt;0, AD197&lt;&gt;AF197), 100*(-1+10^(-1/(AD197-AF197))), AND(AD197&lt;&gt;"Undetermined", AF197&lt;&gt;"Undetermined", AD197=AF197&gt;0), -100)</f>
        <v>Undiluted</v>
      </c>
      <c r="AI197" s="124" cm="1">
        <f t="array" ref="AI197">_xlfn.IFS(AH197="Undetermined", 0, AH197="Undiluted", AE197*$G197/$F197*1000, AH197="Ten-Fold", AG197*$G197/$F197*1000*10, AH197&lt;0, AG197*$G197/$F197*1000*10, AH197&lt;120, AE197*$G197/$F197*1000, AH197&gt;120, AG197*$G197/$F197*1000*10)</f>
        <v>962.95608871284583</v>
      </c>
      <c r="AJ197" s="121" t="str">
        <f t="shared" ref="AJ197:AJ235" si="62">IF($D197&lt;&gt;$D198,"DELETE",AVERAGE(AI197:AI198))</f>
        <v>DELETE</v>
      </c>
      <c r="AK197" s="121" t="str">
        <f t="shared" ref="AK197:AK235" si="63">IF($D197&lt;&gt;$D198,"DELETE", STDEV(AI197:AI198))</f>
        <v>DELETE</v>
      </c>
      <c r="AL197" s="121" t="str">
        <f t="shared" ref="AL197:AL235" si="64">IF(AK197&lt;&gt;"DELETE", AK197/2^0.5, "DELETE")</f>
        <v>DELETE</v>
      </c>
      <c r="AM197" s="125" t="str" cm="1">
        <f t="array" ref="AM197">_xlfn.IFS(AJ197="DELETE", "DELETE", AJ197=0, 0, AJ197&gt;0,LOG10(AJ197))</f>
        <v>DELETE</v>
      </c>
      <c r="AN197" s="126" t="str" cm="1">
        <f t="array" ref="AN197">_xlfn.IFS(AJ197="DELETE", "DELETE", AJ197=0, 0, AJ197&gt;0, AL197/AJ197/LN(10))</f>
        <v>DELETE</v>
      </c>
      <c r="AO197" s="155">
        <f>qPCR_Raw!AA197</f>
        <v>30.089418411254883</v>
      </c>
      <c r="AP197" s="156" cm="1">
        <f t="array" ref="AP197">_xlfn.IFS(AO197="Undetermined", 0, qPCR_Raw!AB197&lt;=6, 0, qPCR_Raw!AB197&gt;6, qPCR_Raw!AB197)</f>
        <v>0</v>
      </c>
      <c r="AQ197" s="157">
        <f>qPCR_Raw!AD197</f>
        <v>31.346036911010742</v>
      </c>
      <c r="AR197" s="156" cm="1">
        <f t="array" ref="AR197">_xlfn.IFS(AQ197="Undetermined", 0, qPCR_Raw!AE197&lt;=6, 0, qPCR_Raw!AE197&gt;6, qPCR_Raw!AE197)</f>
        <v>0</v>
      </c>
      <c r="AS197" s="158" t="str" cm="1">
        <f t="array" ref="AS197">_xlfn.IFS(AND(AO197="Undetermined", AQ197="Undetermined"), "Undetermined", AND(AP197=0, AR197=0), "Undetermined", AND(AP197=0, AR197&gt;0), "Ten-Fold", AND(AP197&gt;0, AR197=0), "Undiluted", AND(AO197&lt;&gt;"Undetermined", AQ197&lt;&gt;"Undetermined", AP197&gt;0, AR197&gt;0, AO197&lt;&gt;AQ197), 100*(-1+10^(-1/(AO197-AQ197))), AND(AO197&lt;&gt;"Undetermined", AQ197&lt;&gt;"Undetermined", AO197=AQ197&gt;0), -100)</f>
        <v>Undetermined</v>
      </c>
      <c r="AT197" s="159" cm="1">
        <f t="array" ref="AT197">_xlfn.IFS(AS197="Undetermined", 0, AS197="Undiluted", AP197*$G197/$F197*1000, AS197="Ten-Fold", AR197*$G197/$F197*1000*10, AS197&lt;0, AR197*$G197/$F197*1000*10, AS197&lt;120, AP197*$G197/$F197*1000, AS197&gt;120, AR197*$G197/$F197*1000*10)</f>
        <v>0</v>
      </c>
      <c r="AU197" s="156" t="str">
        <f t="shared" ref="AU197:AU235" si="65">IF($D197&lt;&gt;$D198,"DELETE",AVERAGE(AT197:AT198))</f>
        <v>DELETE</v>
      </c>
      <c r="AV197" s="156" t="str">
        <f t="shared" ref="AV197:AV235" si="66">IF($D197&lt;&gt;$D198,"DELETE", STDEV(AT197:AT198))</f>
        <v>DELETE</v>
      </c>
      <c r="AW197" s="156" t="str">
        <f t="shared" ref="AW197:AW235" si="67">IF(AV197&lt;&gt;"DELETE", AV197/2^0.5, "DELETE")</f>
        <v>DELETE</v>
      </c>
      <c r="AX197" s="160" t="str" cm="1">
        <f t="array" ref="AX197">_xlfn.IFS(AU197="DELETE", "DELETE", AU197=0, 0, AU197&gt;0,LOG10(AU197))</f>
        <v>DELETE</v>
      </c>
      <c r="AY197" s="161" t="str" cm="1">
        <f t="array" ref="AY197">_xlfn.IFS(AU197="DELETE", "DELETE", AU197=0, 0, AU197&gt;0, AW197/AU197/LN(10))</f>
        <v>DELETE</v>
      </c>
      <c r="AZ197" s="120" t="str">
        <f>qPCR_Raw!AG197</f>
        <v>Undetermined</v>
      </c>
      <c r="BA197" s="121" cm="1">
        <f t="array" ref="BA197">_xlfn.IFS(AZ197="Undetermined", 0, qPCR_Raw!AH197&lt;=1, 0, qPCR_Raw!AH197&gt;1, qPCR_Raw!AH197)</f>
        <v>0</v>
      </c>
      <c r="BB197" s="122" t="str">
        <f>qPCR_Raw!AJ197</f>
        <v>Undetermined</v>
      </c>
      <c r="BC197" s="121" cm="1">
        <f t="array" ref="BC197">_xlfn.IFS(BB197="Undetermined", 0, qPCR_Raw!AK197&lt;=1, 0, qPCR_Raw!AK197&gt;1, qPCR_Raw!AK197)</f>
        <v>0</v>
      </c>
      <c r="BD197" s="123" t="str" cm="1">
        <f t="array" ref="BD197">_xlfn.IFS(AND(AZ197="Undetermined", BB197="Undetermined"), "Undetermined", AND(BA197=0, BC197=0), "Undetermined", AND(BA197=0, BC197&gt;0), "Ten-Fold", AND(BA197&gt;0, BC197=0), "Undiluted", AND(AZ197&lt;&gt;"Undetermined", BB197&lt;&gt;"Undetermined", BA197&gt;0, BC197&gt;0, AZ197&lt;&gt;BB197), 100*(-1+10^(-1/(AZ197-BB197))), AND(AZ197&lt;&gt;"Undetermined", BB197&lt;&gt;"Undetermined", AZ197=BB197&gt;0), -100)</f>
        <v>Undetermined</v>
      </c>
      <c r="BE197" s="124" cm="1">
        <f t="array" ref="BE197">_xlfn.IFS(BD197="Undetermined", 0, BD197="Undiluted", BA197*$G197/$F197*1000, BD197="Ten-Fold", BC197*$G197/$F197*1000*10, BD197&lt;0, BC197*$G197/$F197*1000*10, BD197&lt;120, BA197*$G197/$F197*1000, BD197&gt;120, BC197*$G197/$F197*1000*10)</f>
        <v>0</v>
      </c>
      <c r="BF197" s="121" t="str">
        <f t="shared" ref="BF197:BF235" si="68">IF($D197&lt;&gt;$D198,"DELETE",AVERAGE(BE197:BE198))</f>
        <v>DELETE</v>
      </c>
      <c r="BG197" s="121" t="str">
        <f t="shared" ref="BG197:BG235" si="69">IF($D197&lt;&gt;$D198,"DELETE", STDEV(BE197:BE198))</f>
        <v>DELETE</v>
      </c>
      <c r="BH197" s="121" t="str">
        <f t="shared" ref="BH197:BH235" si="70">IF(BG197&lt;&gt;"DELETE", BG197/2^0.5, "DELETE")</f>
        <v>DELETE</v>
      </c>
      <c r="BI197" s="125" t="str" cm="1">
        <f t="array" ref="BI197">_xlfn.IFS(BF197="DELETE", "DELETE", BF197=0, 0, BF197&gt;0,LOG10(BF197))</f>
        <v>DELETE</v>
      </c>
      <c r="BJ197" s="126" t="str" cm="1">
        <f t="array" ref="BJ197">_xlfn.IFS(BF197="DELETE", "DELETE", BF197=0, 0, BF197&gt;0, BH197/BF197/LN(10))</f>
        <v>DELETE</v>
      </c>
    </row>
    <row r="198" spans="1:62" s="114" customFormat="1" x14ac:dyDescent="0.3">
      <c r="A198" s="115" t="str">
        <f>UPPER(LEFT(SUBSTITUTE(SUBSTITUTE(qPCR_Raw!A198,"-","")," ",""),2))&amp;RIGHT(SUBSTITUTE(SUBSTITUTE(qPCR_Raw!A198,"-","")," ",""),LEN(SUBSTITUTE(SUBSTITUTE(qPCR_Raw!A198,"-","")," ",""))-2)</f>
        <v>RC6</v>
      </c>
      <c r="B198" s="116" t="str" cm="1">
        <f t="array" ref="B198">_xlfn.IFS(LEFT(A198, LEN(A198)-1)="EP", "EP", LEFT(A198, LEN(A198)-1)="STa", "SPI", LEFT(A198, LEN(A198)-1)="STb", "SPO", LEFT(A198, LEN(A198)-1)="MRT", "MRT", LEFT(A198, LEN(A198)-1)="RG", "RN", LEFT(A198, LEN(A198)-1)="RT", "RU", LEFT(A198, LEN(A198)-1)="RW", "RL", LEFT(A198, LEN(A198)-1)="RC", "RS")</f>
        <v>RS</v>
      </c>
      <c r="C198" s="117">
        <f>qPCR_Raw!B198</f>
        <v>44419</v>
      </c>
      <c r="D198" s="117" t="str">
        <f t="shared" si="54"/>
        <v>RS44419</v>
      </c>
      <c r="E198" s="117" t="str">
        <f t="shared" si="55"/>
        <v>RS444196</v>
      </c>
      <c r="F198" s="118">
        <f>qPCR_Raw!C198</f>
        <v>910</v>
      </c>
      <c r="G198" s="119">
        <f>qPCR_Raw!F198</f>
        <v>100</v>
      </c>
      <c r="H198" s="120">
        <f>qPCR_Raw!G198</f>
        <v>16.415937423706055</v>
      </c>
      <c r="I198" s="121" cm="1">
        <f t="array" ref="I198">_xlfn.IFS(H198="Undetermined", 0, qPCR_Raw!H198-qPCR_Raw!$H$242&lt;0, 0, qPCR_Raw!H198-qPCR_Raw!$H$242&gt;0, qPCR_Raw!H198-qPCR_Raw!$H$242)</f>
        <v>1082333.7364461264</v>
      </c>
      <c r="J198" s="122">
        <f>qPCR_Raw!K198</f>
        <v>19.593421936035156</v>
      </c>
      <c r="K198" s="121" cm="1">
        <f t="array" ref="K198">_xlfn.IFS(J198="Undetermined", 0, qPCR_Raw!L198-qPCR_Raw!$H$242&lt;0, 0, qPCR_Raw!L198-qPCR_Raw!$H$242&gt;0, qPCR_Raw!L198-qPCR_Raw!$H$242)</f>
        <v>105274.65050862631</v>
      </c>
      <c r="L198" s="123" cm="1">
        <f t="array" ref="L198">_xlfn.IFS(AND(H198="Undetermined", J198="Undetermined"), "Undetermined", AND(I198=0, K198=0), "Undetermined", AND(I198=0, K198&gt;0), "Ten-Fold", AND(I198&gt;0, K198=0), "Undiluted", AND(H198&lt;&gt;"Undetermined", J198&lt;&gt;"Undetermined", I198&gt;0, K198&gt;0), 100*(-1+10^(-1/(H198-J198))))</f>
        <v>106.40221733748709</v>
      </c>
      <c r="M198" s="124" cm="1">
        <f t="array" ref="M198">_xlfn.IFS(L198="Undetermined", 0, L198="Undiluted", I198*$G198/$F198*1000, L198="Ten-Fold", K198*$G198/$F198*1000*10, L198&lt;0, K198*$G198/$F198*1000*10, L198&lt;120, I198*$G198/$F198*1000, L198&gt;120, K198*$G198/$F198*1000*10)</f>
        <v>118937773.23583806</v>
      </c>
      <c r="N198" s="121">
        <f t="shared" si="56"/>
        <v>73629304.93827939</v>
      </c>
      <c r="O198" s="121">
        <f t="shared" si="57"/>
        <v>64075850.356758885</v>
      </c>
      <c r="P198" s="121">
        <f t="shared" si="58"/>
        <v>45308468.297558665</v>
      </c>
      <c r="Q198" s="125" cm="1">
        <f t="array" ref="Q198">_xlfn.IFS(N198="DELETE", "DELETE", N198=0, 0, N198&gt;0,LOG10(N198))</f>
        <v>7.8670507007497612</v>
      </c>
      <c r="R198" s="126" cm="1">
        <f t="array" ref="R198">_xlfn.IFS(N198="DELETE", "DELETE", N198=0, 0, N198&gt;0, P198/N198/LN(10))</f>
        <v>0.26724709382511219</v>
      </c>
      <c r="S198" s="155">
        <f>qPCR_Raw!O198</f>
        <v>29.755229949951172</v>
      </c>
      <c r="T198" s="156" cm="1">
        <f t="array" ref="T198">_xlfn.IFS(S198="Undetermined", 0, qPCR_Raw!P198&lt;=1, 0, qPCR_Raw!P198&gt;1, qPCR_Raw!P198)</f>
        <v>92.51116943359375</v>
      </c>
      <c r="U198" s="157">
        <f>qPCR_Raw!R198</f>
        <v>32.608108520507813</v>
      </c>
      <c r="V198" s="156" cm="1">
        <f t="array" ref="V198">_xlfn.IFS(U198="Undetermined", 0, qPCR_Raw!S198&lt;=1, 0, qPCR_Raw!S198&gt;1, qPCR_Raw!S198)</f>
        <v>12.812017440795898</v>
      </c>
      <c r="W198" s="158" cm="1">
        <f t="array" ref="W198">_xlfn.IFS(AND(S198="Undetermined", U198="Undetermined"), "Undetermined", AND(T198=0, V198=0), "Undetermined", AND(T198=0, V198&gt;0), "Ten-Fold", AND(T198&gt;0, V198=0), "Undiluted", AND(S198&lt;&gt;"Undetermined", U198&lt;&gt;"Undetermined", T198&gt;0, V198&gt;0, S198&lt;&gt;U198), 100*(-1+10^(-1/(S198-U198))), AND(S198&lt;&gt;"Undetermined", U198&lt;&gt;"Undetermined", S198=U198&gt;0), -100)</f>
        <v>124.14195516568331</v>
      </c>
      <c r="X198" s="159" cm="1">
        <f t="array" ref="X198">_xlfn.IFS(W198="Undetermined", 0, W198="Undiluted", T198*$G198/$F198*1000, W198="Ten-Fold", V198*$G198/$F198*1000*10, W198&lt;0, V198*$G198/$F198*1000*10, W198&lt;120, T198*$G198/$F198*1000, W198&gt;120, V198*$G198/$F198*1000*10)</f>
        <v>14079.140044830658</v>
      </c>
      <c r="Y198" s="156">
        <f t="shared" si="59"/>
        <v>9661.5081668747735</v>
      </c>
      <c r="Z198" s="156">
        <f t="shared" si="60"/>
        <v>6247.4749153769371</v>
      </c>
      <c r="AA198" s="156">
        <f t="shared" si="61"/>
        <v>4417.6318779558842</v>
      </c>
      <c r="AB198" s="160" cm="1">
        <f t="array" ref="AB198">_xlfn.IFS(Y198="DELETE", "DELETE", Y198=0, 0, Y198&gt;0,LOG10(Y198))</f>
        <v>3.9850449253209592</v>
      </c>
      <c r="AC198" s="161" cm="1">
        <f t="array" ref="AC198">_xlfn.IFS(Y198="DELETE", "DELETE", Y198=0, 0, Y198&gt;0, AA198/Y198/LN(10))</f>
        <v>0.19857698348318406</v>
      </c>
      <c r="AD198" s="120">
        <f>qPCR_Raw!U198</f>
        <v>29.132621765136719</v>
      </c>
      <c r="AE198" s="121" cm="1">
        <f t="array" ref="AE198">_xlfn.IFS(AD198="Undetermined", 0, qPCR_Raw!V198&lt;=1, 0, qPCR_Raw!V198&gt;1, qPCR_Raw!V198)</f>
        <v>79.585693359375</v>
      </c>
      <c r="AF198" s="122">
        <f>qPCR_Raw!X198</f>
        <v>31.713150024414063</v>
      </c>
      <c r="AG198" s="121" cm="1">
        <f t="array" ref="AG198">_xlfn.IFS(AF198="Undetermined", 0, qPCR_Raw!Y198&lt;=1, 0, qPCR_Raw!Y198&gt;1, qPCR_Raw!Y198)</f>
        <v>15.037898063659668</v>
      </c>
      <c r="AH198" s="123" cm="1">
        <f t="array" ref="AH198">_xlfn.IFS(AND(AD198="Undetermined", AF198="Undetermined"), "Undetermined", AND(AE198=0, AG198=0), "Undetermined", AND(AE198=0, AG198&gt;0), "Ten-Fold", AND(AE198&gt;0, AG198=0), "Undiluted", AND(AD198&lt;&gt;"Undetermined", AF198&lt;&gt;"Undetermined", AE198&gt;0, AG198&gt;0, AD198&lt;&gt;AF198), 100*(-1+10^(-1/(AD198-AF198))), AND(AD198&lt;&gt;"Undetermined", AF198&lt;&gt;"Undetermined", AD198=AF198&gt;0), -100)</f>
        <v>144.07177208707864</v>
      </c>
      <c r="AI198" s="124" cm="1">
        <f t="array" ref="AI198">_xlfn.IFS(AH198="Undetermined", 0, AH198="Undiluted", AE198*$G198/$F198*1000, AH198="Ten-Fold", AG198*$G198/$F198*1000*10, AH198&lt;0, AG198*$G198/$F198*1000*10, AH198&lt;120, AE198*$G198/$F198*1000, AH198&gt;120, AG198*$G198/$F198*1000*10)</f>
        <v>16525.162707318319</v>
      </c>
      <c r="AJ198" s="121">
        <f t="shared" si="62"/>
        <v>12225.516857450521</v>
      </c>
      <c r="AK198" s="121">
        <f t="shared" si="63"/>
        <v>6080.6174742842313</v>
      </c>
      <c r="AL198" s="121">
        <f t="shared" si="64"/>
        <v>4299.6458498677966</v>
      </c>
      <c r="AM198" s="125" cm="1">
        <f t="array" ref="AM198">_xlfn.IFS(AJ198="DELETE", "DELETE", AJ198=0, 0, AJ198&gt;0,LOG10(AJ198))</f>
        <v>4.0872672288258176</v>
      </c>
      <c r="AN198" s="126" cm="1">
        <f t="array" ref="AN198">_xlfn.IFS(AJ198="DELETE", "DELETE", AJ198=0, 0, AJ198&gt;0, AL198/AJ198/LN(10))</f>
        <v>0.15273893844396583</v>
      </c>
      <c r="AO198" s="155">
        <f>qPCR_Raw!AA198</f>
        <v>31.938526153564453</v>
      </c>
      <c r="AP198" s="156" cm="1">
        <f t="array" ref="AP198">_xlfn.IFS(AO198="Undetermined", 0, qPCR_Raw!AB198&lt;=6, 0, qPCR_Raw!AB198&gt;6, qPCR_Raw!AB198)</f>
        <v>0</v>
      </c>
      <c r="AQ198" s="157" t="str">
        <f>qPCR_Raw!AD198</f>
        <v>Undetermined</v>
      </c>
      <c r="AR198" s="156" cm="1">
        <f t="array" ref="AR198">_xlfn.IFS(AQ198="Undetermined", 0, qPCR_Raw!AE198&lt;=6, 0, qPCR_Raw!AE198&gt;6, qPCR_Raw!AE198)</f>
        <v>0</v>
      </c>
      <c r="AS198" s="158" t="str" cm="1">
        <f t="array" ref="AS198">_xlfn.IFS(AND(AO198="Undetermined", AQ198="Undetermined"), "Undetermined", AND(AP198=0, AR198=0), "Undetermined", AND(AP198=0, AR198&gt;0), "Ten-Fold", AND(AP198&gt;0, AR198=0), "Undiluted", AND(AO198&lt;&gt;"Undetermined", AQ198&lt;&gt;"Undetermined", AP198&gt;0, AR198&gt;0, AO198&lt;&gt;AQ198), 100*(-1+10^(-1/(AO198-AQ198))), AND(AO198&lt;&gt;"Undetermined", AQ198&lt;&gt;"Undetermined", AO198=AQ198&gt;0), -100)</f>
        <v>Undetermined</v>
      </c>
      <c r="AT198" s="159" cm="1">
        <f t="array" ref="AT198">_xlfn.IFS(AS198="Undetermined", 0, AS198="Undiluted", AP198*$G198/$F198*1000, AS198="Ten-Fold", AR198*$G198/$F198*1000*10, AS198&lt;0, AR198*$G198/$F198*1000*10, AS198&lt;120, AP198*$G198/$F198*1000, AS198&gt;120, AR198*$G198/$F198*1000*10)</f>
        <v>0</v>
      </c>
      <c r="AU198" s="156">
        <f t="shared" si="65"/>
        <v>0</v>
      </c>
      <c r="AV198" s="156">
        <f t="shared" si="66"/>
        <v>0</v>
      </c>
      <c r="AW198" s="156">
        <f t="shared" si="67"/>
        <v>0</v>
      </c>
      <c r="AX198" s="160" cm="1">
        <f t="array" ref="AX198">_xlfn.IFS(AU198="DELETE", "DELETE", AU198=0, 0, AU198&gt;0,LOG10(AU198))</f>
        <v>0</v>
      </c>
      <c r="AY198" s="161" cm="1">
        <f t="array" ref="AY198">_xlfn.IFS(AU198="DELETE", "DELETE", AU198=0, 0, AU198&gt;0, AW198/AU198/LN(10))</f>
        <v>0</v>
      </c>
      <c r="AZ198" s="120">
        <f>qPCR_Raw!AG198</f>
        <v>25.541072845458984</v>
      </c>
      <c r="BA198" s="121" cm="1">
        <f t="array" ref="BA198">_xlfn.IFS(AZ198="Undetermined", 0, qPCR_Raw!AH198&lt;=1, 0, qPCR_Raw!AH198&gt;1, qPCR_Raw!AH198)</f>
        <v>1185.036865234375</v>
      </c>
      <c r="BB198" s="122">
        <f>qPCR_Raw!AJ198</f>
        <v>29.203432083129883</v>
      </c>
      <c r="BC198" s="121" cm="1">
        <f t="array" ref="BC198">_xlfn.IFS(BB198="Undetermined", 0, qPCR_Raw!AK198&lt;=1, 0, qPCR_Raw!AK198&gt;1, qPCR_Raw!AK198)</f>
        <v>137.55561828613281</v>
      </c>
      <c r="BD198" s="123" cm="1">
        <f t="array" ref="BD198">_xlfn.IFS(AND(AZ198="Undetermined", BB198="Undetermined"), "Undetermined", AND(BA198=0, BC198=0), "Undetermined", AND(BA198=0, BC198&gt;0), "Ten-Fold", AND(BA198&gt;0, BC198=0), "Undiluted", AND(AZ198&lt;&gt;"Undetermined", BB198&lt;&gt;"Undetermined", BA198&gt;0, BC198&gt;0, AZ198&lt;&gt;BB198), 100*(-1+10^(-1/(AZ198-BB198))), AND(AZ198&lt;&gt;"Undetermined", BB198&lt;&gt;"Undetermined", AZ198=BB198&gt;0), -100)</f>
        <v>87.520191058184622</v>
      </c>
      <c r="BE198" s="124" cm="1">
        <f t="array" ref="BE198">_xlfn.IFS(BD198="Undetermined", 0, BD198="Undiluted", BA198*$G198/$F198*1000, BD198="Ten-Fold", BC198*$G198/$F198*1000*10, BD198&lt;0, BC198*$G198/$F198*1000*10, BD198&lt;120, BA198*$G198/$F198*1000, BD198&gt;120, BC198*$G198/$F198*1000*10)</f>
        <v>130223.8313444368</v>
      </c>
      <c r="BF198" s="121">
        <f t="shared" si="68"/>
        <v>71758.281567209211</v>
      </c>
      <c r="BG198" s="121">
        <f t="shared" si="69"/>
        <v>82682.77342655453</v>
      </c>
      <c r="BH198" s="121">
        <f t="shared" si="70"/>
        <v>58465.549777227578</v>
      </c>
      <c r="BI198" s="125" cm="1">
        <f t="array" ref="BI198">_xlfn.IFS(BF198="DELETE", "DELETE", BF198=0, 0, BF198&gt;0,LOG10(BF198))</f>
        <v>4.8558720298853313</v>
      </c>
      <c r="BJ198" s="126" cm="1">
        <f t="array" ref="BJ198">_xlfn.IFS(BF198="DELETE", "DELETE", BF198=0, 0, BF198&gt;0, BH198/BF198/LN(10))</f>
        <v>0.35384439391721256</v>
      </c>
    </row>
    <row r="199" spans="1:62" s="114" customFormat="1" x14ac:dyDescent="0.3">
      <c r="A199" s="115" t="str">
        <f>UPPER(LEFT(SUBSTITUTE(SUBSTITUTE(qPCR_Raw!A199,"-","")," ",""),2))&amp;RIGHT(SUBSTITUTE(SUBSTITUTE(qPCR_Raw!A199,"-","")," ",""),LEN(SUBSTITUTE(SUBSTITUTE(qPCR_Raw!A199,"-","")," ",""))-2)</f>
        <v>RC7</v>
      </c>
      <c r="B199" s="116" t="str" cm="1">
        <f t="array" ref="B199">_xlfn.IFS(LEFT(A199, LEN(A199)-1)="EP", "EP", LEFT(A199, LEN(A199)-1)="STa", "SPI", LEFT(A199, LEN(A199)-1)="STb", "SPO", LEFT(A199, LEN(A199)-1)="MRT", "MRT", LEFT(A199, LEN(A199)-1)="RG", "RN", LEFT(A199, LEN(A199)-1)="RT", "RU", LEFT(A199, LEN(A199)-1)="RW", "RL", LEFT(A199, LEN(A199)-1)="RC", "RS")</f>
        <v>RS</v>
      </c>
      <c r="C199" s="117">
        <f>qPCR_Raw!B199</f>
        <v>44419</v>
      </c>
      <c r="D199" s="117" t="str">
        <f t="shared" si="54"/>
        <v>RS44419</v>
      </c>
      <c r="E199" s="117" t="str">
        <f t="shared" si="55"/>
        <v>RS444197</v>
      </c>
      <c r="F199" s="118">
        <f>qPCR_Raw!C199</f>
        <v>850</v>
      </c>
      <c r="G199" s="119">
        <f>qPCR_Raw!F199</f>
        <v>100</v>
      </c>
      <c r="H199" s="120">
        <f>qPCR_Raw!G199</f>
        <v>18.5037841796875</v>
      </c>
      <c r="I199" s="121" cm="1">
        <f t="array" ref="I199">_xlfn.IFS(H199="Undetermined", 0, qPCR_Raw!H199-qPCR_Raw!$H$242&lt;0, 0, qPCR_Raw!H199-qPCR_Raw!$H$242&gt;0, qPCR_Raw!H199-qPCR_Raw!$H$242)</f>
        <v>240727.11144612631</v>
      </c>
      <c r="J199" s="122">
        <f>qPCR_Raw!K199</f>
        <v>21.759323120117188</v>
      </c>
      <c r="K199" s="121" cm="1">
        <f t="array" ref="K199">_xlfn.IFS(J199="Undetermined", 0, qPCR_Raw!L199-qPCR_Raw!$H$242&lt;0, 0, qPCR_Raw!L199-qPCR_Raw!$H$242&gt;0, qPCR_Raw!L199-qPCR_Raw!$H$242)</f>
        <v>12951.892696126302</v>
      </c>
      <c r="L199" s="123" cm="1">
        <f t="array" ref="L199">_xlfn.IFS(AND(H199="Undetermined", J199="Undetermined"), "Undetermined", AND(I199=0, K199=0), "Undetermined", AND(I199=0, K199&gt;0), "Ten-Fold", AND(I199&gt;0, K199=0), "Undiluted", AND(H199&lt;&gt;"Undetermined", J199&lt;&gt;"Undetermined", I199&gt;0, K199&gt;0), 100*(-1+10^(-1/(H199-J199))))</f>
        <v>102.84709998464669</v>
      </c>
      <c r="M199" s="124" cm="1">
        <f t="array" ref="M199">_xlfn.IFS(L199="Undetermined", 0, L199="Undiluted", I199*$G199/$F199*1000, L199="Ten-Fold", K199*$G199/$F199*1000*10, L199&lt;0, K199*$G199/$F199*1000*10, L199&lt;120, I199*$G199/$F199*1000, L199&gt;120, K199*$G199/$F199*1000*10)</f>
        <v>28320836.64072074</v>
      </c>
      <c r="N199" s="121" t="str">
        <f t="shared" si="56"/>
        <v>DELETE</v>
      </c>
      <c r="O199" s="121" t="str">
        <f t="shared" si="57"/>
        <v>DELETE</v>
      </c>
      <c r="P199" s="121" t="str">
        <f t="shared" si="58"/>
        <v>DELETE</v>
      </c>
      <c r="Q199" s="125" t="str" cm="1">
        <f t="array" ref="Q199">_xlfn.IFS(N199="DELETE", "DELETE", N199=0, 0, N199&gt;0,LOG10(N199))</f>
        <v>DELETE</v>
      </c>
      <c r="R199" s="126" t="str" cm="1">
        <f t="array" ref="R199">_xlfn.IFS(N199="DELETE", "DELETE", N199=0, 0, N199&gt;0, P199/N199/LN(10))</f>
        <v>DELETE</v>
      </c>
      <c r="S199" s="155">
        <f>qPCR_Raw!O199</f>
        <v>30.808965682983398</v>
      </c>
      <c r="T199" s="156" cm="1">
        <f t="array" ref="T199">_xlfn.IFS(S199="Undetermined", 0, qPCR_Raw!P199&lt;=1, 0, qPCR_Raw!P199&gt;1, qPCR_Raw!P199)</f>
        <v>44.572948455810547</v>
      </c>
      <c r="U199" s="157">
        <f>qPCR_Raw!R199</f>
        <v>33.974605560302734</v>
      </c>
      <c r="V199" s="156" cm="1">
        <f t="array" ref="V199">_xlfn.IFS(U199="Undetermined", 0, qPCR_Raw!S199&lt;=1, 0, qPCR_Raw!S199&gt;1, qPCR_Raw!S199)</f>
        <v>4.9701428413391113</v>
      </c>
      <c r="W199" s="158" cm="1">
        <f t="array" ref="W199">_xlfn.IFS(AND(S199="Undetermined", U199="Undetermined"), "Undetermined", AND(T199=0, V199=0), "Undetermined", AND(T199=0, V199&gt;0), "Ten-Fold", AND(T199&gt;0, V199=0), "Undiluted", AND(S199&lt;&gt;"Undetermined", U199&lt;&gt;"Undetermined", T199&gt;0, V199&gt;0, S199&lt;&gt;U199), 100*(-1+10^(-1/(S199-U199))), AND(S199&lt;&gt;"Undetermined", U199&lt;&gt;"Undetermined", S199=U199&gt;0), -100)</f>
        <v>106.96261418535342</v>
      </c>
      <c r="X199" s="159" cm="1">
        <f t="array" ref="X199">_xlfn.IFS(W199="Undetermined", 0, W199="Undiluted", T199*$G199/$F199*1000, W199="Ten-Fold", V199*$G199/$F199*1000*10, W199&lt;0, V199*$G199/$F199*1000*10, W199&lt;120, T199*$G199/$F199*1000, W199&gt;120, V199*$G199/$F199*1000*10)</f>
        <v>5243.8762889188883</v>
      </c>
      <c r="Y199" s="156" t="str">
        <f t="shared" si="59"/>
        <v>DELETE</v>
      </c>
      <c r="Z199" s="156" t="str">
        <f t="shared" si="60"/>
        <v>DELETE</v>
      </c>
      <c r="AA199" s="156" t="str">
        <f t="shared" si="61"/>
        <v>DELETE</v>
      </c>
      <c r="AB199" s="160" t="str" cm="1">
        <f t="array" ref="AB199">_xlfn.IFS(Y199="DELETE", "DELETE", Y199=0, 0, Y199&gt;0,LOG10(Y199))</f>
        <v>DELETE</v>
      </c>
      <c r="AC199" s="161" t="str" cm="1">
        <f t="array" ref="AC199">_xlfn.IFS(Y199="DELETE", "DELETE", Y199=0, 0, Y199&gt;0, AA199/Y199/LN(10))</f>
        <v>DELETE</v>
      </c>
      <c r="AD199" s="120">
        <f>qPCR_Raw!U199</f>
        <v>29.390689849853516</v>
      </c>
      <c r="AE199" s="121" cm="1">
        <f t="array" ref="AE199">_xlfn.IFS(AD199="Undetermined", 0, qPCR_Raw!V199&lt;=1, 0, qPCR_Raw!V199&gt;1, qPCR_Raw!V199)</f>
        <v>67.369903564453125</v>
      </c>
      <c r="AF199" s="122">
        <f>qPCR_Raw!X199</f>
        <v>33.546352386474609</v>
      </c>
      <c r="AG199" s="121" cm="1">
        <f t="array" ref="AG199">_xlfn.IFS(AF199="Undetermined", 0, qPCR_Raw!Y199&lt;=1, 0, qPCR_Raw!Y199&gt;1, qPCR_Raw!Y199)</f>
        <v>4.6037216186523438</v>
      </c>
      <c r="AH199" s="123" cm="1">
        <f t="array" ref="AH199">_xlfn.IFS(AND(AD199="Undetermined", AF199="Undetermined"), "Undetermined", AND(AE199=0, AG199=0), "Undetermined", AND(AE199=0, AG199&gt;0), "Ten-Fold", AND(AE199&gt;0, AG199=0), "Undiluted", AND(AD199&lt;&gt;"Undetermined", AF199&lt;&gt;"Undetermined", AE199&gt;0, AG199&gt;0, AD199&lt;&gt;AF199), 100*(-1+10^(-1/(AD199-AF199))), AND(AD199&lt;&gt;"Undetermined", AF199&lt;&gt;"Undetermined", AD199=AF199&gt;0), -100)</f>
        <v>74.034566690897989</v>
      </c>
      <c r="AI199" s="124" cm="1">
        <f t="array" ref="AI199">_xlfn.IFS(AH199="Undetermined", 0, AH199="Undiluted", AE199*$G199/$F199*1000, AH199="Ten-Fold", AG199*$G199/$F199*1000*10, AH199&lt;0, AG199*$G199/$F199*1000*10, AH199&lt;120, AE199*$G199/$F199*1000, AH199&gt;120, AG199*$G199/$F199*1000*10)</f>
        <v>7925.8710075827212</v>
      </c>
      <c r="AJ199" s="121" t="str">
        <f t="shared" si="62"/>
        <v>DELETE</v>
      </c>
      <c r="AK199" s="121" t="str">
        <f t="shared" si="63"/>
        <v>DELETE</v>
      </c>
      <c r="AL199" s="121" t="str">
        <f t="shared" si="64"/>
        <v>DELETE</v>
      </c>
      <c r="AM199" s="125" t="str" cm="1">
        <f t="array" ref="AM199">_xlfn.IFS(AJ199="DELETE", "DELETE", AJ199=0, 0, AJ199&gt;0,LOG10(AJ199))</f>
        <v>DELETE</v>
      </c>
      <c r="AN199" s="126" t="str" cm="1">
        <f t="array" ref="AN199">_xlfn.IFS(AJ199="DELETE", "DELETE", AJ199=0, 0, AJ199&gt;0, AL199/AJ199/LN(10))</f>
        <v>DELETE</v>
      </c>
      <c r="AO199" s="155">
        <f>qPCR_Raw!AA199</f>
        <v>31.583585739135742</v>
      </c>
      <c r="AP199" s="156" cm="1">
        <f t="array" ref="AP199">_xlfn.IFS(AO199="Undetermined", 0, qPCR_Raw!AB199&lt;=6, 0, qPCR_Raw!AB199&gt;6, qPCR_Raw!AB199)</f>
        <v>0</v>
      </c>
      <c r="AQ199" s="157" t="str">
        <f>qPCR_Raw!AD199</f>
        <v>Undetermined</v>
      </c>
      <c r="AR199" s="156" cm="1">
        <f t="array" ref="AR199">_xlfn.IFS(AQ199="Undetermined", 0, qPCR_Raw!AE199&lt;=6, 0, qPCR_Raw!AE199&gt;6, qPCR_Raw!AE199)</f>
        <v>0</v>
      </c>
      <c r="AS199" s="158" t="str" cm="1">
        <f t="array" ref="AS199">_xlfn.IFS(AND(AO199="Undetermined", AQ199="Undetermined"), "Undetermined", AND(AP199=0, AR199=0), "Undetermined", AND(AP199=0, AR199&gt;0), "Ten-Fold", AND(AP199&gt;0, AR199=0), "Undiluted", AND(AO199&lt;&gt;"Undetermined", AQ199&lt;&gt;"Undetermined", AP199&gt;0, AR199&gt;0, AO199&lt;&gt;AQ199), 100*(-1+10^(-1/(AO199-AQ199))), AND(AO199&lt;&gt;"Undetermined", AQ199&lt;&gt;"Undetermined", AO199=AQ199&gt;0), -100)</f>
        <v>Undetermined</v>
      </c>
      <c r="AT199" s="159" cm="1">
        <f t="array" ref="AT199">_xlfn.IFS(AS199="Undetermined", 0, AS199="Undiluted", AP199*$G199/$F199*1000, AS199="Ten-Fold", AR199*$G199/$F199*1000*10, AS199&lt;0, AR199*$G199/$F199*1000*10, AS199&lt;120, AP199*$G199/$F199*1000, AS199&gt;120, AR199*$G199/$F199*1000*10)</f>
        <v>0</v>
      </c>
      <c r="AU199" s="156" t="str">
        <f t="shared" si="65"/>
        <v>DELETE</v>
      </c>
      <c r="AV199" s="156" t="str">
        <f t="shared" si="66"/>
        <v>DELETE</v>
      </c>
      <c r="AW199" s="156" t="str">
        <f t="shared" si="67"/>
        <v>DELETE</v>
      </c>
      <c r="AX199" s="160" t="str" cm="1">
        <f t="array" ref="AX199">_xlfn.IFS(AU199="DELETE", "DELETE", AU199=0, 0, AU199&gt;0,LOG10(AU199))</f>
        <v>DELETE</v>
      </c>
      <c r="AY199" s="161" t="str" cm="1">
        <f t="array" ref="AY199">_xlfn.IFS(AU199="DELETE", "DELETE", AU199=0, 0, AU199&gt;0, AW199/AU199/LN(10))</f>
        <v>DELETE</v>
      </c>
      <c r="AZ199" s="120">
        <f>qPCR_Raw!AG199</f>
        <v>29.538026809692383</v>
      </c>
      <c r="BA199" s="121" cm="1">
        <f t="array" ref="BA199">_xlfn.IFS(AZ199="Undetermined", 0, qPCR_Raw!AH199&lt;=1, 0, qPCR_Raw!AH199&gt;1, qPCR_Raw!AH199)</f>
        <v>112.98822021484375</v>
      </c>
      <c r="BB199" s="122">
        <f>qPCR_Raw!AJ199</f>
        <v>34.040008544921875</v>
      </c>
      <c r="BC199" s="121" cm="1">
        <f t="array" ref="BC199">_xlfn.IFS(BB199="Undetermined", 0, qPCR_Raw!AK199&lt;=1, 0, qPCR_Raw!AK199&gt;1, qPCR_Raw!AK199)</f>
        <v>8.0050859451293945</v>
      </c>
      <c r="BD199" s="123" cm="1">
        <f t="array" ref="BD199">_xlfn.IFS(AND(AZ199="Undetermined", BB199="Undetermined"), "Undetermined", AND(BA199=0, BC199=0), "Undetermined", AND(BA199=0, BC199&gt;0), "Ten-Fold", AND(BA199&gt;0, BC199=0), "Undiluted", AND(AZ199&lt;&gt;"Undetermined", BB199&lt;&gt;"Undetermined", BA199&gt;0, BC199&gt;0, AZ199&lt;&gt;BB199), 100*(-1+10^(-1/(AZ199-BB199))), AND(AZ199&lt;&gt;"Undetermined", BB199&lt;&gt;"Undetermined", AZ199=BB199&gt;0), -100)</f>
        <v>66.772485692855327</v>
      </c>
      <c r="BE199" s="124" cm="1">
        <f t="array" ref="BE199">_xlfn.IFS(BD199="Undetermined", 0, BD199="Undiluted", BA199*$G199/$F199*1000, BD199="Ten-Fold", BC199*$G199/$F199*1000*10, BD199&lt;0, BC199*$G199/$F199*1000*10, BD199&lt;120, BA199*$G199/$F199*1000, BD199&gt;120, BC199*$G199/$F199*1000*10)</f>
        <v>13292.731789981617</v>
      </c>
      <c r="BF199" s="121" t="str">
        <f t="shared" si="68"/>
        <v>DELETE</v>
      </c>
      <c r="BG199" s="121" t="str">
        <f t="shared" si="69"/>
        <v>DELETE</v>
      </c>
      <c r="BH199" s="121" t="str">
        <f t="shared" si="70"/>
        <v>DELETE</v>
      </c>
      <c r="BI199" s="125" t="str" cm="1">
        <f t="array" ref="BI199">_xlfn.IFS(BF199="DELETE", "DELETE", BF199=0, 0, BF199&gt;0,LOG10(BF199))</f>
        <v>DELETE</v>
      </c>
      <c r="BJ199" s="126" t="str" cm="1">
        <f t="array" ref="BJ199">_xlfn.IFS(BF199="DELETE", "DELETE", BF199=0, 0, BF199&gt;0, BH199/BF199/LN(10))</f>
        <v>DELETE</v>
      </c>
    </row>
    <row r="200" spans="1:62" s="114" customFormat="1" x14ac:dyDescent="0.3">
      <c r="A200" s="115" t="str">
        <f>UPPER(LEFT(SUBSTITUTE(SUBSTITUTE(qPCR_Raw!A200,"-","")," ",""),2))&amp;RIGHT(SUBSTITUTE(SUBSTITUTE(qPCR_Raw!A200,"-","")," ",""),LEN(SUBSTITUTE(SUBSTITUTE(qPCR_Raw!A200,"-","")," ",""))-2)</f>
        <v>RG6</v>
      </c>
      <c r="B200" s="116" t="str" cm="1">
        <f t="array" ref="B200">_xlfn.IFS(LEFT(A200, LEN(A200)-1)="EP", "EP", LEFT(A200, LEN(A200)-1)="STa", "SPI", LEFT(A200, LEN(A200)-1)="STb", "SPO", LEFT(A200, LEN(A200)-1)="MRT", "MRT", LEFT(A200, LEN(A200)-1)="RG", "RN", LEFT(A200, LEN(A200)-1)="RT", "RU", LEFT(A200, LEN(A200)-1)="RW", "RL", LEFT(A200, LEN(A200)-1)="RC", "RS")</f>
        <v>RN</v>
      </c>
      <c r="C200" s="117">
        <f>qPCR_Raw!B200</f>
        <v>44419</v>
      </c>
      <c r="D200" s="117" t="str">
        <f t="shared" si="54"/>
        <v>RN44419</v>
      </c>
      <c r="E200" s="117" t="str">
        <f t="shared" si="55"/>
        <v>RN444196</v>
      </c>
      <c r="F200" s="118">
        <f>qPCR_Raw!C200</f>
        <v>1000</v>
      </c>
      <c r="G200" s="119">
        <f>qPCR_Raw!F200</f>
        <v>100</v>
      </c>
      <c r="H200" s="120">
        <f>qPCR_Raw!G200</f>
        <v>14.138412475585938</v>
      </c>
      <c r="I200" s="121" cm="1">
        <f t="array" ref="I200">_xlfn.IFS(H200="Undetermined", 0, qPCR_Raw!H200-qPCR_Raw!$H$242&lt;0, 0, qPCR_Raw!H200-qPCR_Raw!$H$242&gt;0, qPCR_Raw!H200-qPCR_Raw!$H$242)</f>
        <v>5387707.8614461264</v>
      </c>
      <c r="J200" s="122">
        <f>qPCR_Raw!K200</f>
        <v>16.995595932006836</v>
      </c>
      <c r="K200" s="121" cm="1">
        <f t="array" ref="K200">_xlfn.IFS(J200="Undetermined", 0, qPCR_Raw!L200-qPCR_Raw!$H$242&lt;0, 0, qPCR_Raw!L200-qPCR_Raw!$H$242&gt;0, qPCR_Raw!L200-qPCR_Raw!$H$242)</f>
        <v>716786.36144612625</v>
      </c>
      <c r="L200" s="123" cm="1">
        <f t="array" ref="L200">_xlfn.IFS(AND(H200="Undetermined", J200="Undetermined"), "Undetermined", AND(I200=0, K200=0), "Undetermined", AND(I200=0, K200&gt;0), "Ten-Fold", AND(I200&gt;0, K200=0), "Undiluted", AND(H200&lt;&gt;"Undetermined", J200&lt;&gt;"Undetermined", I200&gt;0, K200&gt;0), 100*(-1+10^(-1/(H200-J200))))</f>
        <v>123.86955019091283</v>
      </c>
      <c r="M200" s="124" cm="1">
        <f t="array" ref="M200">_xlfn.IFS(L200="Undetermined", 0, L200="Undiluted", I200*$G200/$F200*1000, L200="Ten-Fold", K200*$G200/$F200*1000*10, L200&lt;0, K200*$G200/$F200*1000*10, L200&lt;120, I200*$G200/$F200*1000, L200&gt;120, K200*$G200/$F200*1000*10)</f>
        <v>716786361.44612622</v>
      </c>
      <c r="N200" s="121">
        <f t="shared" si="56"/>
        <v>624673267.69612622</v>
      </c>
      <c r="O200" s="121">
        <f t="shared" si="57"/>
        <v>130267586.45339437</v>
      </c>
      <c r="P200" s="121">
        <f t="shared" si="58"/>
        <v>92113093.749999985</v>
      </c>
      <c r="Q200" s="125" cm="1">
        <f t="array" ref="Q200">_xlfn.IFS(N200="DELETE", "DELETE", N200=0, 0, N200&gt;0,LOG10(N200))</f>
        <v>8.7956529211205527</v>
      </c>
      <c r="R200" s="126" cm="1">
        <f t="array" ref="R200">_xlfn.IFS(N200="DELETE", "DELETE", N200=0, 0, N200&gt;0, P200/N200/LN(10))</f>
        <v>6.4040211732130731E-2</v>
      </c>
      <c r="S200" s="155">
        <f>qPCR_Raw!O200</f>
        <v>31.144521713256836</v>
      </c>
      <c r="T200" s="156" cm="1">
        <f t="array" ref="T200">_xlfn.IFS(S200="Undetermined", 0, qPCR_Raw!P200&lt;=1, 0, qPCR_Raw!P200&gt;1, qPCR_Raw!P200)</f>
        <v>35.325263977050781</v>
      </c>
      <c r="U200" s="157">
        <f>qPCR_Raw!R200</f>
        <v>33.450687408447266</v>
      </c>
      <c r="V200" s="156" cm="1">
        <f t="array" ref="V200">_xlfn.IFS(U200="Undetermined", 0, qPCR_Raw!S200&lt;=1, 0, qPCR_Raw!S200&gt;1, qPCR_Raw!S200)</f>
        <v>7.1456632614135742</v>
      </c>
      <c r="W200" s="158" cm="1">
        <f t="array" ref="W200">_xlfn.IFS(AND(S200="Undetermined", U200="Undetermined"), "Undetermined", AND(T200=0, V200=0), "Undetermined", AND(T200=0, V200&gt;0), "Ten-Fold", AND(T200&gt;0, V200=0), "Undiluted", AND(S200&lt;&gt;"Undetermined", U200&lt;&gt;"Undetermined", T200&gt;0, V200&gt;0, S200&lt;&gt;U200), 100*(-1+10^(-1/(S200-U200))), AND(S200&lt;&gt;"Undetermined", U200&lt;&gt;"Undetermined", S200=U200&gt;0), -100)</f>
        <v>171.40646406325453</v>
      </c>
      <c r="X200" s="159" cm="1">
        <f t="array" ref="X200">_xlfn.IFS(W200="Undetermined", 0, W200="Undiluted", T200*$G200/$F200*1000, W200="Ten-Fold", V200*$G200/$F200*1000*10, W200&lt;0, V200*$G200/$F200*1000*10, W200&lt;120, T200*$G200/$F200*1000, W200&gt;120, V200*$G200/$F200*1000*10)</f>
        <v>7145.6632614135742</v>
      </c>
      <c r="Y200" s="156">
        <f t="shared" si="59"/>
        <v>11561.279296875</v>
      </c>
      <c r="Z200" s="156">
        <f t="shared" si="60"/>
        <v>6244.6240835816679</v>
      </c>
      <c r="AA200" s="156">
        <f t="shared" si="61"/>
        <v>4415.6160354614267</v>
      </c>
      <c r="AB200" s="160" cm="1">
        <f t="array" ref="AB200">_xlfn.IFS(Y200="DELETE", "DELETE", Y200=0, 0, Y200&gt;0,LOG10(Y200))</f>
        <v>4.063005892980124</v>
      </c>
      <c r="AC200" s="161" cm="1">
        <f t="array" ref="AC200">_xlfn.IFS(Y200="DELETE", "DELETE", Y200=0, 0, Y200&gt;0, AA200/Y200/LN(10))</f>
        <v>0.16587071630755923</v>
      </c>
      <c r="AD200" s="120">
        <f>qPCR_Raw!U200</f>
        <v>27.006975173950195</v>
      </c>
      <c r="AE200" s="121" cm="1">
        <f t="array" ref="AE200">_xlfn.IFS(AD200="Undetermined", 0, qPCR_Raw!V200&lt;=1, 0, qPCR_Raw!V200&gt;1, qPCR_Raw!V200)</f>
        <v>313.99453735351563</v>
      </c>
      <c r="AF200" s="122">
        <f>qPCR_Raw!X200</f>
        <v>29.805810928344727</v>
      </c>
      <c r="AG200" s="121" cm="1">
        <f t="array" ref="AG200">_xlfn.IFS(AF200="Undetermined", 0, qPCR_Raw!Y200&lt;=1, 0, qPCR_Raw!Y200&gt;1, qPCR_Raw!Y200)</f>
        <v>51.529399871826172</v>
      </c>
      <c r="AH200" s="123" cm="1">
        <f t="array" ref="AH200">_xlfn.IFS(AND(AD200="Undetermined", AF200="Undetermined"), "Undetermined", AND(AE200=0, AG200=0), "Undetermined", AND(AE200=0, AG200&gt;0), "Ten-Fold", AND(AE200&gt;0, AG200=0), "Undiluted", AND(AD200&lt;&gt;"Undetermined", AF200&lt;&gt;"Undetermined", AE200&gt;0, AG200&gt;0, AD200&lt;&gt;AF200), 100*(-1+10^(-1/(AD200-AF200))), AND(AD200&lt;&gt;"Undetermined", AF200&lt;&gt;"Undetermined", AD200=AF200&gt;0), -100)</f>
        <v>127.66245755440595</v>
      </c>
      <c r="AI200" s="124" cm="1">
        <f t="array" ref="AI200">_xlfn.IFS(AH200="Undetermined", 0, AH200="Undiluted", AE200*$G200/$F200*1000, AH200="Ten-Fold", AG200*$G200/$F200*1000*10, AH200&lt;0, AG200*$G200/$F200*1000*10, AH200&lt;120, AE200*$G200/$F200*1000, AH200&gt;120, AG200*$G200/$F200*1000*10)</f>
        <v>51529.399871826172</v>
      </c>
      <c r="AJ200" s="121">
        <f t="shared" si="62"/>
        <v>58241.781234741211</v>
      </c>
      <c r="AK200" s="121">
        <f t="shared" si="63"/>
        <v>9492.7407592548025</v>
      </c>
      <c r="AL200" s="121">
        <f t="shared" si="64"/>
        <v>6712.3813629150063</v>
      </c>
      <c r="AM200" s="125" cm="1">
        <f t="array" ref="AM200">_xlfn.IFS(AJ200="DELETE", "DELETE", AJ200=0, 0, AJ200&gt;0,LOG10(AJ200))</f>
        <v>4.7652346487326867</v>
      </c>
      <c r="AN200" s="126" cm="1">
        <f t="array" ref="AN200">_xlfn.IFS(AJ200="DELETE", "DELETE", AJ200=0, 0, AJ200&gt;0, AL200/AJ200/LN(10))</f>
        <v>5.0052558911184694E-2</v>
      </c>
      <c r="AO200" s="155">
        <f>qPCR_Raw!AA200</f>
        <v>30.299774169921875</v>
      </c>
      <c r="AP200" s="156" cm="1">
        <f t="array" ref="AP200">_xlfn.IFS(AO200="Undetermined", 0, qPCR_Raw!AB200&lt;=6, 0, qPCR_Raw!AB200&gt;6, qPCR_Raw!AB200)</f>
        <v>0</v>
      </c>
      <c r="AQ200" s="157">
        <f>qPCR_Raw!AD200</f>
        <v>31.977310180664063</v>
      </c>
      <c r="AR200" s="156" cm="1">
        <f t="array" ref="AR200">_xlfn.IFS(AQ200="Undetermined", 0, qPCR_Raw!AE200&lt;=6, 0, qPCR_Raw!AE200&gt;6, qPCR_Raw!AE200)</f>
        <v>0</v>
      </c>
      <c r="AS200" s="158" t="str" cm="1">
        <f t="array" ref="AS200">_xlfn.IFS(AND(AO200="Undetermined", AQ200="Undetermined"), "Undetermined", AND(AP200=0, AR200=0), "Undetermined", AND(AP200=0, AR200&gt;0), "Ten-Fold", AND(AP200&gt;0, AR200=0), "Undiluted", AND(AO200&lt;&gt;"Undetermined", AQ200&lt;&gt;"Undetermined", AP200&gt;0, AR200&gt;0, AO200&lt;&gt;AQ200), 100*(-1+10^(-1/(AO200-AQ200))), AND(AO200&lt;&gt;"Undetermined", AQ200&lt;&gt;"Undetermined", AO200=AQ200&gt;0), -100)</f>
        <v>Undetermined</v>
      </c>
      <c r="AT200" s="159" cm="1">
        <f t="array" ref="AT200">_xlfn.IFS(AS200="Undetermined", 0, AS200="Undiluted", AP200*$G200/$F200*1000, AS200="Ten-Fold", AR200*$G200/$F200*1000*10, AS200&lt;0, AR200*$G200/$F200*1000*10, AS200&lt;120, AP200*$G200/$F200*1000, AS200&gt;120, AR200*$G200/$F200*1000*10)</f>
        <v>0</v>
      </c>
      <c r="AU200" s="156">
        <f t="shared" si="65"/>
        <v>0</v>
      </c>
      <c r="AV200" s="156">
        <f t="shared" si="66"/>
        <v>0</v>
      </c>
      <c r="AW200" s="156">
        <f t="shared" si="67"/>
        <v>0</v>
      </c>
      <c r="AX200" s="160" cm="1">
        <f t="array" ref="AX200">_xlfn.IFS(AU200="DELETE", "DELETE", AU200=0, 0, AU200&gt;0,LOG10(AU200))</f>
        <v>0</v>
      </c>
      <c r="AY200" s="161" cm="1">
        <f t="array" ref="AY200">_xlfn.IFS(AU200="DELETE", "DELETE", AU200=0, 0, AU200&gt;0, AW200/AU200/LN(10))</f>
        <v>0</v>
      </c>
      <c r="AZ200" s="120">
        <f>qPCR_Raw!AG200</f>
        <v>23.694671630859375</v>
      </c>
      <c r="BA200" s="121" cm="1">
        <f t="array" ref="BA200">_xlfn.IFS(AZ200="Undetermined", 0, qPCR_Raw!AH200&lt;=1, 0, qPCR_Raw!AH200&gt;1, qPCR_Raw!AH200)</f>
        <v>3509.50390625</v>
      </c>
      <c r="BB200" s="122">
        <f>qPCR_Raw!AJ200</f>
        <v>25.227577209472656</v>
      </c>
      <c r="BC200" s="121" cm="1">
        <f t="array" ref="BC200">_xlfn.IFS(BB200="Undetermined", 0, qPCR_Raw!AK200&lt;=1, 0, qPCR_Raw!AK200&gt;1, qPCR_Raw!AK200)</f>
        <v>1424.9150390625</v>
      </c>
      <c r="BD200" s="123" cm="1">
        <f t="array" ref="BD200">_xlfn.IFS(AND(AZ200="Undetermined", BB200="Undetermined"), "Undetermined", AND(BA200=0, BC200=0), "Undetermined", AND(BA200=0, BC200&gt;0), "Ten-Fold", AND(BA200&gt;0, BC200=0), "Undiluted", AND(AZ200&lt;&gt;"Undetermined", BB200&lt;&gt;"Undetermined", BA200&gt;0, BC200&gt;0, AZ200&lt;&gt;BB200), 100*(-1+10^(-1/(AZ200-BB200))), AND(AZ200&lt;&gt;"Undetermined", BB200&lt;&gt;"Undetermined", AZ200=BB200&gt;0), -100)</f>
        <v>349.11328414227467</v>
      </c>
      <c r="BE200" s="124" cm="1">
        <f t="array" ref="BE200">_xlfn.IFS(BD200="Undetermined", 0, BD200="Undiluted", BA200*$G200/$F200*1000, BD200="Ten-Fold", BC200*$G200/$F200*1000*10, BD200&lt;0, BC200*$G200/$F200*1000*10, BD200&lt;120, BA200*$G200/$F200*1000, BD200&gt;120, BC200*$G200/$F200*1000*10)</f>
        <v>1424915.0390625</v>
      </c>
      <c r="BF200" s="121">
        <f t="shared" si="68"/>
        <v>899716.04919433594</v>
      </c>
      <c r="BG200" s="121">
        <f t="shared" si="69"/>
        <v>742743.53441620723</v>
      </c>
      <c r="BH200" s="121">
        <f t="shared" si="70"/>
        <v>525198.98986816395</v>
      </c>
      <c r="BI200" s="125" cm="1">
        <f t="array" ref="BI200">_xlfn.IFS(BF200="DELETE", "DELETE", BF200=0, 0, BF200&gt;0,LOG10(BF200))</f>
        <v>5.9541054675219511</v>
      </c>
      <c r="BJ200" s="126" cm="1">
        <f t="array" ref="BJ200">_xlfn.IFS(BF200="DELETE", "DELETE", BF200=0, 0, BF200&gt;0, BH200/BF200/LN(10))</f>
        <v>0.25351445426048907</v>
      </c>
    </row>
    <row r="201" spans="1:62" s="114" customFormat="1" x14ac:dyDescent="0.3">
      <c r="A201" s="115" t="str">
        <f>UPPER(LEFT(SUBSTITUTE(SUBSTITUTE(qPCR_Raw!A201,"-","")," ",""),2))&amp;RIGHT(SUBSTITUTE(SUBSTITUTE(qPCR_Raw!A201,"-","")," ",""),LEN(SUBSTITUTE(SUBSTITUTE(qPCR_Raw!A201,"-","")," ",""))-2)</f>
        <v>RG7</v>
      </c>
      <c r="B201" s="116" t="str" cm="1">
        <f t="array" ref="B201">_xlfn.IFS(LEFT(A201, LEN(A201)-1)="EP", "EP", LEFT(A201, LEN(A201)-1)="STa", "SPI", LEFT(A201, LEN(A201)-1)="STb", "SPO", LEFT(A201, LEN(A201)-1)="MRT", "MRT", LEFT(A201, LEN(A201)-1)="RG", "RN", LEFT(A201, LEN(A201)-1)="RT", "RU", LEFT(A201, LEN(A201)-1)="RW", "RL", LEFT(A201, LEN(A201)-1)="RC", "RS")</f>
        <v>RN</v>
      </c>
      <c r="C201" s="117">
        <f>qPCR_Raw!B201</f>
        <v>44419</v>
      </c>
      <c r="D201" s="117" t="str">
        <f t="shared" si="54"/>
        <v>RN44419</v>
      </c>
      <c r="E201" s="117" t="str">
        <f t="shared" si="55"/>
        <v>RN444197</v>
      </c>
      <c r="F201" s="118">
        <f>qPCR_Raw!C201</f>
        <v>1000</v>
      </c>
      <c r="G201" s="119">
        <f>qPCR_Raw!F201</f>
        <v>100</v>
      </c>
      <c r="H201" s="120">
        <f>qPCR_Raw!G201</f>
        <v>14.631511688232422</v>
      </c>
      <c r="I201" s="121" cm="1">
        <f t="array" ref="I201">_xlfn.IFS(H201="Undetermined", 0, qPCR_Raw!H201-qPCR_Raw!$H$242&lt;0, 0, qPCR_Raw!H201-qPCR_Raw!$H$242&gt;0, qPCR_Raw!H201-qPCR_Raw!$H$242)</f>
        <v>3810241.3614461264</v>
      </c>
      <c r="J201" s="122">
        <f>qPCR_Raw!K201</f>
        <v>17.410917282104492</v>
      </c>
      <c r="K201" s="121" cm="1">
        <f t="array" ref="K201">_xlfn.IFS(J201="Undetermined", 0, qPCR_Raw!L201-qPCR_Raw!$H$242&lt;0, 0, qPCR_Raw!L201-qPCR_Raw!$H$242&gt;0, qPCR_Raw!L201-qPCR_Raw!$H$242)</f>
        <v>532560.17394612625</v>
      </c>
      <c r="L201" s="123" cm="1">
        <f t="array" ref="L201">_xlfn.IFS(AND(H201="Undetermined", J201="Undetermined"), "Undetermined", AND(I201=0, K201=0), "Undetermined", AND(I201=0, K201&gt;0), "Ten-Fold", AND(I201&gt;0, K201=0), "Undiluted", AND(H201&lt;&gt;"Undetermined", J201&lt;&gt;"Undetermined", I201&gt;0, K201&gt;0), 100*(-1+10^(-1/(H201-J201))))</f>
        <v>128.97557516064353</v>
      </c>
      <c r="M201" s="124" cm="1">
        <f t="array" ref="M201">_xlfn.IFS(L201="Undetermined", 0, L201="Undiluted", I201*$G201/$F201*1000, L201="Ten-Fold", K201*$G201/$F201*1000*10, L201&lt;0, K201*$G201/$F201*1000*10, L201&lt;120, I201*$G201/$F201*1000, L201&gt;120, K201*$G201/$F201*1000*10)</f>
        <v>532560173.94612622</v>
      </c>
      <c r="N201" s="121" t="str">
        <f t="shared" si="56"/>
        <v>DELETE</v>
      </c>
      <c r="O201" s="121" t="str">
        <f t="shared" si="57"/>
        <v>DELETE</v>
      </c>
      <c r="P201" s="121" t="str">
        <f t="shared" si="58"/>
        <v>DELETE</v>
      </c>
      <c r="Q201" s="125" t="str" cm="1">
        <f t="array" ref="Q201">_xlfn.IFS(N201="DELETE", "DELETE", N201=0, 0, N201&gt;0,LOG10(N201))</f>
        <v>DELETE</v>
      </c>
      <c r="R201" s="126" t="str" cm="1">
        <f t="array" ref="R201">_xlfn.IFS(N201="DELETE", "DELETE", N201=0, 0, N201&gt;0, P201/N201/LN(10))</f>
        <v>DELETE</v>
      </c>
      <c r="S201" s="155">
        <f>qPCR_Raw!O201</f>
        <v>30.57545280456543</v>
      </c>
      <c r="T201" s="156" cm="1">
        <f t="array" ref="T201">_xlfn.IFS(S201="Undetermined", 0, qPCR_Raw!P201&lt;=1, 0, qPCR_Raw!P201&gt;1, qPCR_Raw!P201)</f>
        <v>52.401931762695313</v>
      </c>
      <c r="U201" s="157">
        <f>qPCR_Raw!R201</f>
        <v>32.289535522460938</v>
      </c>
      <c r="V201" s="156" cm="1">
        <f t="array" ref="V201">_xlfn.IFS(U201="Undetermined", 0, qPCR_Raw!S201&lt;=1, 0, qPCR_Raw!S201&gt;1, qPCR_Raw!S201)</f>
        <v>15.976895332336426</v>
      </c>
      <c r="W201" s="158" cm="1">
        <f t="array" ref="W201">_xlfn.IFS(AND(S201="Undetermined", U201="Undetermined"), "Undetermined", AND(T201=0, V201=0), "Undetermined", AND(T201=0, V201&gt;0), "Ten-Fold", AND(T201&gt;0, V201=0), "Undiluted", AND(S201&lt;&gt;"Undetermined", U201&lt;&gt;"Undetermined", T201&gt;0, V201&gt;0, S201&lt;&gt;U201), 100*(-1+10^(-1/(S201-U201))), AND(S201&lt;&gt;"Undetermined", U201&lt;&gt;"Undetermined", S201=U201&gt;0), -100)</f>
        <v>283.17963259620814</v>
      </c>
      <c r="X201" s="159" cm="1">
        <f t="array" ref="X201">_xlfn.IFS(W201="Undetermined", 0, W201="Undiluted", T201*$G201/$F201*1000, W201="Ten-Fold", V201*$G201/$F201*1000*10, W201&lt;0, V201*$G201/$F201*1000*10, W201&lt;120, T201*$G201/$F201*1000, W201&gt;120, V201*$G201/$F201*1000*10)</f>
        <v>15976.895332336426</v>
      </c>
      <c r="Y201" s="156" t="str">
        <f t="shared" si="59"/>
        <v>DELETE</v>
      </c>
      <c r="Z201" s="156" t="str">
        <f t="shared" si="60"/>
        <v>DELETE</v>
      </c>
      <c r="AA201" s="156" t="str">
        <f t="shared" si="61"/>
        <v>DELETE</v>
      </c>
      <c r="AB201" s="160" t="str" cm="1">
        <f t="array" ref="AB201">_xlfn.IFS(Y201="DELETE", "DELETE", Y201=0, 0, Y201&gt;0,LOG10(Y201))</f>
        <v>DELETE</v>
      </c>
      <c r="AC201" s="161" t="str" cm="1">
        <f t="array" ref="AC201">_xlfn.IFS(Y201="DELETE", "DELETE", Y201=0, 0, Y201&gt;0, AA201/Y201/LN(10))</f>
        <v>DELETE</v>
      </c>
      <c r="AD201" s="120">
        <f>qPCR_Raw!U201</f>
        <v>26.590084075927734</v>
      </c>
      <c r="AE201" s="121" cm="1">
        <f t="array" ref="AE201">_xlfn.IFS(AD201="Undetermined", 0, qPCR_Raw!V201&lt;=1, 0, qPCR_Raw!V201&gt;1, qPCR_Raw!V201)</f>
        <v>410.9881591796875</v>
      </c>
      <c r="AF201" s="122">
        <f>qPCR_Raw!X201</f>
        <v>29.447242736816406</v>
      </c>
      <c r="AG201" s="121" cm="1">
        <f t="array" ref="AG201">_xlfn.IFS(AF201="Undetermined", 0, qPCR_Raw!Y201&lt;=1, 0, qPCR_Raw!Y201&gt;1, qPCR_Raw!Y201)</f>
        <v>64.95416259765625</v>
      </c>
      <c r="AH201" s="123" cm="1">
        <f t="array" ref="AH201">_xlfn.IFS(AND(AD201="Undetermined", AF201="Undetermined"), "Undetermined", AND(AE201=0, AG201=0), "Undetermined", AND(AE201=0, AG201&gt;0), "Ten-Fold", AND(AE201&gt;0, AG201=0), "Undiluted", AND(AD201&lt;&gt;"Undetermined", AF201&lt;&gt;"Undetermined", AE201&gt;0, AG201&gt;0, AD201&lt;&gt;AF201), 100*(-1+10^(-1/(AD201-AF201))), AND(AD201&lt;&gt;"Undetermined", AF201&lt;&gt;"Undetermined", AD201=AF201&gt;0), -100)</f>
        <v>123.87111590761376</v>
      </c>
      <c r="AI201" s="124" cm="1">
        <f t="array" ref="AI201">_xlfn.IFS(AH201="Undetermined", 0, AH201="Undiluted", AE201*$G201/$F201*1000, AH201="Ten-Fold", AG201*$G201/$F201*1000*10, AH201&lt;0, AG201*$G201/$F201*1000*10, AH201&lt;120, AE201*$G201/$F201*1000, AH201&gt;120, AG201*$G201/$F201*1000*10)</f>
        <v>64954.16259765625</v>
      </c>
      <c r="AJ201" s="121" t="str">
        <f t="shared" si="62"/>
        <v>DELETE</v>
      </c>
      <c r="AK201" s="121" t="str">
        <f t="shared" si="63"/>
        <v>DELETE</v>
      </c>
      <c r="AL201" s="121" t="str">
        <f t="shared" si="64"/>
        <v>DELETE</v>
      </c>
      <c r="AM201" s="125" t="str" cm="1">
        <f t="array" ref="AM201">_xlfn.IFS(AJ201="DELETE", "DELETE", AJ201=0, 0, AJ201&gt;0,LOG10(AJ201))</f>
        <v>DELETE</v>
      </c>
      <c r="AN201" s="126" t="str" cm="1">
        <f t="array" ref="AN201">_xlfn.IFS(AJ201="DELETE", "DELETE", AJ201=0, 0, AJ201&gt;0, AL201/AJ201/LN(10))</f>
        <v>DELETE</v>
      </c>
      <c r="AO201" s="155" t="str">
        <f>qPCR_Raw!AA201</f>
        <v>Undetermined</v>
      </c>
      <c r="AP201" s="156" cm="1">
        <f t="array" ref="AP201">_xlfn.IFS(AO201="Undetermined", 0, qPCR_Raw!AB201&lt;=6, 0, qPCR_Raw!AB201&gt;6, qPCR_Raw!AB201)</f>
        <v>0</v>
      </c>
      <c r="AQ201" s="157">
        <f>qPCR_Raw!AD201</f>
        <v>33.914016723632813</v>
      </c>
      <c r="AR201" s="156" cm="1">
        <f t="array" ref="AR201">_xlfn.IFS(AQ201="Undetermined", 0, qPCR_Raw!AE201&lt;=6, 0, qPCR_Raw!AE201&gt;6, qPCR_Raw!AE201)</f>
        <v>0</v>
      </c>
      <c r="AS201" s="158" t="str" cm="1">
        <f t="array" ref="AS201">_xlfn.IFS(AND(AO201="Undetermined", AQ201="Undetermined"), "Undetermined", AND(AP201=0, AR201=0), "Undetermined", AND(AP201=0, AR201&gt;0), "Ten-Fold", AND(AP201&gt;0, AR201=0), "Undiluted", AND(AO201&lt;&gt;"Undetermined", AQ201&lt;&gt;"Undetermined", AP201&gt;0, AR201&gt;0, AO201&lt;&gt;AQ201), 100*(-1+10^(-1/(AO201-AQ201))), AND(AO201&lt;&gt;"Undetermined", AQ201&lt;&gt;"Undetermined", AO201=AQ201&gt;0), -100)</f>
        <v>Undetermined</v>
      </c>
      <c r="AT201" s="159" cm="1">
        <f t="array" ref="AT201">_xlfn.IFS(AS201="Undetermined", 0, AS201="Undiluted", AP201*$G201/$F201*1000, AS201="Ten-Fold", AR201*$G201/$F201*1000*10, AS201&lt;0, AR201*$G201/$F201*1000*10, AS201&lt;120, AP201*$G201/$F201*1000, AS201&gt;120, AR201*$G201/$F201*1000*10)</f>
        <v>0</v>
      </c>
      <c r="AU201" s="156" t="str">
        <f t="shared" si="65"/>
        <v>DELETE</v>
      </c>
      <c r="AV201" s="156" t="str">
        <f t="shared" si="66"/>
        <v>DELETE</v>
      </c>
      <c r="AW201" s="156" t="str">
        <f t="shared" si="67"/>
        <v>DELETE</v>
      </c>
      <c r="AX201" s="160" t="str" cm="1">
        <f t="array" ref="AX201">_xlfn.IFS(AU201="DELETE", "DELETE", AU201=0, 0, AU201&gt;0,LOG10(AU201))</f>
        <v>DELETE</v>
      </c>
      <c r="AY201" s="161" t="str" cm="1">
        <f t="array" ref="AY201">_xlfn.IFS(AU201="DELETE", "DELETE", AU201=0, 0, AU201&gt;0, AW201/AU201/LN(10))</f>
        <v>DELETE</v>
      </c>
      <c r="AZ201" s="120">
        <f>qPCR_Raw!AG201</f>
        <v>24.607460021972656</v>
      </c>
      <c r="BA201" s="121" cm="1">
        <f t="array" ref="BA201">_xlfn.IFS(AZ201="Undetermined", 0, qPCR_Raw!AH201&lt;=1, 0, qPCR_Raw!AH201&gt;1, qPCR_Raw!AH201)</f>
        <v>2051.860107421875</v>
      </c>
      <c r="BB201" s="122">
        <f>qPCR_Raw!AJ201</f>
        <v>27.500041961669922</v>
      </c>
      <c r="BC201" s="121" cm="1">
        <f t="array" ref="BC201">_xlfn.IFS(BB201="Undetermined", 0, qPCR_Raw!AK201&lt;=1, 0, qPCR_Raw!AK201&gt;1, qPCR_Raw!AK201)</f>
        <v>374.51705932617188</v>
      </c>
      <c r="BD201" s="123" cm="1">
        <f t="array" ref="BD201">_xlfn.IFS(AND(AZ201="Undetermined", BB201="Undetermined"), "Undetermined", AND(BA201=0, BC201=0), "Undetermined", AND(BA201=0, BC201&gt;0), "Ten-Fold", AND(BA201&gt;0, BC201=0), "Undiluted", AND(AZ201&lt;&gt;"Undetermined", BB201&lt;&gt;"Undetermined", BA201&gt;0, BC201&gt;0, AZ201&lt;&gt;BB201), 100*(-1+10^(-1/(AZ201-BB201))), AND(AZ201&lt;&gt;"Undetermined", BB201&lt;&gt;"Undetermined", AZ201=BB201&gt;0), -100)</f>
        <v>121.67254152773133</v>
      </c>
      <c r="BE201" s="124" cm="1">
        <f t="array" ref="BE201">_xlfn.IFS(BD201="Undetermined", 0, BD201="Undiluted", BA201*$G201/$F201*1000, BD201="Ten-Fold", BC201*$G201/$F201*1000*10, BD201&lt;0, BC201*$G201/$F201*1000*10, BD201&lt;120, BA201*$G201/$F201*1000, BD201&gt;120, BC201*$G201/$F201*1000*10)</f>
        <v>374517.05932617188</v>
      </c>
      <c r="BF201" s="121" t="str">
        <f t="shared" si="68"/>
        <v>DELETE</v>
      </c>
      <c r="BG201" s="121" t="str">
        <f t="shared" si="69"/>
        <v>DELETE</v>
      </c>
      <c r="BH201" s="121" t="str">
        <f t="shared" si="70"/>
        <v>DELETE</v>
      </c>
      <c r="BI201" s="125" t="str" cm="1">
        <f t="array" ref="BI201">_xlfn.IFS(BF201="DELETE", "DELETE", BF201=0, 0, BF201&gt;0,LOG10(BF201))</f>
        <v>DELETE</v>
      </c>
      <c r="BJ201" s="126" t="str" cm="1">
        <f t="array" ref="BJ201">_xlfn.IFS(BF201="DELETE", "DELETE", BF201=0, 0, BF201&gt;0, BH201/BF201/LN(10))</f>
        <v>DELETE</v>
      </c>
    </row>
    <row r="202" spans="1:62" s="114" customFormat="1" x14ac:dyDescent="0.3">
      <c r="A202" s="115" t="str">
        <f>UPPER(LEFT(SUBSTITUTE(SUBSTITUTE(qPCR_Raw!A202,"-","")," ",""),2))&amp;RIGHT(SUBSTITUTE(SUBSTITUTE(qPCR_Raw!A202,"-","")," ",""),LEN(SUBSTITUTE(SUBSTITUTE(qPCR_Raw!A202,"-","")," ",""))-2)</f>
        <v>STa6</v>
      </c>
      <c r="B202" s="116" t="str" cm="1">
        <f t="array" ref="B202">_xlfn.IFS(LEFT(A202, LEN(A202)-1)="EP", "EP", LEFT(A202, LEN(A202)-1)="STa", "SPI", LEFT(A202, LEN(A202)-1)="STb", "SPO", LEFT(A202, LEN(A202)-1)="MRT", "MRT", LEFT(A202, LEN(A202)-1)="RG", "RN", LEFT(A202, LEN(A202)-1)="RT", "RU", LEFT(A202, LEN(A202)-1)="RW", "RL", LEFT(A202, LEN(A202)-1)="RC", "RS")</f>
        <v>SPI</v>
      </c>
      <c r="C202" s="117">
        <f>qPCR_Raw!B202</f>
        <v>44419</v>
      </c>
      <c r="D202" s="117" t="str">
        <f t="shared" si="54"/>
        <v>SPI44419</v>
      </c>
      <c r="E202" s="117" t="str">
        <f t="shared" si="55"/>
        <v>SPI444196</v>
      </c>
      <c r="F202" s="118">
        <f>qPCR_Raw!C202</f>
        <v>1000</v>
      </c>
      <c r="G202" s="119">
        <f>qPCR_Raw!F202</f>
        <v>100</v>
      </c>
      <c r="H202" s="120">
        <f>qPCR_Raw!G202</f>
        <v>19.363536834716797</v>
      </c>
      <c r="I202" s="121" cm="1">
        <f t="array" ref="I202">_xlfn.IFS(H202="Undetermined", 0, qPCR_Raw!H202-qPCR_Raw!$H$242&lt;0, 0, qPCR_Raw!H202-qPCR_Raw!$H$242&gt;0, qPCR_Raw!H202-qPCR_Raw!$H$242)</f>
        <v>125938.29894612631</v>
      </c>
      <c r="J202" s="122">
        <f>qPCR_Raw!K202</f>
        <v>22.29600715637207</v>
      </c>
      <c r="K202" s="121" cm="1">
        <f t="array" ref="K202">_xlfn.IFS(J202="Undetermined", 0, qPCR_Raw!L202-qPCR_Raw!$H$242&lt;0, 0, qPCR_Raw!L202-qPCR_Raw!$H$242&gt;0, qPCR_Raw!L202-qPCR_Raw!$H$242)</f>
        <v>4824.6876180013023</v>
      </c>
      <c r="L202" s="123" cm="1">
        <f t="array" ref="L202">_xlfn.IFS(AND(H202="Undetermined", J202="Undetermined"), "Undetermined", AND(I202=0, K202=0), "Undetermined", AND(I202=0, K202&gt;0), "Ten-Fold", AND(I202&gt;0, K202=0), "Undiluted", AND(H202&lt;&gt;"Undetermined", J202&lt;&gt;"Undetermined", I202&gt;0, K202&gt;0), 100*(-1+10^(-1/(H202-J202))))</f>
        <v>119.2852492455351</v>
      </c>
      <c r="M202" s="124" cm="1">
        <f t="array" ref="M202">_xlfn.IFS(L202="Undetermined", 0, L202="Undiluted", I202*$G202/$F202*1000, L202="Ten-Fold", K202*$G202/$F202*1000*10, L202&lt;0, K202*$G202/$F202*1000*10, L202&lt;120, I202*$G202/$F202*1000, L202&gt;120, K202*$G202/$F202*1000*10)</f>
        <v>12593829.894612631</v>
      </c>
      <c r="N202" s="121">
        <f t="shared" si="56"/>
        <v>9060300.0450077765</v>
      </c>
      <c r="O202" s="121">
        <f t="shared" si="57"/>
        <v>4997165.8363613468</v>
      </c>
      <c r="P202" s="121">
        <f t="shared" si="58"/>
        <v>3533529.8496048534</v>
      </c>
      <c r="Q202" s="125" cm="1">
        <f t="array" ref="Q202">_xlfn.IFS(N202="DELETE", "DELETE", N202=0, 0, N202&gt;0,LOG10(N202))</f>
        <v>6.9571425802081057</v>
      </c>
      <c r="R202" s="126" cm="1">
        <f t="array" ref="R202">_xlfn.IFS(N202="DELETE", "DELETE", N202=0, 0, N202&gt;0, P202/N202/LN(10))</f>
        <v>0.16937546303109191</v>
      </c>
      <c r="S202" s="155">
        <f>qPCR_Raw!O202</f>
        <v>30.472639083862305</v>
      </c>
      <c r="T202" s="156" cm="1">
        <f t="array" ref="T202">_xlfn.IFS(S202="Undetermined", 0, qPCR_Raw!P202&lt;=1, 0, qPCR_Raw!P202&gt;1, qPCR_Raw!P202)</f>
        <v>56.271591186523438</v>
      </c>
      <c r="U202" s="157">
        <f>qPCR_Raw!R202</f>
        <v>32.752193450927734</v>
      </c>
      <c r="V202" s="156" cm="1">
        <f t="array" ref="V202">_xlfn.IFS(U202="Undetermined", 0, qPCR_Raw!S202&lt;=1, 0, qPCR_Raw!S202&gt;1, qPCR_Raw!S202)</f>
        <v>11.594579696655273</v>
      </c>
      <c r="W202" s="158" cm="1">
        <f t="array" ref="W202">_xlfn.IFS(AND(S202="Undetermined", U202="Undetermined"), "Undetermined", AND(T202=0, V202=0), "Undetermined", AND(T202=0, V202&gt;0), "Ten-Fold", AND(T202&gt;0, V202=0), "Undiluted", AND(S202&lt;&gt;"Undetermined", U202&lt;&gt;"Undetermined", T202&gt;0, V202&gt;0, S202&lt;&gt;U202), 100*(-1+10^(-1/(S202-U202))), AND(S202&lt;&gt;"Undetermined", U202&lt;&gt;"Undetermined", S202=U202&gt;0), -100)</f>
        <v>174.58842940498855</v>
      </c>
      <c r="X202" s="159" cm="1">
        <f t="array" ref="X202">_xlfn.IFS(W202="Undetermined", 0, W202="Undiluted", T202*$G202/$F202*1000, W202="Ten-Fold", V202*$G202/$F202*1000*10, W202&lt;0, V202*$G202/$F202*1000*10, W202&lt;120, T202*$G202/$F202*1000, W202&gt;120, V202*$G202/$F202*1000*10)</f>
        <v>11594.579696655273</v>
      </c>
      <c r="Y202" s="156">
        <f t="shared" si="59"/>
        <v>6351.5933354695635</v>
      </c>
      <c r="Z202" s="156">
        <f t="shared" si="60"/>
        <v>7414.702419325994</v>
      </c>
      <c r="AA202" s="156">
        <f t="shared" si="61"/>
        <v>5242.9863611857099</v>
      </c>
      <c r="AB202" s="160" cm="1">
        <f t="array" ref="AB202">_xlfn.IFS(Y202="DELETE", "DELETE", Y202=0, 0, Y202&gt;0,LOG10(Y202))</f>
        <v>3.8028826843473644</v>
      </c>
      <c r="AC202" s="161" cm="1">
        <f t="array" ref="AC202">_xlfn.IFS(Y202="DELETE", "DELETE", Y202=0, 0, Y202&gt;0, AA202/Y202/LN(10))</f>
        <v>0.35849273168062923</v>
      </c>
      <c r="AD202" s="120">
        <f>qPCR_Raw!U202</f>
        <v>32.313209533691406</v>
      </c>
      <c r="AE202" s="121" cm="1">
        <f t="array" ref="AE202">_xlfn.IFS(AD202="Undetermined", 0, qPCR_Raw!V202&lt;=1, 0, qPCR_Raw!V202&gt;1, qPCR_Raw!V202)</f>
        <v>10.207389831542969</v>
      </c>
      <c r="AF202" s="122">
        <f>qPCR_Raw!X202</f>
        <v>35.420455932617188</v>
      </c>
      <c r="AG202" s="121" cm="1">
        <f t="array" ref="AG202">_xlfn.IFS(AF202="Undetermined", 0, qPCR_Raw!Y202&lt;=1, 0, qPCR_Raw!Y202&gt;1, qPCR_Raw!Y202)</f>
        <v>1.3726544380187988</v>
      </c>
      <c r="AH202" s="123" cm="1">
        <f t="array" ref="AH202">_xlfn.IFS(AND(AD202="Undetermined", AF202="Undetermined"), "Undetermined", AND(AE202=0, AG202=0), "Undetermined", AND(AE202=0, AG202&gt;0), "Ten-Fold", AND(AE202&gt;0, AG202=0), "Undiluted", AND(AD202&lt;&gt;"Undetermined", AF202&lt;&gt;"Undetermined", AE202&gt;0, AG202&gt;0, AD202&lt;&gt;AF202), 100*(-1+10^(-1/(AD202-AF202))), AND(AD202&lt;&gt;"Undetermined", AF202&lt;&gt;"Undetermined", AD202=AF202&gt;0), -100)</f>
        <v>109.8110493799759</v>
      </c>
      <c r="AI202" s="124" cm="1">
        <f t="array" ref="AI202">_xlfn.IFS(AH202="Undetermined", 0, AH202="Undiluted", AE202*$G202/$F202*1000, AH202="Ten-Fold", AG202*$G202/$F202*1000*10, AH202&lt;0, AG202*$G202/$F202*1000*10, AH202&lt;120, AE202*$G202/$F202*1000, AH202&gt;120, AG202*$G202/$F202*1000*10)</f>
        <v>1020.7389831542968</v>
      </c>
      <c r="AJ202" s="121">
        <f t="shared" si="62"/>
        <v>690.3161658181084</v>
      </c>
      <c r="AK202" s="121">
        <f t="shared" si="63"/>
        <v>467.28842959436525</v>
      </c>
      <c r="AL202" s="121">
        <f t="shared" si="64"/>
        <v>330.42281733618825</v>
      </c>
      <c r="AM202" s="125" cm="1">
        <f t="array" ref="AM202">_xlfn.IFS(AJ202="DELETE", "DELETE", AJ202=0, 0, AJ202&gt;0,LOG10(AJ202))</f>
        <v>2.8390480438118804</v>
      </c>
      <c r="AN202" s="126" cm="1">
        <f t="array" ref="AN202">_xlfn.IFS(AJ202="DELETE", "DELETE", AJ202=0, 0, AJ202&gt;0, AL202/AJ202/LN(10))</f>
        <v>0.20787693142600364</v>
      </c>
      <c r="AO202" s="155">
        <f>qPCR_Raw!AA202</f>
        <v>29.671869277954102</v>
      </c>
      <c r="AP202" s="156" cm="1">
        <f t="array" ref="AP202">_xlfn.IFS(AO202="Undetermined", 0, qPCR_Raw!AB202&lt;=6, 0, qPCR_Raw!AB202&gt;6, qPCR_Raw!AB202)</f>
        <v>6.5927290916442871</v>
      </c>
      <c r="AQ202" s="157" t="str">
        <f>qPCR_Raw!AD202</f>
        <v>Undetermined</v>
      </c>
      <c r="AR202" s="156" cm="1">
        <f t="array" ref="AR202">_xlfn.IFS(AQ202="Undetermined", 0, qPCR_Raw!AE202&lt;=6, 0, qPCR_Raw!AE202&gt;6, qPCR_Raw!AE202)</f>
        <v>0</v>
      </c>
      <c r="AS202" s="158" t="str" cm="1">
        <f t="array" ref="AS202">_xlfn.IFS(AND(AO202="Undetermined", AQ202="Undetermined"), "Undetermined", AND(AP202=0, AR202=0), "Undetermined", AND(AP202=0, AR202&gt;0), "Ten-Fold", AND(AP202&gt;0, AR202=0), "Undiluted", AND(AO202&lt;&gt;"Undetermined", AQ202&lt;&gt;"Undetermined", AP202&gt;0, AR202&gt;0, AO202&lt;&gt;AQ202), 100*(-1+10^(-1/(AO202-AQ202))), AND(AO202&lt;&gt;"Undetermined", AQ202&lt;&gt;"Undetermined", AO202=AQ202&gt;0), -100)</f>
        <v>Undiluted</v>
      </c>
      <c r="AT202" s="159" cm="1">
        <f t="array" ref="AT202">_xlfn.IFS(AS202="Undetermined", 0, AS202="Undiluted", AP202*$G202/$F202*1000, AS202="Ten-Fold", AR202*$G202/$F202*1000*10, AS202&lt;0, AR202*$G202/$F202*1000*10, AS202&lt;120, AP202*$G202/$F202*1000, AS202&gt;120, AR202*$G202/$F202*1000*10)</f>
        <v>659.27290916442871</v>
      </c>
      <c r="AU202" s="156">
        <f t="shared" si="65"/>
        <v>1396.6173463397556</v>
      </c>
      <c r="AV202" s="156">
        <f t="shared" si="66"/>
        <v>1042.7625031937037</v>
      </c>
      <c r="AW202" s="156">
        <f t="shared" si="67"/>
        <v>737.34443717532668</v>
      </c>
      <c r="AX202" s="160" cm="1">
        <f t="array" ref="AX202">_xlfn.IFS(AU202="DELETE", "DELETE", AU202=0, 0, AU202&gt;0,LOG10(AU202))</f>
        <v>3.1450774317855172</v>
      </c>
      <c r="AY202" s="161" cm="1">
        <f t="array" ref="AY202">_xlfn.IFS(AU202="DELETE", "DELETE", AU202=0, 0, AU202&gt;0, AW202/AU202/LN(10))</f>
        <v>0.22928586786247901</v>
      </c>
      <c r="AZ202" s="120" t="str">
        <f>qPCR_Raw!AG202</f>
        <v>Undetermined</v>
      </c>
      <c r="BA202" s="121" cm="1">
        <f t="array" ref="BA202">_xlfn.IFS(AZ202="Undetermined", 0, qPCR_Raw!AH202&lt;=1, 0, qPCR_Raw!AH202&gt;1, qPCR_Raw!AH202)</f>
        <v>0</v>
      </c>
      <c r="BB202" s="122" t="str">
        <f>qPCR_Raw!AJ202</f>
        <v>Undetermined</v>
      </c>
      <c r="BC202" s="121" cm="1">
        <f t="array" ref="BC202">_xlfn.IFS(BB202="Undetermined", 0, qPCR_Raw!AK202&lt;=1, 0, qPCR_Raw!AK202&gt;1, qPCR_Raw!AK202)</f>
        <v>0</v>
      </c>
      <c r="BD202" s="123" t="str" cm="1">
        <f t="array" ref="BD202">_xlfn.IFS(AND(AZ202="Undetermined", BB202="Undetermined"), "Undetermined", AND(BA202=0, BC202=0), "Undetermined", AND(BA202=0, BC202&gt;0), "Ten-Fold", AND(BA202&gt;0, BC202=0), "Undiluted", AND(AZ202&lt;&gt;"Undetermined", BB202&lt;&gt;"Undetermined", BA202&gt;0, BC202&gt;0, AZ202&lt;&gt;BB202), 100*(-1+10^(-1/(AZ202-BB202))), AND(AZ202&lt;&gt;"Undetermined", BB202&lt;&gt;"Undetermined", AZ202=BB202&gt;0), -100)</f>
        <v>Undetermined</v>
      </c>
      <c r="BE202" s="124" cm="1">
        <f t="array" ref="BE202">_xlfn.IFS(BD202="Undetermined", 0, BD202="Undiluted", BA202*$G202/$F202*1000, BD202="Ten-Fold", BC202*$G202/$F202*1000*10, BD202&lt;0, BC202*$G202/$F202*1000*10, BD202&lt;120, BA202*$G202/$F202*1000, BD202&gt;120, BC202*$G202/$F202*1000*10)</f>
        <v>0</v>
      </c>
      <c r="BF202" s="121">
        <f t="shared" si="68"/>
        <v>0</v>
      </c>
      <c r="BG202" s="121">
        <f t="shared" si="69"/>
        <v>0</v>
      </c>
      <c r="BH202" s="121">
        <f t="shared" si="70"/>
        <v>0</v>
      </c>
      <c r="BI202" s="125" cm="1">
        <f t="array" ref="BI202">_xlfn.IFS(BF202="DELETE", "DELETE", BF202=0, 0, BF202&gt;0,LOG10(BF202))</f>
        <v>0</v>
      </c>
      <c r="BJ202" s="126" cm="1">
        <f t="array" ref="BJ202">_xlfn.IFS(BF202="DELETE", "DELETE", BF202=0, 0, BF202&gt;0, BH202/BF202/LN(10))</f>
        <v>0</v>
      </c>
    </row>
    <row r="203" spans="1:62" s="114" customFormat="1" x14ac:dyDescent="0.3">
      <c r="A203" s="115" t="str">
        <f>UPPER(LEFT(SUBSTITUTE(SUBSTITUTE(qPCR_Raw!A203,"-","")," ",""),2))&amp;RIGHT(SUBSTITUTE(SUBSTITUTE(qPCR_Raw!A203,"-","")," ",""),LEN(SUBSTITUTE(SUBSTITUTE(qPCR_Raw!A203,"-","")," ",""))-2)</f>
        <v>STa7</v>
      </c>
      <c r="B203" s="116" t="str" cm="1">
        <f t="array" ref="B203">_xlfn.IFS(LEFT(A203, LEN(A203)-1)="EP", "EP", LEFT(A203, LEN(A203)-1)="STa", "SPI", LEFT(A203, LEN(A203)-1)="STb", "SPO", LEFT(A203, LEN(A203)-1)="MRT", "MRT", LEFT(A203, LEN(A203)-1)="RG", "RN", LEFT(A203, LEN(A203)-1)="RT", "RU", LEFT(A203, LEN(A203)-1)="RW", "RL", LEFT(A203, LEN(A203)-1)="RC", "RS")</f>
        <v>SPI</v>
      </c>
      <c r="C203" s="117">
        <f>qPCR_Raw!B203</f>
        <v>44419</v>
      </c>
      <c r="D203" s="117" t="str">
        <f t="shared" si="54"/>
        <v>SPI44419</v>
      </c>
      <c r="E203" s="117" t="str">
        <f t="shared" si="55"/>
        <v>SPI444197</v>
      </c>
      <c r="F203" s="118">
        <f>qPCR_Raw!C203</f>
        <v>900</v>
      </c>
      <c r="G203" s="119">
        <f>qPCR_Raw!F203</f>
        <v>100</v>
      </c>
      <c r="H203" s="120">
        <f>qPCR_Raw!G203</f>
        <v>20.498624801635742</v>
      </c>
      <c r="I203" s="121" cm="1">
        <f t="array" ref="I203">_xlfn.IFS(H203="Undetermined", 0, qPCR_Raw!H203-qPCR_Raw!$H$242&lt;0, 0, qPCR_Raw!H203-qPCR_Raw!$H$242&gt;0, qPCR_Raw!H203-qPCR_Raw!$H$242)</f>
        <v>49740.931758626306</v>
      </c>
      <c r="J203" s="122">
        <f>qPCR_Raw!K203</f>
        <v>23.050716400146484</v>
      </c>
      <c r="K203" s="121" cm="1">
        <f t="array" ref="K203">_xlfn.IFS(J203="Undetermined", 0, qPCR_Raw!L203-qPCR_Raw!$H$242&lt;0, 0, qPCR_Raw!L203-qPCR_Raw!$H$242&gt;0, qPCR_Raw!L203-qPCR_Raw!$H$242)</f>
        <v>0</v>
      </c>
      <c r="L203" s="123" t="str" cm="1">
        <f t="array" ref="L203">_xlfn.IFS(AND(H203="Undetermined", J203="Undetermined"), "Undetermined", AND(I203=0, K203=0), "Undetermined", AND(I203=0, K203&gt;0), "Ten-Fold", AND(I203&gt;0, K203=0), "Undiluted", AND(H203&lt;&gt;"Undetermined", J203&lt;&gt;"Undetermined", I203&gt;0, K203&gt;0), 100*(-1+10^(-1/(H203-J203))))</f>
        <v>Undiluted</v>
      </c>
      <c r="M203" s="124" cm="1">
        <f t="array" ref="M203">_xlfn.IFS(L203="Undetermined", 0, L203="Undiluted", I203*$G203/$F203*1000, L203="Ten-Fold", K203*$G203/$F203*1000*10, L203&lt;0, K203*$G203/$F203*1000*10, L203&lt;120, I203*$G203/$F203*1000, L203&gt;120, K203*$G203/$F203*1000*10)</f>
        <v>5526770.195402923</v>
      </c>
      <c r="N203" s="121" t="str">
        <f t="shared" si="56"/>
        <v>DELETE</v>
      </c>
      <c r="O203" s="121" t="str">
        <f t="shared" si="57"/>
        <v>DELETE</v>
      </c>
      <c r="P203" s="121" t="str">
        <f t="shared" si="58"/>
        <v>DELETE</v>
      </c>
      <c r="Q203" s="125" t="str" cm="1">
        <f t="array" ref="Q203">_xlfn.IFS(N203="DELETE", "DELETE", N203=0, 0, N203&gt;0,LOG10(N203))</f>
        <v>DELETE</v>
      </c>
      <c r="R203" s="126" t="str" cm="1">
        <f t="array" ref="R203">_xlfn.IFS(N203="DELETE", "DELETE", N203=0, 0, N203&gt;0, P203/N203/LN(10))</f>
        <v>DELETE</v>
      </c>
      <c r="S203" s="155">
        <f>qPCR_Raw!O203</f>
        <v>32.968955993652344</v>
      </c>
      <c r="T203" s="156" cm="1">
        <f t="array" ref="T203">_xlfn.IFS(S203="Undetermined", 0, qPCR_Raw!P203&lt;=1, 0, qPCR_Raw!P203&gt;1, qPCR_Raw!P203)</f>
        <v>9.9774627685546875</v>
      </c>
      <c r="U203" s="157">
        <f>qPCR_Raw!R203</f>
        <v>37.15618896484375</v>
      </c>
      <c r="V203" s="156" cm="1">
        <f t="array" ref="V203">_xlfn.IFS(U203="Undetermined", 0, qPCR_Raw!S203&lt;=1, 0, qPCR_Raw!S203&gt;1, qPCR_Raw!S203)</f>
        <v>0</v>
      </c>
      <c r="W203" s="158" t="str" cm="1">
        <f t="array" ref="W203">_xlfn.IFS(AND(S203="Undetermined", U203="Undetermined"), "Undetermined", AND(T203=0, V203=0), "Undetermined", AND(T203=0, V203&gt;0), "Ten-Fold", AND(T203&gt;0, V203=0), "Undiluted", AND(S203&lt;&gt;"Undetermined", U203&lt;&gt;"Undetermined", T203&gt;0, V203&gt;0, S203&lt;&gt;U203), 100*(-1+10^(-1/(S203-U203))), AND(S203&lt;&gt;"Undetermined", U203&lt;&gt;"Undetermined", S203=U203&gt;0), -100)</f>
        <v>Undiluted</v>
      </c>
      <c r="X203" s="159" cm="1">
        <f t="array" ref="X203">_xlfn.IFS(W203="Undetermined", 0, W203="Undiluted", T203*$G203/$F203*1000, W203="Ten-Fold", V203*$G203/$F203*1000*10, W203&lt;0, V203*$G203/$F203*1000*10, W203&lt;120, T203*$G203/$F203*1000, W203&gt;120, V203*$G203/$F203*1000*10)</f>
        <v>1108.6069742838542</v>
      </c>
      <c r="Y203" s="156" t="str">
        <f t="shared" si="59"/>
        <v>DELETE</v>
      </c>
      <c r="Z203" s="156" t="str">
        <f t="shared" si="60"/>
        <v>DELETE</v>
      </c>
      <c r="AA203" s="156" t="str">
        <f t="shared" si="61"/>
        <v>DELETE</v>
      </c>
      <c r="AB203" s="160" t="str" cm="1">
        <f t="array" ref="AB203">_xlfn.IFS(Y203="DELETE", "DELETE", Y203=0, 0, Y203&gt;0,LOG10(Y203))</f>
        <v>DELETE</v>
      </c>
      <c r="AC203" s="161" t="str" cm="1">
        <f t="array" ref="AC203">_xlfn.IFS(Y203="DELETE", "DELETE", Y203=0, 0, Y203&gt;0, AA203/Y203/LN(10))</f>
        <v>DELETE</v>
      </c>
      <c r="AD203" s="120">
        <f>qPCR_Raw!U203</f>
        <v>34.090854644775391</v>
      </c>
      <c r="AE203" s="121" cm="1">
        <f t="array" ref="AE203">_xlfn.IFS(AD203="Undetermined", 0, qPCR_Raw!V203&lt;=1, 0, qPCR_Raw!V203&gt;1, qPCR_Raw!V203)</f>
        <v>3.2390401363372803</v>
      </c>
      <c r="AF203" s="122">
        <f>qPCR_Raw!X203</f>
        <v>36.628181457519531</v>
      </c>
      <c r="AG203" s="121" cm="1">
        <f t="array" ref="AG203">_xlfn.IFS(AF203="Undetermined", 0, qPCR_Raw!Y203&lt;=1, 0, qPCR_Raw!Y203&gt;1, qPCR_Raw!Y203)</f>
        <v>0</v>
      </c>
      <c r="AH203" s="123" t="str" cm="1">
        <f t="array" ref="AH203">_xlfn.IFS(AND(AD203="Undetermined", AF203="Undetermined"), "Undetermined", AND(AE203=0, AG203=0), "Undetermined", AND(AE203=0, AG203&gt;0), "Ten-Fold", AND(AE203&gt;0, AG203=0), "Undiluted", AND(AD203&lt;&gt;"Undetermined", AF203&lt;&gt;"Undetermined", AE203&gt;0, AG203&gt;0, AD203&lt;&gt;AF203), 100*(-1+10^(-1/(AD203-AF203))), AND(AD203&lt;&gt;"Undetermined", AF203&lt;&gt;"Undetermined", AD203=AF203&gt;0), -100)</f>
        <v>Undiluted</v>
      </c>
      <c r="AI203" s="124" cm="1">
        <f t="array" ref="AI203">_xlfn.IFS(AH203="Undetermined", 0, AH203="Undiluted", AE203*$G203/$F203*1000, AH203="Ten-Fold", AG203*$G203/$F203*1000*10, AH203&lt;0, AG203*$G203/$F203*1000*10, AH203&lt;120, AE203*$G203/$F203*1000, AH203&gt;120, AG203*$G203/$F203*1000*10)</f>
        <v>359.89334848191999</v>
      </c>
      <c r="AJ203" s="121" t="str">
        <f t="shared" si="62"/>
        <v>DELETE</v>
      </c>
      <c r="AK203" s="121" t="str">
        <f t="shared" si="63"/>
        <v>DELETE</v>
      </c>
      <c r="AL203" s="121" t="str">
        <f t="shared" si="64"/>
        <v>DELETE</v>
      </c>
      <c r="AM203" s="125" t="str" cm="1">
        <f t="array" ref="AM203">_xlfn.IFS(AJ203="DELETE", "DELETE", AJ203=0, 0, AJ203&gt;0,LOG10(AJ203))</f>
        <v>DELETE</v>
      </c>
      <c r="AN203" s="126" t="str" cm="1">
        <f t="array" ref="AN203">_xlfn.IFS(AJ203="DELETE", "DELETE", AJ203=0, 0, AJ203&gt;0, AL203/AJ203/LN(10))</f>
        <v>DELETE</v>
      </c>
      <c r="AO203" s="155">
        <f>qPCR_Raw!AA203</f>
        <v>28.007078170776367</v>
      </c>
      <c r="AP203" s="156" cm="1">
        <f t="array" ref="AP203">_xlfn.IFS(AO203="Undetermined", 0, qPCR_Raw!AB203&lt;=6, 0, qPCR_Raw!AB203&gt;6, qPCR_Raw!AB203)</f>
        <v>19.205656051635742</v>
      </c>
      <c r="AQ203" s="157" t="str">
        <f>qPCR_Raw!AD203</f>
        <v>Undetermined</v>
      </c>
      <c r="AR203" s="156" cm="1">
        <f t="array" ref="AR203">_xlfn.IFS(AQ203="Undetermined", 0, qPCR_Raw!AE203&lt;=6, 0, qPCR_Raw!AE203&gt;6, qPCR_Raw!AE203)</f>
        <v>0</v>
      </c>
      <c r="AS203" s="158" t="str" cm="1">
        <f t="array" ref="AS203">_xlfn.IFS(AND(AO203="Undetermined", AQ203="Undetermined"), "Undetermined", AND(AP203=0, AR203=0), "Undetermined", AND(AP203=0, AR203&gt;0), "Ten-Fold", AND(AP203&gt;0, AR203=0), "Undiluted", AND(AO203&lt;&gt;"Undetermined", AQ203&lt;&gt;"Undetermined", AP203&gt;0, AR203&gt;0, AO203&lt;&gt;AQ203), 100*(-1+10^(-1/(AO203-AQ203))), AND(AO203&lt;&gt;"Undetermined", AQ203&lt;&gt;"Undetermined", AO203=AQ203&gt;0), -100)</f>
        <v>Undiluted</v>
      </c>
      <c r="AT203" s="159" cm="1">
        <f t="array" ref="AT203">_xlfn.IFS(AS203="Undetermined", 0, AS203="Undiluted", AP203*$G203/$F203*1000, AS203="Ten-Fold", AR203*$G203/$F203*1000*10, AS203&lt;0, AR203*$G203/$F203*1000*10, AS203&lt;120, AP203*$G203/$F203*1000, AS203&gt;120, AR203*$G203/$F203*1000*10)</f>
        <v>2133.9617835150825</v>
      </c>
      <c r="AU203" s="156" t="str">
        <f t="shared" si="65"/>
        <v>DELETE</v>
      </c>
      <c r="AV203" s="156" t="str">
        <f t="shared" si="66"/>
        <v>DELETE</v>
      </c>
      <c r="AW203" s="156" t="str">
        <f t="shared" si="67"/>
        <v>DELETE</v>
      </c>
      <c r="AX203" s="160" t="str" cm="1">
        <f t="array" ref="AX203">_xlfn.IFS(AU203="DELETE", "DELETE", AU203=0, 0, AU203&gt;0,LOG10(AU203))</f>
        <v>DELETE</v>
      </c>
      <c r="AY203" s="161" t="str" cm="1">
        <f t="array" ref="AY203">_xlfn.IFS(AU203="DELETE", "DELETE", AU203=0, 0, AU203&gt;0, AW203/AU203/LN(10))</f>
        <v>DELETE</v>
      </c>
      <c r="AZ203" s="120" t="str">
        <f>qPCR_Raw!AG203</f>
        <v>Undetermined</v>
      </c>
      <c r="BA203" s="121" cm="1">
        <f t="array" ref="BA203">_xlfn.IFS(AZ203="Undetermined", 0, qPCR_Raw!AH203&lt;=1, 0, qPCR_Raw!AH203&gt;1, qPCR_Raw!AH203)</f>
        <v>0</v>
      </c>
      <c r="BB203" s="122" t="str">
        <f>qPCR_Raw!AJ203</f>
        <v>Undetermined</v>
      </c>
      <c r="BC203" s="121" cm="1">
        <f t="array" ref="BC203">_xlfn.IFS(BB203="Undetermined", 0, qPCR_Raw!AK203&lt;=1, 0, qPCR_Raw!AK203&gt;1, qPCR_Raw!AK203)</f>
        <v>0</v>
      </c>
      <c r="BD203" s="123" t="str" cm="1">
        <f t="array" ref="BD203">_xlfn.IFS(AND(AZ203="Undetermined", BB203="Undetermined"), "Undetermined", AND(BA203=0, BC203=0), "Undetermined", AND(BA203=0, BC203&gt;0), "Ten-Fold", AND(BA203&gt;0, BC203=0), "Undiluted", AND(AZ203&lt;&gt;"Undetermined", BB203&lt;&gt;"Undetermined", BA203&gt;0, BC203&gt;0, AZ203&lt;&gt;BB203), 100*(-1+10^(-1/(AZ203-BB203))), AND(AZ203&lt;&gt;"Undetermined", BB203&lt;&gt;"Undetermined", AZ203=BB203&gt;0), -100)</f>
        <v>Undetermined</v>
      </c>
      <c r="BE203" s="124" cm="1">
        <f t="array" ref="BE203">_xlfn.IFS(BD203="Undetermined", 0, BD203="Undiluted", BA203*$G203/$F203*1000, BD203="Ten-Fold", BC203*$G203/$F203*1000*10, BD203&lt;0, BC203*$G203/$F203*1000*10, BD203&lt;120, BA203*$G203/$F203*1000, BD203&gt;120, BC203*$G203/$F203*1000*10)</f>
        <v>0</v>
      </c>
      <c r="BF203" s="121" t="str">
        <f t="shared" si="68"/>
        <v>DELETE</v>
      </c>
      <c r="BG203" s="121" t="str">
        <f t="shared" si="69"/>
        <v>DELETE</v>
      </c>
      <c r="BH203" s="121" t="str">
        <f t="shared" si="70"/>
        <v>DELETE</v>
      </c>
      <c r="BI203" s="125" t="str" cm="1">
        <f t="array" ref="BI203">_xlfn.IFS(BF203="DELETE", "DELETE", BF203=0, 0, BF203&gt;0,LOG10(BF203))</f>
        <v>DELETE</v>
      </c>
      <c r="BJ203" s="126" t="str" cm="1">
        <f t="array" ref="BJ203">_xlfn.IFS(BF203="DELETE", "DELETE", BF203=0, 0, BF203&gt;0, BH203/BF203/LN(10))</f>
        <v>DELETE</v>
      </c>
    </row>
    <row r="204" spans="1:62" s="114" customFormat="1" x14ac:dyDescent="0.3">
      <c r="A204" s="115" t="str">
        <f>UPPER(LEFT(SUBSTITUTE(SUBSTITUTE(qPCR_Raw!A204,"-","")," ",""),2))&amp;RIGHT(SUBSTITUTE(SUBSTITUTE(qPCR_Raw!A204,"-","")," ",""),LEN(SUBSTITUTE(SUBSTITUTE(qPCR_Raw!A204,"-","")," ",""))-2)</f>
        <v>EP6</v>
      </c>
      <c r="B204" s="116" t="str" cm="1">
        <f t="array" ref="B204">_xlfn.IFS(LEFT(A204, LEN(A204)-1)="EP", "EP", LEFT(A204, LEN(A204)-1)="STa", "SPI", LEFT(A204, LEN(A204)-1)="STb", "SPO", LEFT(A204, LEN(A204)-1)="MRT", "MRT", LEFT(A204, LEN(A204)-1)="RG", "RN", LEFT(A204, LEN(A204)-1)="RT", "RU", LEFT(A204, LEN(A204)-1)="RW", "RL", LEFT(A204, LEN(A204)-1)="RC", "RS")</f>
        <v>EP</v>
      </c>
      <c r="C204" s="117">
        <f>qPCR_Raw!B204</f>
        <v>44426</v>
      </c>
      <c r="D204" s="117" t="str">
        <f t="shared" si="54"/>
        <v>EP44426</v>
      </c>
      <c r="E204" s="117" t="str">
        <f t="shared" si="55"/>
        <v>EP444266</v>
      </c>
      <c r="F204" s="118">
        <f>qPCR_Raw!C204</f>
        <v>960</v>
      </c>
      <c r="G204" s="119">
        <f>qPCR_Raw!F204</f>
        <v>100</v>
      </c>
      <c r="H204" s="120">
        <f>qPCR_Raw!G204</f>
        <v>18.233386993408203</v>
      </c>
      <c r="I204" s="121" cm="1">
        <f t="array" ref="I204">_xlfn.IFS(H204="Undetermined", 0, qPCR_Raw!H204-qPCR_Raw!$H$242&lt;0, 0, qPCR_Raw!H204-qPCR_Raw!$H$242&gt;0, qPCR_Raw!H204-qPCR_Raw!$H$242)</f>
        <v>293638.61144612631</v>
      </c>
      <c r="J204" s="122">
        <f>qPCR_Raw!K204</f>
        <v>21.230852127075195</v>
      </c>
      <c r="K204" s="121" cm="1">
        <f t="array" ref="K204">_xlfn.IFS(J204="Undetermined", 0, qPCR_Raw!L204-qPCR_Raw!$H$242&lt;0, 0, qPCR_Raw!L204-qPCR_Raw!$H$242&gt;0, qPCR_Raw!L204-qPCR_Raw!$H$242)</f>
        <v>24571.634883626302</v>
      </c>
      <c r="L204" s="123" cm="1">
        <f t="array" ref="L204">_xlfn.IFS(AND(H204="Undetermined", J204="Undetermined"), "Undetermined", AND(I204=0, K204=0), "Undetermined", AND(I204=0, K204&gt;0), "Ten-Fold", AND(I204&gt;0, K204=0), "Undiluted", AND(H204&lt;&gt;"Undetermined", J204&lt;&gt;"Undetermined", I204&gt;0, K204&gt;0), 100*(-1+10^(-1/(H204-J204))))</f>
        <v>115.58335351874463</v>
      </c>
      <c r="M204" s="124" cm="1">
        <f t="array" ref="M204">_xlfn.IFS(L204="Undetermined", 0, L204="Undiluted", I204*$G204/$F204*1000, L204="Ten-Fold", K204*$G204/$F204*1000*10, L204&lt;0, K204*$G204/$F204*1000*10, L204&lt;120, I204*$G204/$F204*1000, L204&gt;120, K204*$G204/$F204*1000*10)</f>
        <v>30587355.358971491</v>
      </c>
      <c r="N204" s="121">
        <f t="shared" si="56"/>
        <v>29698642.975470871</v>
      </c>
      <c r="O204" s="121">
        <f t="shared" si="57"/>
        <v>1256829.1057954971</v>
      </c>
      <c r="P204" s="121">
        <f t="shared" si="58"/>
        <v>888712.38350062072</v>
      </c>
      <c r="Q204" s="125" cm="1">
        <f t="array" ref="Q204">_xlfn.IFS(N204="DELETE", "DELETE", N204=0, 0, N204&gt;0,LOG10(N204))</f>
        <v>7.4727366054879463</v>
      </c>
      <c r="R204" s="126" cm="1">
        <f t="array" ref="R204">_xlfn.IFS(N204="DELETE", "DELETE", N204=0, 0, N204&gt;0, P204/N204/LN(10))</f>
        <v>1.2995977104818765E-2</v>
      </c>
      <c r="S204" s="155">
        <f>qPCR_Raw!O204</f>
        <v>26.899101257324219</v>
      </c>
      <c r="T204" s="156" cm="1">
        <f t="array" ref="T204">_xlfn.IFS(S204="Undetermined", 0, qPCR_Raw!P204&lt;=1, 0, qPCR_Raw!P204&gt;1, qPCR_Raw!P204)</f>
        <v>669.49755859375</v>
      </c>
      <c r="U204" s="157">
        <f>qPCR_Raw!R204</f>
        <v>30.196186065673828</v>
      </c>
      <c r="V204" s="156" cm="1">
        <f t="array" ref="V204">_xlfn.IFS(U204="Undetermined", 0, qPCR_Raw!S204&lt;=1, 0, qPCR_Raw!S204&gt;1, qPCR_Raw!S204)</f>
        <v>68.153472900390625</v>
      </c>
      <c r="W204" s="158" cm="1">
        <f t="array" ref="W204">_xlfn.IFS(AND(S204="Undetermined", U204="Undetermined"), "Undetermined", AND(T204=0, V204=0), "Undetermined", AND(T204=0, V204&gt;0), "Ten-Fold", AND(T204&gt;0, V204=0), "Undiluted", AND(S204&lt;&gt;"Undetermined", U204&lt;&gt;"Undetermined", T204&gt;0, V204&gt;0, S204&lt;&gt;U204), 100*(-1+10^(-1/(S204-U204))), AND(S204&lt;&gt;"Undetermined", U204&lt;&gt;"Undetermined", S204=U204&gt;0), -100)</f>
        <v>101.04729492657837</v>
      </c>
      <c r="X204" s="159" cm="1">
        <f t="array" ref="X204">_xlfn.IFS(W204="Undetermined", 0, W204="Undiluted", T204*$G204/$F204*1000, W204="Ten-Fold", V204*$G204/$F204*1000*10, W204&lt;0, V204*$G204/$F204*1000*10, W204&lt;120, T204*$G204/$F204*1000, W204&gt;120, V204*$G204/$F204*1000*10)</f>
        <v>69739.329020182297</v>
      </c>
      <c r="Y204" s="156">
        <f t="shared" si="59"/>
        <v>92179.010087165283</v>
      </c>
      <c r="Z204" s="156">
        <f t="shared" si="60"/>
        <v>31734.501300254044</v>
      </c>
      <c r="AA204" s="156">
        <f t="shared" si="61"/>
        <v>22439.681066982943</v>
      </c>
      <c r="AB204" s="160" cm="1">
        <f t="array" ref="AB204">_xlfn.IFS(Y204="DELETE", "DELETE", Y204=0, 0, Y204&gt;0,LOG10(Y204))</f>
        <v>4.9646320399135817</v>
      </c>
      <c r="AC204" s="161" cm="1">
        <f t="array" ref="AC204">_xlfn.IFS(Y204="DELETE", "DELETE", Y204=0, 0, Y204&gt;0, AA204/Y204/LN(10))</f>
        <v>0.1057228717670563</v>
      </c>
      <c r="AD204" s="120">
        <f>qPCR_Raw!U204</f>
        <v>31.352529525756836</v>
      </c>
      <c r="AE204" s="121" cm="1">
        <f t="array" ref="AE204">_xlfn.IFS(AD204="Undetermined", 0, qPCR_Raw!V204&lt;=1, 0, qPCR_Raw!V204&gt;1, qPCR_Raw!V204)</f>
        <v>18.980802536010742</v>
      </c>
      <c r="AF204" s="122">
        <f>qPCR_Raw!X204</f>
        <v>34.963218688964844</v>
      </c>
      <c r="AG204" s="121" cm="1">
        <f t="array" ref="AG204">_xlfn.IFS(AF204="Undetermined", 0, qPCR_Raw!Y204&lt;=1, 0, qPCR_Raw!Y204&gt;1, qPCR_Raw!Y204)</f>
        <v>1.8440918922424316</v>
      </c>
      <c r="AH204" s="123" cm="1">
        <f t="array" ref="AH204">_xlfn.IFS(AND(AD204="Undetermined", AF204="Undetermined"), "Undetermined", AND(AE204=0, AG204=0), "Undetermined", AND(AE204=0, AG204&gt;0), "Ten-Fold", AND(AE204&gt;0, AG204=0), "Undiluted", AND(AD204&lt;&gt;"Undetermined", AF204&lt;&gt;"Undetermined", AE204&gt;0, AG204&gt;0, AD204&lt;&gt;AF204), 100*(-1+10^(-1/(AD204-AF204))), AND(AD204&lt;&gt;"Undetermined", AF204&lt;&gt;"Undetermined", AD204=AF204&gt;0), -100)</f>
        <v>89.214946099159548</v>
      </c>
      <c r="AI204" s="124" cm="1">
        <f t="array" ref="AI204">_xlfn.IFS(AH204="Undetermined", 0, AH204="Undiluted", AE204*$G204/$F204*1000, AH204="Ten-Fold", AG204*$G204/$F204*1000*10, AH204&lt;0, AG204*$G204/$F204*1000*10, AH204&lt;120, AE204*$G204/$F204*1000, AH204&gt;120, AG204*$G204/$F204*1000*10)</f>
        <v>1977.1669308344524</v>
      </c>
      <c r="AJ204" s="121">
        <f t="shared" si="62"/>
        <v>1482.6005999592767</v>
      </c>
      <c r="AK204" s="121">
        <f t="shared" si="63"/>
        <v>699.42241261677316</v>
      </c>
      <c r="AL204" s="121">
        <f t="shared" si="64"/>
        <v>494.56633087517577</v>
      </c>
      <c r="AM204" s="125" cm="1">
        <f t="array" ref="AM204">_xlfn.IFS(AJ204="DELETE", "DELETE", AJ204=0, 0, AJ204&gt;0,LOG10(AJ204))</f>
        <v>3.1710241715303273</v>
      </c>
      <c r="AN204" s="126" cm="1">
        <f t="array" ref="AN204">_xlfn.IFS(AJ204="DELETE", "DELETE", AJ204=0, 0, AJ204&gt;0, AL204/AJ204/LN(10))</f>
        <v>0.14487207710567926</v>
      </c>
      <c r="AO204" s="155">
        <f>qPCR_Raw!AA204</f>
        <v>30.55864143371582</v>
      </c>
      <c r="AP204" s="156" cm="1">
        <f t="array" ref="AP204">_xlfn.IFS(AO204="Undetermined", 0, qPCR_Raw!AB204&lt;=6, 0, qPCR_Raw!AB204&gt;6, qPCR_Raw!AB204)</f>
        <v>0</v>
      </c>
      <c r="AQ204" s="157" t="str">
        <f>qPCR_Raw!AD204</f>
        <v>Undetermined</v>
      </c>
      <c r="AR204" s="156" cm="1">
        <f t="array" ref="AR204">_xlfn.IFS(AQ204="Undetermined", 0, qPCR_Raw!AE204&lt;=6, 0, qPCR_Raw!AE204&gt;6, qPCR_Raw!AE204)</f>
        <v>0</v>
      </c>
      <c r="AS204" s="158" t="str" cm="1">
        <f t="array" ref="AS204">_xlfn.IFS(AND(AO204="Undetermined", AQ204="Undetermined"), "Undetermined", AND(AP204=0, AR204=0), "Undetermined", AND(AP204=0, AR204&gt;0), "Ten-Fold", AND(AP204&gt;0, AR204=0), "Undiluted", AND(AO204&lt;&gt;"Undetermined", AQ204&lt;&gt;"Undetermined", AP204&gt;0, AR204&gt;0, AO204&lt;&gt;AQ204), 100*(-1+10^(-1/(AO204-AQ204))), AND(AO204&lt;&gt;"Undetermined", AQ204&lt;&gt;"Undetermined", AO204=AQ204&gt;0), -100)</f>
        <v>Undetermined</v>
      </c>
      <c r="AT204" s="159" cm="1">
        <f t="array" ref="AT204">_xlfn.IFS(AS204="Undetermined", 0, AS204="Undiluted", AP204*$G204/$F204*1000, AS204="Ten-Fold", AR204*$G204/$F204*1000*10, AS204&lt;0, AR204*$G204/$F204*1000*10, AS204&lt;120, AP204*$G204/$F204*1000, AS204&gt;120, AR204*$G204/$F204*1000*10)</f>
        <v>0</v>
      </c>
      <c r="AU204" s="156">
        <f t="shared" si="65"/>
        <v>0</v>
      </c>
      <c r="AV204" s="156">
        <f t="shared" si="66"/>
        <v>0</v>
      </c>
      <c r="AW204" s="156">
        <f t="shared" si="67"/>
        <v>0</v>
      </c>
      <c r="AX204" s="160" cm="1">
        <f t="array" ref="AX204">_xlfn.IFS(AU204="DELETE", "DELETE", AU204=0, 0, AU204&gt;0,LOG10(AU204))</f>
        <v>0</v>
      </c>
      <c r="AY204" s="161" cm="1">
        <f t="array" ref="AY204">_xlfn.IFS(AU204="DELETE", "DELETE", AU204=0, 0, AU204&gt;0, AW204/AU204/LN(10))</f>
        <v>0</v>
      </c>
      <c r="AZ204" s="120">
        <f>qPCR_Raw!AG204</f>
        <v>36.449245452880859</v>
      </c>
      <c r="BA204" s="121" cm="1">
        <f t="array" ref="BA204">_xlfn.IFS(AZ204="Undetermined", 0, qPCR_Raw!AH204&lt;=1, 0, qPCR_Raw!AH204&gt;1, qPCR_Raw!AH204)</f>
        <v>1.9414277076721191</v>
      </c>
      <c r="BB204" s="122" t="str">
        <f>qPCR_Raw!AJ204</f>
        <v>Undetermined</v>
      </c>
      <c r="BC204" s="121" cm="1">
        <f t="array" ref="BC204">_xlfn.IFS(BB204="Undetermined", 0, qPCR_Raw!AK204&lt;=1, 0, qPCR_Raw!AK204&gt;1, qPCR_Raw!AK204)</f>
        <v>0</v>
      </c>
      <c r="BD204" s="123" t="str" cm="1">
        <f t="array" ref="BD204">_xlfn.IFS(AND(AZ204="Undetermined", BB204="Undetermined"), "Undetermined", AND(BA204=0, BC204=0), "Undetermined", AND(BA204=0, BC204&gt;0), "Ten-Fold", AND(BA204&gt;0, BC204=0), "Undiluted", AND(AZ204&lt;&gt;"Undetermined", BB204&lt;&gt;"Undetermined", BA204&gt;0, BC204&gt;0, AZ204&lt;&gt;BB204), 100*(-1+10^(-1/(AZ204-BB204))), AND(AZ204&lt;&gt;"Undetermined", BB204&lt;&gt;"Undetermined", AZ204=BB204&gt;0), -100)</f>
        <v>Undiluted</v>
      </c>
      <c r="BE204" s="124" cm="1">
        <f t="array" ref="BE204">_xlfn.IFS(BD204="Undetermined", 0, BD204="Undiluted", BA204*$G204/$F204*1000, BD204="Ten-Fold", BC204*$G204/$F204*1000*10, BD204&lt;0, BC204*$G204/$F204*1000*10, BD204&lt;120, BA204*$G204/$F204*1000, BD204&gt;120, BC204*$G204/$F204*1000*10)</f>
        <v>202.23205288251242</v>
      </c>
      <c r="BF204" s="121">
        <f t="shared" si="68"/>
        <v>101.11602644125621</v>
      </c>
      <c r="BG204" s="121">
        <f t="shared" si="69"/>
        <v>142.99965596650102</v>
      </c>
      <c r="BH204" s="121">
        <f t="shared" si="70"/>
        <v>101.11602644125621</v>
      </c>
      <c r="BI204" s="125" cm="1">
        <f t="array" ref="BI204">_xlfn.IFS(BF204="DELETE", "DELETE", BF204=0, 0, BF204&gt;0,LOG10(BF204))</f>
        <v>2.0048199947937011</v>
      </c>
      <c r="BJ204" s="126" cm="1">
        <f t="array" ref="BJ204">_xlfn.IFS(BF204="DELETE", "DELETE", BF204=0, 0, BF204&gt;0, BH204/BF204/LN(10))</f>
        <v>0.43429448190325176</v>
      </c>
    </row>
    <row r="205" spans="1:62" s="114" customFormat="1" x14ac:dyDescent="0.3">
      <c r="A205" s="115" t="str">
        <f>UPPER(LEFT(SUBSTITUTE(SUBSTITUTE(qPCR_Raw!A205,"-","")," ",""),2))&amp;RIGHT(SUBSTITUTE(SUBSTITUTE(qPCR_Raw!A205,"-","")," ",""),LEN(SUBSTITUTE(SUBSTITUTE(qPCR_Raw!A205,"-","")," ",""))-2)</f>
        <v>EP7</v>
      </c>
      <c r="B205" s="116" t="str" cm="1">
        <f t="array" ref="B205">_xlfn.IFS(LEFT(A205, LEN(A205)-1)="EP", "EP", LEFT(A205, LEN(A205)-1)="STa", "SPI", LEFT(A205, LEN(A205)-1)="STb", "SPO", LEFT(A205, LEN(A205)-1)="MRT", "MRT", LEFT(A205, LEN(A205)-1)="RG", "RN", LEFT(A205, LEN(A205)-1)="RT", "RU", LEFT(A205, LEN(A205)-1)="RW", "RL", LEFT(A205, LEN(A205)-1)="RC", "RS")</f>
        <v>EP</v>
      </c>
      <c r="C205" s="117">
        <f>qPCR_Raw!B205</f>
        <v>44426</v>
      </c>
      <c r="D205" s="117" t="str">
        <f t="shared" si="54"/>
        <v>EP44426</v>
      </c>
      <c r="E205" s="117" t="str">
        <f t="shared" si="55"/>
        <v>EP444267</v>
      </c>
      <c r="F205" s="118">
        <f>qPCR_Raw!C205</f>
        <v>920</v>
      </c>
      <c r="G205" s="119">
        <f>qPCR_Raw!F205</f>
        <v>100</v>
      </c>
      <c r="H205" s="120">
        <f>qPCR_Raw!G205</f>
        <v>18.37309455871582</v>
      </c>
      <c r="I205" s="121" cm="1">
        <f t="array" ref="I205">_xlfn.IFS(H205="Undetermined", 0, qPCR_Raw!H205-qPCR_Raw!$H$242&lt;0, 0, qPCR_Raw!H205-qPCR_Raw!$H$242&gt;0, qPCR_Raw!H205-qPCR_Raw!$H$242)</f>
        <v>265051.36144612631</v>
      </c>
      <c r="J205" s="122">
        <f>qPCR_Raw!K205</f>
        <v>21.315168380737305</v>
      </c>
      <c r="K205" s="121" cm="1">
        <f t="array" ref="K205">_xlfn.IFS(J205="Undetermined", 0, qPCR_Raw!L205-qPCR_Raw!$H$242&lt;0, 0, qPCR_Raw!L205-qPCR_Raw!$H$242&gt;0, qPCR_Raw!L205-qPCR_Raw!$H$242)</f>
        <v>22417.677852376302</v>
      </c>
      <c r="L205" s="123" cm="1">
        <f t="array" ref="L205">_xlfn.IFS(AND(H205="Undetermined", J205="Undetermined"), "Undetermined", AND(I205=0, K205=0), "Undetermined", AND(I205=0, K205&gt;0), "Ten-Fold", AND(I205&gt;0, K205=0), "Undiluted", AND(H205&lt;&gt;"Undetermined", J205&lt;&gt;"Undetermined", I205&gt;0, K205&gt;0), 100*(-1+10^(-1/(H205-J205))))</f>
        <v>118.72392857945498</v>
      </c>
      <c r="M205" s="124" cm="1">
        <f t="array" ref="M205">_xlfn.IFS(L205="Undetermined", 0, L205="Undiluted", I205*$G205/$F205*1000, L205="Ten-Fold", K205*$G205/$F205*1000*10, L205&lt;0, K205*$G205/$F205*1000*10, L205&lt;120, I205*$G205/$F205*1000, L205&gt;120, K205*$G205/$F205*1000*10)</f>
        <v>28809930.59197025</v>
      </c>
      <c r="N205" s="121" t="str">
        <f t="shared" si="56"/>
        <v>DELETE</v>
      </c>
      <c r="O205" s="121" t="str">
        <f t="shared" si="57"/>
        <v>DELETE</v>
      </c>
      <c r="P205" s="121" t="str">
        <f t="shared" si="58"/>
        <v>DELETE</v>
      </c>
      <c r="Q205" s="125" t="str" cm="1">
        <f t="array" ref="Q205">_xlfn.IFS(N205="DELETE", "DELETE", N205=0, 0, N205&gt;0,LOG10(N205))</f>
        <v>DELETE</v>
      </c>
      <c r="R205" s="126" t="str" cm="1">
        <f t="array" ref="R205">_xlfn.IFS(N205="DELETE", "DELETE", N205=0, 0, N205&gt;0, P205/N205/LN(10))</f>
        <v>DELETE</v>
      </c>
      <c r="S205" s="155">
        <f>qPCR_Raw!O205</f>
        <v>27.22429084777832</v>
      </c>
      <c r="T205" s="156" cm="1">
        <f t="array" ref="T205">_xlfn.IFS(S205="Undetermined", 0, qPCR_Raw!P205&lt;=1, 0, qPCR_Raw!P205&gt;1, qPCR_Raw!P205)</f>
        <v>534.420166015625</v>
      </c>
      <c r="U205" s="157">
        <f>qPCR_Raw!R205</f>
        <v>29.56633186340332</v>
      </c>
      <c r="V205" s="156" cm="1">
        <f t="array" ref="V205">_xlfn.IFS(U205="Undetermined", 0, qPCR_Raw!S205&lt;=1, 0, qPCR_Raw!S205&gt;1, qPCR_Raw!S205)</f>
        <v>105.44919586181641</v>
      </c>
      <c r="W205" s="158" cm="1">
        <f t="array" ref="W205">_xlfn.IFS(AND(S205="Undetermined", U205="Undetermined"), "Undetermined", AND(T205=0, V205=0), "Undetermined", AND(T205=0, V205&gt;0), "Ten-Fold", AND(T205&gt;0, V205=0), "Undiluted", AND(S205&lt;&gt;"Undetermined", U205&lt;&gt;"Undetermined", T205&gt;0, V205&gt;0, S205&lt;&gt;U205), 100*(-1+10^(-1/(S205-U205))), AND(S205&lt;&gt;"Undetermined", U205&lt;&gt;"Undetermined", S205=U205&gt;0), -100)</f>
        <v>167.28710354611516</v>
      </c>
      <c r="X205" s="159" cm="1">
        <f t="array" ref="X205">_xlfn.IFS(W205="Undetermined", 0, W205="Undiluted", T205*$G205/$F205*1000, W205="Ten-Fold", V205*$G205/$F205*1000*10, W205&lt;0, V205*$G205/$F205*1000*10, W205&lt;120, T205*$G205/$F205*1000, W205&gt;120, V205*$G205/$F205*1000*10)</f>
        <v>114618.69115414826</v>
      </c>
      <c r="Y205" s="156" t="str">
        <f t="shared" si="59"/>
        <v>DELETE</v>
      </c>
      <c r="Z205" s="156" t="str">
        <f t="shared" si="60"/>
        <v>DELETE</v>
      </c>
      <c r="AA205" s="156" t="str">
        <f t="shared" si="61"/>
        <v>DELETE</v>
      </c>
      <c r="AB205" s="160" t="str" cm="1">
        <f t="array" ref="AB205">_xlfn.IFS(Y205="DELETE", "DELETE", Y205=0, 0, Y205&gt;0,LOG10(Y205))</f>
        <v>DELETE</v>
      </c>
      <c r="AC205" s="161" t="str" cm="1">
        <f t="array" ref="AC205">_xlfn.IFS(Y205="DELETE", "DELETE", Y205=0, 0, Y205&gt;0, AA205/Y205/LN(10))</f>
        <v>DELETE</v>
      </c>
      <c r="AD205" s="120">
        <f>qPCR_Raw!U205</f>
        <v>32.492774963378906</v>
      </c>
      <c r="AE205" s="121" cm="1">
        <f t="array" ref="AE205">_xlfn.IFS(AD205="Undetermined", 0, qPCR_Raw!V205&lt;=1, 0, qPCR_Raw!V205&gt;1, qPCR_Raw!V205)</f>
        <v>9.0899152755737305</v>
      </c>
      <c r="AF205" s="122">
        <f>qPCR_Raw!X205</f>
        <v>36.512157440185547</v>
      </c>
      <c r="AG205" s="121" cm="1">
        <f t="array" ref="AG205">_xlfn.IFS(AF205="Undetermined", 0, qPCR_Raw!Y205&lt;=1, 0, qPCR_Raw!Y205&gt;1, qPCR_Raw!Y205)</f>
        <v>0</v>
      </c>
      <c r="AH205" s="123" t="str" cm="1">
        <f t="array" ref="AH205">_xlfn.IFS(AND(AD205="Undetermined", AF205="Undetermined"), "Undetermined", AND(AE205=0, AG205=0), "Undetermined", AND(AE205=0, AG205&gt;0), "Ten-Fold", AND(AE205&gt;0, AG205=0), "Undiluted", AND(AD205&lt;&gt;"Undetermined", AF205&lt;&gt;"Undetermined", AE205&gt;0, AG205&gt;0, AD205&lt;&gt;AF205), 100*(-1+10^(-1/(AD205-AF205))), AND(AD205&lt;&gt;"Undetermined", AF205&lt;&gt;"Undetermined", AD205=AF205&gt;0), -100)</f>
        <v>Undiluted</v>
      </c>
      <c r="AI205" s="124" cm="1">
        <f t="array" ref="AI205">_xlfn.IFS(AH205="Undetermined", 0, AH205="Undiluted", AE205*$G205/$F205*1000, AH205="Ten-Fold", AG205*$G205/$F205*1000*10, AH205&lt;0, AG205*$G205/$F205*1000*10, AH205&lt;120, AE205*$G205/$F205*1000, AH205&gt;120, AG205*$G205/$F205*1000*10)</f>
        <v>988.0342690841012</v>
      </c>
      <c r="AJ205" s="121" t="str">
        <f t="shared" si="62"/>
        <v>DELETE</v>
      </c>
      <c r="AK205" s="121" t="str">
        <f t="shared" si="63"/>
        <v>DELETE</v>
      </c>
      <c r="AL205" s="121" t="str">
        <f t="shared" si="64"/>
        <v>DELETE</v>
      </c>
      <c r="AM205" s="125" t="str" cm="1">
        <f t="array" ref="AM205">_xlfn.IFS(AJ205="DELETE", "DELETE", AJ205=0, 0, AJ205&gt;0,LOG10(AJ205))</f>
        <v>DELETE</v>
      </c>
      <c r="AN205" s="126" t="str" cm="1">
        <f t="array" ref="AN205">_xlfn.IFS(AJ205="DELETE", "DELETE", AJ205=0, 0, AJ205&gt;0, AL205/AJ205/LN(10))</f>
        <v>DELETE</v>
      </c>
      <c r="AO205" s="155">
        <f>qPCR_Raw!AA205</f>
        <v>30.224582672119141</v>
      </c>
      <c r="AP205" s="156" cm="1">
        <f t="array" ref="AP205">_xlfn.IFS(AO205="Undetermined", 0, qPCR_Raw!AB205&lt;=6, 0, qPCR_Raw!AB205&gt;6, qPCR_Raw!AB205)</f>
        <v>0</v>
      </c>
      <c r="AQ205" s="157" t="str">
        <f>qPCR_Raw!AD205</f>
        <v>Undetermined</v>
      </c>
      <c r="AR205" s="156" cm="1">
        <f t="array" ref="AR205">_xlfn.IFS(AQ205="Undetermined", 0, qPCR_Raw!AE205&lt;=6, 0, qPCR_Raw!AE205&gt;6, qPCR_Raw!AE205)</f>
        <v>0</v>
      </c>
      <c r="AS205" s="158" t="str" cm="1">
        <f t="array" ref="AS205">_xlfn.IFS(AND(AO205="Undetermined", AQ205="Undetermined"), "Undetermined", AND(AP205=0, AR205=0), "Undetermined", AND(AP205=0, AR205&gt;0), "Ten-Fold", AND(AP205&gt;0, AR205=0), "Undiluted", AND(AO205&lt;&gt;"Undetermined", AQ205&lt;&gt;"Undetermined", AP205&gt;0, AR205&gt;0, AO205&lt;&gt;AQ205), 100*(-1+10^(-1/(AO205-AQ205))), AND(AO205&lt;&gt;"Undetermined", AQ205&lt;&gt;"Undetermined", AO205=AQ205&gt;0), -100)</f>
        <v>Undetermined</v>
      </c>
      <c r="AT205" s="159" cm="1">
        <f t="array" ref="AT205">_xlfn.IFS(AS205="Undetermined", 0, AS205="Undiluted", AP205*$G205/$F205*1000, AS205="Ten-Fold", AR205*$G205/$F205*1000*10, AS205&lt;0, AR205*$G205/$F205*1000*10, AS205&lt;120, AP205*$G205/$F205*1000, AS205&gt;120, AR205*$G205/$F205*1000*10)</f>
        <v>0</v>
      </c>
      <c r="AU205" s="156" t="str">
        <f t="shared" si="65"/>
        <v>DELETE</v>
      </c>
      <c r="AV205" s="156" t="str">
        <f t="shared" si="66"/>
        <v>DELETE</v>
      </c>
      <c r="AW205" s="156" t="str">
        <f t="shared" si="67"/>
        <v>DELETE</v>
      </c>
      <c r="AX205" s="160" t="str" cm="1">
        <f t="array" ref="AX205">_xlfn.IFS(AU205="DELETE", "DELETE", AU205=0, 0, AU205&gt;0,LOG10(AU205))</f>
        <v>DELETE</v>
      </c>
      <c r="AY205" s="161" t="str" cm="1">
        <f t="array" ref="AY205">_xlfn.IFS(AU205="DELETE", "DELETE", AU205=0, 0, AU205&gt;0, AW205/AU205/LN(10))</f>
        <v>DELETE</v>
      </c>
      <c r="AZ205" s="120" t="str">
        <f>qPCR_Raw!AG205</f>
        <v>Undetermined</v>
      </c>
      <c r="BA205" s="121" cm="1">
        <f t="array" ref="BA205">_xlfn.IFS(AZ205="Undetermined", 0, qPCR_Raw!AH205&lt;=1, 0, qPCR_Raw!AH205&gt;1, qPCR_Raw!AH205)</f>
        <v>0</v>
      </c>
      <c r="BB205" s="122" t="str">
        <f>qPCR_Raw!AJ205</f>
        <v>Undetermined</v>
      </c>
      <c r="BC205" s="121" cm="1">
        <f t="array" ref="BC205">_xlfn.IFS(BB205="Undetermined", 0, qPCR_Raw!AK205&lt;=1, 0, qPCR_Raw!AK205&gt;1, qPCR_Raw!AK205)</f>
        <v>0</v>
      </c>
      <c r="BD205" s="123" t="str" cm="1">
        <f t="array" ref="BD205">_xlfn.IFS(AND(AZ205="Undetermined", BB205="Undetermined"), "Undetermined", AND(BA205=0, BC205=0), "Undetermined", AND(BA205=0, BC205&gt;0), "Ten-Fold", AND(BA205&gt;0, BC205=0), "Undiluted", AND(AZ205&lt;&gt;"Undetermined", BB205&lt;&gt;"Undetermined", BA205&gt;0, BC205&gt;0, AZ205&lt;&gt;BB205), 100*(-1+10^(-1/(AZ205-BB205))), AND(AZ205&lt;&gt;"Undetermined", BB205&lt;&gt;"Undetermined", AZ205=BB205&gt;0), -100)</f>
        <v>Undetermined</v>
      </c>
      <c r="BE205" s="124" cm="1">
        <f t="array" ref="BE205">_xlfn.IFS(BD205="Undetermined", 0, BD205="Undiluted", BA205*$G205/$F205*1000, BD205="Ten-Fold", BC205*$G205/$F205*1000*10, BD205&lt;0, BC205*$G205/$F205*1000*10, BD205&lt;120, BA205*$G205/$F205*1000, BD205&gt;120, BC205*$G205/$F205*1000*10)</f>
        <v>0</v>
      </c>
      <c r="BF205" s="121" t="str">
        <f t="shared" si="68"/>
        <v>DELETE</v>
      </c>
      <c r="BG205" s="121" t="str">
        <f t="shared" si="69"/>
        <v>DELETE</v>
      </c>
      <c r="BH205" s="121" t="str">
        <f t="shared" si="70"/>
        <v>DELETE</v>
      </c>
      <c r="BI205" s="125" t="str" cm="1">
        <f t="array" ref="BI205">_xlfn.IFS(BF205="DELETE", "DELETE", BF205=0, 0, BF205&gt;0,LOG10(BF205))</f>
        <v>DELETE</v>
      </c>
      <c r="BJ205" s="126" t="str" cm="1">
        <f t="array" ref="BJ205">_xlfn.IFS(BF205="DELETE", "DELETE", BF205=0, 0, BF205&gt;0, BH205/BF205/LN(10))</f>
        <v>DELETE</v>
      </c>
    </row>
    <row r="206" spans="1:62" s="114" customFormat="1" x14ac:dyDescent="0.3">
      <c r="A206" s="115" t="str">
        <f>UPPER(LEFT(SUBSTITUTE(SUBSTITUTE(qPCR_Raw!A206,"-","")," ",""),2))&amp;RIGHT(SUBSTITUTE(SUBSTITUTE(qPCR_Raw!A206,"-","")," ",""),LEN(SUBSTITUTE(SUBSTITUTE(qPCR_Raw!A206,"-","")," ",""))-2)</f>
        <v>RW6</v>
      </c>
      <c r="B206" s="116" t="str" cm="1">
        <f t="array" ref="B206">_xlfn.IFS(LEFT(A206, LEN(A206)-1)="EP", "EP", LEFT(A206, LEN(A206)-1)="STa", "SPI", LEFT(A206, LEN(A206)-1)="STb", "SPO", LEFT(A206, LEN(A206)-1)="MRT", "MRT", LEFT(A206, LEN(A206)-1)="RG", "RN", LEFT(A206, LEN(A206)-1)="RT", "RU", LEFT(A206, LEN(A206)-1)="RW", "RL", LEFT(A206, LEN(A206)-1)="RC", "RS")</f>
        <v>RL</v>
      </c>
      <c r="C206" s="117">
        <f>qPCR_Raw!B206</f>
        <v>44426</v>
      </c>
      <c r="D206" s="117" t="str">
        <f t="shared" si="54"/>
        <v>RL44426</v>
      </c>
      <c r="E206" s="117" t="str">
        <f t="shared" si="55"/>
        <v>RL444266</v>
      </c>
      <c r="F206" s="118">
        <f>qPCR_Raw!C206</f>
        <v>920</v>
      </c>
      <c r="G206" s="119">
        <f>qPCR_Raw!F206</f>
        <v>100</v>
      </c>
      <c r="H206" s="120">
        <f>qPCR_Raw!G206</f>
        <v>13.9263916015625</v>
      </c>
      <c r="I206" s="121" cm="1">
        <f t="array" ref="I206">_xlfn.IFS(H206="Undetermined", 0, qPCR_Raw!H206-qPCR_Raw!$H$242&lt;0, 0, qPCR_Raw!H206-qPCR_Raw!$H$242&gt;0, qPCR_Raw!H206-qPCR_Raw!$H$242)</f>
        <v>6252493.8614461264</v>
      </c>
      <c r="J206" s="122">
        <f>qPCR_Raw!K206</f>
        <v>16.847429275512695</v>
      </c>
      <c r="K206" s="121" cm="1">
        <f t="array" ref="K206">_xlfn.IFS(J206="Undetermined", 0, qPCR_Raw!L206-qPCR_Raw!$H$242&lt;0, 0, qPCR_Raw!L206-qPCR_Raw!$H$242&gt;0, qPCR_Raw!L206-qPCR_Raw!$H$242)</f>
        <v>796603.98644612625</v>
      </c>
      <c r="L206" s="123" cm="1">
        <f t="array" ref="L206">_xlfn.IFS(AND(H206="Undetermined", J206="Undetermined"), "Undetermined", AND(I206=0, K206=0), "Undetermined", AND(I206=0, K206&gt;0), "Ten-Fold", AND(I206&gt;0, K206=0), "Undiluted", AND(H206&lt;&gt;"Undetermined", J206&lt;&gt;"Undetermined", I206&gt;0, K206&gt;0), 100*(-1+10^(-1/(H206-J206))))</f>
        <v>119.96019466428804</v>
      </c>
      <c r="M206" s="124" cm="1">
        <f t="array" ref="M206">_xlfn.IFS(L206="Undetermined", 0, L206="Undiluted", I206*$G206/$F206*1000, L206="Ten-Fold", K206*$G206/$F206*1000*10, L206&lt;0, K206*$G206/$F206*1000*10, L206&lt;120, I206*$G206/$F206*1000, L206&gt;120, K206*$G206/$F206*1000*10)</f>
        <v>679618897.9832747</v>
      </c>
      <c r="N206" s="121">
        <f t="shared" si="56"/>
        <v>1364663550.2241735</v>
      </c>
      <c r="O206" s="121">
        <f t="shared" si="57"/>
        <v>968799438.03023911</v>
      </c>
      <c r="P206" s="121">
        <f t="shared" si="58"/>
        <v>685044652.24089849</v>
      </c>
      <c r="Q206" s="125" cm="1">
        <f t="array" ref="Q206">_xlfn.IFS(N206="DELETE", "DELETE", N206=0, 0, N206&gt;0,LOG10(N206))</f>
        <v>9.1350255918222683</v>
      </c>
      <c r="R206" s="126" cm="1">
        <f t="array" ref="R206">_xlfn.IFS(N206="DELETE", "DELETE", N206=0, 0, N206&gt;0, P206/N206/LN(10))</f>
        <v>0.21801059482880017</v>
      </c>
      <c r="S206" s="155">
        <f>qPCR_Raw!O206</f>
        <v>27.225650787353516</v>
      </c>
      <c r="T206" s="156" cm="1">
        <f t="array" ref="T206">_xlfn.IFS(S206="Undetermined", 0, qPCR_Raw!P206&lt;=1, 0, qPCR_Raw!P206&gt;1, qPCR_Raw!P206)</f>
        <v>533.91680908203125</v>
      </c>
      <c r="U206" s="157">
        <f>qPCR_Raw!R206</f>
        <v>29.942781448364258</v>
      </c>
      <c r="V206" s="156" cm="1">
        <f t="array" ref="V206">_xlfn.IFS(U206="Undetermined", 0, qPCR_Raw!S206&lt;=1, 0, qPCR_Raw!S206&gt;1, qPCR_Raw!S206)</f>
        <v>81.236343383789063</v>
      </c>
      <c r="W206" s="158" cm="1">
        <f t="array" ref="W206">_xlfn.IFS(AND(S206="Undetermined", U206="Undetermined"), "Undetermined", AND(T206=0, V206=0), "Undetermined", AND(T206=0, V206&gt;0), "Ten-Fold", AND(T206&gt;0, V206=0), "Undiluted", AND(S206&lt;&gt;"Undetermined", U206&lt;&gt;"Undetermined", T206&gt;0, V206&gt;0, S206&lt;&gt;U206), 100*(-1+10^(-1/(S206-U206))), AND(S206&lt;&gt;"Undetermined", U206&lt;&gt;"Undetermined", S206=U206&gt;0), -100)</f>
        <v>133.36477404121695</v>
      </c>
      <c r="X206" s="159" cm="1">
        <f t="array" ref="X206">_xlfn.IFS(W206="Undetermined", 0, W206="Undiluted", T206*$G206/$F206*1000, W206="Ten-Fold", V206*$G206/$F206*1000*10, W206&lt;0, V206*$G206/$F206*1000*10, W206&lt;120, T206*$G206/$F206*1000, W206&gt;120, V206*$G206/$F206*1000*10)</f>
        <v>88300.373243248978</v>
      </c>
      <c r="Y206" s="156">
        <f t="shared" si="59"/>
        <v>72013.959660642082</v>
      </c>
      <c r="Z206" s="156">
        <f t="shared" si="60"/>
        <v>23032.466970940099</v>
      </c>
      <c r="AA206" s="156">
        <f t="shared" si="61"/>
        <v>16286.413582606921</v>
      </c>
      <c r="AB206" s="160" cm="1">
        <f t="array" ref="AB206">_xlfn.IFS(Y206="DELETE", "DELETE", Y206=0, 0, Y206&gt;0,LOG10(Y206))</f>
        <v>4.8574166910971099</v>
      </c>
      <c r="AC206" s="161" cm="1">
        <f t="array" ref="AC206">_xlfn.IFS(Y206="DELETE", "DELETE", Y206=0, 0, Y206&gt;0, AA206/Y206/LN(10))</f>
        <v>9.821845073165765E-2</v>
      </c>
      <c r="AD206" s="120">
        <f>qPCR_Raw!U206</f>
        <v>31.553865432739258</v>
      </c>
      <c r="AE206" s="121" cm="1">
        <f t="array" ref="AE206">_xlfn.IFS(AD206="Undetermined", 0, qPCR_Raw!V206&lt;=1, 0, qPCR_Raw!V206&gt;1, qPCR_Raw!V206)</f>
        <v>16.666894912719727</v>
      </c>
      <c r="AF206" s="122">
        <f>qPCR_Raw!X206</f>
        <v>33.750846862792969</v>
      </c>
      <c r="AG206" s="121" cm="1">
        <f t="array" ref="AG206">_xlfn.IFS(AF206="Undetermined", 0, qPCR_Raw!Y206&lt;=1, 0, qPCR_Raw!Y206&gt;1, qPCR_Raw!Y206)</f>
        <v>4.0342559814453125</v>
      </c>
      <c r="AH206" s="123" cm="1">
        <f t="array" ref="AH206">_xlfn.IFS(AND(AD206="Undetermined", AF206="Undetermined"), "Undetermined", AND(AE206=0, AG206=0), "Undetermined", AND(AE206=0, AG206&gt;0), "Ten-Fold", AND(AE206&gt;0, AG206=0), "Undiluted", AND(AD206&lt;&gt;"Undetermined", AF206&lt;&gt;"Undetermined", AE206&gt;0, AG206&gt;0, AD206&lt;&gt;AF206), 100*(-1+10^(-1/(AD206-AF206))), AND(AD206&lt;&gt;"Undetermined", AF206&lt;&gt;"Undetermined", AD206=AF206&gt;0), -100)</f>
        <v>185.21343748749172</v>
      </c>
      <c r="AI206" s="124" cm="1">
        <f t="array" ref="AI206">_xlfn.IFS(AH206="Undetermined", 0, AH206="Undiluted", AE206*$G206/$F206*1000, AH206="Ten-Fold", AG206*$G206/$F206*1000*10, AH206&lt;0, AG206*$G206/$F206*1000*10, AH206&lt;120, AE206*$G206/$F206*1000, AH206&gt;120, AG206*$G206/$F206*1000*10)</f>
        <v>4385.0608493970785</v>
      </c>
      <c r="AJ206" s="121">
        <f t="shared" si="62"/>
        <v>2842.1932646538362</v>
      </c>
      <c r="AK206" s="121">
        <f t="shared" si="63"/>
        <v>2181.9442632897135</v>
      </c>
      <c r="AL206" s="121">
        <f t="shared" si="64"/>
        <v>1542.8675847432419</v>
      </c>
      <c r="AM206" s="125" cm="1">
        <f t="array" ref="AM206">_xlfn.IFS(AJ206="DELETE", "DELETE", AJ206=0, 0, AJ206&gt;0,LOG10(AJ206))</f>
        <v>3.4536536059345058</v>
      </c>
      <c r="AN206" s="126" cm="1">
        <f t="array" ref="AN206">_xlfn.IFS(AJ206="DELETE", "DELETE", AJ206=0, 0, AJ206&gt;0, AL206/AJ206/LN(10))</f>
        <v>0.235754157429895</v>
      </c>
      <c r="AO206" s="155">
        <f>qPCR_Raw!AA206</f>
        <v>29.63941764831543</v>
      </c>
      <c r="AP206" s="156" cm="1">
        <f t="array" ref="AP206">_xlfn.IFS(AO206="Undetermined", 0, qPCR_Raw!AB206&lt;=6, 0, qPCR_Raw!AB206&gt;6, qPCR_Raw!AB206)</f>
        <v>6.7315802574157715</v>
      </c>
      <c r="AQ206" s="157">
        <f>qPCR_Raw!AD206</f>
        <v>33.844642639160156</v>
      </c>
      <c r="AR206" s="156" cm="1">
        <f t="array" ref="AR206">_xlfn.IFS(AQ206="Undetermined", 0, qPCR_Raw!AE206&lt;=6, 0, qPCR_Raw!AE206&gt;6, qPCR_Raw!AE206)</f>
        <v>0</v>
      </c>
      <c r="AS206" s="158" t="str" cm="1">
        <f t="array" ref="AS206">_xlfn.IFS(AND(AO206="Undetermined", AQ206="Undetermined"), "Undetermined", AND(AP206=0, AR206=0), "Undetermined", AND(AP206=0, AR206&gt;0), "Ten-Fold", AND(AP206&gt;0, AR206=0), "Undiluted", AND(AO206&lt;&gt;"Undetermined", AQ206&lt;&gt;"Undetermined", AP206&gt;0, AR206&gt;0, AO206&lt;&gt;AQ206), 100*(-1+10^(-1/(AO206-AQ206))), AND(AO206&lt;&gt;"Undetermined", AQ206&lt;&gt;"Undetermined", AO206=AQ206&gt;0), -100)</f>
        <v>Undiluted</v>
      </c>
      <c r="AT206" s="159" cm="1">
        <f t="array" ref="AT206">_xlfn.IFS(AS206="Undetermined", 0, AS206="Undiluted", AP206*$G206/$F206*1000, AS206="Ten-Fold", AR206*$G206/$F206*1000*10, AS206&lt;0, AR206*$G206/$F206*1000*10, AS206&lt;120, AP206*$G206/$F206*1000, AS206&gt;120, AR206*$G206/$F206*1000*10)</f>
        <v>731.69350624084473</v>
      </c>
      <c r="AU206" s="156">
        <f t="shared" si="65"/>
        <v>365.84675312042236</v>
      </c>
      <c r="AV206" s="156">
        <f t="shared" si="66"/>
        <v>517.38544001306275</v>
      </c>
      <c r="AW206" s="156">
        <f t="shared" si="67"/>
        <v>365.84675312042236</v>
      </c>
      <c r="AX206" s="160" cm="1">
        <f t="array" ref="AX206">_xlfn.IFS(AU206="DELETE", "DELETE", AU206=0, 0, AU206&gt;0,LOG10(AU206))</f>
        <v>2.5632992050352823</v>
      </c>
      <c r="AY206" s="161" cm="1">
        <f t="array" ref="AY206">_xlfn.IFS(AU206="DELETE", "DELETE", AU206=0, 0, AU206&gt;0, AW206/AU206/LN(10))</f>
        <v>0.43429448190325176</v>
      </c>
      <c r="AZ206" s="120">
        <f>qPCR_Raw!AG206</f>
        <v>38.563526153564453</v>
      </c>
      <c r="BA206" s="121" cm="1">
        <f t="array" ref="BA206">_xlfn.IFS(AZ206="Undetermined", 0, qPCR_Raw!AH206&lt;=1, 0, qPCR_Raw!AH206&gt;1, qPCR_Raw!AH206)</f>
        <v>0</v>
      </c>
      <c r="BB206" s="122" t="str">
        <f>qPCR_Raw!AJ206</f>
        <v>Undetermined</v>
      </c>
      <c r="BC206" s="121" cm="1">
        <f t="array" ref="BC206">_xlfn.IFS(BB206="Undetermined", 0, qPCR_Raw!AK206&lt;=1, 0, qPCR_Raw!AK206&gt;1, qPCR_Raw!AK206)</f>
        <v>0</v>
      </c>
      <c r="BD206" s="123" t="str" cm="1">
        <f t="array" ref="BD206">_xlfn.IFS(AND(AZ206="Undetermined", BB206="Undetermined"), "Undetermined", AND(BA206=0, BC206=0), "Undetermined", AND(BA206=0, BC206&gt;0), "Ten-Fold", AND(BA206&gt;0, BC206=0), "Undiluted", AND(AZ206&lt;&gt;"Undetermined", BB206&lt;&gt;"Undetermined", BA206&gt;0, BC206&gt;0, AZ206&lt;&gt;BB206), 100*(-1+10^(-1/(AZ206-BB206))), AND(AZ206&lt;&gt;"Undetermined", BB206&lt;&gt;"Undetermined", AZ206=BB206&gt;0), -100)</f>
        <v>Undetermined</v>
      </c>
      <c r="BE206" s="124" cm="1">
        <f t="array" ref="BE206">_xlfn.IFS(BD206="Undetermined", 0, BD206="Undiluted", BA206*$G206/$F206*1000, BD206="Ten-Fold", BC206*$G206/$F206*1000*10, BD206&lt;0, BC206*$G206/$F206*1000*10, BD206&lt;120, BA206*$G206/$F206*1000, BD206&gt;120, BC206*$G206/$F206*1000*10)</f>
        <v>0</v>
      </c>
      <c r="BF206" s="121">
        <f t="shared" si="68"/>
        <v>0</v>
      </c>
      <c r="BG206" s="121">
        <f t="shared" si="69"/>
        <v>0</v>
      </c>
      <c r="BH206" s="121">
        <f t="shared" si="70"/>
        <v>0</v>
      </c>
      <c r="BI206" s="125" cm="1">
        <f t="array" ref="BI206">_xlfn.IFS(BF206="DELETE", "DELETE", BF206=0, 0, BF206&gt;0,LOG10(BF206))</f>
        <v>0</v>
      </c>
      <c r="BJ206" s="126" cm="1">
        <f t="array" ref="BJ206">_xlfn.IFS(BF206="DELETE", "DELETE", BF206=0, 0, BF206&gt;0, BH206/BF206/LN(10))</f>
        <v>0</v>
      </c>
    </row>
    <row r="207" spans="1:62" s="114" customFormat="1" x14ac:dyDescent="0.3">
      <c r="A207" s="115" t="str">
        <f>UPPER(LEFT(SUBSTITUTE(SUBSTITUTE(qPCR_Raw!A207,"-","")," ",""),2))&amp;RIGHT(SUBSTITUTE(SUBSTITUTE(qPCR_Raw!A207,"-","")," ",""),LEN(SUBSTITUTE(SUBSTITUTE(qPCR_Raw!A207,"-","")," ",""))-2)</f>
        <v>RW7</v>
      </c>
      <c r="B207" s="116" t="str" cm="1">
        <f t="array" ref="B207">_xlfn.IFS(LEFT(A207, LEN(A207)-1)="EP", "EP", LEFT(A207, LEN(A207)-1)="STa", "SPI", LEFT(A207, LEN(A207)-1)="STb", "SPO", LEFT(A207, LEN(A207)-1)="MRT", "MRT", LEFT(A207, LEN(A207)-1)="RG", "RN", LEFT(A207, LEN(A207)-1)="RT", "RU", LEFT(A207, LEN(A207)-1)="RW", "RL", LEFT(A207, LEN(A207)-1)="RC", "RS")</f>
        <v>RL</v>
      </c>
      <c r="C207" s="117">
        <f>qPCR_Raw!B207</f>
        <v>44426</v>
      </c>
      <c r="D207" s="117" t="str">
        <f t="shared" si="54"/>
        <v>RL44426</v>
      </c>
      <c r="E207" s="117" t="str">
        <f t="shared" si="55"/>
        <v>RL444267</v>
      </c>
      <c r="F207" s="118">
        <f>qPCR_Raw!C207</f>
        <v>870</v>
      </c>
      <c r="G207" s="119">
        <f>qPCR_Raw!F207</f>
        <v>100</v>
      </c>
      <c r="H207" s="120">
        <f>qPCR_Raw!G207</f>
        <v>12.432254791259766</v>
      </c>
      <c r="I207" s="121" cm="1">
        <f t="array" ref="I207">_xlfn.IFS(H207="Undetermined", 0, qPCR_Raw!H207-qPCR_Raw!$H$242&lt;0, 0, qPCR_Raw!H207-qPCR_Raw!$H$242&gt;0, qPCR_Raw!H207-qPCR_Raw!$H$242)</f>
        <v>17832461.361446127</v>
      </c>
      <c r="J207" s="122">
        <f>qPCR_Raw!K207</f>
        <v>15.652329444885254</v>
      </c>
      <c r="K207" s="121" cm="1">
        <f t="array" ref="K207">_xlfn.IFS(J207="Undetermined", 0, qPCR_Raw!L207-qPCR_Raw!$H$242&lt;0, 0, qPCR_Raw!L207-qPCR_Raw!$H$242&gt;0, qPCR_Raw!L207-qPCR_Raw!$H$242)</f>
        <v>1857088.6114461264</v>
      </c>
      <c r="L207" s="123" cm="1">
        <f t="array" ref="L207">_xlfn.IFS(AND(H207="Undetermined", J207="Undetermined"), "Undetermined", AND(I207=0, K207=0), "Undetermined", AND(I207=0, K207&gt;0), "Ten-Fold", AND(I207&gt;0, K207=0), "Undiluted", AND(H207&lt;&gt;"Undetermined", J207&lt;&gt;"Undetermined", I207&gt;0, K207&gt;0), 100*(-1+10^(-1/(H207-J207))))</f>
        <v>104.43337866407431</v>
      </c>
      <c r="M207" s="124" cm="1">
        <f t="array" ref="M207">_xlfn.IFS(L207="Undetermined", 0, L207="Undiluted", I207*$G207/$F207*1000, L207="Ten-Fold", K207*$G207/$F207*1000*10, L207&lt;0, K207*$G207/$F207*1000*10, L207&lt;120, I207*$G207/$F207*1000, L207&gt;120, K207*$G207/$F207*1000*10)</f>
        <v>2049708202.4650722</v>
      </c>
      <c r="N207" s="121" t="str">
        <f t="shared" si="56"/>
        <v>DELETE</v>
      </c>
      <c r="O207" s="121" t="str">
        <f t="shared" si="57"/>
        <v>DELETE</v>
      </c>
      <c r="P207" s="121" t="str">
        <f t="shared" si="58"/>
        <v>DELETE</v>
      </c>
      <c r="Q207" s="125" t="str" cm="1">
        <f t="array" ref="Q207">_xlfn.IFS(N207="DELETE", "DELETE", N207=0, 0, N207&gt;0,LOG10(N207))</f>
        <v>DELETE</v>
      </c>
      <c r="R207" s="126" t="str" cm="1">
        <f t="array" ref="R207">_xlfn.IFS(N207="DELETE", "DELETE", N207=0, 0, N207&gt;0, P207/N207/LN(10))</f>
        <v>DELETE</v>
      </c>
      <c r="S207" s="155">
        <f>qPCR_Raw!O207</f>
        <v>27.364824295043945</v>
      </c>
      <c r="T207" s="156" cm="1">
        <f t="array" ref="T207">_xlfn.IFS(S207="Undetermined", 0, qPCR_Raw!P207&lt;=1, 0, qPCR_Raw!P207&gt;1, qPCR_Raw!P207)</f>
        <v>484.82965087890625</v>
      </c>
      <c r="U207" s="157">
        <f>qPCR_Raw!R207</f>
        <v>30.442028045654297</v>
      </c>
      <c r="V207" s="156" cm="1">
        <f t="array" ref="V207">_xlfn.IFS(U207="Undetermined", 0, qPCR_Raw!S207&lt;=1, 0, qPCR_Raw!S207&gt;1, qPCR_Raw!S207)</f>
        <v>57.477996826171875</v>
      </c>
      <c r="W207" s="158" cm="1">
        <f t="array" ref="W207">_xlfn.IFS(AND(S207="Undetermined", U207="Undetermined"), "Undetermined", AND(T207=0, V207=0), "Undetermined", AND(T207=0, V207&gt;0), "Ten-Fold", AND(T207&gt;0, V207=0), "Undiluted", AND(S207&lt;&gt;"Undetermined", U207&lt;&gt;"Undetermined", T207&gt;0, V207&gt;0, S207&lt;&gt;U207), 100*(-1+10^(-1/(S207-U207))), AND(S207&lt;&gt;"Undetermined", U207&lt;&gt;"Undetermined", S207=U207&gt;0), -100)</f>
        <v>111.33447852352583</v>
      </c>
      <c r="X207" s="159" cm="1">
        <f t="array" ref="X207">_xlfn.IFS(W207="Undetermined", 0, W207="Undiluted", T207*$G207/$F207*1000, W207="Ten-Fold", V207*$G207/$F207*1000*10, W207&lt;0, V207*$G207/$F207*1000*10, W207&lt;120, T207*$G207/$F207*1000, W207&gt;120, V207*$G207/$F207*1000*10)</f>
        <v>55727.5460780352</v>
      </c>
      <c r="Y207" s="156" t="str">
        <f t="shared" si="59"/>
        <v>DELETE</v>
      </c>
      <c r="Z207" s="156" t="str">
        <f t="shared" si="60"/>
        <v>DELETE</v>
      </c>
      <c r="AA207" s="156" t="str">
        <f t="shared" si="61"/>
        <v>DELETE</v>
      </c>
      <c r="AB207" s="160" t="str" cm="1">
        <f t="array" ref="AB207">_xlfn.IFS(Y207="DELETE", "DELETE", Y207=0, 0, Y207&gt;0,LOG10(Y207))</f>
        <v>DELETE</v>
      </c>
      <c r="AC207" s="161" t="str" cm="1">
        <f t="array" ref="AC207">_xlfn.IFS(Y207="DELETE", "DELETE", Y207=0, 0, Y207&gt;0, AA207/Y207/LN(10))</f>
        <v>DELETE</v>
      </c>
      <c r="AD207" s="120">
        <f>qPCR_Raw!U207</f>
        <v>32.155155181884766</v>
      </c>
      <c r="AE207" s="121" cm="1">
        <f t="array" ref="AE207">_xlfn.IFS(AD207="Undetermined", 0, qPCR_Raw!V207&lt;=1, 0, qPCR_Raw!V207&gt;1, qPCR_Raw!V207)</f>
        <v>11.304133415222168</v>
      </c>
      <c r="AF207" s="122">
        <f>qPCR_Raw!X207</f>
        <v>37.816818237304688</v>
      </c>
      <c r="AG207" s="121" cm="1">
        <f t="array" ref="AG207">_xlfn.IFS(AF207="Undetermined", 0, qPCR_Raw!Y207&lt;=1, 0, qPCR_Raw!Y207&gt;1, qPCR_Raw!Y207)</f>
        <v>0</v>
      </c>
      <c r="AH207" s="123" t="str" cm="1">
        <f t="array" ref="AH207">_xlfn.IFS(AND(AD207="Undetermined", AF207="Undetermined"), "Undetermined", AND(AE207=0, AG207=0), "Undetermined", AND(AE207=0, AG207&gt;0), "Ten-Fold", AND(AE207&gt;0, AG207=0), "Undiluted", AND(AD207&lt;&gt;"Undetermined", AF207&lt;&gt;"Undetermined", AE207&gt;0, AG207&gt;0, AD207&lt;&gt;AF207), 100*(-1+10^(-1/(AD207-AF207))), AND(AD207&lt;&gt;"Undetermined", AF207&lt;&gt;"Undetermined", AD207=AF207&gt;0), -100)</f>
        <v>Undiluted</v>
      </c>
      <c r="AI207" s="124" cm="1">
        <f t="array" ref="AI207">_xlfn.IFS(AH207="Undetermined", 0, AH207="Undiluted", AE207*$G207/$F207*1000, AH207="Ten-Fold", AG207*$G207/$F207*1000*10, AH207&lt;0, AG207*$G207/$F207*1000*10, AH207&lt;120, AE207*$G207/$F207*1000, AH207&gt;120, AG207*$G207/$F207*1000*10)</f>
        <v>1299.3256799105941</v>
      </c>
      <c r="AJ207" s="121" t="str">
        <f t="shared" si="62"/>
        <v>DELETE</v>
      </c>
      <c r="AK207" s="121" t="str">
        <f t="shared" si="63"/>
        <v>DELETE</v>
      </c>
      <c r="AL207" s="121" t="str">
        <f t="shared" si="64"/>
        <v>DELETE</v>
      </c>
      <c r="AM207" s="125" t="str" cm="1">
        <f t="array" ref="AM207">_xlfn.IFS(AJ207="DELETE", "DELETE", AJ207=0, 0, AJ207&gt;0,LOG10(AJ207))</f>
        <v>DELETE</v>
      </c>
      <c r="AN207" s="126" t="str" cm="1">
        <f t="array" ref="AN207">_xlfn.IFS(AJ207="DELETE", "DELETE", AJ207=0, 0, AJ207&gt;0, AL207/AJ207/LN(10))</f>
        <v>DELETE</v>
      </c>
      <c r="AO207" s="155">
        <f>qPCR_Raw!AA207</f>
        <v>29.986251831054688</v>
      </c>
      <c r="AP207" s="156" cm="1">
        <f t="array" ref="AP207">_xlfn.IFS(AO207="Undetermined", 0, qPCR_Raw!AB207&lt;=6, 0, qPCR_Raw!AB207&gt;6, qPCR_Raw!AB207)</f>
        <v>0</v>
      </c>
      <c r="AQ207" s="157" t="str">
        <f>qPCR_Raw!AD207</f>
        <v>Undetermined</v>
      </c>
      <c r="AR207" s="156" cm="1">
        <f t="array" ref="AR207">_xlfn.IFS(AQ207="Undetermined", 0, qPCR_Raw!AE207&lt;=6, 0, qPCR_Raw!AE207&gt;6, qPCR_Raw!AE207)</f>
        <v>0</v>
      </c>
      <c r="AS207" s="158" t="str" cm="1">
        <f t="array" ref="AS207">_xlfn.IFS(AND(AO207="Undetermined", AQ207="Undetermined"), "Undetermined", AND(AP207=0, AR207=0), "Undetermined", AND(AP207=0, AR207&gt;0), "Ten-Fold", AND(AP207&gt;0, AR207=0), "Undiluted", AND(AO207&lt;&gt;"Undetermined", AQ207&lt;&gt;"Undetermined", AP207&gt;0, AR207&gt;0, AO207&lt;&gt;AQ207), 100*(-1+10^(-1/(AO207-AQ207))), AND(AO207&lt;&gt;"Undetermined", AQ207&lt;&gt;"Undetermined", AO207=AQ207&gt;0), -100)</f>
        <v>Undetermined</v>
      </c>
      <c r="AT207" s="159" cm="1">
        <f t="array" ref="AT207">_xlfn.IFS(AS207="Undetermined", 0, AS207="Undiluted", AP207*$G207/$F207*1000, AS207="Ten-Fold", AR207*$G207/$F207*1000*10, AS207&lt;0, AR207*$G207/$F207*1000*10, AS207&lt;120, AP207*$G207/$F207*1000, AS207&gt;120, AR207*$G207/$F207*1000*10)</f>
        <v>0</v>
      </c>
      <c r="AU207" s="156" t="str">
        <f t="shared" si="65"/>
        <v>DELETE</v>
      </c>
      <c r="AV207" s="156" t="str">
        <f t="shared" si="66"/>
        <v>DELETE</v>
      </c>
      <c r="AW207" s="156" t="str">
        <f t="shared" si="67"/>
        <v>DELETE</v>
      </c>
      <c r="AX207" s="160" t="str" cm="1">
        <f t="array" ref="AX207">_xlfn.IFS(AU207="DELETE", "DELETE", AU207=0, 0, AU207&gt;0,LOG10(AU207))</f>
        <v>DELETE</v>
      </c>
      <c r="AY207" s="161" t="str" cm="1">
        <f t="array" ref="AY207">_xlfn.IFS(AU207="DELETE", "DELETE", AU207=0, 0, AU207&gt;0, AW207/AU207/LN(10))</f>
        <v>DELETE</v>
      </c>
      <c r="AZ207" s="120" t="str">
        <f>qPCR_Raw!AG207</f>
        <v>Undetermined</v>
      </c>
      <c r="BA207" s="121" cm="1">
        <f t="array" ref="BA207">_xlfn.IFS(AZ207="Undetermined", 0, qPCR_Raw!AH207&lt;=1, 0, qPCR_Raw!AH207&gt;1, qPCR_Raw!AH207)</f>
        <v>0</v>
      </c>
      <c r="BB207" s="122" t="str">
        <f>qPCR_Raw!AJ207</f>
        <v>Undetermined</v>
      </c>
      <c r="BC207" s="121" cm="1">
        <f t="array" ref="BC207">_xlfn.IFS(BB207="Undetermined", 0, qPCR_Raw!AK207&lt;=1, 0, qPCR_Raw!AK207&gt;1, qPCR_Raw!AK207)</f>
        <v>0</v>
      </c>
      <c r="BD207" s="123" t="str" cm="1">
        <f t="array" ref="BD207">_xlfn.IFS(AND(AZ207="Undetermined", BB207="Undetermined"), "Undetermined", AND(BA207=0, BC207=0), "Undetermined", AND(BA207=0, BC207&gt;0), "Ten-Fold", AND(BA207&gt;0, BC207=0), "Undiluted", AND(AZ207&lt;&gt;"Undetermined", BB207&lt;&gt;"Undetermined", BA207&gt;0, BC207&gt;0, AZ207&lt;&gt;BB207), 100*(-1+10^(-1/(AZ207-BB207))), AND(AZ207&lt;&gt;"Undetermined", BB207&lt;&gt;"Undetermined", AZ207=BB207&gt;0), -100)</f>
        <v>Undetermined</v>
      </c>
      <c r="BE207" s="124" cm="1">
        <f t="array" ref="BE207">_xlfn.IFS(BD207="Undetermined", 0, BD207="Undiluted", BA207*$G207/$F207*1000, BD207="Ten-Fold", BC207*$G207/$F207*1000*10, BD207&lt;0, BC207*$G207/$F207*1000*10, BD207&lt;120, BA207*$G207/$F207*1000, BD207&gt;120, BC207*$G207/$F207*1000*10)</f>
        <v>0</v>
      </c>
      <c r="BF207" s="121" t="str">
        <f t="shared" si="68"/>
        <v>DELETE</v>
      </c>
      <c r="BG207" s="121" t="str">
        <f t="shared" si="69"/>
        <v>DELETE</v>
      </c>
      <c r="BH207" s="121" t="str">
        <f t="shared" si="70"/>
        <v>DELETE</v>
      </c>
      <c r="BI207" s="125" t="str" cm="1">
        <f t="array" ref="BI207">_xlfn.IFS(BF207="DELETE", "DELETE", BF207=0, 0, BF207&gt;0,LOG10(BF207))</f>
        <v>DELETE</v>
      </c>
      <c r="BJ207" s="126" t="str" cm="1">
        <f t="array" ref="BJ207">_xlfn.IFS(BF207="DELETE", "DELETE", BF207=0, 0, BF207&gt;0, BH207/BF207/LN(10))</f>
        <v>DELETE</v>
      </c>
    </row>
    <row r="208" spans="1:62" s="114" customFormat="1" x14ac:dyDescent="0.3">
      <c r="A208" s="115" t="str">
        <f>UPPER(LEFT(SUBSTITUTE(SUBSTITUTE(qPCR_Raw!A208,"-","")," ",""),2))&amp;RIGHT(SUBSTITUTE(SUBSTITUTE(qPCR_Raw!A208,"-","")," ",""),LEN(SUBSTITUTE(SUBSTITUTE(qPCR_Raw!A208,"-","")," ",""))-2)</f>
        <v>MRT6</v>
      </c>
      <c r="B208" s="116" t="str" cm="1">
        <f t="array" ref="B208">_xlfn.IFS(LEFT(A208, LEN(A208)-1)="EP", "EP", LEFT(A208, LEN(A208)-1)="STa", "SPI", LEFT(A208, LEN(A208)-1)="STb", "SPO", LEFT(A208, LEN(A208)-1)="MRT", "MRT", LEFT(A208, LEN(A208)-1)="RG", "RN", LEFT(A208, LEN(A208)-1)="RT", "RU", LEFT(A208, LEN(A208)-1)="RW", "RL", LEFT(A208, LEN(A208)-1)="RC", "RS")</f>
        <v>MRT</v>
      </c>
      <c r="C208" s="117">
        <f>qPCR_Raw!B208</f>
        <v>44426</v>
      </c>
      <c r="D208" s="117" t="str">
        <f t="shared" si="54"/>
        <v>MRT44426</v>
      </c>
      <c r="E208" s="117" t="str">
        <f t="shared" si="55"/>
        <v>MRT444266</v>
      </c>
      <c r="F208" s="118">
        <f>qPCR_Raw!C208</f>
        <v>900</v>
      </c>
      <c r="G208" s="119">
        <f>qPCR_Raw!F208</f>
        <v>100</v>
      </c>
      <c r="H208" s="120">
        <f>qPCR_Raw!G208</f>
        <v>16.180282592773438</v>
      </c>
      <c r="I208" s="121" cm="1">
        <f t="array" ref="I208">_xlfn.IFS(H208="Undetermined", 0, qPCR_Raw!H208-qPCR_Raw!$H$242&lt;0, 0, qPCR_Raw!H208-qPCR_Raw!$H$242&gt;0, qPCR_Raw!H208-qPCR_Raw!$H$242)</f>
        <v>1225441.2364461264</v>
      </c>
      <c r="J208" s="122">
        <f>qPCR_Raw!K208</f>
        <v>19.593845367431641</v>
      </c>
      <c r="K208" s="121" cm="1">
        <f t="array" ref="K208">_xlfn.IFS(J208="Undetermined", 0, qPCR_Raw!L208-qPCR_Raw!$H$242&lt;0, 0, qPCR_Raw!L208-qPCR_Raw!$H$242&gt;0, qPCR_Raw!L208-qPCR_Raw!$H$242)</f>
        <v>111581.54894612631</v>
      </c>
      <c r="L208" s="123" cm="1">
        <f t="array" ref="L208">_xlfn.IFS(AND(H208="Undetermined", J208="Undetermined"), "Undetermined", AND(I208=0, K208=0), "Undetermined", AND(I208=0, K208&gt;0), "Ten-Fold", AND(I208&gt;0, K208=0), "Undiluted", AND(H208&lt;&gt;"Undetermined", J208&lt;&gt;"Undetermined", I208&gt;0, K208&gt;0), 100*(-1+10^(-1/(H208-J208))))</f>
        <v>96.312999251953087</v>
      </c>
      <c r="M208" s="124" cm="1">
        <f t="array" ref="M208">_xlfn.IFS(L208="Undetermined", 0, L208="Undiluted", I208*$G208/$F208*1000, L208="Ten-Fold", K208*$G208/$F208*1000*10, L208&lt;0, K208*$G208/$F208*1000*10, L208&lt;120, I208*$G208/$F208*1000, L208&gt;120, K208*$G208/$F208*1000*10)</f>
        <v>136160137.38290292</v>
      </c>
      <c r="N208" s="121">
        <f t="shared" si="56"/>
        <v>195558911.76375777</v>
      </c>
      <c r="O208" s="121">
        <f t="shared" si="57"/>
        <v>84002552.317744628</v>
      </c>
      <c r="P208" s="121">
        <f t="shared" si="58"/>
        <v>59398774.380854957</v>
      </c>
      <c r="Q208" s="125" cm="1">
        <f t="array" ref="Q208">_xlfn.IFS(N208="DELETE", "DELETE", N208=0, 0, N208&gt;0,LOG10(N208))</f>
        <v>8.2912776118587743</v>
      </c>
      <c r="R208" s="126" cm="1">
        <f t="array" ref="R208">_xlfn.IFS(N208="DELETE", "DELETE", N208=0, 0, N208&gt;0, P208/N208/LN(10))</f>
        <v>0.13191196306402403</v>
      </c>
      <c r="S208" s="155">
        <f>qPCR_Raw!O208</f>
        <v>28.298574447631836</v>
      </c>
      <c r="T208" s="156" cm="1">
        <f t="array" ref="T208">_xlfn.IFS(S208="Undetermined", 0, qPCR_Raw!P208&lt;=1, 0, qPCR_Raw!P208&gt;1, qPCR_Raw!P208)</f>
        <v>467.56866455078125</v>
      </c>
      <c r="U208" s="157">
        <f>qPCR_Raw!R208</f>
        <v>32.256580352783203</v>
      </c>
      <c r="V208" s="156" cm="1">
        <f t="array" ref="V208">_xlfn.IFS(U208="Undetermined", 0, qPCR_Raw!S208&lt;=1, 0, qPCR_Raw!S208&gt;1, qPCR_Raw!S208)</f>
        <v>38.700218200683594</v>
      </c>
      <c r="W208" s="158" cm="1">
        <f t="array" ref="W208">_xlfn.IFS(AND(S208="Undetermined", U208="Undetermined"), "Undetermined", AND(T208=0, V208=0), "Undetermined", AND(T208=0, V208&gt;0), "Ten-Fold", AND(T208&gt;0, V208=0), "Undiluted", AND(S208&lt;&gt;"Undetermined", U208&lt;&gt;"Undetermined", T208&gt;0, V208&gt;0, S208&lt;&gt;U208), 100*(-1+10^(-1/(S208-U208))), AND(S208&lt;&gt;"Undetermined", U208&lt;&gt;"Undetermined", S208=U208&gt;0), -100)</f>
        <v>78.917358631927925</v>
      </c>
      <c r="X208" s="159" cm="1">
        <f t="array" ref="X208">_xlfn.IFS(W208="Undetermined", 0, W208="Undiluted", T208*$G208/$F208*1000, W208="Ten-Fold", V208*$G208/$F208*1000*10, W208&lt;0, V208*$G208/$F208*1000*10, W208&lt;120, T208*$G208/$F208*1000, W208&gt;120, V208*$G208/$F208*1000*10)</f>
        <v>51952.073838975695</v>
      </c>
      <c r="Y208" s="156">
        <f t="shared" si="59"/>
        <v>47348.697747124563</v>
      </c>
      <c r="Z208" s="156">
        <f t="shared" si="60"/>
        <v>6510.1569017999209</v>
      </c>
      <c r="AA208" s="156">
        <f t="shared" si="61"/>
        <v>4603.3760918511289</v>
      </c>
      <c r="AB208" s="160" cm="1">
        <f t="array" ref="AB208">_xlfn.IFS(Y208="DELETE", "DELETE", Y208=0, 0, Y208&gt;0,LOG10(Y208))</f>
        <v>4.6753080389039123</v>
      </c>
      <c r="AC208" s="161" cm="1">
        <f t="array" ref="AC208">_xlfn.IFS(Y208="DELETE", "DELETE", Y208=0, 0, Y208&gt;0, AA208/Y208/LN(10))</f>
        <v>4.2223354177416905E-2</v>
      </c>
      <c r="AD208" s="120">
        <f>qPCR_Raw!U208</f>
        <v>31.623432159423828</v>
      </c>
      <c r="AE208" s="121" cm="1">
        <f t="array" ref="AE208">_xlfn.IFS(AD208="Undetermined", 0, qPCR_Raw!V208&lt;=1, 0, qPCR_Raw!V208&gt;1, qPCR_Raw!V208)</f>
        <v>5.1952724456787109</v>
      </c>
      <c r="AF208" s="122">
        <f>qPCR_Raw!X208</f>
        <v>38.005348205566406</v>
      </c>
      <c r="AG208" s="121" cm="1">
        <f t="array" ref="AG208">_xlfn.IFS(AF208="Undetermined", 0, qPCR_Raw!Y208&lt;=1, 0, qPCR_Raw!Y208&gt;1, qPCR_Raw!Y208)</f>
        <v>0</v>
      </c>
      <c r="AH208" s="123" t="str" cm="1">
        <f t="array" ref="AH208">_xlfn.IFS(AND(AD208="Undetermined", AF208="Undetermined"), "Undetermined", AND(AE208=0, AG208=0), "Undetermined", AND(AE208=0, AG208&gt;0), "Ten-Fold", AND(AE208&gt;0, AG208=0), "Undiluted", AND(AD208&lt;&gt;"Undetermined", AF208&lt;&gt;"Undetermined", AE208&gt;0, AG208&gt;0, AD208&lt;&gt;AF208), 100*(-1+10^(-1/(AD208-AF208))), AND(AD208&lt;&gt;"Undetermined", AF208&lt;&gt;"Undetermined", AD208=AF208&gt;0), -100)</f>
        <v>Undiluted</v>
      </c>
      <c r="AI208" s="124" cm="1">
        <f t="array" ref="AI208">_xlfn.IFS(AH208="Undetermined", 0, AH208="Undiluted", AE208*$G208/$F208*1000, AH208="Ten-Fold", AG208*$G208/$F208*1000*10, AH208&lt;0, AG208*$G208/$F208*1000*10, AH208&lt;120, AE208*$G208/$F208*1000, AH208&gt;120, AG208*$G208/$F208*1000*10)</f>
        <v>577.25249396430127</v>
      </c>
      <c r="AJ208" s="121">
        <f t="shared" si="62"/>
        <v>872.19350867801245</v>
      </c>
      <c r="AK208" s="121">
        <f t="shared" si="63"/>
        <v>417.1095831082128</v>
      </c>
      <c r="AL208" s="121">
        <f t="shared" si="64"/>
        <v>294.94101471371107</v>
      </c>
      <c r="AM208" s="125" cm="1">
        <f t="array" ref="AM208">_xlfn.IFS(AJ208="DELETE", "DELETE", AJ208=0, 0, AJ208&gt;0,LOG10(AJ208))</f>
        <v>2.9406128501018993</v>
      </c>
      <c r="AN208" s="126" cm="1">
        <f t="array" ref="AN208">_xlfn.IFS(AJ208="DELETE", "DELETE", AJ208=0, 0, AJ208&gt;0, AL208/AJ208/LN(10))</f>
        <v>0.14686105079050518</v>
      </c>
      <c r="AO208" s="155">
        <f>qPCR_Raw!AA208</f>
        <v>24.240280151367188</v>
      </c>
      <c r="AP208" s="156" cm="1">
        <f t="array" ref="AP208">_xlfn.IFS(AO208="Undetermined", 0, qPCR_Raw!AB208&lt;=6, 0, qPCR_Raw!AB208&gt;6, qPCR_Raw!AB208)</f>
        <v>92.883560180664063</v>
      </c>
      <c r="AQ208" s="157">
        <f>qPCR_Raw!AD208</f>
        <v>27.930843353271484</v>
      </c>
      <c r="AR208" s="156" cm="1">
        <f t="array" ref="AR208">_xlfn.IFS(AQ208="Undetermined", 0, qPCR_Raw!AE208&lt;=6, 0, qPCR_Raw!AE208&gt;6, qPCR_Raw!AE208)</f>
        <v>7.502108097076416</v>
      </c>
      <c r="AS208" s="158" cm="1">
        <f t="array" ref="AS208">_xlfn.IFS(AND(AO208="Undetermined", AQ208="Undetermined"), "Undetermined", AND(AP208=0, AR208=0), "Undetermined", AND(AP208=0, AR208&gt;0), "Ten-Fold", AND(AP208&gt;0, AR208=0), "Undiluted", AND(AO208&lt;&gt;"Undetermined", AQ208&lt;&gt;"Undetermined", AP208&gt;0, AR208&gt;0, AO208&lt;&gt;AQ208), 100*(-1+10^(-1/(AO208-AQ208))), AND(AO208&lt;&gt;"Undetermined", AQ208&lt;&gt;"Undetermined", AO208=AQ208&gt;0), -100)</f>
        <v>86.621361454020374</v>
      </c>
      <c r="AT208" s="159" cm="1">
        <f t="array" ref="AT208">_xlfn.IFS(AS208="Undetermined", 0, AS208="Undiluted", AP208*$G208/$F208*1000, AS208="Ten-Fold", AR208*$G208/$F208*1000*10, AS208&lt;0, AR208*$G208/$F208*1000*10, AS208&lt;120, AP208*$G208/$F208*1000, AS208&gt;120, AR208*$G208/$F208*1000*10)</f>
        <v>10320.395575629342</v>
      </c>
      <c r="AU208" s="156">
        <f t="shared" si="65"/>
        <v>10366.154819064672</v>
      </c>
      <c r="AV208" s="156">
        <f t="shared" si="66"/>
        <v>64.713342670174512</v>
      </c>
      <c r="AW208" s="156">
        <f t="shared" si="67"/>
        <v>45.759243435329154</v>
      </c>
      <c r="AX208" s="160" cm="1">
        <f t="array" ref="AX208">_xlfn.IFS(AU208="DELETE", "DELETE", AU208=0, 0, AU208&gt;0,LOG10(AU208))</f>
        <v>4.0156176907627623</v>
      </c>
      <c r="AY208" s="161" cm="1">
        <f t="array" ref="AY208">_xlfn.IFS(AU208="DELETE", "DELETE", AU208=0, 0, AU208&gt;0, AW208/AU208/LN(10))</f>
        <v>1.9171030403175254E-3</v>
      </c>
      <c r="AZ208" s="120">
        <f>qPCR_Raw!AG208</f>
        <v>30.592140197753906</v>
      </c>
      <c r="BA208" s="121" cm="1">
        <f t="array" ref="BA208">_xlfn.IFS(AZ208="Undetermined", 0, qPCR_Raw!AH208&lt;=1, 0, qPCR_Raw!AH208&gt;1, qPCR_Raw!AH208)</f>
        <v>60.791839599609375</v>
      </c>
      <c r="BB208" s="122">
        <f>qPCR_Raw!AJ208</f>
        <v>34.957252502441406</v>
      </c>
      <c r="BC208" s="121" cm="1">
        <f t="array" ref="BC208">_xlfn.IFS(BB208="Undetermined", 0, qPCR_Raw!AK208&lt;=1, 0, qPCR_Raw!AK208&gt;1, qPCR_Raw!AK208)</f>
        <v>4.667994499206543</v>
      </c>
      <c r="BD208" s="123" cm="1">
        <f t="array" ref="BD208">_xlfn.IFS(AND(AZ208="Undetermined", BB208="Undetermined"), "Undetermined", AND(BA208=0, BC208=0), "Undetermined", AND(BA208=0, BC208&gt;0), "Ten-Fold", AND(BA208&gt;0, BC208=0), "Undiluted", AND(AZ208&lt;&gt;"Undetermined", BB208&lt;&gt;"Undetermined", BA208&gt;0, BC208&gt;0, AZ208&lt;&gt;BB208), 100*(-1+10^(-1/(AZ208-BB208))), AND(AZ208&lt;&gt;"Undetermined", BB208&lt;&gt;"Undetermined", AZ208=BB208&gt;0), -100)</f>
        <v>69.468576053662574</v>
      </c>
      <c r="BE208" s="124" cm="1">
        <f t="array" ref="BE208">_xlfn.IFS(BD208="Undetermined", 0, BD208="Undiluted", BA208*$G208/$F208*1000, BD208="Ten-Fold", BC208*$G208/$F208*1000*10, BD208&lt;0, BC208*$G208/$F208*1000*10, BD208&lt;120, BA208*$G208/$F208*1000, BD208&gt;120, BC208*$G208/$F208*1000*10)</f>
        <v>6754.648844401042</v>
      </c>
      <c r="BF208" s="121">
        <f t="shared" si="68"/>
        <v>6749.5549519856777</v>
      </c>
      <c r="BG208" s="121">
        <f t="shared" si="69"/>
        <v>7.2038517390782513</v>
      </c>
      <c r="BH208" s="121">
        <f t="shared" si="70"/>
        <v>5.0938924153647349</v>
      </c>
      <c r="BI208" s="125" cm="1">
        <f t="array" ref="BI208">_xlfn.IFS(BF208="DELETE", "DELETE", BF208=0, 0, BF208&gt;0,LOG10(BF208))</f>
        <v>3.8292751375319267</v>
      </c>
      <c r="BJ208" s="126" cm="1">
        <f t="array" ref="BJ208">_xlfn.IFS(BF208="DELETE", "DELETE", BF208=0, 0, BF208&gt;0, BH208/BF208/LN(10))</f>
        <v>3.2776225738422965E-4</v>
      </c>
    </row>
    <row r="209" spans="1:62" s="114" customFormat="1" x14ac:dyDescent="0.3">
      <c r="A209" s="115" t="str">
        <f>UPPER(LEFT(SUBSTITUTE(SUBSTITUTE(qPCR_Raw!A209,"-","")," ",""),2))&amp;RIGHT(SUBSTITUTE(SUBSTITUTE(qPCR_Raw!A209,"-","")," ",""),LEN(SUBSTITUTE(SUBSTITUTE(qPCR_Raw!A209,"-","")," ",""))-2)</f>
        <v>MRT7</v>
      </c>
      <c r="B209" s="116" t="str" cm="1">
        <f t="array" ref="B209">_xlfn.IFS(LEFT(A209, LEN(A209)-1)="EP", "EP", LEFT(A209, LEN(A209)-1)="STa", "SPI", LEFT(A209, LEN(A209)-1)="STb", "SPO", LEFT(A209, LEN(A209)-1)="MRT", "MRT", LEFT(A209, LEN(A209)-1)="RG", "RN", LEFT(A209, LEN(A209)-1)="RT", "RU", LEFT(A209, LEN(A209)-1)="RW", "RL", LEFT(A209, LEN(A209)-1)="RC", "RS")</f>
        <v>MRT</v>
      </c>
      <c r="C209" s="117">
        <f>qPCR_Raw!B209</f>
        <v>44426</v>
      </c>
      <c r="D209" s="117" t="str">
        <f t="shared" si="54"/>
        <v>MRT44426</v>
      </c>
      <c r="E209" s="117" t="str">
        <f t="shared" si="55"/>
        <v>MRT444267</v>
      </c>
      <c r="F209" s="118">
        <f>qPCR_Raw!C209</f>
        <v>1000</v>
      </c>
      <c r="G209" s="119">
        <f>qPCR_Raw!F209</f>
        <v>100</v>
      </c>
      <c r="H209" s="120">
        <f>qPCR_Raw!G209</f>
        <v>15.099535942077637</v>
      </c>
      <c r="I209" s="121" cm="1">
        <f t="array" ref="I209">_xlfn.IFS(H209="Undetermined", 0, qPCR_Raw!H209-qPCR_Raw!$H$242&lt;0, 0, qPCR_Raw!H209-qPCR_Raw!$H$242&gt;0, qPCR_Raw!H209-qPCR_Raw!$H$242)</f>
        <v>2549576.8614461264</v>
      </c>
      <c r="J209" s="122">
        <f>qPCR_Raw!K209</f>
        <v>18.363620758056641</v>
      </c>
      <c r="K209" s="121" cm="1">
        <f t="array" ref="K209">_xlfn.IFS(J209="Undetermined", 0, qPCR_Raw!L209-qPCR_Raw!$H$242&lt;0, 0, qPCR_Raw!L209-qPCR_Raw!$H$242&gt;0, qPCR_Raw!L209-qPCR_Raw!$H$242)</f>
        <v>272038.29894612631</v>
      </c>
      <c r="L209" s="123" cm="1">
        <f t="array" ref="L209">_xlfn.IFS(AND(H209="Undetermined", J209="Undetermined"), "Undetermined", AND(I209=0, K209=0), "Undetermined", AND(I209=0, K209&gt;0), "Ten-Fold", AND(I209&gt;0, K209=0), "Undiluted", AND(H209&lt;&gt;"Undetermined", J209&lt;&gt;"Undetermined", I209&gt;0, K209&gt;0), 100*(-1+10^(-1/(H209-J209))))</f>
        <v>102.47182062337581</v>
      </c>
      <c r="M209" s="124" cm="1">
        <f t="array" ref="M209">_xlfn.IFS(L209="Undetermined", 0, L209="Undiluted", I209*$G209/$F209*1000, L209="Ten-Fold", K209*$G209/$F209*1000*10, L209&lt;0, K209*$G209/$F209*1000*10, L209&lt;120, I209*$G209/$F209*1000, L209&gt;120, K209*$G209/$F209*1000*10)</f>
        <v>254957686.14461264</v>
      </c>
      <c r="N209" s="121" t="str">
        <f t="shared" si="56"/>
        <v>DELETE</v>
      </c>
      <c r="O209" s="121" t="str">
        <f t="shared" si="57"/>
        <v>DELETE</v>
      </c>
      <c r="P209" s="121" t="str">
        <f t="shared" si="58"/>
        <v>DELETE</v>
      </c>
      <c r="Q209" s="125" t="str" cm="1">
        <f t="array" ref="Q209">_xlfn.IFS(N209="DELETE", "DELETE", N209=0, 0, N209&gt;0,LOG10(N209))</f>
        <v>DELETE</v>
      </c>
      <c r="R209" s="126" t="str" cm="1">
        <f t="array" ref="R209">_xlfn.IFS(N209="DELETE", "DELETE", N209=0, 0, N209&gt;0, P209/N209/LN(10))</f>
        <v>DELETE</v>
      </c>
      <c r="S209" s="155">
        <f>qPCR_Raw!O209</f>
        <v>28.441062927246094</v>
      </c>
      <c r="T209" s="156" cm="1">
        <f t="array" ref="T209">_xlfn.IFS(S209="Undetermined", 0, qPCR_Raw!P209&lt;=1, 0, qPCR_Raw!P209&gt;1, qPCR_Raw!P209)</f>
        <v>427.45321655273438</v>
      </c>
      <c r="U209" s="157">
        <f>qPCR_Raw!R209</f>
        <v>31.936494827270508</v>
      </c>
      <c r="V209" s="156" cm="1">
        <f t="array" ref="V209">_xlfn.IFS(U209="Undetermined", 0, qPCR_Raw!S209&lt;=1, 0, qPCR_Raw!S209&gt;1, qPCR_Raw!S209)</f>
        <v>47.339740753173828</v>
      </c>
      <c r="W209" s="158" cm="1">
        <f t="array" ref="W209">_xlfn.IFS(AND(S209="Undetermined", U209="Undetermined"), "Undetermined", AND(T209=0, V209=0), "Undetermined", AND(T209=0, V209&gt;0), "Ten-Fold", AND(T209&gt;0, V209=0), "Undiluted", AND(S209&lt;&gt;"Undetermined", U209&lt;&gt;"Undetermined", T209&gt;0, V209&gt;0, S209&lt;&gt;U209), 100*(-1+10^(-1/(S209-U209))), AND(S209&lt;&gt;"Undetermined", U209&lt;&gt;"Undetermined", S209=U209&gt;0), -100)</f>
        <v>93.235839909249705</v>
      </c>
      <c r="X209" s="159" cm="1">
        <f t="array" ref="X209">_xlfn.IFS(W209="Undetermined", 0, W209="Undiluted", T209*$G209/$F209*1000, W209="Ten-Fold", V209*$G209/$F209*1000*10, W209&lt;0, V209*$G209/$F209*1000*10, W209&lt;120, T209*$G209/$F209*1000, W209&gt;120, V209*$G209/$F209*1000*10)</f>
        <v>42745.321655273438</v>
      </c>
      <c r="Y209" s="156" t="str">
        <f t="shared" si="59"/>
        <v>DELETE</v>
      </c>
      <c r="Z209" s="156" t="str">
        <f t="shared" si="60"/>
        <v>DELETE</v>
      </c>
      <c r="AA209" s="156" t="str">
        <f t="shared" si="61"/>
        <v>DELETE</v>
      </c>
      <c r="AB209" s="160" t="str" cm="1">
        <f t="array" ref="AB209">_xlfn.IFS(Y209="DELETE", "DELETE", Y209=0, 0, Y209&gt;0,LOG10(Y209))</f>
        <v>DELETE</v>
      </c>
      <c r="AC209" s="161" t="str" cm="1">
        <f t="array" ref="AC209">_xlfn.IFS(Y209="DELETE", "DELETE", Y209=0, 0, Y209&gt;0, AA209/Y209/LN(10))</f>
        <v>DELETE</v>
      </c>
      <c r="AD209" s="120">
        <f>qPCR_Raw!U209</f>
        <v>31.222871780395508</v>
      </c>
      <c r="AE209" s="121" cm="1">
        <f t="array" ref="AE209">_xlfn.IFS(AD209="Undetermined", 0, qPCR_Raw!V209&lt;=1, 0, qPCR_Raw!V209&gt;1, qPCR_Raw!V209)</f>
        <v>6.7970700263977051</v>
      </c>
      <c r="AF209" s="122">
        <f>qPCR_Raw!X209</f>
        <v>33.849040985107422</v>
      </c>
      <c r="AG209" s="121" cm="1">
        <f t="array" ref="AG209">_xlfn.IFS(AF209="Undetermined", 0, qPCR_Raw!Y209&lt;=1, 0, qPCR_Raw!Y209&gt;1, qPCR_Raw!Y209)</f>
        <v>1.1671345233917236</v>
      </c>
      <c r="AH209" s="123" cm="1">
        <f t="array" ref="AH209">_xlfn.IFS(AND(AD209="Undetermined", AF209="Undetermined"), "Undetermined", AND(AE209=0, AG209=0), "Undetermined", AND(AE209=0, AG209&gt;0), "Ten-Fold", AND(AE209&gt;0, AG209=0), "Undiluted", AND(AD209&lt;&gt;"Undetermined", AF209&lt;&gt;"Undetermined", AE209&gt;0, AG209&gt;0, AD209&lt;&gt;AF209), 100*(-1+10^(-1/(AD209-AF209))), AND(AD209&lt;&gt;"Undetermined", AF209&lt;&gt;"Undetermined", AD209=AF209&gt;0), -100)</f>
        <v>140.31604943238477</v>
      </c>
      <c r="AI209" s="124" cm="1">
        <f t="array" ref="AI209">_xlfn.IFS(AH209="Undetermined", 0, AH209="Undiluted", AE209*$G209/$F209*1000, AH209="Ten-Fold", AG209*$G209/$F209*1000*10, AH209&lt;0, AG209*$G209/$F209*1000*10, AH209&lt;120, AE209*$G209/$F209*1000, AH209&gt;120, AG209*$G209/$F209*1000*10)</f>
        <v>1167.1345233917236</v>
      </c>
      <c r="AJ209" s="121" t="str">
        <f t="shared" si="62"/>
        <v>DELETE</v>
      </c>
      <c r="AK209" s="121" t="str">
        <f t="shared" si="63"/>
        <v>DELETE</v>
      </c>
      <c r="AL209" s="121" t="str">
        <f t="shared" si="64"/>
        <v>DELETE</v>
      </c>
      <c r="AM209" s="125" t="str" cm="1">
        <f t="array" ref="AM209">_xlfn.IFS(AJ209="DELETE", "DELETE", AJ209=0, 0, AJ209&gt;0,LOG10(AJ209))</f>
        <v>DELETE</v>
      </c>
      <c r="AN209" s="126" t="str" cm="1">
        <f t="array" ref="AN209">_xlfn.IFS(AJ209="DELETE", "DELETE", AJ209=0, 0, AJ209&gt;0, AL209/AJ209/LN(10))</f>
        <v>DELETE</v>
      </c>
      <c r="AO209" s="155">
        <f>qPCR_Raw!AA209</f>
        <v>24.072793960571289</v>
      </c>
      <c r="AP209" s="156" cm="1">
        <f t="array" ref="AP209">_xlfn.IFS(AO209="Undetermined", 0, qPCR_Raw!AB209&lt;=6, 0, qPCR_Raw!AB209&gt;6, qPCR_Raw!AB209)</f>
        <v>104.119140625</v>
      </c>
      <c r="AQ209" s="157">
        <f>qPCR_Raw!AD209</f>
        <v>27.225774765014648</v>
      </c>
      <c r="AR209" s="156" cm="1">
        <f t="array" ref="AR209">_xlfn.IFS(AQ209="Undetermined", 0, qPCR_Raw!AE209&lt;=6, 0, qPCR_Raw!AE209&gt;6, qPCR_Raw!AE209)</f>
        <v>12.132498741149902</v>
      </c>
      <c r="AS209" s="158" cm="1">
        <f t="array" ref="AS209">_xlfn.IFS(AND(AO209="Undetermined", AQ209="Undetermined"), "Undetermined", AND(AP209=0, AR209=0), "Undetermined", AND(AP209=0, AR209&gt;0), "Ten-Fold", AND(AP209&gt;0, AR209=0), "Undiluted", AND(AO209&lt;&gt;"Undetermined", AQ209&lt;&gt;"Undetermined", AP209&gt;0, AR209&gt;0, AO209&lt;&gt;AQ209), 100*(-1+10^(-1/(AO209-AQ209))), AND(AO209&lt;&gt;"Undetermined", AQ209&lt;&gt;"Undetermined", AO209=AQ209&gt;0), -100)</f>
        <v>107.56790064024307</v>
      </c>
      <c r="AT209" s="159" cm="1">
        <f t="array" ref="AT209">_xlfn.IFS(AS209="Undetermined", 0, AS209="Undiluted", AP209*$G209/$F209*1000, AS209="Ten-Fold", AR209*$G209/$F209*1000*10, AS209&lt;0, AR209*$G209/$F209*1000*10, AS209&lt;120, AP209*$G209/$F209*1000, AS209&gt;120, AR209*$G209/$F209*1000*10)</f>
        <v>10411.9140625</v>
      </c>
      <c r="AU209" s="156" t="str">
        <f t="shared" si="65"/>
        <v>DELETE</v>
      </c>
      <c r="AV209" s="156" t="str">
        <f t="shared" si="66"/>
        <v>DELETE</v>
      </c>
      <c r="AW209" s="156" t="str">
        <f t="shared" si="67"/>
        <v>DELETE</v>
      </c>
      <c r="AX209" s="160" t="str" cm="1">
        <f t="array" ref="AX209">_xlfn.IFS(AU209="DELETE", "DELETE", AU209=0, 0, AU209&gt;0,LOG10(AU209))</f>
        <v>DELETE</v>
      </c>
      <c r="AY209" s="161" t="str" cm="1">
        <f t="array" ref="AY209">_xlfn.IFS(AU209="DELETE", "DELETE", AU209=0, 0, AU209&gt;0, AW209/AU209/LN(10))</f>
        <v>DELETE</v>
      </c>
      <c r="AZ209" s="120">
        <f>qPCR_Raw!AG209</f>
        <v>30.415525436401367</v>
      </c>
      <c r="BA209" s="121" cm="1">
        <f t="array" ref="BA209">_xlfn.IFS(AZ209="Undetermined", 0, qPCR_Raw!AH209&lt;=1, 0, qPCR_Raw!AH209&gt;1, qPCR_Raw!AH209)</f>
        <v>67.444610595703125</v>
      </c>
      <c r="BB209" s="122">
        <f>qPCR_Raw!AJ209</f>
        <v>37.247005462646484</v>
      </c>
      <c r="BC209" s="121" cm="1">
        <f t="array" ref="BC209">_xlfn.IFS(BB209="Undetermined", 0, qPCR_Raw!AK209&lt;=1, 0, qPCR_Raw!AK209&gt;1, qPCR_Raw!AK209)</f>
        <v>1.2145016193389893</v>
      </c>
      <c r="BD209" s="123" cm="1">
        <f t="array" ref="BD209">_xlfn.IFS(AND(AZ209="Undetermined", BB209="Undetermined"), "Undetermined", AND(BA209=0, BC209=0), "Undetermined", AND(BA209=0, BC209&gt;0), "Ten-Fold", AND(BA209&gt;0, BC209=0), "Undiluted", AND(AZ209&lt;&gt;"Undetermined", BB209&lt;&gt;"Undetermined", BA209&gt;0, BC209&gt;0, AZ209&lt;&gt;BB209), 100*(-1+10^(-1/(AZ209-BB209))), AND(AZ209&lt;&gt;"Undetermined", BB209&lt;&gt;"Undetermined", AZ209=BB209&gt;0), -100)</f>
        <v>40.081622805051296</v>
      </c>
      <c r="BE209" s="124" cm="1">
        <f t="array" ref="BE209">_xlfn.IFS(BD209="Undetermined", 0, BD209="Undiluted", BA209*$G209/$F209*1000, BD209="Ten-Fold", BC209*$G209/$F209*1000*10, BD209&lt;0, BC209*$G209/$F209*1000*10, BD209&lt;120, BA209*$G209/$F209*1000, BD209&gt;120, BC209*$G209/$F209*1000*10)</f>
        <v>6744.4610595703125</v>
      </c>
      <c r="BF209" s="121" t="str">
        <f t="shared" si="68"/>
        <v>DELETE</v>
      </c>
      <c r="BG209" s="121" t="str">
        <f t="shared" si="69"/>
        <v>DELETE</v>
      </c>
      <c r="BH209" s="121" t="str">
        <f t="shared" si="70"/>
        <v>DELETE</v>
      </c>
      <c r="BI209" s="125" t="str" cm="1">
        <f t="array" ref="BI209">_xlfn.IFS(BF209="DELETE", "DELETE", BF209=0, 0, BF209&gt;0,LOG10(BF209))</f>
        <v>DELETE</v>
      </c>
      <c r="BJ209" s="126" t="str" cm="1">
        <f t="array" ref="BJ209">_xlfn.IFS(BF209="DELETE", "DELETE", BF209=0, 0, BF209&gt;0, BH209/BF209/LN(10))</f>
        <v>DELETE</v>
      </c>
    </row>
    <row r="210" spans="1:62" s="114" customFormat="1" x14ac:dyDescent="0.3">
      <c r="A210" s="115" t="str">
        <f>UPPER(LEFT(SUBSTITUTE(SUBSTITUTE(qPCR_Raw!A210,"-","")," ",""),2))&amp;RIGHT(SUBSTITUTE(SUBSTITUTE(qPCR_Raw!A210,"-","")," ",""),LEN(SUBSTITUTE(SUBSTITUTE(qPCR_Raw!A210,"-","")," ",""))-2)</f>
        <v>RT6</v>
      </c>
      <c r="B210" s="116" t="str" cm="1">
        <f t="array" ref="B210">_xlfn.IFS(LEFT(A210, LEN(A210)-1)="EP", "EP", LEFT(A210, LEN(A210)-1)="STa", "SPI", LEFT(A210, LEN(A210)-1)="STb", "SPO", LEFT(A210, LEN(A210)-1)="MRT", "MRT", LEFT(A210, LEN(A210)-1)="RG", "RN", LEFT(A210, LEN(A210)-1)="RT", "RU", LEFT(A210, LEN(A210)-1)="RW", "RL", LEFT(A210, LEN(A210)-1)="RC", "RS")</f>
        <v>RU</v>
      </c>
      <c r="C210" s="117">
        <f>qPCR_Raw!B210</f>
        <v>44426</v>
      </c>
      <c r="D210" s="117" t="str">
        <f t="shared" si="54"/>
        <v>RU44426</v>
      </c>
      <c r="E210" s="117" t="str">
        <f t="shared" si="55"/>
        <v>RU444266</v>
      </c>
      <c r="F210" s="118">
        <f>qPCR_Raw!C210</f>
        <v>950</v>
      </c>
      <c r="G210" s="119">
        <f>qPCR_Raw!F210</f>
        <v>100</v>
      </c>
      <c r="H210" s="120">
        <f>qPCR_Raw!G210</f>
        <v>18.079746246337891</v>
      </c>
      <c r="I210" s="121" cm="1">
        <f t="array" ref="I210">_xlfn.IFS(H210="Undetermined", 0, qPCR_Raw!H210-qPCR_Raw!$H$242&lt;0, 0, qPCR_Raw!H210-qPCR_Raw!$H$242&gt;0, qPCR_Raw!H210-qPCR_Raw!$H$242)</f>
        <v>332024.14269612631</v>
      </c>
      <c r="J210" s="122">
        <f>qPCR_Raw!K210</f>
        <v>21.276296615600586</v>
      </c>
      <c r="K210" s="121" cm="1">
        <f t="array" ref="K210">_xlfn.IFS(J210="Undetermined", 0, qPCR_Raw!L210-qPCR_Raw!$H$242&lt;0, 0, qPCR_Raw!L210-qPCR_Raw!$H$242&gt;0, qPCR_Raw!L210-qPCR_Raw!$H$242)</f>
        <v>27174.673946126302</v>
      </c>
      <c r="L210" s="123" cm="1">
        <f t="array" ref="L210">_xlfn.IFS(AND(H210="Undetermined", J210="Undetermined"), "Undetermined", AND(I210=0, K210=0), "Undetermined", AND(I210=0, K210&gt;0), "Ten-Fold", AND(I210&gt;0, K210=0), "Undiluted", AND(H210&lt;&gt;"Undetermined", J210&lt;&gt;"Undetermined", I210&gt;0, K210&gt;0), 100*(-1+10^(-1/(H210-J210))))</f>
        <v>105.51202641354274</v>
      </c>
      <c r="M210" s="124" cm="1">
        <f t="array" ref="M210">_xlfn.IFS(L210="Undetermined", 0, L210="Undiluted", I210*$G210/$F210*1000, L210="Ten-Fold", K210*$G210/$F210*1000*10, L210&lt;0, K210*$G210/$F210*1000*10, L210&lt;120, I210*$G210/$F210*1000, L210&gt;120, K210*$G210/$F210*1000*10)</f>
        <v>34949909.757486984</v>
      </c>
      <c r="N210" s="121">
        <f t="shared" si="56"/>
        <v>37459069.302015245</v>
      </c>
      <c r="O210" s="121">
        <f t="shared" si="57"/>
        <v>3548487.4580297642</v>
      </c>
      <c r="P210" s="121">
        <f t="shared" si="58"/>
        <v>2509159.5445282604</v>
      </c>
      <c r="Q210" s="125" cm="1">
        <f t="array" ref="Q210">_xlfn.IFS(N210="DELETE", "DELETE", N210=0, 0, N210&gt;0,LOG10(N210))</f>
        <v>7.5735569828090972</v>
      </c>
      <c r="R210" s="126" cm="1">
        <f t="array" ref="R210">_xlfn.IFS(N210="DELETE", "DELETE", N210=0, 0, N210&gt;0, P210/N210/LN(10))</f>
        <v>2.9090796026394465E-2</v>
      </c>
      <c r="S210" s="155">
        <f>qPCR_Raw!O210</f>
        <v>27.479942321777344</v>
      </c>
      <c r="T210" s="156" cm="1">
        <f t="array" ref="T210">_xlfn.IFS(S210="Undetermined", 0, qPCR_Raw!P210&lt;=1, 0, qPCR_Raw!P210&gt;1, qPCR_Raw!P210)</f>
        <v>782.8204345703125</v>
      </c>
      <c r="U210" s="157">
        <f>qPCR_Raw!R210</f>
        <v>30.547952651977539</v>
      </c>
      <c r="V210" s="156" cm="1">
        <f t="array" ref="V210">_xlfn.IFS(U210="Undetermined", 0, qPCR_Raw!S210&lt;=1, 0, qPCR_Raw!S210&gt;1, qPCR_Raw!S210)</f>
        <v>113.46395111083984</v>
      </c>
      <c r="W210" s="158" cm="1">
        <f t="array" ref="W210">_xlfn.IFS(AND(S210="Undetermined", U210="Undetermined"), "Undetermined", AND(T210=0, V210=0), "Undetermined", AND(T210=0, V210&gt;0), "Ten-Fold", AND(T210&gt;0, V210=0), "Undiluted", AND(S210&lt;&gt;"Undetermined", U210&lt;&gt;"Undetermined", T210&gt;0, V210&gt;0, S210&lt;&gt;U210), 100*(-1+10^(-1/(S210-U210))), AND(S210&lt;&gt;"Undetermined", U210&lt;&gt;"Undetermined", S210=U210&gt;0), -100)</f>
        <v>111.80887022110792</v>
      </c>
      <c r="X210" s="159" cm="1">
        <f t="array" ref="X210">_xlfn.IFS(W210="Undetermined", 0, W210="Undiluted", T210*$G210/$F210*1000, W210="Ten-Fold", V210*$G210/$F210*1000*10, W210&lt;0, V210*$G210/$F210*1000*10, W210&lt;120, T210*$G210/$F210*1000, W210&gt;120, V210*$G210/$F210*1000*10)</f>
        <v>82402.15100740132</v>
      </c>
      <c r="Y210" s="156">
        <f t="shared" si="59"/>
        <v>87612.893404689181</v>
      </c>
      <c r="Z210" s="156">
        <f t="shared" si="60"/>
        <v>7369.1025682769869</v>
      </c>
      <c r="AA210" s="156">
        <f t="shared" si="61"/>
        <v>5210.7423972878605</v>
      </c>
      <c r="AB210" s="160" cm="1">
        <f t="array" ref="AB210">_xlfn.IFS(Y210="DELETE", "DELETE", Y210=0, 0, Y210&gt;0,LOG10(Y210))</f>
        <v>4.9425680230912103</v>
      </c>
      <c r="AC210" s="161" cm="1">
        <f t="array" ref="AC210">_xlfn.IFS(Y210="DELETE", "DELETE", Y210=0, 0, Y210&gt;0, AA210/Y210/LN(10))</f>
        <v>2.5829493603281916E-2</v>
      </c>
      <c r="AD210" s="120">
        <f>qPCR_Raw!U210</f>
        <v>29.109853744506836</v>
      </c>
      <c r="AE210" s="121" cm="1">
        <f t="array" ref="AE210">_xlfn.IFS(AD210="Undetermined", 0, qPCR_Raw!V210&lt;=1, 0, qPCR_Raw!V210&gt;1, qPCR_Raw!V210)</f>
        <v>28.054529190063477</v>
      </c>
      <c r="AF210" s="122">
        <f>qPCR_Raw!X210</f>
        <v>32.463653564453125</v>
      </c>
      <c r="AG210" s="121" cm="1">
        <f t="array" ref="AG210">_xlfn.IFS(AF210="Undetermined", 0, qPCR_Raw!Y210&lt;=1, 0, qPCR_Raw!Y210&gt;1, qPCR_Raw!Y210)</f>
        <v>2.9565727710723877</v>
      </c>
      <c r="AH210" s="123" cm="1">
        <f t="array" ref="AH210">_xlfn.IFS(AND(AD210="Undetermined", AF210="Undetermined"), "Undetermined", AND(AE210=0, AG210=0), "Undetermined", AND(AE210=0, AG210&gt;0), "Ten-Fold", AND(AE210&gt;0, AG210=0), "Undiluted", AND(AD210&lt;&gt;"Undetermined", AF210&lt;&gt;"Undetermined", AE210&gt;0, AG210&gt;0, AD210&lt;&gt;AF210), 100*(-1+10^(-1/(AD210-AF210))), AND(AD210&lt;&gt;"Undetermined", AF210&lt;&gt;"Undetermined", AD210=AF210&gt;0), -100)</f>
        <v>98.686910569015794</v>
      </c>
      <c r="AI210" s="124" cm="1">
        <f t="array" ref="AI210">_xlfn.IFS(AH210="Undetermined", 0, AH210="Undiluted", AE210*$G210/$F210*1000, AH210="Ten-Fold", AG210*$G210/$F210*1000*10, AH210&lt;0, AG210*$G210/$F210*1000*10, AH210&lt;120, AE210*$G210/$F210*1000, AH210&gt;120, AG210*$G210/$F210*1000*10)</f>
        <v>2953.1083357961556</v>
      </c>
      <c r="AJ210" s="121">
        <f t="shared" si="62"/>
        <v>2491.0730030047525</v>
      </c>
      <c r="AK210" s="121">
        <f t="shared" si="63"/>
        <v>653.41663392916792</v>
      </c>
      <c r="AL210" s="121">
        <f t="shared" si="64"/>
        <v>462.03533279140254</v>
      </c>
      <c r="AM210" s="125" cm="1">
        <f t="array" ref="AM210">_xlfn.IFS(AJ210="DELETE", "DELETE", AJ210=0, 0, AJ210&gt;0,LOG10(AJ210))</f>
        <v>3.396386455090723</v>
      </c>
      <c r="AN210" s="126" cm="1">
        <f t="array" ref="AN210">_xlfn.IFS(AJ210="DELETE", "DELETE", AJ210=0, 0, AJ210&gt;0, AL210/AJ210/LN(10))</f>
        <v>8.0551391000424993E-2</v>
      </c>
      <c r="AO210" s="155">
        <f>qPCR_Raw!AA210</f>
        <v>29.573486328125</v>
      </c>
      <c r="AP210" s="156" cm="1">
        <f t="array" ref="AP210">_xlfn.IFS(AO210="Undetermined", 0, qPCR_Raw!AB210&lt;=6, 0, qPCR_Raw!AB210&gt;6, qPCR_Raw!AB210)</f>
        <v>0</v>
      </c>
      <c r="AQ210" s="157" t="str">
        <f>qPCR_Raw!AD210</f>
        <v>Undetermined</v>
      </c>
      <c r="AR210" s="156" cm="1">
        <f t="array" ref="AR210">_xlfn.IFS(AQ210="Undetermined", 0, qPCR_Raw!AE210&lt;=6, 0, qPCR_Raw!AE210&gt;6, qPCR_Raw!AE210)</f>
        <v>0</v>
      </c>
      <c r="AS210" s="158" t="str" cm="1">
        <f t="array" ref="AS210">_xlfn.IFS(AND(AO210="Undetermined", AQ210="Undetermined"), "Undetermined", AND(AP210=0, AR210=0), "Undetermined", AND(AP210=0, AR210&gt;0), "Ten-Fold", AND(AP210&gt;0, AR210=0), "Undiluted", AND(AO210&lt;&gt;"Undetermined", AQ210&lt;&gt;"Undetermined", AP210&gt;0, AR210&gt;0, AO210&lt;&gt;AQ210), 100*(-1+10^(-1/(AO210-AQ210))), AND(AO210&lt;&gt;"Undetermined", AQ210&lt;&gt;"Undetermined", AO210=AQ210&gt;0), -100)</f>
        <v>Undetermined</v>
      </c>
      <c r="AT210" s="159" cm="1">
        <f t="array" ref="AT210">_xlfn.IFS(AS210="Undetermined", 0, AS210="Undiluted", AP210*$G210/$F210*1000, AS210="Ten-Fold", AR210*$G210/$F210*1000*10, AS210&lt;0, AR210*$G210/$F210*1000*10, AS210&lt;120, AP210*$G210/$F210*1000, AS210&gt;120, AR210*$G210/$F210*1000*10)</f>
        <v>0</v>
      </c>
      <c r="AU210" s="156">
        <f t="shared" si="65"/>
        <v>0</v>
      </c>
      <c r="AV210" s="156">
        <f t="shared" si="66"/>
        <v>0</v>
      </c>
      <c r="AW210" s="156">
        <f t="shared" si="67"/>
        <v>0</v>
      </c>
      <c r="AX210" s="160" cm="1">
        <f t="array" ref="AX210">_xlfn.IFS(AU210="DELETE", "DELETE", AU210=0, 0, AU210&gt;0,LOG10(AU210))</f>
        <v>0</v>
      </c>
      <c r="AY210" s="161" cm="1">
        <f t="array" ref="AY210">_xlfn.IFS(AU210="DELETE", "DELETE", AU210=0, 0, AU210&gt;0, AW210/AU210/LN(10))</f>
        <v>0</v>
      </c>
      <c r="AZ210" s="120" t="str">
        <f>qPCR_Raw!AG210</f>
        <v>Undetermined</v>
      </c>
      <c r="BA210" s="121" cm="1">
        <f t="array" ref="BA210">_xlfn.IFS(AZ210="Undetermined", 0, qPCR_Raw!AH210&lt;=1, 0, qPCR_Raw!AH210&gt;1, qPCR_Raw!AH210)</f>
        <v>0</v>
      </c>
      <c r="BB210" s="122" t="str">
        <f>qPCR_Raw!AJ210</f>
        <v>Undetermined</v>
      </c>
      <c r="BC210" s="121" cm="1">
        <f t="array" ref="BC210">_xlfn.IFS(BB210="Undetermined", 0, qPCR_Raw!AK210&lt;=1, 0, qPCR_Raw!AK210&gt;1, qPCR_Raw!AK210)</f>
        <v>0</v>
      </c>
      <c r="BD210" s="123" t="str" cm="1">
        <f t="array" ref="BD210">_xlfn.IFS(AND(AZ210="Undetermined", BB210="Undetermined"), "Undetermined", AND(BA210=0, BC210=0), "Undetermined", AND(BA210=0, BC210&gt;0), "Ten-Fold", AND(BA210&gt;0, BC210=0), "Undiluted", AND(AZ210&lt;&gt;"Undetermined", BB210&lt;&gt;"Undetermined", BA210&gt;0, BC210&gt;0, AZ210&lt;&gt;BB210), 100*(-1+10^(-1/(AZ210-BB210))), AND(AZ210&lt;&gt;"Undetermined", BB210&lt;&gt;"Undetermined", AZ210=BB210&gt;0), -100)</f>
        <v>Undetermined</v>
      </c>
      <c r="BE210" s="124" cm="1">
        <f t="array" ref="BE210">_xlfn.IFS(BD210="Undetermined", 0, BD210="Undiluted", BA210*$G210/$F210*1000, BD210="Ten-Fold", BC210*$G210/$F210*1000*10, BD210&lt;0, BC210*$G210/$F210*1000*10, BD210&lt;120, BA210*$G210/$F210*1000, BD210&gt;120, BC210*$G210/$F210*1000*10)</f>
        <v>0</v>
      </c>
      <c r="BF210" s="121">
        <f t="shared" si="68"/>
        <v>373.7701445209737</v>
      </c>
      <c r="BG210" s="121">
        <f t="shared" si="69"/>
        <v>528.59080759171275</v>
      </c>
      <c r="BH210" s="121">
        <f t="shared" si="70"/>
        <v>373.77014452097364</v>
      </c>
      <c r="BI210" s="125" cm="1">
        <f t="array" ref="BI210">_xlfn.IFS(BF210="DELETE", "DELETE", BF210=0, 0, BF210&gt;0,LOG10(BF210))</f>
        <v>2.572604608472389</v>
      </c>
      <c r="BJ210" s="126" cm="1">
        <f t="array" ref="BJ210">_xlfn.IFS(BF210="DELETE", "DELETE", BF210=0, 0, BF210&gt;0, BH210/BF210/LN(10))</f>
        <v>0.43429448190325176</v>
      </c>
    </row>
    <row r="211" spans="1:62" s="114" customFormat="1" x14ac:dyDescent="0.3">
      <c r="A211" s="115" t="str">
        <f>UPPER(LEFT(SUBSTITUTE(SUBSTITUTE(qPCR_Raw!A211,"-","")," ",""),2))&amp;RIGHT(SUBSTITUTE(SUBSTITUTE(qPCR_Raw!A211,"-","")," ",""),LEN(SUBSTITUTE(SUBSTITUTE(qPCR_Raw!A211,"-","")," ",""))-2)</f>
        <v>RT7</v>
      </c>
      <c r="B211" s="116" t="str" cm="1">
        <f t="array" ref="B211">_xlfn.IFS(LEFT(A211, LEN(A211)-1)="EP", "EP", LEFT(A211, LEN(A211)-1)="STa", "SPI", LEFT(A211, LEN(A211)-1)="STb", "SPO", LEFT(A211, LEN(A211)-1)="MRT", "MRT", LEFT(A211, LEN(A211)-1)="RG", "RN", LEFT(A211, LEN(A211)-1)="RT", "RU", LEFT(A211, LEN(A211)-1)="RW", "RL", LEFT(A211, LEN(A211)-1)="RC", "RS")</f>
        <v>RU</v>
      </c>
      <c r="C211" s="117">
        <f>qPCR_Raw!B211</f>
        <v>44426</v>
      </c>
      <c r="D211" s="117" t="str">
        <f t="shared" si="54"/>
        <v>RU44426</v>
      </c>
      <c r="E211" s="117" t="str">
        <f t="shared" si="55"/>
        <v>RU444267</v>
      </c>
      <c r="F211" s="118">
        <f>qPCR_Raw!C211</f>
        <v>980</v>
      </c>
      <c r="G211" s="119">
        <f>qPCR_Raw!F211</f>
        <v>100</v>
      </c>
      <c r="H211" s="120">
        <f>qPCR_Raw!G211</f>
        <v>17.842674255371094</v>
      </c>
      <c r="I211" s="121" cm="1">
        <f t="array" ref="I211">_xlfn.IFS(H211="Undetermined", 0, qPCR_Raw!H211-qPCR_Raw!$H$242&lt;0, 0, qPCR_Raw!H211-qPCR_Raw!$H$242&gt;0, qPCR_Raw!H211-qPCR_Raw!$H$242)</f>
        <v>391688.64269612631</v>
      </c>
      <c r="J211" s="122">
        <f>qPCR_Raw!K211</f>
        <v>21.006448745727539</v>
      </c>
      <c r="K211" s="121" cm="1">
        <f t="array" ref="K211">_xlfn.IFS(J211="Undetermined", 0, qPCR_Raw!L211-qPCR_Raw!$H$242&lt;0, 0, qPCR_Raw!L211-qPCR_Raw!$H$242&gt;0, qPCR_Raw!L211-qPCR_Raw!$H$242)</f>
        <v>35169.634883626306</v>
      </c>
      <c r="L211" s="123" cm="1">
        <f t="array" ref="L211">_xlfn.IFS(AND(H211="Undetermined", J211="Undetermined"), "Undetermined", AND(I211=0, K211=0), "Undetermined", AND(I211=0, K211&gt;0), "Ten-Fold", AND(I211&gt;0, K211=0), "Undiluted", AND(H211&lt;&gt;"Undetermined", J211&lt;&gt;"Undetermined", I211&gt;0, K211&gt;0), 100*(-1+10^(-1/(H211-J211))))</f>
        <v>107.05139162765516</v>
      </c>
      <c r="M211" s="124" cm="1">
        <f t="array" ref="M211">_xlfn.IFS(L211="Undetermined", 0, L211="Undiluted", I211*$G211/$F211*1000, L211="Ten-Fold", K211*$G211/$F211*1000*10, L211&lt;0, K211*$G211/$F211*1000*10, L211&lt;120, I211*$G211/$F211*1000, L211&gt;120, K211*$G211/$F211*1000*10)</f>
        <v>39968228.846543506</v>
      </c>
      <c r="N211" s="121" t="str">
        <f t="shared" si="56"/>
        <v>DELETE</v>
      </c>
      <c r="O211" s="121" t="str">
        <f t="shared" si="57"/>
        <v>DELETE</v>
      </c>
      <c r="P211" s="121" t="str">
        <f t="shared" si="58"/>
        <v>DELETE</v>
      </c>
      <c r="Q211" s="125" t="str" cm="1">
        <f t="array" ref="Q211">_xlfn.IFS(N211="DELETE", "DELETE", N211=0, 0, N211&gt;0,LOG10(N211))</f>
        <v>DELETE</v>
      </c>
      <c r="R211" s="126" t="str" cm="1">
        <f t="array" ref="R211">_xlfn.IFS(N211="DELETE", "DELETE", N211=0, 0, N211&gt;0, P211/N211/LN(10))</f>
        <v>DELETE</v>
      </c>
      <c r="S211" s="155">
        <f>qPCR_Raw!O211</f>
        <v>27.241384506225586</v>
      </c>
      <c r="T211" s="156" cm="1">
        <f t="array" ref="T211">_xlfn.IFS(S211="Undetermined", 0, qPCR_Raw!P211&lt;=1, 0, qPCR_Raw!P211&gt;1, qPCR_Raw!P211)</f>
        <v>909.671630859375</v>
      </c>
      <c r="U211" s="157">
        <f>qPCR_Raw!R211</f>
        <v>30.433979034423828</v>
      </c>
      <c r="V211" s="156" cm="1">
        <f t="array" ref="V211">_xlfn.IFS(U211="Undetermined", 0, qPCR_Raw!S211&lt;=1, 0, qPCR_Raw!S211&gt;1, qPCR_Raw!S211)</f>
        <v>121.90420532226563</v>
      </c>
      <c r="W211" s="158" cm="1">
        <f t="array" ref="W211">_xlfn.IFS(AND(S211="Undetermined", U211="Undetermined"), "Undetermined", AND(T211=0, V211=0), "Undetermined", AND(T211=0, V211&gt;0), "Ten-Fold", AND(T211&gt;0, V211=0), "Undiluted", AND(S211&lt;&gt;"Undetermined", U211&lt;&gt;"Undetermined", T211&gt;0, V211&gt;0, S211&lt;&gt;U211), 100*(-1+10^(-1/(S211-U211))), AND(S211&lt;&gt;"Undetermined", U211&lt;&gt;"Undetermined", S211=U211&gt;0), -100)</f>
        <v>105.69553664172888</v>
      </c>
      <c r="X211" s="159" cm="1">
        <f t="array" ref="X211">_xlfn.IFS(W211="Undetermined", 0, W211="Undiluted", T211*$G211/$F211*1000, W211="Ten-Fold", V211*$G211/$F211*1000*10, W211&lt;0, V211*$G211/$F211*1000*10, W211&lt;120, T211*$G211/$F211*1000, W211&gt;120, V211*$G211/$F211*1000*10)</f>
        <v>92823.635801977041</v>
      </c>
      <c r="Y211" s="156" t="str">
        <f t="shared" si="59"/>
        <v>DELETE</v>
      </c>
      <c r="Z211" s="156" t="str">
        <f t="shared" si="60"/>
        <v>DELETE</v>
      </c>
      <c r="AA211" s="156" t="str">
        <f t="shared" si="61"/>
        <v>DELETE</v>
      </c>
      <c r="AB211" s="160" t="str" cm="1">
        <f t="array" ref="AB211">_xlfn.IFS(Y211="DELETE", "DELETE", Y211=0, 0, Y211&gt;0,LOG10(Y211))</f>
        <v>DELETE</v>
      </c>
      <c r="AC211" s="161" t="str" cm="1">
        <f t="array" ref="AC211">_xlfn.IFS(Y211="DELETE", "DELETE", Y211=0, 0, Y211&gt;0, AA211/Y211/LN(10))</f>
        <v>DELETE</v>
      </c>
      <c r="AD211" s="120">
        <f>qPCR_Raw!U211</f>
        <v>29.622892379760742</v>
      </c>
      <c r="AE211" s="121" cm="1">
        <f t="array" ref="AE211">_xlfn.IFS(AD211="Undetermined", 0, qPCR_Raw!V211&lt;=1, 0, qPCR_Raw!V211&gt;1, qPCR_Raw!V211)</f>
        <v>19.88456916809082</v>
      </c>
      <c r="AF211" s="122">
        <f>qPCR_Raw!X211</f>
        <v>32.572132110595703</v>
      </c>
      <c r="AG211" s="121" cm="1">
        <f t="array" ref="AG211">_xlfn.IFS(AF211="Undetermined", 0, qPCR_Raw!Y211&lt;=1, 0, qPCR_Raw!Y211&gt;1, qPCR_Raw!Y211)</f>
        <v>2.7490372657775879</v>
      </c>
      <c r="AH211" s="123" cm="1">
        <f t="array" ref="AH211">_xlfn.IFS(AND(AD211="Undetermined", AF211="Undetermined"), "Undetermined", AND(AE211=0, AG211=0), "Undetermined", AND(AE211=0, AG211&gt;0), "Ten-Fold", AND(AE211&gt;0, AG211=0), "Undiluted", AND(AD211&lt;&gt;"Undetermined", AF211&lt;&gt;"Undetermined", AE211&gt;0, AG211&gt;0, AD211&lt;&gt;AF211), 100*(-1+10^(-1/(AD211-AF211))), AND(AD211&lt;&gt;"Undetermined", AF211&lt;&gt;"Undetermined", AD211=AF211&gt;0), -100)</f>
        <v>118.30839439576101</v>
      </c>
      <c r="AI211" s="124" cm="1">
        <f t="array" ref="AI211">_xlfn.IFS(AH211="Undetermined", 0, AH211="Undiluted", AE211*$G211/$F211*1000, AH211="Ten-Fold", AG211*$G211/$F211*1000*10, AH211&lt;0, AG211*$G211/$F211*1000*10, AH211&lt;120, AE211*$G211/$F211*1000, AH211&gt;120, AG211*$G211/$F211*1000*10)</f>
        <v>2029.037670213349</v>
      </c>
      <c r="AJ211" s="121" t="str">
        <f t="shared" si="62"/>
        <v>DELETE</v>
      </c>
      <c r="AK211" s="121" t="str">
        <f t="shared" si="63"/>
        <v>DELETE</v>
      </c>
      <c r="AL211" s="121" t="str">
        <f t="shared" si="64"/>
        <v>DELETE</v>
      </c>
      <c r="AM211" s="125" t="str" cm="1">
        <f t="array" ref="AM211">_xlfn.IFS(AJ211="DELETE", "DELETE", AJ211=0, 0, AJ211&gt;0,LOG10(AJ211))</f>
        <v>DELETE</v>
      </c>
      <c r="AN211" s="126" t="str" cm="1">
        <f t="array" ref="AN211">_xlfn.IFS(AJ211="DELETE", "DELETE", AJ211=0, 0, AJ211&gt;0, AL211/AJ211/LN(10))</f>
        <v>DELETE</v>
      </c>
      <c r="AO211" s="155">
        <f>qPCR_Raw!AA211</f>
        <v>29.316213607788086</v>
      </c>
      <c r="AP211" s="156" cm="1">
        <f t="array" ref="AP211">_xlfn.IFS(AO211="Undetermined", 0, qPCR_Raw!AB211&lt;=6, 0, qPCR_Raw!AB211&gt;6, qPCR_Raw!AB211)</f>
        <v>0</v>
      </c>
      <c r="AQ211" s="157" t="str">
        <f>qPCR_Raw!AD211</f>
        <v>Undetermined</v>
      </c>
      <c r="AR211" s="156" cm="1">
        <f t="array" ref="AR211">_xlfn.IFS(AQ211="Undetermined", 0, qPCR_Raw!AE211&lt;=6, 0, qPCR_Raw!AE211&gt;6, qPCR_Raw!AE211)</f>
        <v>0</v>
      </c>
      <c r="AS211" s="158" t="str" cm="1">
        <f t="array" ref="AS211">_xlfn.IFS(AND(AO211="Undetermined", AQ211="Undetermined"), "Undetermined", AND(AP211=0, AR211=0), "Undetermined", AND(AP211=0, AR211&gt;0), "Ten-Fold", AND(AP211&gt;0, AR211=0), "Undiluted", AND(AO211&lt;&gt;"Undetermined", AQ211&lt;&gt;"Undetermined", AP211&gt;0, AR211&gt;0, AO211&lt;&gt;AQ211), 100*(-1+10^(-1/(AO211-AQ211))), AND(AO211&lt;&gt;"Undetermined", AQ211&lt;&gt;"Undetermined", AO211=AQ211&gt;0), -100)</f>
        <v>Undetermined</v>
      </c>
      <c r="AT211" s="159" cm="1">
        <f t="array" ref="AT211">_xlfn.IFS(AS211="Undetermined", 0, AS211="Undiluted", AP211*$G211/$F211*1000, AS211="Ten-Fold", AR211*$G211/$F211*1000*10, AS211&lt;0, AR211*$G211/$F211*1000*10, AS211&lt;120, AP211*$G211/$F211*1000, AS211&gt;120, AR211*$G211/$F211*1000*10)</f>
        <v>0</v>
      </c>
      <c r="AU211" s="156" t="str">
        <f t="shared" si="65"/>
        <v>DELETE</v>
      </c>
      <c r="AV211" s="156" t="str">
        <f t="shared" si="66"/>
        <v>DELETE</v>
      </c>
      <c r="AW211" s="156" t="str">
        <f t="shared" si="67"/>
        <v>DELETE</v>
      </c>
      <c r="AX211" s="160" t="str" cm="1">
        <f t="array" ref="AX211">_xlfn.IFS(AU211="DELETE", "DELETE", AU211=0, 0, AU211&gt;0,LOG10(AU211))</f>
        <v>DELETE</v>
      </c>
      <c r="AY211" s="161" t="str" cm="1">
        <f t="array" ref="AY211">_xlfn.IFS(AU211="DELETE", "DELETE", AU211=0, 0, AU211&gt;0, AW211/AU211/LN(10))</f>
        <v>DELETE</v>
      </c>
      <c r="AZ211" s="120">
        <f>qPCR_Raw!AG211</f>
        <v>34.190792083740234</v>
      </c>
      <c r="BA211" s="121" cm="1">
        <f t="array" ref="BA211">_xlfn.IFS(AZ211="Undetermined", 0, qPCR_Raw!AH211&lt;=1, 0, qPCR_Raw!AH211&gt;1, qPCR_Raw!AH211)</f>
        <v>7.325894832611084</v>
      </c>
      <c r="BB211" s="122" t="str">
        <f>qPCR_Raw!AJ211</f>
        <v>Undetermined</v>
      </c>
      <c r="BC211" s="121" cm="1">
        <f t="array" ref="BC211">_xlfn.IFS(BB211="Undetermined", 0, qPCR_Raw!AK211&lt;=1, 0, qPCR_Raw!AK211&gt;1, qPCR_Raw!AK211)</f>
        <v>0</v>
      </c>
      <c r="BD211" s="123" t="str" cm="1">
        <f t="array" ref="BD211">_xlfn.IFS(AND(AZ211="Undetermined", BB211="Undetermined"), "Undetermined", AND(BA211=0, BC211=0), "Undetermined", AND(BA211=0, BC211&gt;0), "Ten-Fold", AND(BA211&gt;0, BC211=0), "Undiluted", AND(AZ211&lt;&gt;"Undetermined", BB211&lt;&gt;"Undetermined", BA211&gt;0, BC211&gt;0, AZ211&lt;&gt;BB211), 100*(-1+10^(-1/(AZ211-BB211))), AND(AZ211&lt;&gt;"Undetermined", BB211&lt;&gt;"Undetermined", AZ211=BB211&gt;0), -100)</f>
        <v>Undiluted</v>
      </c>
      <c r="BE211" s="124" cm="1">
        <f t="array" ref="BE211">_xlfn.IFS(BD211="Undetermined", 0, BD211="Undiluted", BA211*$G211/$F211*1000, BD211="Ten-Fold", BC211*$G211/$F211*1000*10, BD211&lt;0, BC211*$G211/$F211*1000*10, BD211&lt;120, BA211*$G211/$F211*1000, BD211&gt;120, BC211*$G211/$F211*1000*10)</f>
        <v>747.5402890419474</v>
      </c>
      <c r="BF211" s="121" t="str">
        <f t="shared" si="68"/>
        <v>DELETE</v>
      </c>
      <c r="BG211" s="121" t="str">
        <f t="shared" si="69"/>
        <v>DELETE</v>
      </c>
      <c r="BH211" s="121" t="str">
        <f t="shared" si="70"/>
        <v>DELETE</v>
      </c>
      <c r="BI211" s="125" t="str" cm="1">
        <f t="array" ref="BI211">_xlfn.IFS(BF211="DELETE", "DELETE", BF211=0, 0, BF211&gt;0,LOG10(BF211))</f>
        <v>DELETE</v>
      </c>
      <c r="BJ211" s="126" t="str" cm="1">
        <f t="array" ref="BJ211">_xlfn.IFS(BF211="DELETE", "DELETE", BF211=0, 0, BF211&gt;0, BH211/BF211/LN(10))</f>
        <v>DELETE</v>
      </c>
    </row>
    <row r="212" spans="1:62" s="114" customFormat="1" x14ac:dyDescent="0.3">
      <c r="A212" s="115" t="str">
        <f>UPPER(LEFT(SUBSTITUTE(SUBSTITUTE(qPCR_Raw!A212,"-","")," ",""),2))&amp;RIGHT(SUBSTITUTE(SUBSTITUTE(qPCR_Raw!A212,"-","")," ",""),LEN(SUBSTITUTE(SUBSTITUTE(qPCR_Raw!A212,"-","")," ",""))-2)</f>
        <v>STb6</v>
      </c>
      <c r="B212" s="116" t="str" cm="1">
        <f t="array" ref="B212">_xlfn.IFS(LEFT(A212, LEN(A212)-1)="EP", "EP", LEFT(A212, LEN(A212)-1)="STa", "SPI", LEFT(A212, LEN(A212)-1)="STb", "SPO", LEFT(A212, LEN(A212)-1)="MRT", "MRT", LEFT(A212, LEN(A212)-1)="RG", "RN", LEFT(A212, LEN(A212)-1)="RT", "RU", LEFT(A212, LEN(A212)-1)="RW", "RL", LEFT(A212, LEN(A212)-1)="RC", "RS")</f>
        <v>SPO</v>
      </c>
      <c r="C212" s="117">
        <f>qPCR_Raw!B212</f>
        <v>44426</v>
      </c>
      <c r="D212" s="117" t="str">
        <f t="shared" si="54"/>
        <v>SPO44426</v>
      </c>
      <c r="E212" s="117" t="str">
        <f t="shared" si="55"/>
        <v>SPO444266</v>
      </c>
      <c r="F212" s="118">
        <f>qPCR_Raw!C212</f>
        <v>900</v>
      </c>
      <c r="G212" s="119">
        <f>qPCR_Raw!F212</f>
        <v>100</v>
      </c>
      <c r="H212" s="120">
        <f>qPCR_Raw!G212</f>
        <v>20.637638092041016</v>
      </c>
      <c r="I212" s="121" cm="1">
        <f t="array" ref="I212">_xlfn.IFS(H212="Undetermined", 0, qPCR_Raw!H212-qPCR_Raw!$H$242&lt;0, 0, qPCR_Raw!H212-qPCR_Raw!$H$242&gt;0, qPCR_Raw!H212-qPCR_Raw!$H$242)</f>
        <v>48731.810664876306</v>
      </c>
      <c r="J212" s="122">
        <f>qPCR_Raw!K212</f>
        <v>23.473705291748047</v>
      </c>
      <c r="K212" s="121" cm="1">
        <f t="array" ref="K212">_xlfn.IFS(J212="Undetermined", 0, qPCR_Raw!L212-qPCR_Raw!$H$242&lt;0, 0, qPCR_Raw!L212-qPCR_Raw!$H$242&gt;0, qPCR_Raw!L212-qPCR_Raw!$H$242)</f>
        <v>0</v>
      </c>
      <c r="L212" s="123" t="str" cm="1">
        <f t="array" ref="L212">_xlfn.IFS(AND(H212="Undetermined", J212="Undetermined"), "Undetermined", AND(I212=0, K212=0), "Undetermined", AND(I212=0, K212&gt;0), "Ten-Fold", AND(I212&gt;0, K212=0), "Undiluted", AND(H212&lt;&gt;"Undetermined", J212&lt;&gt;"Undetermined", I212&gt;0, K212&gt;0), 100*(-1+10^(-1/(H212-J212))))</f>
        <v>Undiluted</v>
      </c>
      <c r="M212" s="124" cm="1">
        <f t="array" ref="M212">_xlfn.IFS(L212="Undetermined", 0, L212="Undiluted", I212*$G212/$F212*1000, L212="Ten-Fold", K212*$G212/$F212*1000*10, L212&lt;0, K212*$G212/$F212*1000*10, L212&lt;120, I212*$G212/$F212*1000, L212&gt;120, K212*$G212/$F212*1000*10)</f>
        <v>5414645.629430701</v>
      </c>
      <c r="N212" s="121">
        <f t="shared" si="56"/>
        <v>259920497.12116551</v>
      </c>
      <c r="O212" s="121">
        <f t="shared" si="57"/>
        <v>359925626.8829242</v>
      </c>
      <c r="P212" s="121">
        <f t="shared" si="58"/>
        <v>254505851.4917348</v>
      </c>
      <c r="Q212" s="125" cm="1">
        <f t="array" ref="Q212">_xlfn.IFS(N212="DELETE", "DELETE", N212=0, 0, N212&gt;0,LOG10(N212))</f>
        <v>8.4148405289647066</v>
      </c>
      <c r="R212" s="126" cm="1">
        <f t="array" ref="R212">_xlfn.IFS(N212="DELETE", "DELETE", N212=0, 0, N212&gt;0, P212/N212/LN(10))</f>
        <v>0.42524728961034419</v>
      </c>
      <c r="S212" s="155">
        <f>qPCR_Raw!O212</f>
        <v>30.728702545166016</v>
      </c>
      <c r="T212" s="156" cm="1">
        <f t="array" ref="T212">_xlfn.IFS(S212="Undetermined", 0, qPCR_Raw!P212&lt;=1, 0, qPCR_Raw!P212&gt;1, qPCR_Raw!P212)</f>
        <v>101.26055145263672</v>
      </c>
      <c r="U212" s="157">
        <f>qPCR_Raw!R212</f>
        <v>34.091274261474609</v>
      </c>
      <c r="V212" s="156" cm="1">
        <f t="array" ref="V212">_xlfn.IFS(U212="Undetermined", 0, qPCR_Raw!S212&lt;=1, 0, qPCR_Raw!S212&gt;1, qPCR_Raw!S212)</f>
        <v>12.192758560180664</v>
      </c>
      <c r="W212" s="158" cm="1">
        <f t="array" ref="W212">_xlfn.IFS(AND(S212="Undetermined", U212="Undetermined"), "Undetermined", AND(T212=0, V212=0), "Undetermined", AND(T212=0, V212&gt;0), "Ten-Fold", AND(T212&gt;0, V212=0), "Undiluted", AND(S212&lt;&gt;"Undetermined", U212&lt;&gt;"Undetermined", T212&gt;0, V212&gt;0, S212&lt;&gt;U212), 100*(-1+10^(-1/(S212-U212))), AND(S212&lt;&gt;"Undetermined", U212&lt;&gt;"Undetermined", S212=U212&gt;0), -100)</f>
        <v>98.331376774694348</v>
      </c>
      <c r="X212" s="159" cm="1">
        <f t="array" ref="X212">_xlfn.IFS(W212="Undetermined", 0, W212="Undiluted", T212*$G212/$F212*1000, W212="Ten-Fold", V212*$G212/$F212*1000*10, W212&lt;0, V212*$G212/$F212*1000*10, W212&lt;120, T212*$G212/$F212*1000, W212&gt;120, V212*$G212/$F212*1000*10)</f>
        <v>11251.172383626303</v>
      </c>
      <c r="Y212" s="156">
        <f t="shared" si="59"/>
        <v>17657.209545162554</v>
      </c>
      <c r="Z212" s="156">
        <f t="shared" si="60"/>
        <v>9059.5046349106069</v>
      </c>
      <c r="AA212" s="156">
        <f t="shared" si="61"/>
        <v>6406.0371615362474</v>
      </c>
      <c r="AB212" s="160" cm="1">
        <f t="array" ref="AB212">_xlfn.IFS(Y212="DELETE", "DELETE", Y212=0, 0, Y212&gt;0,LOG10(Y212))</f>
        <v>4.2469220709916948</v>
      </c>
      <c r="AC212" s="161" cm="1">
        <f t="array" ref="AC212">_xlfn.IFS(Y212="DELETE", "DELETE", Y212=0, 0, Y212&gt;0, AA212/Y212/LN(10))</f>
        <v>0.1575620758765113</v>
      </c>
      <c r="AD212" s="120">
        <f>qPCR_Raw!U212</f>
        <v>35.3304443359375</v>
      </c>
      <c r="AE212" s="121" cm="1">
        <f t="array" ref="AE212">_xlfn.IFS(AD212="Undetermined", 0, qPCR_Raw!V212&lt;=1, 0, qPCR_Raw!V212&gt;1, qPCR_Raw!V212)</f>
        <v>0</v>
      </c>
      <c r="AF212" s="122" t="str">
        <f>qPCR_Raw!X212</f>
        <v>Undetermined</v>
      </c>
      <c r="AG212" s="121" cm="1">
        <f t="array" ref="AG212">_xlfn.IFS(AF212="Undetermined", 0, qPCR_Raw!Y212&lt;=1, 0, qPCR_Raw!Y212&gt;1, qPCR_Raw!Y212)</f>
        <v>0</v>
      </c>
      <c r="AH212" s="123" t="str" cm="1">
        <f t="array" ref="AH212">_xlfn.IFS(AND(AD212="Undetermined", AF212="Undetermined"), "Undetermined", AND(AE212=0, AG212=0), "Undetermined", AND(AE212=0, AG212&gt;0), "Ten-Fold", AND(AE212&gt;0, AG212=0), "Undiluted", AND(AD212&lt;&gt;"Undetermined", AF212&lt;&gt;"Undetermined", AE212&gt;0, AG212&gt;0, AD212&lt;&gt;AF212), 100*(-1+10^(-1/(AD212-AF212))), AND(AD212&lt;&gt;"Undetermined", AF212&lt;&gt;"Undetermined", AD212=AF212&gt;0), -100)</f>
        <v>Undetermined</v>
      </c>
      <c r="AI212" s="124" cm="1">
        <f t="array" ref="AI212">_xlfn.IFS(AH212="Undetermined", 0, AH212="Undiluted", AE212*$G212/$F212*1000, AH212="Ten-Fold", AG212*$G212/$F212*1000*10, AH212&lt;0, AG212*$G212/$F212*1000*10, AH212&lt;120, AE212*$G212/$F212*1000, AH212&gt;120, AG212*$G212/$F212*1000*10)</f>
        <v>0</v>
      </c>
      <c r="AJ212" s="121">
        <f t="shared" si="62"/>
        <v>0</v>
      </c>
      <c r="AK212" s="121">
        <f t="shared" si="63"/>
        <v>0</v>
      </c>
      <c r="AL212" s="121">
        <f t="shared" si="64"/>
        <v>0</v>
      </c>
      <c r="AM212" s="125" cm="1">
        <f t="array" ref="AM212">_xlfn.IFS(AJ212="DELETE", "DELETE", AJ212=0, 0, AJ212&gt;0,LOG10(AJ212))</f>
        <v>0</v>
      </c>
      <c r="AN212" s="126" cm="1">
        <f t="array" ref="AN212">_xlfn.IFS(AJ212="DELETE", "DELETE", AJ212=0, 0, AJ212&gt;0, AL212/AJ212/LN(10))</f>
        <v>0</v>
      </c>
      <c r="AO212" s="155">
        <f>qPCR_Raw!AA212</f>
        <v>30.480398178100586</v>
      </c>
      <c r="AP212" s="156" cm="1">
        <f t="array" ref="AP212">_xlfn.IFS(AO212="Undetermined", 0, qPCR_Raw!AB212&lt;=6, 0, qPCR_Raw!AB212&gt;6, qPCR_Raw!AB212)</f>
        <v>0</v>
      </c>
      <c r="AQ212" s="157" t="str">
        <f>qPCR_Raw!AD212</f>
        <v>Undetermined</v>
      </c>
      <c r="AR212" s="156" cm="1">
        <f t="array" ref="AR212">_xlfn.IFS(AQ212="Undetermined", 0, qPCR_Raw!AE212&lt;=6, 0, qPCR_Raw!AE212&gt;6, qPCR_Raw!AE212)</f>
        <v>0</v>
      </c>
      <c r="AS212" s="158" t="str" cm="1">
        <f t="array" ref="AS212">_xlfn.IFS(AND(AO212="Undetermined", AQ212="Undetermined"), "Undetermined", AND(AP212=0, AR212=0), "Undetermined", AND(AP212=0, AR212&gt;0), "Ten-Fold", AND(AP212&gt;0, AR212=0), "Undiluted", AND(AO212&lt;&gt;"Undetermined", AQ212&lt;&gt;"Undetermined", AP212&gt;0, AR212&gt;0, AO212&lt;&gt;AQ212), 100*(-1+10^(-1/(AO212-AQ212))), AND(AO212&lt;&gt;"Undetermined", AQ212&lt;&gt;"Undetermined", AO212=AQ212&gt;0), -100)</f>
        <v>Undetermined</v>
      </c>
      <c r="AT212" s="159" cm="1">
        <f t="array" ref="AT212">_xlfn.IFS(AS212="Undetermined", 0, AS212="Undiluted", AP212*$G212/$F212*1000, AS212="Ten-Fold", AR212*$G212/$F212*1000*10, AS212&lt;0, AR212*$G212/$F212*1000*10, AS212&lt;120, AP212*$G212/$F212*1000, AS212&gt;120, AR212*$G212/$F212*1000*10)</f>
        <v>0</v>
      </c>
      <c r="AU212" s="156">
        <f t="shared" si="65"/>
        <v>0</v>
      </c>
      <c r="AV212" s="156">
        <f t="shared" si="66"/>
        <v>0</v>
      </c>
      <c r="AW212" s="156">
        <f t="shared" si="67"/>
        <v>0</v>
      </c>
      <c r="AX212" s="160" cm="1">
        <f t="array" ref="AX212">_xlfn.IFS(AU212="DELETE", "DELETE", AU212=0, 0, AU212&gt;0,LOG10(AU212))</f>
        <v>0</v>
      </c>
      <c r="AY212" s="161" cm="1">
        <f t="array" ref="AY212">_xlfn.IFS(AU212="DELETE", "DELETE", AU212=0, 0, AU212&gt;0, AW212/AU212/LN(10))</f>
        <v>0</v>
      </c>
      <c r="AZ212" s="120" t="str">
        <f>qPCR_Raw!AG212</f>
        <v>Undetermined</v>
      </c>
      <c r="BA212" s="121" cm="1">
        <f t="array" ref="BA212">_xlfn.IFS(AZ212="Undetermined", 0, qPCR_Raw!AH212&lt;=1, 0, qPCR_Raw!AH212&gt;1, qPCR_Raw!AH212)</f>
        <v>0</v>
      </c>
      <c r="BB212" s="122" t="str">
        <f>qPCR_Raw!AJ212</f>
        <v>Undetermined</v>
      </c>
      <c r="BC212" s="121" cm="1">
        <f t="array" ref="BC212">_xlfn.IFS(BB212="Undetermined", 0, qPCR_Raw!AK212&lt;=1, 0, qPCR_Raw!AK212&gt;1, qPCR_Raw!AK212)</f>
        <v>0</v>
      </c>
      <c r="BD212" s="123" t="str" cm="1">
        <f t="array" ref="BD212">_xlfn.IFS(AND(AZ212="Undetermined", BB212="Undetermined"), "Undetermined", AND(BA212=0, BC212=0), "Undetermined", AND(BA212=0, BC212&gt;0), "Ten-Fold", AND(BA212&gt;0, BC212=0), "Undiluted", AND(AZ212&lt;&gt;"Undetermined", BB212&lt;&gt;"Undetermined", BA212&gt;0, BC212&gt;0, AZ212&lt;&gt;BB212), 100*(-1+10^(-1/(AZ212-BB212))), AND(AZ212&lt;&gt;"Undetermined", BB212&lt;&gt;"Undetermined", AZ212=BB212&gt;0), -100)</f>
        <v>Undetermined</v>
      </c>
      <c r="BE212" s="124" cm="1">
        <f t="array" ref="BE212">_xlfn.IFS(BD212="Undetermined", 0, BD212="Undiluted", BA212*$G212/$F212*1000, BD212="Ten-Fold", BC212*$G212/$F212*1000*10, BD212&lt;0, BC212*$G212/$F212*1000*10, BD212&lt;120, BA212*$G212/$F212*1000, BD212&gt;120, BC212*$G212/$F212*1000*10)</f>
        <v>0</v>
      </c>
      <c r="BF212" s="121">
        <f t="shared" si="68"/>
        <v>0</v>
      </c>
      <c r="BG212" s="121">
        <f t="shared" si="69"/>
        <v>0</v>
      </c>
      <c r="BH212" s="121">
        <f t="shared" si="70"/>
        <v>0</v>
      </c>
      <c r="BI212" s="125" cm="1">
        <f t="array" ref="BI212">_xlfn.IFS(BF212="DELETE", "DELETE", BF212=0, 0, BF212&gt;0,LOG10(BF212))</f>
        <v>0</v>
      </c>
      <c r="BJ212" s="126" cm="1">
        <f t="array" ref="BJ212">_xlfn.IFS(BF212="DELETE", "DELETE", BF212=0, 0, BF212&gt;0, BH212/BF212/LN(10))</f>
        <v>0</v>
      </c>
    </row>
    <row r="213" spans="1:62" s="114" customFormat="1" x14ac:dyDescent="0.3">
      <c r="A213" s="115" t="str">
        <f>UPPER(LEFT(SUBSTITUTE(SUBSTITUTE(qPCR_Raw!A213,"-","")," ",""),2))&amp;RIGHT(SUBSTITUTE(SUBSTITUTE(qPCR_Raw!A213,"-","")," ",""),LEN(SUBSTITUTE(SUBSTITUTE(qPCR_Raw!A213,"-","")," ",""))-2)</f>
        <v>STb7</v>
      </c>
      <c r="B213" s="116" t="str" cm="1">
        <f t="array" ref="B213">_xlfn.IFS(LEFT(A213, LEN(A213)-1)="EP", "EP", LEFT(A213, LEN(A213)-1)="STa", "SPI", LEFT(A213, LEN(A213)-1)="STb", "SPO", LEFT(A213, LEN(A213)-1)="MRT", "MRT", LEFT(A213, LEN(A213)-1)="RG", "RN", LEFT(A213, LEN(A213)-1)="RT", "RU", LEFT(A213, LEN(A213)-1)="RW", "RL", LEFT(A213, LEN(A213)-1)="RC", "RS")</f>
        <v>SPO</v>
      </c>
      <c r="C213" s="117">
        <f>qPCR_Raw!B213</f>
        <v>44426</v>
      </c>
      <c r="D213" s="117" t="str">
        <f t="shared" si="54"/>
        <v>SPO44426</v>
      </c>
      <c r="E213" s="117" t="str">
        <f t="shared" si="55"/>
        <v>SPO444267</v>
      </c>
      <c r="F213" s="118">
        <f>qPCR_Raw!C213</f>
        <v>940</v>
      </c>
      <c r="G213" s="119">
        <f>qPCR_Raw!F213</f>
        <v>100</v>
      </c>
      <c r="H213" s="120">
        <f>qPCR_Raw!G213</f>
        <v>14.803574562072754</v>
      </c>
      <c r="I213" s="121" cm="1">
        <f t="array" ref="I213">_xlfn.IFS(H213="Undetermined", 0, qPCR_Raw!H213-qPCR_Raw!$H$242&lt;0, 0, qPCR_Raw!H213-qPCR_Raw!$H$242&gt;0, qPCR_Raw!H213-qPCR_Raw!$H$242)</f>
        <v>3114225.3614461264</v>
      </c>
      <c r="J213" s="122">
        <f>qPCR_Raw!K213</f>
        <v>17.538595199584961</v>
      </c>
      <c r="K213" s="121" cm="1">
        <f t="array" ref="K213">_xlfn.IFS(J213="Undetermined", 0, qPCR_Raw!L213-qPCR_Raw!$H$242&lt;0, 0, qPCR_Raw!L213-qPCR_Raw!$H$242&gt;0, qPCR_Raw!L213-qPCR_Raw!$H$242)</f>
        <v>483560.76769612631</v>
      </c>
      <c r="L213" s="123" cm="1">
        <f t="array" ref="L213">_xlfn.IFS(AND(H213="Undetermined", J213="Undetermined"), "Undetermined", AND(I213=0, K213=0), "Undetermined", AND(I213=0, K213&gt;0), "Ten-Fold", AND(I213&gt;0, K213=0), "Undiluted", AND(H213&lt;&gt;"Undetermined", J213&lt;&gt;"Undetermined", I213&gt;0, K213&gt;0), 100*(-1+10^(-1/(H213-J213))))</f>
        <v>132.07478354327543</v>
      </c>
      <c r="M213" s="124" cm="1">
        <f t="array" ref="M213">_xlfn.IFS(L213="Undetermined", 0, L213="Undiluted", I213*$G213/$F213*1000, L213="Ten-Fold", K213*$G213/$F213*1000*10, L213&lt;0, K213*$G213/$F213*1000*10, L213&lt;120, I213*$G213/$F213*1000, L213&gt;120, K213*$G213/$F213*1000*10)</f>
        <v>514426348.61290032</v>
      </c>
      <c r="N213" s="121" t="str">
        <f t="shared" si="56"/>
        <v>DELETE</v>
      </c>
      <c r="O213" s="121" t="str">
        <f t="shared" si="57"/>
        <v>DELETE</v>
      </c>
      <c r="P213" s="121" t="str">
        <f t="shared" si="58"/>
        <v>DELETE</v>
      </c>
      <c r="Q213" s="125" t="str" cm="1">
        <f t="array" ref="Q213">_xlfn.IFS(N213="DELETE", "DELETE", N213=0, 0, N213&gt;0,LOG10(N213))</f>
        <v>DELETE</v>
      </c>
      <c r="R213" s="126" t="str" cm="1">
        <f t="array" ref="R213">_xlfn.IFS(N213="DELETE", "DELETE", N213=0, 0, N213&gt;0, P213/N213/LN(10))</f>
        <v>DELETE</v>
      </c>
      <c r="S213" s="155">
        <f>qPCR_Raw!O213</f>
        <v>29.452047348022461</v>
      </c>
      <c r="T213" s="156" cm="1">
        <f t="array" ref="T213">_xlfn.IFS(S213="Undetermined", 0, qPCR_Raw!P213&lt;=1, 0, qPCR_Raw!P213&gt;1, qPCR_Raw!P213)</f>
        <v>226.19451904296875</v>
      </c>
      <c r="U213" s="157">
        <f>qPCR_Raw!R213</f>
        <v>32.935379028320313</v>
      </c>
      <c r="V213" s="156" cm="1">
        <f t="array" ref="V213">_xlfn.IFS(U213="Undetermined", 0, qPCR_Raw!S213&lt;=1, 0, qPCR_Raw!S213&gt;1, qPCR_Raw!S213)</f>
        <v>25.242221832275391</v>
      </c>
      <c r="W213" s="158" cm="1">
        <f t="array" ref="W213">_xlfn.IFS(AND(S213="Undetermined", U213="Undetermined"), "Undetermined", AND(T213=0, V213=0), "Undetermined", AND(T213=0, V213&gt;0), "Ten-Fold", AND(T213&gt;0, V213=0), "Undiluted", AND(S213&lt;&gt;"Undetermined", U213&lt;&gt;"Undetermined", T213&gt;0, V213&gt;0, S213&lt;&gt;U213), 100*(-1+10^(-1/(S213-U213))), AND(S213&lt;&gt;"Undetermined", U213&lt;&gt;"Undetermined", S213=U213&gt;0), -100)</f>
        <v>93.678528106021091</v>
      </c>
      <c r="X213" s="159" cm="1">
        <f t="array" ref="X213">_xlfn.IFS(W213="Undetermined", 0, W213="Undiluted", T213*$G213/$F213*1000, W213="Ten-Fold", V213*$G213/$F213*1000*10, W213&lt;0, V213*$G213/$F213*1000*10, W213&lt;120, T213*$G213/$F213*1000, W213&gt;120, V213*$G213/$F213*1000*10)</f>
        <v>24063.246706698803</v>
      </c>
      <c r="Y213" s="156" t="str">
        <f t="shared" si="59"/>
        <v>DELETE</v>
      </c>
      <c r="Z213" s="156" t="str">
        <f t="shared" si="60"/>
        <v>DELETE</v>
      </c>
      <c r="AA213" s="156" t="str">
        <f t="shared" si="61"/>
        <v>DELETE</v>
      </c>
      <c r="AB213" s="160" t="str" cm="1">
        <f t="array" ref="AB213">_xlfn.IFS(Y213="DELETE", "DELETE", Y213=0, 0, Y213&gt;0,LOG10(Y213))</f>
        <v>DELETE</v>
      </c>
      <c r="AC213" s="161" t="str" cm="1">
        <f t="array" ref="AC213">_xlfn.IFS(Y213="DELETE", "DELETE", Y213=0, 0, Y213&gt;0, AA213/Y213/LN(10))</f>
        <v>DELETE</v>
      </c>
      <c r="AD213" s="120">
        <f>qPCR_Raw!U213</f>
        <v>35.206439971923828</v>
      </c>
      <c r="AE213" s="121" cm="1">
        <f t="array" ref="AE213">_xlfn.IFS(AD213="Undetermined", 0, qPCR_Raw!V213&lt;=1, 0, qPCR_Raw!V213&gt;1, qPCR_Raw!V213)</f>
        <v>0</v>
      </c>
      <c r="AF213" s="122">
        <f>qPCR_Raw!X213</f>
        <v>38.920082092285156</v>
      </c>
      <c r="AG213" s="121" cm="1">
        <f t="array" ref="AG213">_xlfn.IFS(AF213="Undetermined", 0, qPCR_Raw!Y213&lt;=1, 0, qPCR_Raw!Y213&gt;1, qPCR_Raw!Y213)</f>
        <v>0</v>
      </c>
      <c r="AH213" s="123" t="str" cm="1">
        <f t="array" ref="AH213">_xlfn.IFS(AND(AD213="Undetermined", AF213="Undetermined"), "Undetermined", AND(AE213=0, AG213=0), "Undetermined", AND(AE213=0, AG213&gt;0), "Ten-Fold", AND(AE213&gt;0, AG213=0), "Undiluted", AND(AD213&lt;&gt;"Undetermined", AF213&lt;&gt;"Undetermined", AE213&gt;0, AG213&gt;0, AD213&lt;&gt;AF213), 100*(-1+10^(-1/(AD213-AF213))), AND(AD213&lt;&gt;"Undetermined", AF213&lt;&gt;"Undetermined", AD213=AF213&gt;0), -100)</f>
        <v>Undetermined</v>
      </c>
      <c r="AI213" s="124" cm="1">
        <f t="array" ref="AI213">_xlfn.IFS(AH213="Undetermined", 0, AH213="Undiluted", AE213*$G213/$F213*1000, AH213="Ten-Fold", AG213*$G213/$F213*1000*10, AH213&lt;0, AG213*$G213/$F213*1000*10, AH213&lt;120, AE213*$G213/$F213*1000, AH213&gt;120, AG213*$G213/$F213*1000*10)</f>
        <v>0</v>
      </c>
      <c r="AJ213" s="121" t="str">
        <f t="shared" si="62"/>
        <v>DELETE</v>
      </c>
      <c r="AK213" s="121" t="str">
        <f t="shared" si="63"/>
        <v>DELETE</v>
      </c>
      <c r="AL213" s="121" t="str">
        <f t="shared" si="64"/>
        <v>DELETE</v>
      </c>
      <c r="AM213" s="125" t="str" cm="1">
        <f t="array" ref="AM213">_xlfn.IFS(AJ213="DELETE", "DELETE", AJ213=0, 0, AJ213&gt;0,LOG10(AJ213))</f>
        <v>DELETE</v>
      </c>
      <c r="AN213" s="126" t="str" cm="1">
        <f t="array" ref="AN213">_xlfn.IFS(AJ213="DELETE", "DELETE", AJ213=0, 0, AJ213&gt;0, AL213/AJ213/LN(10))</f>
        <v>DELETE</v>
      </c>
      <c r="AO213" s="155">
        <f>qPCR_Raw!AA213</f>
        <v>29.521780014038086</v>
      </c>
      <c r="AP213" s="156" cm="1">
        <f t="array" ref="AP213">_xlfn.IFS(AO213="Undetermined", 0, qPCR_Raw!AB213&lt;=6, 0, qPCR_Raw!AB213&gt;6, qPCR_Raw!AB213)</f>
        <v>0</v>
      </c>
      <c r="AQ213" s="157">
        <f>qPCR_Raw!AD213</f>
        <v>32.117591857910156</v>
      </c>
      <c r="AR213" s="156" cm="1">
        <f t="array" ref="AR213">_xlfn.IFS(AQ213="Undetermined", 0, qPCR_Raw!AE213&lt;=6, 0, qPCR_Raw!AE213&gt;6, qPCR_Raw!AE213)</f>
        <v>0</v>
      </c>
      <c r="AS213" s="158" t="str" cm="1">
        <f t="array" ref="AS213">_xlfn.IFS(AND(AO213="Undetermined", AQ213="Undetermined"), "Undetermined", AND(AP213=0, AR213=0), "Undetermined", AND(AP213=0, AR213&gt;0), "Ten-Fold", AND(AP213&gt;0, AR213=0), "Undiluted", AND(AO213&lt;&gt;"Undetermined", AQ213&lt;&gt;"Undetermined", AP213&gt;0, AR213&gt;0, AO213&lt;&gt;AQ213), 100*(-1+10^(-1/(AO213-AQ213))), AND(AO213&lt;&gt;"Undetermined", AQ213&lt;&gt;"Undetermined", AO213=AQ213&gt;0), -100)</f>
        <v>Undetermined</v>
      </c>
      <c r="AT213" s="159" cm="1">
        <f t="array" ref="AT213">_xlfn.IFS(AS213="Undetermined", 0, AS213="Undiluted", AP213*$G213/$F213*1000, AS213="Ten-Fold", AR213*$G213/$F213*1000*10, AS213&lt;0, AR213*$G213/$F213*1000*10, AS213&lt;120, AP213*$G213/$F213*1000, AS213&gt;120, AR213*$G213/$F213*1000*10)</f>
        <v>0</v>
      </c>
      <c r="AU213" s="156" t="str">
        <f t="shared" si="65"/>
        <v>DELETE</v>
      </c>
      <c r="AV213" s="156" t="str">
        <f t="shared" si="66"/>
        <v>DELETE</v>
      </c>
      <c r="AW213" s="156" t="str">
        <f t="shared" si="67"/>
        <v>DELETE</v>
      </c>
      <c r="AX213" s="160" t="str" cm="1">
        <f t="array" ref="AX213">_xlfn.IFS(AU213="DELETE", "DELETE", AU213=0, 0, AU213&gt;0,LOG10(AU213))</f>
        <v>DELETE</v>
      </c>
      <c r="AY213" s="161" t="str" cm="1">
        <f t="array" ref="AY213">_xlfn.IFS(AU213="DELETE", "DELETE", AU213=0, 0, AU213&gt;0, AW213/AU213/LN(10))</f>
        <v>DELETE</v>
      </c>
      <c r="AZ213" s="120" t="str">
        <f>qPCR_Raw!AG213</f>
        <v>Undetermined</v>
      </c>
      <c r="BA213" s="121" cm="1">
        <f t="array" ref="BA213">_xlfn.IFS(AZ213="Undetermined", 0, qPCR_Raw!AH213&lt;=1, 0, qPCR_Raw!AH213&gt;1, qPCR_Raw!AH213)</f>
        <v>0</v>
      </c>
      <c r="BB213" s="122" t="str">
        <f>qPCR_Raw!AJ213</f>
        <v>Undetermined</v>
      </c>
      <c r="BC213" s="121" cm="1">
        <f t="array" ref="BC213">_xlfn.IFS(BB213="Undetermined", 0, qPCR_Raw!AK213&lt;=1, 0, qPCR_Raw!AK213&gt;1, qPCR_Raw!AK213)</f>
        <v>0</v>
      </c>
      <c r="BD213" s="123" t="str" cm="1">
        <f t="array" ref="BD213">_xlfn.IFS(AND(AZ213="Undetermined", BB213="Undetermined"), "Undetermined", AND(BA213=0, BC213=0), "Undetermined", AND(BA213=0, BC213&gt;0), "Ten-Fold", AND(BA213&gt;0, BC213=0), "Undiluted", AND(AZ213&lt;&gt;"Undetermined", BB213&lt;&gt;"Undetermined", BA213&gt;0, BC213&gt;0, AZ213&lt;&gt;BB213), 100*(-1+10^(-1/(AZ213-BB213))), AND(AZ213&lt;&gt;"Undetermined", BB213&lt;&gt;"Undetermined", AZ213=BB213&gt;0), -100)</f>
        <v>Undetermined</v>
      </c>
      <c r="BE213" s="124" cm="1">
        <f t="array" ref="BE213">_xlfn.IFS(BD213="Undetermined", 0, BD213="Undiluted", BA213*$G213/$F213*1000, BD213="Ten-Fold", BC213*$G213/$F213*1000*10, BD213&lt;0, BC213*$G213/$F213*1000*10, BD213&lt;120, BA213*$G213/$F213*1000, BD213&gt;120, BC213*$G213/$F213*1000*10)</f>
        <v>0</v>
      </c>
      <c r="BF213" s="121" t="str">
        <f t="shared" si="68"/>
        <v>DELETE</v>
      </c>
      <c r="BG213" s="121" t="str">
        <f t="shared" si="69"/>
        <v>DELETE</v>
      </c>
      <c r="BH213" s="121" t="str">
        <f t="shared" si="70"/>
        <v>DELETE</v>
      </c>
      <c r="BI213" s="125" t="str" cm="1">
        <f t="array" ref="BI213">_xlfn.IFS(BF213="DELETE", "DELETE", BF213=0, 0, BF213&gt;0,LOG10(BF213))</f>
        <v>DELETE</v>
      </c>
      <c r="BJ213" s="126" t="str" cm="1">
        <f t="array" ref="BJ213">_xlfn.IFS(BF213="DELETE", "DELETE", BF213=0, 0, BF213&gt;0, BH213/BF213/LN(10))</f>
        <v>DELETE</v>
      </c>
    </row>
    <row r="214" spans="1:62" s="114" customFormat="1" x14ac:dyDescent="0.3">
      <c r="A214" s="115" t="str">
        <f>UPPER(LEFT(SUBSTITUTE(SUBSTITUTE(qPCR_Raw!A214,"-","")," ",""),2))&amp;RIGHT(SUBSTITUTE(SUBSTITUTE(qPCR_Raw!A214,"-","")," ",""),LEN(SUBSTITUTE(SUBSTITUTE(qPCR_Raw!A214,"-","")," ",""))-2)</f>
        <v>RC6</v>
      </c>
      <c r="B214" s="116" t="str" cm="1">
        <f t="array" ref="B214">_xlfn.IFS(LEFT(A214, LEN(A214)-1)="EP", "EP", LEFT(A214, LEN(A214)-1)="STa", "SPI", LEFT(A214, LEN(A214)-1)="STb", "SPO", LEFT(A214, LEN(A214)-1)="MRT", "MRT", LEFT(A214, LEN(A214)-1)="RG", "RN", LEFT(A214, LEN(A214)-1)="RT", "RU", LEFT(A214, LEN(A214)-1)="RW", "RL", LEFT(A214, LEN(A214)-1)="RC", "RS")</f>
        <v>RS</v>
      </c>
      <c r="C214" s="117">
        <f>qPCR_Raw!B214</f>
        <v>44426</v>
      </c>
      <c r="D214" s="117" t="str">
        <f t="shared" si="54"/>
        <v>RS44426</v>
      </c>
      <c r="E214" s="117" t="str">
        <f t="shared" si="55"/>
        <v>RS444266</v>
      </c>
      <c r="F214" s="118">
        <f>qPCR_Raw!C214</f>
        <v>930</v>
      </c>
      <c r="G214" s="119">
        <f>qPCR_Raw!F214</f>
        <v>100</v>
      </c>
      <c r="H214" s="120">
        <f>qPCR_Raw!G214</f>
        <v>10.016845703125</v>
      </c>
      <c r="I214" s="121" cm="1">
        <f t="array" ref="I214">_xlfn.IFS(H214="Undetermined", 0, qPCR_Raw!H214-qPCR_Raw!$H$242&lt;0, 0, qPCR_Raw!H214-qPCR_Raw!$H$242&gt;0, qPCR_Raw!H214-qPCR_Raw!$H$242)</f>
        <v>78309297.361446127</v>
      </c>
      <c r="J214" s="122">
        <f>qPCR_Raw!K214</f>
        <v>12.363941192626953</v>
      </c>
      <c r="K214" s="121" cm="1">
        <f t="array" ref="K214">_xlfn.IFS(J214="Undetermined", 0, qPCR_Raw!L214-qPCR_Raw!$H$242&lt;0, 0, qPCR_Raw!L214-qPCR_Raw!$H$242&gt;0, qPCR_Raw!L214-qPCR_Raw!$H$242)</f>
        <v>16132136.361446125</v>
      </c>
      <c r="L214" s="123" cm="1">
        <f t="array" ref="L214">_xlfn.IFS(AND(H214="Undetermined", J214="Undetermined"), "Undetermined", AND(I214=0, K214=0), "Undetermined", AND(I214=0, K214&gt;0), "Ten-Fold", AND(I214&gt;0, K214=0), "Undiluted", AND(H214&lt;&gt;"Undetermined", J214&lt;&gt;"Undetermined", I214&gt;0, K214&gt;0), 100*(-1+10^(-1/(H214-J214))))</f>
        <v>166.72179607300163</v>
      </c>
      <c r="M214" s="124" cm="1">
        <f t="array" ref="M214">_xlfn.IFS(L214="Undetermined", 0, L214="Undiluted", I214*$G214/$F214*1000, L214="Ten-Fold", K214*$G214/$F214*1000*10, L214&lt;0, K214*$G214/$F214*1000*10, L214&lt;120, I214*$G214/$F214*1000, L214&gt;120, K214*$G214/$F214*1000*10)</f>
        <v>17346383184.350674</v>
      </c>
      <c r="N214" s="121">
        <f t="shared" si="56"/>
        <v>36564198272.898399</v>
      </c>
      <c r="O214" s="121">
        <f t="shared" si="57"/>
        <v>27178094737.402489</v>
      </c>
      <c r="P214" s="121">
        <f t="shared" si="58"/>
        <v>19217815088.547718</v>
      </c>
      <c r="Q214" s="125" cm="1">
        <f t="array" ref="Q214">_xlfn.IFS(N214="DELETE", "DELETE", N214=0, 0, N214&gt;0,LOG10(N214))</f>
        <v>10.563056055280478</v>
      </c>
      <c r="R214" s="126" cm="1">
        <f t="array" ref="R214">_xlfn.IFS(N214="DELETE", "DELETE", N214=0, 0, N214&gt;0, P214/N214/LN(10))</f>
        <v>0.2282612894969332</v>
      </c>
      <c r="S214" s="155">
        <f>qPCR_Raw!O214</f>
        <v>26.902921676635742</v>
      </c>
      <c r="T214" s="156" cm="1">
        <f t="array" ref="T214">_xlfn.IFS(S214="Undetermined", 0, qPCR_Raw!P214&lt;=1, 0, qPCR_Raw!P214&gt;1, qPCR_Raw!P214)</f>
        <v>1125.697021484375</v>
      </c>
      <c r="U214" s="157">
        <f>qPCR_Raw!R214</f>
        <v>30.413267135620117</v>
      </c>
      <c r="V214" s="156" cm="1">
        <f t="array" ref="V214">_xlfn.IFS(U214="Undetermined", 0, qPCR_Raw!S214&lt;=1, 0, qPCR_Raw!S214&gt;1, qPCR_Raw!S214)</f>
        <v>123.50410461425781</v>
      </c>
      <c r="W214" s="158" cm="1">
        <f t="array" ref="W214">_xlfn.IFS(AND(S214="Undetermined", U214="Undetermined"), "Undetermined", AND(T214=0, V214=0), "Undetermined", AND(T214=0, V214&gt;0), "Ten-Fold", AND(T214&gt;0, V214=0), "Undiluted", AND(S214&lt;&gt;"Undetermined", U214&lt;&gt;"Undetermined", T214&gt;0, V214&gt;0, S214&lt;&gt;U214), 100*(-1+10^(-1/(S214-U214))), AND(S214&lt;&gt;"Undetermined", U214&lt;&gt;"Undetermined", S214=U214&gt;0), -100)</f>
        <v>92.695799340927778</v>
      </c>
      <c r="X214" s="159" cm="1">
        <f t="array" ref="X214">_xlfn.IFS(W214="Undetermined", 0, W214="Undiluted", T214*$G214/$F214*1000, W214="Ten-Fold", V214*$G214/$F214*1000*10, W214&lt;0, V214*$G214/$F214*1000*10, W214&lt;120, T214*$G214/$F214*1000, W214&gt;120, V214*$G214/$F214*1000*10)</f>
        <v>121042.69048219087</v>
      </c>
      <c r="Y214" s="156">
        <f t="shared" si="59"/>
        <v>100093.8214373845</v>
      </c>
      <c r="Z214" s="156">
        <f t="shared" si="60"/>
        <v>29626.174719543083</v>
      </c>
      <c r="AA214" s="156">
        <f t="shared" si="61"/>
        <v>20948.869044806375</v>
      </c>
      <c r="AB214" s="160" cm="1">
        <f t="array" ref="AB214">_xlfn.IFS(Y214="DELETE", "DELETE", Y214=0, 0, Y214&gt;0,LOG10(Y214))</f>
        <v>5.0004072703018387</v>
      </c>
      <c r="AC214" s="161" cm="1">
        <f t="array" ref="AC214">_xlfn.IFS(Y214="DELETE", "DELETE", Y214=0, 0, Y214&gt;0, AA214/Y214/LN(10))</f>
        <v>9.0894503752808151E-2</v>
      </c>
      <c r="AD214" s="120">
        <f>qPCR_Raw!U214</f>
        <v>23.243782043457031</v>
      </c>
      <c r="AE214" s="121" cm="1">
        <f t="array" ref="AE214">_xlfn.IFS(AD214="Undetermined", 0, qPCR_Raw!V214&lt;=1, 0, qPCR_Raw!V214&gt;1, qPCR_Raw!V214)</f>
        <v>1436.2542724609375</v>
      </c>
      <c r="AF214" s="122">
        <f>qPCR_Raw!X214</f>
        <v>26.234777450561523</v>
      </c>
      <c r="AG214" s="121" cm="1">
        <f t="array" ref="AG214">_xlfn.IFS(AF214="Undetermined", 0, qPCR_Raw!Y214&lt;=1, 0, qPCR_Raw!Y214&gt;1, qPCR_Raw!Y214)</f>
        <v>193.07640075683594</v>
      </c>
      <c r="AH214" s="123" cm="1">
        <f t="array" ref="AH214">_xlfn.IFS(AND(AD214="Undetermined", AF214="Undetermined"), "Undetermined", AND(AE214=0, AG214=0), "Undetermined", AND(AE214=0, AG214&gt;0), "Ten-Fold", AND(AE214&gt;0, AG214=0), "Undiluted", AND(AD214&lt;&gt;"Undetermined", AF214&lt;&gt;"Undetermined", AE214&gt;0, AG214&gt;0, AD214&lt;&gt;AF214), 100*(-1+10^(-1/(AD214-AF214))), AND(AD214&lt;&gt;"Undetermined", AF214&lt;&gt;"Undetermined", AD214=AF214&gt;0), -100)</f>
        <v>115.94186892075342</v>
      </c>
      <c r="AI214" s="124" cm="1">
        <f t="array" ref="AI214">_xlfn.IFS(AH214="Undetermined", 0, AH214="Undiluted", AE214*$G214/$F214*1000, AH214="Ten-Fold", AG214*$G214/$F214*1000*10, AH214&lt;0, AG214*$G214/$F214*1000*10, AH214&lt;120, AE214*$G214/$F214*1000, AH214&gt;120, AG214*$G214/$F214*1000*10)</f>
        <v>154435.94327536962</v>
      </c>
      <c r="AJ214" s="121">
        <f t="shared" si="62"/>
        <v>99557.523944813714</v>
      </c>
      <c r="AK214" s="121">
        <f t="shared" si="63"/>
        <v>77609.804898870003</v>
      </c>
      <c r="AL214" s="121">
        <f t="shared" si="64"/>
        <v>54878.419330555909</v>
      </c>
      <c r="AM214" s="125" cm="1">
        <f t="array" ref="AM214">_xlfn.IFS(AJ214="DELETE", "DELETE", AJ214=0, 0, AJ214&gt;0,LOG10(AJ214))</f>
        <v>4.9980740869072635</v>
      </c>
      <c r="AN214" s="126" cm="1">
        <f t="array" ref="AN214">_xlfn.IFS(AJ214="DELETE", "DELETE", AJ214=0, 0, AJ214&gt;0, AL214/AJ214/LN(10))</f>
        <v>0.23939320451605847</v>
      </c>
      <c r="AO214" s="155">
        <f>qPCR_Raw!AA214</f>
        <v>29.352039337158203</v>
      </c>
      <c r="AP214" s="156" cm="1">
        <f t="array" ref="AP214">_xlfn.IFS(AO214="Undetermined", 0, qPCR_Raw!AB214&lt;=6, 0, qPCR_Raw!AB214&gt;6, qPCR_Raw!AB214)</f>
        <v>0</v>
      </c>
      <c r="AQ214" s="157" t="str">
        <f>qPCR_Raw!AD214</f>
        <v>Undetermined</v>
      </c>
      <c r="AR214" s="156" cm="1">
        <f t="array" ref="AR214">_xlfn.IFS(AQ214="Undetermined", 0, qPCR_Raw!AE214&lt;=6, 0, qPCR_Raw!AE214&gt;6, qPCR_Raw!AE214)</f>
        <v>0</v>
      </c>
      <c r="AS214" s="158" t="str" cm="1">
        <f t="array" ref="AS214">_xlfn.IFS(AND(AO214="Undetermined", AQ214="Undetermined"), "Undetermined", AND(AP214=0, AR214=0), "Undetermined", AND(AP214=0, AR214&gt;0), "Ten-Fold", AND(AP214&gt;0, AR214=0), "Undiluted", AND(AO214&lt;&gt;"Undetermined", AQ214&lt;&gt;"Undetermined", AP214&gt;0, AR214&gt;0, AO214&lt;&gt;AQ214), 100*(-1+10^(-1/(AO214-AQ214))), AND(AO214&lt;&gt;"Undetermined", AQ214&lt;&gt;"Undetermined", AO214=AQ214&gt;0), -100)</f>
        <v>Undetermined</v>
      </c>
      <c r="AT214" s="159" cm="1">
        <f t="array" ref="AT214">_xlfn.IFS(AS214="Undetermined", 0, AS214="Undiluted", AP214*$G214/$F214*1000, AS214="Ten-Fold", AR214*$G214/$F214*1000*10, AS214&lt;0, AR214*$G214/$F214*1000*10, AS214&lt;120, AP214*$G214/$F214*1000, AS214&gt;120, AR214*$G214/$F214*1000*10)</f>
        <v>0</v>
      </c>
      <c r="AU214" s="156">
        <f t="shared" si="65"/>
        <v>0</v>
      </c>
      <c r="AV214" s="156">
        <f t="shared" si="66"/>
        <v>0</v>
      </c>
      <c r="AW214" s="156">
        <f t="shared" si="67"/>
        <v>0</v>
      </c>
      <c r="AX214" s="160" cm="1">
        <f t="array" ref="AX214">_xlfn.IFS(AU214="DELETE", "DELETE", AU214=0, 0, AU214&gt;0,LOG10(AU214))</f>
        <v>0</v>
      </c>
      <c r="AY214" s="161" cm="1">
        <f t="array" ref="AY214">_xlfn.IFS(AU214="DELETE", "DELETE", AU214=0, 0, AU214&gt;0, AW214/AU214/LN(10))</f>
        <v>0</v>
      </c>
      <c r="AZ214" s="120">
        <f>qPCR_Raw!AG214</f>
        <v>28.004791259765625</v>
      </c>
      <c r="BA214" s="121" cm="1">
        <f t="array" ref="BA214">_xlfn.IFS(AZ214="Undetermined", 0, qPCR_Raw!AH214&lt;=1, 0, qPCR_Raw!AH214&gt;1, qPCR_Raw!AH214)</f>
        <v>278.33920288085938</v>
      </c>
      <c r="BB214" s="122">
        <f>qPCR_Raw!AJ214</f>
        <v>27.78333854675293</v>
      </c>
      <c r="BC214" s="121" cm="1">
        <f t="array" ref="BC214">_xlfn.IFS(BB214="Undetermined", 0, qPCR_Raw!AK214&lt;=1, 0, qPCR_Raw!AK214&gt;1, qPCR_Raw!AK214)</f>
        <v>317.04910278320313</v>
      </c>
      <c r="BD214" s="123" cm="1">
        <f t="array" ref="BD214">_xlfn.IFS(AND(AZ214="Undetermined", BB214="Undetermined"), "Undetermined", AND(BA214=0, BC214=0), "Undetermined", AND(BA214=0, BC214&gt;0), "Ten-Fold", AND(BA214&gt;0, BC214=0), "Undiluted", AND(AZ214&lt;&gt;"Undetermined", BB214&lt;&gt;"Undetermined", BA214&gt;0, BC214&gt;0, AZ214&lt;&gt;BB214), 100*(-1+10^(-1/(AZ214-BB214))), AND(AZ214&lt;&gt;"Undetermined", BB214&lt;&gt;"Undetermined", AZ214=BB214&gt;0), -100)</f>
        <v>-99.996949554347864</v>
      </c>
      <c r="BE214" s="124" cm="1">
        <f t="array" ref="BE214">_xlfn.IFS(BD214="Undetermined", 0, BD214="Undiluted", BA214*$G214/$F214*1000, BD214="Ten-Fold", BC214*$G214/$F214*1000*10, BD214&lt;0, BC214*$G214/$F214*1000*10, BD214&lt;120, BA214*$G214/$F214*1000, BD214&gt;120, BC214*$G214/$F214*1000*10)</f>
        <v>340913.01374537975</v>
      </c>
      <c r="BF214" s="121">
        <f t="shared" si="68"/>
        <v>196949.74913648382</v>
      </c>
      <c r="BG214" s="121">
        <f t="shared" si="69"/>
        <v>203594.80129340725</v>
      </c>
      <c r="BH214" s="121">
        <f t="shared" si="70"/>
        <v>143963.26460889593</v>
      </c>
      <c r="BI214" s="125" cm="1">
        <f t="array" ref="BI214">_xlfn.IFS(BF214="DELETE", "DELETE", BF214=0, 0, BF214&gt;0,LOG10(BF214))</f>
        <v>5.2943554319656219</v>
      </c>
      <c r="BJ214" s="126" cm="1">
        <f t="array" ref="BJ214">_xlfn.IFS(BF214="DELETE", "DELETE", BF214=0, 0, BF214&gt;0, BH214/BF214/LN(10))</f>
        <v>0.31745382611832568</v>
      </c>
    </row>
    <row r="215" spans="1:62" s="114" customFormat="1" x14ac:dyDescent="0.3">
      <c r="A215" s="115" t="str">
        <f>UPPER(LEFT(SUBSTITUTE(SUBSTITUTE(qPCR_Raw!A215,"-","")," ",""),2))&amp;RIGHT(SUBSTITUTE(SUBSTITUTE(qPCR_Raw!A215,"-","")," ",""),LEN(SUBSTITUTE(SUBSTITUTE(qPCR_Raw!A215,"-","")," ",""))-2)</f>
        <v>RC7</v>
      </c>
      <c r="B215" s="116" t="str" cm="1">
        <f t="array" ref="B215">_xlfn.IFS(LEFT(A215, LEN(A215)-1)="EP", "EP", LEFT(A215, LEN(A215)-1)="STa", "SPI", LEFT(A215, LEN(A215)-1)="STb", "SPO", LEFT(A215, LEN(A215)-1)="MRT", "MRT", LEFT(A215, LEN(A215)-1)="RG", "RN", LEFT(A215, LEN(A215)-1)="RT", "RU", LEFT(A215, LEN(A215)-1)="RW", "RL", LEFT(A215, LEN(A215)-1)="RC", "RS")</f>
        <v>RS</v>
      </c>
      <c r="C215" s="117">
        <f>qPCR_Raw!B215</f>
        <v>44426</v>
      </c>
      <c r="D215" s="117" t="str">
        <f t="shared" si="54"/>
        <v>RS44426</v>
      </c>
      <c r="E215" s="117" t="str">
        <f t="shared" si="55"/>
        <v>RS444267</v>
      </c>
      <c r="F215" s="118">
        <f>qPCR_Raw!C215</f>
        <v>1000</v>
      </c>
      <c r="G215" s="119">
        <f>qPCR_Raw!F215</f>
        <v>100</v>
      </c>
      <c r="H215" s="120">
        <f>qPCR_Raw!G215</f>
        <v>8.2431669235229492</v>
      </c>
      <c r="I215" s="121" cm="1">
        <f t="array" ref="I215">_xlfn.IFS(H215="Undetermined", 0, qPCR_Raw!H215-qPCR_Raw!$H$242&lt;0, 0, qPCR_Raw!H215-qPCR_Raw!$H$242&gt;0, qPCR_Raw!H215-qPCR_Raw!$H$242)</f>
        <v>258314985.36144611</v>
      </c>
      <c r="J215" s="122">
        <f>qPCR_Raw!K215</f>
        <v>10.520901679992676</v>
      </c>
      <c r="K215" s="121" cm="1">
        <f t="array" ref="K215">_xlfn.IFS(J215="Undetermined", 0, qPCR_Raw!L215-qPCR_Raw!$H$242&lt;0, 0, qPCR_Raw!L215-qPCR_Raw!$H$242&gt;0, qPCR_Raw!L215-qPCR_Raw!$H$242)</f>
        <v>55782013.361446127</v>
      </c>
      <c r="L215" s="123" cm="1">
        <f t="array" ref="L215">_xlfn.IFS(AND(H215="Undetermined", J215="Undetermined"), "Undetermined", AND(I215=0, K215=0), "Undetermined", AND(I215=0, K215&gt;0), "Ten-Fold", AND(I215&gt;0, K215=0), "Undiluted", AND(H215&lt;&gt;"Undetermined", J215&lt;&gt;"Undetermined", I215&gt;0, K215&gt;0), 100*(-1+10^(-1/(H215-J215))))</f>
        <v>174.81009511277477</v>
      </c>
      <c r="M215" s="124" cm="1">
        <f t="array" ref="M215">_xlfn.IFS(L215="Undetermined", 0, L215="Undiluted", I215*$G215/$F215*1000, L215="Ten-Fold", K215*$G215/$F215*1000*10, L215&lt;0, K215*$G215/$F215*1000*10, L215&lt;120, I215*$G215/$F215*1000, L215&gt;120, K215*$G215/$F215*1000*10)</f>
        <v>55782013361.446121</v>
      </c>
      <c r="N215" s="121" t="str">
        <f t="shared" si="56"/>
        <v>DELETE</v>
      </c>
      <c r="O215" s="121" t="str">
        <f t="shared" si="57"/>
        <v>DELETE</v>
      </c>
      <c r="P215" s="121" t="str">
        <f t="shared" si="58"/>
        <v>DELETE</v>
      </c>
      <c r="Q215" s="125" t="str" cm="1">
        <f t="array" ref="Q215">_xlfn.IFS(N215="DELETE", "DELETE", N215=0, 0, N215&gt;0,LOG10(N215))</f>
        <v>DELETE</v>
      </c>
      <c r="R215" s="126" t="str" cm="1">
        <f t="array" ref="R215">_xlfn.IFS(N215="DELETE", "DELETE", N215=0, 0, N215&gt;0, P215/N215/LN(10))</f>
        <v>DELETE</v>
      </c>
      <c r="S215" s="155">
        <f>qPCR_Raw!O215</f>
        <v>27.462528228759766</v>
      </c>
      <c r="T215" s="156" cm="1">
        <f t="array" ref="T215">_xlfn.IFS(S215="Undetermined", 0, qPCR_Raw!P215&lt;=1, 0, qPCR_Raw!P215&gt;1, qPCR_Raw!P215)</f>
        <v>791.44952392578125</v>
      </c>
      <c r="U215" s="157">
        <f>qPCR_Raw!R215</f>
        <v>31.506978988647461</v>
      </c>
      <c r="V215" s="156" cm="1">
        <f t="array" ref="V215">_xlfn.IFS(U215="Undetermined", 0, qPCR_Raw!S215&lt;=1, 0, qPCR_Raw!S215&gt;1, qPCR_Raw!S215)</f>
        <v>62.037876129150391</v>
      </c>
      <c r="W215" s="158" cm="1">
        <f t="array" ref="W215">_xlfn.IFS(AND(S215="Undetermined", U215="Undetermined"), "Undetermined", AND(T215=0, V215=0), "Undetermined", AND(T215=0, V215&gt;0), "Ten-Fold", AND(T215&gt;0, V215=0), "Undiluted", AND(S215&lt;&gt;"Undetermined", U215&lt;&gt;"Undetermined", T215&gt;0, V215&gt;0, S215&lt;&gt;U215), 100*(-1+10^(-1/(S215-U215))), AND(S215&lt;&gt;"Undetermined", U215&lt;&gt;"Undetermined", S215=U215&gt;0), -100)</f>
        <v>76.706433355898014</v>
      </c>
      <c r="X215" s="159" cm="1">
        <f t="array" ref="X215">_xlfn.IFS(W215="Undetermined", 0, W215="Undiluted", T215*$G215/$F215*1000, W215="Ten-Fold", V215*$G215/$F215*1000*10, W215&lt;0, V215*$G215/$F215*1000*10, W215&lt;120, T215*$G215/$F215*1000, W215&gt;120, V215*$G215/$F215*1000*10)</f>
        <v>79144.952392578125</v>
      </c>
      <c r="Y215" s="156" t="str">
        <f t="shared" si="59"/>
        <v>DELETE</v>
      </c>
      <c r="Z215" s="156" t="str">
        <f t="shared" si="60"/>
        <v>DELETE</v>
      </c>
      <c r="AA215" s="156" t="str">
        <f t="shared" si="61"/>
        <v>DELETE</v>
      </c>
      <c r="AB215" s="160" t="str" cm="1">
        <f t="array" ref="AB215">_xlfn.IFS(Y215="DELETE", "DELETE", Y215=0, 0, Y215&gt;0,LOG10(Y215))</f>
        <v>DELETE</v>
      </c>
      <c r="AC215" s="161" t="str" cm="1">
        <f t="array" ref="AC215">_xlfn.IFS(Y215="DELETE", "DELETE", Y215=0, 0, Y215&gt;0, AA215/Y215/LN(10))</f>
        <v>DELETE</v>
      </c>
      <c r="AD215" s="120">
        <f>qPCR_Raw!U215</f>
        <v>24.984241485595703</v>
      </c>
      <c r="AE215" s="121" cm="1">
        <f t="array" ref="AE215">_xlfn.IFS(AD215="Undetermined", 0, qPCR_Raw!V215&lt;=1, 0, qPCR_Raw!V215&gt;1, qPCR_Raw!V215)</f>
        <v>446.79104614257813</v>
      </c>
      <c r="AF215" s="122">
        <f>qPCR_Raw!X215</f>
        <v>29.114444732666016</v>
      </c>
      <c r="AG215" s="121" cm="1">
        <f t="array" ref="AG215">_xlfn.IFS(AF215="Undetermined", 0, qPCR_Raw!Y215&lt;=1, 0, qPCR_Raw!Y215&gt;1, qPCR_Raw!Y215)</f>
        <v>27.968250274658203</v>
      </c>
      <c r="AH215" s="123" cm="1">
        <f t="array" ref="AH215">_xlfn.IFS(AND(AD215="Undetermined", AF215="Undetermined"), "Undetermined", AND(AE215=0, AG215=0), "Undetermined", AND(AE215=0, AG215&gt;0), "Ten-Fold", AND(AE215&gt;0, AG215=0), "Undiluted", AND(AD215&lt;&gt;"Undetermined", AF215&lt;&gt;"Undetermined", AE215&gt;0, AG215&gt;0, AD215&lt;&gt;AF215), 100*(-1+10^(-1/(AD215-AF215))), AND(AD215&lt;&gt;"Undetermined", AF215&lt;&gt;"Undetermined", AD215=AF215&gt;0), -100)</f>
        <v>74.629992504895</v>
      </c>
      <c r="AI215" s="124" cm="1">
        <f t="array" ref="AI215">_xlfn.IFS(AH215="Undetermined", 0, AH215="Undiluted", AE215*$G215/$F215*1000, AH215="Ten-Fold", AG215*$G215/$F215*1000*10, AH215&lt;0, AG215*$G215/$F215*1000*10, AH215&lt;120, AE215*$G215/$F215*1000, AH215&gt;120, AG215*$G215/$F215*1000*10)</f>
        <v>44679.104614257813</v>
      </c>
      <c r="AJ215" s="121" t="str">
        <f t="shared" si="62"/>
        <v>DELETE</v>
      </c>
      <c r="AK215" s="121" t="str">
        <f t="shared" si="63"/>
        <v>DELETE</v>
      </c>
      <c r="AL215" s="121" t="str">
        <f t="shared" si="64"/>
        <v>DELETE</v>
      </c>
      <c r="AM215" s="125" t="str" cm="1">
        <f t="array" ref="AM215">_xlfn.IFS(AJ215="DELETE", "DELETE", AJ215=0, 0, AJ215&gt;0,LOG10(AJ215))</f>
        <v>DELETE</v>
      </c>
      <c r="AN215" s="126" t="str" cm="1">
        <f t="array" ref="AN215">_xlfn.IFS(AJ215="DELETE", "DELETE", AJ215=0, 0, AJ215&gt;0, AL215/AJ215/LN(10))</f>
        <v>DELETE</v>
      </c>
      <c r="AO215" s="155">
        <f>qPCR_Raw!AA215</f>
        <v>29.524541854858398</v>
      </c>
      <c r="AP215" s="156" cm="1">
        <f t="array" ref="AP215">_xlfn.IFS(AO215="Undetermined", 0, qPCR_Raw!AB215&lt;=6, 0, qPCR_Raw!AB215&gt;6, qPCR_Raw!AB215)</f>
        <v>0</v>
      </c>
      <c r="AQ215" s="157">
        <f>qPCR_Raw!AD215</f>
        <v>31.255552291870117</v>
      </c>
      <c r="AR215" s="156" cm="1">
        <f t="array" ref="AR215">_xlfn.IFS(AQ215="Undetermined", 0, qPCR_Raw!AE215&lt;=6, 0, qPCR_Raw!AE215&gt;6, qPCR_Raw!AE215)</f>
        <v>0</v>
      </c>
      <c r="AS215" s="158" t="str" cm="1">
        <f t="array" ref="AS215">_xlfn.IFS(AND(AO215="Undetermined", AQ215="Undetermined"), "Undetermined", AND(AP215=0, AR215=0), "Undetermined", AND(AP215=0, AR215&gt;0), "Ten-Fold", AND(AP215&gt;0, AR215=0), "Undiluted", AND(AO215&lt;&gt;"Undetermined", AQ215&lt;&gt;"Undetermined", AP215&gt;0, AR215&gt;0, AO215&lt;&gt;AQ215), 100*(-1+10^(-1/(AO215-AQ215))), AND(AO215&lt;&gt;"Undetermined", AQ215&lt;&gt;"Undetermined", AO215=AQ215&gt;0), -100)</f>
        <v>Undetermined</v>
      </c>
      <c r="AT215" s="159" cm="1">
        <f t="array" ref="AT215">_xlfn.IFS(AS215="Undetermined", 0, AS215="Undiluted", AP215*$G215/$F215*1000, AS215="Ten-Fold", AR215*$G215/$F215*1000*10, AS215&lt;0, AR215*$G215/$F215*1000*10, AS215&lt;120, AP215*$G215/$F215*1000, AS215&gt;120, AR215*$G215/$F215*1000*10)</f>
        <v>0</v>
      </c>
      <c r="AU215" s="156" t="str">
        <f t="shared" si="65"/>
        <v>DELETE</v>
      </c>
      <c r="AV215" s="156" t="str">
        <f t="shared" si="66"/>
        <v>DELETE</v>
      </c>
      <c r="AW215" s="156" t="str">
        <f t="shared" si="67"/>
        <v>DELETE</v>
      </c>
      <c r="AX215" s="160" t="str" cm="1">
        <f t="array" ref="AX215">_xlfn.IFS(AU215="DELETE", "DELETE", AU215=0, 0, AU215&gt;0,LOG10(AU215))</f>
        <v>DELETE</v>
      </c>
      <c r="AY215" s="161" t="str" cm="1">
        <f t="array" ref="AY215">_xlfn.IFS(AU215="DELETE", "DELETE", AU215=0, 0, AU215&gt;0, AW215/AU215/LN(10))</f>
        <v>DELETE</v>
      </c>
      <c r="AZ215" s="120">
        <f>qPCR_Raw!AG215</f>
        <v>32.401248931884766</v>
      </c>
      <c r="BA215" s="121" cm="1">
        <f t="array" ref="BA215">_xlfn.IFS(AZ215="Undetermined", 0, qPCR_Raw!AH215&lt;=1, 0, qPCR_Raw!AH215&gt;1, qPCR_Raw!AH215)</f>
        <v>20.982379913330078</v>
      </c>
      <c r="BB215" s="122">
        <f>qPCR_Raw!AJ215</f>
        <v>30.825841903686523</v>
      </c>
      <c r="BC215" s="121" cm="1">
        <f t="array" ref="BC215">_xlfn.IFS(BB215="Undetermined", 0, qPCR_Raw!AK215&lt;=1, 0, qPCR_Raw!AK215&gt;1, qPCR_Raw!AK215)</f>
        <v>52.986484527587891</v>
      </c>
      <c r="BD215" s="123" cm="1">
        <f t="array" ref="BD215">_xlfn.IFS(AND(AZ215="Undetermined", BB215="Undetermined"), "Undetermined", AND(BA215=0, BC215=0), "Undetermined", AND(BA215=0, BC215&gt;0), "Ten-Fold", AND(BA215&gt;0, BC215=0), "Undiluted", AND(AZ215&lt;&gt;"Undetermined", BB215&lt;&gt;"Undetermined", BA215&gt;0, BC215&gt;0, AZ215&lt;&gt;BB215), 100*(-1+10^(-1/(AZ215-BB215))), AND(AZ215&lt;&gt;"Undetermined", BB215&lt;&gt;"Undetermined", AZ215=BB215&gt;0), -100)</f>
        <v>-76.813061740660245</v>
      </c>
      <c r="BE215" s="124" cm="1">
        <f t="array" ref="BE215">_xlfn.IFS(BD215="Undetermined", 0, BD215="Undiluted", BA215*$G215/$F215*1000, BD215="Ten-Fold", BC215*$G215/$F215*1000*10, BD215&lt;0, BC215*$G215/$F215*1000*10, BD215&lt;120, BA215*$G215/$F215*1000, BD215&gt;120, BC215*$G215/$F215*1000*10)</f>
        <v>52986.484527587891</v>
      </c>
      <c r="BF215" s="121" t="str">
        <f t="shared" si="68"/>
        <v>DELETE</v>
      </c>
      <c r="BG215" s="121" t="str">
        <f t="shared" si="69"/>
        <v>DELETE</v>
      </c>
      <c r="BH215" s="121" t="str">
        <f t="shared" si="70"/>
        <v>DELETE</v>
      </c>
      <c r="BI215" s="125" t="str" cm="1">
        <f t="array" ref="BI215">_xlfn.IFS(BF215="DELETE", "DELETE", BF215=0, 0, BF215&gt;0,LOG10(BF215))</f>
        <v>DELETE</v>
      </c>
      <c r="BJ215" s="126" t="str" cm="1">
        <f t="array" ref="BJ215">_xlfn.IFS(BF215="DELETE", "DELETE", BF215=0, 0, BF215&gt;0, BH215/BF215/LN(10))</f>
        <v>DELETE</v>
      </c>
    </row>
    <row r="216" spans="1:62" s="114" customFormat="1" x14ac:dyDescent="0.3">
      <c r="A216" s="115" t="str">
        <f>UPPER(LEFT(SUBSTITUTE(SUBSTITUTE(qPCR_Raw!A216,"-","")," ",""),2))&amp;RIGHT(SUBSTITUTE(SUBSTITUTE(qPCR_Raw!A216,"-","")," ",""),LEN(SUBSTITUTE(SUBSTITUTE(qPCR_Raw!A216,"-","")," ",""))-2)</f>
        <v>RG6</v>
      </c>
      <c r="B216" s="116" t="str" cm="1">
        <f t="array" ref="B216">_xlfn.IFS(LEFT(A216, LEN(A216)-1)="EP", "EP", LEFT(A216, LEN(A216)-1)="STa", "SPI", LEFT(A216, LEN(A216)-1)="STb", "SPO", LEFT(A216, LEN(A216)-1)="MRT", "MRT", LEFT(A216, LEN(A216)-1)="RG", "RN", LEFT(A216, LEN(A216)-1)="RT", "RU", LEFT(A216, LEN(A216)-1)="RW", "RL", LEFT(A216, LEN(A216)-1)="RC", "RS")</f>
        <v>RN</v>
      </c>
      <c r="C216" s="117">
        <f>qPCR_Raw!B216</f>
        <v>44426</v>
      </c>
      <c r="D216" s="117" t="str">
        <f t="shared" si="54"/>
        <v>RN44426</v>
      </c>
      <c r="E216" s="117" t="str">
        <f t="shared" si="55"/>
        <v>RN444266</v>
      </c>
      <c r="F216" s="118">
        <f>qPCR_Raw!C216</f>
        <v>990</v>
      </c>
      <c r="G216" s="119">
        <f>qPCR_Raw!F216</f>
        <v>100</v>
      </c>
      <c r="H216" s="120">
        <f>qPCR_Raw!G216</f>
        <v>13.721440315246582</v>
      </c>
      <c r="I216" s="121" cm="1">
        <f t="array" ref="I216">_xlfn.IFS(H216="Undetermined", 0, qPCR_Raw!H216-qPCR_Raw!$H$242&lt;0, 0, qPCR_Raw!H216-qPCR_Raw!$H$242&gt;0, qPCR_Raw!H216-qPCR_Raw!$H$242)</f>
        <v>6463912.3614461264</v>
      </c>
      <c r="J216" s="122">
        <f>qPCR_Raw!K216</f>
        <v>16.771669387817383</v>
      </c>
      <c r="K216" s="121" cm="1">
        <f t="array" ref="K216">_xlfn.IFS(J216="Undetermined", 0, qPCR_Raw!L216-qPCR_Raw!$H$242&lt;0, 0, qPCR_Raw!L216-qPCR_Raw!$H$242&gt;0, qPCR_Raw!L216-qPCR_Raw!$H$242)</f>
        <v>818896.79894612625</v>
      </c>
      <c r="L216" s="123" cm="1">
        <f t="array" ref="L216">_xlfn.IFS(AND(H216="Undetermined", J216="Undetermined"), "Undetermined", AND(I216=0, K216=0), "Undetermined", AND(I216=0, K216&gt;0), "Ten-Fold", AND(I216&gt;0, K216=0), "Undiluted", AND(H216&lt;&gt;"Undetermined", J216&lt;&gt;"Undetermined", I216&gt;0, K216&gt;0), 100*(-1+10^(-1/(H216-J216))))</f>
        <v>112.73758727899019</v>
      </c>
      <c r="M216" s="124" cm="1">
        <f t="array" ref="M216">_xlfn.IFS(L216="Undetermined", 0, L216="Undiluted", I216*$G216/$F216*1000, L216="Ten-Fold", K216*$G216/$F216*1000*10, L216&lt;0, K216*$G216/$F216*1000*10, L216&lt;120, I216*$G216/$F216*1000, L216&gt;120, K216*$G216/$F216*1000*10)</f>
        <v>652920440.5501138</v>
      </c>
      <c r="N216" s="121">
        <f t="shared" si="56"/>
        <v>447831809.7998417</v>
      </c>
      <c r="O216" s="121">
        <f t="shared" si="57"/>
        <v>290039123.09556252</v>
      </c>
      <c r="P216" s="121">
        <f t="shared" si="58"/>
        <v>205088630.75027204</v>
      </c>
      <c r="Q216" s="125" cm="1">
        <f t="array" ref="Q216">_xlfn.IFS(N216="DELETE", "DELETE", N216=0, 0, N216&gt;0,LOG10(N216))</f>
        <v>8.6511149385728281</v>
      </c>
      <c r="R216" s="126" cm="1">
        <f t="array" ref="R216">_xlfn.IFS(N216="DELETE", "DELETE", N216=0, 0, N216&gt;0, P216/N216/LN(10))</f>
        <v>0.19888908890984319</v>
      </c>
      <c r="S216" s="155">
        <f>qPCR_Raw!O216</f>
        <v>30.417287826538086</v>
      </c>
      <c r="T216" s="156" cm="1">
        <f t="array" ref="T216">_xlfn.IFS(S216="Undetermined", 0, qPCR_Raw!P216&lt;=1, 0, qPCR_Raw!P216&gt;1, qPCR_Raw!P216)</f>
        <v>123.19188690185547</v>
      </c>
      <c r="U216" s="157">
        <f>qPCR_Raw!R216</f>
        <v>33.353214263916016</v>
      </c>
      <c r="V216" s="156" cm="1">
        <f t="array" ref="V216">_xlfn.IFS(U216="Undetermined", 0, qPCR_Raw!S216&lt;=1, 0, qPCR_Raw!S216&gt;1, qPCR_Raw!S216)</f>
        <v>19.403945922851563</v>
      </c>
      <c r="W216" s="158" cm="1">
        <f t="array" ref="W216">_xlfn.IFS(AND(S216="Undetermined", U216="Undetermined"), "Undetermined", AND(T216=0, V216=0), "Undetermined", AND(T216=0, V216&gt;0), "Ten-Fold", AND(T216&gt;0, V216=0), "Undiluted", AND(S216&lt;&gt;"Undetermined", U216&lt;&gt;"Undetermined", T216&gt;0, V216&gt;0, S216&lt;&gt;U216), 100*(-1+10^(-1/(S216-U216))), AND(S216&lt;&gt;"Undetermined", U216&lt;&gt;"Undetermined", S216=U216&gt;0), -100)</f>
        <v>119.08265183572166</v>
      </c>
      <c r="X216" s="159" cm="1">
        <f t="array" ref="X216">_xlfn.IFS(W216="Undetermined", 0, W216="Undiluted", T216*$G216/$F216*1000, W216="Ten-Fold", V216*$G216/$F216*1000*10, W216&lt;0, V216*$G216/$F216*1000*10, W216&lt;120, T216*$G216/$F216*1000, W216&gt;120, V216*$G216/$F216*1000*10)</f>
        <v>12443.624939581359</v>
      </c>
      <c r="Y216" s="156">
        <f t="shared" si="59"/>
        <v>9034.257368607954</v>
      </c>
      <c r="Z216" s="156">
        <f t="shared" si="60"/>
        <v>4821.5738579856043</v>
      </c>
      <c r="AA216" s="156">
        <f t="shared" si="61"/>
        <v>3409.3675709734043</v>
      </c>
      <c r="AB216" s="160" cm="1">
        <f t="array" ref="AB216">_xlfn.IFS(Y216="DELETE", "DELETE", Y216=0, 0, Y216&gt;0,LOG10(Y216))</f>
        <v>3.9558924586156925</v>
      </c>
      <c r="AC216" s="161" cm="1">
        <f t="array" ref="AC216">_xlfn.IFS(Y216="DELETE", "DELETE", Y216=0, 0, Y216&gt;0, AA216/Y216/LN(10))</f>
        <v>0.16389499019572343</v>
      </c>
      <c r="AD216" s="120">
        <f>qPCR_Raw!U216</f>
        <v>26.919065475463867</v>
      </c>
      <c r="AE216" s="121" cm="1">
        <f t="array" ref="AE216">_xlfn.IFS(AD216="Undetermined", 0, qPCR_Raw!V216&lt;=1, 0, qPCR_Raw!V216&gt;1, qPCR_Raw!V216)</f>
        <v>121.99571228027344</v>
      </c>
      <c r="AF216" s="122">
        <f>qPCR_Raw!X216</f>
        <v>29.779052734375</v>
      </c>
      <c r="AG216" s="121" cm="1">
        <f t="array" ref="AG216">_xlfn.IFS(AF216="Undetermined", 0, qPCR_Raw!Y216&lt;=1, 0, qPCR_Raw!Y216&gt;1, qPCR_Raw!Y216)</f>
        <v>17.906675338745117</v>
      </c>
      <c r="AH216" s="123" cm="1">
        <f t="array" ref="AH216">_xlfn.IFS(AND(AD216="Undetermined", AF216="Undetermined"), "Undetermined", AND(AE216=0, AG216=0), "Undetermined", AND(AE216=0, AG216&gt;0), "Ten-Fold", AND(AE216&gt;0, AG216=0), "Undiluted", AND(AD216&lt;&gt;"Undetermined", AF216&lt;&gt;"Undetermined", AE216&gt;0, AG216&gt;0, AD216&lt;&gt;AF216), 100*(-1+10^(-1/(AD216-AF216))), AND(AD216&lt;&gt;"Undetermined", AF216&lt;&gt;"Undetermined", AD216=AF216&gt;0), -100)</f>
        <v>123.69274933672099</v>
      </c>
      <c r="AI216" s="124" cm="1">
        <f t="array" ref="AI216">_xlfn.IFS(AH216="Undetermined", 0, AH216="Undiluted", AE216*$G216/$F216*1000, AH216="Ten-Fold", AG216*$G216/$F216*1000*10, AH216&lt;0, AG216*$G216/$F216*1000*10, AH216&lt;120, AE216*$G216/$F216*1000, AH216&gt;120, AG216*$G216/$F216*1000*10)</f>
        <v>18087.550847217291</v>
      </c>
      <c r="AJ216" s="121">
        <f t="shared" si="62"/>
        <v>9738.2939897402375</v>
      </c>
      <c r="AK216" s="121">
        <f t="shared" si="63"/>
        <v>11807.632283580619</v>
      </c>
      <c r="AL216" s="121">
        <f t="shared" si="64"/>
        <v>8349.2568574770539</v>
      </c>
      <c r="AM216" s="125" cm="1">
        <f t="array" ref="AM216">_xlfn.IFS(AJ216="DELETE", "DELETE", AJ216=0, 0, AJ216&gt;0,LOG10(AJ216))</f>
        <v>3.9884828813409765</v>
      </c>
      <c r="AN216" s="126" cm="1">
        <f t="array" ref="AN216">_xlfn.IFS(AJ216="DELETE", "DELETE", AJ216=0, 0, AJ216&gt;0, AL216/AJ216/LN(10))</f>
        <v>0.37234819415139586</v>
      </c>
      <c r="AO216" s="155" t="str">
        <f>qPCR_Raw!AA216</f>
        <v>Undetermined</v>
      </c>
      <c r="AP216" s="156" cm="1">
        <f t="array" ref="AP216">_xlfn.IFS(AO216="Undetermined", 0, qPCR_Raw!AB216&lt;=6, 0, qPCR_Raw!AB216&gt;6, qPCR_Raw!AB216)</f>
        <v>0</v>
      </c>
      <c r="AQ216" s="157" t="str">
        <f>qPCR_Raw!AD216</f>
        <v>Undetermined</v>
      </c>
      <c r="AR216" s="156" cm="1">
        <f t="array" ref="AR216">_xlfn.IFS(AQ216="Undetermined", 0, qPCR_Raw!AE216&lt;=6, 0, qPCR_Raw!AE216&gt;6, qPCR_Raw!AE216)</f>
        <v>0</v>
      </c>
      <c r="AS216" s="158" t="str" cm="1">
        <f t="array" ref="AS216">_xlfn.IFS(AND(AO216="Undetermined", AQ216="Undetermined"), "Undetermined", AND(AP216=0, AR216=0), "Undetermined", AND(AP216=0, AR216&gt;0), "Ten-Fold", AND(AP216&gt;0, AR216=0), "Undiluted", AND(AO216&lt;&gt;"Undetermined", AQ216&lt;&gt;"Undetermined", AP216&gt;0, AR216&gt;0, AO216&lt;&gt;AQ216), 100*(-1+10^(-1/(AO216-AQ216))), AND(AO216&lt;&gt;"Undetermined", AQ216&lt;&gt;"Undetermined", AO216=AQ216&gt;0), -100)</f>
        <v>Undetermined</v>
      </c>
      <c r="AT216" s="159" cm="1">
        <f t="array" ref="AT216">_xlfn.IFS(AS216="Undetermined", 0, AS216="Undiluted", AP216*$G216/$F216*1000, AS216="Ten-Fold", AR216*$G216/$F216*1000*10, AS216&lt;0, AR216*$G216/$F216*1000*10, AS216&lt;120, AP216*$G216/$F216*1000, AS216&gt;120, AR216*$G216/$F216*1000*10)</f>
        <v>0</v>
      </c>
      <c r="AU216" s="156">
        <f t="shared" si="65"/>
        <v>0</v>
      </c>
      <c r="AV216" s="156">
        <f t="shared" si="66"/>
        <v>0</v>
      </c>
      <c r="AW216" s="156">
        <f t="shared" si="67"/>
        <v>0</v>
      </c>
      <c r="AX216" s="160" cm="1">
        <f t="array" ref="AX216">_xlfn.IFS(AU216="DELETE", "DELETE", AU216=0, 0, AU216&gt;0,LOG10(AU216))</f>
        <v>0</v>
      </c>
      <c r="AY216" s="161" cm="1">
        <f t="array" ref="AY216">_xlfn.IFS(AU216="DELETE", "DELETE", AU216=0, 0, AU216&gt;0, AW216/AU216/LN(10))</f>
        <v>0</v>
      </c>
      <c r="AZ216" s="120">
        <f>qPCR_Raw!AG216</f>
        <v>21.388616561889648</v>
      </c>
      <c r="BA216" s="121" cm="1">
        <f t="array" ref="BA216">_xlfn.IFS(AZ216="Undetermined", 0, qPCR_Raw!AH216&lt;=1, 0, qPCR_Raw!AH216&gt;1, qPCR_Raw!AH216)</f>
        <v>13618.873046875</v>
      </c>
      <c r="BB216" s="122">
        <f>qPCR_Raw!AJ216</f>
        <v>25.282018661499023</v>
      </c>
      <c r="BC216" s="121" cm="1">
        <f t="array" ref="BC216">_xlfn.IFS(BB216="Undetermined", 0, qPCR_Raw!AK216&lt;=1, 0, qPCR_Raw!AK216&gt;1, qPCR_Raw!AK216)</f>
        <v>1380.0234375</v>
      </c>
      <c r="BD216" s="123" cm="1">
        <f t="array" ref="BD216">_xlfn.IFS(AND(AZ216="Undetermined", BB216="Undetermined"), "Undetermined", AND(BA216=0, BC216=0), "Undetermined", AND(BA216=0, BC216&gt;0), "Ten-Fold", AND(BA216&gt;0, BC216=0), "Undiluted", AND(AZ216&lt;&gt;"Undetermined", BB216&lt;&gt;"Undetermined", BA216&gt;0, BC216&gt;0, AZ216&lt;&gt;BB216), 100*(-1+10^(-1/(AZ216-BB216))), AND(AZ216&lt;&gt;"Undetermined", BB216&lt;&gt;"Undetermined", AZ216=BB216&gt;0), -100)</f>
        <v>80.652833815468369</v>
      </c>
      <c r="BE216" s="124" cm="1">
        <f t="array" ref="BE216">_xlfn.IFS(BD216="Undetermined", 0, BD216="Undiluted", BA216*$G216/$F216*1000, BD216="Ten-Fold", BC216*$G216/$F216*1000*10, BD216&lt;0, BC216*$G216/$F216*1000*10, BD216&lt;120, BA216*$G216/$F216*1000, BD216&gt;120, BC216*$G216/$F216*1000*10)</f>
        <v>1375643.742108586</v>
      </c>
      <c r="BF216" s="121">
        <f t="shared" si="68"/>
        <v>701817.0111299766</v>
      </c>
      <c r="BG216" s="121">
        <f t="shared" si="69"/>
        <v>952934.9016394763</v>
      </c>
      <c r="BH216" s="121">
        <f t="shared" si="70"/>
        <v>673826.7309786093</v>
      </c>
      <c r="BI216" s="125" cm="1">
        <f t="array" ref="BI216">_xlfn.IFS(BF216="DELETE", "DELETE", BF216=0, 0, BF216&gt;0,LOG10(BF216))</f>
        <v>5.8462238907393802</v>
      </c>
      <c r="BJ216" s="126" cm="1">
        <f t="array" ref="BJ216">_xlfn.IFS(BF216="DELETE", "DELETE", BF216=0, 0, BF216&gt;0, BH216/BF216/LN(10))</f>
        <v>0.41697369311659516</v>
      </c>
    </row>
    <row r="217" spans="1:62" s="114" customFormat="1" x14ac:dyDescent="0.3">
      <c r="A217" s="115" t="str">
        <f>UPPER(LEFT(SUBSTITUTE(SUBSTITUTE(qPCR_Raw!A217,"-","")," ",""),2))&amp;RIGHT(SUBSTITUTE(SUBSTITUTE(qPCR_Raw!A217,"-","")," ",""),LEN(SUBSTITUTE(SUBSTITUTE(qPCR_Raw!A217,"-","")," ",""))-2)</f>
        <v>RG7</v>
      </c>
      <c r="B217" s="116" t="str" cm="1">
        <f t="array" ref="B217">_xlfn.IFS(LEFT(A217, LEN(A217)-1)="EP", "EP", LEFT(A217, LEN(A217)-1)="STa", "SPI", LEFT(A217, LEN(A217)-1)="STb", "SPO", LEFT(A217, LEN(A217)-1)="MRT", "MRT", LEFT(A217, LEN(A217)-1)="RG", "RN", LEFT(A217, LEN(A217)-1)="RT", "RU", LEFT(A217, LEN(A217)-1)="RW", "RL", LEFT(A217, LEN(A217)-1)="RC", "RS")</f>
        <v>RN</v>
      </c>
      <c r="C217" s="117">
        <f>qPCR_Raw!B217</f>
        <v>44426</v>
      </c>
      <c r="D217" s="117" t="str">
        <f t="shared" si="54"/>
        <v>RN44426</v>
      </c>
      <c r="E217" s="117" t="str">
        <f t="shared" si="55"/>
        <v>RN444267</v>
      </c>
      <c r="F217" s="118">
        <f>qPCR_Raw!C217</f>
        <v>900</v>
      </c>
      <c r="G217" s="119">
        <f>qPCR_Raw!F217</f>
        <v>100</v>
      </c>
      <c r="H217" s="120">
        <f>qPCR_Raw!G217</f>
        <v>15.327835083007813</v>
      </c>
      <c r="I217" s="121" cm="1">
        <f t="array" ref="I217">_xlfn.IFS(H217="Undetermined", 0, qPCR_Raw!H217-qPCR_Raw!$H$242&lt;0, 0, qPCR_Raw!H217-qPCR_Raw!$H$242&gt;0, qPCR_Raw!H217-qPCR_Raw!$H$242)</f>
        <v>2184688.6114461264</v>
      </c>
      <c r="J217" s="122">
        <f>qPCR_Raw!K217</f>
        <v>21.037471771240234</v>
      </c>
      <c r="K217" s="121" cm="1">
        <f t="array" ref="K217">_xlfn.IFS(J217="Undetermined", 0, qPCR_Raw!L217-qPCR_Raw!$H$242&lt;0, 0, qPCR_Raw!L217-qPCR_Raw!$H$242&gt;0, qPCR_Raw!L217-qPCR_Raw!$H$242)</f>
        <v>34174.951289876306</v>
      </c>
      <c r="L217" s="123" cm="1">
        <f t="array" ref="L217">_xlfn.IFS(AND(H217="Undetermined", J217="Undetermined"), "Undetermined", AND(I217=0, K217=0), "Undetermined", AND(I217=0, K217&gt;0), "Ten-Fold", AND(I217&gt;0, K217=0), "Undiluted", AND(H217&lt;&gt;"Undetermined", J217&lt;&gt;"Undetermined", I217&gt;0, K217&gt;0), 100*(-1+10^(-1/(H217-J217))))</f>
        <v>49.672665270159165</v>
      </c>
      <c r="M217" s="124" cm="1">
        <f t="array" ref="M217">_xlfn.IFS(L217="Undetermined", 0, L217="Undiluted", I217*$G217/$F217*1000, L217="Ten-Fold", K217*$G217/$F217*1000*10, L217&lt;0, K217*$G217/$F217*1000*10, L217&lt;120, I217*$G217/$F217*1000, L217&gt;120, K217*$G217/$F217*1000*10)</f>
        <v>242743179.04956958</v>
      </c>
      <c r="N217" s="121" t="str">
        <f t="shared" si="56"/>
        <v>DELETE</v>
      </c>
      <c r="O217" s="121" t="str">
        <f t="shared" si="57"/>
        <v>DELETE</v>
      </c>
      <c r="P217" s="121" t="str">
        <f t="shared" si="58"/>
        <v>DELETE</v>
      </c>
      <c r="Q217" s="125" t="str" cm="1">
        <f t="array" ref="Q217">_xlfn.IFS(N217="DELETE", "DELETE", N217=0, 0, N217&gt;0,LOG10(N217))</f>
        <v>DELETE</v>
      </c>
      <c r="R217" s="126" t="str" cm="1">
        <f t="array" ref="R217">_xlfn.IFS(N217="DELETE", "DELETE", N217=0, 0, N217&gt;0, P217/N217/LN(10))</f>
        <v>DELETE</v>
      </c>
      <c r="S217" s="155">
        <f>qPCR_Raw!O217</f>
        <v>31.829946517944336</v>
      </c>
      <c r="T217" s="156" cm="1">
        <f t="array" ref="T217">_xlfn.IFS(S217="Undetermined", 0, qPCR_Raw!P217&lt;=1, 0, qPCR_Raw!P217&gt;1, qPCR_Raw!P217)</f>
        <v>50.624008178710938</v>
      </c>
      <c r="U217" s="157" t="str">
        <f>qPCR_Raw!R217</f>
        <v>Undetermined</v>
      </c>
      <c r="V217" s="156" cm="1">
        <f t="array" ref="V217">_xlfn.IFS(U217="Undetermined", 0, qPCR_Raw!S217&lt;=1, 0, qPCR_Raw!S217&gt;1, qPCR_Raw!S217)</f>
        <v>0</v>
      </c>
      <c r="W217" s="158" t="str" cm="1">
        <f t="array" ref="W217">_xlfn.IFS(AND(S217="Undetermined", U217="Undetermined"), "Undetermined", AND(T217=0, V217=0), "Undetermined", AND(T217=0, V217&gt;0), "Ten-Fold", AND(T217&gt;0, V217=0), "Undiluted", AND(S217&lt;&gt;"Undetermined", U217&lt;&gt;"Undetermined", T217&gt;0, V217&gt;0, S217&lt;&gt;U217), 100*(-1+10^(-1/(S217-U217))), AND(S217&lt;&gt;"Undetermined", U217&lt;&gt;"Undetermined", S217=U217&gt;0), -100)</f>
        <v>Undiluted</v>
      </c>
      <c r="X217" s="159" cm="1">
        <f t="array" ref="X217">_xlfn.IFS(W217="Undetermined", 0, W217="Undiluted", T217*$G217/$F217*1000, W217="Ten-Fold", V217*$G217/$F217*1000*10, W217&lt;0, V217*$G217/$F217*1000*10, W217&lt;120, T217*$G217/$F217*1000, W217&gt;120, V217*$G217/$F217*1000*10)</f>
        <v>5624.8897976345479</v>
      </c>
      <c r="Y217" s="156" t="str">
        <f t="shared" si="59"/>
        <v>DELETE</v>
      </c>
      <c r="Z217" s="156" t="str">
        <f t="shared" si="60"/>
        <v>DELETE</v>
      </c>
      <c r="AA217" s="156" t="str">
        <f t="shared" si="61"/>
        <v>DELETE</v>
      </c>
      <c r="AB217" s="160" t="str" cm="1">
        <f t="array" ref="AB217">_xlfn.IFS(Y217="DELETE", "DELETE", Y217=0, 0, Y217&gt;0,LOG10(Y217))</f>
        <v>DELETE</v>
      </c>
      <c r="AC217" s="161" t="str" cm="1">
        <f t="array" ref="AC217">_xlfn.IFS(Y217="DELETE", "DELETE", Y217=0, 0, Y217&gt;0, AA217/Y217/LN(10))</f>
        <v>DELETE</v>
      </c>
      <c r="AD217" s="120">
        <f>qPCR_Raw!U217</f>
        <v>30.314645767211914</v>
      </c>
      <c r="AE217" s="121" cm="1">
        <f t="array" ref="AE217">_xlfn.IFS(AD217="Undetermined", 0, qPCR_Raw!V217&lt;=1, 0, qPCR_Raw!V217&gt;1, qPCR_Raw!V217)</f>
        <v>12.501334190368652</v>
      </c>
      <c r="AF217" s="122">
        <f>qPCR_Raw!X217</f>
        <v>33.731372833251953</v>
      </c>
      <c r="AG217" s="121" cm="1">
        <f t="array" ref="AG217">_xlfn.IFS(AF217="Undetermined", 0, qPCR_Raw!Y217&lt;=1, 0, qPCR_Raw!Y217&gt;1, qPCR_Raw!Y217)</f>
        <v>1.2630091905593872</v>
      </c>
      <c r="AH217" s="123" cm="1">
        <f t="array" ref="AH217">_xlfn.IFS(AND(AD217="Undetermined", AF217="Undetermined"), "Undetermined", AND(AE217=0, AG217=0), "Undetermined", AND(AE217=0, AG217&gt;0), "Ten-Fold", AND(AE217&gt;0, AG217=0), "Undiluted", AND(AD217&lt;&gt;"Undetermined", AF217&lt;&gt;"Undetermined", AE217&gt;0, AG217&gt;0, AD217&lt;&gt;AF217), 100*(-1+10^(-1/(AD217-AF217))), AND(AD217&lt;&gt;"Undetermined", AF217&lt;&gt;"Undetermined", AD217=AF217&gt;0), -100)</f>
        <v>96.190400122071495</v>
      </c>
      <c r="AI217" s="124" cm="1">
        <f t="array" ref="AI217">_xlfn.IFS(AH217="Undetermined", 0, AH217="Undiluted", AE217*$G217/$F217*1000, AH217="Ten-Fold", AG217*$G217/$F217*1000*10, AH217&lt;0, AG217*$G217/$F217*1000*10, AH217&lt;120, AE217*$G217/$F217*1000, AH217&gt;120, AG217*$G217/$F217*1000*10)</f>
        <v>1389.0371322631836</v>
      </c>
      <c r="AJ217" s="121" t="str">
        <f t="shared" si="62"/>
        <v>DELETE</v>
      </c>
      <c r="AK217" s="121" t="str">
        <f t="shared" si="63"/>
        <v>DELETE</v>
      </c>
      <c r="AL217" s="121" t="str">
        <f t="shared" si="64"/>
        <v>DELETE</v>
      </c>
      <c r="AM217" s="125" t="str" cm="1">
        <f t="array" ref="AM217">_xlfn.IFS(AJ217="DELETE", "DELETE", AJ217=0, 0, AJ217&gt;0,LOG10(AJ217))</f>
        <v>DELETE</v>
      </c>
      <c r="AN217" s="126" t="str" cm="1">
        <f t="array" ref="AN217">_xlfn.IFS(AJ217="DELETE", "DELETE", AJ217=0, 0, AJ217&gt;0, AL217/AJ217/LN(10))</f>
        <v>DELETE</v>
      </c>
      <c r="AO217" s="155">
        <f>qPCR_Raw!AA217</f>
        <v>30.523441314697266</v>
      </c>
      <c r="AP217" s="156" cm="1">
        <f t="array" ref="AP217">_xlfn.IFS(AO217="Undetermined", 0, qPCR_Raw!AB217&lt;=6, 0, qPCR_Raw!AB217&gt;6, qPCR_Raw!AB217)</f>
        <v>0</v>
      </c>
      <c r="AQ217" s="157" t="str">
        <f>qPCR_Raw!AD217</f>
        <v>Undetermined</v>
      </c>
      <c r="AR217" s="156" cm="1">
        <f t="array" ref="AR217">_xlfn.IFS(AQ217="Undetermined", 0, qPCR_Raw!AE217&lt;=6, 0, qPCR_Raw!AE217&gt;6, qPCR_Raw!AE217)</f>
        <v>0</v>
      </c>
      <c r="AS217" s="158" t="str" cm="1">
        <f t="array" ref="AS217">_xlfn.IFS(AND(AO217="Undetermined", AQ217="Undetermined"), "Undetermined", AND(AP217=0, AR217=0), "Undetermined", AND(AP217=0, AR217&gt;0), "Ten-Fold", AND(AP217&gt;0, AR217=0), "Undiluted", AND(AO217&lt;&gt;"Undetermined", AQ217&lt;&gt;"Undetermined", AP217&gt;0, AR217&gt;0, AO217&lt;&gt;AQ217), 100*(-1+10^(-1/(AO217-AQ217))), AND(AO217&lt;&gt;"Undetermined", AQ217&lt;&gt;"Undetermined", AO217=AQ217&gt;0), -100)</f>
        <v>Undetermined</v>
      </c>
      <c r="AT217" s="159" cm="1">
        <f t="array" ref="AT217">_xlfn.IFS(AS217="Undetermined", 0, AS217="Undiluted", AP217*$G217/$F217*1000, AS217="Ten-Fold", AR217*$G217/$F217*1000*10, AS217&lt;0, AR217*$G217/$F217*1000*10, AS217&lt;120, AP217*$G217/$F217*1000, AS217&gt;120, AR217*$G217/$F217*1000*10)</f>
        <v>0</v>
      </c>
      <c r="AU217" s="156" t="str">
        <f t="shared" si="65"/>
        <v>DELETE</v>
      </c>
      <c r="AV217" s="156" t="str">
        <f t="shared" si="66"/>
        <v>DELETE</v>
      </c>
      <c r="AW217" s="156" t="str">
        <f t="shared" si="67"/>
        <v>DELETE</v>
      </c>
      <c r="AX217" s="160" t="str" cm="1">
        <f t="array" ref="AX217">_xlfn.IFS(AU217="DELETE", "DELETE", AU217=0, 0, AU217&gt;0,LOG10(AU217))</f>
        <v>DELETE</v>
      </c>
      <c r="AY217" s="161" t="str" cm="1">
        <f t="array" ref="AY217">_xlfn.IFS(AU217="DELETE", "DELETE", AU217=0, 0, AU217&gt;0, AW217/AU217/LN(10))</f>
        <v>DELETE</v>
      </c>
      <c r="AZ217" s="120">
        <f>qPCR_Raw!AG217</f>
        <v>28.174446105957031</v>
      </c>
      <c r="BA217" s="121" cm="1">
        <f t="array" ref="BA217">_xlfn.IFS(AZ217="Undetermined", 0, qPCR_Raw!AH217&lt;=1, 0, qPCR_Raw!AH217&gt;1, qPCR_Raw!AH217)</f>
        <v>251.91252136230469</v>
      </c>
      <c r="BB217" s="122">
        <f>qPCR_Raw!AJ217</f>
        <v>32.095176696777344</v>
      </c>
      <c r="BC217" s="121" cm="1">
        <f t="array" ref="BC217">_xlfn.IFS(BB217="Undetermined", 0, qPCR_Raw!AK217&lt;=1, 0, qPCR_Raw!AK217&gt;1, qPCR_Raw!AK217)</f>
        <v>25.11979866027832</v>
      </c>
      <c r="BD217" s="123" cm="1">
        <f t="array" ref="BD217">_xlfn.IFS(AND(AZ217="Undetermined", BB217="Undetermined"), "Undetermined", AND(BA217=0, BC217=0), "Undetermined", AND(BA217=0, BC217&gt;0), "Ten-Fold", AND(BA217&gt;0, BC217=0), "Undiluted", AND(AZ217&lt;&gt;"Undetermined", BB217&lt;&gt;"Undetermined", BA217&gt;0, BC217&gt;0, AZ217&lt;&gt;BB217), 100*(-1+10^(-1/(AZ217-BB217))), AND(AZ217&lt;&gt;"Undetermined", BB217&lt;&gt;"Undetermined", AZ217=BB217&gt;0), -100)</f>
        <v>79.909669182972181</v>
      </c>
      <c r="BE217" s="124" cm="1">
        <f t="array" ref="BE217">_xlfn.IFS(BD217="Undetermined", 0, BD217="Undiluted", BA217*$G217/$F217*1000, BD217="Ten-Fold", BC217*$G217/$F217*1000*10, BD217&lt;0, BC217*$G217/$F217*1000*10, BD217&lt;120, BA217*$G217/$F217*1000, BD217&gt;120, BC217*$G217/$F217*1000*10)</f>
        <v>27990.280151367188</v>
      </c>
      <c r="BF217" s="121" t="str">
        <f t="shared" si="68"/>
        <v>DELETE</v>
      </c>
      <c r="BG217" s="121" t="str">
        <f t="shared" si="69"/>
        <v>DELETE</v>
      </c>
      <c r="BH217" s="121" t="str">
        <f t="shared" si="70"/>
        <v>DELETE</v>
      </c>
      <c r="BI217" s="125" t="str" cm="1">
        <f t="array" ref="BI217">_xlfn.IFS(BF217="DELETE", "DELETE", BF217=0, 0, BF217&gt;0,LOG10(BF217))</f>
        <v>DELETE</v>
      </c>
      <c r="BJ217" s="126" t="str" cm="1">
        <f t="array" ref="BJ217">_xlfn.IFS(BF217="DELETE", "DELETE", BF217=0, 0, BF217&gt;0, BH217/BF217/LN(10))</f>
        <v>DELETE</v>
      </c>
    </row>
    <row r="218" spans="1:62" s="114" customFormat="1" x14ac:dyDescent="0.3">
      <c r="A218" s="115" t="str">
        <f>UPPER(LEFT(SUBSTITUTE(SUBSTITUTE(qPCR_Raw!A218,"-","")," ",""),2))&amp;RIGHT(SUBSTITUTE(SUBSTITUTE(qPCR_Raw!A218,"-","")," ",""),LEN(SUBSTITUTE(SUBSTITUTE(qPCR_Raw!A218,"-","")," ",""))-2)</f>
        <v>STa6</v>
      </c>
      <c r="B218" s="116" t="str" cm="1">
        <f t="array" ref="B218">_xlfn.IFS(LEFT(A218, LEN(A218)-1)="EP", "EP", LEFT(A218, LEN(A218)-1)="STa", "SPI", LEFT(A218, LEN(A218)-1)="STb", "SPO", LEFT(A218, LEN(A218)-1)="MRT", "MRT", LEFT(A218, LEN(A218)-1)="RG", "RN", LEFT(A218, LEN(A218)-1)="RT", "RU", LEFT(A218, LEN(A218)-1)="RW", "RL", LEFT(A218, LEN(A218)-1)="RC", "RS")</f>
        <v>SPI</v>
      </c>
      <c r="C218" s="117">
        <f>qPCR_Raw!B218</f>
        <v>44426</v>
      </c>
      <c r="D218" s="117" t="str">
        <f t="shared" si="54"/>
        <v>SPI44426</v>
      </c>
      <c r="E218" s="117" t="str">
        <f t="shared" si="55"/>
        <v>SPI444266</v>
      </c>
      <c r="F218" s="118">
        <f>qPCR_Raw!C218</f>
        <v>940</v>
      </c>
      <c r="G218" s="119">
        <f>qPCR_Raw!F218</f>
        <v>100</v>
      </c>
      <c r="H218" s="120">
        <f>qPCR_Raw!G218</f>
        <v>18.996387481689453</v>
      </c>
      <c r="I218" s="121" cm="1">
        <f t="array" ref="I218">_xlfn.IFS(H218="Undetermined", 0, qPCR_Raw!H218-qPCR_Raw!$H$242&lt;0, 0, qPCR_Raw!H218-qPCR_Raw!$H$242&gt;0, qPCR_Raw!H218-qPCR_Raw!$H$242)</f>
        <v>173215.86144612631</v>
      </c>
      <c r="J218" s="122">
        <f>qPCR_Raw!K218</f>
        <v>22.544748306274414</v>
      </c>
      <c r="K218" s="121" cm="1">
        <f t="array" ref="K218">_xlfn.IFS(J218="Undetermined", 0, qPCR_Raw!L218-qPCR_Raw!$H$242&lt;0, 0, qPCR_Raw!L218-qPCR_Raw!$H$242&gt;0, qPCR_Raw!L218-qPCR_Raw!$H$242)</f>
        <v>4121.8770711263023</v>
      </c>
      <c r="L218" s="123" cm="1">
        <f t="array" ref="L218">_xlfn.IFS(AND(H218="Undetermined", J218="Undetermined"), "Undetermined", AND(I218=0, K218=0), "Undetermined", AND(I218=0, K218&gt;0), "Ten-Fold", AND(I218&gt;0, K218=0), "Undiluted", AND(H218&lt;&gt;"Undetermined", J218&lt;&gt;"Undetermined", I218&gt;0, K218&gt;0), 100*(-1+10^(-1/(H218-J218))))</f>
        <v>91.34638793177399</v>
      </c>
      <c r="M218" s="124" cm="1">
        <f t="array" ref="M218">_xlfn.IFS(L218="Undetermined", 0, L218="Undiluted", I218*$G218/$F218*1000, L218="Ten-Fold", K218*$G218/$F218*1000*10, L218&lt;0, K218*$G218/$F218*1000*10, L218&lt;120, I218*$G218/$F218*1000, L218&gt;120, K218*$G218/$F218*1000*10)</f>
        <v>18427219.302779391</v>
      </c>
      <c r="N218" s="121">
        <f t="shared" si="56"/>
        <v>12399603.777513435</v>
      </c>
      <c r="O218" s="121">
        <f t="shared" si="57"/>
        <v>8524335.6246017423</v>
      </c>
      <c r="P218" s="121">
        <f t="shared" si="58"/>
        <v>6027615.5252659554</v>
      </c>
      <c r="Q218" s="125" cm="1">
        <f t="array" ref="Q218">_xlfn.IFS(N218="DELETE", "DELETE", N218=0, 0, N218&gt;0,LOG10(N218))</f>
        <v>7.093407807743783</v>
      </c>
      <c r="R218" s="126" cm="1">
        <f t="array" ref="R218">_xlfn.IFS(N218="DELETE", "DELETE", N218=0, 0, N218&gt;0, P218/N218/LN(10))</f>
        <v>0.21111643634973712</v>
      </c>
      <c r="S218" s="155">
        <f>qPCR_Raw!O218</f>
        <v>29.340030670166016</v>
      </c>
      <c r="T218" s="156" cm="1">
        <f t="array" ref="T218">_xlfn.IFS(S218="Undetermined", 0, qPCR_Raw!P218&lt;=1, 0, qPCR_Raw!P218&gt;1, qPCR_Raw!P218)</f>
        <v>242.72125244140625</v>
      </c>
      <c r="U218" s="157">
        <f>qPCR_Raw!R218</f>
        <v>31.742368698120117</v>
      </c>
      <c r="V218" s="156" cm="1">
        <f t="array" ref="V218">_xlfn.IFS(U218="Undetermined", 0, qPCR_Raw!S218&lt;=1, 0, qPCR_Raw!S218&gt;1, qPCR_Raw!S218)</f>
        <v>53.493446350097656</v>
      </c>
      <c r="W218" s="158" cm="1">
        <f t="array" ref="W218">_xlfn.IFS(AND(S218="Undetermined", U218="Undetermined"), "Undetermined", AND(T218=0, V218=0), "Undetermined", AND(T218=0, V218&gt;0), "Ten-Fold", AND(T218&gt;0, V218=0), "Undiluted", AND(S218&lt;&gt;"Undetermined", U218&lt;&gt;"Undetermined", T218&gt;0, V218&gt;0, S218&lt;&gt;U218), 100*(-1+10^(-1/(S218-U218))), AND(S218&lt;&gt;"Undetermined", U218&lt;&gt;"Undetermined", S218=U218&gt;0), -100)</f>
        <v>160.77211782553113</v>
      </c>
      <c r="X218" s="159" cm="1">
        <f t="array" ref="X218">_xlfn.IFS(W218="Undetermined", 0, W218="Undiluted", T218*$G218/$F218*1000, W218="Ten-Fold", V218*$G218/$F218*1000*10, W218&lt;0, V218*$G218/$F218*1000*10, W218&lt;120, T218*$G218/$F218*1000, W218&gt;120, V218*$G218/$F218*1000*10)</f>
        <v>56907.921649040065</v>
      </c>
      <c r="Y218" s="156">
        <f t="shared" si="59"/>
        <v>36587.487890365279</v>
      </c>
      <c r="Z218" s="156">
        <f t="shared" si="60"/>
        <v>28737.433014821971</v>
      </c>
      <c r="AA218" s="156">
        <f t="shared" si="61"/>
        <v>20320.433758674786</v>
      </c>
      <c r="AB218" s="160" cm="1">
        <f t="array" ref="AB218">_xlfn.IFS(Y218="DELETE", "DELETE", Y218=0, 0, Y218&gt;0,LOG10(Y218))</f>
        <v>4.5633325917001768</v>
      </c>
      <c r="AC218" s="161" cm="1">
        <f t="array" ref="AC218">_xlfn.IFS(Y218="DELETE", "DELETE", Y218=0, 0, Y218&gt;0, AA218/Y218/LN(10))</f>
        <v>0.24120410446646018</v>
      </c>
      <c r="AD218" s="120">
        <f>qPCR_Raw!U218</f>
        <v>33.047653198242188</v>
      </c>
      <c r="AE218" s="121" cm="1">
        <f t="array" ref="AE218">_xlfn.IFS(AD218="Undetermined", 0, qPCR_Raw!V218&lt;=1, 0, qPCR_Raw!V218&gt;1, qPCR_Raw!V218)</f>
        <v>1.9981381893157959</v>
      </c>
      <c r="AF218" s="122">
        <f>qPCR_Raw!X218</f>
        <v>36.410999298095703</v>
      </c>
      <c r="AG218" s="121" cm="1">
        <f t="array" ref="AG218">_xlfn.IFS(AF218="Undetermined", 0, qPCR_Raw!Y218&lt;=1, 0, qPCR_Raw!Y218&gt;1, qPCR_Raw!Y218)</f>
        <v>0</v>
      </c>
      <c r="AH218" s="123" t="str" cm="1">
        <f t="array" ref="AH218">_xlfn.IFS(AND(AD218="Undetermined", AF218="Undetermined"), "Undetermined", AND(AE218=0, AG218=0), "Undetermined", AND(AE218=0, AG218&gt;0), "Ten-Fold", AND(AE218&gt;0, AG218=0), "Undiluted", AND(AD218&lt;&gt;"Undetermined", AF218&lt;&gt;"Undetermined", AE218&gt;0, AG218&gt;0, AD218&lt;&gt;AF218), 100*(-1+10^(-1/(AD218-AF218))), AND(AD218&lt;&gt;"Undetermined", AF218&lt;&gt;"Undetermined", AD218=AF218&gt;0), -100)</f>
        <v>Undiluted</v>
      </c>
      <c r="AI218" s="124" cm="1">
        <f t="array" ref="AI218">_xlfn.IFS(AH218="Undetermined", 0, AH218="Undiluted", AE218*$G218/$F218*1000, AH218="Ten-Fold", AG218*$G218/$F218*1000*10, AH218&lt;0, AG218*$G218/$F218*1000*10, AH218&lt;120, AE218*$G218/$F218*1000, AH218&gt;120, AG218*$G218/$F218*1000*10)</f>
        <v>212.5678924804038</v>
      </c>
      <c r="AJ218" s="121">
        <f t="shared" si="62"/>
        <v>106.2839462402019</v>
      </c>
      <c r="AK218" s="121">
        <f t="shared" si="63"/>
        <v>150.30819823542643</v>
      </c>
      <c r="AL218" s="121">
        <f t="shared" si="64"/>
        <v>106.28394624020189</v>
      </c>
      <c r="AM218" s="125" cm="1">
        <f t="array" ref="AM218">_xlfn.IFS(AJ218="DELETE", "DELETE", AJ218=0, 0, AJ218&gt;0,LOG10(AJ218))</f>
        <v>2.0264676710536986</v>
      </c>
      <c r="AN218" s="126" cm="1">
        <f t="array" ref="AN218">_xlfn.IFS(AJ218="DELETE", "DELETE", AJ218=0, 0, AJ218&gt;0, AL218/AJ218/LN(10))</f>
        <v>0.43429448190325176</v>
      </c>
      <c r="AO218" s="155">
        <f>qPCR_Raw!AA218</f>
        <v>28.866025924682617</v>
      </c>
      <c r="AP218" s="156" cm="1">
        <f t="array" ref="AP218">_xlfn.IFS(AO218="Undetermined", 0, qPCR_Raw!AB218&lt;=6, 0, qPCR_Raw!AB218&gt;6, qPCR_Raw!AB218)</f>
        <v>0</v>
      </c>
      <c r="AQ218" s="157" t="str">
        <f>qPCR_Raw!AD218</f>
        <v>Undetermined</v>
      </c>
      <c r="AR218" s="156" cm="1">
        <f t="array" ref="AR218">_xlfn.IFS(AQ218="Undetermined", 0, qPCR_Raw!AE218&lt;=6, 0, qPCR_Raw!AE218&gt;6, qPCR_Raw!AE218)</f>
        <v>0</v>
      </c>
      <c r="AS218" s="158" t="str" cm="1">
        <f t="array" ref="AS218">_xlfn.IFS(AND(AO218="Undetermined", AQ218="Undetermined"), "Undetermined", AND(AP218=0, AR218=0), "Undetermined", AND(AP218=0, AR218&gt;0), "Ten-Fold", AND(AP218&gt;0, AR218=0), "Undiluted", AND(AO218&lt;&gt;"Undetermined", AQ218&lt;&gt;"Undetermined", AP218&gt;0, AR218&gt;0, AO218&lt;&gt;AQ218), 100*(-1+10^(-1/(AO218-AQ218))), AND(AO218&lt;&gt;"Undetermined", AQ218&lt;&gt;"Undetermined", AO218=AQ218&gt;0), -100)</f>
        <v>Undetermined</v>
      </c>
      <c r="AT218" s="159" cm="1">
        <f t="array" ref="AT218">_xlfn.IFS(AS218="Undetermined", 0, AS218="Undiluted", AP218*$G218/$F218*1000, AS218="Ten-Fold", AR218*$G218/$F218*1000*10, AS218&lt;0, AR218*$G218/$F218*1000*10, AS218&lt;120, AP218*$G218/$F218*1000, AS218&gt;120, AR218*$G218/$F218*1000*10)</f>
        <v>0</v>
      </c>
      <c r="AU218" s="156">
        <f t="shared" si="65"/>
        <v>0</v>
      </c>
      <c r="AV218" s="156">
        <f t="shared" si="66"/>
        <v>0</v>
      </c>
      <c r="AW218" s="156">
        <f t="shared" si="67"/>
        <v>0</v>
      </c>
      <c r="AX218" s="160" cm="1">
        <f t="array" ref="AX218">_xlfn.IFS(AU218="DELETE", "DELETE", AU218=0, 0, AU218&gt;0,LOG10(AU218))</f>
        <v>0</v>
      </c>
      <c r="AY218" s="161" cm="1">
        <f t="array" ref="AY218">_xlfn.IFS(AU218="DELETE", "DELETE", AU218=0, 0, AU218&gt;0, AW218/AU218/LN(10))</f>
        <v>0</v>
      </c>
      <c r="AZ218" s="120" t="str">
        <f>qPCR_Raw!AG218</f>
        <v>Undetermined</v>
      </c>
      <c r="BA218" s="121" cm="1">
        <f t="array" ref="BA218">_xlfn.IFS(AZ218="Undetermined", 0, qPCR_Raw!AH218&lt;=1, 0, qPCR_Raw!AH218&gt;1, qPCR_Raw!AH218)</f>
        <v>0</v>
      </c>
      <c r="BB218" s="122" t="str">
        <f>qPCR_Raw!AJ218</f>
        <v>Undetermined</v>
      </c>
      <c r="BC218" s="121" cm="1">
        <f t="array" ref="BC218">_xlfn.IFS(BB218="Undetermined", 0, qPCR_Raw!AK218&lt;=1, 0, qPCR_Raw!AK218&gt;1, qPCR_Raw!AK218)</f>
        <v>0</v>
      </c>
      <c r="BD218" s="123" t="str" cm="1">
        <f t="array" ref="BD218">_xlfn.IFS(AND(AZ218="Undetermined", BB218="Undetermined"), "Undetermined", AND(BA218=0, BC218=0), "Undetermined", AND(BA218=0, BC218&gt;0), "Ten-Fold", AND(BA218&gt;0, BC218=0), "Undiluted", AND(AZ218&lt;&gt;"Undetermined", BB218&lt;&gt;"Undetermined", BA218&gt;0, BC218&gt;0, AZ218&lt;&gt;BB218), 100*(-1+10^(-1/(AZ218-BB218))), AND(AZ218&lt;&gt;"Undetermined", BB218&lt;&gt;"Undetermined", AZ218=BB218&gt;0), -100)</f>
        <v>Undetermined</v>
      </c>
      <c r="BE218" s="124" cm="1">
        <f t="array" ref="BE218">_xlfn.IFS(BD218="Undetermined", 0, BD218="Undiluted", BA218*$G218/$F218*1000, BD218="Ten-Fold", BC218*$G218/$F218*1000*10, BD218&lt;0, BC218*$G218/$F218*1000*10, BD218&lt;120, BA218*$G218/$F218*1000, BD218&gt;120, BC218*$G218/$F218*1000*10)</f>
        <v>0</v>
      </c>
      <c r="BF218" s="121">
        <f t="shared" si="68"/>
        <v>0</v>
      </c>
      <c r="BG218" s="121">
        <f t="shared" si="69"/>
        <v>0</v>
      </c>
      <c r="BH218" s="121">
        <f t="shared" si="70"/>
        <v>0</v>
      </c>
      <c r="BI218" s="125" cm="1">
        <f t="array" ref="BI218">_xlfn.IFS(BF218="DELETE", "DELETE", BF218=0, 0, BF218&gt;0,LOG10(BF218))</f>
        <v>0</v>
      </c>
      <c r="BJ218" s="126" cm="1">
        <f t="array" ref="BJ218">_xlfn.IFS(BF218="DELETE", "DELETE", BF218=0, 0, BF218&gt;0, BH218/BF218/LN(10))</f>
        <v>0</v>
      </c>
    </row>
    <row r="219" spans="1:62" s="114" customFormat="1" x14ac:dyDescent="0.3">
      <c r="A219" s="115" t="str">
        <f>UPPER(LEFT(SUBSTITUTE(SUBSTITUTE(qPCR_Raw!A219,"-","")," ",""),2))&amp;RIGHT(SUBSTITUTE(SUBSTITUTE(qPCR_Raw!A219,"-","")," ",""),LEN(SUBSTITUTE(SUBSTITUTE(qPCR_Raw!A219,"-","")," ",""))-2)</f>
        <v>STa7</v>
      </c>
      <c r="B219" s="116" t="str" cm="1">
        <f t="array" ref="B219">_xlfn.IFS(LEFT(A219, LEN(A219)-1)="EP", "EP", LEFT(A219, LEN(A219)-1)="STa", "SPI", LEFT(A219, LEN(A219)-1)="STb", "SPO", LEFT(A219, LEN(A219)-1)="MRT", "MRT", LEFT(A219, LEN(A219)-1)="RG", "RN", LEFT(A219, LEN(A219)-1)="RT", "RU", LEFT(A219, LEN(A219)-1)="RW", "RL", LEFT(A219, LEN(A219)-1)="RC", "RS")</f>
        <v>SPI</v>
      </c>
      <c r="C219" s="117">
        <f>qPCR_Raw!B219</f>
        <v>44426</v>
      </c>
      <c r="D219" s="117" t="str">
        <f t="shared" si="54"/>
        <v>SPI44426</v>
      </c>
      <c r="E219" s="117" t="str">
        <f t="shared" si="55"/>
        <v>SPI444267</v>
      </c>
      <c r="F219" s="118">
        <f>qPCR_Raw!C219</f>
        <v>940</v>
      </c>
      <c r="G219" s="119">
        <f>qPCR_Raw!F219</f>
        <v>100</v>
      </c>
      <c r="H219" s="120">
        <f>qPCR_Raw!G219</f>
        <v>20.390495300292969</v>
      </c>
      <c r="I219" s="121" cm="1">
        <f t="array" ref="I219">_xlfn.IFS(H219="Undetermined", 0, qPCR_Raw!H219-qPCR_Raw!$H$242&lt;0, 0, qPCR_Raw!H219-qPCR_Raw!$H$242&gt;0, qPCR_Raw!H219-qPCR_Raw!$H$242)</f>
        <v>59896.689571126306</v>
      </c>
      <c r="J219" s="122">
        <f>qPCR_Raw!K219</f>
        <v>23.800764083862305</v>
      </c>
      <c r="K219" s="121" cm="1">
        <f t="array" ref="K219">_xlfn.IFS(J219="Undetermined", 0, qPCR_Raw!L219-qPCR_Raw!$H$242&lt;0, 0, qPCR_Raw!L219-qPCR_Raw!$H$242&gt;0, qPCR_Raw!L219-qPCR_Raw!$H$242)</f>
        <v>0</v>
      </c>
      <c r="L219" s="123" t="str" cm="1">
        <f t="array" ref="L219">_xlfn.IFS(AND(H219="Undetermined", J219="Undetermined"), "Undetermined", AND(I219=0, K219=0), "Undetermined", AND(I219=0, K219&gt;0), "Ten-Fold", AND(I219&gt;0, K219=0), "Undiluted", AND(H219&lt;&gt;"Undetermined", J219&lt;&gt;"Undetermined", I219&gt;0, K219&gt;0), 100*(-1+10^(-1/(H219-J219))))</f>
        <v>Undiluted</v>
      </c>
      <c r="M219" s="124" cm="1">
        <f t="array" ref="M219">_xlfn.IFS(L219="Undetermined", 0, L219="Undiluted", I219*$G219/$F219*1000, L219="Ten-Fold", K219*$G219/$F219*1000*10, L219&lt;0, K219*$G219/$F219*1000*10, L219&lt;120, I219*$G219/$F219*1000, L219&gt;120, K219*$G219/$F219*1000*10)</f>
        <v>6371988.2522474797</v>
      </c>
      <c r="N219" s="121" t="str">
        <f t="shared" si="56"/>
        <v>DELETE</v>
      </c>
      <c r="O219" s="121" t="str">
        <f t="shared" si="57"/>
        <v>DELETE</v>
      </c>
      <c r="P219" s="121" t="str">
        <f t="shared" si="58"/>
        <v>DELETE</v>
      </c>
      <c r="Q219" s="125" t="str" cm="1">
        <f t="array" ref="Q219">_xlfn.IFS(N219="DELETE", "DELETE", N219=0, 0, N219&gt;0,LOG10(N219))</f>
        <v>DELETE</v>
      </c>
      <c r="R219" s="126" t="str" cm="1">
        <f t="array" ref="R219">_xlfn.IFS(N219="DELETE", "DELETE", N219=0, 0, N219&gt;0, P219/N219/LN(10))</f>
        <v>DELETE</v>
      </c>
      <c r="S219" s="155">
        <f>qPCR_Raw!O219</f>
        <v>30.074005126953125</v>
      </c>
      <c r="T219" s="156" cm="1">
        <f t="array" ref="T219">_xlfn.IFS(S219="Undetermined", 0, qPCR_Raw!P219&lt;=1, 0, qPCR_Raw!P219&gt;1, qPCR_Raw!P219)</f>
        <v>152.91030883789063</v>
      </c>
      <c r="U219" s="157">
        <f>qPCR_Raw!R219</f>
        <v>33.044990539550781</v>
      </c>
      <c r="V219" s="156" cm="1">
        <f t="array" ref="V219">_xlfn.IFS(U219="Undetermined", 0, qPCR_Raw!S219&lt;=1, 0, qPCR_Raw!S219&gt;1, qPCR_Raw!S219)</f>
        <v>23.559141159057617</v>
      </c>
      <c r="W219" s="158" cm="1">
        <f t="array" ref="W219">_xlfn.IFS(AND(S219="Undetermined", U219="Undetermined"), "Undetermined", AND(T219=0, V219=0), "Undetermined", AND(T219=0, V219&gt;0), "Ten-Fold", AND(T219&gt;0, V219=0), "Undiluted", AND(S219&lt;&gt;"Undetermined", U219&lt;&gt;"Undetermined", T219&gt;0, V219&gt;0, S219&lt;&gt;U219), 100*(-1+10^(-1/(S219-U219))), AND(S219&lt;&gt;"Undetermined", U219&lt;&gt;"Undetermined", S219=U219&gt;0), -100)</f>
        <v>117.06442911218269</v>
      </c>
      <c r="X219" s="159" cm="1">
        <f t="array" ref="X219">_xlfn.IFS(W219="Undetermined", 0, W219="Undiluted", T219*$G219/$F219*1000, W219="Ten-Fold", V219*$G219/$F219*1000*10, W219&lt;0, V219*$G219/$F219*1000*10, W219&lt;120, T219*$G219/$F219*1000, W219&gt;120, V219*$G219/$F219*1000*10)</f>
        <v>16267.054131690493</v>
      </c>
      <c r="Y219" s="156" t="str">
        <f t="shared" si="59"/>
        <v>DELETE</v>
      </c>
      <c r="Z219" s="156" t="str">
        <f t="shared" si="60"/>
        <v>DELETE</v>
      </c>
      <c r="AA219" s="156" t="str">
        <f t="shared" si="61"/>
        <v>DELETE</v>
      </c>
      <c r="AB219" s="160" t="str" cm="1">
        <f t="array" ref="AB219">_xlfn.IFS(Y219="DELETE", "DELETE", Y219=0, 0, Y219&gt;0,LOG10(Y219))</f>
        <v>DELETE</v>
      </c>
      <c r="AC219" s="161" t="str" cm="1">
        <f t="array" ref="AC219">_xlfn.IFS(Y219="DELETE", "DELETE", Y219=0, 0, Y219&gt;0, AA219/Y219/LN(10))</f>
        <v>DELETE</v>
      </c>
      <c r="AD219" s="120">
        <f>qPCR_Raw!U219</f>
        <v>34.883071899414063</v>
      </c>
      <c r="AE219" s="121" cm="1">
        <f t="array" ref="AE219">_xlfn.IFS(AD219="Undetermined", 0, qPCR_Raw!V219&lt;=1, 0, qPCR_Raw!V219&gt;1, qPCR_Raw!V219)</f>
        <v>0</v>
      </c>
      <c r="AF219" s="122">
        <f>qPCR_Raw!X219</f>
        <v>37.851146697998047</v>
      </c>
      <c r="AG219" s="121" cm="1">
        <f t="array" ref="AG219">_xlfn.IFS(AF219="Undetermined", 0, qPCR_Raw!Y219&lt;=1, 0, qPCR_Raw!Y219&gt;1, qPCR_Raw!Y219)</f>
        <v>0</v>
      </c>
      <c r="AH219" s="123" t="str" cm="1">
        <f t="array" ref="AH219">_xlfn.IFS(AND(AD219="Undetermined", AF219="Undetermined"), "Undetermined", AND(AE219=0, AG219=0), "Undetermined", AND(AE219=0, AG219&gt;0), "Ten-Fold", AND(AE219&gt;0, AG219=0), "Undiluted", AND(AD219&lt;&gt;"Undetermined", AF219&lt;&gt;"Undetermined", AE219&gt;0, AG219&gt;0, AD219&lt;&gt;AF219), 100*(-1+10^(-1/(AD219-AF219))), AND(AD219&lt;&gt;"Undetermined", AF219&lt;&gt;"Undetermined", AD219=AF219&gt;0), -100)</f>
        <v>Undetermined</v>
      </c>
      <c r="AI219" s="124" cm="1">
        <f t="array" ref="AI219">_xlfn.IFS(AH219="Undetermined", 0, AH219="Undiluted", AE219*$G219/$F219*1000, AH219="Ten-Fold", AG219*$G219/$F219*1000*10, AH219&lt;0, AG219*$G219/$F219*1000*10, AH219&lt;120, AE219*$G219/$F219*1000, AH219&gt;120, AG219*$G219/$F219*1000*10)</f>
        <v>0</v>
      </c>
      <c r="AJ219" s="121" t="str">
        <f t="shared" si="62"/>
        <v>DELETE</v>
      </c>
      <c r="AK219" s="121" t="str">
        <f t="shared" si="63"/>
        <v>DELETE</v>
      </c>
      <c r="AL219" s="121" t="str">
        <f t="shared" si="64"/>
        <v>DELETE</v>
      </c>
      <c r="AM219" s="125" t="str" cm="1">
        <f t="array" ref="AM219">_xlfn.IFS(AJ219="DELETE", "DELETE", AJ219=0, 0, AJ219&gt;0,LOG10(AJ219))</f>
        <v>DELETE</v>
      </c>
      <c r="AN219" s="126" t="str" cm="1">
        <f t="array" ref="AN219">_xlfn.IFS(AJ219="DELETE", "DELETE", AJ219=0, 0, AJ219&gt;0, AL219/AJ219/LN(10))</f>
        <v>DELETE</v>
      </c>
      <c r="AO219" s="155">
        <f>qPCR_Raw!AA219</f>
        <v>29.377395629882813</v>
      </c>
      <c r="AP219" s="156" cm="1">
        <f t="array" ref="AP219">_xlfn.IFS(AO219="Undetermined", 0, qPCR_Raw!AB219&lt;=6, 0, qPCR_Raw!AB219&gt;6, qPCR_Raw!AB219)</f>
        <v>0</v>
      </c>
      <c r="AQ219" s="157">
        <f>qPCR_Raw!AD219</f>
        <v>33.022327423095703</v>
      </c>
      <c r="AR219" s="156" cm="1">
        <f t="array" ref="AR219">_xlfn.IFS(AQ219="Undetermined", 0, qPCR_Raw!AE219&lt;=6, 0, qPCR_Raw!AE219&gt;6, qPCR_Raw!AE219)</f>
        <v>0</v>
      </c>
      <c r="AS219" s="158" t="str" cm="1">
        <f t="array" ref="AS219">_xlfn.IFS(AND(AO219="Undetermined", AQ219="Undetermined"), "Undetermined", AND(AP219=0, AR219=0), "Undetermined", AND(AP219=0, AR219&gt;0), "Ten-Fold", AND(AP219&gt;0, AR219=0), "Undiluted", AND(AO219&lt;&gt;"Undetermined", AQ219&lt;&gt;"Undetermined", AP219&gt;0, AR219&gt;0, AO219&lt;&gt;AQ219), 100*(-1+10^(-1/(AO219-AQ219))), AND(AO219&lt;&gt;"Undetermined", AQ219&lt;&gt;"Undetermined", AO219=AQ219&gt;0), -100)</f>
        <v>Undetermined</v>
      </c>
      <c r="AT219" s="159" cm="1">
        <f t="array" ref="AT219">_xlfn.IFS(AS219="Undetermined", 0, AS219="Undiluted", AP219*$G219/$F219*1000, AS219="Ten-Fold", AR219*$G219/$F219*1000*10, AS219&lt;0, AR219*$G219/$F219*1000*10, AS219&lt;120, AP219*$G219/$F219*1000, AS219&gt;120, AR219*$G219/$F219*1000*10)</f>
        <v>0</v>
      </c>
      <c r="AU219" s="156" t="str">
        <f t="shared" si="65"/>
        <v>DELETE</v>
      </c>
      <c r="AV219" s="156" t="str">
        <f t="shared" si="66"/>
        <v>DELETE</v>
      </c>
      <c r="AW219" s="156" t="str">
        <f t="shared" si="67"/>
        <v>DELETE</v>
      </c>
      <c r="AX219" s="160" t="str" cm="1">
        <f t="array" ref="AX219">_xlfn.IFS(AU219="DELETE", "DELETE", AU219=0, 0, AU219&gt;0,LOG10(AU219))</f>
        <v>DELETE</v>
      </c>
      <c r="AY219" s="161" t="str" cm="1">
        <f t="array" ref="AY219">_xlfn.IFS(AU219="DELETE", "DELETE", AU219=0, 0, AU219&gt;0, AW219/AU219/LN(10))</f>
        <v>DELETE</v>
      </c>
      <c r="AZ219" s="120" t="str">
        <f>qPCR_Raw!AG219</f>
        <v>Undetermined</v>
      </c>
      <c r="BA219" s="121" cm="1">
        <f t="array" ref="BA219">_xlfn.IFS(AZ219="Undetermined", 0, qPCR_Raw!AH219&lt;=1, 0, qPCR_Raw!AH219&gt;1, qPCR_Raw!AH219)</f>
        <v>0</v>
      </c>
      <c r="BB219" s="122" t="str">
        <f>qPCR_Raw!AJ219</f>
        <v>Undetermined</v>
      </c>
      <c r="BC219" s="121" cm="1">
        <f t="array" ref="BC219">_xlfn.IFS(BB219="Undetermined", 0, qPCR_Raw!AK219&lt;=1, 0, qPCR_Raw!AK219&gt;1, qPCR_Raw!AK219)</f>
        <v>0</v>
      </c>
      <c r="BD219" s="123" t="str" cm="1">
        <f t="array" ref="BD219">_xlfn.IFS(AND(AZ219="Undetermined", BB219="Undetermined"), "Undetermined", AND(BA219=0, BC219=0), "Undetermined", AND(BA219=0, BC219&gt;0), "Ten-Fold", AND(BA219&gt;0, BC219=0), "Undiluted", AND(AZ219&lt;&gt;"Undetermined", BB219&lt;&gt;"Undetermined", BA219&gt;0, BC219&gt;0, AZ219&lt;&gt;BB219), 100*(-1+10^(-1/(AZ219-BB219))), AND(AZ219&lt;&gt;"Undetermined", BB219&lt;&gt;"Undetermined", AZ219=BB219&gt;0), -100)</f>
        <v>Undetermined</v>
      </c>
      <c r="BE219" s="124" cm="1">
        <f t="array" ref="BE219">_xlfn.IFS(BD219="Undetermined", 0, BD219="Undiluted", BA219*$G219/$F219*1000, BD219="Ten-Fold", BC219*$G219/$F219*1000*10, BD219&lt;0, BC219*$G219/$F219*1000*10, BD219&lt;120, BA219*$G219/$F219*1000, BD219&gt;120, BC219*$G219/$F219*1000*10)</f>
        <v>0</v>
      </c>
      <c r="BF219" s="121" t="str">
        <f t="shared" si="68"/>
        <v>DELETE</v>
      </c>
      <c r="BG219" s="121" t="str">
        <f t="shared" si="69"/>
        <v>DELETE</v>
      </c>
      <c r="BH219" s="121" t="str">
        <f t="shared" si="70"/>
        <v>DELETE</v>
      </c>
      <c r="BI219" s="125" t="str" cm="1">
        <f t="array" ref="BI219">_xlfn.IFS(BF219="DELETE", "DELETE", BF219=0, 0, BF219&gt;0,LOG10(BF219))</f>
        <v>DELETE</v>
      </c>
      <c r="BJ219" s="126" t="str" cm="1">
        <f t="array" ref="BJ219">_xlfn.IFS(BF219="DELETE", "DELETE", BF219=0, 0, BF219&gt;0, BH219/BF219/LN(10))</f>
        <v>DELETE</v>
      </c>
    </row>
    <row r="220" spans="1:62" s="114" customFormat="1" x14ac:dyDescent="0.3">
      <c r="A220" s="115" t="str">
        <f>UPPER(LEFT(SUBSTITUTE(SUBSTITUTE(qPCR_Raw!A220,"-","")," ",""),2))&amp;RIGHT(SUBSTITUTE(SUBSTITUTE(qPCR_Raw!A220,"-","")," ",""),LEN(SUBSTITUTE(SUBSTITUTE(qPCR_Raw!A220,"-","")," ",""))-2)</f>
        <v>EP6</v>
      </c>
      <c r="B220" s="116" t="str" cm="1">
        <f t="array" ref="B220">_xlfn.IFS(LEFT(A220, LEN(A220)-1)="EP", "EP", LEFT(A220, LEN(A220)-1)="STa", "SPI", LEFT(A220, LEN(A220)-1)="STb", "SPO", LEFT(A220, LEN(A220)-1)="MRT", "MRT", LEFT(A220, LEN(A220)-1)="RG", "RN", LEFT(A220, LEN(A220)-1)="RT", "RU", LEFT(A220, LEN(A220)-1)="RW", "RL", LEFT(A220, LEN(A220)-1)="RC", "RS")</f>
        <v>EP</v>
      </c>
      <c r="C220" s="117">
        <f>qPCR_Raw!B220</f>
        <v>44433</v>
      </c>
      <c r="D220" s="117" t="str">
        <f t="shared" si="54"/>
        <v>EP44433</v>
      </c>
      <c r="E220" s="117" t="str">
        <f t="shared" si="55"/>
        <v>EP444336</v>
      </c>
      <c r="F220" s="118">
        <f>qPCR_Raw!C220</f>
        <v>940</v>
      </c>
      <c r="G220" s="119">
        <f>qPCR_Raw!F220</f>
        <v>100</v>
      </c>
      <c r="H220" s="120">
        <f>qPCR_Raw!G220</f>
        <v>18.616317749023438</v>
      </c>
      <c r="I220" s="121" cm="1">
        <f t="array" ref="I220">_xlfn.IFS(H220="Undetermined", 0, qPCR_Raw!H220-qPCR_Raw!$H$242&lt;0, 0, qPCR_Raw!H220-qPCR_Raw!$H$242&gt;0, qPCR_Raw!H220-qPCR_Raw!$H$242)</f>
        <v>227473.70519612631</v>
      </c>
      <c r="J220" s="122">
        <f>qPCR_Raw!K220</f>
        <v>23.043233871459961</v>
      </c>
      <c r="K220" s="121" cm="1">
        <f t="array" ref="K220">_xlfn.IFS(J220="Undetermined", 0, qPCR_Raw!L220-qPCR_Raw!$H$242&lt;0, 0, qPCR_Raw!L220-qPCR_Raw!$H$242&gt;0, qPCR_Raw!L220-qPCR_Raw!$H$242)</f>
        <v>0</v>
      </c>
      <c r="L220" s="123" t="str" cm="1">
        <f t="array" ref="L220">_xlfn.IFS(AND(H220="Undetermined", J220="Undetermined"), "Undetermined", AND(I220=0, K220=0), "Undetermined", AND(I220=0, K220&gt;0), "Ten-Fold", AND(I220&gt;0, K220=0), "Undiluted", AND(H220&lt;&gt;"Undetermined", J220&lt;&gt;"Undetermined", I220&gt;0, K220&gt;0), 100*(-1+10^(-1/(H220-J220))))</f>
        <v>Undiluted</v>
      </c>
      <c r="M220" s="124" cm="1">
        <f t="array" ref="M220">_xlfn.IFS(L220="Undetermined", 0, L220="Undiluted", I220*$G220/$F220*1000, L220="Ten-Fold", K220*$G220/$F220*1000*10, L220&lt;0, K220*$G220/$F220*1000*10, L220&lt;120, I220*$G220/$F220*1000, L220&gt;120, K220*$G220/$F220*1000*10)</f>
        <v>24199330.340013437</v>
      </c>
      <c r="N220" s="121">
        <f t="shared" si="56"/>
        <v>14943283.907004593</v>
      </c>
      <c r="O220" s="121">
        <f t="shared" si="57"/>
        <v>13090026.399516217</v>
      </c>
      <c r="P220" s="121">
        <f t="shared" si="58"/>
        <v>9256046.433008844</v>
      </c>
      <c r="Q220" s="125" cm="1">
        <f t="array" ref="Q220">_xlfn.IFS(N220="DELETE", "DELETE", N220=0, 0, N220&gt;0,LOG10(N220))</f>
        <v>7.1744460476783178</v>
      </c>
      <c r="R220" s="126" cm="1">
        <f t="array" ref="R220">_xlfn.IFS(N220="DELETE", "DELETE", N220=0, 0, N220&gt;0, P220/N220/LN(10))</f>
        <v>0.26900712822646244</v>
      </c>
      <c r="S220" s="155">
        <f>qPCR_Raw!O220</f>
        <v>33.493984222412109</v>
      </c>
      <c r="T220" s="156" cm="1">
        <f t="array" ref="T220">_xlfn.IFS(S220="Undetermined", 0, qPCR_Raw!P220&lt;=1, 0, qPCR_Raw!P220&gt;1, qPCR_Raw!P220)</f>
        <v>17.758369445800781</v>
      </c>
      <c r="U220" s="157">
        <f>qPCR_Raw!R220</f>
        <v>36.819477081298828</v>
      </c>
      <c r="V220" s="156" cm="1">
        <f t="array" ref="V220">_xlfn.IFS(U220="Undetermined", 0, qPCR_Raw!S220&lt;=1, 0, qPCR_Raw!S220&gt;1, qPCR_Raw!S220)</f>
        <v>2.1887807846069336</v>
      </c>
      <c r="W220" s="158" cm="1">
        <f t="array" ref="W220">_xlfn.IFS(AND(S220="Undetermined", U220="Undetermined"), "Undetermined", AND(T220=0, V220=0), "Undetermined", AND(T220=0, V220&gt;0), "Ten-Fold", AND(T220&gt;0, V220=0), "Undiluted", AND(S220&lt;&gt;"Undetermined", U220&lt;&gt;"Undetermined", T220&gt;0, V220&gt;0, S220&lt;&gt;U220), 100*(-1+10^(-1/(S220-U220))), AND(S220&lt;&gt;"Undetermined", U220&lt;&gt;"Undetermined", S220=U220&gt;0), -100)</f>
        <v>99.851451289664482</v>
      </c>
      <c r="X220" s="159" cm="1">
        <f t="array" ref="X220">_xlfn.IFS(W220="Undetermined", 0, W220="Undiluted", T220*$G220/$F220*1000, W220="Ten-Fold", V220*$G220/$F220*1000*10, W220&lt;0, V220*$G220/$F220*1000*10, W220&lt;120, T220*$G220/$F220*1000, W220&gt;120, V220*$G220/$F220*1000*10)</f>
        <v>1889.1882389149769</v>
      </c>
      <c r="Y220" s="156">
        <f t="shared" si="59"/>
        <v>1478.2960818956112</v>
      </c>
      <c r="Z220" s="156">
        <f t="shared" si="60"/>
        <v>581.0892611295227</v>
      </c>
      <c r="AA220" s="156">
        <f t="shared" si="61"/>
        <v>410.89215701936598</v>
      </c>
      <c r="AB220" s="160" cm="1">
        <f t="array" ref="AB220">_xlfn.IFS(Y220="DELETE", "DELETE", Y220=0, 0, Y220&gt;0,LOG10(Y220))</f>
        <v>3.1697614258419864</v>
      </c>
      <c r="AC220" s="161" cm="1">
        <f t="array" ref="AC220">_xlfn.IFS(Y220="DELETE", "DELETE", Y220=0, 0, Y220&gt;0, AA220/Y220/LN(10))</f>
        <v>0.12071208104807526</v>
      </c>
      <c r="AD220" s="120">
        <f>qPCR_Raw!U220</f>
        <v>29.930215835571289</v>
      </c>
      <c r="AE220" s="121" cm="1">
        <f t="array" ref="AE220">_xlfn.IFS(AD220="Undetermined", 0, qPCR_Raw!V220&lt;=1, 0, qPCR_Raw!V220&gt;1, qPCR_Raw!V220)</f>
        <v>16.179672241210938</v>
      </c>
      <c r="AF220" s="122">
        <f>qPCR_Raw!X220</f>
        <v>36.0501708984375</v>
      </c>
      <c r="AG220" s="121" cm="1">
        <f t="array" ref="AG220">_xlfn.IFS(AF220="Undetermined", 0, qPCR_Raw!Y220&lt;=1, 0, qPCR_Raw!Y220&gt;1, qPCR_Raw!Y220)</f>
        <v>0</v>
      </c>
      <c r="AH220" s="123" t="str" cm="1">
        <f t="array" ref="AH220">_xlfn.IFS(AND(AD220="Undetermined", AF220="Undetermined"), "Undetermined", AND(AE220=0, AG220=0), "Undetermined", AND(AE220=0, AG220&gt;0), "Ten-Fold", AND(AE220&gt;0, AG220=0), "Undiluted", AND(AD220&lt;&gt;"Undetermined", AF220&lt;&gt;"Undetermined", AE220&gt;0, AG220&gt;0, AD220&lt;&gt;AF220), 100*(-1+10^(-1/(AD220-AF220))), AND(AD220&lt;&gt;"Undetermined", AF220&lt;&gt;"Undetermined", AD220=AF220&gt;0), -100)</f>
        <v>Undiluted</v>
      </c>
      <c r="AI220" s="124" cm="1">
        <f t="array" ref="AI220">_xlfn.IFS(AH220="Undetermined", 0, AH220="Undiluted", AE220*$G220/$F220*1000, AH220="Ten-Fold", AG220*$G220/$F220*1000*10, AH220&lt;0, AG220*$G220/$F220*1000*10, AH220&lt;120, AE220*$G220/$F220*1000, AH220&gt;120, AG220*$G220/$F220*1000*10)</f>
        <v>1721.2417277883976</v>
      </c>
      <c r="AJ220" s="121">
        <f t="shared" si="62"/>
        <v>1884.2374628346424</v>
      </c>
      <c r="AK220" s="121">
        <f t="shared" si="63"/>
        <v>230.51077911137119</v>
      </c>
      <c r="AL220" s="121">
        <f t="shared" si="64"/>
        <v>162.99573504624493</v>
      </c>
      <c r="AM220" s="125" cm="1">
        <f t="array" ref="AM220">_xlfn.IFS(AJ220="DELETE", "DELETE", AJ220=0, 0, AJ220&gt;0,LOG10(AJ220))</f>
        <v>3.2751356342848927</v>
      </c>
      <c r="AN220" s="126" cm="1">
        <f t="array" ref="AN220">_xlfn.IFS(AJ220="DELETE", "DELETE", AJ220=0, 0, AJ220&gt;0, AL220/AJ220/LN(10))</f>
        <v>3.7568591910838625E-2</v>
      </c>
      <c r="AO220" s="155">
        <f>qPCR_Raw!AA220</f>
        <v>26.889814376831055</v>
      </c>
      <c r="AP220" s="156" cm="1">
        <f t="array" ref="AP220">_xlfn.IFS(AO220="Undetermined", 0, qPCR_Raw!AB220&lt;=6, 0, qPCR_Raw!AB220&gt;6, qPCR_Raw!AB220)</f>
        <v>15.255495071411133</v>
      </c>
      <c r="AQ220" s="157" t="str">
        <f>qPCR_Raw!AD220</f>
        <v>Undetermined</v>
      </c>
      <c r="AR220" s="156" cm="1">
        <f t="array" ref="AR220">_xlfn.IFS(AQ220="Undetermined", 0, qPCR_Raw!AE220&lt;=6, 0, qPCR_Raw!AE220&gt;6, qPCR_Raw!AE220)</f>
        <v>0</v>
      </c>
      <c r="AS220" s="158" t="str" cm="1">
        <f t="array" ref="AS220">_xlfn.IFS(AND(AO220="Undetermined", AQ220="Undetermined"), "Undetermined", AND(AP220=0, AR220=0), "Undetermined", AND(AP220=0, AR220&gt;0), "Ten-Fold", AND(AP220&gt;0, AR220=0), "Undiluted", AND(AO220&lt;&gt;"Undetermined", AQ220&lt;&gt;"Undetermined", AP220&gt;0, AR220&gt;0, AO220&lt;&gt;AQ220), 100*(-1+10^(-1/(AO220-AQ220))), AND(AO220&lt;&gt;"Undetermined", AQ220&lt;&gt;"Undetermined", AO220=AQ220&gt;0), -100)</f>
        <v>Undiluted</v>
      </c>
      <c r="AT220" s="159" cm="1">
        <f t="array" ref="AT220">_xlfn.IFS(AS220="Undetermined", 0, AS220="Undiluted", AP220*$G220/$F220*1000, AS220="Ten-Fold", AR220*$G220/$F220*1000*10, AS220&lt;0, AR220*$G220/$F220*1000*10, AS220&lt;120, AP220*$G220/$F220*1000, AS220&gt;120, AR220*$G220/$F220*1000*10)</f>
        <v>1622.9250075969289</v>
      </c>
      <c r="AU220" s="156">
        <f t="shared" si="65"/>
        <v>1174.4201512755376</v>
      </c>
      <c r="AV220" s="156">
        <f t="shared" si="66"/>
        <v>634.28165059990818</v>
      </c>
      <c r="AW220" s="156">
        <f t="shared" si="67"/>
        <v>448.50485632139146</v>
      </c>
      <c r="AX220" s="160" cm="1">
        <f t="array" ref="AX220">_xlfn.IFS(AU220="DELETE", "DELETE", AU220=0, 0, AU220&gt;0,LOG10(AU220))</f>
        <v>3.0698234944731251</v>
      </c>
      <c r="AY220" s="161" cm="1">
        <f t="array" ref="AY220">_xlfn.IFS(AU220="DELETE", "DELETE", AU220=0, 0, AU220&gt;0, AW220/AU220/LN(10))</f>
        <v>0.16585477011411723</v>
      </c>
      <c r="AZ220" s="120">
        <f>qPCR_Raw!AG220</f>
        <v>38.215538024902344</v>
      </c>
      <c r="BA220" s="121" cm="1">
        <f t="array" ref="BA220">_xlfn.IFS(AZ220="Undetermined", 0, qPCR_Raw!AH220&lt;=1, 0, qPCR_Raw!AH220&gt;1, qPCR_Raw!AH220)</f>
        <v>0</v>
      </c>
      <c r="BB220" s="122" t="str">
        <f>qPCR_Raw!AJ220</f>
        <v>Undetermined</v>
      </c>
      <c r="BC220" s="121" cm="1">
        <f t="array" ref="BC220">_xlfn.IFS(BB220="Undetermined", 0, qPCR_Raw!AK220&lt;=1, 0, qPCR_Raw!AK220&gt;1, qPCR_Raw!AK220)</f>
        <v>0</v>
      </c>
      <c r="BD220" s="123" t="str" cm="1">
        <f t="array" ref="BD220">_xlfn.IFS(AND(AZ220="Undetermined", BB220="Undetermined"), "Undetermined", AND(BA220=0, BC220=0), "Undetermined", AND(BA220=0, BC220&gt;0), "Ten-Fold", AND(BA220&gt;0, BC220=0), "Undiluted", AND(AZ220&lt;&gt;"Undetermined", BB220&lt;&gt;"Undetermined", BA220&gt;0, BC220&gt;0, AZ220&lt;&gt;BB220), 100*(-1+10^(-1/(AZ220-BB220))), AND(AZ220&lt;&gt;"Undetermined", BB220&lt;&gt;"Undetermined", AZ220=BB220&gt;0), -100)</f>
        <v>Undetermined</v>
      </c>
      <c r="BE220" s="124" cm="1">
        <f t="array" ref="BE220">_xlfn.IFS(BD220="Undetermined", 0, BD220="Undiluted", BA220*$G220/$F220*1000, BD220="Ten-Fold", BC220*$G220/$F220*1000*10, BD220&lt;0, BC220*$G220/$F220*1000*10, BD220&lt;120, BA220*$G220/$F220*1000, BD220&gt;120, BC220*$G220/$F220*1000*10)</f>
        <v>0</v>
      </c>
      <c r="BF220" s="121">
        <f t="shared" si="68"/>
        <v>0</v>
      </c>
      <c r="BG220" s="121">
        <f t="shared" si="69"/>
        <v>0</v>
      </c>
      <c r="BH220" s="121">
        <f t="shared" si="70"/>
        <v>0</v>
      </c>
      <c r="BI220" s="125" cm="1">
        <f t="array" ref="BI220">_xlfn.IFS(BF220="DELETE", "DELETE", BF220=0, 0, BF220&gt;0,LOG10(BF220))</f>
        <v>0</v>
      </c>
      <c r="BJ220" s="126" cm="1">
        <f t="array" ref="BJ220">_xlfn.IFS(BF220="DELETE", "DELETE", BF220=0, 0, BF220&gt;0, BH220/BF220/LN(10))</f>
        <v>0</v>
      </c>
    </row>
    <row r="221" spans="1:62" s="114" customFormat="1" x14ac:dyDescent="0.3">
      <c r="A221" s="115" t="str">
        <f>UPPER(LEFT(SUBSTITUTE(SUBSTITUTE(qPCR_Raw!A221,"-","")," ",""),2))&amp;RIGHT(SUBSTITUTE(SUBSTITUTE(qPCR_Raw!A221,"-","")," ",""),LEN(SUBSTITUTE(SUBSTITUTE(qPCR_Raw!A221,"-","")," ",""))-2)</f>
        <v>EP7</v>
      </c>
      <c r="B221" s="116" t="str" cm="1">
        <f t="array" ref="B221">_xlfn.IFS(LEFT(A221, LEN(A221)-1)="EP", "EP", LEFT(A221, LEN(A221)-1)="STa", "SPI", LEFT(A221, LEN(A221)-1)="STb", "SPO", LEFT(A221, LEN(A221)-1)="MRT", "MRT", LEFT(A221, LEN(A221)-1)="RG", "RN", LEFT(A221, LEN(A221)-1)="RT", "RU", LEFT(A221, LEN(A221)-1)="RW", "RL", LEFT(A221, LEN(A221)-1)="RC", "RS")</f>
        <v>EP</v>
      </c>
      <c r="C221" s="117">
        <f>qPCR_Raw!B221</f>
        <v>44433</v>
      </c>
      <c r="D221" s="117" t="str">
        <f t="shared" si="54"/>
        <v>EP44433</v>
      </c>
      <c r="E221" s="117" t="str">
        <f t="shared" si="55"/>
        <v>EP444337</v>
      </c>
      <c r="F221" s="118">
        <f>qPCR_Raw!C221</f>
        <v>870</v>
      </c>
      <c r="G221" s="119">
        <f>qPCR_Raw!F221</f>
        <v>100</v>
      </c>
      <c r="H221" s="120">
        <f>qPCR_Raw!G221</f>
        <v>19.708780288696289</v>
      </c>
      <c r="I221" s="121" cm="1">
        <f t="array" ref="I221">_xlfn.IFS(H221="Undetermined", 0, qPCR_Raw!H221-qPCR_Raw!$H$242&lt;0, 0, qPCR_Raw!H221-qPCR_Raw!$H$242&gt;0, qPCR_Raw!H221-qPCR_Raw!$H$242)</f>
        <v>102311.73644612631</v>
      </c>
      <c r="J221" s="122">
        <f>qPCR_Raw!K221</f>
        <v>22.474653244018555</v>
      </c>
      <c r="K221" s="121" cm="1">
        <f t="array" ref="K221">_xlfn.IFS(J221="Undetermined", 0, qPCR_Raw!L221-qPCR_Raw!$H$242&lt;0, 0, qPCR_Raw!L221-qPCR_Raw!$H$242&gt;0, qPCR_Raw!L221-qPCR_Raw!$H$242)</f>
        <v>4947.8966023763023</v>
      </c>
      <c r="L221" s="123" cm="1">
        <f t="array" ref="L221">_xlfn.IFS(AND(H221="Undetermined", J221="Undetermined"), "Undetermined", AND(I221=0, K221=0), "Undetermined", AND(I221=0, K221&gt;0), "Ten-Fold", AND(I221&gt;0, K221=0), "Undiluted", AND(H221&lt;&gt;"Undetermined", J221&lt;&gt;"Undetermined", I221&gt;0, K221&gt;0), 100*(-1+10^(-1/(H221-J221))))</f>
        <v>129.90557665266255</v>
      </c>
      <c r="M221" s="124" cm="1">
        <f t="array" ref="M221">_xlfn.IFS(L221="Undetermined", 0, L221="Undiluted", I221*$G221/$F221*1000, L221="Ten-Fold", K221*$G221/$F221*1000*10, L221&lt;0, K221*$G221/$F221*1000*10, L221&lt;120, I221*$G221/$F221*1000, L221&gt;120, K221*$G221/$F221*1000*10)</f>
        <v>5687237.4739957498</v>
      </c>
      <c r="N221" s="121" t="str">
        <f t="shared" si="56"/>
        <v>DELETE</v>
      </c>
      <c r="O221" s="121" t="str">
        <f t="shared" si="57"/>
        <v>DELETE</v>
      </c>
      <c r="P221" s="121" t="str">
        <f t="shared" si="58"/>
        <v>DELETE</v>
      </c>
      <c r="Q221" s="125" t="str" cm="1">
        <f t="array" ref="Q221">_xlfn.IFS(N221="DELETE", "DELETE", N221=0, 0, N221&gt;0,LOG10(N221))</f>
        <v>DELETE</v>
      </c>
      <c r="R221" s="126" t="str" cm="1">
        <f t="array" ref="R221">_xlfn.IFS(N221="DELETE", "DELETE", N221=0, 0, N221&gt;0, P221/N221/LN(10))</f>
        <v>DELETE</v>
      </c>
      <c r="S221" s="155">
        <f>qPCR_Raw!O221</f>
        <v>34.523799896240234</v>
      </c>
      <c r="T221" s="156" cm="1">
        <f t="array" ref="T221">_xlfn.IFS(S221="Undetermined", 0, qPCR_Raw!P221&lt;=1, 0, qPCR_Raw!P221&gt;1, qPCR_Raw!P221)</f>
        <v>9.2864141464233398</v>
      </c>
      <c r="U221" s="157">
        <f>qPCR_Raw!R221</f>
        <v>39.616073608398438</v>
      </c>
      <c r="V221" s="156" cm="1">
        <f t="array" ref="V221">_xlfn.IFS(U221="Undetermined", 0, qPCR_Raw!S221&lt;=1, 0, qPCR_Raw!S221&gt;1, qPCR_Raw!S221)</f>
        <v>0</v>
      </c>
      <c r="W221" s="158" t="str" cm="1">
        <f t="array" ref="W221">_xlfn.IFS(AND(S221="Undetermined", U221="Undetermined"), "Undetermined", AND(T221=0, V221=0), "Undetermined", AND(T221=0, V221&gt;0), "Ten-Fold", AND(T221&gt;0, V221=0), "Undiluted", AND(S221&lt;&gt;"Undetermined", U221&lt;&gt;"Undetermined", T221&gt;0, V221&gt;0, S221&lt;&gt;U221), 100*(-1+10^(-1/(S221-U221))), AND(S221&lt;&gt;"Undetermined", U221&lt;&gt;"Undetermined", S221=U221&gt;0), -100)</f>
        <v>Undiluted</v>
      </c>
      <c r="X221" s="159" cm="1">
        <f t="array" ref="X221">_xlfn.IFS(W221="Undetermined", 0, W221="Undiluted", T221*$G221/$F221*1000, W221="Ten-Fold", V221*$G221/$F221*1000*10, W221&lt;0, V221*$G221/$F221*1000*10, W221&lt;120, T221*$G221/$F221*1000, W221&gt;120, V221*$G221/$F221*1000*10)</f>
        <v>1067.4039248762458</v>
      </c>
      <c r="Y221" s="156" t="str">
        <f t="shared" si="59"/>
        <v>DELETE</v>
      </c>
      <c r="Z221" s="156" t="str">
        <f t="shared" si="60"/>
        <v>DELETE</v>
      </c>
      <c r="AA221" s="156" t="str">
        <f t="shared" si="61"/>
        <v>DELETE</v>
      </c>
      <c r="AB221" s="160" t="str" cm="1">
        <f t="array" ref="AB221">_xlfn.IFS(Y221="DELETE", "DELETE", Y221=0, 0, Y221&gt;0,LOG10(Y221))</f>
        <v>DELETE</v>
      </c>
      <c r="AC221" s="161" t="str" cm="1">
        <f t="array" ref="AC221">_xlfn.IFS(Y221="DELETE", "DELETE", Y221=0, 0, Y221&gt;0, AA221/Y221/LN(10))</f>
        <v>DELETE</v>
      </c>
      <c r="AD221" s="120">
        <f>qPCR_Raw!U221</f>
        <v>31.2392578125</v>
      </c>
      <c r="AE221" s="121" cm="1">
        <f t="array" ref="AE221">_xlfn.IFS(AD221="Undetermined", 0, qPCR_Raw!V221&lt;=1, 0, qPCR_Raw!V221&gt;1, qPCR_Raw!V221)</f>
        <v>6.7227544784545898</v>
      </c>
      <c r="AF221" s="122">
        <f>qPCR_Raw!X221</f>
        <v>33.219043731689453</v>
      </c>
      <c r="AG221" s="121" cm="1">
        <f t="array" ref="AG221">_xlfn.IFS(AF221="Undetermined", 0, qPCR_Raw!Y221&lt;=1, 0, qPCR_Raw!Y221&gt;1, qPCR_Raw!Y221)</f>
        <v>1.7810928821563721</v>
      </c>
      <c r="AH221" s="123" cm="1">
        <f t="array" ref="AH221">_xlfn.IFS(AND(AD221="Undetermined", AF221="Undetermined"), "Undetermined", AND(AE221=0, AG221=0), "Undetermined", AND(AE221=0, AG221&gt;0), "Ten-Fold", AND(AE221&gt;0, AG221=0), "Undiluted", AND(AD221&lt;&gt;"Undetermined", AF221&lt;&gt;"Undetermined", AE221&gt;0, AG221&gt;0, AD221&lt;&gt;AF221), 100*(-1+10^(-1/(AD221-AF221))), AND(AD221&lt;&gt;"Undetermined", AF221&lt;&gt;"Undetermined", AD221=AF221&gt;0), -100)</f>
        <v>219.96694728020464</v>
      </c>
      <c r="AI221" s="124" cm="1">
        <f t="array" ref="AI221">_xlfn.IFS(AH221="Undetermined", 0, AH221="Undiluted", AE221*$G221/$F221*1000, AH221="Ten-Fold", AG221*$G221/$F221*1000*10, AH221&lt;0, AG221*$G221/$F221*1000*10, AH221&lt;120, AE221*$G221/$F221*1000, AH221&gt;120, AG221*$G221/$F221*1000*10)</f>
        <v>2047.2331978808875</v>
      </c>
      <c r="AJ221" s="121" t="str">
        <f t="shared" si="62"/>
        <v>DELETE</v>
      </c>
      <c r="AK221" s="121" t="str">
        <f t="shared" si="63"/>
        <v>DELETE</v>
      </c>
      <c r="AL221" s="121" t="str">
        <f t="shared" si="64"/>
        <v>DELETE</v>
      </c>
      <c r="AM221" s="125" t="str" cm="1">
        <f t="array" ref="AM221">_xlfn.IFS(AJ221="DELETE", "DELETE", AJ221=0, 0, AJ221&gt;0,LOG10(AJ221))</f>
        <v>DELETE</v>
      </c>
      <c r="AN221" s="126" t="str" cm="1">
        <f t="array" ref="AN221">_xlfn.IFS(AJ221="DELETE", "DELETE", AJ221=0, 0, AJ221&gt;0, AL221/AJ221/LN(10))</f>
        <v>DELETE</v>
      </c>
      <c r="AO221" s="155">
        <f>qPCR_Raw!AA221</f>
        <v>28.183391571044922</v>
      </c>
      <c r="AP221" s="156" cm="1">
        <f t="array" ref="AP221">_xlfn.IFS(AO221="Undetermined", 0, qPCR_Raw!AB221&lt;=6, 0, qPCR_Raw!AB221&gt;6, qPCR_Raw!AB221)</f>
        <v>6.3154630661010742</v>
      </c>
      <c r="AQ221" s="157">
        <f>qPCR_Raw!AD221</f>
        <v>30.481760025024414</v>
      </c>
      <c r="AR221" s="156" cm="1">
        <f t="array" ref="AR221">_xlfn.IFS(AQ221="Undetermined", 0, qPCR_Raw!AE221&lt;=6, 0, qPCR_Raw!AE221&gt;6, qPCR_Raw!AE221)</f>
        <v>0</v>
      </c>
      <c r="AS221" s="158" t="str" cm="1">
        <f t="array" ref="AS221">_xlfn.IFS(AND(AO221="Undetermined", AQ221="Undetermined"), "Undetermined", AND(AP221=0, AR221=0), "Undetermined", AND(AP221=0, AR221&gt;0), "Ten-Fold", AND(AP221&gt;0, AR221=0), "Undiluted", AND(AO221&lt;&gt;"Undetermined", AQ221&lt;&gt;"Undetermined", AP221&gt;0, AR221&gt;0, AO221&lt;&gt;AQ221), 100*(-1+10^(-1/(AO221-AQ221))), AND(AO221&lt;&gt;"Undetermined", AQ221&lt;&gt;"Undetermined", AO221=AQ221&gt;0), -100)</f>
        <v>Undiluted</v>
      </c>
      <c r="AT221" s="159" cm="1">
        <f t="array" ref="AT221">_xlfn.IFS(AS221="Undetermined", 0, AS221="Undiluted", AP221*$G221/$F221*1000, AS221="Ten-Fold", AR221*$G221/$F221*1000*10, AS221&lt;0, AR221*$G221/$F221*1000*10, AS221&lt;120, AP221*$G221/$F221*1000, AS221&gt;120, AR221*$G221/$F221*1000*10)</f>
        <v>725.91529495414636</v>
      </c>
      <c r="AU221" s="156" t="str">
        <f t="shared" si="65"/>
        <v>DELETE</v>
      </c>
      <c r="AV221" s="156" t="str">
        <f t="shared" si="66"/>
        <v>DELETE</v>
      </c>
      <c r="AW221" s="156" t="str">
        <f t="shared" si="67"/>
        <v>DELETE</v>
      </c>
      <c r="AX221" s="160" t="str" cm="1">
        <f t="array" ref="AX221">_xlfn.IFS(AU221="DELETE", "DELETE", AU221=0, 0, AU221&gt;0,LOG10(AU221))</f>
        <v>DELETE</v>
      </c>
      <c r="AY221" s="161" t="str" cm="1">
        <f t="array" ref="AY221">_xlfn.IFS(AU221="DELETE", "DELETE", AU221=0, 0, AU221&gt;0, AW221/AU221/LN(10))</f>
        <v>DELETE</v>
      </c>
      <c r="AZ221" s="120" t="str">
        <f>qPCR_Raw!AG221</f>
        <v>Undetermined</v>
      </c>
      <c r="BA221" s="121" cm="1">
        <f t="array" ref="BA221">_xlfn.IFS(AZ221="Undetermined", 0, qPCR_Raw!AH221&lt;=1, 0, qPCR_Raw!AH221&gt;1, qPCR_Raw!AH221)</f>
        <v>0</v>
      </c>
      <c r="BB221" s="122" t="str">
        <f>qPCR_Raw!AJ221</f>
        <v>Undetermined</v>
      </c>
      <c r="BC221" s="121" cm="1">
        <f t="array" ref="BC221">_xlfn.IFS(BB221="Undetermined", 0, qPCR_Raw!AK221&lt;=1, 0, qPCR_Raw!AK221&gt;1, qPCR_Raw!AK221)</f>
        <v>0</v>
      </c>
      <c r="BD221" s="123" t="str" cm="1">
        <f t="array" ref="BD221">_xlfn.IFS(AND(AZ221="Undetermined", BB221="Undetermined"), "Undetermined", AND(BA221=0, BC221=0), "Undetermined", AND(BA221=0, BC221&gt;0), "Ten-Fold", AND(BA221&gt;0, BC221=0), "Undiluted", AND(AZ221&lt;&gt;"Undetermined", BB221&lt;&gt;"Undetermined", BA221&gt;0, BC221&gt;0, AZ221&lt;&gt;BB221), 100*(-1+10^(-1/(AZ221-BB221))), AND(AZ221&lt;&gt;"Undetermined", BB221&lt;&gt;"Undetermined", AZ221=BB221&gt;0), -100)</f>
        <v>Undetermined</v>
      </c>
      <c r="BE221" s="124" cm="1">
        <f t="array" ref="BE221">_xlfn.IFS(BD221="Undetermined", 0, BD221="Undiluted", BA221*$G221/$F221*1000, BD221="Ten-Fold", BC221*$G221/$F221*1000*10, BD221&lt;0, BC221*$G221/$F221*1000*10, BD221&lt;120, BA221*$G221/$F221*1000, BD221&gt;120, BC221*$G221/$F221*1000*10)</f>
        <v>0</v>
      </c>
      <c r="BF221" s="121" t="str">
        <f t="shared" si="68"/>
        <v>DELETE</v>
      </c>
      <c r="BG221" s="121" t="str">
        <f t="shared" si="69"/>
        <v>DELETE</v>
      </c>
      <c r="BH221" s="121" t="str">
        <f t="shared" si="70"/>
        <v>DELETE</v>
      </c>
      <c r="BI221" s="125" t="str" cm="1">
        <f t="array" ref="BI221">_xlfn.IFS(BF221="DELETE", "DELETE", BF221=0, 0, BF221&gt;0,LOG10(BF221))</f>
        <v>DELETE</v>
      </c>
      <c r="BJ221" s="126" t="str" cm="1">
        <f t="array" ref="BJ221">_xlfn.IFS(BF221="DELETE", "DELETE", BF221=0, 0, BF221&gt;0, BH221/BF221/LN(10))</f>
        <v>DELETE</v>
      </c>
    </row>
    <row r="222" spans="1:62" s="114" customFormat="1" x14ac:dyDescent="0.3">
      <c r="A222" s="115" t="str">
        <f>UPPER(LEFT(SUBSTITUTE(SUBSTITUTE(qPCR_Raw!A222,"-","")," ",""),2))&amp;RIGHT(SUBSTITUTE(SUBSTITUTE(qPCR_Raw!A222,"-","")," ",""),LEN(SUBSTITUTE(SUBSTITUTE(qPCR_Raw!A222,"-","")," ",""))-2)</f>
        <v>RW6</v>
      </c>
      <c r="B222" s="116" t="str" cm="1">
        <f t="array" ref="B222">_xlfn.IFS(LEFT(A222, LEN(A222)-1)="EP", "EP", LEFT(A222, LEN(A222)-1)="STa", "SPI", LEFT(A222, LEN(A222)-1)="STb", "SPO", LEFT(A222, LEN(A222)-1)="MRT", "MRT", LEFT(A222, LEN(A222)-1)="RG", "RN", LEFT(A222, LEN(A222)-1)="RT", "RU", LEFT(A222, LEN(A222)-1)="RW", "RL", LEFT(A222, LEN(A222)-1)="RC", "RS")</f>
        <v>RL</v>
      </c>
      <c r="C222" s="117">
        <f>qPCR_Raw!B222</f>
        <v>44433</v>
      </c>
      <c r="D222" s="117" t="str">
        <f t="shared" si="54"/>
        <v>RL44433</v>
      </c>
      <c r="E222" s="117" t="str">
        <f t="shared" si="55"/>
        <v>RL444336</v>
      </c>
      <c r="F222" s="118">
        <f>qPCR_Raw!C222</f>
        <v>865</v>
      </c>
      <c r="G222" s="119">
        <f>qPCR_Raw!F222</f>
        <v>100</v>
      </c>
      <c r="H222" s="120">
        <f>qPCR_Raw!G222</f>
        <v>13.730470657348633</v>
      </c>
      <c r="I222" s="121" cm="1">
        <f t="array" ref="I222">_xlfn.IFS(H222="Undetermined", 0, qPCR_Raw!H222-qPCR_Raw!$H$242&lt;0, 0, qPCR_Raw!H222-qPCR_Raw!$H$242&gt;0, qPCR_Raw!H222-qPCR_Raw!$H$242)</f>
        <v>6424678.3614461264</v>
      </c>
      <c r="J222" s="122">
        <f>qPCR_Raw!K222</f>
        <v>17.203210830688477</v>
      </c>
      <c r="K222" s="121" cm="1">
        <f t="array" ref="K222">_xlfn.IFS(J222="Undetermined", 0, qPCR_Raw!L222-qPCR_Raw!$H$242&lt;0, 0, qPCR_Raw!L222-qPCR_Raw!$H$242&gt;0, qPCR_Raw!L222-qPCR_Raw!$H$242)</f>
        <v>609260.04894612625</v>
      </c>
      <c r="L222" s="123" cm="1">
        <f t="array" ref="L222">_xlfn.IFS(AND(H222="Undetermined", J222="Undetermined"), "Undetermined", AND(I222=0, K222=0), "Undetermined", AND(I222=0, K222&gt;0), "Ten-Fold", AND(I222&gt;0, K222=0), "Undiluted", AND(H222&lt;&gt;"Undetermined", J222&lt;&gt;"Undetermined", I222&gt;0, K222&gt;0), 100*(-1+10^(-1/(H222-J222))))</f>
        <v>94.069392093361941</v>
      </c>
      <c r="M222" s="124" cm="1">
        <f t="array" ref="M222">_xlfn.IFS(L222="Undetermined", 0, L222="Undiluted", I222*$G222/$F222*1000, L222="Ten-Fold", K222*$G222/$F222*1000*10, L222&lt;0, K222*$G222/$F222*1000*10, L222&lt;120, I222*$G222/$F222*1000, L222&gt;120, K222*$G222/$F222*1000*10)</f>
        <v>742737382.82614183</v>
      </c>
      <c r="N222" s="121">
        <f t="shared" si="56"/>
        <v>596329571.0607121</v>
      </c>
      <c r="O222" s="121">
        <f t="shared" si="57"/>
        <v>207051913.03603792</v>
      </c>
      <c r="P222" s="121">
        <f t="shared" si="58"/>
        <v>146407811.76542974</v>
      </c>
      <c r="Q222" s="125" cm="1">
        <f t="array" ref="Q222">_xlfn.IFS(N222="DELETE", "DELETE", N222=0, 0, N222&gt;0,LOG10(N222))</f>
        <v>8.7754863458710872</v>
      </c>
      <c r="R222" s="126" cm="1">
        <f t="array" ref="R222">_xlfn.IFS(N222="DELETE", "DELETE", N222=0, 0, N222&gt;0, P222/N222/LN(10))</f>
        <v>0.10662577850056448</v>
      </c>
      <c r="S222" s="155">
        <f>qPCR_Raw!O222</f>
        <v>30.437223434448242</v>
      </c>
      <c r="T222" s="156" cm="1">
        <f t="array" ref="T222">_xlfn.IFS(S222="Undetermined", 0, qPCR_Raw!P222&lt;=1, 0, qPCR_Raw!P222&gt;1, qPCR_Raw!P222)</f>
        <v>121.65547180175781</v>
      </c>
      <c r="U222" s="157">
        <f>qPCR_Raw!R222</f>
        <v>35.050502777099609</v>
      </c>
      <c r="V222" s="156" cm="1">
        <f t="array" ref="V222">_xlfn.IFS(U222="Undetermined", 0, qPCR_Raw!S222&lt;=1, 0, qPCR_Raw!S222&gt;1, qPCR_Raw!S222)</f>
        <v>6.6656994819641113</v>
      </c>
      <c r="W222" s="158" cm="1">
        <f t="array" ref="W222">_xlfn.IFS(AND(S222="Undetermined", U222="Undetermined"), "Undetermined", AND(T222=0, V222=0), "Undetermined", AND(T222=0, V222&gt;0), "Ten-Fold", AND(T222&gt;0, V222=0), "Undiluted", AND(S222&lt;&gt;"Undetermined", U222&lt;&gt;"Undetermined", T222&gt;0, V222&gt;0, S222&lt;&gt;U222), 100*(-1+10^(-1/(S222-U222))), AND(S222&lt;&gt;"Undetermined", U222&lt;&gt;"Undetermined", S222=U222&gt;0), -100)</f>
        <v>64.727285792016602</v>
      </c>
      <c r="X222" s="159" cm="1">
        <f t="array" ref="X222">_xlfn.IFS(W222="Undetermined", 0, W222="Undiluted", T222*$G222/$F222*1000, W222="Ten-Fold", V222*$G222/$F222*1000*10, W222&lt;0, V222*$G222/$F222*1000*10, W222&lt;120, T222*$G222/$F222*1000, W222&gt;120, V222*$G222/$F222*1000*10)</f>
        <v>14064.216393266799</v>
      </c>
      <c r="Y222" s="156">
        <f t="shared" si="59"/>
        <v>14006.673435996219</v>
      </c>
      <c r="Z222" s="156">
        <f t="shared" si="60"/>
        <v>81.378030591109436</v>
      </c>
      <c r="AA222" s="156">
        <f t="shared" si="61"/>
        <v>57.542957270579784</v>
      </c>
      <c r="AB222" s="160" cm="1">
        <f t="array" ref="AB222">_xlfn.IFS(Y222="DELETE", "DELETE", Y222=0, 0, Y222&gt;0,LOG10(Y222))</f>
        <v>4.1463350032418775</v>
      </c>
      <c r="AC222" s="161" cm="1">
        <f t="array" ref="AC222">_xlfn.IFS(Y222="DELETE", "DELETE", Y222=0, 0, Y222&gt;0, AA222/Y222/LN(10))</f>
        <v>1.7841915804778638E-3</v>
      </c>
      <c r="AD222" s="120">
        <f>qPCR_Raw!U222</f>
        <v>33.915027618408203</v>
      </c>
      <c r="AE222" s="121" cm="1">
        <f t="array" ref="AE222">_xlfn.IFS(AD222="Undetermined", 0, qPCR_Raw!V222&lt;=1, 0, qPCR_Raw!V222&gt;1, qPCR_Raw!V222)</f>
        <v>1.1165908575057983</v>
      </c>
      <c r="AF222" s="122" t="str">
        <f>qPCR_Raw!X222</f>
        <v>Undetermined</v>
      </c>
      <c r="AG222" s="121" cm="1">
        <f t="array" ref="AG222">_xlfn.IFS(AF222="Undetermined", 0, qPCR_Raw!Y222&lt;=1, 0, qPCR_Raw!Y222&gt;1, qPCR_Raw!Y222)</f>
        <v>0</v>
      </c>
      <c r="AH222" s="123" t="str" cm="1">
        <f t="array" ref="AH222">_xlfn.IFS(AND(AD222="Undetermined", AF222="Undetermined"), "Undetermined", AND(AE222=0, AG222=0), "Undetermined", AND(AE222=0, AG222&gt;0), "Ten-Fold", AND(AE222&gt;0, AG222=0), "Undiluted", AND(AD222&lt;&gt;"Undetermined", AF222&lt;&gt;"Undetermined", AE222&gt;0, AG222&gt;0, AD222&lt;&gt;AF222), 100*(-1+10^(-1/(AD222-AF222))), AND(AD222&lt;&gt;"Undetermined", AF222&lt;&gt;"Undetermined", AD222=AF222&gt;0), -100)</f>
        <v>Undiluted</v>
      </c>
      <c r="AI222" s="124" cm="1">
        <f t="array" ref="AI222">_xlfn.IFS(AH222="Undetermined", 0, AH222="Undiluted", AE222*$G222/$F222*1000, AH222="Ten-Fold", AG222*$G222/$F222*1000*10, AH222&lt;0, AG222*$G222/$F222*1000*10, AH222&lt;120, AE222*$G222/$F222*1000, AH222&gt;120, AG222*$G222/$F222*1000*10)</f>
        <v>129.0856482665663</v>
      </c>
      <c r="AJ222" s="121">
        <f t="shared" si="62"/>
        <v>64.542824133283148</v>
      </c>
      <c r="AK222" s="121">
        <f t="shared" si="63"/>
        <v>91.277337243150527</v>
      </c>
      <c r="AL222" s="121">
        <f t="shared" si="64"/>
        <v>64.542824133283133</v>
      </c>
      <c r="AM222" s="125" cm="1">
        <f t="array" ref="AM222">_xlfn.IFS(AJ222="DELETE", "DELETE", AJ222=0, 0, AJ222&gt;0,LOG10(AJ222))</f>
        <v>1.8098479644559737</v>
      </c>
      <c r="AN222" s="126" cm="1">
        <f t="array" ref="AN222">_xlfn.IFS(AJ222="DELETE", "DELETE", AJ222=0, 0, AJ222&gt;0, AL222/AJ222/LN(10))</f>
        <v>0.43429448190325171</v>
      </c>
      <c r="AO222" s="155">
        <f>qPCR_Raw!AA222</f>
        <v>29.244474411010742</v>
      </c>
      <c r="AP222" s="156" cm="1">
        <f t="array" ref="AP222">_xlfn.IFS(AO222="Undetermined", 0, qPCR_Raw!AB222&lt;=6, 0, qPCR_Raw!AB222&gt;6, qPCR_Raw!AB222)</f>
        <v>0</v>
      </c>
      <c r="AQ222" s="157" t="str">
        <f>qPCR_Raw!AD222</f>
        <v>Undetermined</v>
      </c>
      <c r="AR222" s="156" cm="1">
        <f t="array" ref="AR222">_xlfn.IFS(AQ222="Undetermined", 0, qPCR_Raw!AE222&lt;=6, 0, qPCR_Raw!AE222&gt;6, qPCR_Raw!AE222)</f>
        <v>0</v>
      </c>
      <c r="AS222" s="158" t="str" cm="1">
        <f t="array" ref="AS222">_xlfn.IFS(AND(AO222="Undetermined", AQ222="Undetermined"), "Undetermined", AND(AP222=0, AR222=0), "Undetermined", AND(AP222=0, AR222&gt;0), "Ten-Fold", AND(AP222&gt;0, AR222=0), "Undiluted", AND(AO222&lt;&gt;"Undetermined", AQ222&lt;&gt;"Undetermined", AP222&gt;0, AR222&gt;0, AO222&lt;&gt;AQ222), 100*(-1+10^(-1/(AO222-AQ222))), AND(AO222&lt;&gt;"Undetermined", AQ222&lt;&gt;"Undetermined", AO222=AQ222&gt;0), -100)</f>
        <v>Undetermined</v>
      </c>
      <c r="AT222" s="159" cm="1">
        <f t="array" ref="AT222">_xlfn.IFS(AS222="Undetermined", 0, AS222="Undiluted", AP222*$G222/$F222*1000, AS222="Ten-Fold", AR222*$G222/$F222*1000*10, AS222&lt;0, AR222*$G222/$F222*1000*10, AS222&lt;120, AP222*$G222/$F222*1000, AS222&gt;120, AR222*$G222/$F222*1000*10)</f>
        <v>0</v>
      </c>
      <c r="AU222" s="156">
        <f t="shared" si="65"/>
        <v>0</v>
      </c>
      <c r="AV222" s="156">
        <f t="shared" si="66"/>
        <v>0</v>
      </c>
      <c r="AW222" s="156">
        <f t="shared" si="67"/>
        <v>0</v>
      </c>
      <c r="AX222" s="160" cm="1">
        <f t="array" ref="AX222">_xlfn.IFS(AU222="DELETE", "DELETE", AU222=0, 0, AU222&gt;0,LOG10(AU222))</f>
        <v>0</v>
      </c>
      <c r="AY222" s="161" cm="1">
        <f t="array" ref="AY222">_xlfn.IFS(AU222="DELETE", "DELETE", AU222=0, 0, AU222&gt;0, AW222/AU222/LN(10))</f>
        <v>0</v>
      </c>
      <c r="AZ222" s="120">
        <f>qPCR_Raw!AG222</f>
        <v>37.6904296875</v>
      </c>
      <c r="BA222" s="121" cm="1">
        <f t="array" ref="BA222">_xlfn.IFS(AZ222="Undetermined", 0, qPCR_Raw!AH222&lt;=1, 0, qPCR_Raw!AH222&gt;1, qPCR_Raw!AH222)</f>
        <v>0</v>
      </c>
      <c r="BB222" s="122" t="str">
        <f>qPCR_Raw!AJ222</f>
        <v>Undetermined</v>
      </c>
      <c r="BC222" s="121" cm="1">
        <f t="array" ref="BC222">_xlfn.IFS(BB222="Undetermined", 0, qPCR_Raw!AK222&lt;=1, 0, qPCR_Raw!AK222&gt;1, qPCR_Raw!AK222)</f>
        <v>0</v>
      </c>
      <c r="BD222" s="123" t="str" cm="1">
        <f t="array" ref="BD222">_xlfn.IFS(AND(AZ222="Undetermined", BB222="Undetermined"), "Undetermined", AND(BA222=0, BC222=0), "Undetermined", AND(BA222=0, BC222&gt;0), "Ten-Fold", AND(BA222&gt;0, BC222=0), "Undiluted", AND(AZ222&lt;&gt;"Undetermined", BB222&lt;&gt;"Undetermined", BA222&gt;0, BC222&gt;0, AZ222&lt;&gt;BB222), 100*(-1+10^(-1/(AZ222-BB222))), AND(AZ222&lt;&gt;"Undetermined", BB222&lt;&gt;"Undetermined", AZ222=BB222&gt;0), -100)</f>
        <v>Undetermined</v>
      </c>
      <c r="BE222" s="124" cm="1">
        <f t="array" ref="BE222">_xlfn.IFS(BD222="Undetermined", 0, BD222="Undiluted", BA222*$G222/$F222*1000, BD222="Ten-Fold", BC222*$G222/$F222*1000*10, BD222&lt;0, BC222*$G222/$F222*1000*10, BD222&lt;120, BA222*$G222/$F222*1000, BD222&gt;120, BC222*$G222/$F222*1000*10)</f>
        <v>0</v>
      </c>
      <c r="BF222" s="121">
        <f t="shared" si="68"/>
        <v>0</v>
      </c>
      <c r="BG222" s="121">
        <f t="shared" si="69"/>
        <v>0</v>
      </c>
      <c r="BH222" s="121">
        <f t="shared" si="70"/>
        <v>0</v>
      </c>
      <c r="BI222" s="125" cm="1">
        <f t="array" ref="BI222">_xlfn.IFS(BF222="DELETE", "DELETE", BF222=0, 0, BF222&gt;0,LOG10(BF222))</f>
        <v>0</v>
      </c>
      <c r="BJ222" s="126" cm="1">
        <f t="array" ref="BJ222">_xlfn.IFS(BF222="DELETE", "DELETE", BF222=0, 0, BF222&gt;0, BH222/BF222/LN(10))</f>
        <v>0</v>
      </c>
    </row>
    <row r="223" spans="1:62" s="114" customFormat="1" x14ac:dyDescent="0.3">
      <c r="A223" s="115" t="str">
        <f>UPPER(LEFT(SUBSTITUTE(SUBSTITUTE(qPCR_Raw!A223,"-","")," ",""),2))&amp;RIGHT(SUBSTITUTE(SUBSTITUTE(qPCR_Raw!A223,"-","")," ",""),LEN(SUBSTITUTE(SUBSTITUTE(qPCR_Raw!A223,"-","")," ",""))-2)</f>
        <v>RW7</v>
      </c>
      <c r="B223" s="116" t="str" cm="1">
        <f t="array" ref="B223">_xlfn.IFS(LEFT(A223, LEN(A223)-1)="EP", "EP", LEFT(A223, LEN(A223)-1)="STa", "SPI", LEFT(A223, LEN(A223)-1)="STb", "SPO", LEFT(A223, LEN(A223)-1)="MRT", "MRT", LEFT(A223, LEN(A223)-1)="RG", "RN", LEFT(A223, LEN(A223)-1)="RT", "RU", LEFT(A223, LEN(A223)-1)="RW", "RL", LEFT(A223, LEN(A223)-1)="RC", "RS")</f>
        <v>RL</v>
      </c>
      <c r="C223" s="117">
        <f>qPCR_Raw!B223</f>
        <v>44433</v>
      </c>
      <c r="D223" s="117" t="str">
        <f t="shared" si="54"/>
        <v>RL44433</v>
      </c>
      <c r="E223" s="117" t="str">
        <f t="shared" si="55"/>
        <v>RL444337</v>
      </c>
      <c r="F223" s="118">
        <f>qPCR_Raw!C223</f>
        <v>930</v>
      </c>
      <c r="G223" s="119">
        <f>qPCR_Raw!F223</f>
        <v>100</v>
      </c>
      <c r="H223" s="120">
        <f>qPCR_Raw!G223</f>
        <v>14.366188049316406</v>
      </c>
      <c r="I223" s="121" cm="1">
        <f t="array" ref="I223">_xlfn.IFS(H223="Undetermined", 0, qPCR_Raw!H223-qPCR_Raw!$H$242&lt;0, 0, qPCR_Raw!H223-qPCR_Raw!$H$242&gt;0, qPCR_Raw!H223-qPCR_Raw!$H$242)</f>
        <v>4184272.3614461264</v>
      </c>
      <c r="J223" s="122">
        <f>qPCR_Raw!K223</f>
        <v>17.408962249755859</v>
      </c>
      <c r="K223" s="121" cm="1">
        <f t="array" ref="K223">_xlfn.IFS(J223="Undetermined", 0, qPCR_Raw!L223-qPCR_Raw!$H$242&lt;0, 0, qPCR_Raw!L223-qPCR_Raw!$H$242&gt;0, qPCR_Raw!L223-qPCR_Raw!$H$242)</f>
        <v>528815.17394612625</v>
      </c>
      <c r="L223" s="123" cm="1">
        <f t="array" ref="L223">_xlfn.IFS(AND(H223="Undetermined", J223="Undetermined"), "Undetermined", AND(I223=0, K223=0), "Undetermined", AND(I223=0, K223&gt;0), "Ten-Fold", AND(I223&gt;0, K223=0), "Undiluted", AND(H223&lt;&gt;"Undetermined", J223&lt;&gt;"Undetermined", I223&gt;0, K223&gt;0), 100*(-1+10^(-1/(H223-J223))))</f>
        <v>113.13140895002331</v>
      </c>
      <c r="M223" s="124" cm="1">
        <f t="array" ref="M223">_xlfn.IFS(L223="Undetermined", 0, L223="Undiluted", I223*$G223/$F223*1000, L223="Ten-Fold", K223*$G223/$F223*1000*10, L223&lt;0, K223*$G223/$F223*1000*10, L223&lt;120, I223*$G223/$F223*1000, L223&gt;120, K223*$G223/$F223*1000*10)</f>
        <v>449921759.29528236</v>
      </c>
      <c r="N223" s="121" t="str">
        <f t="shared" si="56"/>
        <v>DELETE</v>
      </c>
      <c r="O223" s="121" t="str">
        <f t="shared" si="57"/>
        <v>DELETE</v>
      </c>
      <c r="P223" s="121" t="str">
        <f t="shared" si="58"/>
        <v>DELETE</v>
      </c>
      <c r="Q223" s="125" t="str" cm="1">
        <f t="array" ref="Q223">_xlfn.IFS(N223="DELETE", "DELETE", N223=0, 0, N223&gt;0,LOG10(N223))</f>
        <v>DELETE</v>
      </c>
      <c r="R223" s="126" t="str" cm="1">
        <f t="array" ref="R223">_xlfn.IFS(N223="DELETE", "DELETE", N223=0, 0, N223&gt;0, P223/N223/LN(10))</f>
        <v>DELETE</v>
      </c>
      <c r="S223" s="155">
        <f>qPCR_Raw!O223</f>
        <v>30.335182189941406</v>
      </c>
      <c r="T223" s="156" cm="1">
        <f t="array" ref="T223">_xlfn.IFS(S223="Undetermined", 0, qPCR_Raw!P223&lt;=1, 0, qPCR_Raw!P223&gt;1, qPCR_Raw!P223)</f>
        <v>129.72691345214844</v>
      </c>
      <c r="U223" s="157">
        <f>qPCR_Raw!R223</f>
        <v>33.469863891601563</v>
      </c>
      <c r="V223" s="156" cm="1">
        <f t="array" ref="V223">_xlfn.IFS(U223="Undetermined", 0, qPCR_Raw!S223&lt;=1, 0, qPCR_Raw!S223&gt;1, qPCR_Raw!S223)</f>
        <v>18.030080795288086</v>
      </c>
      <c r="W223" s="158" cm="1">
        <f t="array" ref="W223">_xlfn.IFS(AND(S223="Undetermined", U223="Undetermined"), "Undetermined", AND(T223=0, V223=0), "Undetermined", AND(T223=0, V223&gt;0), "Ten-Fold", AND(T223&gt;0, V223=0), "Undiluted", AND(S223&lt;&gt;"Undetermined", U223&lt;&gt;"Undetermined", T223&gt;0, V223&gt;0, S223&lt;&gt;U223), 100*(-1+10^(-1/(S223-U223))), AND(S223&lt;&gt;"Undetermined", U223&lt;&gt;"Undetermined", S223=U223&gt;0), -100)</f>
        <v>108.45468283163333</v>
      </c>
      <c r="X223" s="159" cm="1">
        <f t="array" ref="X223">_xlfn.IFS(W223="Undetermined", 0, W223="Undiluted", T223*$G223/$F223*1000, W223="Ten-Fold", V223*$G223/$F223*1000*10, W223&lt;0, V223*$G223/$F223*1000*10, W223&lt;120, T223*$G223/$F223*1000, W223&gt;120, V223*$G223/$F223*1000*10)</f>
        <v>13949.130478725639</v>
      </c>
      <c r="Y223" s="156" t="str">
        <f t="shared" si="59"/>
        <v>DELETE</v>
      </c>
      <c r="Z223" s="156" t="str">
        <f t="shared" si="60"/>
        <v>DELETE</v>
      </c>
      <c r="AA223" s="156" t="str">
        <f t="shared" si="61"/>
        <v>DELETE</v>
      </c>
      <c r="AB223" s="160" t="str" cm="1">
        <f t="array" ref="AB223">_xlfn.IFS(Y223="DELETE", "DELETE", Y223=0, 0, Y223&gt;0,LOG10(Y223))</f>
        <v>DELETE</v>
      </c>
      <c r="AC223" s="161" t="str" cm="1">
        <f t="array" ref="AC223">_xlfn.IFS(Y223="DELETE", "DELETE", Y223=0, 0, Y223&gt;0, AA223/Y223/LN(10))</f>
        <v>DELETE</v>
      </c>
      <c r="AD223" s="120">
        <f>qPCR_Raw!U223</f>
        <v>35.310619354248047</v>
      </c>
      <c r="AE223" s="121" cm="1">
        <f t="array" ref="AE223">_xlfn.IFS(AD223="Undetermined", 0, qPCR_Raw!V223&lt;=1, 0, qPCR_Raw!V223&gt;1, qPCR_Raw!V223)</f>
        <v>0</v>
      </c>
      <c r="AF223" s="122">
        <f>qPCR_Raw!X223</f>
        <v>35.423145294189453</v>
      </c>
      <c r="AG223" s="121" cm="1">
        <f t="array" ref="AG223">_xlfn.IFS(AF223="Undetermined", 0, qPCR_Raw!Y223&lt;=1, 0, qPCR_Raw!Y223&gt;1, qPCR_Raw!Y223)</f>
        <v>0</v>
      </c>
      <c r="AH223" s="123" t="str" cm="1">
        <f t="array" ref="AH223">_xlfn.IFS(AND(AD223="Undetermined", AF223="Undetermined"), "Undetermined", AND(AE223=0, AG223=0), "Undetermined", AND(AE223=0, AG223&gt;0), "Ten-Fold", AND(AE223&gt;0, AG223=0), "Undiluted", AND(AD223&lt;&gt;"Undetermined", AF223&lt;&gt;"Undetermined", AE223&gt;0, AG223&gt;0, AD223&lt;&gt;AF223), 100*(-1+10^(-1/(AD223-AF223))), AND(AD223&lt;&gt;"Undetermined", AF223&lt;&gt;"Undetermined", AD223=AF223&gt;0), -100)</f>
        <v>Undetermined</v>
      </c>
      <c r="AI223" s="124" cm="1">
        <f t="array" ref="AI223">_xlfn.IFS(AH223="Undetermined", 0, AH223="Undiluted", AE223*$G223/$F223*1000, AH223="Ten-Fold", AG223*$G223/$F223*1000*10, AH223&lt;0, AG223*$G223/$F223*1000*10, AH223&lt;120, AE223*$G223/$F223*1000, AH223&gt;120, AG223*$G223/$F223*1000*10)</f>
        <v>0</v>
      </c>
      <c r="AJ223" s="121" t="str">
        <f t="shared" si="62"/>
        <v>DELETE</v>
      </c>
      <c r="AK223" s="121" t="str">
        <f t="shared" si="63"/>
        <v>DELETE</v>
      </c>
      <c r="AL223" s="121" t="str">
        <f t="shared" si="64"/>
        <v>DELETE</v>
      </c>
      <c r="AM223" s="125" t="str" cm="1">
        <f t="array" ref="AM223">_xlfn.IFS(AJ223="DELETE", "DELETE", AJ223=0, 0, AJ223&gt;0,LOG10(AJ223))</f>
        <v>DELETE</v>
      </c>
      <c r="AN223" s="126" t="str" cm="1">
        <f t="array" ref="AN223">_xlfn.IFS(AJ223="DELETE", "DELETE", AJ223=0, 0, AJ223&gt;0, AL223/AJ223/LN(10))</f>
        <v>DELETE</v>
      </c>
      <c r="AO223" s="155">
        <f>qPCR_Raw!AA223</f>
        <v>29.528678894042969</v>
      </c>
      <c r="AP223" s="156" cm="1">
        <f t="array" ref="AP223">_xlfn.IFS(AO223="Undetermined", 0, qPCR_Raw!AB223&lt;=6, 0, qPCR_Raw!AB223&gt;6, qPCR_Raw!AB223)</f>
        <v>0</v>
      </c>
      <c r="AQ223" s="157">
        <f>qPCR_Raw!AD223</f>
        <v>31.635349273681641</v>
      </c>
      <c r="AR223" s="156" cm="1">
        <f t="array" ref="AR223">_xlfn.IFS(AQ223="Undetermined", 0, qPCR_Raw!AE223&lt;=6, 0, qPCR_Raw!AE223&gt;6, qPCR_Raw!AE223)</f>
        <v>0</v>
      </c>
      <c r="AS223" s="158" t="str" cm="1">
        <f t="array" ref="AS223">_xlfn.IFS(AND(AO223="Undetermined", AQ223="Undetermined"), "Undetermined", AND(AP223=0, AR223=0), "Undetermined", AND(AP223=0, AR223&gt;0), "Ten-Fold", AND(AP223&gt;0, AR223=0), "Undiluted", AND(AO223&lt;&gt;"Undetermined", AQ223&lt;&gt;"Undetermined", AP223&gt;0, AR223&gt;0, AO223&lt;&gt;AQ223), 100*(-1+10^(-1/(AO223-AQ223))), AND(AO223&lt;&gt;"Undetermined", AQ223&lt;&gt;"Undetermined", AO223=AQ223&gt;0), -100)</f>
        <v>Undetermined</v>
      </c>
      <c r="AT223" s="159" cm="1">
        <f t="array" ref="AT223">_xlfn.IFS(AS223="Undetermined", 0, AS223="Undiluted", AP223*$G223/$F223*1000, AS223="Ten-Fold", AR223*$G223/$F223*1000*10, AS223&lt;0, AR223*$G223/$F223*1000*10, AS223&lt;120, AP223*$G223/$F223*1000, AS223&gt;120, AR223*$G223/$F223*1000*10)</f>
        <v>0</v>
      </c>
      <c r="AU223" s="156" t="str">
        <f t="shared" si="65"/>
        <v>DELETE</v>
      </c>
      <c r="AV223" s="156" t="str">
        <f t="shared" si="66"/>
        <v>DELETE</v>
      </c>
      <c r="AW223" s="156" t="str">
        <f t="shared" si="67"/>
        <v>DELETE</v>
      </c>
      <c r="AX223" s="160" t="str" cm="1">
        <f t="array" ref="AX223">_xlfn.IFS(AU223="DELETE", "DELETE", AU223=0, 0, AU223&gt;0,LOG10(AU223))</f>
        <v>DELETE</v>
      </c>
      <c r="AY223" s="161" t="str" cm="1">
        <f t="array" ref="AY223">_xlfn.IFS(AU223="DELETE", "DELETE", AU223=0, 0, AU223&gt;0, AW223/AU223/LN(10))</f>
        <v>DELETE</v>
      </c>
      <c r="AZ223" s="120">
        <f>qPCR_Raw!AG223</f>
        <v>38.779781341552734</v>
      </c>
      <c r="BA223" s="121" cm="1">
        <f t="array" ref="BA223">_xlfn.IFS(AZ223="Undetermined", 0, qPCR_Raw!AH223&lt;=1, 0, qPCR_Raw!AH223&gt;1, qPCR_Raw!AH223)</f>
        <v>0</v>
      </c>
      <c r="BB223" s="122" t="str">
        <f>qPCR_Raw!AJ223</f>
        <v>Undetermined</v>
      </c>
      <c r="BC223" s="121" cm="1">
        <f t="array" ref="BC223">_xlfn.IFS(BB223="Undetermined", 0, qPCR_Raw!AK223&lt;=1, 0, qPCR_Raw!AK223&gt;1, qPCR_Raw!AK223)</f>
        <v>0</v>
      </c>
      <c r="BD223" s="123" t="str" cm="1">
        <f t="array" ref="BD223">_xlfn.IFS(AND(AZ223="Undetermined", BB223="Undetermined"), "Undetermined", AND(BA223=0, BC223=0), "Undetermined", AND(BA223=0, BC223&gt;0), "Ten-Fold", AND(BA223&gt;0, BC223=0), "Undiluted", AND(AZ223&lt;&gt;"Undetermined", BB223&lt;&gt;"Undetermined", BA223&gt;0, BC223&gt;0, AZ223&lt;&gt;BB223), 100*(-1+10^(-1/(AZ223-BB223))), AND(AZ223&lt;&gt;"Undetermined", BB223&lt;&gt;"Undetermined", AZ223=BB223&gt;0), -100)</f>
        <v>Undetermined</v>
      </c>
      <c r="BE223" s="124" cm="1">
        <f t="array" ref="BE223">_xlfn.IFS(BD223="Undetermined", 0, BD223="Undiluted", BA223*$G223/$F223*1000, BD223="Ten-Fold", BC223*$G223/$F223*1000*10, BD223&lt;0, BC223*$G223/$F223*1000*10, BD223&lt;120, BA223*$G223/$F223*1000, BD223&gt;120, BC223*$G223/$F223*1000*10)</f>
        <v>0</v>
      </c>
      <c r="BF223" s="121" t="str">
        <f t="shared" si="68"/>
        <v>DELETE</v>
      </c>
      <c r="BG223" s="121" t="str">
        <f t="shared" si="69"/>
        <v>DELETE</v>
      </c>
      <c r="BH223" s="121" t="str">
        <f t="shared" si="70"/>
        <v>DELETE</v>
      </c>
      <c r="BI223" s="125" t="str" cm="1">
        <f t="array" ref="BI223">_xlfn.IFS(BF223="DELETE", "DELETE", BF223=0, 0, BF223&gt;0,LOG10(BF223))</f>
        <v>DELETE</v>
      </c>
      <c r="BJ223" s="126" t="str" cm="1">
        <f t="array" ref="BJ223">_xlfn.IFS(BF223="DELETE", "DELETE", BF223=0, 0, BF223&gt;0, BH223/BF223/LN(10))</f>
        <v>DELETE</v>
      </c>
    </row>
    <row r="224" spans="1:62" s="114" customFormat="1" x14ac:dyDescent="0.3">
      <c r="A224" s="115" t="str">
        <f>UPPER(LEFT(SUBSTITUTE(SUBSTITUTE(qPCR_Raw!A224,"-","")," ",""),2))&amp;RIGHT(SUBSTITUTE(SUBSTITUTE(qPCR_Raw!A224,"-","")," ",""),LEN(SUBSTITUTE(SUBSTITUTE(qPCR_Raw!A224,"-","")," ",""))-2)</f>
        <v>MRT6</v>
      </c>
      <c r="B224" s="116" t="str" cm="1">
        <f t="array" ref="B224">_xlfn.IFS(LEFT(A224, LEN(A224)-1)="EP", "EP", LEFT(A224, LEN(A224)-1)="STa", "SPI", LEFT(A224, LEN(A224)-1)="STb", "SPO", LEFT(A224, LEN(A224)-1)="MRT", "MRT", LEFT(A224, LEN(A224)-1)="RG", "RN", LEFT(A224, LEN(A224)-1)="RT", "RU", LEFT(A224, LEN(A224)-1)="RW", "RL", LEFT(A224, LEN(A224)-1)="RC", "RS")</f>
        <v>MRT</v>
      </c>
      <c r="C224" s="117">
        <f>qPCR_Raw!B224</f>
        <v>44433</v>
      </c>
      <c r="D224" s="117" t="str">
        <f t="shared" si="54"/>
        <v>MRT44433</v>
      </c>
      <c r="E224" s="117" t="str">
        <f t="shared" si="55"/>
        <v>MRT444336</v>
      </c>
      <c r="F224" s="118">
        <f>qPCR_Raw!C224</f>
        <v>990</v>
      </c>
      <c r="G224" s="119">
        <f>qPCR_Raw!F224</f>
        <v>100</v>
      </c>
      <c r="H224" s="120">
        <f>qPCR_Raw!G224</f>
        <v>16.727945327758789</v>
      </c>
      <c r="I224" s="121" cm="1">
        <f t="array" ref="I224">_xlfn.IFS(H224="Undetermined", 0, qPCR_Raw!H224-qPCR_Raw!$H$242&lt;0, 0, qPCR_Raw!H224-qPCR_Raw!$H$242&gt;0, qPCR_Raw!H224-qPCR_Raw!$H$242)</f>
        <v>843733.54894612625</v>
      </c>
      <c r="J224" s="122">
        <f>qPCR_Raw!K224</f>
        <v>19.883798599243164</v>
      </c>
      <c r="K224" s="121" cm="1">
        <f t="array" ref="K224">_xlfn.IFS(J224="Undetermined", 0, qPCR_Raw!L224-qPCR_Raw!$H$242&lt;0, 0, qPCR_Raw!L224-qPCR_Raw!$H$242&gt;0, qPCR_Raw!L224-qPCR_Raw!$H$242)</f>
        <v>89503.720821126306</v>
      </c>
      <c r="L224" s="123" cm="1">
        <f t="array" ref="L224">_xlfn.IFS(AND(H224="Undetermined", J224="Undetermined"), "Undetermined", AND(I224=0, K224=0), "Undetermined", AND(I224=0, K224&gt;0), "Ten-Fold", AND(I224&gt;0, K224=0), "Undiluted", AND(H224&lt;&gt;"Undetermined", J224&lt;&gt;"Undetermined", I224&gt;0, K224&gt;0), 100*(-1+10^(-1/(H224-J224))))</f>
        <v>107.4299738994053</v>
      </c>
      <c r="M224" s="124" cm="1">
        <f t="array" ref="M224">_xlfn.IFS(L224="Undetermined", 0, L224="Undiluted", I224*$G224/$F224*1000, L224="Ten-Fold", K224*$G224/$F224*1000*10, L224&lt;0, K224*$G224/$F224*1000*10, L224&lt;120, I224*$G224/$F224*1000, L224&gt;120, K224*$G224/$F224*1000*10)</f>
        <v>85225611.004659221</v>
      </c>
      <c r="N224" s="121">
        <f t="shared" si="56"/>
        <v>49593736.004659221</v>
      </c>
      <c r="O224" s="121">
        <f t="shared" si="57"/>
        <v>50391080.877782829</v>
      </c>
      <c r="P224" s="121">
        <f t="shared" si="58"/>
        <v>35631875</v>
      </c>
      <c r="Q224" s="125" cm="1">
        <f t="array" ref="Q224">_xlfn.IFS(N224="DELETE", "DELETE", N224=0, 0, N224&gt;0,LOG10(N224))</f>
        <v>7.6954268258771572</v>
      </c>
      <c r="R224" s="126" cm="1">
        <f t="array" ref="R224">_xlfn.IFS(N224="DELETE", "DELETE", N224=0, 0, N224&gt;0, P224/N224/LN(10))</f>
        <v>0.31202986383023479</v>
      </c>
      <c r="S224" s="155">
        <f>qPCR_Raw!O224</f>
        <v>28.870048522949219</v>
      </c>
      <c r="T224" s="156" cm="1">
        <f t="array" ref="T224">_xlfn.IFS(S224="Undetermined", 0, qPCR_Raw!P224&lt;=1, 0, qPCR_Raw!P224&gt;1, qPCR_Raw!P224)</f>
        <v>326.28903198242188</v>
      </c>
      <c r="U224" s="157">
        <f>qPCR_Raw!R224</f>
        <v>32.91766357421875</v>
      </c>
      <c r="V224" s="156" cm="1">
        <f t="array" ref="V224">_xlfn.IFS(U224="Undetermined", 0, qPCR_Raw!S224&lt;=1, 0, qPCR_Raw!S224&gt;1, qPCR_Raw!S224)</f>
        <v>25.525312423706055</v>
      </c>
      <c r="W224" s="158" cm="1">
        <f t="array" ref="W224">_xlfn.IFS(AND(S224="Undetermined", U224="Undetermined"), "Undetermined", AND(T224=0, V224=0), "Undetermined", AND(T224=0, V224&gt;0), "Ten-Fold", AND(T224&gt;0, V224=0), "Undiluted", AND(S224&lt;&gt;"Undetermined", U224&lt;&gt;"Undetermined", T224&gt;0, V224&gt;0, S224&lt;&gt;U224), 100*(-1+10^(-1/(S224-U224))), AND(S224&lt;&gt;"Undetermined", U224&lt;&gt;"Undetermined", S224=U224&gt;0), -100)</f>
        <v>76.627803202947177</v>
      </c>
      <c r="X224" s="159" cm="1">
        <f t="array" ref="X224">_xlfn.IFS(W224="Undetermined", 0, W224="Undiluted", T224*$G224/$F224*1000, W224="Ten-Fold", V224*$G224/$F224*1000*10, W224&lt;0, V224*$G224/$F224*1000*10, W224&lt;120, T224*$G224/$F224*1000, W224&gt;120, V224*$G224/$F224*1000*10)</f>
        <v>32958.488079032511</v>
      </c>
      <c r="Y224" s="156">
        <f t="shared" si="59"/>
        <v>22610.194658992266</v>
      </c>
      <c r="Z224" s="156">
        <f t="shared" si="60"/>
        <v>14634.696902037169</v>
      </c>
      <c r="AA224" s="156">
        <f t="shared" si="61"/>
        <v>10348.293420040241</v>
      </c>
      <c r="AB224" s="160" cm="1">
        <f t="array" ref="AB224">_xlfn.IFS(Y224="DELETE", "DELETE", Y224=0, 0, Y224&gt;0,LOG10(Y224))</f>
        <v>4.354304301352979</v>
      </c>
      <c r="AC224" s="161" cm="1">
        <f t="array" ref="AC224">_xlfn.IFS(Y224="DELETE", "DELETE", Y224=0, 0, Y224&gt;0, AA224/Y224/LN(10))</f>
        <v>0.19876904189552486</v>
      </c>
      <c r="AD224" s="120">
        <f>qPCR_Raw!U224</f>
        <v>32.894088745117188</v>
      </c>
      <c r="AE224" s="121" cm="1">
        <f t="array" ref="AE224">_xlfn.IFS(AD224="Undetermined", 0, qPCR_Raw!V224&lt;=1, 0, qPCR_Raw!V224&gt;1, qPCR_Raw!V224)</f>
        <v>2.2149829864501953</v>
      </c>
      <c r="AF224" s="122">
        <f>qPCR_Raw!X224</f>
        <v>37.194194793701172</v>
      </c>
      <c r="AG224" s="121" cm="1">
        <f t="array" ref="AG224">_xlfn.IFS(AF224="Undetermined", 0, qPCR_Raw!Y224&lt;=1, 0, qPCR_Raw!Y224&gt;1, qPCR_Raw!Y224)</f>
        <v>0</v>
      </c>
      <c r="AH224" s="123" t="str" cm="1">
        <f t="array" ref="AH224">_xlfn.IFS(AND(AD224="Undetermined", AF224="Undetermined"), "Undetermined", AND(AE224=0, AG224=0), "Undetermined", AND(AE224=0, AG224&gt;0), "Ten-Fold", AND(AE224&gt;0, AG224=0), "Undiluted", AND(AD224&lt;&gt;"Undetermined", AF224&lt;&gt;"Undetermined", AE224&gt;0, AG224&gt;0, AD224&lt;&gt;AF224), 100*(-1+10^(-1/(AD224-AF224))), AND(AD224&lt;&gt;"Undetermined", AF224&lt;&gt;"Undetermined", AD224=AF224&gt;0), -100)</f>
        <v>Undiluted</v>
      </c>
      <c r="AI224" s="124" cm="1">
        <f t="array" ref="AI224">_xlfn.IFS(AH224="Undetermined", 0, AH224="Undiluted", AE224*$G224/$F224*1000, AH224="Ten-Fold", AG224*$G224/$F224*1000*10, AH224&lt;0, AG224*$G224/$F224*1000*10, AH224&lt;120, AE224*$G224/$F224*1000, AH224&gt;120, AG224*$G224/$F224*1000*10)</f>
        <v>223.73565519698943</v>
      </c>
      <c r="AJ224" s="121">
        <f t="shared" si="62"/>
        <v>111.86782759849471</v>
      </c>
      <c r="AK224" s="121">
        <f t="shared" si="63"/>
        <v>158.20499898300645</v>
      </c>
      <c r="AL224" s="121">
        <f t="shared" si="64"/>
        <v>111.8678275984947</v>
      </c>
      <c r="AM224" s="125" cm="1">
        <f t="array" ref="AM224">_xlfn.IFS(AJ224="DELETE", "DELETE", AJ224=0, 0, AJ224&gt;0,LOG10(AJ224))</f>
        <v>2.048705204442399</v>
      </c>
      <c r="AN224" s="126" cm="1">
        <f t="array" ref="AN224">_xlfn.IFS(AJ224="DELETE", "DELETE", AJ224=0, 0, AJ224&gt;0, AL224/AJ224/LN(10))</f>
        <v>0.43429448190325176</v>
      </c>
      <c r="AO224" s="155">
        <f>qPCR_Raw!AA224</f>
        <v>22.634279251098633</v>
      </c>
      <c r="AP224" s="156" cm="1">
        <f t="array" ref="AP224">_xlfn.IFS(AO224="Undetermined", 0, qPCR_Raw!AB224&lt;=6, 0, qPCR_Raw!AB224&gt;6, qPCR_Raw!AB224)</f>
        <v>277.63031005859375</v>
      </c>
      <c r="AQ224" s="157">
        <f>qPCR_Raw!AD224</f>
        <v>27.344823837280273</v>
      </c>
      <c r="AR224" s="156" cm="1">
        <f t="array" ref="AR224">_xlfn.IFS(AQ224="Undetermined", 0, qPCR_Raw!AE224&lt;=6, 0, qPCR_Raw!AE224&gt;6, qPCR_Raw!AE224)</f>
        <v>11.186661720275879</v>
      </c>
      <c r="AS224" s="158" cm="1">
        <f t="array" ref="AS224">_xlfn.IFS(AND(AO224="Undetermined", AQ224="Undetermined"), "Undetermined", AND(AP224=0, AR224=0), "Undetermined", AND(AP224=0, AR224&gt;0), "Ten-Fold", AND(AP224&gt;0, AR224=0), "Undiluted", AND(AO224&lt;&gt;"Undetermined", AQ224&lt;&gt;"Undetermined", AP224&gt;0, AR224&gt;0, AO224&lt;&gt;AQ224), 100*(-1+10^(-1/(AO224-AQ224))), AND(AO224&lt;&gt;"Undetermined", AQ224&lt;&gt;"Undetermined", AO224=AQ224&gt;0), -100)</f>
        <v>63.038315429964207</v>
      </c>
      <c r="AT224" s="159" cm="1">
        <f t="array" ref="AT224">_xlfn.IFS(AS224="Undetermined", 0, AS224="Undiluted", AP224*$G224/$F224*1000, AS224="Ten-Fold", AR224*$G224/$F224*1000*10, AS224&lt;0, AR224*$G224/$F224*1000*10, AS224&lt;120, AP224*$G224/$F224*1000, AS224&gt;120, AR224*$G224/$F224*1000*10)</f>
        <v>28043.465662484217</v>
      </c>
      <c r="AU224" s="156">
        <f t="shared" si="65"/>
        <v>16481.839189625749</v>
      </c>
      <c r="AV224" s="156">
        <f t="shared" si="66"/>
        <v>16350.608961008258</v>
      </c>
      <c r="AW224" s="156">
        <f t="shared" si="67"/>
        <v>11561.626472858468</v>
      </c>
      <c r="AX224" s="160" cm="1">
        <f t="array" ref="AX224">_xlfn.IFS(AU224="DELETE", "DELETE", AU224=0, 0, AU224&gt;0,LOG10(AU224))</f>
        <v>4.2170056724908411</v>
      </c>
      <c r="AY224" s="161" cm="1">
        <f t="array" ref="AY224">_xlfn.IFS(AU224="DELETE", "DELETE", AU224=0, 0, AU224&gt;0, AW224/AU224/LN(10))</f>
        <v>0.30464746811444915</v>
      </c>
      <c r="AZ224" s="120" t="str">
        <f>qPCR_Raw!AG224</f>
        <v>Undetermined</v>
      </c>
      <c r="BA224" s="121" cm="1">
        <f t="array" ref="BA224">_xlfn.IFS(AZ224="Undetermined", 0, qPCR_Raw!AH224&lt;=1, 0, qPCR_Raw!AH224&gt;1, qPCR_Raw!AH224)</f>
        <v>0</v>
      </c>
      <c r="BB224" s="122" t="str">
        <f>qPCR_Raw!AJ224</f>
        <v>Undetermined</v>
      </c>
      <c r="BC224" s="121" cm="1">
        <f t="array" ref="BC224">_xlfn.IFS(BB224="Undetermined", 0, qPCR_Raw!AK224&lt;=1, 0, qPCR_Raw!AK224&gt;1, qPCR_Raw!AK224)</f>
        <v>0</v>
      </c>
      <c r="BD224" s="123" t="str" cm="1">
        <f t="array" ref="BD224">_xlfn.IFS(AND(AZ224="Undetermined", BB224="Undetermined"), "Undetermined", AND(BA224=0, BC224=0), "Undetermined", AND(BA224=0, BC224&gt;0), "Ten-Fold", AND(BA224&gt;0, BC224=0), "Undiluted", AND(AZ224&lt;&gt;"Undetermined", BB224&lt;&gt;"Undetermined", BA224&gt;0, BC224&gt;0, AZ224&lt;&gt;BB224), 100*(-1+10^(-1/(AZ224-BB224))), AND(AZ224&lt;&gt;"Undetermined", BB224&lt;&gt;"Undetermined", AZ224=BB224&gt;0), -100)</f>
        <v>Undetermined</v>
      </c>
      <c r="BE224" s="124" cm="1">
        <f t="array" ref="BE224">_xlfn.IFS(BD224="Undetermined", 0, BD224="Undiluted", BA224*$G224/$F224*1000, BD224="Ten-Fold", BC224*$G224/$F224*1000*10, BD224&lt;0, BC224*$G224/$F224*1000*10, BD224&lt;120, BA224*$G224/$F224*1000, BD224&gt;120, BC224*$G224/$F224*1000*10)</f>
        <v>0</v>
      </c>
      <c r="BF224" s="121">
        <f t="shared" si="68"/>
        <v>498.61801995171442</v>
      </c>
      <c r="BG224" s="121">
        <f t="shared" si="69"/>
        <v>705.15236625933301</v>
      </c>
      <c r="BH224" s="121">
        <f t="shared" si="70"/>
        <v>498.61801995171436</v>
      </c>
      <c r="BI224" s="125" cm="1">
        <f t="array" ref="BI224">_xlfn.IFS(BF224="DELETE", "DELETE", BF224=0, 0, BF224&gt;0,LOG10(BF224))</f>
        <v>2.6977679697637789</v>
      </c>
      <c r="BJ224" s="126" cm="1">
        <f t="array" ref="BJ224">_xlfn.IFS(BF224="DELETE", "DELETE", BF224=0, 0, BF224&gt;0, BH224/BF224/LN(10))</f>
        <v>0.43429448190325176</v>
      </c>
    </row>
    <row r="225" spans="1:62" s="114" customFormat="1" x14ac:dyDescent="0.3">
      <c r="A225" s="115" t="str">
        <f>UPPER(LEFT(SUBSTITUTE(SUBSTITUTE(qPCR_Raw!A225,"-","")," ",""),2))&amp;RIGHT(SUBSTITUTE(SUBSTITUTE(qPCR_Raw!A225,"-","")," ",""),LEN(SUBSTITUTE(SUBSTITUTE(qPCR_Raw!A225,"-","")," ",""))-2)</f>
        <v>MRT7</v>
      </c>
      <c r="B225" s="116" t="str" cm="1">
        <f t="array" ref="B225">_xlfn.IFS(LEFT(A225, LEN(A225)-1)="EP", "EP", LEFT(A225, LEN(A225)-1)="STa", "SPI", LEFT(A225, LEN(A225)-1)="STb", "SPO", LEFT(A225, LEN(A225)-1)="MRT", "MRT", LEFT(A225, LEN(A225)-1)="RG", "RN", LEFT(A225, LEN(A225)-1)="RT", "RU", LEFT(A225, LEN(A225)-1)="RW", "RL", LEFT(A225, LEN(A225)-1)="RC", "RS")</f>
        <v>MRT</v>
      </c>
      <c r="C225" s="117">
        <f>qPCR_Raw!B225</f>
        <v>44433</v>
      </c>
      <c r="D225" s="117" t="str">
        <f t="shared" si="54"/>
        <v>MRT44433</v>
      </c>
      <c r="E225" s="117" t="str">
        <f t="shared" si="55"/>
        <v>MRT444337</v>
      </c>
      <c r="F225" s="118">
        <f>qPCR_Raw!C225</f>
        <v>990</v>
      </c>
      <c r="G225" s="119">
        <f>qPCR_Raw!F225</f>
        <v>100</v>
      </c>
      <c r="H225" s="120">
        <f>qPCR_Raw!G225</f>
        <v>19.305788040161133</v>
      </c>
      <c r="I225" s="121" cm="1">
        <f t="array" ref="I225">_xlfn.IFS(H225="Undetermined", 0, qPCR_Raw!H225-qPCR_Raw!$H$242&lt;0, 0, qPCR_Raw!H225-qPCR_Raw!$H$242&gt;0, qPCR_Raw!H225-qPCR_Raw!$H$242)</f>
        <v>138222.42394612631</v>
      </c>
      <c r="J225" s="122">
        <f>qPCR_Raw!K225</f>
        <v>23.066135406494141</v>
      </c>
      <c r="K225" s="121" cm="1">
        <f t="array" ref="K225">_xlfn.IFS(J225="Undetermined", 0, qPCR_Raw!L225-qPCR_Raw!$H$242&lt;0, 0, qPCR_Raw!L225-qPCR_Raw!$H$242&gt;0, qPCR_Raw!L225-qPCR_Raw!$H$242)</f>
        <v>0</v>
      </c>
      <c r="L225" s="123" t="str" cm="1">
        <f t="array" ref="L225">_xlfn.IFS(AND(H225="Undetermined", J225="Undetermined"), "Undetermined", AND(I225=0, K225=0), "Undetermined", AND(I225=0, K225&gt;0), "Ten-Fold", AND(I225&gt;0, K225=0), "Undiluted", AND(H225&lt;&gt;"Undetermined", J225&lt;&gt;"Undetermined", I225&gt;0, K225&gt;0), 100*(-1+10^(-1/(H225-J225))))</f>
        <v>Undiluted</v>
      </c>
      <c r="M225" s="124" cm="1">
        <f t="array" ref="M225">_xlfn.IFS(L225="Undetermined", 0, L225="Undiluted", I225*$G225/$F225*1000, L225="Ten-Fold", K225*$G225/$F225*1000*10, L225&lt;0, K225*$G225/$F225*1000*10, L225&lt;120, I225*$G225/$F225*1000, L225&gt;120, K225*$G225/$F225*1000*10)</f>
        <v>13961861.004659224</v>
      </c>
      <c r="N225" s="121" t="str">
        <f t="shared" si="56"/>
        <v>DELETE</v>
      </c>
      <c r="O225" s="121" t="str">
        <f t="shared" si="57"/>
        <v>DELETE</v>
      </c>
      <c r="P225" s="121" t="str">
        <f t="shared" si="58"/>
        <v>DELETE</v>
      </c>
      <c r="Q225" s="125" t="str" cm="1">
        <f t="array" ref="Q225">_xlfn.IFS(N225="DELETE", "DELETE", N225=0, 0, N225&gt;0,LOG10(N225))</f>
        <v>DELETE</v>
      </c>
      <c r="R225" s="126" t="str" cm="1">
        <f t="array" ref="R225">_xlfn.IFS(N225="DELETE", "DELETE", N225=0, 0, N225&gt;0, P225/N225/LN(10))</f>
        <v>DELETE</v>
      </c>
      <c r="S225" s="155">
        <f>qPCR_Raw!O225</f>
        <v>30.440656661987305</v>
      </c>
      <c r="T225" s="156" cm="1">
        <f t="array" ref="T225">_xlfn.IFS(S225="Undetermined", 0, qPCR_Raw!P225&lt;=1, 0, qPCR_Raw!P225&gt;1, qPCR_Raw!P225)</f>
        <v>121.392822265625</v>
      </c>
      <c r="U225" s="157">
        <f>qPCR_Raw!R225</f>
        <v>33.809043884277344</v>
      </c>
      <c r="V225" s="156" cm="1">
        <f t="array" ref="V225">_xlfn.IFS(U225="Undetermined", 0, qPCR_Raw!S225&lt;=1, 0, qPCR_Raw!S225&gt;1, qPCR_Raw!S225)</f>
        <v>14.563465118408203</v>
      </c>
      <c r="W225" s="158" cm="1">
        <f t="array" ref="W225">_xlfn.IFS(AND(S225="Undetermined", U225="Undetermined"), "Undetermined", AND(T225=0, V225=0), "Undetermined", AND(T225=0, V225&gt;0), "Ten-Fold", AND(T225&gt;0, V225=0), "Undiluted", AND(S225&lt;&gt;"Undetermined", U225&lt;&gt;"Undetermined", T225&gt;0, V225&gt;0, S225&lt;&gt;U225), 100*(-1+10^(-1/(S225-U225))), AND(S225&lt;&gt;"Undetermined", U225&lt;&gt;"Undetermined", S225=U225&gt;0), -100)</f>
        <v>98.097037890324046</v>
      </c>
      <c r="X225" s="159" cm="1">
        <f t="array" ref="X225">_xlfn.IFS(W225="Undetermined", 0, W225="Undiluted", T225*$G225/$F225*1000, W225="Ten-Fold", V225*$G225/$F225*1000*10, W225&lt;0, V225*$G225/$F225*1000*10, W225&lt;120, T225*$G225/$F225*1000, W225&gt;120, V225*$G225/$F225*1000*10)</f>
        <v>12261.901238952021</v>
      </c>
      <c r="Y225" s="156" t="str">
        <f t="shared" si="59"/>
        <v>DELETE</v>
      </c>
      <c r="Z225" s="156" t="str">
        <f t="shared" si="60"/>
        <v>DELETE</v>
      </c>
      <c r="AA225" s="156" t="str">
        <f t="shared" si="61"/>
        <v>DELETE</v>
      </c>
      <c r="AB225" s="160" t="str" cm="1">
        <f t="array" ref="AB225">_xlfn.IFS(Y225="DELETE", "DELETE", Y225=0, 0, Y225&gt;0,LOG10(Y225))</f>
        <v>DELETE</v>
      </c>
      <c r="AC225" s="161" t="str" cm="1">
        <f t="array" ref="AC225">_xlfn.IFS(Y225="DELETE", "DELETE", Y225=0, 0, Y225&gt;0, AA225/Y225/LN(10))</f>
        <v>DELETE</v>
      </c>
      <c r="AD225" s="120">
        <f>qPCR_Raw!U225</f>
        <v>35.233280181884766</v>
      </c>
      <c r="AE225" s="121" cm="1">
        <f t="array" ref="AE225">_xlfn.IFS(AD225="Undetermined", 0, qPCR_Raw!V225&lt;=1, 0, qPCR_Raw!V225&gt;1, qPCR_Raw!V225)</f>
        <v>0</v>
      </c>
      <c r="AF225" s="122">
        <f>qPCR_Raw!X225</f>
        <v>36.134250640869141</v>
      </c>
      <c r="AG225" s="121" cm="1">
        <f t="array" ref="AG225">_xlfn.IFS(AF225="Undetermined", 0, qPCR_Raw!Y225&lt;=1, 0, qPCR_Raw!Y225&gt;1, qPCR_Raw!Y225)</f>
        <v>0</v>
      </c>
      <c r="AH225" s="123" t="str" cm="1">
        <f t="array" ref="AH225">_xlfn.IFS(AND(AD225="Undetermined", AF225="Undetermined"), "Undetermined", AND(AE225=0, AG225=0), "Undetermined", AND(AE225=0, AG225&gt;0), "Ten-Fold", AND(AE225&gt;0, AG225=0), "Undiluted", AND(AD225&lt;&gt;"Undetermined", AF225&lt;&gt;"Undetermined", AE225&gt;0, AG225&gt;0, AD225&lt;&gt;AF225), 100*(-1+10^(-1/(AD225-AF225))), AND(AD225&lt;&gt;"Undetermined", AF225&lt;&gt;"Undetermined", AD225=AF225&gt;0), -100)</f>
        <v>Undetermined</v>
      </c>
      <c r="AI225" s="124" cm="1">
        <f t="array" ref="AI225">_xlfn.IFS(AH225="Undetermined", 0, AH225="Undiluted", AE225*$G225/$F225*1000, AH225="Ten-Fold", AG225*$G225/$F225*1000*10, AH225&lt;0, AG225*$G225/$F225*1000*10, AH225&lt;120, AE225*$G225/$F225*1000, AH225&gt;120, AG225*$G225/$F225*1000*10)</f>
        <v>0</v>
      </c>
      <c r="AJ225" s="121" t="str">
        <f t="shared" si="62"/>
        <v>DELETE</v>
      </c>
      <c r="AK225" s="121" t="str">
        <f t="shared" si="63"/>
        <v>DELETE</v>
      </c>
      <c r="AL225" s="121" t="str">
        <f t="shared" si="64"/>
        <v>DELETE</v>
      </c>
      <c r="AM225" s="125" t="str" cm="1">
        <f t="array" ref="AM225">_xlfn.IFS(AJ225="DELETE", "DELETE", AJ225=0, 0, AJ225&gt;0,LOG10(AJ225))</f>
        <v>DELETE</v>
      </c>
      <c r="AN225" s="126" t="str" cm="1">
        <f t="array" ref="AN225">_xlfn.IFS(AJ225="DELETE", "DELETE", AJ225=0, 0, AJ225&gt;0, AL225/AJ225/LN(10))</f>
        <v>DELETE</v>
      </c>
      <c r="AO225" s="155">
        <f>qPCR_Raw!AA225</f>
        <v>25.187004089355469</v>
      </c>
      <c r="AP225" s="156" cm="1">
        <f t="array" ref="AP225">_xlfn.IFS(AO225="Undetermined", 0, qPCR_Raw!AB225&lt;=6, 0, qPCR_Raw!AB225&gt;6, qPCR_Raw!AB225)</f>
        <v>48.710105895996094</v>
      </c>
      <c r="AQ225" s="157">
        <f>qPCR_Raw!AD225</f>
        <v>29.834835052490234</v>
      </c>
      <c r="AR225" s="156" cm="1">
        <f t="array" ref="AR225">_xlfn.IFS(AQ225="Undetermined", 0, qPCR_Raw!AE225&lt;=6, 0, qPCR_Raw!AE225&gt;6, qPCR_Raw!AE225)</f>
        <v>0</v>
      </c>
      <c r="AS225" s="158" t="str" cm="1">
        <f t="array" ref="AS225">_xlfn.IFS(AND(AO225="Undetermined", AQ225="Undetermined"), "Undetermined", AND(AP225=0, AR225=0), "Undetermined", AND(AP225=0, AR225&gt;0), "Ten-Fold", AND(AP225&gt;0, AR225=0), "Undiluted", AND(AO225&lt;&gt;"Undetermined", AQ225&lt;&gt;"Undetermined", AP225&gt;0, AR225&gt;0, AO225&lt;&gt;AQ225), 100*(-1+10^(-1/(AO225-AQ225))), AND(AO225&lt;&gt;"Undetermined", AQ225&lt;&gt;"Undetermined", AO225=AQ225&gt;0), -100)</f>
        <v>Undiluted</v>
      </c>
      <c r="AT225" s="159" cm="1">
        <f t="array" ref="AT225">_xlfn.IFS(AS225="Undetermined", 0, AS225="Undiluted", AP225*$G225/$F225*1000, AS225="Ten-Fold", AR225*$G225/$F225*1000*10, AS225&lt;0, AR225*$G225/$F225*1000*10, AS225&lt;120, AP225*$G225/$F225*1000, AS225&gt;120, AR225*$G225/$F225*1000*10)</f>
        <v>4920.2127167672825</v>
      </c>
      <c r="AU225" s="156" t="str">
        <f t="shared" si="65"/>
        <v>DELETE</v>
      </c>
      <c r="AV225" s="156" t="str">
        <f t="shared" si="66"/>
        <v>DELETE</v>
      </c>
      <c r="AW225" s="156" t="str">
        <f t="shared" si="67"/>
        <v>DELETE</v>
      </c>
      <c r="AX225" s="160" t="str" cm="1">
        <f t="array" ref="AX225">_xlfn.IFS(AU225="DELETE", "DELETE", AU225=0, 0, AU225&gt;0,LOG10(AU225))</f>
        <v>DELETE</v>
      </c>
      <c r="AY225" s="161" t="str" cm="1">
        <f t="array" ref="AY225">_xlfn.IFS(AU225="DELETE", "DELETE", AU225=0, 0, AU225&gt;0, AW225/AU225/LN(10))</f>
        <v>DELETE</v>
      </c>
      <c r="AZ225" s="120">
        <f>qPCR_Raw!AG225</f>
        <v>33.683399200439453</v>
      </c>
      <c r="BA225" s="121" cm="1">
        <f t="array" ref="BA225">_xlfn.IFS(AZ225="Undetermined", 0, qPCR_Raw!AH225&lt;=1, 0, qPCR_Raw!AH225&gt;1, qPCR_Raw!AH225)</f>
        <v>9.8726367950439453</v>
      </c>
      <c r="BB225" s="122" t="str">
        <f>qPCR_Raw!AJ225</f>
        <v>Undetermined</v>
      </c>
      <c r="BC225" s="121" cm="1">
        <f t="array" ref="BC225">_xlfn.IFS(BB225="Undetermined", 0, qPCR_Raw!AK225&lt;=1, 0, qPCR_Raw!AK225&gt;1, qPCR_Raw!AK225)</f>
        <v>0</v>
      </c>
      <c r="BD225" s="123" t="str" cm="1">
        <f t="array" ref="BD225">_xlfn.IFS(AND(AZ225="Undetermined", BB225="Undetermined"), "Undetermined", AND(BA225=0, BC225=0), "Undetermined", AND(BA225=0, BC225&gt;0), "Ten-Fold", AND(BA225&gt;0, BC225=0), "Undiluted", AND(AZ225&lt;&gt;"Undetermined", BB225&lt;&gt;"Undetermined", BA225&gt;0, BC225&gt;0, AZ225&lt;&gt;BB225), 100*(-1+10^(-1/(AZ225-BB225))), AND(AZ225&lt;&gt;"Undetermined", BB225&lt;&gt;"Undetermined", AZ225=BB225&gt;0), -100)</f>
        <v>Undiluted</v>
      </c>
      <c r="BE225" s="124" cm="1">
        <f t="array" ref="BE225">_xlfn.IFS(BD225="Undetermined", 0, BD225="Undiluted", BA225*$G225/$F225*1000, BD225="Ten-Fold", BC225*$G225/$F225*1000*10, BD225&lt;0, BC225*$G225/$F225*1000*10, BD225&lt;120, BA225*$G225/$F225*1000, BD225&gt;120, BC225*$G225/$F225*1000*10)</f>
        <v>997.23603990342883</v>
      </c>
      <c r="BF225" s="121" t="str">
        <f t="shared" si="68"/>
        <v>DELETE</v>
      </c>
      <c r="BG225" s="121" t="str">
        <f t="shared" si="69"/>
        <v>DELETE</v>
      </c>
      <c r="BH225" s="121" t="str">
        <f t="shared" si="70"/>
        <v>DELETE</v>
      </c>
      <c r="BI225" s="125" t="str" cm="1">
        <f t="array" ref="BI225">_xlfn.IFS(BF225="DELETE", "DELETE", BF225=0, 0, BF225&gt;0,LOG10(BF225))</f>
        <v>DELETE</v>
      </c>
      <c r="BJ225" s="126" t="str" cm="1">
        <f t="array" ref="BJ225">_xlfn.IFS(BF225="DELETE", "DELETE", BF225=0, 0, BF225&gt;0, BH225/BF225/LN(10))</f>
        <v>DELETE</v>
      </c>
    </row>
    <row r="226" spans="1:62" s="114" customFormat="1" x14ac:dyDescent="0.3">
      <c r="A226" s="115" t="str">
        <f>UPPER(LEFT(SUBSTITUTE(SUBSTITUTE(qPCR_Raw!A226,"-","")," ",""),2))&amp;RIGHT(SUBSTITUTE(SUBSTITUTE(qPCR_Raw!A226,"-","")," ",""),LEN(SUBSTITUTE(SUBSTITUTE(qPCR_Raw!A226,"-","")," ",""))-2)</f>
        <v>RT6</v>
      </c>
      <c r="B226" s="116" t="str" cm="1">
        <f t="array" ref="B226">_xlfn.IFS(LEFT(A226, LEN(A226)-1)="EP", "EP", LEFT(A226, LEN(A226)-1)="STa", "SPI", LEFT(A226, LEN(A226)-1)="STb", "SPO", LEFT(A226, LEN(A226)-1)="MRT", "MRT", LEFT(A226, LEN(A226)-1)="RG", "RN", LEFT(A226, LEN(A226)-1)="RT", "RU", LEFT(A226, LEN(A226)-1)="RW", "RL", LEFT(A226, LEN(A226)-1)="RC", "RS")</f>
        <v>RU</v>
      </c>
      <c r="C226" s="117">
        <f>qPCR_Raw!B226</f>
        <v>44433</v>
      </c>
      <c r="D226" s="117" t="str">
        <f t="shared" si="54"/>
        <v>RU44433</v>
      </c>
      <c r="E226" s="117" t="str">
        <f t="shared" si="55"/>
        <v>RU444336</v>
      </c>
      <c r="F226" s="118">
        <f>qPCR_Raw!C226</f>
        <v>1000</v>
      </c>
      <c r="G226" s="119">
        <f>qPCR_Raw!F226</f>
        <v>100</v>
      </c>
      <c r="H226" s="120">
        <f>qPCR_Raw!G226</f>
        <v>13.59037971496582</v>
      </c>
      <c r="I226" s="121" cm="1">
        <f t="array" ref="I226">_xlfn.IFS(H226="Undetermined", 0, qPCR_Raw!H226-qPCR_Raw!$H$242&lt;0, 0, qPCR_Raw!H226-qPCR_Raw!$H$242&gt;0, qPCR_Raw!H226-qPCR_Raw!$H$242)</f>
        <v>7061000.8614461264</v>
      </c>
      <c r="J226" s="122">
        <f>qPCR_Raw!K226</f>
        <v>16.782161712646484</v>
      </c>
      <c r="K226" s="121" cm="1">
        <f t="array" ref="K226">_xlfn.IFS(J226="Undetermined", 0, qPCR_Raw!L226-qPCR_Raw!$H$242&lt;0, 0, qPCR_Raw!L226-qPCR_Raw!$H$242&gt;0, qPCR_Raw!L226-qPCR_Raw!$H$242)</f>
        <v>813044.67394612625</v>
      </c>
      <c r="L226" s="123" cm="1">
        <f t="array" ref="L226">_xlfn.IFS(AND(H226="Undetermined", J226="Undetermined"), "Undetermined", AND(I226=0, K226=0), "Undetermined", AND(I226=0, K226&gt;0), "Ten-Fold", AND(I226&gt;0, K226=0), "Undiluted", AND(H226&lt;&gt;"Undetermined", J226&lt;&gt;"Undetermined", I226&gt;0, K226&gt;0), 100*(-1+10^(-1/(H226-J226))))</f>
        <v>105.73330630576807</v>
      </c>
      <c r="M226" s="124" cm="1">
        <f t="array" ref="M226">_xlfn.IFS(L226="Undetermined", 0, L226="Undiluted", I226*$G226/$F226*1000, L226="Ten-Fold", K226*$G226/$F226*1000*10, L226&lt;0, K226*$G226/$F226*1000*10, L226&lt;120, I226*$G226/$F226*1000, L226&gt;120, K226*$G226/$F226*1000*10)</f>
        <v>706100086.14461267</v>
      </c>
      <c r="N226" s="121">
        <f t="shared" si="56"/>
        <v>353050043.07230633</v>
      </c>
      <c r="O226" s="121">
        <f t="shared" si="57"/>
        <v>499288159.10926098</v>
      </c>
      <c r="P226" s="121">
        <f t="shared" si="58"/>
        <v>353050043.07230628</v>
      </c>
      <c r="Q226" s="125" cm="1">
        <f t="array" ref="Q226">_xlfn.IFS(N226="DELETE", "DELETE", N226=0, 0, N226&gt;0,LOG10(N226))</f>
        <v>8.5478362688149758</v>
      </c>
      <c r="R226" s="126" cm="1">
        <f t="array" ref="R226">_xlfn.IFS(N226="DELETE", "DELETE", N226=0, 0, N226&gt;0, P226/N226/LN(10))</f>
        <v>0.43429448190325171</v>
      </c>
      <c r="S226" s="155">
        <f>qPCR_Raw!O226</f>
        <v>29.428726196289063</v>
      </c>
      <c r="T226" s="156" cm="1">
        <f t="array" ref="T226">_xlfn.IFS(S226="Undetermined", 0, qPCR_Raw!P226&lt;=1, 0, qPCR_Raw!P226&gt;1, qPCR_Raw!P226)</f>
        <v>229.53988647460938</v>
      </c>
      <c r="U226" s="157">
        <f>qPCR_Raw!R226</f>
        <v>32.808658599853516</v>
      </c>
      <c r="V226" s="156" cm="1">
        <f t="array" ref="V226">_xlfn.IFS(U226="Undetermined", 0, qPCR_Raw!S226&lt;=1, 0, qPCR_Raw!S226&gt;1, qPCR_Raw!S226)</f>
        <v>27.338418960571289</v>
      </c>
      <c r="W226" s="158" cm="1">
        <f t="array" ref="W226">_xlfn.IFS(AND(S226="Undetermined", U226="Undetermined"), "Undetermined", AND(T226=0, V226=0), "Undetermined", AND(T226=0, V226&gt;0), "Ten-Fold", AND(T226&gt;0, V226=0), "Undiluted", AND(S226&lt;&gt;"Undetermined", U226&lt;&gt;"Undetermined", T226&gt;0, V226&gt;0, S226&lt;&gt;U226), 100*(-1+10^(-1/(S226-U226))), AND(S226&lt;&gt;"Undetermined", U226&lt;&gt;"Undetermined", S226=U226&gt;0), -100)</f>
        <v>97.635021416628476</v>
      </c>
      <c r="X226" s="159" cm="1">
        <f t="array" ref="X226">_xlfn.IFS(W226="Undetermined", 0, W226="Undiluted", T226*$G226/$F226*1000, W226="Ten-Fold", V226*$G226/$F226*1000*10, W226&lt;0, V226*$G226/$F226*1000*10, W226&lt;120, T226*$G226/$F226*1000, W226&gt;120, V226*$G226/$F226*1000*10)</f>
        <v>22953.988647460938</v>
      </c>
      <c r="Y226" s="156">
        <f t="shared" si="59"/>
        <v>11476.994323730469</v>
      </c>
      <c r="Z226" s="156">
        <f t="shared" si="60"/>
        <v>16230.921027898657</v>
      </c>
      <c r="AA226" s="156">
        <f t="shared" si="61"/>
        <v>11476.994323730469</v>
      </c>
      <c r="AB226" s="160" cm="1">
        <f t="array" ref="AB226">_xlfn.IFS(Y226="DELETE", "DELETE", Y226=0, 0, Y226&gt;0,LOG10(Y226))</f>
        <v>4.0598281668485159</v>
      </c>
      <c r="AC226" s="161" cm="1">
        <f t="array" ref="AC226">_xlfn.IFS(Y226="DELETE", "DELETE", Y226=0, 0, Y226&gt;0, AA226/Y226/LN(10))</f>
        <v>0.43429448190325176</v>
      </c>
      <c r="AD226" s="120">
        <f>qPCR_Raw!U226</f>
        <v>26.213638305664063</v>
      </c>
      <c r="AE226" s="121" cm="1">
        <f t="array" ref="AE226">_xlfn.IFS(AD226="Undetermined", 0, qPCR_Raw!V226&lt;=1, 0, qPCR_Raw!V226&gt;1, qPCR_Raw!V226)</f>
        <v>195.834228515625</v>
      </c>
      <c r="AF226" s="122">
        <f>qPCR_Raw!X226</f>
        <v>31.793787002563477</v>
      </c>
      <c r="AG226" s="121" cm="1">
        <f t="array" ref="AG226">_xlfn.IFS(AF226="Undetermined", 0, qPCR_Raw!Y226&lt;=1, 0, qPCR_Raw!Y226&gt;1, qPCR_Raw!Y226)</f>
        <v>4.6341614723205566</v>
      </c>
      <c r="AH226" s="123" cm="1">
        <f t="array" ref="AH226">_xlfn.IFS(AND(AD226="Undetermined", AF226="Undetermined"), "Undetermined", AND(AE226=0, AG226=0), "Undetermined", AND(AE226=0, AG226&gt;0), "Ten-Fold", AND(AE226&gt;0, AG226=0), "Undiluted", AND(AD226&lt;&gt;"Undetermined", AF226&lt;&gt;"Undetermined", AE226&gt;0, AG226&gt;0, AD226&lt;&gt;AF226), 100*(-1+10^(-1/(AD226-AF226))), AND(AD226&lt;&gt;"Undetermined", AF226&lt;&gt;"Undetermined", AD226=AF226&gt;0), -100)</f>
        <v>51.079901845332486</v>
      </c>
      <c r="AI226" s="124" cm="1">
        <f t="array" ref="AI226">_xlfn.IFS(AH226="Undetermined", 0, AH226="Undiluted", AE226*$G226/$F226*1000, AH226="Ten-Fold", AG226*$G226/$F226*1000*10, AH226&lt;0, AG226*$G226/$F226*1000*10, AH226&lt;120, AE226*$G226/$F226*1000, AH226&gt;120, AG226*$G226/$F226*1000*10)</f>
        <v>19583.4228515625</v>
      </c>
      <c r="AJ226" s="121">
        <f t="shared" si="62"/>
        <v>9791.71142578125</v>
      </c>
      <c r="AK226" s="121">
        <f t="shared" si="63"/>
        <v>13847.57109718344</v>
      </c>
      <c r="AL226" s="121">
        <f t="shared" si="64"/>
        <v>9791.71142578125</v>
      </c>
      <c r="AM226" s="125" cm="1">
        <f t="array" ref="AM226">_xlfn.IFS(AJ226="DELETE", "DELETE", AJ226=0, 0, AJ226&gt;0,LOG10(AJ226))</f>
        <v>3.9908586057780417</v>
      </c>
      <c r="AN226" s="126" cm="1">
        <f t="array" ref="AN226">_xlfn.IFS(AJ226="DELETE", "DELETE", AJ226=0, 0, AJ226&gt;0, AL226/AJ226/LN(10))</f>
        <v>0.43429448190325176</v>
      </c>
      <c r="AO226" s="155">
        <f>qPCR_Raw!AA226</f>
        <v>28.808086395263672</v>
      </c>
      <c r="AP226" s="156" cm="1">
        <f t="array" ref="AP226">_xlfn.IFS(AO226="Undetermined", 0, qPCR_Raw!AB226&lt;=6, 0, qPCR_Raw!AB226&gt;6, qPCR_Raw!AB226)</f>
        <v>0</v>
      </c>
      <c r="AQ226" s="157" t="str">
        <f>qPCR_Raw!AD226</f>
        <v>Undetermined</v>
      </c>
      <c r="AR226" s="156" cm="1">
        <f t="array" ref="AR226">_xlfn.IFS(AQ226="Undetermined", 0, qPCR_Raw!AE226&lt;=6, 0, qPCR_Raw!AE226&gt;6, qPCR_Raw!AE226)</f>
        <v>0</v>
      </c>
      <c r="AS226" s="158" t="str" cm="1">
        <f t="array" ref="AS226">_xlfn.IFS(AND(AO226="Undetermined", AQ226="Undetermined"), "Undetermined", AND(AP226=0, AR226=0), "Undetermined", AND(AP226=0, AR226&gt;0), "Ten-Fold", AND(AP226&gt;0, AR226=0), "Undiluted", AND(AO226&lt;&gt;"Undetermined", AQ226&lt;&gt;"Undetermined", AP226&gt;0, AR226&gt;0, AO226&lt;&gt;AQ226), 100*(-1+10^(-1/(AO226-AQ226))), AND(AO226&lt;&gt;"Undetermined", AQ226&lt;&gt;"Undetermined", AO226=AQ226&gt;0), -100)</f>
        <v>Undetermined</v>
      </c>
      <c r="AT226" s="159" cm="1">
        <f t="array" ref="AT226">_xlfn.IFS(AS226="Undetermined", 0, AS226="Undiluted", AP226*$G226/$F226*1000, AS226="Ten-Fold", AR226*$G226/$F226*1000*10, AS226&lt;0, AR226*$G226/$F226*1000*10, AS226&lt;120, AP226*$G226/$F226*1000, AS226&gt;120, AR226*$G226/$F226*1000*10)</f>
        <v>0</v>
      </c>
      <c r="AU226" s="156">
        <f t="shared" si="65"/>
        <v>0</v>
      </c>
      <c r="AV226" s="156">
        <f t="shared" si="66"/>
        <v>0</v>
      </c>
      <c r="AW226" s="156">
        <f t="shared" si="67"/>
        <v>0</v>
      </c>
      <c r="AX226" s="160" cm="1">
        <f t="array" ref="AX226">_xlfn.IFS(AU226="DELETE", "DELETE", AU226=0, 0, AU226&gt;0,LOG10(AU226))</f>
        <v>0</v>
      </c>
      <c r="AY226" s="161" cm="1">
        <f t="array" ref="AY226">_xlfn.IFS(AU226="DELETE", "DELETE", AU226=0, 0, AU226&gt;0, AW226/AU226/LN(10))</f>
        <v>0</v>
      </c>
      <c r="AZ226" s="120">
        <f>qPCR_Raw!AG226</f>
        <v>39.739723205566406</v>
      </c>
      <c r="BA226" s="121" cm="1">
        <f t="array" ref="BA226">_xlfn.IFS(AZ226="Undetermined", 0, qPCR_Raw!AH226&lt;=1, 0, qPCR_Raw!AH226&gt;1, qPCR_Raw!AH226)</f>
        <v>0</v>
      </c>
      <c r="BB226" s="122" t="str">
        <f>qPCR_Raw!AJ226</f>
        <v>Undetermined</v>
      </c>
      <c r="BC226" s="121" cm="1">
        <f t="array" ref="BC226">_xlfn.IFS(BB226="Undetermined", 0, qPCR_Raw!AK226&lt;=1, 0, qPCR_Raw!AK226&gt;1, qPCR_Raw!AK226)</f>
        <v>0</v>
      </c>
      <c r="BD226" s="123" t="str" cm="1">
        <f t="array" ref="BD226">_xlfn.IFS(AND(AZ226="Undetermined", BB226="Undetermined"), "Undetermined", AND(BA226=0, BC226=0), "Undetermined", AND(BA226=0, BC226&gt;0), "Ten-Fold", AND(BA226&gt;0, BC226=0), "Undiluted", AND(AZ226&lt;&gt;"Undetermined", BB226&lt;&gt;"Undetermined", BA226&gt;0, BC226&gt;0, AZ226&lt;&gt;BB226), 100*(-1+10^(-1/(AZ226-BB226))), AND(AZ226&lt;&gt;"Undetermined", BB226&lt;&gt;"Undetermined", AZ226=BB226&gt;0), -100)</f>
        <v>Undetermined</v>
      </c>
      <c r="BE226" s="124" cm="1">
        <f t="array" ref="BE226">_xlfn.IFS(BD226="Undetermined", 0, BD226="Undiluted", BA226*$G226/$F226*1000, BD226="Ten-Fold", BC226*$G226/$F226*1000*10, BD226&lt;0, BC226*$G226/$F226*1000*10, BD226&lt;120, BA226*$G226/$F226*1000, BD226&gt;120, BC226*$G226/$F226*1000*10)</f>
        <v>0</v>
      </c>
      <c r="BF226" s="121">
        <f t="shared" si="68"/>
        <v>0</v>
      </c>
      <c r="BG226" s="121">
        <f t="shared" si="69"/>
        <v>0</v>
      </c>
      <c r="BH226" s="121">
        <f t="shared" si="70"/>
        <v>0</v>
      </c>
      <c r="BI226" s="125" cm="1">
        <f t="array" ref="BI226">_xlfn.IFS(BF226="DELETE", "DELETE", BF226=0, 0, BF226&gt;0,LOG10(BF226))</f>
        <v>0</v>
      </c>
      <c r="BJ226" s="126" cm="1">
        <f t="array" ref="BJ226">_xlfn.IFS(BF226="DELETE", "DELETE", BF226=0, 0, BF226&gt;0, BH226/BF226/LN(10))</f>
        <v>0</v>
      </c>
    </row>
    <row r="227" spans="1:62" s="114" customFormat="1" x14ac:dyDescent="0.3">
      <c r="A227" s="115" t="str">
        <f>UPPER(LEFT(SUBSTITUTE(SUBSTITUTE(qPCR_Raw!A227,"-","")," ",""),2))&amp;RIGHT(SUBSTITUTE(SUBSTITUTE(qPCR_Raw!A227,"-","")," ",""),LEN(SUBSTITUTE(SUBSTITUTE(qPCR_Raw!A227,"-","")," ",""))-2)</f>
        <v>RT7</v>
      </c>
      <c r="B227" s="116" t="str" cm="1">
        <f t="array" ref="B227">_xlfn.IFS(LEFT(A227, LEN(A227)-1)="EP", "EP", LEFT(A227, LEN(A227)-1)="STa", "SPI", LEFT(A227, LEN(A227)-1)="STb", "SPO", LEFT(A227, LEN(A227)-1)="MRT", "MRT", LEFT(A227, LEN(A227)-1)="RG", "RN", LEFT(A227, LEN(A227)-1)="RT", "RU", LEFT(A227, LEN(A227)-1)="RW", "RL", LEFT(A227, LEN(A227)-1)="RC", "RS")</f>
        <v>RU</v>
      </c>
      <c r="C227" s="117">
        <f>qPCR_Raw!B227</f>
        <v>44433</v>
      </c>
      <c r="D227" s="117" t="str">
        <f t="shared" si="54"/>
        <v>RU44433</v>
      </c>
      <c r="E227" s="117" t="str">
        <f t="shared" si="55"/>
        <v>RU444337</v>
      </c>
      <c r="F227" s="118">
        <f>qPCR_Raw!C227</f>
        <v>1000</v>
      </c>
      <c r="G227" s="119">
        <f>qPCR_Raw!F227</f>
        <v>100</v>
      </c>
      <c r="H227" s="120">
        <f>qPCR_Raw!G227</f>
        <v>23.041460037231445</v>
      </c>
      <c r="I227" s="121" cm="1">
        <f t="array" ref="I227">_xlfn.IFS(H227="Undetermined", 0, qPCR_Raw!H227-qPCR_Raw!$H$242&lt;0, 0, qPCR_Raw!H227-qPCR_Raw!$H$242&gt;0, qPCR_Raw!H227-qPCR_Raw!$H$242)</f>
        <v>0</v>
      </c>
      <c r="J227" s="122">
        <f>qPCR_Raw!K227</f>
        <v>25.715677261352539</v>
      </c>
      <c r="K227" s="121" cm="1">
        <f t="array" ref="K227">_xlfn.IFS(J227="Undetermined", 0, qPCR_Raw!L227-qPCR_Raw!$H$242&lt;0, 0, qPCR_Raw!L227-qPCR_Raw!$H$242&gt;0, qPCR_Raw!L227-qPCR_Raw!$H$242)</f>
        <v>0</v>
      </c>
      <c r="L227" s="123" t="str" cm="1">
        <f t="array" ref="L227">_xlfn.IFS(AND(H227="Undetermined", J227="Undetermined"), "Undetermined", AND(I227=0, K227=0), "Undetermined", AND(I227=0, K227&gt;0), "Ten-Fold", AND(I227&gt;0, K227=0), "Undiluted", AND(H227&lt;&gt;"Undetermined", J227&lt;&gt;"Undetermined", I227&gt;0, K227&gt;0), 100*(-1+10^(-1/(H227-J227))))</f>
        <v>Undetermined</v>
      </c>
      <c r="M227" s="124" cm="1">
        <f t="array" ref="M227">_xlfn.IFS(L227="Undetermined", 0, L227="Undiluted", I227*$G227/$F227*1000, L227="Ten-Fold", K227*$G227/$F227*1000*10, L227&lt;0, K227*$G227/$F227*1000*10, L227&lt;120, I227*$G227/$F227*1000, L227&gt;120, K227*$G227/$F227*1000*10)</f>
        <v>0</v>
      </c>
      <c r="N227" s="121" t="str">
        <f t="shared" si="56"/>
        <v>DELETE</v>
      </c>
      <c r="O227" s="121" t="str">
        <f t="shared" si="57"/>
        <v>DELETE</v>
      </c>
      <c r="P227" s="121" t="str">
        <f t="shared" si="58"/>
        <v>DELETE</v>
      </c>
      <c r="Q227" s="125" t="str" cm="1">
        <f t="array" ref="Q227">_xlfn.IFS(N227="DELETE", "DELETE", N227=0, 0, N227&gt;0,LOG10(N227))</f>
        <v>DELETE</v>
      </c>
      <c r="R227" s="126" t="str" cm="1">
        <f t="array" ref="R227">_xlfn.IFS(N227="DELETE", "DELETE", N227=0, 0, N227&gt;0, P227/N227/LN(10))</f>
        <v>DELETE</v>
      </c>
      <c r="S227" s="155" t="str">
        <f>qPCR_Raw!O227</f>
        <v>Undetermined</v>
      </c>
      <c r="T227" s="156" cm="1">
        <f t="array" ref="T227">_xlfn.IFS(S227="Undetermined", 0, qPCR_Raw!P227&lt;=1, 0, qPCR_Raw!P227&gt;1, qPCR_Raw!P227)</f>
        <v>0</v>
      </c>
      <c r="U227" s="157" t="str">
        <f>qPCR_Raw!R227</f>
        <v>Undetermined</v>
      </c>
      <c r="V227" s="156" cm="1">
        <f t="array" ref="V227">_xlfn.IFS(U227="Undetermined", 0, qPCR_Raw!S227&lt;=1, 0, qPCR_Raw!S227&gt;1, qPCR_Raw!S227)</f>
        <v>0</v>
      </c>
      <c r="W227" s="158" t="str" cm="1">
        <f t="array" ref="W227">_xlfn.IFS(AND(S227="Undetermined", U227="Undetermined"), "Undetermined", AND(T227=0, V227=0), "Undetermined", AND(T227=0, V227&gt;0), "Ten-Fold", AND(T227&gt;0, V227=0), "Undiluted", AND(S227&lt;&gt;"Undetermined", U227&lt;&gt;"Undetermined", T227&gt;0, V227&gt;0, S227&lt;&gt;U227), 100*(-1+10^(-1/(S227-U227))), AND(S227&lt;&gt;"Undetermined", U227&lt;&gt;"Undetermined", S227=U227&gt;0), -100)</f>
        <v>Undetermined</v>
      </c>
      <c r="X227" s="159" cm="1">
        <f t="array" ref="X227">_xlfn.IFS(W227="Undetermined", 0, W227="Undiluted", T227*$G227/$F227*1000, W227="Ten-Fold", V227*$G227/$F227*1000*10, W227&lt;0, V227*$G227/$F227*1000*10, W227&lt;120, T227*$G227/$F227*1000, W227&gt;120, V227*$G227/$F227*1000*10)</f>
        <v>0</v>
      </c>
      <c r="Y227" s="156" t="str">
        <f t="shared" si="59"/>
        <v>DELETE</v>
      </c>
      <c r="Z227" s="156" t="str">
        <f t="shared" si="60"/>
        <v>DELETE</v>
      </c>
      <c r="AA227" s="156" t="str">
        <f t="shared" si="61"/>
        <v>DELETE</v>
      </c>
      <c r="AB227" s="160" t="str" cm="1">
        <f t="array" ref="AB227">_xlfn.IFS(Y227="DELETE", "DELETE", Y227=0, 0, Y227&gt;0,LOG10(Y227))</f>
        <v>DELETE</v>
      </c>
      <c r="AC227" s="161" t="str" cm="1">
        <f t="array" ref="AC227">_xlfn.IFS(Y227="DELETE", "DELETE", Y227=0, 0, Y227&gt;0, AA227/Y227/LN(10))</f>
        <v>DELETE</v>
      </c>
      <c r="AD227" s="120">
        <f>qPCR_Raw!U227</f>
        <v>35.43023681640625</v>
      </c>
      <c r="AE227" s="121" cm="1">
        <f t="array" ref="AE227">_xlfn.IFS(AD227="Undetermined", 0, qPCR_Raw!V227&lt;=1, 0, qPCR_Raw!V227&gt;1, qPCR_Raw!V227)</f>
        <v>0</v>
      </c>
      <c r="AF227" s="122" t="str">
        <f>qPCR_Raw!X227</f>
        <v>Undetermined</v>
      </c>
      <c r="AG227" s="121" cm="1">
        <f t="array" ref="AG227">_xlfn.IFS(AF227="Undetermined", 0, qPCR_Raw!Y227&lt;=1, 0, qPCR_Raw!Y227&gt;1, qPCR_Raw!Y227)</f>
        <v>0</v>
      </c>
      <c r="AH227" s="123" t="str" cm="1">
        <f t="array" ref="AH227">_xlfn.IFS(AND(AD227="Undetermined", AF227="Undetermined"), "Undetermined", AND(AE227=0, AG227=0), "Undetermined", AND(AE227=0, AG227&gt;0), "Ten-Fold", AND(AE227&gt;0, AG227=0), "Undiluted", AND(AD227&lt;&gt;"Undetermined", AF227&lt;&gt;"Undetermined", AE227&gt;0, AG227&gt;0, AD227&lt;&gt;AF227), 100*(-1+10^(-1/(AD227-AF227))), AND(AD227&lt;&gt;"Undetermined", AF227&lt;&gt;"Undetermined", AD227=AF227&gt;0), -100)</f>
        <v>Undetermined</v>
      </c>
      <c r="AI227" s="124" cm="1">
        <f t="array" ref="AI227">_xlfn.IFS(AH227="Undetermined", 0, AH227="Undiluted", AE227*$G227/$F227*1000, AH227="Ten-Fold", AG227*$G227/$F227*1000*10, AH227&lt;0, AG227*$G227/$F227*1000*10, AH227&lt;120, AE227*$G227/$F227*1000, AH227&gt;120, AG227*$G227/$F227*1000*10)</f>
        <v>0</v>
      </c>
      <c r="AJ227" s="121" t="str">
        <f t="shared" si="62"/>
        <v>DELETE</v>
      </c>
      <c r="AK227" s="121" t="str">
        <f t="shared" si="63"/>
        <v>DELETE</v>
      </c>
      <c r="AL227" s="121" t="str">
        <f t="shared" si="64"/>
        <v>DELETE</v>
      </c>
      <c r="AM227" s="125" t="str" cm="1">
        <f t="array" ref="AM227">_xlfn.IFS(AJ227="DELETE", "DELETE", AJ227=0, 0, AJ227&gt;0,LOG10(AJ227))</f>
        <v>DELETE</v>
      </c>
      <c r="AN227" s="126" t="str" cm="1">
        <f t="array" ref="AN227">_xlfn.IFS(AJ227="DELETE", "DELETE", AJ227=0, 0, AJ227&gt;0, AL227/AJ227/LN(10))</f>
        <v>DELETE</v>
      </c>
      <c r="AO227" s="155" t="str">
        <f>qPCR_Raw!AA227</f>
        <v>Undetermined</v>
      </c>
      <c r="AP227" s="156" cm="1">
        <f t="array" ref="AP227">_xlfn.IFS(AO227="Undetermined", 0, qPCR_Raw!AB227&lt;=6, 0, qPCR_Raw!AB227&gt;6, qPCR_Raw!AB227)</f>
        <v>0</v>
      </c>
      <c r="AQ227" s="157" t="str">
        <f>qPCR_Raw!AD227</f>
        <v>Undetermined</v>
      </c>
      <c r="AR227" s="156" cm="1">
        <f t="array" ref="AR227">_xlfn.IFS(AQ227="Undetermined", 0, qPCR_Raw!AE227&lt;=6, 0, qPCR_Raw!AE227&gt;6, qPCR_Raw!AE227)</f>
        <v>0</v>
      </c>
      <c r="AS227" s="158" t="str" cm="1">
        <f t="array" ref="AS227">_xlfn.IFS(AND(AO227="Undetermined", AQ227="Undetermined"), "Undetermined", AND(AP227=0, AR227=0), "Undetermined", AND(AP227=0, AR227&gt;0), "Ten-Fold", AND(AP227&gt;0, AR227=0), "Undiluted", AND(AO227&lt;&gt;"Undetermined", AQ227&lt;&gt;"Undetermined", AP227&gt;0, AR227&gt;0, AO227&lt;&gt;AQ227), 100*(-1+10^(-1/(AO227-AQ227))), AND(AO227&lt;&gt;"Undetermined", AQ227&lt;&gt;"Undetermined", AO227=AQ227&gt;0), -100)</f>
        <v>Undetermined</v>
      </c>
      <c r="AT227" s="159" cm="1">
        <f t="array" ref="AT227">_xlfn.IFS(AS227="Undetermined", 0, AS227="Undiluted", AP227*$G227/$F227*1000, AS227="Ten-Fold", AR227*$G227/$F227*1000*10, AS227&lt;0, AR227*$G227/$F227*1000*10, AS227&lt;120, AP227*$G227/$F227*1000, AS227&gt;120, AR227*$G227/$F227*1000*10)</f>
        <v>0</v>
      </c>
      <c r="AU227" s="156" t="str">
        <f t="shared" si="65"/>
        <v>DELETE</v>
      </c>
      <c r="AV227" s="156" t="str">
        <f t="shared" si="66"/>
        <v>DELETE</v>
      </c>
      <c r="AW227" s="156" t="str">
        <f t="shared" si="67"/>
        <v>DELETE</v>
      </c>
      <c r="AX227" s="160" t="str" cm="1">
        <f t="array" ref="AX227">_xlfn.IFS(AU227="DELETE", "DELETE", AU227=0, 0, AU227&gt;0,LOG10(AU227))</f>
        <v>DELETE</v>
      </c>
      <c r="AY227" s="161" t="str" cm="1">
        <f t="array" ref="AY227">_xlfn.IFS(AU227="DELETE", "DELETE", AU227=0, 0, AU227&gt;0, AW227/AU227/LN(10))</f>
        <v>DELETE</v>
      </c>
      <c r="AZ227" s="120" t="str">
        <f>qPCR_Raw!AG227</f>
        <v>Undetermined</v>
      </c>
      <c r="BA227" s="121" cm="1">
        <f t="array" ref="BA227">_xlfn.IFS(AZ227="Undetermined", 0, qPCR_Raw!AH227&lt;=1, 0, qPCR_Raw!AH227&gt;1, qPCR_Raw!AH227)</f>
        <v>0</v>
      </c>
      <c r="BB227" s="122" t="str">
        <f>qPCR_Raw!AJ227</f>
        <v>Undetermined</v>
      </c>
      <c r="BC227" s="121" cm="1">
        <f t="array" ref="BC227">_xlfn.IFS(BB227="Undetermined", 0, qPCR_Raw!AK227&lt;=1, 0, qPCR_Raw!AK227&gt;1, qPCR_Raw!AK227)</f>
        <v>0</v>
      </c>
      <c r="BD227" s="123" t="str" cm="1">
        <f t="array" ref="BD227">_xlfn.IFS(AND(AZ227="Undetermined", BB227="Undetermined"), "Undetermined", AND(BA227=0, BC227=0), "Undetermined", AND(BA227=0, BC227&gt;0), "Ten-Fold", AND(BA227&gt;0, BC227=0), "Undiluted", AND(AZ227&lt;&gt;"Undetermined", BB227&lt;&gt;"Undetermined", BA227&gt;0, BC227&gt;0, AZ227&lt;&gt;BB227), 100*(-1+10^(-1/(AZ227-BB227))), AND(AZ227&lt;&gt;"Undetermined", BB227&lt;&gt;"Undetermined", AZ227=BB227&gt;0), -100)</f>
        <v>Undetermined</v>
      </c>
      <c r="BE227" s="124" cm="1">
        <f t="array" ref="BE227">_xlfn.IFS(BD227="Undetermined", 0, BD227="Undiluted", BA227*$G227/$F227*1000, BD227="Ten-Fold", BC227*$G227/$F227*1000*10, BD227&lt;0, BC227*$G227/$F227*1000*10, BD227&lt;120, BA227*$G227/$F227*1000, BD227&gt;120, BC227*$G227/$F227*1000*10)</f>
        <v>0</v>
      </c>
      <c r="BF227" s="121" t="str">
        <f t="shared" si="68"/>
        <v>DELETE</v>
      </c>
      <c r="BG227" s="121" t="str">
        <f t="shared" si="69"/>
        <v>DELETE</v>
      </c>
      <c r="BH227" s="121" t="str">
        <f t="shared" si="70"/>
        <v>DELETE</v>
      </c>
      <c r="BI227" s="125" t="str" cm="1">
        <f t="array" ref="BI227">_xlfn.IFS(BF227="DELETE", "DELETE", BF227=0, 0, BF227&gt;0,LOG10(BF227))</f>
        <v>DELETE</v>
      </c>
      <c r="BJ227" s="126" t="str" cm="1">
        <f t="array" ref="BJ227">_xlfn.IFS(BF227="DELETE", "DELETE", BF227=0, 0, BF227&gt;0, BH227/BF227/LN(10))</f>
        <v>DELETE</v>
      </c>
    </row>
    <row r="228" spans="1:62" s="114" customFormat="1" x14ac:dyDescent="0.3">
      <c r="A228" s="115" t="str">
        <f>UPPER(LEFT(SUBSTITUTE(SUBSTITUTE(qPCR_Raw!A228,"-","")," ",""),2))&amp;RIGHT(SUBSTITUTE(SUBSTITUTE(qPCR_Raw!A228,"-","")," ",""),LEN(SUBSTITUTE(SUBSTITUTE(qPCR_Raw!A228,"-","")," ",""))-2)</f>
        <v>STb6</v>
      </c>
      <c r="B228" s="116" t="str" cm="1">
        <f t="array" ref="B228">_xlfn.IFS(LEFT(A228, LEN(A228)-1)="EP", "EP", LEFT(A228, LEN(A228)-1)="STa", "SPI", LEFT(A228, LEN(A228)-1)="STb", "SPO", LEFT(A228, LEN(A228)-1)="MRT", "MRT", LEFT(A228, LEN(A228)-1)="RG", "RN", LEFT(A228, LEN(A228)-1)="RT", "RU", LEFT(A228, LEN(A228)-1)="RW", "RL", LEFT(A228, LEN(A228)-1)="RC", "RS")</f>
        <v>SPO</v>
      </c>
      <c r="C228" s="117">
        <f>qPCR_Raw!B228</f>
        <v>44433</v>
      </c>
      <c r="D228" s="117" t="str">
        <f t="shared" si="54"/>
        <v>SPO44433</v>
      </c>
      <c r="E228" s="117" t="str">
        <f t="shared" si="55"/>
        <v>SPO444336</v>
      </c>
      <c r="F228" s="118">
        <f>qPCR_Raw!C228</f>
        <v>960</v>
      </c>
      <c r="G228" s="119">
        <f>qPCR_Raw!F228</f>
        <v>100</v>
      </c>
      <c r="H228" s="120">
        <f>qPCR_Raw!G228</f>
        <v>18.774282455444336</v>
      </c>
      <c r="I228" s="121" cm="1">
        <f t="array" ref="I228">_xlfn.IFS(H228="Undetermined", 0, qPCR_Raw!H228-qPCR_Raw!$H$242&lt;0, 0, qPCR_Raw!H228-qPCR_Raw!$H$242&gt;0, qPCR_Raw!H228-qPCR_Raw!$H$242)</f>
        <v>203228.18957112631</v>
      </c>
      <c r="J228" s="122">
        <f>qPCR_Raw!K228</f>
        <v>21.944757461547852</v>
      </c>
      <c r="K228" s="121" cm="1">
        <f t="array" ref="K228">_xlfn.IFS(J228="Undetermined", 0, qPCR_Raw!L228-qPCR_Raw!$H$242&lt;0, 0, qPCR_Raw!L228-qPCR_Raw!$H$242&gt;0, qPCR_Raw!L228-qPCR_Raw!$H$242)</f>
        <v>12628.796993001302</v>
      </c>
      <c r="L228" s="123" cm="1">
        <f t="array" ref="L228">_xlfn.IFS(AND(H228="Undetermined", J228="Undetermined"), "Undetermined", AND(I228=0, K228=0), "Undetermined", AND(I228=0, K228&gt;0), "Ten-Fold", AND(I228&gt;0, K228=0), "Undiluted", AND(H228&lt;&gt;"Undetermined", J228&lt;&gt;"Undetermined", I228&gt;0, K228&gt;0), 100*(-1+10^(-1/(H228-J228))))</f>
        <v>106.7331637208429</v>
      </c>
      <c r="M228" s="124" cm="1">
        <f t="array" ref="M228">_xlfn.IFS(L228="Undetermined", 0, L228="Undiluted", I228*$G228/$F228*1000, L228="Ten-Fold", K228*$G228/$F228*1000*10, L228&lt;0, K228*$G228/$F228*1000*10, L228&lt;120, I228*$G228/$F228*1000, L228&gt;120, K228*$G228/$F228*1000*10)</f>
        <v>21169603.080325656</v>
      </c>
      <c r="N228" s="121">
        <f t="shared" si="56"/>
        <v>20113773.002200656</v>
      </c>
      <c r="O228" s="121">
        <f t="shared" si="57"/>
        <v>1493169.2160458195</v>
      </c>
      <c r="P228" s="121">
        <f t="shared" si="58"/>
        <v>1055830.078125</v>
      </c>
      <c r="Q228" s="125" cm="1">
        <f t="array" ref="Q228">_xlfn.IFS(N228="DELETE", "DELETE", N228=0, 0, N228&gt;0,LOG10(N228))</f>
        <v>7.3034935445072406</v>
      </c>
      <c r="R228" s="126" cm="1">
        <f t="array" ref="R228">_xlfn.IFS(N228="DELETE", "DELETE", N228=0, 0, N228&gt;0, P228/N228/LN(10))</f>
        <v>2.2797372561925482E-2</v>
      </c>
      <c r="S228" s="155">
        <f>qPCR_Raw!O228</f>
        <v>30.502920150756836</v>
      </c>
      <c r="T228" s="156" cm="1">
        <f t="array" ref="T228">_xlfn.IFS(S228="Undetermined", 0, qPCR_Raw!P228&lt;=1, 0, qPCR_Raw!P228&gt;1, qPCR_Raw!P228)</f>
        <v>116.72663116455078</v>
      </c>
      <c r="U228" s="157">
        <f>qPCR_Raw!R228</f>
        <v>33.471305847167969</v>
      </c>
      <c r="V228" s="156" cm="1">
        <f t="array" ref="V228">_xlfn.IFS(U228="Undetermined", 0, qPCR_Raw!S228&lt;=1, 0, qPCR_Raw!S228&gt;1, qPCR_Raw!S228)</f>
        <v>18.01371955871582</v>
      </c>
      <c r="W228" s="158" cm="1">
        <f t="array" ref="W228">_xlfn.IFS(AND(S228="Undetermined", U228="Undetermined"), "Undetermined", AND(T228=0, V228=0), "Undetermined", AND(T228=0, V228&gt;0), "Ten-Fold", AND(T228&gt;0, V228=0), "Undiluted", AND(S228&lt;&gt;"Undetermined", U228&lt;&gt;"Undetermined", T228&gt;0, V228&gt;0, S228&lt;&gt;U228), 100*(-1+10^(-1/(S228-U228))), AND(S228&lt;&gt;"Undetermined", U228&lt;&gt;"Undetermined", S228=U228&gt;0), -100)</f>
        <v>117.21181531782072</v>
      </c>
      <c r="X228" s="159" cm="1">
        <f t="array" ref="X228">_xlfn.IFS(W228="Undetermined", 0, W228="Undiluted", T228*$G228/$F228*1000, W228="Ten-Fold", V228*$G228/$F228*1000*10, W228&lt;0, V228*$G228/$F228*1000*10, W228&lt;120, T228*$G228/$F228*1000, W228&gt;120, V228*$G228/$F228*1000*10)</f>
        <v>12159.024079640707</v>
      </c>
      <c r="Y228" s="156">
        <f t="shared" si="59"/>
        <v>13158.726294835409</v>
      </c>
      <c r="Z228" s="156">
        <f t="shared" si="60"/>
        <v>1413.7924310627741</v>
      </c>
      <c r="AA228" s="156">
        <f t="shared" si="61"/>
        <v>999.70221519470203</v>
      </c>
      <c r="AB228" s="160" cm="1">
        <f t="array" ref="AB228">_xlfn.IFS(Y228="DELETE", "DELETE", Y228=0, 0, Y228&gt;0,LOG10(Y228))</f>
        <v>4.1192138535715888</v>
      </c>
      <c r="AC228" s="161" cm="1">
        <f t="array" ref="AC228">_xlfn.IFS(Y228="DELETE", "DELETE", Y228=0, 0, Y228&gt;0, AA228/Y228/LN(10))</f>
        <v>3.2994466628272309E-2</v>
      </c>
      <c r="AD228" s="120">
        <f>qPCR_Raw!U228</f>
        <v>34.886795043945313</v>
      </c>
      <c r="AE228" s="121" cm="1">
        <f t="array" ref="AE228">_xlfn.IFS(AD228="Undetermined", 0, qPCR_Raw!V228&lt;=1, 0, qPCR_Raw!V228&gt;1, qPCR_Raw!V228)</f>
        <v>0</v>
      </c>
      <c r="AF228" s="122">
        <f>qPCR_Raw!X228</f>
        <v>36.801490783691406</v>
      </c>
      <c r="AG228" s="121" cm="1">
        <f t="array" ref="AG228">_xlfn.IFS(AF228="Undetermined", 0, qPCR_Raw!Y228&lt;=1, 0, qPCR_Raw!Y228&gt;1, qPCR_Raw!Y228)</f>
        <v>0</v>
      </c>
      <c r="AH228" s="123" t="str" cm="1">
        <f t="array" ref="AH228">_xlfn.IFS(AND(AD228="Undetermined", AF228="Undetermined"), "Undetermined", AND(AE228=0, AG228=0), "Undetermined", AND(AE228=0, AG228&gt;0), "Ten-Fold", AND(AE228&gt;0, AG228=0), "Undiluted", AND(AD228&lt;&gt;"Undetermined", AF228&lt;&gt;"Undetermined", AE228&gt;0, AG228&gt;0, AD228&lt;&gt;AF228), 100*(-1+10^(-1/(AD228-AF228))), AND(AD228&lt;&gt;"Undetermined", AF228&lt;&gt;"Undetermined", AD228=AF228&gt;0), -100)</f>
        <v>Undetermined</v>
      </c>
      <c r="AI228" s="124" cm="1">
        <f t="array" ref="AI228">_xlfn.IFS(AH228="Undetermined", 0, AH228="Undiluted", AE228*$G228/$F228*1000, AH228="Ten-Fold", AG228*$G228/$F228*1000*10, AH228&lt;0, AG228*$G228/$F228*1000*10, AH228&lt;120, AE228*$G228/$F228*1000, AH228&gt;120, AG228*$G228/$F228*1000*10)</f>
        <v>0</v>
      </c>
      <c r="AJ228" s="121">
        <f t="shared" si="62"/>
        <v>0</v>
      </c>
      <c r="AK228" s="121">
        <f t="shared" si="63"/>
        <v>0</v>
      </c>
      <c r="AL228" s="121">
        <f t="shared" si="64"/>
        <v>0</v>
      </c>
      <c r="AM228" s="125" cm="1">
        <f t="array" ref="AM228">_xlfn.IFS(AJ228="DELETE", "DELETE", AJ228=0, 0, AJ228&gt;0,LOG10(AJ228))</f>
        <v>0</v>
      </c>
      <c r="AN228" s="126" cm="1">
        <f t="array" ref="AN228">_xlfn.IFS(AJ228="DELETE", "DELETE", AJ228=0, 0, AJ228&gt;0, AL228/AJ228/LN(10))</f>
        <v>0</v>
      </c>
      <c r="AO228" s="155">
        <f>qPCR_Raw!AA228</f>
        <v>25.78465461730957</v>
      </c>
      <c r="AP228" s="156" cm="1">
        <f t="array" ref="AP228">_xlfn.IFS(AO228="Undetermined", 0, qPCR_Raw!AB228&lt;=6, 0, qPCR_Raw!AB228&gt;6, qPCR_Raw!AB228)</f>
        <v>32.408432006835938</v>
      </c>
      <c r="AQ228" s="157">
        <f>qPCR_Raw!AD228</f>
        <v>28.638090133666992</v>
      </c>
      <c r="AR228" s="156" cm="1">
        <f t="array" ref="AR228">_xlfn.IFS(AQ228="Undetermined", 0, qPCR_Raw!AE228&lt;=6, 0, qPCR_Raw!AE228&gt;6, qPCR_Raw!AE228)</f>
        <v>0</v>
      </c>
      <c r="AS228" s="158" t="str" cm="1">
        <f t="array" ref="AS228">_xlfn.IFS(AND(AO228="Undetermined", AQ228="Undetermined"), "Undetermined", AND(AP228=0, AR228=0), "Undetermined", AND(AP228=0, AR228&gt;0), "Ten-Fold", AND(AP228&gt;0, AR228=0), "Undiluted", AND(AO228&lt;&gt;"Undetermined", AQ228&lt;&gt;"Undetermined", AP228&gt;0, AR228&gt;0, AO228&lt;&gt;AQ228), 100*(-1+10^(-1/(AO228-AQ228))), AND(AO228&lt;&gt;"Undetermined", AQ228&lt;&gt;"Undetermined", AO228=AQ228&gt;0), -100)</f>
        <v>Undiluted</v>
      </c>
      <c r="AT228" s="159" cm="1">
        <f t="array" ref="AT228">_xlfn.IFS(AS228="Undetermined", 0, AS228="Undiluted", AP228*$G228/$F228*1000, AS228="Ten-Fold", AR228*$G228/$F228*1000*10, AS228&lt;0, AR228*$G228/$F228*1000*10, AS228&lt;120, AP228*$G228/$F228*1000, AS228&gt;120, AR228*$G228/$F228*1000*10)</f>
        <v>3375.8783340454102</v>
      </c>
      <c r="AU228" s="156">
        <f t="shared" si="65"/>
        <v>1687.9391670227051</v>
      </c>
      <c r="AV228" s="156">
        <f t="shared" si="66"/>
        <v>2387.1064624642545</v>
      </c>
      <c r="AW228" s="156">
        <f t="shared" si="67"/>
        <v>1687.9391670227051</v>
      </c>
      <c r="AX228" s="160" cm="1">
        <f t="array" ref="AX228">_xlfn.IFS(AU228="DELETE", "DELETE", AU228=0, 0, AU228&gt;0,LOG10(AU228))</f>
        <v>3.2273567906886726</v>
      </c>
      <c r="AY228" s="161" cm="1">
        <f t="array" ref="AY228">_xlfn.IFS(AU228="DELETE", "DELETE", AU228=0, 0, AU228&gt;0, AW228/AU228/LN(10))</f>
        <v>0.43429448190325176</v>
      </c>
      <c r="AZ228" s="120">
        <f>qPCR_Raw!AG228</f>
        <v>38.757865905761719</v>
      </c>
      <c r="BA228" s="121" cm="1">
        <f t="array" ref="BA228">_xlfn.IFS(AZ228="Undetermined", 0, qPCR_Raw!AH228&lt;=1, 0, qPCR_Raw!AH228&gt;1, qPCR_Raw!AH228)</f>
        <v>0</v>
      </c>
      <c r="BB228" s="122" t="str">
        <f>qPCR_Raw!AJ228</f>
        <v>Undetermined</v>
      </c>
      <c r="BC228" s="121" cm="1">
        <f t="array" ref="BC228">_xlfn.IFS(BB228="Undetermined", 0, qPCR_Raw!AK228&lt;=1, 0, qPCR_Raw!AK228&gt;1, qPCR_Raw!AK228)</f>
        <v>0</v>
      </c>
      <c r="BD228" s="123" t="str" cm="1">
        <f t="array" ref="BD228">_xlfn.IFS(AND(AZ228="Undetermined", BB228="Undetermined"), "Undetermined", AND(BA228=0, BC228=0), "Undetermined", AND(BA228=0, BC228&gt;0), "Ten-Fold", AND(BA228&gt;0, BC228=0), "Undiluted", AND(AZ228&lt;&gt;"Undetermined", BB228&lt;&gt;"Undetermined", BA228&gt;0, BC228&gt;0, AZ228&lt;&gt;BB228), 100*(-1+10^(-1/(AZ228-BB228))), AND(AZ228&lt;&gt;"Undetermined", BB228&lt;&gt;"Undetermined", AZ228=BB228&gt;0), -100)</f>
        <v>Undetermined</v>
      </c>
      <c r="BE228" s="124" cm="1">
        <f t="array" ref="BE228">_xlfn.IFS(BD228="Undetermined", 0, BD228="Undiluted", BA228*$G228/$F228*1000, BD228="Ten-Fold", BC228*$G228/$F228*1000*10, BD228&lt;0, BC228*$G228/$F228*1000*10, BD228&lt;120, BA228*$G228/$F228*1000, BD228&gt;120, BC228*$G228/$F228*1000*10)</f>
        <v>0</v>
      </c>
      <c r="BF228" s="121">
        <f t="shared" si="68"/>
        <v>0</v>
      </c>
      <c r="BG228" s="121">
        <f t="shared" si="69"/>
        <v>0</v>
      </c>
      <c r="BH228" s="121">
        <f t="shared" si="70"/>
        <v>0</v>
      </c>
      <c r="BI228" s="125" cm="1">
        <f t="array" ref="BI228">_xlfn.IFS(BF228="DELETE", "DELETE", BF228=0, 0, BF228&gt;0,LOG10(BF228))</f>
        <v>0</v>
      </c>
      <c r="BJ228" s="126" cm="1">
        <f t="array" ref="BJ228">_xlfn.IFS(BF228="DELETE", "DELETE", BF228=0, 0, BF228&gt;0, BH228/BF228/LN(10))</f>
        <v>0</v>
      </c>
    </row>
    <row r="229" spans="1:62" s="114" customFormat="1" x14ac:dyDescent="0.3">
      <c r="A229" s="115" t="str">
        <f>UPPER(LEFT(SUBSTITUTE(SUBSTITUTE(qPCR_Raw!A229,"-","")," ",""),2))&amp;RIGHT(SUBSTITUTE(SUBSTITUTE(qPCR_Raw!A229,"-","")," ",""),LEN(SUBSTITUTE(SUBSTITUTE(qPCR_Raw!A229,"-","")," ",""))-2)</f>
        <v>STb7</v>
      </c>
      <c r="B229" s="116" t="str" cm="1">
        <f t="array" ref="B229">_xlfn.IFS(LEFT(A229, LEN(A229)-1)="EP", "EP", LEFT(A229, LEN(A229)-1)="STa", "SPI", LEFT(A229, LEN(A229)-1)="STb", "SPO", LEFT(A229, LEN(A229)-1)="MRT", "MRT", LEFT(A229, LEN(A229)-1)="RG", "RN", LEFT(A229, LEN(A229)-1)="RT", "RU", LEFT(A229, LEN(A229)-1)="RW", "RL", LEFT(A229, LEN(A229)-1)="RC", "RS")</f>
        <v>SPO</v>
      </c>
      <c r="C229" s="117">
        <f>qPCR_Raw!B229</f>
        <v>44433</v>
      </c>
      <c r="D229" s="117" t="str">
        <f t="shared" si="54"/>
        <v>SPO44433</v>
      </c>
      <c r="E229" s="117" t="str">
        <f t="shared" si="55"/>
        <v>SPO444337</v>
      </c>
      <c r="F229" s="118">
        <f>qPCR_Raw!C229</f>
        <v>960</v>
      </c>
      <c r="G229" s="119">
        <f>qPCR_Raw!F229</f>
        <v>100</v>
      </c>
      <c r="H229" s="120">
        <f>qPCR_Raw!G229</f>
        <v>18.920604705810547</v>
      </c>
      <c r="I229" s="121" cm="1">
        <f t="array" ref="I229">_xlfn.IFS(H229="Undetermined", 0, qPCR_Raw!H229-qPCR_Raw!$H$242&lt;0, 0, qPCR_Raw!H229-qPCR_Raw!$H$242&gt;0, qPCR_Raw!H229-qPCR_Raw!$H$242)</f>
        <v>182956.25207112631</v>
      </c>
      <c r="J229" s="122">
        <f>qPCR_Raw!K229</f>
        <v>22.438070297241211</v>
      </c>
      <c r="K229" s="121" cm="1">
        <f t="array" ref="K229">_xlfn.IFS(J229="Undetermined", 0, qPCR_Raw!L229-qPCR_Raw!$H$242&lt;0, 0, qPCR_Raw!L229-qPCR_Raw!$H$242&gt;0, qPCR_Raw!L229-qPCR_Raw!$H$242)</f>
        <v>5394.7208211263023</v>
      </c>
      <c r="L229" s="123" cm="1">
        <f t="array" ref="L229">_xlfn.IFS(AND(H229="Undetermined", J229="Undetermined"), "Undetermined", AND(I229=0, K229=0), "Undetermined", AND(I229=0, K229&gt;0), "Ten-Fold", AND(I229&gt;0, K229=0), "Undiluted", AND(H229&lt;&gt;"Undetermined", J229&lt;&gt;"Undetermined", I229&gt;0, K229&gt;0), 100*(-1+10^(-1/(H229-J229))))</f>
        <v>92.440112721046603</v>
      </c>
      <c r="M229" s="124" cm="1">
        <f t="array" ref="M229">_xlfn.IFS(L229="Undetermined", 0, L229="Undiluted", I229*$G229/$F229*1000, L229="Ten-Fold", K229*$G229/$F229*1000*10, L229&lt;0, K229*$G229/$F229*1000*10, L229&lt;120, I229*$G229/$F229*1000, L229&gt;120, K229*$G229/$F229*1000*10)</f>
        <v>19057942.924075656</v>
      </c>
      <c r="N229" s="121" t="str">
        <f t="shared" si="56"/>
        <v>DELETE</v>
      </c>
      <c r="O229" s="121" t="str">
        <f t="shared" si="57"/>
        <v>DELETE</v>
      </c>
      <c r="P229" s="121" t="str">
        <f t="shared" si="58"/>
        <v>DELETE</v>
      </c>
      <c r="Q229" s="125" t="str" cm="1">
        <f t="array" ref="Q229">_xlfn.IFS(N229="DELETE", "DELETE", N229=0, 0, N229&gt;0,LOG10(N229))</f>
        <v>DELETE</v>
      </c>
      <c r="R229" s="126" t="str" cm="1">
        <f t="array" ref="R229">_xlfn.IFS(N229="DELETE", "DELETE", N229=0, 0, N229&gt;0, P229/N229/LN(10))</f>
        <v>DELETE</v>
      </c>
      <c r="S229" s="155">
        <f>qPCR_Raw!O229</f>
        <v>30.261093139648438</v>
      </c>
      <c r="T229" s="156" cm="1">
        <f t="array" ref="T229">_xlfn.IFS(S229="Undetermined", 0, qPCR_Raw!P229&lt;=1, 0, qPCR_Raw!P229&gt;1, qPCR_Raw!P229)</f>
        <v>135.92091369628906</v>
      </c>
      <c r="U229" s="157">
        <f>qPCR_Raw!R229</f>
        <v>34.160675048828125</v>
      </c>
      <c r="V229" s="156" cm="1">
        <f t="array" ref="V229">_xlfn.IFS(U229="Undetermined", 0, qPCR_Raw!S229&lt;=1, 0, qPCR_Raw!S229&gt;1, qPCR_Raw!S229)</f>
        <v>11.671524047851563</v>
      </c>
      <c r="W229" s="158" cm="1">
        <f t="array" ref="W229">_xlfn.IFS(AND(S229="Undetermined", U229="Undetermined"), "Undetermined", AND(T229=0, V229=0), "Undetermined", AND(T229=0, V229&gt;0), "Ten-Fold", AND(T229&gt;0, V229=0), "Undiluted", AND(S229&lt;&gt;"Undetermined", U229&lt;&gt;"Undetermined", T229&gt;0, V229&gt;0, S229&lt;&gt;U229), 100*(-1+10^(-1/(S229-U229))), AND(S229&lt;&gt;"Undetermined", U229&lt;&gt;"Undetermined", S229=U229&gt;0), -100)</f>
        <v>80.483600931940842</v>
      </c>
      <c r="X229" s="159" cm="1">
        <f t="array" ref="X229">_xlfn.IFS(W229="Undetermined", 0, W229="Undiluted", T229*$G229/$F229*1000, W229="Ten-Fold", V229*$G229/$F229*1000*10, W229&lt;0, V229*$G229/$F229*1000*10, W229&lt;120, T229*$G229/$F229*1000, W229&gt;120, V229*$G229/$F229*1000*10)</f>
        <v>14158.428510030111</v>
      </c>
      <c r="Y229" s="156" t="str">
        <f t="shared" si="59"/>
        <v>DELETE</v>
      </c>
      <c r="Z229" s="156" t="str">
        <f t="shared" si="60"/>
        <v>DELETE</v>
      </c>
      <c r="AA229" s="156" t="str">
        <f t="shared" si="61"/>
        <v>DELETE</v>
      </c>
      <c r="AB229" s="160" t="str" cm="1">
        <f t="array" ref="AB229">_xlfn.IFS(Y229="DELETE", "DELETE", Y229=0, 0, Y229&gt;0,LOG10(Y229))</f>
        <v>DELETE</v>
      </c>
      <c r="AC229" s="161" t="str" cm="1">
        <f t="array" ref="AC229">_xlfn.IFS(Y229="DELETE", "DELETE", Y229=0, 0, Y229&gt;0, AA229/Y229/LN(10))</f>
        <v>DELETE</v>
      </c>
      <c r="AD229" s="120">
        <f>qPCR_Raw!U229</f>
        <v>35.038665771484375</v>
      </c>
      <c r="AE229" s="121" cm="1">
        <f t="array" ref="AE229">_xlfn.IFS(AD229="Undetermined", 0, qPCR_Raw!V229&lt;=1, 0, qPCR_Raw!V229&gt;1, qPCR_Raw!V229)</f>
        <v>0</v>
      </c>
      <c r="AF229" s="122" t="str">
        <f>qPCR_Raw!X229</f>
        <v>Undetermined</v>
      </c>
      <c r="AG229" s="121" cm="1">
        <f t="array" ref="AG229">_xlfn.IFS(AF229="Undetermined", 0, qPCR_Raw!Y229&lt;=1, 0, qPCR_Raw!Y229&gt;1, qPCR_Raw!Y229)</f>
        <v>0</v>
      </c>
      <c r="AH229" s="123" t="str" cm="1">
        <f t="array" ref="AH229">_xlfn.IFS(AND(AD229="Undetermined", AF229="Undetermined"), "Undetermined", AND(AE229=0, AG229=0), "Undetermined", AND(AE229=0, AG229&gt;0), "Ten-Fold", AND(AE229&gt;0, AG229=0), "Undiluted", AND(AD229&lt;&gt;"Undetermined", AF229&lt;&gt;"Undetermined", AE229&gt;0, AG229&gt;0, AD229&lt;&gt;AF229), 100*(-1+10^(-1/(AD229-AF229))), AND(AD229&lt;&gt;"Undetermined", AF229&lt;&gt;"Undetermined", AD229=AF229&gt;0), -100)</f>
        <v>Undetermined</v>
      </c>
      <c r="AI229" s="124" cm="1">
        <f t="array" ref="AI229">_xlfn.IFS(AH229="Undetermined", 0, AH229="Undiluted", AE229*$G229/$F229*1000, AH229="Ten-Fold", AG229*$G229/$F229*1000*10, AH229&lt;0, AG229*$G229/$F229*1000*10, AH229&lt;120, AE229*$G229/$F229*1000, AH229&gt;120, AG229*$G229/$F229*1000*10)</f>
        <v>0</v>
      </c>
      <c r="AJ229" s="121" t="str">
        <f t="shared" si="62"/>
        <v>DELETE</v>
      </c>
      <c r="AK229" s="121" t="str">
        <f t="shared" si="63"/>
        <v>DELETE</v>
      </c>
      <c r="AL229" s="121" t="str">
        <f t="shared" si="64"/>
        <v>DELETE</v>
      </c>
      <c r="AM229" s="125" t="str" cm="1">
        <f t="array" ref="AM229">_xlfn.IFS(AJ229="DELETE", "DELETE", AJ229=0, 0, AJ229&gt;0,LOG10(AJ229))</f>
        <v>DELETE</v>
      </c>
      <c r="AN229" s="126" t="str" cm="1">
        <f t="array" ref="AN229">_xlfn.IFS(AJ229="DELETE", "DELETE", AJ229=0, 0, AJ229&gt;0, AL229/AJ229/LN(10))</f>
        <v>DELETE</v>
      </c>
      <c r="AO229" s="155">
        <f>qPCR_Raw!AA229</f>
        <v>30.104360580444336</v>
      </c>
      <c r="AP229" s="156" cm="1">
        <f t="array" ref="AP229">_xlfn.IFS(AO229="Undetermined", 0, qPCR_Raw!AB229&lt;=6, 0, qPCR_Raw!AB229&gt;6, qPCR_Raw!AB229)</f>
        <v>0</v>
      </c>
      <c r="AQ229" s="157" t="str">
        <f>qPCR_Raw!AD229</f>
        <v>Undetermined</v>
      </c>
      <c r="AR229" s="156" cm="1">
        <f t="array" ref="AR229">_xlfn.IFS(AQ229="Undetermined", 0, qPCR_Raw!AE229&lt;=6, 0, qPCR_Raw!AE229&gt;6, qPCR_Raw!AE229)</f>
        <v>0</v>
      </c>
      <c r="AS229" s="158" t="str" cm="1">
        <f t="array" ref="AS229">_xlfn.IFS(AND(AO229="Undetermined", AQ229="Undetermined"), "Undetermined", AND(AP229=0, AR229=0), "Undetermined", AND(AP229=0, AR229&gt;0), "Ten-Fold", AND(AP229&gt;0, AR229=0), "Undiluted", AND(AO229&lt;&gt;"Undetermined", AQ229&lt;&gt;"Undetermined", AP229&gt;0, AR229&gt;0, AO229&lt;&gt;AQ229), 100*(-1+10^(-1/(AO229-AQ229))), AND(AO229&lt;&gt;"Undetermined", AQ229&lt;&gt;"Undetermined", AO229=AQ229&gt;0), -100)</f>
        <v>Undetermined</v>
      </c>
      <c r="AT229" s="159" cm="1">
        <f t="array" ref="AT229">_xlfn.IFS(AS229="Undetermined", 0, AS229="Undiluted", AP229*$G229/$F229*1000, AS229="Ten-Fold", AR229*$G229/$F229*1000*10, AS229&lt;0, AR229*$G229/$F229*1000*10, AS229&lt;120, AP229*$G229/$F229*1000, AS229&gt;120, AR229*$G229/$F229*1000*10)</f>
        <v>0</v>
      </c>
      <c r="AU229" s="156" t="str">
        <f t="shared" si="65"/>
        <v>DELETE</v>
      </c>
      <c r="AV229" s="156" t="str">
        <f t="shared" si="66"/>
        <v>DELETE</v>
      </c>
      <c r="AW229" s="156" t="str">
        <f t="shared" si="67"/>
        <v>DELETE</v>
      </c>
      <c r="AX229" s="160" t="str" cm="1">
        <f t="array" ref="AX229">_xlfn.IFS(AU229="DELETE", "DELETE", AU229=0, 0, AU229&gt;0,LOG10(AU229))</f>
        <v>DELETE</v>
      </c>
      <c r="AY229" s="161" t="str" cm="1">
        <f t="array" ref="AY229">_xlfn.IFS(AU229="DELETE", "DELETE", AU229=0, 0, AU229&gt;0, AW229/AU229/LN(10))</f>
        <v>DELETE</v>
      </c>
      <c r="AZ229" s="120" t="str">
        <f>qPCR_Raw!AG229</f>
        <v>Undetermined</v>
      </c>
      <c r="BA229" s="121" cm="1">
        <f t="array" ref="BA229">_xlfn.IFS(AZ229="Undetermined", 0, qPCR_Raw!AH229&lt;=1, 0, qPCR_Raw!AH229&gt;1, qPCR_Raw!AH229)</f>
        <v>0</v>
      </c>
      <c r="BB229" s="122" t="str">
        <f>qPCR_Raw!AJ229</f>
        <v>Undetermined</v>
      </c>
      <c r="BC229" s="121" cm="1">
        <f t="array" ref="BC229">_xlfn.IFS(BB229="Undetermined", 0, qPCR_Raw!AK229&lt;=1, 0, qPCR_Raw!AK229&gt;1, qPCR_Raw!AK229)</f>
        <v>0</v>
      </c>
      <c r="BD229" s="123" t="str" cm="1">
        <f t="array" ref="BD229">_xlfn.IFS(AND(AZ229="Undetermined", BB229="Undetermined"), "Undetermined", AND(BA229=0, BC229=0), "Undetermined", AND(BA229=0, BC229&gt;0), "Ten-Fold", AND(BA229&gt;0, BC229=0), "Undiluted", AND(AZ229&lt;&gt;"Undetermined", BB229&lt;&gt;"Undetermined", BA229&gt;0, BC229&gt;0, AZ229&lt;&gt;BB229), 100*(-1+10^(-1/(AZ229-BB229))), AND(AZ229&lt;&gt;"Undetermined", BB229&lt;&gt;"Undetermined", AZ229=BB229&gt;0), -100)</f>
        <v>Undetermined</v>
      </c>
      <c r="BE229" s="124" cm="1">
        <f t="array" ref="BE229">_xlfn.IFS(BD229="Undetermined", 0, BD229="Undiluted", BA229*$G229/$F229*1000, BD229="Ten-Fold", BC229*$G229/$F229*1000*10, BD229&lt;0, BC229*$G229/$F229*1000*10, BD229&lt;120, BA229*$G229/$F229*1000, BD229&gt;120, BC229*$G229/$F229*1000*10)</f>
        <v>0</v>
      </c>
      <c r="BF229" s="121" t="str">
        <f t="shared" si="68"/>
        <v>DELETE</v>
      </c>
      <c r="BG229" s="121" t="str">
        <f t="shared" si="69"/>
        <v>DELETE</v>
      </c>
      <c r="BH229" s="121" t="str">
        <f t="shared" si="70"/>
        <v>DELETE</v>
      </c>
      <c r="BI229" s="125" t="str" cm="1">
        <f t="array" ref="BI229">_xlfn.IFS(BF229="DELETE", "DELETE", BF229=0, 0, BF229&gt;0,LOG10(BF229))</f>
        <v>DELETE</v>
      </c>
      <c r="BJ229" s="126" t="str" cm="1">
        <f t="array" ref="BJ229">_xlfn.IFS(BF229="DELETE", "DELETE", BF229=0, 0, BF229&gt;0, BH229/BF229/LN(10))</f>
        <v>DELETE</v>
      </c>
    </row>
    <row r="230" spans="1:62" s="114" customFormat="1" x14ac:dyDescent="0.3">
      <c r="A230" s="115" t="str">
        <f>UPPER(LEFT(SUBSTITUTE(SUBSTITUTE(qPCR_Raw!A230,"-","")," ",""),2))&amp;RIGHT(SUBSTITUTE(SUBSTITUTE(qPCR_Raw!A230,"-","")," ",""),LEN(SUBSTITUTE(SUBSTITUTE(qPCR_Raw!A230,"-","")," ",""))-2)</f>
        <v>RC6</v>
      </c>
      <c r="B230" s="116" t="str" cm="1">
        <f t="array" ref="B230">_xlfn.IFS(LEFT(A230, LEN(A230)-1)="EP", "EP", LEFT(A230, LEN(A230)-1)="STa", "SPI", LEFT(A230, LEN(A230)-1)="STb", "SPO", LEFT(A230, LEN(A230)-1)="MRT", "MRT", LEFT(A230, LEN(A230)-1)="RG", "RN", LEFT(A230, LEN(A230)-1)="RT", "RU", LEFT(A230, LEN(A230)-1)="RW", "RL", LEFT(A230, LEN(A230)-1)="RC", "RS")</f>
        <v>RS</v>
      </c>
      <c r="C230" s="117">
        <f>qPCR_Raw!B230</f>
        <v>44433</v>
      </c>
      <c r="D230" s="117" t="str">
        <f t="shared" si="54"/>
        <v>RS44433</v>
      </c>
      <c r="E230" s="117" t="str">
        <f t="shared" si="55"/>
        <v>RS444336</v>
      </c>
      <c r="F230" s="118">
        <f>qPCR_Raw!C230</f>
        <v>1000</v>
      </c>
      <c r="G230" s="119">
        <f>qPCR_Raw!F230</f>
        <v>100</v>
      </c>
      <c r="H230" s="120">
        <f>qPCR_Raw!G230</f>
        <v>9.8140792846679688</v>
      </c>
      <c r="I230" s="121" cm="1">
        <f t="array" ref="I230">_xlfn.IFS(H230="Undetermined", 0, qPCR_Raw!H230-qPCR_Raw!$H$242&lt;0, 0, qPCR_Raw!H230-qPCR_Raw!$H$242&gt;0, qPCR_Raw!H230-qPCR_Raw!$H$242)</f>
        <v>89757929.361446127</v>
      </c>
      <c r="J230" s="122">
        <f>qPCR_Raw!K230</f>
        <v>12.801517486572266</v>
      </c>
      <c r="K230" s="121" cm="1">
        <f t="array" ref="K230">_xlfn.IFS(J230="Undetermined", 0, qPCR_Raw!L230-qPCR_Raw!$H$242&lt;0, 0, qPCR_Raw!L230-qPCR_Raw!$H$242&gt;0, qPCR_Raw!L230-qPCR_Raw!$H$242)</f>
        <v>12014569.361446125</v>
      </c>
      <c r="L230" s="123" cm="1">
        <f t="array" ref="L230">_xlfn.IFS(AND(H230="Undetermined", J230="Undetermined"), "Undetermined", AND(I230=0, K230=0), "Undetermined", AND(I230=0, K230&gt;0), "Ten-Fold", AND(I230&gt;0, K230=0), "Undiluted", AND(H230&lt;&gt;"Undetermined", J230&lt;&gt;"Undetermined", I230&gt;0, K230&gt;0), 100*(-1+10^(-1/(H230-J230))))</f>
        <v>116.13990569915637</v>
      </c>
      <c r="M230" s="124" cm="1">
        <f t="array" ref="M230">_xlfn.IFS(L230="Undetermined", 0, L230="Undiluted", I230*$G230/$F230*1000, L230="Ten-Fold", K230*$G230/$F230*1000*10, L230&lt;0, K230*$G230/$F230*1000*10, L230&lt;120, I230*$G230/$F230*1000, L230&gt;120, K230*$G230/$F230*1000*10)</f>
        <v>8975792936.1446133</v>
      </c>
      <c r="N230" s="121">
        <f t="shared" si="56"/>
        <v>5272134086.2953701</v>
      </c>
      <c r="O230" s="121">
        <f t="shared" si="57"/>
        <v>5237764575.8599377</v>
      </c>
      <c r="P230" s="121">
        <f t="shared" si="58"/>
        <v>3703658849.8492427</v>
      </c>
      <c r="Q230" s="125" cm="1">
        <f t="array" ref="Q230">_xlfn.IFS(N230="DELETE", "DELETE", N230=0, 0, N230&gt;0,LOG10(N230))</f>
        <v>9.7219864471469641</v>
      </c>
      <c r="R230" s="126" cm="1">
        <f t="array" ref="R230">_xlfn.IFS(N230="DELETE", "DELETE", N230=0, 0, N230&gt;0, P230/N230/LN(10))</f>
        <v>0.30509060942187038</v>
      </c>
      <c r="S230" s="155">
        <f>qPCR_Raw!O230</f>
        <v>28.535793304443359</v>
      </c>
      <c r="T230" s="156" cm="1">
        <f t="array" ref="T230">_xlfn.IFS(S230="Undetermined", 0, qPCR_Raw!P230&lt;=1, 0, qPCR_Raw!P230&gt;1, qPCR_Raw!P230)</f>
        <v>402.70681762695313</v>
      </c>
      <c r="U230" s="157">
        <f>qPCR_Raw!R230</f>
        <v>32.104476928710938</v>
      </c>
      <c r="V230" s="156" cm="1">
        <f t="array" ref="V230">_xlfn.IFS(U230="Undetermined", 0, qPCR_Raw!S230&lt;=1, 0, qPCR_Raw!S230&gt;1, qPCR_Raw!S230)</f>
        <v>42.589153289794922</v>
      </c>
      <c r="W230" s="158" cm="1">
        <f t="array" ref="W230">_xlfn.IFS(AND(S230="Undetermined", U230="Undetermined"), "Undetermined", AND(T230=0, V230=0), "Undetermined", AND(T230=0, V230&gt;0), "Ten-Fold", AND(T230&gt;0, V230=0), "Undiluted", AND(S230&lt;&gt;"Undetermined", U230&lt;&gt;"Undetermined", T230&gt;0, V230&gt;0, S230&lt;&gt;U230), 100*(-1+10^(-1/(S230-U230))), AND(S230&lt;&gt;"Undetermined", U230&lt;&gt;"Undetermined", S230=U230&gt;0), -100)</f>
        <v>90.6405882351673</v>
      </c>
      <c r="X230" s="159" cm="1">
        <f t="array" ref="X230">_xlfn.IFS(W230="Undetermined", 0, W230="Undiluted", T230*$G230/$F230*1000, W230="Ten-Fold", V230*$G230/$F230*1000*10, W230&lt;0, V230*$G230/$F230*1000*10, W230&lt;120, T230*$G230/$F230*1000, W230&gt;120, V230*$G230/$F230*1000*10)</f>
        <v>40270.681762695313</v>
      </c>
      <c r="Y230" s="156">
        <f t="shared" si="59"/>
        <v>38463.906860351563</v>
      </c>
      <c r="Z230" s="156">
        <f t="shared" si="60"/>
        <v>2555.1655710498558</v>
      </c>
      <c r="AA230" s="156">
        <f t="shared" si="61"/>
        <v>1806.77490234375</v>
      </c>
      <c r="AB230" s="160" cm="1">
        <f t="array" ref="AB230">_xlfn.IFS(Y230="DELETE", "DELETE", Y230=0, 0, Y230&gt;0,LOG10(Y230))</f>
        <v>4.5850533943517382</v>
      </c>
      <c r="AC230" s="161" cm="1">
        <f t="array" ref="AC230">_xlfn.IFS(Y230="DELETE", "DELETE", Y230=0, 0, Y230&gt;0, AA230/Y230/LN(10))</f>
        <v>2.0400225410747711E-2</v>
      </c>
      <c r="AD230" s="120">
        <f>qPCR_Raw!U230</f>
        <v>27.246747970581055</v>
      </c>
      <c r="AE230" s="121" cm="1">
        <f t="array" ref="AE230">_xlfn.IFS(AD230="Undetermined", 0, qPCR_Raw!V230&lt;=1, 0, qPCR_Raw!V230&gt;1, qPCR_Raw!V230)</f>
        <v>97.918777465820313</v>
      </c>
      <c r="AF230" s="122">
        <f>qPCR_Raw!X230</f>
        <v>30.265647888183594</v>
      </c>
      <c r="AG230" s="121" cm="1">
        <f t="array" ref="AG230">_xlfn.IFS(AF230="Undetermined", 0, qPCR_Raw!Y230&lt;=1, 0, qPCR_Raw!Y230&gt;1, qPCR_Raw!Y230)</f>
        <v>12.919125556945801</v>
      </c>
      <c r="AH230" s="123" cm="1">
        <f t="array" ref="AH230">_xlfn.IFS(AND(AD230="Undetermined", AF230="Undetermined"), "Undetermined", AND(AE230=0, AG230=0), "Undetermined", AND(AE230=0, AG230&gt;0), "Ten-Fold", AND(AE230&gt;0, AG230=0), "Undiluted", AND(AD230&lt;&gt;"Undetermined", AF230&lt;&gt;"Undetermined", AE230&gt;0, AG230&gt;0, AD230&lt;&gt;AF230), 100*(-1+10^(-1/(AD230-AF230))), AND(AD230&lt;&gt;"Undetermined", AF230&lt;&gt;"Undetermined", AD230=AF230&gt;0), -100)</f>
        <v>114.41071720821424</v>
      </c>
      <c r="AI230" s="124" cm="1">
        <f t="array" ref="AI230">_xlfn.IFS(AH230="Undetermined", 0, AH230="Undiluted", AE230*$G230/$F230*1000, AH230="Ten-Fold", AG230*$G230/$F230*1000*10, AH230&lt;0, AG230*$G230/$F230*1000*10, AH230&lt;120, AE230*$G230/$F230*1000, AH230&gt;120, AG230*$G230/$F230*1000*10)</f>
        <v>9791.8777465820313</v>
      </c>
      <c r="AJ230" s="121">
        <f t="shared" si="62"/>
        <v>30609.590530395508</v>
      </c>
      <c r="AK230" s="121">
        <f t="shared" si="63"/>
        <v>29440.691756456781</v>
      </c>
      <c r="AL230" s="121">
        <f t="shared" si="64"/>
        <v>20817.712783813477</v>
      </c>
      <c r="AM230" s="125" cm="1">
        <f t="array" ref="AM230">_xlfn.IFS(AJ230="DELETE", "DELETE", AJ230=0, 0, AJ230&gt;0,LOG10(AJ230))</f>
        <v>4.4858575200063786</v>
      </c>
      <c r="AN230" s="126" cm="1">
        <f t="array" ref="AN230">_xlfn.IFS(AJ230="DELETE", "DELETE", AJ230=0, 0, AJ230&gt;0, AL230/AJ230/LN(10))</f>
        <v>0.29536552535321209</v>
      </c>
      <c r="AO230" s="155">
        <f>qPCR_Raw!AA230</f>
        <v>30.048986434936523</v>
      </c>
      <c r="AP230" s="156" cm="1">
        <f t="array" ref="AP230">_xlfn.IFS(AO230="Undetermined", 0, qPCR_Raw!AB230&lt;=6, 0, qPCR_Raw!AB230&gt;6, qPCR_Raw!AB230)</f>
        <v>0</v>
      </c>
      <c r="AQ230" s="157">
        <f>qPCR_Raw!AD230</f>
        <v>34.275920867919922</v>
      </c>
      <c r="AR230" s="156" cm="1">
        <f t="array" ref="AR230">_xlfn.IFS(AQ230="Undetermined", 0, qPCR_Raw!AE230&lt;=6, 0, qPCR_Raw!AE230&gt;6, qPCR_Raw!AE230)</f>
        <v>0</v>
      </c>
      <c r="AS230" s="158" t="str" cm="1">
        <f t="array" ref="AS230">_xlfn.IFS(AND(AO230="Undetermined", AQ230="Undetermined"), "Undetermined", AND(AP230=0, AR230=0), "Undetermined", AND(AP230=0, AR230&gt;0), "Ten-Fold", AND(AP230&gt;0, AR230=0), "Undiluted", AND(AO230&lt;&gt;"Undetermined", AQ230&lt;&gt;"Undetermined", AP230&gt;0, AR230&gt;0, AO230&lt;&gt;AQ230), 100*(-1+10^(-1/(AO230-AQ230))), AND(AO230&lt;&gt;"Undetermined", AQ230&lt;&gt;"Undetermined", AO230=AQ230&gt;0), -100)</f>
        <v>Undetermined</v>
      </c>
      <c r="AT230" s="159" cm="1">
        <f t="array" ref="AT230">_xlfn.IFS(AS230="Undetermined", 0, AS230="Undiluted", AP230*$G230/$F230*1000, AS230="Ten-Fold", AR230*$G230/$F230*1000*10, AS230&lt;0, AR230*$G230/$F230*1000*10, AS230&lt;120, AP230*$G230/$F230*1000, AS230&gt;120, AR230*$G230/$F230*1000*10)</f>
        <v>0</v>
      </c>
      <c r="AU230" s="156">
        <f t="shared" si="65"/>
        <v>722.44873046875</v>
      </c>
      <c r="AV230" s="156">
        <f t="shared" si="66"/>
        <v>1021.6967927481309</v>
      </c>
      <c r="AW230" s="156">
        <f t="shared" si="67"/>
        <v>722.44873046874989</v>
      </c>
      <c r="AX230" s="160" cm="1">
        <f t="array" ref="AX230">_xlfn.IFS(AU230="DELETE", "DELETE", AU230=0, 0, AU230&gt;0,LOG10(AU230))</f>
        <v>2.8588070322388779</v>
      </c>
      <c r="AY230" s="161" cm="1">
        <f t="array" ref="AY230">_xlfn.IFS(AU230="DELETE", "DELETE", AU230=0, 0, AU230&gt;0, AW230/AU230/LN(10))</f>
        <v>0.43429448190325176</v>
      </c>
      <c r="AZ230" s="120">
        <f>qPCR_Raw!AG230</f>
        <v>27.09019660949707</v>
      </c>
      <c r="BA230" s="121" cm="1">
        <f t="array" ref="BA230">_xlfn.IFS(AZ230="Undetermined", 0, qPCR_Raw!AH230&lt;=1, 0, qPCR_Raw!AH230&gt;1, qPCR_Raw!AH230)</f>
        <v>476.57757568359375</v>
      </c>
      <c r="BB230" s="122">
        <f>qPCR_Raw!AJ230</f>
        <v>31.069440841674805</v>
      </c>
      <c r="BC230" s="121" cm="1">
        <f t="array" ref="BC230">_xlfn.IFS(BB230="Undetermined", 0, qPCR_Raw!AK230&lt;=1, 0, qPCR_Raw!AK230&gt;1, qPCR_Raw!AK230)</f>
        <v>45.915302276611328</v>
      </c>
      <c r="BD230" s="123" cm="1">
        <f t="array" ref="BD230">_xlfn.IFS(AND(AZ230="Undetermined", BB230="Undetermined"), "Undetermined", AND(BA230=0, BC230=0), "Undetermined", AND(BA230=0, BC230&gt;0), "Ten-Fold", AND(BA230&gt;0, BC230=0), "Undiluted", AND(AZ230&lt;&gt;"Undetermined", BB230&lt;&gt;"Undetermined", BA230&gt;0, BC230&gt;0, AZ230&lt;&gt;BB230), 100*(-1+10^(-1/(AZ230-BB230))), AND(AZ230&lt;&gt;"Undetermined", BB230&lt;&gt;"Undetermined", AZ230=BB230&gt;0), -100)</f>
        <v>78.362685188104336</v>
      </c>
      <c r="BE230" s="124" cm="1">
        <f t="array" ref="BE230">_xlfn.IFS(BD230="Undetermined", 0, BD230="Undiluted", BA230*$G230/$F230*1000, BD230="Ten-Fold", BC230*$G230/$F230*1000*10, BD230&lt;0, BC230*$G230/$F230*1000*10, BD230&lt;120, BA230*$G230/$F230*1000, BD230&gt;120, BC230*$G230/$F230*1000*10)</f>
        <v>47657.757568359375</v>
      </c>
      <c r="BF230" s="121">
        <f t="shared" si="68"/>
        <v>52716.384887695313</v>
      </c>
      <c r="BG230" s="121">
        <f t="shared" si="69"/>
        <v>7153.9793619959364</v>
      </c>
      <c r="BH230" s="121">
        <f t="shared" si="70"/>
        <v>5058.6273193359375</v>
      </c>
      <c r="BI230" s="125" cm="1">
        <f t="array" ref="BI230">_xlfn.IFS(BF230="DELETE", "DELETE", BF230=0, 0, BF230&gt;0,LOG10(BF230))</f>
        <v>4.7219456201527663</v>
      </c>
      <c r="BJ230" s="126" cm="1">
        <f t="array" ref="BJ230">_xlfn.IFS(BF230="DELETE", "DELETE", BF230=0, 0, BF230&gt;0, BH230/BF230/LN(10))</f>
        <v>4.1674593875753979E-2</v>
      </c>
    </row>
    <row r="231" spans="1:62" s="114" customFormat="1" x14ac:dyDescent="0.3">
      <c r="A231" s="115" t="str">
        <f>UPPER(LEFT(SUBSTITUTE(SUBSTITUTE(qPCR_Raw!A231,"-","")," ",""),2))&amp;RIGHT(SUBSTITUTE(SUBSTITUTE(qPCR_Raw!A231,"-","")," ",""),LEN(SUBSTITUTE(SUBSTITUTE(qPCR_Raw!A231,"-","")," ",""))-2)</f>
        <v>RC7</v>
      </c>
      <c r="B231" s="116" t="str" cm="1">
        <f t="array" ref="B231">_xlfn.IFS(LEFT(A231, LEN(A231)-1)="EP", "EP", LEFT(A231, LEN(A231)-1)="STa", "SPI", LEFT(A231, LEN(A231)-1)="STb", "SPO", LEFT(A231, LEN(A231)-1)="MRT", "MRT", LEFT(A231, LEN(A231)-1)="RG", "RN", LEFT(A231, LEN(A231)-1)="RT", "RU", LEFT(A231, LEN(A231)-1)="RW", "RL", LEFT(A231, LEN(A231)-1)="RC", "RS")</f>
        <v>RS</v>
      </c>
      <c r="C231" s="117">
        <f>qPCR_Raw!B231</f>
        <v>44433</v>
      </c>
      <c r="D231" s="117" t="str">
        <f t="shared" si="54"/>
        <v>RS44433</v>
      </c>
      <c r="E231" s="117" t="str">
        <f t="shared" si="55"/>
        <v>RS444337</v>
      </c>
      <c r="F231" s="118">
        <f>qPCR_Raw!C231</f>
        <v>1000</v>
      </c>
      <c r="G231" s="119">
        <f>qPCR_Raw!F231</f>
        <v>100</v>
      </c>
      <c r="H231" s="120">
        <f>qPCR_Raw!G231</f>
        <v>13.095283508300781</v>
      </c>
      <c r="I231" s="121" cm="1">
        <f t="array" ref="I231">_xlfn.IFS(H231="Undetermined", 0, qPCR_Raw!H231-qPCR_Raw!$H$242&lt;0, 0, qPCR_Raw!H231-qPCR_Raw!$H$242&gt;0, qPCR_Raw!H231-qPCR_Raw!$H$242)</f>
        <v>9857444.3614461254</v>
      </c>
      <c r="J231" s="122">
        <f>qPCR_Raw!K231</f>
        <v>15.816884994506836</v>
      </c>
      <c r="K231" s="121" cm="1">
        <f t="array" ref="K231">_xlfn.IFS(J231="Undetermined", 0, qPCR_Raw!L231-qPCR_Raw!$H$242&lt;0, 0, qPCR_Raw!L231-qPCR_Raw!$H$242&gt;0, qPCR_Raw!L231-qPCR_Raw!$H$242)</f>
        <v>1568475.2364461264</v>
      </c>
      <c r="L231" s="123" cm="1">
        <f t="array" ref="L231">_xlfn.IFS(AND(H231="Undetermined", J231="Undetermined"), "Undetermined", AND(I231=0, K231=0), "Undetermined", AND(I231=0, K231&gt;0), "Ten-Fold", AND(I231&gt;0, K231=0), "Undiluted", AND(H231&lt;&gt;"Undetermined", J231&lt;&gt;"Undetermined", I231&gt;0, K231&gt;0), 100*(-1+10^(-1/(H231-J231))))</f>
        <v>133.04013453553671</v>
      </c>
      <c r="M231" s="124" cm="1">
        <f t="array" ref="M231">_xlfn.IFS(L231="Undetermined", 0, L231="Undiluted", I231*$G231/$F231*1000, L231="Ten-Fold", K231*$G231/$F231*1000*10, L231&lt;0, K231*$G231/$F231*1000*10, L231&lt;120, I231*$G231/$F231*1000, L231&gt;120, K231*$G231/$F231*1000*10)</f>
        <v>1568475236.4461265</v>
      </c>
      <c r="N231" s="121" t="str">
        <f t="shared" si="56"/>
        <v>DELETE</v>
      </c>
      <c r="O231" s="121" t="str">
        <f t="shared" si="57"/>
        <v>DELETE</v>
      </c>
      <c r="P231" s="121" t="str">
        <f t="shared" si="58"/>
        <v>DELETE</v>
      </c>
      <c r="Q231" s="125" t="str" cm="1">
        <f t="array" ref="Q231">_xlfn.IFS(N231="DELETE", "DELETE", N231=0, 0, N231&gt;0,LOG10(N231))</f>
        <v>DELETE</v>
      </c>
      <c r="R231" s="126" t="str" cm="1">
        <f t="array" ref="R231">_xlfn.IFS(N231="DELETE", "DELETE", N231=0, 0, N231&gt;0, P231/N231/LN(10))</f>
        <v>DELETE</v>
      </c>
      <c r="S231" s="155">
        <f>qPCR_Raw!O231</f>
        <v>28.685134887695313</v>
      </c>
      <c r="T231" s="156" cm="1">
        <f t="array" ref="T231">_xlfn.IFS(S231="Undetermined", 0, qPCR_Raw!P231&lt;=1, 0, qPCR_Raw!P231&gt;1, qPCR_Raw!P231)</f>
        <v>366.57131958007813</v>
      </c>
      <c r="U231" s="157">
        <f>qPCR_Raw!R231</f>
        <v>32.50018310546875</v>
      </c>
      <c r="V231" s="156" cm="1">
        <f t="array" ref="V231">_xlfn.IFS(U231="Undetermined", 0, qPCR_Raw!S231&lt;=1, 0, qPCR_Raw!S231&gt;1, qPCR_Raw!S231)</f>
        <v>33.197975158691406</v>
      </c>
      <c r="W231" s="158" cm="1">
        <f t="array" ref="W231">_xlfn.IFS(AND(S231="Undetermined", U231="Undetermined"), "Undetermined", AND(T231=0, V231=0), "Undetermined", AND(T231=0, V231&gt;0), "Ten-Fold", AND(T231&gt;0, V231=0), "Undiluted", AND(S231&lt;&gt;"Undetermined", U231&lt;&gt;"Undetermined", T231&gt;0, V231&gt;0, S231&lt;&gt;U231), 100*(-1+10^(-1/(S231-U231))), AND(S231&lt;&gt;"Undetermined", U231&lt;&gt;"Undetermined", S231=U231&gt;0), -100)</f>
        <v>82.860492435765451</v>
      </c>
      <c r="X231" s="159" cm="1">
        <f t="array" ref="X231">_xlfn.IFS(W231="Undetermined", 0, W231="Undiluted", T231*$G231/$F231*1000, W231="Ten-Fold", V231*$G231/$F231*1000*10, W231&lt;0, V231*$G231/$F231*1000*10, W231&lt;120, T231*$G231/$F231*1000, W231&gt;120, V231*$G231/$F231*1000*10)</f>
        <v>36657.131958007813</v>
      </c>
      <c r="Y231" s="156" t="str">
        <f t="shared" si="59"/>
        <v>DELETE</v>
      </c>
      <c r="Z231" s="156" t="str">
        <f t="shared" si="60"/>
        <v>DELETE</v>
      </c>
      <c r="AA231" s="156" t="str">
        <f t="shared" si="61"/>
        <v>DELETE</v>
      </c>
      <c r="AB231" s="160" t="str" cm="1">
        <f t="array" ref="AB231">_xlfn.IFS(Y231="DELETE", "DELETE", Y231=0, 0, Y231&gt;0,LOG10(Y231))</f>
        <v>DELETE</v>
      </c>
      <c r="AC231" s="161" t="str" cm="1">
        <f t="array" ref="AC231">_xlfn.IFS(Y231="DELETE", "DELETE", Y231=0, 0, Y231&gt;0, AA231/Y231/LN(10))</f>
        <v>DELETE</v>
      </c>
      <c r="AD231" s="120">
        <f>qPCR_Raw!U231</f>
        <v>25.841680526733398</v>
      </c>
      <c r="AE231" s="121" cm="1">
        <f t="array" ref="AE231">_xlfn.IFS(AD231="Undetermined", 0, qPCR_Raw!V231&lt;=1, 0, qPCR_Raw!V231&gt;1, qPCR_Raw!V231)</f>
        <v>251.34364318847656</v>
      </c>
      <c r="AF231" s="122">
        <f>qPCR_Raw!X231</f>
        <v>28.206583023071289</v>
      </c>
      <c r="AG231" s="121" cm="1">
        <f t="array" ref="AG231">_xlfn.IFS(AF231="Undetermined", 0, qPCR_Raw!Y231&lt;=1, 0, qPCR_Raw!Y231&gt;1, qPCR_Raw!Y231)</f>
        <v>51.427303314208984</v>
      </c>
      <c r="AH231" s="123" cm="1">
        <f t="array" ref="AH231">_xlfn.IFS(AND(AD231="Undetermined", AF231="Undetermined"), "Undetermined", AND(AE231=0, AG231=0), "Undetermined", AND(AE231=0, AG231&gt;0), "Ten-Fold", AND(AE231&gt;0, AG231=0), "Undiluted", AND(AD231&lt;&gt;"Undetermined", AF231&lt;&gt;"Undetermined", AE231&gt;0, AG231&gt;0, AD231&lt;&gt;AF231), 100*(-1+10^(-1/(AD231-AF231))), AND(AD231&lt;&gt;"Undetermined", AF231&lt;&gt;"Undetermined", AD231=AF231&gt;0), -100)</f>
        <v>164.75880617991359</v>
      </c>
      <c r="AI231" s="124" cm="1">
        <f t="array" ref="AI231">_xlfn.IFS(AH231="Undetermined", 0, AH231="Undiluted", AE231*$G231/$F231*1000, AH231="Ten-Fold", AG231*$G231/$F231*1000*10, AH231&lt;0, AG231*$G231/$F231*1000*10, AH231&lt;120, AE231*$G231/$F231*1000, AH231&gt;120, AG231*$G231/$F231*1000*10)</f>
        <v>51427.303314208984</v>
      </c>
      <c r="AJ231" s="121" t="str">
        <f t="shared" si="62"/>
        <v>DELETE</v>
      </c>
      <c r="AK231" s="121" t="str">
        <f t="shared" si="63"/>
        <v>DELETE</v>
      </c>
      <c r="AL231" s="121" t="str">
        <f t="shared" si="64"/>
        <v>DELETE</v>
      </c>
      <c r="AM231" s="125" t="str" cm="1">
        <f t="array" ref="AM231">_xlfn.IFS(AJ231="DELETE", "DELETE", AJ231=0, 0, AJ231&gt;0,LOG10(AJ231))</f>
        <v>DELETE</v>
      </c>
      <c r="AN231" s="126" t="str" cm="1">
        <f t="array" ref="AN231">_xlfn.IFS(AJ231="DELETE", "DELETE", AJ231=0, 0, AJ231&gt;0, AL231/AJ231/LN(10))</f>
        <v>DELETE</v>
      </c>
      <c r="AO231" s="155">
        <f>qPCR_Raw!AA231</f>
        <v>26.969482421875</v>
      </c>
      <c r="AP231" s="156" cm="1">
        <f t="array" ref="AP231">_xlfn.IFS(AO231="Undetermined", 0, qPCR_Raw!AB231&lt;=6, 0, qPCR_Raw!AB231&gt;6, qPCR_Raw!AB231)</f>
        <v>14.448974609375</v>
      </c>
      <c r="AQ231" s="157">
        <f>qPCR_Raw!AD231</f>
        <v>29.745092391967773</v>
      </c>
      <c r="AR231" s="156" cm="1">
        <f t="array" ref="AR231">_xlfn.IFS(AQ231="Undetermined", 0, qPCR_Raw!AE231&lt;=6, 0, qPCR_Raw!AE231&gt;6, qPCR_Raw!AE231)</f>
        <v>0</v>
      </c>
      <c r="AS231" s="158" t="str" cm="1">
        <f t="array" ref="AS231">_xlfn.IFS(AND(AO231="Undetermined", AQ231="Undetermined"), "Undetermined", AND(AP231=0, AR231=0), "Undetermined", AND(AP231=0, AR231&gt;0), "Ten-Fold", AND(AP231&gt;0, AR231=0), "Undiluted", AND(AO231&lt;&gt;"Undetermined", AQ231&lt;&gt;"Undetermined", AP231&gt;0, AR231&gt;0, AO231&lt;&gt;AQ231), 100*(-1+10^(-1/(AO231-AQ231))), AND(AO231&lt;&gt;"Undetermined", AQ231&lt;&gt;"Undetermined", AO231=AQ231&gt;0), -100)</f>
        <v>Undiluted</v>
      </c>
      <c r="AT231" s="159" cm="1">
        <f t="array" ref="AT231">_xlfn.IFS(AS231="Undetermined", 0, AS231="Undiluted", AP231*$G231/$F231*1000, AS231="Ten-Fold", AR231*$G231/$F231*1000*10, AS231&lt;0, AR231*$G231/$F231*1000*10, AS231&lt;120, AP231*$G231/$F231*1000, AS231&gt;120, AR231*$G231/$F231*1000*10)</f>
        <v>1444.8974609375</v>
      </c>
      <c r="AU231" s="156" t="str">
        <f t="shared" si="65"/>
        <v>DELETE</v>
      </c>
      <c r="AV231" s="156" t="str">
        <f t="shared" si="66"/>
        <v>DELETE</v>
      </c>
      <c r="AW231" s="156" t="str">
        <f t="shared" si="67"/>
        <v>DELETE</v>
      </c>
      <c r="AX231" s="160" t="str" cm="1">
        <f t="array" ref="AX231">_xlfn.IFS(AU231="DELETE", "DELETE", AU231=0, 0, AU231&gt;0,LOG10(AU231))</f>
        <v>DELETE</v>
      </c>
      <c r="AY231" s="161" t="str" cm="1">
        <f t="array" ref="AY231">_xlfn.IFS(AU231="DELETE", "DELETE", AU231=0, 0, AU231&gt;0, AW231/AU231/LN(10))</f>
        <v>DELETE</v>
      </c>
      <c r="AZ231" s="120">
        <f>qPCR_Raw!AG231</f>
        <v>26.762802124023438</v>
      </c>
      <c r="BA231" s="121" cm="1">
        <f t="array" ref="BA231">_xlfn.IFS(AZ231="Undetermined", 0, qPCR_Raw!AH231&lt;=1, 0, qPCR_Raw!AH231&gt;1, qPCR_Raw!AH231)</f>
        <v>577.7501220703125</v>
      </c>
      <c r="BB231" s="122">
        <f>qPCR_Raw!AJ231</f>
        <v>30.607206344604492</v>
      </c>
      <c r="BC231" s="121" cm="1">
        <f t="array" ref="BC231">_xlfn.IFS(BB231="Undetermined", 0, qPCR_Raw!AK231&lt;=1, 0, qPCR_Raw!AK231&gt;1, qPCR_Raw!AK231)</f>
        <v>60.255664825439453</v>
      </c>
      <c r="BD231" s="123" cm="1">
        <f t="array" ref="BD231">_xlfn.IFS(AND(AZ231="Undetermined", BB231="Undetermined"), "Undetermined", AND(BA231=0, BC231=0), "Undetermined", AND(BA231=0, BC231&gt;0), "Ten-Fold", AND(BA231&gt;0, BC231=0), "Undiluted", AND(AZ231&lt;&gt;"Undetermined", BB231&lt;&gt;"Undetermined", BA231&gt;0, BC231&gt;0, AZ231&lt;&gt;BB231), 100*(-1+10^(-1/(AZ231-BB231))), AND(AZ231&lt;&gt;"Undetermined", BB231&lt;&gt;"Undetermined", AZ231=BB231&gt;0), -100)</f>
        <v>82.019672454560009</v>
      </c>
      <c r="BE231" s="124" cm="1">
        <f t="array" ref="BE231">_xlfn.IFS(BD231="Undetermined", 0, BD231="Undiluted", BA231*$G231/$F231*1000, BD231="Ten-Fold", BC231*$G231/$F231*1000*10, BD231&lt;0, BC231*$G231/$F231*1000*10, BD231&lt;120, BA231*$G231/$F231*1000, BD231&gt;120, BC231*$G231/$F231*1000*10)</f>
        <v>57775.01220703125</v>
      </c>
      <c r="BF231" s="121" t="str">
        <f t="shared" si="68"/>
        <v>DELETE</v>
      </c>
      <c r="BG231" s="121" t="str">
        <f t="shared" si="69"/>
        <v>DELETE</v>
      </c>
      <c r="BH231" s="121" t="str">
        <f t="shared" si="70"/>
        <v>DELETE</v>
      </c>
      <c r="BI231" s="125" t="str" cm="1">
        <f t="array" ref="BI231">_xlfn.IFS(BF231="DELETE", "DELETE", BF231=0, 0, BF231&gt;0,LOG10(BF231))</f>
        <v>DELETE</v>
      </c>
      <c r="BJ231" s="126" t="str" cm="1">
        <f t="array" ref="BJ231">_xlfn.IFS(BF231="DELETE", "DELETE", BF231=0, 0, BF231&gt;0, BH231/BF231/LN(10))</f>
        <v>DELETE</v>
      </c>
    </row>
    <row r="232" spans="1:62" s="114" customFormat="1" x14ac:dyDescent="0.3">
      <c r="A232" s="115" t="str">
        <f>UPPER(LEFT(SUBSTITUTE(SUBSTITUTE(qPCR_Raw!A232,"-","")," ",""),2))&amp;RIGHT(SUBSTITUTE(SUBSTITUTE(qPCR_Raw!A232,"-","")," ",""),LEN(SUBSTITUTE(SUBSTITUTE(qPCR_Raw!A232,"-","")," ",""))-2)</f>
        <v>RG6</v>
      </c>
      <c r="B232" s="116" t="str" cm="1">
        <f t="array" ref="B232">_xlfn.IFS(LEFT(A232, LEN(A232)-1)="EP", "EP", LEFT(A232, LEN(A232)-1)="STa", "SPI", LEFT(A232, LEN(A232)-1)="STb", "SPO", LEFT(A232, LEN(A232)-1)="MRT", "MRT", LEFT(A232, LEN(A232)-1)="RG", "RN", LEFT(A232, LEN(A232)-1)="RT", "RU", LEFT(A232, LEN(A232)-1)="RW", "RL", LEFT(A232, LEN(A232)-1)="RC", "RS")</f>
        <v>RN</v>
      </c>
      <c r="C232" s="117">
        <f>qPCR_Raw!B232</f>
        <v>44433</v>
      </c>
      <c r="D232" s="117" t="str">
        <f t="shared" si="54"/>
        <v>RN44433</v>
      </c>
      <c r="E232" s="117" t="str">
        <f t="shared" si="55"/>
        <v>RN444336</v>
      </c>
      <c r="F232" s="118">
        <f>qPCR_Raw!C232</f>
        <v>1000</v>
      </c>
      <c r="G232" s="119">
        <f>qPCR_Raw!F232</f>
        <v>100</v>
      </c>
      <c r="H232" s="120">
        <f>qPCR_Raw!G232</f>
        <v>13.985523223876953</v>
      </c>
      <c r="I232" s="121" cm="1">
        <f t="array" ref="I232">_xlfn.IFS(H232="Undetermined", 0, qPCR_Raw!H232-qPCR_Raw!$H$242&lt;0, 0, qPCR_Raw!H232-qPCR_Raw!$H$242&gt;0, qPCR_Raw!H232-qPCR_Raw!$H$242)</f>
        <v>5409513.8614461264</v>
      </c>
      <c r="J232" s="122">
        <f>qPCR_Raw!K232</f>
        <v>16.864200592041016</v>
      </c>
      <c r="K232" s="121" cm="1">
        <f t="array" ref="K232">_xlfn.IFS(J232="Undetermined", 0, qPCR_Raw!L232-qPCR_Raw!$H$242&lt;0, 0, qPCR_Raw!L232-qPCR_Raw!$H$242&gt;0, qPCR_Raw!L232-qPCR_Raw!$H$242)</f>
        <v>768684.48644612625</v>
      </c>
      <c r="L232" s="123" cm="1">
        <f t="array" ref="L232">_xlfn.IFS(AND(H232="Undetermined", J232="Undetermined"), "Undetermined", AND(I232=0, K232=0), "Undetermined", AND(I232=0, K232&gt;0), "Ten-Fold", AND(I232&gt;0, K232=0), "Undiluted", AND(H232&lt;&gt;"Undetermined", J232&lt;&gt;"Undetermined", I232&gt;0, K232&gt;0), 100*(-1+10^(-1/(H232-J232))))</f>
        <v>122.52650979239652</v>
      </c>
      <c r="M232" s="124" cm="1">
        <f t="array" ref="M232">_xlfn.IFS(L232="Undetermined", 0, L232="Undiluted", I232*$G232/$F232*1000, L232="Ten-Fold", K232*$G232/$F232*1000*10, L232&lt;0, K232*$G232/$F232*1000*10, L232&lt;120, I232*$G232/$F232*1000, L232&gt;120, K232*$G232/$F232*1000*10)</f>
        <v>768684486.44612622</v>
      </c>
      <c r="N232" s="121">
        <f t="shared" si="56"/>
        <v>1469654048.9461265</v>
      </c>
      <c r="O232" s="121">
        <f t="shared" si="57"/>
        <v>991320662.09823489</v>
      </c>
      <c r="P232" s="121">
        <f t="shared" si="58"/>
        <v>700969562.5</v>
      </c>
      <c r="Q232" s="125" cm="1">
        <f t="array" ref="Q232">_xlfn.IFS(N232="DELETE", "DELETE", N232=0, 0, N232&gt;0,LOG10(N232))</f>
        <v>9.1672151154857069</v>
      </c>
      <c r="R232" s="126" cm="1">
        <f t="array" ref="R232">_xlfn.IFS(N232="DELETE", "DELETE", N232=0, 0, N232&gt;0, P232/N232/LN(10))</f>
        <v>0.207142091156887</v>
      </c>
      <c r="S232" s="155">
        <f>qPCR_Raw!O232</f>
        <v>31.90593147277832</v>
      </c>
      <c r="T232" s="156" cm="1">
        <f t="array" ref="T232">_xlfn.IFS(S232="Undetermined", 0, qPCR_Raw!P232&lt;=1, 0, qPCR_Raw!P232&gt;1, qPCR_Raw!P232)</f>
        <v>48.259407043457031</v>
      </c>
      <c r="U232" s="157">
        <f>qPCR_Raw!R232</f>
        <v>35.451564788818359</v>
      </c>
      <c r="V232" s="156" cm="1">
        <f t="array" ref="V232">_xlfn.IFS(U232="Undetermined", 0, qPCR_Raw!S232&lt;=1, 0, qPCR_Raw!S232&gt;1, qPCR_Raw!S232)</f>
        <v>5.1783814430236816</v>
      </c>
      <c r="W232" s="158" cm="1">
        <f t="array" ref="W232">_xlfn.IFS(AND(S232="Undetermined", U232="Undetermined"), "Undetermined", AND(T232=0, V232=0), "Undetermined", AND(T232=0, V232&gt;0), "Ten-Fold", AND(T232&gt;0, V232=0), "Undiluted", AND(S232&lt;&gt;"Undetermined", U232&lt;&gt;"Undetermined", T232&gt;0, V232&gt;0, S232&lt;&gt;U232), 100*(-1+10^(-1/(S232-U232))), AND(S232&lt;&gt;"Undetermined", U232&lt;&gt;"Undetermined", S232=U232&gt;0), -100)</f>
        <v>91.441928733750728</v>
      </c>
      <c r="X232" s="159" cm="1">
        <f t="array" ref="X232">_xlfn.IFS(W232="Undetermined", 0, W232="Undiluted", T232*$G232/$F232*1000, W232="Ten-Fold", V232*$G232/$F232*1000*10, W232&lt;0, V232*$G232/$F232*1000*10, W232&lt;120, T232*$G232/$F232*1000, W232&gt;120, V232*$G232/$F232*1000*10)</f>
        <v>4825.9407043457031</v>
      </c>
      <c r="Y232" s="156">
        <f t="shared" si="59"/>
        <v>2412.9703521728516</v>
      </c>
      <c r="Z232" s="156">
        <f t="shared" si="60"/>
        <v>3412.4553976470302</v>
      </c>
      <c r="AA232" s="156">
        <f t="shared" si="61"/>
        <v>2412.9703521728516</v>
      </c>
      <c r="AB232" s="160" cm="1">
        <f t="array" ref="AB232">_xlfn.IFS(Y232="DELETE", "DELETE", Y232=0, 0, Y232&gt;0,LOG10(Y232))</f>
        <v>3.3825519858263853</v>
      </c>
      <c r="AC232" s="161" cm="1">
        <f t="array" ref="AC232">_xlfn.IFS(Y232="DELETE", "DELETE", Y232=0, 0, Y232&gt;0, AA232/Y232/LN(10))</f>
        <v>0.43429448190325176</v>
      </c>
      <c r="AD232" s="120">
        <f>qPCR_Raw!U232</f>
        <v>27.283515930175781</v>
      </c>
      <c r="AE232" s="121" cm="1">
        <f t="array" ref="AE232">_xlfn.IFS(AD232="Undetermined", 0, qPCR_Raw!V232&lt;=1, 0, qPCR_Raw!V232&gt;1, qPCR_Raw!V232)</f>
        <v>95.532844543457031</v>
      </c>
      <c r="AF232" s="122">
        <f>qPCR_Raw!X232</f>
        <v>30.728710174560547</v>
      </c>
      <c r="AG232" s="121" cm="1">
        <f t="array" ref="AG232">_xlfn.IFS(AF232="Undetermined", 0, qPCR_Raw!Y232&lt;=1, 0, qPCR_Raw!Y232&gt;1, qPCR_Raw!Y232)</f>
        <v>9.4690895080566406</v>
      </c>
      <c r="AH232" s="123" cm="1">
        <f t="array" ref="AH232">_xlfn.IFS(AND(AD232="Undetermined", AF232="Undetermined"), "Undetermined", AND(AE232=0, AG232=0), "Undetermined", AND(AE232=0, AG232&gt;0), "Ten-Fold", AND(AE232&gt;0, AG232=0), "Undiluted", AND(AD232&lt;&gt;"Undetermined", AF232&lt;&gt;"Undetermined", AE232&gt;0, AG232&gt;0, AD232&lt;&gt;AF232), 100*(-1+10^(-1/(AD232-AF232))), AND(AD232&lt;&gt;"Undetermined", AF232&lt;&gt;"Undetermined", AD232=AF232&gt;0), -100)</f>
        <v>95.100955284271294</v>
      </c>
      <c r="AI232" s="124" cm="1">
        <f t="array" ref="AI232">_xlfn.IFS(AH232="Undetermined", 0, AH232="Undiluted", AE232*$G232/$F232*1000, AH232="Ten-Fold", AG232*$G232/$F232*1000*10, AH232&lt;0, AG232*$G232/$F232*1000*10, AH232&lt;120, AE232*$G232/$F232*1000, AH232&gt;120, AG232*$G232/$F232*1000*10)</f>
        <v>9553.2844543457031</v>
      </c>
      <c r="AJ232" s="121">
        <f t="shared" si="62"/>
        <v>10485.744857788086</v>
      </c>
      <c r="AK232" s="121">
        <f t="shared" si="63"/>
        <v>1318.6981489241057</v>
      </c>
      <c r="AL232" s="121">
        <f t="shared" si="64"/>
        <v>932.46040344238281</v>
      </c>
      <c r="AM232" s="125" cm="1">
        <f t="array" ref="AM232">_xlfn.IFS(AJ232="DELETE", "DELETE", AJ232=0, 0, AJ232&gt;0,LOG10(AJ232))</f>
        <v>4.0205992861258624</v>
      </c>
      <c r="AN232" s="126" cm="1">
        <f t="array" ref="AN232">_xlfn.IFS(AJ232="DELETE", "DELETE", AJ232=0, 0, AJ232&gt;0, AL232/AJ232/LN(10))</f>
        <v>3.8620280514219139E-2</v>
      </c>
      <c r="AO232" s="155">
        <f>qPCR_Raw!AA232</f>
        <v>31.000221252441406</v>
      </c>
      <c r="AP232" s="156" cm="1">
        <f t="array" ref="AP232">_xlfn.IFS(AO232="Undetermined", 0, qPCR_Raw!AB232&lt;=6, 0, qPCR_Raw!AB232&gt;6, qPCR_Raw!AB232)</f>
        <v>0</v>
      </c>
      <c r="AQ232" s="157" t="str">
        <f>qPCR_Raw!AD232</f>
        <v>Undetermined</v>
      </c>
      <c r="AR232" s="156" cm="1">
        <f t="array" ref="AR232">_xlfn.IFS(AQ232="Undetermined", 0, qPCR_Raw!AE232&lt;=6, 0, qPCR_Raw!AE232&gt;6, qPCR_Raw!AE232)</f>
        <v>0</v>
      </c>
      <c r="AS232" s="158" t="str" cm="1">
        <f t="array" ref="AS232">_xlfn.IFS(AND(AO232="Undetermined", AQ232="Undetermined"), "Undetermined", AND(AP232=0, AR232=0), "Undetermined", AND(AP232=0, AR232&gt;0), "Ten-Fold", AND(AP232&gt;0, AR232=0), "Undiluted", AND(AO232&lt;&gt;"Undetermined", AQ232&lt;&gt;"Undetermined", AP232&gt;0, AR232&gt;0, AO232&lt;&gt;AQ232), 100*(-1+10^(-1/(AO232-AQ232))), AND(AO232&lt;&gt;"Undetermined", AQ232&lt;&gt;"Undetermined", AO232=AQ232&gt;0), -100)</f>
        <v>Undetermined</v>
      </c>
      <c r="AT232" s="159" cm="1">
        <f t="array" ref="AT232">_xlfn.IFS(AS232="Undetermined", 0, AS232="Undiluted", AP232*$G232/$F232*1000, AS232="Ten-Fold", AR232*$G232/$F232*1000*10, AS232&lt;0, AR232*$G232/$F232*1000*10, AS232&lt;120, AP232*$G232/$F232*1000, AS232&gt;120, AR232*$G232/$F232*1000*10)</f>
        <v>0</v>
      </c>
      <c r="AU232" s="156">
        <f t="shared" si="65"/>
        <v>905193.4814453125</v>
      </c>
      <c r="AV232" s="156">
        <f t="shared" si="66"/>
        <v>1280136.8980316794</v>
      </c>
      <c r="AW232" s="156">
        <f t="shared" si="67"/>
        <v>905193.48144531238</v>
      </c>
      <c r="AX232" s="160" cm="1">
        <f t="array" ref="AX232">_xlfn.IFS(AU232="DELETE", "DELETE", AU232=0, 0, AU232&gt;0,LOG10(AU232))</f>
        <v>5.9567414178163585</v>
      </c>
      <c r="AY232" s="161" cm="1">
        <f t="array" ref="AY232">_xlfn.IFS(AU232="DELETE", "DELETE", AU232=0, 0, AU232&gt;0, AW232/AU232/LN(10))</f>
        <v>0.43429448190325176</v>
      </c>
      <c r="AZ232" s="120">
        <f>qPCR_Raw!AG232</f>
        <v>26.787240982055664</v>
      </c>
      <c r="BA232" s="121" cm="1">
        <f t="array" ref="BA232">_xlfn.IFS(AZ232="Undetermined", 0, qPCR_Raw!AH232&lt;=1, 0, qPCR_Raw!AH232&gt;1, qPCR_Raw!AH232)</f>
        <v>569.507080078125</v>
      </c>
      <c r="BB232" s="122">
        <f>qPCR_Raw!AJ232</f>
        <v>30.298299789428711</v>
      </c>
      <c r="BC232" s="121" cm="1">
        <f t="array" ref="BC232">_xlfn.IFS(BB232="Undetermined", 0, qPCR_Raw!AK232&lt;=1, 0, qPCR_Raw!AK232&gt;1, qPCR_Raw!AK232)</f>
        <v>72.257522583007813</v>
      </c>
      <c r="BD232" s="123" cm="1">
        <f t="array" ref="BD232">_xlfn.IFS(AND(AZ232="Undetermined", BB232="Undetermined"), "Undetermined", AND(BA232=0, BC232=0), "Undetermined", AND(BA232=0, BC232&gt;0), "Ten-Fold", AND(BA232&gt;0, BC232=0), "Undiluted", AND(AZ232&lt;&gt;"Undetermined", BB232&lt;&gt;"Undetermined", BA232&gt;0, BC232&gt;0, AZ232&lt;&gt;BB232), 100*(-1+10^(-1/(AZ232-BB232))), AND(AZ232&lt;&gt;"Undetermined", BB232&lt;&gt;"Undetermined", AZ232=BB232&gt;0), -100)</f>
        <v>92.670120659456671</v>
      </c>
      <c r="BE232" s="124" cm="1">
        <f t="array" ref="BE232">_xlfn.IFS(BD232="Undetermined", 0, BD232="Undiluted", BA232*$G232/$F232*1000, BD232="Ten-Fold", BC232*$G232/$F232*1000*10, BD232&lt;0, BC232*$G232/$F232*1000*10, BD232&lt;120, BA232*$G232/$F232*1000, BD232&gt;120, BC232*$G232/$F232*1000*10)</f>
        <v>56950.7080078125</v>
      </c>
      <c r="BF232" s="121">
        <f t="shared" si="68"/>
        <v>45860.533142089844</v>
      </c>
      <c r="BG232" s="121">
        <f t="shared" si="69"/>
        <v>15683.875704194192</v>
      </c>
      <c r="BH232" s="121">
        <f t="shared" si="70"/>
        <v>11090.174865722651</v>
      </c>
      <c r="BI232" s="125" cm="1">
        <f t="array" ref="BI232">_xlfn.IFS(BF232="DELETE", "DELETE", BF232=0, 0, BF232&gt;0,LOG10(BF232))</f>
        <v>4.6614390992234407</v>
      </c>
      <c r="BJ232" s="126" cm="1">
        <f t="array" ref="BJ232">_xlfn.IFS(BF232="DELETE", "DELETE", BF232=0, 0, BF232&gt;0, BH232/BF232/LN(10))</f>
        <v>0.10502280321519181</v>
      </c>
    </row>
    <row r="233" spans="1:62" s="114" customFormat="1" x14ac:dyDescent="0.3">
      <c r="A233" s="115" t="str">
        <f>UPPER(LEFT(SUBSTITUTE(SUBSTITUTE(qPCR_Raw!A233,"-","")," ",""),2))&amp;RIGHT(SUBSTITUTE(SUBSTITUTE(qPCR_Raw!A233,"-","")," ",""),LEN(SUBSTITUTE(SUBSTITUTE(qPCR_Raw!A233,"-","")," ",""))-2)</f>
        <v>RG7</v>
      </c>
      <c r="B233" s="116" t="str" cm="1">
        <f t="array" ref="B233">_xlfn.IFS(LEFT(A233, LEN(A233)-1)="EP", "EP", LEFT(A233, LEN(A233)-1)="STa", "SPI", LEFT(A233, LEN(A233)-1)="STb", "SPO", LEFT(A233, LEN(A233)-1)="MRT", "MRT", LEFT(A233, LEN(A233)-1)="RG", "RN", LEFT(A233, LEN(A233)-1)="RT", "RU", LEFT(A233, LEN(A233)-1)="RW", "RL", LEFT(A233, LEN(A233)-1)="RC", "RS")</f>
        <v>RN</v>
      </c>
      <c r="C233" s="117">
        <f>qPCR_Raw!B233</f>
        <v>44433</v>
      </c>
      <c r="D233" s="117" t="str">
        <f t="shared" si="54"/>
        <v>RN44433</v>
      </c>
      <c r="E233" s="117" t="str">
        <f t="shared" si="55"/>
        <v>RN444337</v>
      </c>
      <c r="F233" s="118">
        <f>qPCR_Raw!C233</f>
        <v>1000</v>
      </c>
      <c r="G233" s="119">
        <f>qPCR_Raw!F233</f>
        <v>100</v>
      </c>
      <c r="H233" s="120">
        <f>qPCR_Raw!G233</f>
        <v>13.319770812988281</v>
      </c>
      <c r="I233" s="121" cm="1">
        <f t="array" ref="I233">_xlfn.IFS(H233="Undetermined", 0, qPCR_Raw!H233-qPCR_Raw!$H$242&lt;0, 0, qPCR_Raw!H233-qPCR_Raw!$H$242&gt;0, qPCR_Raw!H233-qPCR_Raw!$H$242)</f>
        <v>8473712.3614461254</v>
      </c>
      <c r="J233" s="122">
        <f>qPCR_Raw!K233</f>
        <v>15.337377548217773</v>
      </c>
      <c r="K233" s="121" cm="1">
        <f t="array" ref="K233">_xlfn.IFS(J233="Undetermined", 0, qPCR_Raw!L233-qPCR_Raw!$H$242&lt;0, 0, qPCR_Raw!L233-qPCR_Raw!$H$242&gt;0, qPCR_Raw!L233-qPCR_Raw!$H$242)</f>
        <v>2170623.6114461264</v>
      </c>
      <c r="L233" s="123" cm="1">
        <f t="array" ref="L233">_xlfn.IFS(AND(H233="Undetermined", J233="Undetermined"), "Undetermined", AND(I233=0, K233=0), "Undetermined", AND(I233=0, K233&gt;0), "Ten-Fold", AND(I233&gt;0, K233=0), "Undiluted", AND(H233&lt;&gt;"Undetermined", J233&lt;&gt;"Undetermined", I233&gt;0, K233&gt;0), 100*(-1+10^(-1/(H233-J233))))</f>
        <v>213.06659349836855</v>
      </c>
      <c r="M233" s="124" cm="1">
        <f t="array" ref="M233">_xlfn.IFS(L233="Undetermined", 0, L233="Undiluted", I233*$G233/$F233*1000, L233="Ten-Fold", K233*$G233/$F233*1000*10, L233&lt;0, K233*$G233/$F233*1000*10, L233&lt;120, I233*$G233/$F233*1000, L233&gt;120, K233*$G233/$F233*1000*10)</f>
        <v>2170623611.4461265</v>
      </c>
      <c r="N233" s="121" t="str">
        <f t="shared" si="56"/>
        <v>DELETE</v>
      </c>
      <c r="O233" s="121" t="str">
        <f t="shared" si="57"/>
        <v>DELETE</v>
      </c>
      <c r="P233" s="121" t="str">
        <f t="shared" si="58"/>
        <v>DELETE</v>
      </c>
      <c r="Q233" s="125" t="str" cm="1">
        <f t="array" ref="Q233">_xlfn.IFS(N233="DELETE", "DELETE", N233=0, 0, N233&gt;0,LOG10(N233))</f>
        <v>DELETE</v>
      </c>
      <c r="R233" s="126" t="str" cm="1">
        <f t="array" ref="R233">_xlfn.IFS(N233="DELETE", "DELETE", N233=0, 0, N233&gt;0, P233/N233/LN(10))</f>
        <v>DELETE</v>
      </c>
      <c r="S233" s="155" t="str">
        <f>qPCR_Raw!O233</f>
        <v>Undetermined</v>
      </c>
      <c r="T233" s="156" cm="1">
        <f t="array" ref="T233">_xlfn.IFS(S233="Undetermined", 0, qPCR_Raw!P233&lt;=1, 0, qPCR_Raw!P233&gt;1, qPCR_Raw!P233)</f>
        <v>0</v>
      </c>
      <c r="U233" s="157" t="str">
        <f>qPCR_Raw!R233</f>
        <v>Undetermined</v>
      </c>
      <c r="V233" s="156" cm="1">
        <f t="array" ref="V233">_xlfn.IFS(U233="Undetermined", 0, qPCR_Raw!S233&lt;=1, 0, qPCR_Raw!S233&gt;1, qPCR_Raw!S233)</f>
        <v>0</v>
      </c>
      <c r="W233" s="158" t="str" cm="1">
        <f t="array" ref="W233">_xlfn.IFS(AND(S233="Undetermined", U233="Undetermined"), "Undetermined", AND(T233=0, V233=0), "Undetermined", AND(T233=0, V233&gt;0), "Ten-Fold", AND(T233&gt;0, V233=0), "Undiluted", AND(S233&lt;&gt;"Undetermined", U233&lt;&gt;"Undetermined", T233&gt;0, V233&gt;0, S233&lt;&gt;U233), 100*(-1+10^(-1/(S233-U233))), AND(S233&lt;&gt;"Undetermined", U233&lt;&gt;"Undetermined", S233=U233&gt;0), -100)</f>
        <v>Undetermined</v>
      </c>
      <c r="X233" s="159" cm="1">
        <f t="array" ref="X233">_xlfn.IFS(W233="Undetermined", 0, W233="Undiluted", T233*$G233/$F233*1000, W233="Ten-Fold", V233*$G233/$F233*1000*10, W233&lt;0, V233*$G233/$F233*1000*10, W233&lt;120, T233*$G233/$F233*1000, W233&gt;120, V233*$G233/$F233*1000*10)</f>
        <v>0</v>
      </c>
      <c r="Y233" s="156" t="str">
        <f t="shared" si="59"/>
        <v>DELETE</v>
      </c>
      <c r="Z233" s="156" t="str">
        <f t="shared" si="60"/>
        <v>DELETE</v>
      </c>
      <c r="AA233" s="156" t="str">
        <f t="shared" si="61"/>
        <v>DELETE</v>
      </c>
      <c r="AB233" s="160" t="str" cm="1">
        <f t="array" ref="AB233">_xlfn.IFS(Y233="DELETE", "DELETE", Y233=0, 0, Y233&gt;0,LOG10(Y233))</f>
        <v>DELETE</v>
      </c>
      <c r="AC233" s="161" t="str" cm="1">
        <f t="array" ref="AC233">_xlfn.IFS(Y233="DELETE", "DELETE", Y233=0, 0, Y233&gt;0, AA233/Y233/LN(10))</f>
        <v>DELETE</v>
      </c>
      <c r="AD233" s="120">
        <f>qPCR_Raw!U233</f>
        <v>27.792242050170898</v>
      </c>
      <c r="AE233" s="121" cm="1">
        <f t="array" ref="AE233">_xlfn.IFS(AD233="Undetermined", 0, qPCR_Raw!V233&lt;=1, 0, qPCR_Raw!V233&gt;1, qPCR_Raw!V233)</f>
        <v>67.908241271972656</v>
      </c>
      <c r="AF233" s="122">
        <f>qPCR_Raw!X233</f>
        <v>30.449724197387695</v>
      </c>
      <c r="AG233" s="121" cm="1">
        <f t="array" ref="AG233">_xlfn.IFS(AF233="Undetermined", 0, qPCR_Raw!Y233&lt;=1, 0, qPCR_Raw!Y233&gt;1, qPCR_Raw!Y233)</f>
        <v>11.418205261230469</v>
      </c>
      <c r="AH233" s="123" cm="1">
        <f t="array" ref="AH233">_xlfn.IFS(AND(AD233="Undetermined", AF233="Undetermined"), "Undetermined", AND(AE233=0, AG233=0), "Undetermined", AND(AE233=0, AG233&gt;0), "Ten-Fold", AND(AE233&gt;0, AG233=0), "Undiluted", AND(AD233&lt;&gt;"Undetermined", AF233&lt;&gt;"Undetermined", AE233&gt;0, AG233&gt;0, AD233&lt;&gt;AF233), 100*(-1+10^(-1/(AD233-AF233))), AND(AD233&lt;&gt;"Undetermined", AF233&lt;&gt;"Undetermined", AD233=AF233&gt;0), -100)</f>
        <v>137.84610122226891</v>
      </c>
      <c r="AI233" s="124" cm="1">
        <f t="array" ref="AI233">_xlfn.IFS(AH233="Undetermined", 0, AH233="Undiluted", AE233*$G233/$F233*1000, AH233="Ten-Fold", AG233*$G233/$F233*1000*10, AH233&lt;0, AG233*$G233/$F233*1000*10, AH233&lt;120, AE233*$G233/$F233*1000, AH233&gt;120, AG233*$G233/$F233*1000*10)</f>
        <v>11418.205261230469</v>
      </c>
      <c r="AJ233" s="121" t="str">
        <f t="shared" si="62"/>
        <v>DELETE</v>
      </c>
      <c r="AK233" s="121" t="str">
        <f t="shared" si="63"/>
        <v>DELETE</v>
      </c>
      <c r="AL233" s="121" t="str">
        <f t="shared" si="64"/>
        <v>DELETE</v>
      </c>
      <c r="AM233" s="125" t="str" cm="1">
        <f t="array" ref="AM233">_xlfn.IFS(AJ233="DELETE", "DELETE", AJ233=0, 0, AJ233&gt;0,LOG10(AJ233))</f>
        <v>DELETE</v>
      </c>
      <c r="AN233" s="126" t="str" cm="1">
        <f t="array" ref="AN233">_xlfn.IFS(AJ233="DELETE", "DELETE", AJ233=0, 0, AJ233&gt;0, AL233/AJ233/LN(10))</f>
        <v>DELETE</v>
      </c>
      <c r="AO233" s="155">
        <f>qPCR_Raw!AA233</f>
        <v>17.184799194335938</v>
      </c>
      <c r="AP233" s="156" cm="1">
        <f t="array" ref="AP233">_xlfn.IFS(AO233="Undetermined", 0, qPCR_Raw!AB233&lt;=6, 0, qPCR_Raw!AB233&gt;6, qPCR_Raw!AB233)</f>
        <v>11403.234375</v>
      </c>
      <c r="AQ233" s="157">
        <f>qPCR_Raw!AD233</f>
        <v>19.884128570556641</v>
      </c>
      <c r="AR233" s="156" cm="1">
        <f t="array" ref="AR233">_xlfn.IFS(AQ233="Undetermined", 0, qPCR_Raw!AE233&lt;=6, 0, qPCR_Raw!AE233&gt;6, qPCR_Raw!AE233)</f>
        <v>1810.386962890625</v>
      </c>
      <c r="AS233" s="158" cm="1">
        <f t="array" ref="AS233">_xlfn.IFS(AND(AO233="Undetermined", AQ233="Undetermined"), "Undetermined", AND(AP233=0, AR233=0), "Undetermined", AND(AP233=0, AR233&gt;0), "Ten-Fold", AND(AP233&gt;0, AR233=0), "Undiluted", AND(AO233&lt;&gt;"Undetermined", AQ233&lt;&gt;"Undetermined", AP233&gt;0, AR233&gt;0, AO233&lt;&gt;AQ233), 100*(-1+10^(-1/(AO233-AQ233))), AND(AO233&lt;&gt;"Undetermined", AQ233&lt;&gt;"Undetermined", AO233=AQ233&gt;0), -100)</f>
        <v>134.67260026379546</v>
      </c>
      <c r="AT233" s="159" cm="1">
        <f t="array" ref="AT233">_xlfn.IFS(AS233="Undetermined", 0, AS233="Undiluted", AP233*$G233/$F233*1000, AS233="Ten-Fold", AR233*$G233/$F233*1000*10, AS233&lt;0, AR233*$G233/$F233*1000*10, AS233&lt;120, AP233*$G233/$F233*1000, AS233&gt;120, AR233*$G233/$F233*1000*10)</f>
        <v>1810386.962890625</v>
      </c>
      <c r="AU233" s="156" t="str">
        <f t="shared" si="65"/>
        <v>DELETE</v>
      </c>
      <c r="AV233" s="156" t="str">
        <f t="shared" si="66"/>
        <v>DELETE</v>
      </c>
      <c r="AW233" s="156" t="str">
        <f t="shared" si="67"/>
        <v>DELETE</v>
      </c>
      <c r="AX233" s="160" t="str" cm="1">
        <f t="array" ref="AX233">_xlfn.IFS(AU233="DELETE", "DELETE", AU233=0, 0, AU233&gt;0,LOG10(AU233))</f>
        <v>DELETE</v>
      </c>
      <c r="AY233" s="161" t="str" cm="1">
        <f t="array" ref="AY233">_xlfn.IFS(AU233="DELETE", "DELETE", AU233=0, 0, AU233&gt;0, AW233/AU233/LN(10))</f>
        <v>DELETE</v>
      </c>
      <c r="AZ233" s="120">
        <f>qPCR_Raw!AG233</f>
        <v>27.626379013061523</v>
      </c>
      <c r="BA233" s="121" cm="1">
        <f t="array" ref="BA233">_xlfn.IFS(AZ233="Undetermined", 0, qPCR_Raw!AH233&lt;=1, 0, qPCR_Raw!AH233&gt;1, qPCR_Raw!AH233)</f>
        <v>347.70358276367188</v>
      </c>
      <c r="BB233" s="122">
        <f>qPCR_Raw!AJ233</f>
        <v>31.710390090942383</v>
      </c>
      <c r="BC233" s="121" cm="1">
        <f t="array" ref="BC233">_xlfn.IFS(BB233="Undetermined", 0, qPCR_Raw!AK233&lt;=1, 0, qPCR_Raw!AK233&gt;1, qPCR_Raw!AK233)</f>
        <v>31.497695922851563</v>
      </c>
      <c r="BD233" s="123" cm="1">
        <f t="array" ref="BD233">_xlfn.IFS(AND(AZ233="Undetermined", BB233="Undetermined"), "Undetermined", AND(BA233=0, BC233=0), "Undetermined", AND(BA233=0, BC233&gt;0), "Ten-Fold", AND(BA233&gt;0, BC233=0), "Undiluted", AND(AZ233&lt;&gt;"Undetermined", BB233&lt;&gt;"Undetermined", BA233&gt;0, BC233&gt;0, AZ233&lt;&gt;BB233), 100*(-1+10^(-1/(AZ233-BB233))), AND(AZ233&lt;&gt;"Undetermined", BB233&lt;&gt;"Undetermined", AZ233=BB233&gt;0), -100)</f>
        <v>75.734616586641934</v>
      </c>
      <c r="BE233" s="124" cm="1">
        <f t="array" ref="BE233">_xlfn.IFS(BD233="Undetermined", 0, BD233="Undiluted", BA233*$G233/$F233*1000, BD233="Ten-Fold", BC233*$G233/$F233*1000*10, BD233&lt;0, BC233*$G233/$F233*1000*10, BD233&lt;120, BA233*$G233/$F233*1000, BD233&gt;120, BC233*$G233/$F233*1000*10)</f>
        <v>34770.358276367188</v>
      </c>
      <c r="BF233" s="121" t="str">
        <f t="shared" si="68"/>
        <v>DELETE</v>
      </c>
      <c r="BG233" s="121" t="str">
        <f t="shared" si="69"/>
        <v>DELETE</v>
      </c>
      <c r="BH233" s="121" t="str">
        <f t="shared" si="70"/>
        <v>DELETE</v>
      </c>
      <c r="BI233" s="125" t="str" cm="1">
        <f t="array" ref="BI233">_xlfn.IFS(BF233="DELETE", "DELETE", BF233=0, 0, BF233&gt;0,LOG10(BF233))</f>
        <v>DELETE</v>
      </c>
      <c r="BJ233" s="126" t="str" cm="1">
        <f t="array" ref="BJ233">_xlfn.IFS(BF233="DELETE", "DELETE", BF233=0, 0, BF233&gt;0, BH233/BF233/LN(10))</f>
        <v>DELETE</v>
      </c>
    </row>
    <row r="234" spans="1:62" s="114" customFormat="1" x14ac:dyDescent="0.3">
      <c r="A234" s="115" t="str">
        <f>UPPER(LEFT(SUBSTITUTE(SUBSTITUTE(qPCR_Raw!A234,"-","")," ",""),2))&amp;RIGHT(SUBSTITUTE(SUBSTITUTE(qPCR_Raw!A234,"-","")," ",""),LEN(SUBSTITUTE(SUBSTITUTE(qPCR_Raw!A234,"-","")," ",""))-2)</f>
        <v>STa6</v>
      </c>
      <c r="B234" s="116" t="str" cm="1">
        <f t="array" ref="B234">_xlfn.IFS(LEFT(A234, LEN(A234)-1)="EP", "EP", LEFT(A234, LEN(A234)-1)="STa", "SPI", LEFT(A234, LEN(A234)-1)="STb", "SPO", LEFT(A234, LEN(A234)-1)="MRT", "MRT", LEFT(A234, LEN(A234)-1)="RG", "RN", LEFT(A234, LEN(A234)-1)="RT", "RU", LEFT(A234, LEN(A234)-1)="RW", "RL", LEFT(A234, LEN(A234)-1)="RC", "RS")</f>
        <v>SPI</v>
      </c>
      <c r="C234" s="117">
        <f>qPCR_Raw!B234</f>
        <v>44433</v>
      </c>
      <c r="D234" s="117" t="str">
        <f t="shared" si="54"/>
        <v>SPI44433</v>
      </c>
      <c r="E234" s="117" t="str">
        <f t="shared" si="55"/>
        <v>SPI444336</v>
      </c>
      <c r="F234" s="118">
        <f>qPCR_Raw!C234</f>
        <v>900</v>
      </c>
      <c r="G234" s="119">
        <f>qPCR_Raw!F234</f>
        <v>100</v>
      </c>
      <c r="H234" s="120">
        <f>qPCR_Raw!G234</f>
        <v>17.975433349609375</v>
      </c>
      <c r="I234" s="121" cm="1">
        <f t="array" ref="I234">_xlfn.IFS(H234="Undetermined", 0, qPCR_Raw!H234-qPCR_Raw!$H$242&lt;0, 0, qPCR_Raw!H234-qPCR_Raw!$H$242&gt;0, qPCR_Raw!H234-qPCR_Raw!$H$242)</f>
        <v>357108.67394612631</v>
      </c>
      <c r="J234" s="122">
        <f>qPCR_Raw!K234</f>
        <v>21.247358322143555</v>
      </c>
      <c r="K234" s="121" cm="1">
        <f t="array" ref="K234">_xlfn.IFS(J234="Undetermined", 0, qPCR_Raw!L234-qPCR_Raw!$H$242&lt;0, 0, qPCR_Raw!L234-qPCR_Raw!$H$242&gt;0, qPCR_Raw!L234-qPCR_Raw!$H$242)</f>
        <v>27964.228633626302</v>
      </c>
      <c r="L234" s="123" cm="1">
        <f t="array" ref="L234">_xlfn.IFS(AND(H234="Undetermined", J234="Undetermined"), "Undetermined", AND(I234=0, K234=0), "Undetermined", AND(I234=0, K234&gt;0), "Ten-Fold", AND(I234&gt;0, K234=0), "Undiluted", AND(H234&lt;&gt;"Undetermined", J234&lt;&gt;"Undetermined", I234&gt;0, K234&gt;0), 100*(-1+10^(-1/(H234-J234))))</f>
        <v>102.12986225381333</v>
      </c>
      <c r="M234" s="124" cm="1">
        <f t="array" ref="M234">_xlfn.IFS(L234="Undetermined", 0, L234="Undiluted", I234*$G234/$F234*1000, L234="Ten-Fold", K234*$G234/$F234*1000*10, L234&lt;0, K234*$G234/$F234*1000*10, L234&lt;120, I234*$G234/$F234*1000, L234&gt;120, K234*$G234/$F234*1000*10)</f>
        <v>39678741.549569592</v>
      </c>
      <c r="N234" s="121">
        <f t="shared" si="56"/>
        <v>3301584693.4449725</v>
      </c>
      <c r="O234" s="121">
        <f t="shared" si="57"/>
        <v>4613031636.3560009</v>
      </c>
      <c r="P234" s="121">
        <f t="shared" si="58"/>
        <v>3261905951.8954039</v>
      </c>
      <c r="Q234" s="125" cm="1">
        <f t="array" ref="Q234">_xlfn.IFS(N234="DELETE", "DELETE", N234=0, 0, N234&gt;0,LOG10(N234))</f>
        <v>9.5187224424310894</v>
      </c>
      <c r="R234" s="126" cm="1">
        <f t="array" ref="R234">_xlfn.IFS(N234="DELETE", "DELETE", N234=0, 0, N234&gt;0, P234/N234/LN(10))</f>
        <v>0.42907509179096531</v>
      </c>
      <c r="S234" s="155">
        <f>qPCR_Raw!O234</f>
        <v>29.561809539794922</v>
      </c>
      <c r="T234" s="156" cm="1">
        <f t="array" ref="T234">_xlfn.IFS(S234="Undetermined", 0, qPCR_Raw!P234&lt;=1, 0, qPCR_Raw!P234&gt;1, qPCR_Raw!P234)</f>
        <v>211.09246826171875</v>
      </c>
      <c r="U234" s="157">
        <f>qPCR_Raw!R234</f>
        <v>33.743083953857422</v>
      </c>
      <c r="V234" s="156" cm="1">
        <f t="array" ref="V234">_xlfn.IFS(U234="Undetermined", 0, qPCR_Raw!S234&lt;=1, 0, qPCR_Raw!S234&gt;1, qPCR_Raw!S234)</f>
        <v>15.180930137634277</v>
      </c>
      <c r="W234" s="158" cm="1">
        <f t="array" ref="W234">_xlfn.IFS(AND(S234="Undetermined", U234="Undetermined"), "Undetermined", AND(T234=0, V234=0), "Undetermined", AND(T234=0, V234&gt;0), "Ten-Fold", AND(T234&gt;0, V234=0), "Undiluted", AND(S234&lt;&gt;"Undetermined", U234&lt;&gt;"Undetermined", T234&gt;0, V234&gt;0, S234&lt;&gt;U234), 100*(-1+10^(-1/(S234-U234))), AND(S234&lt;&gt;"Undetermined", U234&lt;&gt;"Undetermined", S234=U234&gt;0), -100)</f>
        <v>73.444899597026847</v>
      </c>
      <c r="X234" s="159" cm="1">
        <f t="array" ref="X234">_xlfn.IFS(W234="Undetermined", 0, W234="Undiluted", T234*$G234/$F234*1000, W234="Ten-Fold", V234*$G234/$F234*1000*10, W234&lt;0, V234*$G234/$F234*1000*10, W234&lt;120, T234*$G234/$F234*1000, W234&gt;120, V234*$G234/$F234*1000*10)</f>
        <v>23454.718695746527</v>
      </c>
      <c r="Y234" s="156">
        <f t="shared" si="59"/>
        <v>11727.359347873264</v>
      </c>
      <c r="Z234" s="156">
        <f t="shared" si="60"/>
        <v>16584.990640585267</v>
      </c>
      <c r="AA234" s="156">
        <f t="shared" si="61"/>
        <v>11727.359347873264</v>
      </c>
      <c r="AB234" s="160" cm="1">
        <f t="array" ref="AB234">_xlfn.IFS(Y234="DELETE", "DELETE", Y234=0, 0, Y234&gt;0,LOG10(Y234))</f>
        <v>4.0692002329379919</v>
      </c>
      <c r="AC234" s="161" cm="1">
        <f t="array" ref="AC234">_xlfn.IFS(Y234="DELETE", "DELETE", Y234=0, 0, Y234&gt;0, AA234/Y234/LN(10))</f>
        <v>0.43429448190325176</v>
      </c>
      <c r="AD234" s="120">
        <f>qPCR_Raw!U234</f>
        <v>33.661026000976563</v>
      </c>
      <c r="AE234" s="121" cm="1">
        <f t="array" ref="AE234">_xlfn.IFS(AD234="Undetermined", 0, qPCR_Raw!V234&lt;=1, 0, qPCR_Raw!V234&gt;1, qPCR_Raw!V234)</f>
        <v>1.3240483999252319</v>
      </c>
      <c r="AF234" s="122">
        <f>qPCR_Raw!X234</f>
        <v>34.395401000976563</v>
      </c>
      <c r="AG234" s="121" cm="1">
        <f t="array" ref="AG234">_xlfn.IFS(AF234="Undetermined", 0, qPCR_Raw!Y234&lt;=1, 0, qPCR_Raw!Y234&gt;1, qPCR_Raw!Y234)</f>
        <v>0</v>
      </c>
      <c r="AH234" s="123" t="str" cm="1">
        <f t="array" ref="AH234">_xlfn.IFS(AND(AD234="Undetermined", AF234="Undetermined"), "Undetermined", AND(AE234=0, AG234=0), "Undetermined", AND(AE234=0, AG234&gt;0), "Ten-Fold", AND(AE234&gt;0, AG234=0), "Undiluted", AND(AD234&lt;&gt;"Undetermined", AF234&lt;&gt;"Undetermined", AE234&gt;0, AG234&gt;0, AD234&lt;&gt;AF234), 100*(-1+10^(-1/(AD234-AF234))), AND(AD234&lt;&gt;"Undetermined", AF234&lt;&gt;"Undetermined", AD234=AF234&gt;0), -100)</f>
        <v>Undiluted</v>
      </c>
      <c r="AI234" s="124" cm="1">
        <f t="array" ref="AI234">_xlfn.IFS(AH234="Undetermined", 0, AH234="Undiluted", AE234*$G234/$F234*1000, AH234="Ten-Fold", AG234*$G234/$F234*1000*10, AH234&lt;0, AG234*$G234/$F234*1000*10, AH234&lt;120, AE234*$G234/$F234*1000, AH234&gt;120, AG234*$G234/$F234*1000*10)</f>
        <v>147.11648888058133</v>
      </c>
      <c r="AJ234" s="121">
        <f t="shared" si="62"/>
        <v>154.5098200154944</v>
      </c>
      <c r="AK234" s="121">
        <f t="shared" si="63"/>
        <v>10.455749162109329</v>
      </c>
      <c r="AL234" s="121">
        <f t="shared" si="64"/>
        <v>7.393331134913069</v>
      </c>
      <c r="AM234" s="125" cm="1">
        <f t="array" ref="AM234">_xlfn.IFS(AJ234="DELETE", "DELETE", AJ234=0, 0, AJ234&gt;0,LOG10(AJ234))</f>
        <v>2.1889560866282487</v>
      </c>
      <c r="AN234" s="126" cm="1">
        <f t="array" ref="AN234">_xlfn.IFS(AJ234="DELETE", "DELETE", AJ234=0, 0, AJ234&gt;0, AL234/AJ234/LN(10))</f>
        <v>2.0781092842217158E-2</v>
      </c>
      <c r="AO234" s="155">
        <f>qPCR_Raw!AA234</f>
        <v>28.819358825683594</v>
      </c>
      <c r="AP234" s="156" cm="1">
        <f t="array" ref="AP234">_xlfn.IFS(AO234="Undetermined", 0, qPCR_Raw!AB234&lt;=6, 0, qPCR_Raw!AB234&gt;6, qPCR_Raw!AB234)</f>
        <v>0</v>
      </c>
      <c r="AQ234" s="157" t="str">
        <f>qPCR_Raw!AD234</f>
        <v>Undetermined</v>
      </c>
      <c r="AR234" s="156" cm="1">
        <f t="array" ref="AR234">_xlfn.IFS(AQ234="Undetermined", 0, qPCR_Raw!AE234&lt;=6, 0, qPCR_Raw!AE234&gt;6, qPCR_Raw!AE234)</f>
        <v>0</v>
      </c>
      <c r="AS234" s="158" t="str" cm="1">
        <f t="array" ref="AS234">_xlfn.IFS(AND(AO234="Undetermined", AQ234="Undetermined"), "Undetermined", AND(AP234=0, AR234=0), "Undetermined", AND(AP234=0, AR234&gt;0), "Ten-Fold", AND(AP234&gt;0, AR234=0), "Undiluted", AND(AO234&lt;&gt;"Undetermined", AQ234&lt;&gt;"Undetermined", AP234&gt;0, AR234&gt;0, AO234&lt;&gt;AQ234), 100*(-1+10^(-1/(AO234-AQ234))), AND(AO234&lt;&gt;"Undetermined", AQ234&lt;&gt;"Undetermined", AO234=AQ234&gt;0), -100)</f>
        <v>Undetermined</v>
      </c>
      <c r="AT234" s="159" cm="1">
        <f t="array" ref="AT234">_xlfn.IFS(AS234="Undetermined", 0, AS234="Undiluted", AP234*$G234/$F234*1000, AS234="Ten-Fold", AR234*$G234/$F234*1000*10, AS234&lt;0, AR234*$G234/$F234*1000*10, AS234&lt;120, AP234*$G234/$F234*1000, AS234&gt;120, AR234*$G234/$F234*1000*10)</f>
        <v>0</v>
      </c>
      <c r="AU234" s="156">
        <f t="shared" si="65"/>
        <v>110032.59417654453</v>
      </c>
      <c r="AV234" s="156">
        <f t="shared" si="66"/>
        <v>155609.58698756411</v>
      </c>
      <c r="AW234" s="156">
        <f t="shared" si="67"/>
        <v>110032.59417654452</v>
      </c>
      <c r="AX234" s="160" cm="1">
        <f t="array" ref="AX234">_xlfn.IFS(AU234="DELETE", "DELETE", AU234=0, 0, AU234&gt;0,LOG10(AU234))</f>
        <v>5.0415213521965967</v>
      </c>
      <c r="AY234" s="161" cm="1">
        <f t="array" ref="AY234">_xlfn.IFS(AU234="DELETE", "DELETE", AU234=0, 0, AU234&gt;0, AW234/AU234/LN(10))</f>
        <v>0.43429448190325176</v>
      </c>
      <c r="AZ234" s="120" t="str">
        <f>qPCR_Raw!AG234</f>
        <v>Undetermined</v>
      </c>
      <c r="BA234" s="121" cm="1">
        <f t="array" ref="BA234">_xlfn.IFS(AZ234="Undetermined", 0, qPCR_Raw!AH234&lt;=1, 0, qPCR_Raw!AH234&gt;1, qPCR_Raw!AH234)</f>
        <v>0</v>
      </c>
      <c r="BB234" s="122" t="str">
        <f>qPCR_Raw!AJ234</f>
        <v>Undetermined</v>
      </c>
      <c r="BC234" s="121" cm="1">
        <f t="array" ref="BC234">_xlfn.IFS(BB234="Undetermined", 0, qPCR_Raw!AK234&lt;=1, 0, qPCR_Raw!AK234&gt;1, qPCR_Raw!AK234)</f>
        <v>0</v>
      </c>
      <c r="BD234" s="123" t="str" cm="1">
        <f t="array" ref="BD234">_xlfn.IFS(AND(AZ234="Undetermined", BB234="Undetermined"), "Undetermined", AND(BA234=0, BC234=0), "Undetermined", AND(BA234=0, BC234&gt;0), "Ten-Fold", AND(BA234&gt;0, BC234=0), "Undiluted", AND(AZ234&lt;&gt;"Undetermined", BB234&lt;&gt;"Undetermined", BA234&gt;0, BC234&gt;0, AZ234&lt;&gt;BB234), 100*(-1+10^(-1/(AZ234-BB234))), AND(AZ234&lt;&gt;"Undetermined", BB234&lt;&gt;"Undetermined", AZ234=BB234&gt;0), -100)</f>
        <v>Undetermined</v>
      </c>
      <c r="BE234" s="124" cm="1">
        <f t="array" ref="BE234">_xlfn.IFS(BD234="Undetermined", 0, BD234="Undiluted", BA234*$G234/$F234*1000, BD234="Ten-Fold", BC234*$G234/$F234*1000*10, BD234&lt;0, BC234*$G234/$F234*1000*10, BD234&lt;120, BA234*$G234/$F234*1000, BD234&gt;120, BC234*$G234/$F234*1000*10)</f>
        <v>0</v>
      </c>
      <c r="BF234" s="121">
        <f t="shared" si="68"/>
        <v>0</v>
      </c>
      <c r="BG234" s="121">
        <f t="shared" si="69"/>
        <v>0</v>
      </c>
      <c r="BH234" s="121">
        <f t="shared" si="70"/>
        <v>0</v>
      </c>
      <c r="BI234" s="125" cm="1">
        <f t="array" ref="BI234">_xlfn.IFS(BF234="DELETE", "DELETE", BF234=0, 0, BF234&gt;0,LOG10(BF234))</f>
        <v>0</v>
      </c>
      <c r="BJ234" s="126" cm="1">
        <f t="array" ref="BJ234">_xlfn.IFS(BF234="DELETE", "DELETE", BF234=0, 0, BF234&gt;0, BH234/BF234/LN(10))</f>
        <v>0</v>
      </c>
    </row>
    <row r="235" spans="1:62" s="114" customFormat="1" ht="16.350000000000001" thickBot="1" x14ac:dyDescent="0.35">
      <c r="A235" s="127" t="str">
        <f>UPPER(LEFT(SUBSTITUTE(SUBSTITUTE(qPCR_Raw!A235,"-","")," ",""),2))&amp;RIGHT(SUBSTITUTE(SUBSTITUTE(qPCR_Raw!A235,"-","")," ",""),LEN(SUBSTITUTE(SUBSTITUTE(qPCR_Raw!A235,"-","")," ",""))-2)</f>
        <v>STa7</v>
      </c>
      <c r="B235" s="128" t="str" cm="1">
        <f t="array" ref="B235">_xlfn.IFS(LEFT(A235, LEN(A235)-1)="EP", "EP", LEFT(A235, LEN(A235)-1)="STa", "SPI", LEFT(A235, LEN(A235)-1)="STb", "SPO", LEFT(A235, LEN(A235)-1)="MRT", "MRT", LEFT(A235, LEN(A235)-1)="RG", "RN", LEFT(A235, LEN(A235)-1)="RT", "RU", LEFT(A235, LEN(A235)-1)="RW", "RL", LEFT(A235, LEN(A235)-1)="RC", "RS")</f>
        <v>SPI</v>
      </c>
      <c r="C235" s="129">
        <f>qPCR_Raw!B235</f>
        <v>44433</v>
      </c>
      <c r="D235" s="129" t="str">
        <f t="shared" si="54"/>
        <v>SPI44433</v>
      </c>
      <c r="E235" s="129" t="str">
        <f t="shared" si="55"/>
        <v>SPI444337</v>
      </c>
      <c r="F235" s="130">
        <f>qPCR_Raw!C235</f>
        <v>870</v>
      </c>
      <c r="G235" s="131">
        <f>qPCR_Raw!F235</f>
        <v>100</v>
      </c>
      <c r="H235" s="132">
        <f>qPCR_Raw!G235</f>
        <v>11.007698059082031</v>
      </c>
      <c r="I235" s="133" cm="1">
        <f t="array" ref="I235">_xlfn.IFS(H235="Undetermined", 0, qPCR_Raw!H235-qPCR_Raw!$H$242&lt;0, 0, qPCR_Raw!H235-qPCR_Raw!$H$242&gt;0, qPCR_Raw!H235-qPCR_Raw!$H$242)</f>
        <v>40198365.361446127</v>
      </c>
      <c r="J235" s="134">
        <f>qPCR_Raw!K235</f>
        <v>13.905303001403809</v>
      </c>
      <c r="K235" s="133" cm="1">
        <f t="array" ref="K235">_xlfn.IFS(J235="Undetermined", 0, qPCR_Raw!L235-qPCR_Raw!$H$242&lt;0, 0, qPCR_Raw!L235-qPCR_Raw!$H$242&gt;0, qPCR_Raw!L235-qPCR_Raw!$H$242)</f>
        <v>5710236.8614461264</v>
      </c>
      <c r="L235" s="135" cm="1">
        <f t="array" ref="L235">_xlfn.IFS(AND(H235="Undetermined", J235="Undetermined"), "Undetermined", AND(I235=0, K235=0), "Undetermined", AND(I235=0, K235&gt;0), "Ten-Fold", AND(I235&gt;0, K235=0), "Undiluted", AND(H235&lt;&gt;"Undetermined", J235&lt;&gt;"Undetermined", I235&gt;0, K235&gt;0), 100*(-1+10^(-1/(H235-J235))))</f>
        <v>121.3668618697493</v>
      </c>
      <c r="M235" s="136" cm="1">
        <f t="array" ref="M235">_xlfn.IFS(L235="Undetermined", 0, L235="Undiluted", I235*$G235/$F235*1000, L235="Ten-Fold", K235*$G235/$F235*1000*10, L235&lt;0, K235*$G235/$F235*1000*10, L235&lt;120, I235*$G235/$F235*1000, L235&gt;120, K235*$G235/$F235*1000*10)</f>
        <v>6563490645.3403759</v>
      </c>
      <c r="N235" s="133" t="str">
        <f t="shared" si="56"/>
        <v>DELETE</v>
      </c>
      <c r="O235" s="133" t="str">
        <f t="shared" si="57"/>
        <v>DELETE</v>
      </c>
      <c r="P235" s="133" t="str">
        <f t="shared" si="58"/>
        <v>DELETE</v>
      </c>
      <c r="Q235" s="137" t="str" cm="1">
        <f t="array" ref="Q235">_xlfn.IFS(N235="DELETE", "DELETE", N235=0, 0, N235&gt;0,LOG10(N235))</f>
        <v>DELETE</v>
      </c>
      <c r="R235" s="138" t="str" cm="1">
        <f t="array" ref="R235">_xlfn.IFS(N235="DELETE", "DELETE", N235=0, 0, N235&gt;0, P235/N235/LN(10))</f>
        <v>DELETE</v>
      </c>
      <c r="S235" s="162" t="str">
        <f>qPCR_Raw!O235</f>
        <v>Undetermined</v>
      </c>
      <c r="T235" s="163" cm="1">
        <f t="array" ref="T235">_xlfn.IFS(S235="Undetermined", 0, qPCR_Raw!P235&lt;=1, 0, qPCR_Raw!P235&gt;1, qPCR_Raw!P235)</f>
        <v>0</v>
      </c>
      <c r="U235" s="164" t="str">
        <f>qPCR_Raw!R235</f>
        <v>Undetermined</v>
      </c>
      <c r="V235" s="163" cm="1">
        <f t="array" ref="V235">_xlfn.IFS(U235="Undetermined", 0, qPCR_Raw!S235&lt;=1, 0, qPCR_Raw!S235&gt;1, qPCR_Raw!S235)</f>
        <v>0</v>
      </c>
      <c r="W235" s="165" t="str" cm="1">
        <f t="array" ref="W235">_xlfn.IFS(AND(S235="Undetermined", U235="Undetermined"), "Undetermined", AND(T235=0, V235=0), "Undetermined", AND(T235=0, V235&gt;0), "Ten-Fold", AND(T235&gt;0, V235=0), "Undiluted", AND(S235&lt;&gt;"Undetermined", U235&lt;&gt;"Undetermined", T235&gt;0, V235&gt;0, S235&lt;&gt;U235), 100*(-1+10^(-1/(S235-U235))), AND(S235&lt;&gt;"Undetermined", U235&lt;&gt;"Undetermined", S235=U235&gt;0), -100)</f>
        <v>Undetermined</v>
      </c>
      <c r="X235" s="166" cm="1">
        <f t="array" ref="X235">_xlfn.IFS(W235="Undetermined", 0, W235="Undiluted", T235*$G235/$F235*1000, W235="Ten-Fold", V235*$G235/$F235*1000*10, W235&lt;0, V235*$G235/$F235*1000*10, W235&lt;120, T235*$G235/$F235*1000, W235&gt;120, V235*$G235/$F235*1000*10)</f>
        <v>0</v>
      </c>
      <c r="Y235" s="163" t="str">
        <f t="shared" si="59"/>
        <v>DELETE</v>
      </c>
      <c r="Z235" s="163" t="str">
        <f>IF($D235&lt;&gt;$D236,"DELETE", STDEV(X235:X236))</f>
        <v>DELETE</v>
      </c>
      <c r="AA235" s="163" t="str">
        <f t="shared" si="61"/>
        <v>DELETE</v>
      </c>
      <c r="AB235" s="167" t="str" cm="1">
        <f t="array" ref="AB235">_xlfn.IFS(Y235="DELETE", "DELETE", Y235=0, 0, Y235&gt;0,LOG10(Y235))</f>
        <v>DELETE</v>
      </c>
      <c r="AC235" s="168" t="str" cm="1">
        <f t="array" ref="AC235">_xlfn.IFS(Y235="DELETE", "DELETE", Y235=0, 0, Y235&gt;0, AA235/Y235/LN(10))</f>
        <v>DELETE</v>
      </c>
      <c r="AD235" s="132">
        <f>qPCR_Raw!U235</f>
        <v>33.568805694580078</v>
      </c>
      <c r="AE235" s="133" cm="1">
        <f t="array" ref="AE235">_xlfn.IFS(AD235="Undetermined", 0, qPCR_Raw!V235&lt;=1, 0, qPCR_Raw!V235&gt;1, qPCR_Raw!V235)</f>
        <v>1.4085574150085449</v>
      </c>
      <c r="AF235" s="134">
        <f>qPCR_Raw!X235</f>
        <v>35.886638641357422</v>
      </c>
      <c r="AG235" s="133" cm="1">
        <f t="array" ref="AG235">_xlfn.IFS(AF235="Undetermined", 0, qPCR_Raw!Y235&lt;=1, 0, qPCR_Raw!Y235&gt;1, qPCR_Raw!Y235)</f>
        <v>0</v>
      </c>
      <c r="AH235" s="135" t="str" cm="1">
        <f t="array" ref="AH235">_xlfn.IFS(AND(AD235="Undetermined", AF235="Undetermined"), "Undetermined", AND(AE235=0, AG235=0), "Undetermined", AND(AE235=0, AG235&gt;0), "Ten-Fold", AND(AE235&gt;0, AG235=0), "Undiluted", AND(AD235&lt;&gt;"Undetermined", AF235&lt;&gt;"Undetermined", AE235&gt;0, AG235&gt;0, AD235&lt;&gt;AF235), 100*(-1+10^(-1/(AD235-AF235))), AND(AD235&lt;&gt;"Undetermined", AF235&lt;&gt;"Undetermined", AD235=AF235&gt;0), -100)</f>
        <v>Undiluted</v>
      </c>
      <c r="AI235" s="136" cm="1">
        <f t="array" ref="AI235">_xlfn.IFS(AH235="Undetermined", 0, AH235="Undiluted", AE235*$G235/$F235*1000, AH235="Ten-Fold", AG235*$G235/$F235*1000*10, AH235&lt;0, AG235*$G235/$F235*1000*10, AH235&lt;120, AE235*$G235/$F235*1000, AH235&gt;120, AG235*$G235/$F235*1000*10)</f>
        <v>161.90315115040747</v>
      </c>
      <c r="AJ235" s="133" t="str">
        <f t="shared" si="62"/>
        <v>DELETE</v>
      </c>
      <c r="AK235" s="133" t="str">
        <f t="shared" si="63"/>
        <v>DELETE</v>
      </c>
      <c r="AL235" s="133" t="str">
        <f t="shared" si="64"/>
        <v>DELETE</v>
      </c>
      <c r="AM235" s="137" t="str" cm="1">
        <f t="array" ref="AM235">_xlfn.IFS(AJ235="DELETE", "DELETE", AJ235=0, 0, AJ235&gt;0,LOG10(AJ235))</f>
        <v>DELETE</v>
      </c>
      <c r="AN235" s="138" t="str" cm="1">
        <f t="array" ref="AN235">_xlfn.IFS(AJ235="DELETE", "DELETE", AJ235=0, 0, AJ235&gt;0, AL235/AJ235/LN(10))</f>
        <v>DELETE</v>
      </c>
      <c r="AO235" s="162">
        <f>qPCR_Raw!AA235</f>
        <v>19.80206298828125</v>
      </c>
      <c r="AP235" s="163" cm="1">
        <f t="array" ref="AP235">_xlfn.IFS(AO235="Undetermined", 0, qPCR_Raw!AB235&lt;=6, 0, qPCR_Raw!AB235&gt;6, qPCR_Raw!AB235)</f>
        <v>1914.567138671875</v>
      </c>
      <c r="AQ235" s="164">
        <f>qPCR_Raw!AD235</f>
        <v>23.060234069824219</v>
      </c>
      <c r="AR235" s="163" cm="1">
        <f t="array" ref="AR235">_xlfn.IFS(AQ235="Undetermined", 0, qPCR_Raw!AE235&lt;=6, 0, qPCR_Raw!AE235&gt;6, qPCR_Raw!AE235)</f>
        <v>207.65577697753906</v>
      </c>
      <c r="AS235" s="165" cm="1">
        <f t="array" ref="AS235">_xlfn.IFS(AND(AO235="Undetermined", AQ235="Undetermined"), "Undetermined", AND(AP235=0, AR235=0), "Undetermined", AND(AP235=0, AR235&gt;0), "Ten-Fold", AND(AP235&gt;0, AR235=0), "Undiluted", AND(AO235&lt;&gt;"Undetermined", AQ235&lt;&gt;"Undetermined", AP235&gt;0, AR235&gt;0, AO235&lt;&gt;AQ235), 100*(-1+10^(-1/(AO235-AQ235))), AND(AO235&lt;&gt;"Undetermined", AQ235&lt;&gt;"Undetermined", AO235=AQ235&gt;0), -100)</f>
        <v>102.73122950280471</v>
      </c>
      <c r="AT235" s="166" cm="1">
        <f t="array" ref="AT235">_xlfn.IFS(AS235="Undetermined", 0, AS235="Undiluted", AP235*$G235/$F235*1000, AS235="Ten-Fold", AR235*$G235/$F235*1000*10, AS235&lt;0, AR235*$G235/$F235*1000*10, AS235&lt;120, AP235*$G235/$F235*1000, AS235&gt;120, AR235*$G235/$F235*1000*10)</f>
        <v>220065.18835308906</v>
      </c>
      <c r="AU235" s="163" t="str">
        <f t="shared" si="65"/>
        <v>DELETE</v>
      </c>
      <c r="AV235" s="163" t="str">
        <f t="shared" si="66"/>
        <v>DELETE</v>
      </c>
      <c r="AW235" s="163" t="str">
        <f t="shared" si="67"/>
        <v>DELETE</v>
      </c>
      <c r="AX235" s="167" t="str" cm="1">
        <f t="array" ref="AX235">_xlfn.IFS(AU235="DELETE", "DELETE", AU235=0, 0, AU235&gt;0,LOG10(AU235))</f>
        <v>DELETE</v>
      </c>
      <c r="AY235" s="168" t="str" cm="1">
        <f t="array" ref="AY235">_xlfn.IFS(AU235="DELETE", "DELETE", AU235=0, 0, AU235&gt;0, AW235/AU235/LN(10))</f>
        <v>DELETE</v>
      </c>
      <c r="AZ235" s="132" t="str">
        <f>qPCR_Raw!AG235</f>
        <v>Undetermined</v>
      </c>
      <c r="BA235" s="133" cm="1">
        <f t="array" ref="BA235">_xlfn.IFS(AZ235="Undetermined", 0, qPCR_Raw!AH235&lt;=1, 0, qPCR_Raw!AH235&gt;1, qPCR_Raw!AH235)</f>
        <v>0</v>
      </c>
      <c r="BB235" s="134" t="str">
        <f>qPCR_Raw!AJ235</f>
        <v>Undetermined</v>
      </c>
      <c r="BC235" s="133" cm="1">
        <f t="array" ref="BC235">_xlfn.IFS(BB235="Undetermined", 0, qPCR_Raw!AK235&lt;=1, 0, qPCR_Raw!AK235&gt;1, qPCR_Raw!AK235)</f>
        <v>0</v>
      </c>
      <c r="BD235" s="135" t="str" cm="1">
        <f t="array" ref="BD235">_xlfn.IFS(AND(AZ235="Undetermined", BB235="Undetermined"), "Undetermined", AND(BA235=0, BC235=0), "Undetermined", AND(BA235=0, BC235&gt;0), "Ten-Fold", AND(BA235&gt;0, BC235=0), "Undiluted", AND(AZ235&lt;&gt;"Undetermined", BB235&lt;&gt;"Undetermined", BA235&gt;0, BC235&gt;0, AZ235&lt;&gt;BB235), 100*(-1+10^(-1/(AZ235-BB235))), AND(AZ235&lt;&gt;"Undetermined", BB235&lt;&gt;"Undetermined", AZ235=BB235&gt;0), -100)</f>
        <v>Undetermined</v>
      </c>
      <c r="BE235" s="136" cm="1">
        <f t="array" ref="BE235">_xlfn.IFS(BD235="Undetermined", 0, BD235="Undiluted", BA235*$G235/$F235*1000, BD235="Ten-Fold", BC235*$G235/$F235*1000*10, BD235&lt;0, BC235*$G235/$F235*1000*10, BD235&lt;120, BA235*$G235/$F235*1000, BD235&gt;120, BC235*$G235/$F235*1000*10)</f>
        <v>0</v>
      </c>
      <c r="BF235" s="133" t="str">
        <f t="shared" si="68"/>
        <v>DELETE</v>
      </c>
      <c r="BG235" s="133" t="str">
        <f t="shared" si="69"/>
        <v>DELETE</v>
      </c>
      <c r="BH235" s="133" t="str">
        <f t="shared" si="70"/>
        <v>DELETE</v>
      </c>
      <c r="BI235" s="137" t="str" cm="1">
        <f t="array" ref="BI235">_xlfn.IFS(BF235="DELETE", "DELETE", BF235=0, 0, BF235&gt;0,LOG10(BF235))</f>
        <v>DELETE</v>
      </c>
      <c r="BJ235" s="138" t="str" cm="1">
        <f t="array" ref="BJ235">_xlfn.IFS(BF235="DELETE", "DELETE", BF235=0, 0, BF235&gt;0, BH235/BF235/LN(10))</f>
        <v>DELETE</v>
      </c>
    </row>
    <row r="236" spans="1:62" ht="16.350000000000001" thickTop="1" x14ac:dyDescent="0.3"/>
  </sheetData>
  <sheetProtection algorithmName="SHA-512" hashValue="wHRQ9Wp9OUpSDFX+cp/UpUSSLv+tZYtRc7W/mZeyrnw+EEMTsOMRvzdMMzO525AFhI9cKvn/U2LT2e4XbPyHPQ==" saltValue="CJKwOmdlA4Q7SJuwrF3kJg==" spinCount="100000" sheet="1" objects="1" scenarios="1"/>
  <mergeCells count="20">
    <mergeCell ref="AZ1:BJ1"/>
    <mergeCell ref="AZ2:BA2"/>
    <mergeCell ref="BB2:BC2"/>
    <mergeCell ref="BD2:BJ2"/>
    <mergeCell ref="AD1:AN1"/>
    <mergeCell ref="AD2:AE2"/>
    <mergeCell ref="AF2:AG2"/>
    <mergeCell ref="AH2:AN2"/>
    <mergeCell ref="AO1:AY1"/>
    <mergeCell ref="AO2:AP2"/>
    <mergeCell ref="AQ2:AR2"/>
    <mergeCell ref="AS2:AY2"/>
    <mergeCell ref="H1:R1"/>
    <mergeCell ref="H2:I2"/>
    <mergeCell ref="J2:K2"/>
    <mergeCell ref="L2:R2"/>
    <mergeCell ref="S1:AC1"/>
    <mergeCell ref="S2:T2"/>
    <mergeCell ref="U2:V2"/>
    <mergeCell ref="W2:AC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8BAB6-428D-4DFC-A709-884F4A5D9DE1}">
  <dimension ref="A1:AA119"/>
  <sheetViews>
    <sheetView workbookViewId="0">
      <pane xSplit="7" ySplit="2" topLeftCell="T3" activePane="bottomRight" state="frozen"/>
      <selection pane="topRight" activeCell="H1" sqref="H1"/>
      <selection pane="bottomLeft" activeCell="A3" sqref="A3"/>
      <selection pane="bottomRight" activeCell="U10" sqref="U10"/>
    </sheetView>
  </sheetViews>
  <sheetFormatPr defaultRowHeight="15.75" x14ac:dyDescent="0.3"/>
  <cols>
    <col min="1" max="1" width="10.88671875" style="62" customWidth="1"/>
    <col min="2" max="3" width="12.88671875" style="62" customWidth="1"/>
    <col min="4" max="4" width="11.21875" style="62" customWidth="1"/>
    <col min="5" max="5" width="13" style="62" customWidth="1"/>
    <col min="6" max="6" width="5.6640625" style="62" customWidth="1"/>
    <col min="7" max="7" width="12.88671875" style="280" customWidth="1"/>
    <col min="8" max="8" width="12.88671875" style="283" customWidth="1"/>
    <col min="9" max="9" width="11.5546875" style="282" customWidth="1"/>
    <col min="10" max="10" width="14.6640625" style="282" customWidth="1"/>
    <col min="11" max="11" width="13.77734375" style="283" customWidth="1"/>
    <col min="12" max="12" width="11.77734375" style="282" customWidth="1"/>
    <col min="13" max="13" width="15.109375" style="282" customWidth="1"/>
    <col min="14" max="14" width="13.5546875" style="283" customWidth="1"/>
    <col min="15" max="15" width="11.21875" style="282" customWidth="1"/>
    <col min="16" max="16" width="14.88671875" style="282" customWidth="1"/>
    <col min="17" max="17" width="13.33203125" style="283" customWidth="1"/>
    <col min="18" max="18" width="11.21875" style="282" customWidth="1"/>
    <col min="19" max="19" width="15" style="282" customWidth="1"/>
    <col min="20" max="20" width="14.21875" style="283" customWidth="1"/>
    <col min="21" max="21" width="12.33203125" style="282" customWidth="1"/>
    <col min="22" max="22" width="15.5546875" style="282" customWidth="1"/>
    <col min="23" max="23" width="15.33203125" style="283" customWidth="1"/>
    <col min="24" max="24" width="14.44140625" style="282" customWidth="1"/>
    <col min="25" max="25" width="16.21875" style="62" customWidth="1"/>
    <col min="26" max="26" width="19" style="62" customWidth="1"/>
    <col min="27" max="16384" width="8.88671875" style="62"/>
  </cols>
  <sheetData>
    <row r="1" spans="1:26" ht="16.95" customHeight="1" thickTop="1" thickBot="1" x14ac:dyDescent="0.35">
      <c r="A1" s="284" t="s">
        <v>216</v>
      </c>
      <c r="B1" s="285"/>
      <c r="C1" s="285" t="s">
        <v>218</v>
      </c>
      <c r="D1" s="285"/>
      <c r="E1" s="285"/>
      <c r="F1" s="285"/>
      <c r="G1" s="310" t="s">
        <v>219</v>
      </c>
      <c r="H1" s="1658" t="s">
        <v>8</v>
      </c>
      <c r="I1" s="1659"/>
      <c r="J1" s="1660"/>
      <c r="K1" s="1661" t="s">
        <v>3</v>
      </c>
      <c r="L1" s="1662"/>
      <c r="M1" s="1663"/>
      <c r="N1" s="1664" t="s">
        <v>5</v>
      </c>
      <c r="O1" s="1665"/>
      <c r="P1" s="1666"/>
      <c r="Q1" s="1667" t="s">
        <v>6</v>
      </c>
      <c r="R1" s="1662"/>
      <c r="S1" s="1668"/>
      <c r="T1" s="1669" t="s">
        <v>51</v>
      </c>
      <c r="U1" s="1665"/>
      <c r="V1" s="1670"/>
      <c r="W1" s="1656" t="s">
        <v>229</v>
      </c>
      <c r="X1" s="1657"/>
    </row>
    <row r="2" spans="1:26" s="281" customFormat="1" ht="44.2" customHeight="1" thickTop="1" thickBot="1" x14ac:dyDescent="0.35">
      <c r="A2" s="290" t="s">
        <v>208</v>
      </c>
      <c r="B2" s="291" t="s">
        <v>214</v>
      </c>
      <c r="C2" s="291" t="s">
        <v>217</v>
      </c>
      <c r="D2" s="291" t="s">
        <v>215</v>
      </c>
      <c r="E2" s="292" t="s">
        <v>174</v>
      </c>
      <c r="F2" s="292" t="s">
        <v>149</v>
      </c>
      <c r="G2" s="311" t="s">
        <v>55</v>
      </c>
      <c r="H2" s="322" t="s">
        <v>163</v>
      </c>
      <c r="I2" s="293" t="s">
        <v>169</v>
      </c>
      <c r="J2" s="323" t="s">
        <v>213</v>
      </c>
      <c r="K2" s="319" t="s">
        <v>163</v>
      </c>
      <c r="L2" s="307" t="s">
        <v>169</v>
      </c>
      <c r="M2" s="328" t="s">
        <v>213</v>
      </c>
      <c r="N2" s="322" t="s">
        <v>163</v>
      </c>
      <c r="O2" s="293" t="s">
        <v>169</v>
      </c>
      <c r="P2" s="323" t="s">
        <v>213</v>
      </c>
      <c r="Q2" s="334" t="s">
        <v>163</v>
      </c>
      <c r="R2" s="307" t="s">
        <v>169</v>
      </c>
      <c r="S2" s="335" t="s">
        <v>213</v>
      </c>
      <c r="T2" s="331" t="s">
        <v>163</v>
      </c>
      <c r="U2" s="293" t="s">
        <v>169</v>
      </c>
      <c r="V2" s="294" t="s">
        <v>213</v>
      </c>
      <c r="W2" s="480" t="s">
        <v>230</v>
      </c>
      <c r="X2" s="481" t="s">
        <v>231</v>
      </c>
      <c r="Y2" s="521" t="s">
        <v>232</v>
      </c>
      <c r="Z2" s="1097" t="s">
        <v>149</v>
      </c>
    </row>
    <row r="3" spans="1:26" s="279" customFormat="1" x14ac:dyDescent="0.3">
      <c r="A3" s="288" t="str" cm="1">
        <f t="array" ref="A3:A118">_xlfn._xlws.SORT((_xlfn.UNIQUE(qPCR_Managed!D4:D235, FALSE, FALSE)), 1, 1)</f>
        <v>EP44335</v>
      </c>
      <c r="B3" s="289" t="str">
        <f>_xlfn.CONCAT("A", A3)</f>
        <v>AEP44335</v>
      </c>
      <c r="C3" s="289" t="str" cm="1">
        <f t="array" ref="C3:C118">(_xlfn._xlws.SORT(B3:B118,1,1))</f>
        <v>AEP44335</v>
      </c>
      <c r="D3" s="289" t="str">
        <f>RIGHT(C3, LEN(C3)-1)</f>
        <v>EP44335</v>
      </c>
      <c r="E3" s="289" t="str">
        <f>D3&amp;6</f>
        <v>EP443356</v>
      </c>
      <c r="F3" s="289" t="str">
        <f>LEFT(D3, LEN(D3)-5)</f>
        <v>EP</v>
      </c>
      <c r="G3" s="312">
        <f>INT(RIGHT(D3, 5))</f>
        <v>44335</v>
      </c>
      <c r="H3" s="324">
        <f>INDEX(qPCR_Managed!N$4:N$235, MATCH($E3, qPCR_Managed!$E$4:$E$235, 0), 1)</f>
        <v>32164583.610520542</v>
      </c>
      <c r="I3" s="213">
        <f>INDEX(qPCR_Managed!Q$4:Q$235, MATCH($E3, qPCR_Managed!$E$4:$E$235, 0), 1)</f>
        <v>7.5073779335749142</v>
      </c>
      <c r="J3" s="325">
        <f>INDEX(qPCR_Managed!R$4:R$235, MATCH($E3, qPCR_Managed!$E$4:$E$235, 0), 1)</f>
        <v>2.3035436250220781E-2</v>
      </c>
      <c r="K3" s="320">
        <f>INDEX(qPCR_Managed!Y$4:Y$235, MATCH($E3, qPCR_Managed!$E$4:$E$235, 0), 1)</f>
        <v>52840.999497307668</v>
      </c>
      <c r="L3" s="308">
        <f>INDEX(qPCR_Managed!AB$4:AB$235, MATCH($E3, qPCR_Managed!$E$4:$E$235, 0), 1)</f>
        <v>4.7229710237808709</v>
      </c>
      <c r="M3" s="329">
        <f>INDEX(qPCR_Managed!AC$4:AC$235, MATCH($E3, qPCR_Managed!$E$4:$E$235, 0), 1)</f>
        <v>0.14788994274292655</v>
      </c>
      <c r="N3" s="324">
        <f>INDEX(qPCR_Managed!AJ$4:AJ$235, MATCH($E3, qPCR_Managed!$E$4:$E$235, 0), 1)</f>
        <v>1512.8435691197712</v>
      </c>
      <c r="O3" s="213">
        <f>INDEX(qPCR_Managed!AM$4:AM$235, MATCH($E3, qPCR_Managed!$E$4:$E$235, 0), 1)</f>
        <v>3.1797940234756839</v>
      </c>
      <c r="P3" s="325">
        <f>INDEX(qPCR_Managed!AN$4:AN$235, MATCH($E3, qPCR_Managed!$E$4:$E$235, 0), 1)</f>
        <v>0.13492832095299329</v>
      </c>
      <c r="Q3" s="336">
        <f>INDEX(qPCR_Managed!AU$4:AU$235, MATCH($E3, qPCR_Managed!$E$4:$E$235, 0), 1)</f>
        <v>0</v>
      </c>
      <c r="R3" s="308">
        <f>INDEX(qPCR_Managed!AX$4:AX$235, MATCH($E3, qPCR_Managed!$E$4:$E$235, 0), 1)</f>
        <v>0</v>
      </c>
      <c r="S3" s="337">
        <f>INDEX(qPCR_Managed!AY$4:AY$235, MATCH($E3, qPCR_Managed!$E$4:$E$235, 0), 1)</f>
        <v>0</v>
      </c>
      <c r="T3" s="332">
        <f>INDEX(qPCR_Managed!BF$4:BF$235, MATCH($E3, qPCR_Managed!$E$4:$E$235, 0), 1)</f>
        <v>0</v>
      </c>
      <c r="U3" s="213">
        <f>INDEX(qPCR_Managed!BI$4:BI$235, MATCH($E3, qPCR_Managed!$E$4:$E$235, 0), 1)</f>
        <v>0</v>
      </c>
      <c r="V3" s="214">
        <f>INDEX(qPCR_Managed!BJ$4:BJ$235, MATCH($E3, qPCR_Managed!$E$4:$E$235, 0), 1)</f>
        <v>0</v>
      </c>
      <c r="W3" s="482">
        <f>SUM(K3, N3, Q3, T3)</f>
        <v>54353.843066427442</v>
      </c>
      <c r="X3" s="483">
        <f>IF((W3)&gt;0,LOG10(W3), 0)</f>
        <v>4.7352302561231019</v>
      </c>
      <c r="Y3" s="522" t="str" cm="1">
        <f t="array" ref="Y3">_xlfn.IFS(G3&lt;44361, "Before the burn", G3&lt;44403, "During the burn", G3&gt;44403, "After the burn")</f>
        <v>Before the burn</v>
      </c>
      <c r="Z3" s="1096" t="s">
        <v>287</v>
      </c>
    </row>
    <row r="4" spans="1:26" s="279" customFormat="1" x14ac:dyDescent="0.3">
      <c r="A4" s="286" t="str">
        <v>EP44342</v>
      </c>
      <c r="B4" s="287" t="str">
        <f t="shared" ref="B4:B17" si="0">_xlfn.CONCAT("A", A4)</f>
        <v>AEP44342</v>
      </c>
      <c r="C4" s="287" t="str">
        <v>AEP44342</v>
      </c>
      <c r="D4" s="287" t="str">
        <f t="shared" ref="D4:D67" si="1">RIGHT(C4, LEN(C4)-1)</f>
        <v>EP44342</v>
      </c>
      <c r="E4" s="287" t="str">
        <f t="shared" ref="E4:E67" si="2">D4&amp;6</f>
        <v>EP443426</v>
      </c>
      <c r="F4" s="287" t="str">
        <f t="shared" ref="F4:F67" si="3">LEFT(D4, LEN(D4)-5)</f>
        <v>EP</v>
      </c>
      <c r="G4" s="313">
        <f t="shared" ref="G4:G67" si="4">INT(RIGHT(D4, 5))</f>
        <v>44342</v>
      </c>
      <c r="H4" s="324">
        <f>INDEX(qPCR_Managed!N$4:N$235, MATCH($E4, qPCR_Managed!$E$4:$E$235, 0), 1)</f>
        <v>26951814.677109942</v>
      </c>
      <c r="I4" s="213">
        <f>INDEX(qPCR_Managed!Q$4:Q$235, MATCH($E4, qPCR_Managed!$E$4:$E$235, 0), 1)</f>
        <v>7.4305880117388243</v>
      </c>
      <c r="J4" s="325">
        <f>INDEX(qPCR_Managed!R$4:R$235, MATCH($E4, qPCR_Managed!$E$4:$E$235, 0), 1)</f>
        <v>2.6457692832264634E-2</v>
      </c>
      <c r="K4" s="320">
        <f>INDEX(qPCR_Managed!Y$4:Y$235, MATCH($E4, qPCR_Managed!$E$4:$E$235, 0), 1)</f>
        <v>25023.050202818511</v>
      </c>
      <c r="L4" s="308">
        <f>INDEX(qPCR_Managed!AB$4:AB$235, MATCH($E4, qPCR_Managed!$E$4:$E$235, 0), 1)</f>
        <v>4.3983402472244153</v>
      </c>
      <c r="M4" s="329">
        <f>INDEX(qPCR_Managed!AC$4:AC$235, MATCH($E4, qPCR_Managed!$E$4:$E$235, 0), 1)</f>
        <v>5.2992127759468773E-2</v>
      </c>
      <c r="N4" s="324">
        <f>INDEX(qPCR_Managed!AJ$4:AJ$235, MATCH($E4, qPCR_Managed!$E$4:$E$235, 0), 1)</f>
        <v>889.56442386900164</v>
      </c>
      <c r="O4" s="213">
        <f>INDEX(qPCR_Managed!AM$4:AM$235, MATCH($E4, qPCR_Managed!$E$4:$E$235, 0), 1)</f>
        <v>2.9491774059529887</v>
      </c>
      <c r="P4" s="325">
        <f>INDEX(qPCR_Managed!AN$4:AN$235, MATCH($E4, qPCR_Managed!$E$4:$E$235, 0), 1)</f>
        <v>0.26297738069518506</v>
      </c>
      <c r="Q4" s="336">
        <f>INDEX(qPCR_Managed!AU$4:AU$235, MATCH($E4, qPCR_Managed!$E$4:$E$235, 0), 1)</f>
        <v>0</v>
      </c>
      <c r="R4" s="308">
        <f>INDEX(qPCR_Managed!AX$4:AX$235, MATCH($E4, qPCR_Managed!$E$4:$E$235, 0), 1)</f>
        <v>0</v>
      </c>
      <c r="S4" s="337">
        <f>INDEX(qPCR_Managed!AY$4:AY$235, MATCH($E4, qPCR_Managed!$E$4:$E$235, 0), 1)</f>
        <v>0</v>
      </c>
      <c r="T4" s="332">
        <f>INDEX(qPCR_Managed!BF$4:BF$235, MATCH($E4, qPCR_Managed!$E$4:$E$235, 0), 1)</f>
        <v>144.71015439885102</v>
      </c>
      <c r="U4" s="213">
        <f>INDEX(qPCR_Managed!BI$4:BI$235, MATCH($E4, qPCR_Managed!$E$4:$E$235, 0), 1)</f>
        <v>2.1604990068941463</v>
      </c>
      <c r="V4" s="214">
        <f>INDEX(qPCR_Managed!BJ$4:BJ$235, MATCH($E4, qPCR_Managed!$E$4:$E$235, 0), 1)</f>
        <v>0.11642705313480027</v>
      </c>
      <c r="W4" s="482">
        <f t="shared" ref="W4:W67" si="5">SUM(K4, N4, Q4, T4)</f>
        <v>26057.324781086361</v>
      </c>
      <c r="X4" s="483">
        <f t="shared" ref="X4:X67" si="6">IF((W4)&gt;0,LOG10(W4), 0)</f>
        <v>4.4159298260944944</v>
      </c>
      <c r="Y4" s="522" t="str" cm="1">
        <f t="array" ref="Y4">_xlfn.IFS(G4&lt;44361, "Before the burn", G4&lt;44403, "During the burn", G4&gt;44403, "After the burn")</f>
        <v>Before the burn</v>
      </c>
      <c r="Z4" s="1090" t="s">
        <v>287</v>
      </c>
    </row>
    <row r="5" spans="1:26" s="279" customFormat="1" x14ac:dyDescent="0.3">
      <c r="A5" s="286" t="str">
        <v>EP44350</v>
      </c>
      <c r="B5" s="287" t="str">
        <f t="shared" si="0"/>
        <v>AEP44350</v>
      </c>
      <c r="C5" s="287" t="str">
        <v>AEP44350</v>
      </c>
      <c r="D5" s="287" t="str">
        <f t="shared" si="1"/>
        <v>EP44350</v>
      </c>
      <c r="E5" s="287" t="str">
        <f t="shared" si="2"/>
        <v>EP443506</v>
      </c>
      <c r="F5" s="287" t="str">
        <f t="shared" si="3"/>
        <v>EP</v>
      </c>
      <c r="G5" s="313">
        <f t="shared" si="4"/>
        <v>44350</v>
      </c>
      <c r="H5" s="324">
        <f>INDEX(qPCR_Managed!N$4:N$235, MATCH($E5, qPCR_Managed!$E$4:$E$235, 0), 1)</f>
        <v>15887775.792306878</v>
      </c>
      <c r="I5" s="213">
        <f>INDEX(qPCR_Managed!Q$4:Q$235, MATCH($E5, qPCR_Managed!$E$4:$E$235, 0), 1)</f>
        <v>7.2010631024471907</v>
      </c>
      <c r="J5" s="325">
        <f>INDEX(qPCR_Managed!R$4:R$235, MATCH($E5, qPCR_Managed!$E$4:$E$235, 0), 1)</f>
        <v>1.4858055983854399E-2</v>
      </c>
      <c r="K5" s="320">
        <f>INDEX(qPCR_Managed!Y$4:Y$235, MATCH($E5, qPCR_Managed!$E$4:$E$235, 0), 1)</f>
        <v>8269.3150698483641</v>
      </c>
      <c r="L5" s="308">
        <f>INDEX(qPCR_Managed!AB$4:AB$235, MATCH($E5, qPCR_Managed!$E$4:$E$235, 0), 1)</f>
        <v>3.9174695393344017</v>
      </c>
      <c r="M5" s="329">
        <f>INDEX(qPCR_Managed!AC$4:AC$235, MATCH($E5, qPCR_Managed!$E$4:$E$235, 0), 1)</f>
        <v>1.2266886723812187E-2</v>
      </c>
      <c r="N5" s="324">
        <f>INDEX(qPCR_Managed!AJ$4:AJ$235, MATCH($E5, qPCR_Managed!$E$4:$E$235, 0), 1)</f>
        <v>1751.7194643125429</v>
      </c>
      <c r="O5" s="213">
        <f>INDEX(qPCR_Managed!AM$4:AM$235, MATCH($E5, qPCR_Managed!$E$4:$E$235, 0), 1)</f>
        <v>3.2434645556811552</v>
      </c>
      <c r="P5" s="325">
        <f>INDEX(qPCR_Managed!AN$4:AN$235, MATCH($E5, qPCR_Managed!$E$4:$E$235, 0), 1)</f>
        <v>3.6972262286928334E-2</v>
      </c>
      <c r="Q5" s="336">
        <f>INDEX(qPCR_Managed!AU$4:AU$235, MATCH($E5, qPCR_Managed!$E$4:$E$235, 0), 1)</f>
        <v>0</v>
      </c>
      <c r="R5" s="308">
        <f>INDEX(qPCR_Managed!AX$4:AX$235, MATCH($E5, qPCR_Managed!$E$4:$E$235, 0), 1)</f>
        <v>0</v>
      </c>
      <c r="S5" s="337">
        <f>INDEX(qPCR_Managed!AY$4:AY$235, MATCH($E5, qPCR_Managed!$E$4:$E$235, 0), 1)</f>
        <v>0</v>
      </c>
      <c r="T5" s="332">
        <f>INDEX(qPCR_Managed!BF$4:BF$235, MATCH($E5, qPCR_Managed!$E$4:$E$235, 0), 1)</f>
        <v>554.66038840157648</v>
      </c>
      <c r="U5" s="213">
        <f>INDEX(qPCR_Managed!BI$4:BI$235, MATCH($E5, qPCR_Managed!$E$4:$E$235, 0), 1)</f>
        <v>2.7440271514333912</v>
      </c>
      <c r="V5" s="214">
        <f>INDEX(qPCR_Managed!BJ$4:BJ$235, MATCH($E5, qPCR_Managed!$E$4:$E$235, 0), 1)</f>
        <v>0.43429448190325176</v>
      </c>
      <c r="W5" s="482">
        <f t="shared" si="5"/>
        <v>10575.694922562483</v>
      </c>
      <c r="X5" s="483">
        <f t="shared" si="6"/>
        <v>4.0243089142143083</v>
      </c>
      <c r="Y5" s="522" t="str" cm="1">
        <f t="array" ref="Y5">_xlfn.IFS(G5&lt;44361, "Before the burn", G5&lt;44403, "During the burn", G5&gt;44403, "After the burn")</f>
        <v>Before the burn</v>
      </c>
      <c r="Z5" s="1090" t="s">
        <v>287</v>
      </c>
    </row>
    <row r="6" spans="1:26" s="279" customFormat="1" x14ac:dyDescent="0.3">
      <c r="A6" s="286" t="str">
        <v>EP44356</v>
      </c>
      <c r="B6" s="287" t="str">
        <f t="shared" si="0"/>
        <v>AEP44356</v>
      </c>
      <c r="C6" s="287" t="str">
        <v>AEP44356</v>
      </c>
      <c r="D6" s="287" t="str">
        <f t="shared" si="1"/>
        <v>EP44356</v>
      </c>
      <c r="E6" s="287" t="str">
        <f t="shared" si="2"/>
        <v>EP443566</v>
      </c>
      <c r="F6" s="287" t="str">
        <f t="shared" si="3"/>
        <v>EP</v>
      </c>
      <c r="G6" s="313">
        <f t="shared" si="4"/>
        <v>44356</v>
      </c>
      <c r="H6" s="324">
        <f>INDEX(qPCR_Managed!N$4:N$235, MATCH($E6, qPCR_Managed!$E$4:$E$235, 0), 1)</f>
        <v>37805884.255184606</v>
      </c>
      <c r="I6" s="213">
        <f>INDEX(qPCR_Managed!Q$4:Q$235, MATCH($E6, qPCR_Managed!$E$4:$E$235, 0), 1)</f>
        <v>7.5775594003841169</v>
      </c>
      <c r="J6" s="325">
        <f>INDEX(qPCR_Managed!R$4:R$235, MATCH($E6, qPCR_Managed!$E$4:$E$235, 0), 1)</f>
        <v>4.3285714611350855E-2</v>
      </c>
      <c r="K6" s="320">
        <f>INDEX(qPCR_Managed!Y$4:Y$235, MATCH($E6, qPCR_Managed!$E$4:$E$235, 0), 1)</f>
        <v>15022.144063313803</v>
      </c>
      <c r="L6" s="308">
        <f>INDEX(qPCR_Managed!AB$4:AB$235, MATCH($E6, qPCR_Managed!$E$4:$E$235, 0), 1)</f>
        <v>4.1767319225757706</v>
      </c>
      <c r="M6" s="329">
        <f>INDEX(qPCR_Managed!AC$4:AC$235, MATCH($E6, qPCR_Managed!$E$4:$E$235, 0), 1)</f>
        <v>0.28731606868291865</v>
      </c>
      <c r="N6" s="324">
        <f>INDEX(qPCR_Managed!AJ$4:AJ$235, MATCH($E6, qPCR_Managed!$E$4:$E$235, 0), 1)</f>
        <v>2066.3175145785012</v>
      </c>
      <c r="O6" s="213">
        <f>INDEX(qPCR_Managed!AM$4:AM$235, MATCH($E6, qPCR_Managed!$E$4:$E$235, 0), 1)</f>
        <v>3.3151970568903897</v>
      </c>
      <c r="P6" s="325">
        <f>INDEX(qPCR_Managed!AN$4:AN$235, MATCH($E6, qPCR_Managed!$E$4:$E$235, 0), 1)</f>
        <v>0.22108847306442125</v>
      </c>
      <c r="Q6" s="336">
        <f>INDEX(qPCR_Managed!AU$4:AU$235, MATCH($E6, qPCR_Managed!$E$4:$E$235, 0), 1)</f>
        <v>2289.4446055094404</v>
      </c>
      <c r="R6" s="308">
        <f>INDEX(qPCR_Managed!AX$4:AX$235, MATCH($E6, qPCR_Managed!$E$4:$E$235, 0), 1)</f>
        <v>3.3597301399743871</v>
      </c>
      <c r="S6" s="337">
        <f>INDEX(qPCR_Managed!AY$4:AY$235, MATCH($E6, qPCR_Managed!$E$4:$E$235, 0), 1)</f>
        <v>0.2839570800170545</v>
      </c>
      <c r="T6" s="332">
        <f>INDEX(qPCR_Managed!BF$4:BF$235, MATCH($E6, qPCR_Managed!$E$4:$E$235, 0), 1)</f>
        <v>0</v>
      </c>
      <c r="U6" s="213">
        <f>INDEX(qPCR_Managed!BI$4:BI$235, MATCH($E6, qPCR_Managed!$E$4:$E$235, 0), 1)</f>
        <v>0</v>
      </c>
      <c r="V6" s="214">
        <f>INDEX(qPCR_Managed!BJ$4:BJ$235, MATCH($E6, qPCR_Managed!$E$4:$E$235, 0), 1)</f>
        <v>0</v>
      </c>
      <c r="W6" s="482">
        <f t="shared" si="5"/>
        <v>19377.906183401745</v>
      </c>
      <c r="X6" s="483">
        <f t="shared" si="6"/>
        <v>4.2873068489727197</v>
      </c>
      <c r="Y6" s="522" t="str" cm="1">
        <f t="array" ref="Y6">_xlfn.IFS(G6&lt;44361, "Before the burn", G6&lt;44403, "During the burn", G6&gt;44403, "After the burn")</f>
        <v>Before the burn</v>
      </c>
      <c r="Z6" s="1090" t="s">
        <v>287</v>
      </c>
    </row>
    <row r="7" spans="1:26" s="279" customFormat="1" x14ac:dyDescent="0.3">
      <c r="A7" s="286" t="str">
        <v>EP44363</v>
      </c>
      <c r="B7" s="287" t="str">
        <f t="shared" si="0"/>
        <v>AEP44363</v>
      </c>
      <c r="C7" s="287" t="str">
        <v>AEP44363</v>
      </c>
      <c r="D7" s="287" t="str">
        <f t="shared" si="1"/>
        <v>EP44363</v>
      </c>
      <c r="E7" s="287" t="str">
        <f t="shared" si="2"/>
        <v>EP443636</v>
      </c>
      <c r="F7" s="287" t="str">
        <f t="shared" si="3"/>
        <v>EP</v>
      </c>
      <c r="G7" s="313">
        <f t="shared" si="4"/>
        <v>44363</v>
      </c>
      <c r="H7" s="324">
        <f>INDEX(qPCR_Managed!N$4:N$235, MATCH($E7, qPCR_Managed!$E$4:$E$235, 0), 1)</f>
        <v>831979408.03559792</v>
      </c>
      <c r="I7" s="213">
        <f>INDEX(qPCR_Managed!Q$4:Q$235, MATCH($E7, qPCR_Managed!$E$4:$E$235, 0), 1)</f>
        <v>8.9201125773878598</v>
      </c>
      <c r="J7" s="325">
        <f>INDEX(qPCR_Managed!R$4:R$235, MATCH($E7, qPCR_Managed!$E$4:$E$235, 0), 1)</f>
        <v>0.25898988519193905</v>
      </c>
      <c r="K7" s="320">
        <f>INDEX(qPCR_Managed!Y$4:Y$235, MATCH($E7, qPCR_Managed!$E$4:$E$235, 0), 1)</f>
        <v>0</v>
      </c>
      <c r="L7" s="308">
        <f>INDEX(qPCR_Managed!AB$4:AB$235, MATCH($E7, qPCR_Managed!$E$4:$E$235, 0), 1)</f>
        <v>0</v>
      </c>
      <c r="M7" s="329">
        <f>INDEX(qPCR_Managed!AC$4:AC$235, MATCH($E7, qPCR_Managed!$E$4:$E$235, 0), 1)</f>
        <v>0</v>
      </c>
      <c r="N7" s="324">
        <f>INDEX(qPCR_Managed!AJ$4:AJ$235, MATCH($E7, qPCR_Managed!$E$4:$E$235, 0), 1)</f>
        <v>668.65919235247918</v>
      </c>
      <c r="O7" s="213">
        <f>INDEX(qPCR_Managed!AM$4:AM$235, MATCH($E7, qPCR_Managed!$E$4:$E$235, 0), 1)</f>
        <v>2.8252048194210433</v>
      </c>
      <c r="P7" s="325">
        <f>INDEX(qPCR_Managed!AN$4:AN$235, MATCH($E7, qPCR_Managed!$E$4:$E$235, 0), 1)</f>
        <v>0.14140759558936419</v>
      </c>
      <c r="Q7" s="336">
        <f>INDEX(qPCR_Managed!AU$4:AU$235, MATCH($E7, qPCR_Managed!$E$4:$E$235, 0), 1)</f>
        <v>20644560.865319293</v>
      </c>
      <c r="R7" s="308">
        <f>INDEX(qPCR_Managed!AX$4:AX$235, MATCH($E7, qPCR_Managed!$E$4:$E$235, 0), 1)</f>
        <v>7.3148056493421336</v>
      </c>
      <c r="S7" s="337">
        <f>INDEX(qPCR_Managed!AY$4:AY$235, MATCH($E7, qPCR_Managed!$E$4:$E$235, 0), 1)</f>
        <v>0.42524661129923802</v>
      </c>
      <c r="T7" s="332">
        <f>INDEX(qPCR_Managed!BF$4:BF$235, MATCH($E7, qPCR_Managed!$E$4:$E$235, 0), 1)</f>
        <v>578.47426997290722</v>
      </c>
      <c r="U7" s="213">
        <f>INDEX(qPCR_Managed!BI$4:BI$235, MATCH($E7, qPCR_Managed!$E$4:$E$235, 0), 1)</f>
        <v>2.7622840466805152</v>
      </c>
      <c r="V7" s="214">
        <f>INDEX(qPCR_Managed!BJ$4:BJ$235, MATCH($E7, qPCR_Managed!$E$4:$E$235, 0), 1)</f>
        <v>0.43429448190325171</v>
      </c>
      <c r="W7" s="482">
        <f t="shared" si="5"/>
        <v>20645807.998781618</v>
      </c>
      <c r="X7" s="483">
        <f t="shared" si="6"/>
        <v>7.3148318841855584</v>
      </c>
      <c r="Y7" s="522" t="str" cm="1">
        <f t="array" ref="Y7">_xlfn.IFS(G7&lt;44361, "Before the burn", G7&lt;44403, "During the burn", G7&gt;44403, "After the burn")</f>
        <v>During the burn</v>
      </c>
      <c r="Z7" s="1090" t="s">
        <v>287</v>
      </c>
    </row>
    <row r="8" spans="1:26" s="279" customFormat="1" x14ac:dyDescent="0.3">
      <c r="A8" s="286" t="str">
        <v>EP44370</v>
      </c>
      <c r="B8" s="287" t="str">
        <f t="shared" si="0"/>
        <v>AEP44370</v>
      </c>
      <c r="C8" s="287" t="str">
        <v>AEP44370</v>
      </c>
      <c r="D8" s="287" t="str">
        <f t="shared" si="1"/>
        <v>EP44370</v>
      </c>
      <c r="E8" s="287" t="str">
        <f t="shared" si="2"/>
        <v>EP443706</v>
      </c>
      <c r="F8" s="287" t="str">
        <f t="shared" si="3"/>
        <v>EP</v>
      </c>
      <c r="G8" s="313">
        <f t="shared" si="4"/>
        <v>44370</v>
      </c>
      <c r="H8" s="324">
        <f>INDEX(qPCR_Managed!N$4:N$235, MATCH($E8, qPCR_Managed!$E$4:$E$235, 0), 1)</f>
        <v>24217772.465048898</v>
      </c>
      <c r="I8" s="213">
        <f>INDEX(qPCR_Managed!Q$4:Q$235, MATCH($E8, qPCR_Managed!$E$4:$E$235, 0), 1)</f>
        <v>7.384134194520211</v>
      </c>
      <c r="J8" s="325">
        <f>INDEX(qPCR_Managed!R$4:R$235, MATCH($E8, qPCR_Managed!$E$4:$E$235, 0), 1)</f>
        <v>4.073939284282424E-2</v>
      </c>
      <c r="K8" s="320">
        <f>INDEX(qPCR_Managed!Y$4:Y$235, MATCH($E8, qPCR_Managed!$E$4:$E$235, 0), 1)</f>
        <v>5151.3180096944179</v>
      </c>
      <c r="L8" s="308">
        <f>INDEX(qPCR_Managed!AB$4:AB$235, MATCH($E8, qPCR_Managed!$E$4:$E$235, 0), 1)</f>
        <v>3.7119183612943583</v>
      </c>
      <c r="M8" s="329">
        <f>INDEX(qPCR_Managed!AC$4:AC$235, MATCH($E8, qPCR_Managed!$E$4:$E$235, 0), 1)</f>
        <v>0.1022360351746279</v>
      </c>
      <c r="N8" s="324">
        <f>INDEX(qPCR_Managed!AJ$4:AJ$235, MATCH($E8, qPCR_Managed!$E$4:$E$235, 0), 1)</f>
        <v>1206.8078498045602</v>
      </c>
      <c r="O8" s="213">
        <f>INDEX(qPCR_Managed!AM$4:AM$235, MATCH($E8, qPCR_Managed!$E$4:$E$235, 0), 1)</f>
        <v>3.0816381264248243</v>
      </c>
      <c r="P8" s="325">
        <f>INDEX(qPCR_Managed!AN$4:AN$235, MATCH($E8, qPCR_Managed!$E$4:$E$235, 0), 1)</f>
        <v>3.9879239828460354E-3</v>
      </c>
      <c r="Q8" s="336">
        <f>INDEX(qPCR_Managed!AU$4:AU$235, MATCH($E8, qPCR_Managed!$E$4:$E$235, 0), 1)</f>
        <v>0</v>
      </c>
      <c r="R8" s="308">
        <f>INDEX(qPCR_Managed!AX$4:AX$235, MATCH($E8, qPCR_Managed!$E$4:$E$235, 0), 1)</f>
        <v>0</v>
      </c>
      <c r="S8" s="337">
        <f>INDEX(qPCR_Managed!AY$4:AY$235, MATCH($E8, qPCR_Managed!$E$4:$E$235, 0), 1)</f>
        <v>0</v>
      </c>
      <c r="T8" s="332">
        <f>INDEX(qPCR_Managed!BF$4:BF$235, MATCH($E8, qPCR_Managed!$E$4:$E$235, 0), 1)</f>
        <v>678.19035649299622</v>
      </c>
      <c r="U8" s="213">
        <f>INDEX(qPCR_Managed!BI$4:BI$235, MATCH($E8, qPCR_Managed!$E$4:$E$235, 0), 1)</f>
        <v>2.831351610048888</v>
      </c>
      <c r="V8" s="214">
        <f>INDEX(qPCR_Managed!BJ$4:BJ$235, MATCH($E8, qPCR_Managed!$E$4:$E$235, 0), 1)</f>
        <v>0.13701356553114208</v>
      </c>
      <c r="W8" s="482">
        <f t="shared" si="5"/>
        <v>7036.3162159919739</v>
      </c>
      <c r="X8" s="483">
        <f t="shared" si="6"/>
        <v>3.8473453486612756</v>
      </c>
      <c r="Y8" s="522" t="str" cm="1">
        <f t="array" ref="Y8">_xlfn.IFS(G8&lt;44361, "Before the burn", G8&lt;44403, "During the burn", G8&gt;44403, "After the burn")</f>
        <v>During the burn</v>
      </c>
      <c r="Z8" s="1090" t="s">
        <v>287</v>
      </c>
    </row>
    <row r="9" spans="1:26" s="279" customFormat="1" x14ac:dyDescent="0.3">
      <c r="A9" s="286" t="str">
        <v>EP44377</v>
      </c>
      <c r="B9" s="287" t="str">
        <f t="shared" si="0"/>
        <v>AEP44377</v>
      </c>
      <c r="C9" s="287" t="str">
        <v>AEP44377</v>
      </c>
      <c r="D9" s="287" t="str">
        <f t="shared" si="1"/>
        <v>EP44377</v>
      </c>
      <c r="E9" s="287" t="str">
        <f t="shared" si="2"/>
        <v>EP443776</v>
      </c>
      <c r="F9" s="287" t="str">
        <f t="shared" si="3"/>
        <v>EP</v>
      </c>
      <c r="G9" s="313">
        <f t="shared" si="4"/>
        <v>44377</v>
      </c>
      <c r="H9" s="324">
        <f>INDEX(qPCR_Managed!N$4:N$235, MATCH($E9, qPCR_Managed!$E$4:$E$235, 0), 1)</f>
        <v>4684351.6805013027</v>
      </c>
      <c r="I9" s="213">
        <f>INDEX(qPCR_Managed!Q$4:Q$235, MATCH($E9, qPCR_Managed!$E$4:$E$235, 0), 1)</f>
        <v>6.6706494925420223</v>
      </c>
      <c r="J9" s="325">
        <f>INDEX(qPCR_Managed!R$4:R$235, MATCH($E9, qPCR_Managed!$E$4:$E$235, 0), 1)</f>
        <v>0</v>
      </c>
      <c r="K9" s="320">
        <f>INDEX(qPCR_Managed!Y$4:Y$235, MATCH($E9, qPCR_Managed!$E$4:$E$235, 0), 1)</f>
        <v>2815.9367766786131</v>
      </c>
      <c r="L9" s="308">
        <f>INDEX(qPCR_Managed!AB$4:AB$235, MATCH($E9, qPCR_Managed!$E$4:$E$235, 0), 1)</f>
        <v>3.4496228998138809</v>
      </c>
      <c r="M9" s="329">
        <f>INDEX(qPCR_Managed!AC$4:AC$235, MATCH($E9, qPCR_Managed!$E$4:$E$235, 0), 1)</f>
        <v>0.39147166104896969</v>
      </c>
      <c r="N9" s="324">
        <f>INDEX(qPCR_Managed!AJ$4:AJ$235, MATCH($E9, qPCR_Managed!$E$4:$E$235, 0), 1)</f>
        <v>1257.7391614305211</v>
      </c>
      <c r="O9" s="213">
        <f>INDEX(qPCR_Managed!AM$4:AM$235, MATCH($E9, qPCR_Managed!$E$4:$E$235, 0), 1)</f>
        <v>3.0995905834804347</v>
      </c>
      <c r="P9" s="325">
        <f>INDEX(qPCR_Managed!AN$4:AN$235, MATCH($E9, qPCR_Managed!$E$4:$E$235, 0), 1)</f>
        <v>1.8571555700006535E-2</v>
      </c>
      <c r="Q9" s="336">
        <f>INDEX(qPCR_Managed!AU$4:AU$235, MATCH($E9, qPCR_Managed!$E$4:$E$235, 0), 1)</f>
        <v>0</v>
      </c>
      <c r="R9" s="308">
        <f>INDEX(qPCR_Managed!AX$4:AX$235, MATCH($E9, qPCR_Managed!$E$4:$E$235, 0), 1)</f>
        <v>0</v>
      </c>
      <c r="S9" s="337">
        <f>INDEX(qPCR_Managed!AY$4:AY$235, MATCH($E9, qPCR_Managed!$E$4:$E$235, 0), 1)</f>
        <v>0</v>
      </c>
      <c r="T9" s="332">
        <f>INDEX(qPCR_Managed!BF$4:BF$235, MATCH($E9, qPCR_Managed!$E$4:$E$235, 0), 1)</f>
        <v>142.99451112747192</v>
      </c>
      <c r="U9" s="213">
        <f>INDEX(qPCR_Managed!BI$4:BI$235, MATCH($E9, qPCR_Managed!$E$4:$E$235, 0), 1)</f>
        <v>2.1553193673056121</v>
      </c>
      <c r="V9" s="214">
        <f>INDEX(qPCR_Managed!BJ$4:BJ$235, MATCH($E9, qPCR_Managed!$E$4:$E$235, 0), 1)</f>
        <v>0.43429448190325171</v>
      </c>
      <c r="W9" s="482">
        <f t="shared" si="5"/>
        <v>4216.6704492366061</v>
      </c>
      <c r="X9" s="483">
        <f t="shared" si="6"/>
        <v>3.6249696603768022</v>
      </c>
      <c r="Y9" s="522" t="str" cm="1">
        <f t="array" ref="Y9">_xlfn.IFS(G9&lt;44361, "Before the burn", G9&lt;44403, "During the burn", G9&gt;44403, "After the burn")</f>
        <v>During the burn</v>
      </c>
      <c r="Z9" s="1090" t="s">
        <v>287</v>
      </c>
    </row>
    <row r="10" spans="1:26" s="279" customFormat="1" x14ac:dyDescent="0.3">
      <c r="A10" s="286" t="str">
        <v>EP44385</v>
      </c>
      <c r="B10" s="287" t="str">
        <f t="shared" si="0"/>
        <v>AEP44385</v>
      </c>
      <c r="C10" s="287" t="str">
        <v>AEP44385</v>
      </c>
      <c r="D10" s="287" t="str">
        <f t="shared" si="1"/>
        <v>EP44385</v>
      </c>
      <c r="E10" s="287" t="str">
        <f t="shared" si="2"/>
        <v>EP443856</v>
      </c>
      <c r="F10" s="287" t="str">
        <f t="shared" si="3"/>
        <v>EP</v>
      </c>
      <c r="G10" s="313">
        <f t="shared" si="4"/>
        <v>44385</v>
      </c>
      <c r="H10" s="324">
        <f>INDEX(qPCR_Managed!N$4:N$235, MATCH($E10, qPCR_Managed!$E$4:$E$235, 0), 1)</f>
        <v>67800048.633661866</v>
      </c>
      <c r="I10" s="213">
        <f>INDEX(qPCR_Managed!Q$4:Q$235, MATCH($E10, qPCR_Managed!$E$4:$E$235, 0), 1)</f>
        <v>7.8312300053910073</v>
      </c>
      <c r="J10" s="325">
        <f>INDEX(qPCR_Managed!R$4:R$235, MATCH($E10, qPCR_Managed!$E$4:$E$235, 0), 1)</f>
        <v>0.16523932968123001</v>
      </c>
      <c r="K10" s="320">
        <f>INDEX(qPCR_Managed!Y$4:Y$235, MATCH($E10, qPCR_Managed!$E$4:$E$235, 0), 1)</f>
        <v>3291.3459990055644</v>
      </c>
      <c r="L10" s="308">
        <f>INDEX(qPCR_Managed!AB$4:AB$235, MATCH($E10, qPCR_Managed!$E$4:$E$235, 0), 1)</f>
        <v>3.5173735394078167</v>
      </c>
      <c r="M10" s="329">
        <f>INDEX(qPCR_Managed!AC$4:AC$235, MATCH($E10, qPCR_Managed!$E$4:$E$235, 0), 1)</f>
        <v>8.2044235114006742E-2</v>
      </c>
      <c r="N10" s="324">
        <f>INDEX(qPCR_Managed!AJ$4:AJ$235, MATCH($E10, qPCR_Managed!$E$4:$E$235, 0), 1)</f>
        <v>1053.8266904416253</v>
      </c>
      <c r="O10" s="213">
        <f>INDEX(qPCR_Managed!AM$4:AM$235, MATCH($E10, qPCR_Managed!$E$4:$E$235, 0), 1)</f>
        <v>3.0227691938237178</v>
      </c>
      <c r="P10" s="325">
        <f>INDEX(qPCR_Managed!AN$4:AN$235, MATCH($E10, qPCR_Managed!$E$4:$E$235, 0), 1)</f>
        <v>0.13499729370255115</v>
      </c>
      <c r="Q10" s="336">
        <f>INDEX(qPCR_Managed!AU$4:AU$235, MATCH($E10, qPCR_Managed!$E$4:$E$235, 0), 1)</f>
        <v>468.02621979953193</v>
      </c>
      <c r="R10" s="308">
        <f>INDEX(qPCR_Managed!AX$4:AX$235, MATCH($E10, qPCR_Managed!$E$4:$E$235, 0), 1)</f>
        <v>2.6702701838332747</v>
      </c>
      <c r="S10" s="337">
        <f>INDEX(qPCR_Managed!AY$4:AY$235, MATCH($E10, qPCR_Managed!$E$4:$E$235, 0), 1)</f>
        <v>0.43429448190325176</v>
      </c>
      <c r="T10" s="332">
        <f>INDEX(qPCR_Managed!BF$4:BF$235, MATCH($E10, qPCR_Managed!$E$4:$E$235, 0), 1)</f>
        <v>0</v>
      </c>
      <c r="U10" s="213">
        <f>INDEX(qPCR_Managed!BI$4:BI$235, MATCH($E10, qPCR_Managed!$E$4:$E$235, 0), 1)</f>
        <v>0</v>
      </c>
      <c r="V10" s="214">
        <f>INDEX(qPCR_Managed!BJ$4:BJ$235, MATCH($E10, qPCR_Managed!$E$4:$E$235, 0), 1)</f>
        <v>0</v>
      </c>
      <c r="W10" s="482">
        <f t="shared" si="5"/>
        <v>4813.1989092467211</v>
      </c>
      <c r="X10" s="483">
        <f t="shared" si="6"/>
        <v>3.6824338096107176</v>
      </c>
      <c r="Y10" s="522" t="str" cm="1">
        <f t="array" ref="Y10">_xlfn.IFS(G10&lt;44361, "Before the burn", G10&lt;44403, "During the burn", G10&gt;44403, "After the burn")</f>
        <v>During the burn</v>
      </c>
      <c r="Z10" s="1090" t="s">
        <v>287</v>
      </c>
    </row>
    <row r="11" spans="1:26" s="279" customFormat="1" x14ac:dyDescent="0.3">
      <c r="A11" s="286" t="str">
        <v>EP44391</v>
      </c>
      <c r="B11" s="287" t="str">
        <f t="shared" si="0"/>
        <v>AEP44391</v>
      </c>
      <c r="C11" s="287" t="str">
        <v>AEP44391</v>
      </c>
      <c r="D11" s="287" t="str">
        <f t="shared" si="1"/>
        <v>EP44391</v>
      </c>
      <c r="E11" s="287" t="str">
        <f t="shared" si="2"/>
        <v>EP443916</v>
      </c>
      <c r="F11" s="287" t="str">
        <f t="shared" si="3"/>
        <v>EP</v>
      </c>
      <c r="G11" s="313">
        <f t="shared" si="4"/>
        <v>44391</v>
      </c>
      <c r="H11" s="324">
        <f>INDEX(qPCR_Managed!N$4:N$235, MATCH($E11, qPCR_Managed!$E$4:$E$235, 0), 1)</f>
        <v>9534312.4342822526</v>
      </c>
      <c r="I11" s="213">
        <f>INDEX(qPCR_Managed!Q$4:Q$235, MATCH($E11, qPCR_Managed!$E$4:$E$235, 0), 1)</f>
        <v>6.9792893794204227</v>
      </c>
      <c r="J11" s="325">
        <f>INDEX(qPCR_Managed!R$4:R$235, MATCH($E11, qPCR_Managed!$E$4:$E$235, 0), 1)</f>
        <v>3.4155392929378178E-2</v>
      </c>
      <c r="K11" s="320">
        <f>INDEX(qPCR_Managed!Y$4:Y$235, MATCH($E11, qPCR_Managed!$E$4:$E$235, 0), 1)</f>
        <v>3184.9360238938107</v>
      </c>
      <c r="L11" s="308">
        <f>INDEX(qPCR_Managed!AB$4:AB$235, MATCH($E11, qPCR_Managed!$E$4:$E$235, 0), 1)</f>
        <v>3.5031007130453271</v>
      </c>
      <c r="M11" s="329">
        <f>INDEX(qPCR_Managed!AC$4:AC$235, MATCH($E11, qPCR_Managed!$E$4:$E$235, 0), 1)</f>
        <v>9.3361948215887822E-2</v>
      </c>
      <c r="N11" s="324">
        <f>INDEX(qPCR_Managed!AJ$4:AJ$235, MATCH($E11, qPCR_Managed!$E$4:$E$235, 0), 1)</f>
        <v>1117.8190272951883</v>
      </c>
      <c r="O11" s="213">
        <f>INDEX(qPCR_Managed!AM$4:AM$235, MATCH($E11, qPCR_Managed!$E$4:$E$235, 0), 1)</f>
        <v>3.048371497817886</v>
      </c>
      <c r="P11" s="325">
        <f>INDEX(qPCR_Managed!AN$4:AN$235, MATCH($E11, qPCR_Managed!$E$4:$E$235, 0), 1)</f>
        <v>0.20910710850632552</v>
      </c>
      <c r="Q11" s="336">
        <f>INDEX(qPCR_Managed!AU$4:AU$235, MATCH($E11, qPCR_Managed!$E$4:$E$235, 0), 1)</f>
        <v>1153.1784647987001</v>
      </c>
      <c r="R11" s="308">
        <f>INDEX(qPCR_Managed!AX$4:AX$235, MATCH($E11, qPCR_Managed!$E$4:$E$235, 0), 1)</f>
        <v>3.06189652349555</v>
      </c>
      <c r="S11" s="337">
        <f>INDEX(qPCR_Managed!AY$4:AY$235, MATCH($E11, qPCR_Managed!$E$4:$E$235, 0), 1)</f>
        <v>0.12931347079532557</v>
      </c>
      <c r="T11" s="332">
        <f>INDEX(qPCR_Managed!BF$4:BF$235, MATCH($E11, qPCR_Managed!$E$4:$E$235, 0), 1)</f>
        <v>225.24785333209567</v>
      </c>
      <c r="U11" s="213">
        <f>INDEX(qPCR_Managed!BI$4:BI$235, MATCH($E11, qPCR_Managed!$E$4:$E$235, 0), 1)</f>
        <v>2.3526606607367042</v>
      </c>
      <c r="V11" s="214">
        <f>INDEX(qPCR_Managed!BJ$4:BJ$235, MATCH($E11, qPCR_Managed!$E$4:$E$235, 0), 1)</f>
        <v>0.1229186537572927</v>
      </c>
      <c r="W11" s="482">
        <f t="shared" si="5"/>
        <v>5681.1813693197946</v>
      </c>
      <c r="X11" s="483">
        <f t="shared" si="6"/>
        <v>3.7544386541667936</v>
      </c>
      <c r="Y11" s="522" t="str" cm="1">
        <f t="array" ref="Y11">_xlfn.IFS(G11&lt;44361, "Before the burn", G11&lt;44403, "During the burn", G11&gt;44403, "After the burn")</f>
        <v>During the burn</v>
      </c>
      <c r="Z11" s="1090" t="s">
        <v>287</v>
      </c>
    </row>
    <row r="12" spans="1:26" s="279" customFormat="1" x14ac:dyDescent="0.3">
      <c r="A12" s="286" t="str">
        <v>EP44398</v>
      </c>
      <c r="B12" s="287" t="str">
        <f t="shared" si="0"/>
        <v>AEP44398</v>
      </c>
      <c r="C12" s="287" t="str">
        <v>AEP44398</v>
      </c>
      <c r="D12" s="287" t="str">
        <f t="shared" si="1"/>
        <v>EP44398</v>
      </c>
      <c r="E12" s="287" t="str">
        <f t="shared" si="2"/>
        <v>EP443986</v>
      </c>
      <c r="F12" s="287" t="str">
        <f t="shared" si="3"/>
        <v>EP</v>
      </c>
      <c r="G12" s="313">
        <f t="shared" si="4"/>
        <v>44398</v>
      </c>
      <c r="H12" s="324">
        <f>INDEX(qPCR_Managed!N$4:N$235, MATCH($E12, qPCR_Managed!$E$4:$E$235, 0), 1)</f>
        <v>13314536.822306314</v>
      </c>
      <c r="I12" s="213">
        <f>INDEX(qPCR_Managed!Q$4:Q$235, MATCH($E12, qPCR_Managed!$E$4:$E$235, 0), 1)</f>
        <v>7.1243260630757259</v>
      </c>
      <c r="J12" s="325">
        <f>INDEX(qPCR_Managed!R$4:R$235, MATCH($E12, qPCR_Managed!$E$4:$E$235, 0), 1)</f>
        <v>0.43429448190325176</v>
      </c>
      <c r="K12" s="320">
        <f>INDEX(qPCR_Managed!Y$4:Y$235, MATCH($E12, qPCR_Managed!$E$4:$E$235, 0), 1)</f>
        <v>8008.6822509765625</v>
      </c>
      <c r="L12" s="308">
        <f>INDEX(qPCR_Managed!AB$4:AB$235, MATCH($E12, qPCR_Managed!$E$4:$E$235, 0), 1)</f>
        <v>3.903561063124283</v>
      </c>
      <c r="M12" s="329">
        <f>INDEX(qPCR_Managed!AC$4:AC$235, MATCH($E12, qPCR_Managed!$E$4:$E$235, 0), 1)</f>
        <v>0.43429448190325176</v>
      </c>
      <c r="N12" s="324">
        <f>INDEX(qPCR_Managed!AJ$4:AJ$235, MATCH($E12, qPCR_Managed!$E$4:$E$235, 0), 1)</f>
        <v>440.29507637023926</v>
      </c>
      <c r="O12" s="213">
        <f>INDEX(qPCR_Managed!AM$4:AM$235, MATCH($E12, qPCR_Managed!$E$4:$E$235, 0), 1)</f>
        <v>2.6437438289589763</v>
      </c>
      <c r="P12" s="325">
        <f>INDEX(qPCR_Managed!AN$4:AN$235, MATCH($E12, qPCR_Managed!$E$4:$E$235, 0), 1)</f>
        <v>0.43429448190325176</v>
      </c>
      <c r="Q12" s="336">
        <f>INDEX(qPCR_Managed!AU$4:AU$235, MATCH($E12, qPCR_Managed!$E$4:$E$235, 0), 1)</f>
        <v>19066.925048828125</v>
      </c>
      <c r="R12" s="308">
        <f>INDEX(qPCR_Managed!AX$4:AX$235, MATCH($E12, qPCR_Managed!$E$4:$E$235, 0), 1)</f>
        <v>4.2802806593803524</v>
      </c>
      <c r="S12" s="337">
        <f>INDEX(qPCR_Managed!AY$4:AY$235, MATCH($E12, qPCR_Managed!$E$4:$E$235, 0), 1)</f>
        <v>0.43429448190325176</v>
      </c>
      <c r="T12" s="332">
        <f>INDEX(qPCR_Managed!BF$4:BF$235, MATCH($E12, qPCR_Managed!$E$4:$E$235, 0), 1)</f>
        <v>0</v>
      </c>
      <c r="U12" s="213">
        <f>INDEX(qPCR_Managed!BI$4:BI$235, MATCH($E12, qPCR_Managed!$E$4:$E$235, 0), 1)</f>
        <v>0</v>
      </c>
      <c r="V12" s="214">
        <f>INDEX(qPCR_Managed!BJ$4:BJ$235, MATCH($E12, qPCR_Managed!$E$4:$E$235, 0), 1)</f>
        <v>0</v>
      </c>
      <c r="W12" s="482">
        <f t="shared" si="5"/>
        <v>27515.902376174927</v>
      </c>
      <c r="X12" s="483">
        <f t="shared" si="6"/>
        <v>4.4395837599444574</v>
      </c>
      <c r="Y12" s="522" t="str" cm="1">
        <f t="array" ref="Y12">_xlfn.IFS(G12&lt;44361, "Before the burn", G12&lt;44403, "During the burn", G12&gt;44403, "After the burn")</f>
        <v>During the burn</v>
      </c>
      <c r="Z12" s="1090" t="s">
        <v>287</v>
      </c>
    </row>
    <row r="13" spans="1:26" s="279" customFormat="1" x14ac:dyDescent="0.3">
      <c r="A13" s="286" t="str">
        <v>EP44405</v>
      </c>
      <c r="B13" s="287" t="str">
        <f t="shared" si="0"/>
        <v>AEP44405</v>
      </c>
      <c r="C13" s="287" t="str">
        <v>AEP44405</v>
      </c>
      <c r="D13" s="287" t="str">
        <f t="shared" si="1"/>
        <v>EP44405</v>
      </c>
      <c r="E13" s="287" t="str">
        <f t="shared" si="2"/>
        <v>EP444056</v>
      </c>
      <c r="F13" s="287" t="str">
        <f t="shared" si="3"/>
        <v>EP</v>
      </c>
      <c r="G13" s="313">
        <f t="shared" si="4"/>
        <v>44405</v>
      </c>
      <c r="H13" s="324">
        <f>INDEX(qPCR_Managed!N$4:N$235, MATCH($E13, qPCR_Managed!$E$4:$E$235, 0), 1)</f>
        <v>27748361.570348252</v>
      </c>
      <c r="I13" s="213">
        <f>INDEX(qPCR_Managed!Q$4:Q$235, MATCH($E13, qPCR_Managed!$E$4:$E$235, 0), 1)</f>
        <v>7.4432373448654072</v>
      </c>
      <c r="J13" s="325">
        <f>INDEX(qPCR_Managed!R$4:R$235, MATCH($E13, qPCR_Managed!$E$4:$E$235, 0), 1)</f>
        <v>0.239039168598596</v>
      </c>
      <c r="K13" s="320">
        <f>INDEX(qPCR_Managed!Y$4:Y$235, MATCH($E13, qPCR_Managed!$E$4:$E$235, 0), 1)</f>
        <v>57975.628702935574</v>
      </c>
      <c r="L13" s="308">
        <f>INDEX(qPCR_Managed!AB$4:AB$235, MATCH($E13, qPCR_Managed!$E$4:$E$235, 0), 1)</f>
        <v>4.7632454669389199</v>
      </c>
      <c r="M13" s="329">
        <f>INDEX(qPCR_Managed!AC$4:AC$235, MATCH($E13, qPCR_Managed!$E$4:$E$235, 0), 1)</f>
        <v>5.8509948242459406E-2</v>
      </c>
      <c r="N13" s="324">
        <f>INDEX(qPCR_Managed!AJ$4:AJ$235, MATCH($E13, qPCR_Managed!$E$4:$E$235, 0), 1)</f>
        <v>904.69440033261537</v>
      </c>
      <c r="O13" s="213">
        <f>INDEX(qPCR_Managed!AM$4:AM$235, MATCH($E13, qPCR_Managed!$E$4:$E$235, 0), 1)</f>
        <v>2.9565019022298489</v>
      </c>
      <c r="P13" s="325">
        <f>INDEX(qPCR_Managed!AN$4:AN$235, MATCH($E13, qPCR_Managed!$E$4:$E$235, 0), 1)</f>
        <v>0.22912424371849563</v>
      </c>
      <c r="Q13" s="336">
        <f>INDEX(qPCR_Managed!AU$4:AU$235, MATCH($E13, qPCR_Managed!$E$4:$E$235, 0), 1)</f>
        <v>1840.0667024695354</v>
      </c>
      <c r="R13" s="308">
        <f>INDEX(qPCR_Managed!AX$4:AX$235, MATCH($E13, qPCR_Managed!$E$4:$E$235, 0), 1)</f>
        <v>3.2648335664820296</v>
      </c>
      <c r="S13" s="337">
        <f>INDEX(qPCR_Managed!AY$4:AY$235, MATCH($E13, qPCR_Managed!$E$4:$E$235, 0), 1)</f>
        <v>0.43429448190325176</v>
      </c>
      <c r="T13" s="332">
        <f>INDEX(qPCR_Managed!BF$4:BF$235, MATCH($E13, qPCR_Managed!$E$4:$E$235, 0), 1)</f>
        <v>1232.1071780246236</v>
      </c>
      <c r="U13" s="213">
        <f>INDEX(qPCR_Managed!BI$4:BI$235, MATCH($E13, qPCR_Managed!$E$4:$E$235, 0), 1)</f>
        <v>3.0906484876986329</v>
      </c>
      <c r="V13" s="214">
        <f>INDEX(qPCR_Managed!BJ$4:BJ$235, MATCH($E13, qPCR_Managed!$E$4:$E$235, 0), 1)</f>
        <v>0.43429448190325171</v>
      </c>
      <c r="W13" s="482">
        <f t="shared" si="5"/>
        <v>61952.496983762343</v>
      </c>
      <c r="X13" s="483">
        <f t="shared" si="6"/>
        <v>4.7920588152224175</v>
      </c>
      <c r="Y13" s="522" t="str" cm="1">
        <f t="array" ref="Y13">_xlfn.IFS(G13&lt;44361, "Before the burn", G13&lt;44403, "During the burn", G13&gt;44403, "After the burn")</f>
        <v>After the burn</v>
      </c>
      <c r="Z13" s="1090" t="s">
        <v>287</v>
      </c>
    </row>
    <row r="14" spans="1:26" s="279" customFormat="1" x14ac:dyDescent="0.3">
      <c r="A14" s="286" t="str">
        <v>EP44412</v>
      </c>
      <c r="B14" s="287" t="str">
        <f t="shared" si="0"/>
        <v>AEP44412</v>
      </c>
      <c r="C14" s="287" t="str">
        <v>AEP44412</v>
      </c>
      <c r="D14" s="287" t="str">
        <f t="shared" si="1"/>
        <v>EP44412</v>
      </c>
      <c r="E14" s="287" t="str">
        <f t="shared" si="2"/>
        <v>EP444126</v>
      </c>
      <c r="F14" s="287" t="str">
        <f t="shared" si="3"/>
        <v>EP</v>
      </c>
      <c r="G14" s="313">
        <f t="shared" si="4"/>
        <v>44412</v>
      </c>
      <c r="H14" s="324">
        <f>INDEX(qPCR_Managed!N$4:N$235, MATCH($E14, qPCR_Managed!$E$4:$E$235, 0), 1)</f>
        <v>35335407.344563805</v>
      </c>
      <c r="I14" s="213">
        <f>INDEX(qPCR_Managed!Q$4:Q$235, MATCH($E14, qPCR_Managed!$E$4:$E$235, 0), 1)</f>
        <v>7.548210102201657</v>
      </c>
      <c r="J14" s="325">
        <f>INDEX(qPCR_Managed!R$4:R$235, MATCH($E14, qPCR_Managed!$E$4:$E$235, 0), 1)</f>
        <v>0.19902192501199695</v>
      </c>
      <c r="K14" s="320">
        <f>INDEX(qPCR_Managed!Y$4:Y$235, MATCH($E14, qPCR_Managed!$E$4:$E$235, 0), 1)</f>
        <v>5128.1604766845703</v>
      </c>
      <c r="L14" s="308">
        <f>INDEX(qPCR_Managed!AB$4:AB$235, MATCH($E14, qPCR_Managed!$E$4:$E$235, 0), 1)</f>
        <v>3.7099616071987671</v>
      </c>
      <c r="M14" s="329">
        <f>INDEX(qPCR_Managed!AC$4:AC$235, MATCH($E14, qPCR_Managed!$E$4:$E$235, 0), 1)</f>
        <v>0.27743898389146077</v>
      </c>
      <c r="N14" s="324">
        <f>INDEX(qPCR_Managed!AJ$4:AJ$235, MATCH($E14, qPCR_Managed!$E$4:$E$235, 0), 1)</f>
        <v>2701.2940645217896</v>
      </c>
      <c r="O14" s="213">
        <f>INDEX(qPCR_Managed!AM$4:AM$235, MATCH($E14, qPCR_Managed!$E$4:$E$235, 0), 1)</f>
        <v>3.4315718643235331</v>
      </c>
      <c r="P14" s="325">
        <f>INDEX(qPCR_Managed!AN$4:AN$235, MATCH($E14, qPCR_Managed!$E$4:$E$235, 0), 1)</f>
        <v>0.16846143760324955</v>
      </c>
      <c r="Q14" s="336">
        <f>INDEX(qPCR_Managed!AU$4:AU$235, MATCH($E14, qPCR_Managed!$E$4:$E$235, 0), 1)</f>
        <v>322.03075885772705</v>
      </c>
      <c r="R14" s="308">
        <f>INDEX(qPCR_Managed!AX$4:AX$235, MATCH($E14, qPCR_Managed!$E$4:$E$235, 0), 1)</f>
        <v>2.5078973554355652</v>
      </c>
      <c r="S14" s="337">
        <f>INDEX(qPCR_Managed!AY$4:AY$235, MATCH($E14, qPCR_Managed!$E$4:$E$235, 0), 1)</f>
        <v>0.43429448190325176</v>
      </c>
      <c r="T14" s="332">
        <f>INDEX(qPCR_Managed!BF$4:BF$235, MATCH($E14, qPCR_Managed!$E$4:$E$235, 0), 1)</f>
        <v>0</v>
      </c>
      <c r="U14" s="213">
        <f>INDEX(qPCR_Managed!BI$4:BI$235, MATCH($E14, qPCR_Managed!$E$4:$E$235, 0), 1)</f>
        <v>0</v>
      </c>
      <c r="V14" s="214">
        <f>INDEX(qPCR_Managed!BJ$4:BJ$235, MATCH($E14, qPCR_Managed!$E$4:$E$235, 0), 1)</f>
        <v>0</v>
      </c>
      <c r="W14" s="482">
        <f t="shared" si="5"/>
        <v>8151.4853000640869</v>
      </c>
      <c r="X14" s="483">
        <f t="shared" si="6"/>
        <v>3.9112367497031117</v>
      </c>
      <c r="Y14" s="522" t="str" cm="1">
        <f t="array" ref="Y14">_xlfn.IFS(G14&lt;44361, "Before the burn", G14&lt;44403, "During the burn", G14&gt;44403, "After the burn")</f>
        <v>After the burn</v>
      </c>
      <c r="Z14" s="1090" t="s">
        <v>287</v>
      </c>
    </row>
    <row r="15" spans="1:26" s="279" customFormat="1" x14ac:dyDescent="0.3">
      <c r="A15" s="286" t="str">
        <v>EP44419</v>
      </c>
      <c r="B15" s="287" t="str">
        <f t="shared" si="0"/>
        <v>AEP44419</v>
      </c>
      <c r="C15" s="287" t="str">
        <v>AEP44419</v>
      </c>
      <c r="D15" s="287" t="str">
        <f t="shared" si="1"/>
        <v>EP44419</v>
      </c>
      <c r="E15" s="287" t="str">
        <f t="shared" si="2"/>
        <v>EP444196</v>
      </c>
      <c r="F15" s="287" t="str">
        <f t="shared" si="3"/>
        <v>EP</v>
      </c>
      <c r="G15" s="313">
        <f t="shared" si="4"/>
        <v>44419</v>
      </c>
      <c r="H15" s="324">
        <f>INDEX(qPCR_Managed!N$4:N$235, MATCH($E15, qPCR_Managed!$E$4:$E$235, 0), 1)</f>
        <v>29980105.893515047</v>
      </c>
      <c r="I15" s="213">
        <f>INDEX(qPCR_Managed!Q$4:Q$235, MATCH($E15, qPCR_Managed!$E$4:$E$235, 0), 1)</f>
        <v>7.4768331624978526</v>
      </c>
      <c r="J15" s="325">
        <f>INDEX(qPCR_Managed!R$4:R$235, MATCH($E15, qPCR_Managed!$E$4:$E$235, 0), 1)</f>
        <v>0.20684816913427523</v>
      </c>
      <c r="K15" s="320">
        <f>INDEX(qPCR_Managed!Y$4:Y$235, MATCH($E15, qPCR_Managed!$E$4:$E$235, 0), 1)</f>
        <v>2072.9144925099336</v>
      </c>
      <c r="L15" s="308">
        <f>INDEX(qPCR_Managed!AB$4:AB$235, MATCH($E15, qPCR_Managed!$E$4:$E$235, 0), 1)</f>
        <v>3.3165813878647228</v>
      </c>
      <c r="M15" s="329">
        <f>INDEX(qPCR_Managed!AC$4:AC$235, MATCH($E15, qPCR_Managed!$E$4:$E$235, 0), 1)</f>
        <v>0.12909399143920816</v>
      </c>
      <c r="N15" s="324">
        <f>INDEX(qPCR_Managed!AJ$4:AJ$235, MATCH($E15, qPCR_Managed!$E$4:$E$235, 0), 1)</f>
        <v>2975.4120131489412</v>
      </c>
      <c r="O15" s="213">
        <f>INDEX(qPCR_Managed!AM$4:AM$235, MATCH($E15, qPCR_Managed!$E$4:$E$235, 0), 1)</f>
        <v>3.473547112131016</v>
      </c>
      <c r="P15" s="325">
        <f>INDEX(qPCR_Managed!AN$4:AN$235, MATCH($E15, qPCR_Managed!$E$4:$E$235, 0), 1)</f>
        <v>5.5612207980729935E-3</v>
      </c>
      <c r="Q15" s="336">
        <f>INDEX(qPCR_Managed!AU$4:AU$235, MATCH($E15, qPCR_Managed!$E$4:$E$235, 0), 1)</f>
        <v>0</v>
      </c>
      <c r="R15" s="308">
        <f>INDEX(qPCR_Managed!AX$4:AX$235, MATCH($E15, qPCR_Managed!$E$4:$E$235, 0), 1)</f>
        <v>0</v>
      </c>
      <c r="S15" s="337">
        <f>INDEX(qPCR_Managed!AY$4:AY$235, MATCH($E15, qPCR_Managed!$E$4:$E$235, 0), 1)</f>
        <v>0</v>
      </c>
      <c r="T15" s="332">
        <f>INDEX(qPCR_Managed!BF$4:BF$235, MATCH($E15, qPCR_Managed!$E$4:$E$235, 0), 1)</f>
        <v>64.278841018676758</v>
      </c>
      <c r="U15" s="213">
        <f>INDEX(qPCR_Managed!BI$4:BI$235, MATCH($E15, qPCR_Managed!$E$4:$E$235, 0), 1)</f>
        <v>1.8080680376038922</v>
      </c>
      <c r="V15" s="214">
        <f>INDEX(qPCR_Managed!BJ$4:BJ$235, MATCH($E15, qPCR_Managed!$E$4:$E$235, 0), 1)</f>
        <v>0.43429448190325176</v>
      </c>
      <c r="W15" s="482">
        <f t="shared" si="5"/>
        <v>5112.605346677552</v>
      </c>
      <c r="X15" s="483">
        <f t="shared" si="6"/>
        <v>3.7086422698680894</v>
      </c>
      <c r="Y15" s="522" t="str" cm="1">
        <f t="array" ref="Y15">_xlfn.IFS(G15&lt;44361, "Before the burn", G15&lt;44403, "During the burn", G15&gt;44403, "After the burn")</f>
        <v>After the burn</v>
      </c>
      <c r="Z15" s="1090" t="s">
        <v>287</v>
      </c>
    </row>
    <row r="16" spans="1:26" s="279" customFormat="1" x14ac:dyDescent="0.3">
      <c r="A16" s="286" t="str">
        <v>EP44426</v>
      </c>
      <c r="B16" s="287" t="str">
        <f t="shared" si="0"/>
        <v>AEP44426</v>
      </c>
      <c r="C16" s="287" t="str">
        <v>AEP44426</v>
      </c>
      <c r="D16" s="287" t="str">
        <f t="shared" si="1"/>
        <v>EP44426</v>
      </c>
      <c r="E16" s="287" t="str">
        <f t="shared" si="2"/>
        <v>EP444266</v>
      </c>
      <c r="F16" s="287" t="str">
        <f t="shared" si="3"/>
        <v>EP</v>
      </c>
      <c r="G16" s="313">
        <f t="shared" si="4"/>
        <v>44426</v>
      </c>
      <c r="H16" s="324">
        <f>INDEX(qPCR_Managed!N$4:N$235, MATCH($E16, qPCR_Managed!$E$4:$E$235, 0), 1)</f>
        <v>29698642.975470871</v>
      </c>
      <c r="I16" s="213">
        <f>INDEX(qPCR_Managed!Q$4:Q$235, MATCH($E16, qPCR_Managed!$E$4:$E$235, 0), 1)</f>
        <v>7.4727366054879463</v>
      </c>
      <c r="J16" s="325">
        <f>INDEX(qPCR_Managed!R$4:R$235, MATCH($E16, qPCR_Managed!$E$4:$E$235, 0), 1)</f>
        <v>1.2995977104818765E-2</v>
      </c>
      <c r="K16" s="320">
        <f>INDEX(qPCR_Managed!Y$4:Y$235, MATCH($E16, qPCR_Managed!$E$4:$E$235, 0), 1)</f>
        <v>92179.010087165283</v>
      </c>
      <c r="L16" s="308">
        <f>INDEX(qPCR_Managed!AB$4:AB$235, MATCH($E16, qPCR_Managed!$E$4:$E$235, 0), 1)</f>
        <v>4.9646320399135817</v>
      </c>
      <c r="M16" s="329">
        <f>INDEX(qPCR_Managed!AC$4:AC$235, MATCH($E16, qPCR_Managed!$E$4:$E$235, 0), 1)</f>
        <v>0.1057228717670563</v>
      </c>
      <c r="N16" s="324">
        <f>INDEX(qPCR_Managed!AJ$4:AJ$235, MATCH($E16, qPCR_Managed!$E$4:$E$235, 0), 1)</f>
        <v>1482.6005999592767</v>
      </c>
      <c r="O16" s="213">
        <f>INDEX(qPCR_Managed!AM$4:AM$235, MATCH($E16, qPCR_Managed!$E$4:$E$235, 0), 1)</f>
        <v>3.1710241715303273</v>
      </c>
      <c r="P16" s="325">
        <f>INDEX(qPCR_Managed!AN$4:AN$235, MATCH($E16, qPCR_Managed!$E$4:$E$235, 0), 1)</f>
        <v>0.14487207710567926</v>
      </c>
      <c r="Q16" s="336">
        <f>INDEX(qPCR_Managed!AU$4:AU$235, MATCH($E16, qPCR_Managed!$E$4:$E$235, 0), 1)</f>
        <v>0</v>
      </c>
      <c r="R16" s="308">
        <f>INDEX(qPCR_Managed!AX$4:AX$235, MATCH($E16, qPCR_Managed!$E$4:$E$235, 0), 1)</f>
        <v>0</v>
      </c>
      <c r="S16" s="337">
        <f>INDEX(qPCR_Managed!AY$4:AY$235, MATCH($E16, qPCR_Managed!$E$4:$E$235, 0), 1)</f>
        <v>0</v>
      </c>
      <c r="T16" s="332">
        <f>INDEX(qPCR_Managed!BF$4:BF$235, MATCH($E16, qPCR_Managed!$E$4:$E$235, 0), 1)</f>
        <v>101.11602644125621</v>
      </c>
      <c r="U16" s="213">
        <f>INDEX(qPCR_Managed!BI$4:BI$235, MATCH($E16, qPCR_Managed!$E$4:$E$235, 0), 1)</f>
        <v>2.0048199947937011</v>
      </c>
      <c r="V16" s="214">
        <f>INDEX(qPCR_Managed!BJ$4:BJ$235, MATCH($E16, qPCR_Managed!$E$4:$E$235, 0), 1)</f>
        <v>0.43429448190325176</v>
      </c>
      <c r="W16" s="482">
        <f t="shared" si="5"/>
        <v>93762.726713565818</v>
      </c>
      <c r="X16" s="483">
        <f t="shared" si="6"/>
        <v>4.9720302285741473</v>
      </c>
      <c r="Y16" s="522" t="str" cm="1">
        <f t="array" ref="Y16">_xlfn.IFS(G16&lt;44361, "Before the burn", G16&lt;44403, "During the burn", G16&gt;44403, "After the burn")</f>
        <v>After the burn</v>
      </c>
      <c r="Z16" s="1090" t="s">
        <v>287</v>
      </c>
    </row>
    <row r="17" spans="1:27" s="279" customFormat="1" ht="16.350000000000001" thickBot="1" x14ac:dyDescent="0.35">
      <c r="A17" s="295" t="str">
        <v>EP44433</v>
      </c>
      <c r="B17" s="296" t="str">
        <f t="shared" si="0"/>
        <v>AEP44433</v>
      </c>
      <c r="C17" s="296" t="str">
        <v>AEP44433</v>
      </c>
      <c r="D17" s="296" t="str">
        <f t="shared" si="1"/>
        <v>EP44433</v>
      </c>
      <c r="E17" s="296" t="str">
        <f t="shared" si="2"/>
        <v>EP444336</v>
      </c>
      <c r="F17" s="296" t="str">
        <f t="shared" si="3"/>
        <v>EP</v>
      </c>
      <c r="G17" s="314">
        <f t="shared" si="4"/>
        <v>44433</v>
      </c>
      <c r="H17" s="340">
        <f>INDEX(qPCR_Managed!N$4:N$235, MATCH($E17, qPCR_Managed!$E$4:$E$235, 0), 1)</f>
        <v>14943283.907004593</v>
      </c>
      <c r="I17" s="341">
        <f>INDEX(qPCR_Managed!Q$4:Q$235, MATCH($E17, qPCR_Managed!$E$4:$E$235, 0), 1)</f>
        <v>7.1744460476783178</v>
      </c>
      <c r="J17" s="342">
        <f>INDEX(qPCR_Managed!R$4:R$235, MATCH($E17, qPCR_Managed!$E$4:$E$235, 0), 1)</f>
        <v>0.26900712822646244</v>
      </c>
      <c r="K17" s="343">
        <f>INDEX(qPCR_Managed!Y$4:Y$235, MATCH($E17, qPCR_Managed!$E$4:$E$235, 0), 1)</f>
        <v>1478.2960818956112</v>
      </c>
      <c r="L17" s="344">
        <f>INDEX(qPCR_Managed!AB$4:AB$235, MATCH($E17, qPCR_Managed!$E$4:$E$235, 0), 1)</f>
        <v>3.1697614258419864</v>
      </c>
      <c r="M17" s="345">
        <f>INDEX(qPCR_Managed!AC$4:AC$235, MATCH($E17, qPCR_Managed!$E$4:$E$235, 0), 1)</f>
        <v>0.12071208104807526</v>
      </c>
      <c r="N17" s="340">
        <f>INDEX(qPCR_Managed!AJ$4:AJ$235, MATCH($E17, qPCR_Managed!$E$4:$E$235, 0), 1)</f>
        <v>1884.2374628346424</v>
      </c>
      <c r="O17" s="341">
        <f>INDEX(qPCR_Managed!AM$4:AM$235, MATCH($E17, qPCR_Managed!$E$4:$E$235, 0), 1)</f>
        <v>3.2751356342848927</v>
      </c>
      <c r="P17" s="342">
        <f>INDEX(qPCR_Managed!AN$4:AN$235, MATCH($E17, qPCR_Managed!$E$4:$E$235, 0), 1)</f>
        <v>3.7568591910838625E-2</v>
      </c>
      <c r="Q17" s="346">
        <f>INDEX(qPCR_Managed!AU$4:AU$235, MATCH($E17, qPCR_Managed!$E$4:$E$235, 0), 1)</f>
        <v>1174.4201512755376</v>
      </c>
      <c r="R17" s="344">
        <f>INDEX(qPCR_Managed!AX$4:AX$235, MATCH($E17, qPCR_Managed!$E$4:$E$235, 0), 1)</f>
        <v>3.0698234944731251</v>
      </c>
      <c r="S17" s="347">
        <f>INDEX(qPCR_Managed!AY$4:AY$235, MATCH($E17, qPCR_Managed!$E$4:$E$235, 0), 1)</f>
        <v>0.16585477011411723</v>
      </c>
      <c r="T17" s="348">
        <f>INDEX(qPCR_Managed!BF$4:BF$235, MATCH($E17, qPCR_Managed!$E$4:$E$235, 0), 1)</f>
        <v>0</v>
      </c>
      <c r="U17" s="341">
        <f>INDEX(qPCR_Managed!BI$4:BI$235, MATCH($E17, qPCR_Managed!$E$4:$E$235, 0), 1)</f>
        <v>0</v>
      </c>
      <c r="V17" s="349">
        <f>INDEX(qPCR_Managed!BJ$4:BJ$235, MATCH($E17, qPCR_Managed!$E$4:$E$235, 0), 1)</f>
        <v>0</v>
      </c>
      <c r="W17" s="484">
        <f t="shared" si="5"/>
        <v>4536.9536960057912</v>
      </c>
      <c r="X17" s="485">
        <f t="shared" si="6"/>
        <v>3.6567643468940103</v>
      </c>
      <c r="Y17" s="523" t="str" cm="1">
        <f t="array" ref="Y17">_xlfn.IFS(G17&lt;44361, "Before the burn", G17&lt;44403, "During the burn", G17&gt;44403, "After the burn")</f>
        <v>After the burn</v>
      </c>
      <c r="Z17" s="1090" t="s">
        <v>287</v>
      </c>
    </row>
    <row r="18" spans="1:27" s="279" customFormat="1" x14ac:dyDescent="0.3">
      <c r="A18" s="297" t="str">
        <v>MRT44335</v>
      </c>
      <c r="B18" s="298" t="str">
        <f>_xlfn.CONCAT("D", A18)</f>
        <v>DMRT44335</v>
      </c>
      <c r="C18" s="298" t="str">
        <v>BSPI44335</v>
      </c>
      <c r="D18" s="298" t="str">
        <f t="shared" si="1"/>
        <v>SPI44335</v>
      </c>
      <c r="E18" s="298" t="str">
        <f t="shared" si="2"/>
        <v>SPI443356</v>
      </c>
      <c r="F18" s="298" t="str">
        <f t="shared" si="3"/>
        <v>SPI</v>
      </c>
      <c r="G18" s="315">
        <f t="shared" si="4"/>
        <v>44335</v>
      </c>
      <c r="H18" s="326">
        <f>INDEX(qPCR_Managed!N$4:N$235, MATCH($E18, qPCR_Managed!$E$4:$E$235, 0), 1)</f>
        <v>17735687.835008629</v>
      </c>
      <c r="I18" s="299">
        <f>INDEX(qPCR_Managed!Q$4:Q$235, MATCH($E18, qPCR_Managed!$E$4:$E$235, 0), 1)</f>
        <v>7.2488480361773453</v>
      </c>
      <c r="J18" s="327">
        <f>INDEX(qPCR_Managed!R$4:R$235, MATCH($E18, qPCR_Managed!$E$4:$E$235, 0), 1)</f>
        <v>8.3739746480381488E-2</v>
      </c>
      <c r="K18" s="321">
        <f>INDEX(qPCR_Managed!Y$4:Y$235, MATCH($E18, qPCR_Managed!$E$4:$E$235, 0), 1)</f>
        <v>52716.432091497605</v>
      </c>
      <c r="L18" s="309">
        <f>INDEX(qPCR_Managed!AB$4:AB$235, MATCH($E18, qPCR_Managed!$E$4:$E$235, 0), 1)</f>
        <v>4.721946009032651</v>
      </c>
      <c r="M18" s="330">
        <f>INDEX(qPCR_Managed!AC$4:AC$235, MATCH($E18, qPCR_Managed!$E$4:$E$235, 0), 1)</f>
        <v>2.9516469219282287E-2</v>
      </c>
      <c r="N18" s="326">
        <f>INDEX(qPCR_Managed!AJ$4:AJ$235, MATCH($E18, qPCR_Managed!$E$4:$E$235, 0), 1)</f>
        <v>349.56291055166594</v>
      </c>
      <c r="O18" s="299">
        <f>INDEX(qPCR_Managed!AM$4:AM$235, MATCH($E18, qPCR_Managed!$E$4:$E$235, 0), 1)</f>
        <v>2.5435253467391021</v>
      </c>
      <c r="P18" s="327">
        <f>INDEX(qPCR_Managed!AN$4:AN$235, MATCH($E18, qPCR_Managed!$E$4:$E$235, 0), 1)</f>
        <v>0.13845464993722353</v>
      </c>
      <c r="Q18" s="338">
        <f>INDEX(qPCR_Managed!AU$4:AU$235, MATCH($E18, qPCR_Managed!$E$4:$E$235, 0), 1)</f>
        <v>0</v>
      </c>
      <c r="R18" s="309">
        <f>INDEX(qPCR_Managed!AX$4:AX$235, MATCH($E18, qPCR_Managed!$E$4:$E$235, 0), 1)</f>
        <v>0</v>
      </c>
      <c r="S18" s="339">
        <f>INDEX(qPCR_Managed!AY$4:AY$235, MATCH($E18, qPCR_Managed!$E$4:$E$235, 0), 1)</f>
        <v>0</v>
      </c>
      <c r="T18" s="333">
        <f>INDEX(qPCR_Managed!BF$4:BF$235, MATCH($E18, qPCR_Managed!$E$4:$E$235, 0), 1)</f>
        <v>336.88556404523951</v>
      </c>
      <c r="U18" s="299">
        <f>INDEX(qPCR_Managed!BI$4:BI$235, MATCH($E18, qPCR_Managed!$E$4:$E$235, 0), 1)</f>
        <v>2.5274824013348796</v>
      </c>
      <c r="V18" s="300">
        <f>INDEX(qPCR_Managed!BJ$4:BJ$235, MATCH($E18, qPCR_Managed!$E$4:$E$235, 0), 1)</f>
        <v>2.7161047944297051E-2</v>
      </c>
      <c r="W18" s="488">
        <f t="shared" si="5"/>
        <v>53402.880566094507</v>
      </c>
      <c r="X18" s="489">
        <f t="shared" si="6"/>
        <v>4.7275646836244176</v>
      </c>
      <c r="Y18" s="525" t="str" cm="1">
        <f t="array" ref="Y18">_xlfn.IFS(G18&lt;44361, "Before the burn", G18&lt;44403, "During the burn", G18&gt;44403, "After the burn")</f>
        <v>Before the burn</v>
      </c>
      <c r="Z18" s="1090" t="s">
        <v>287</v>
      </c>
    </row>
    <row r="19" spans="1:27" s="279" customFormat="1" ht="18.149999999999999" x14ac:dyDescent="0.3">
      <c r="A19" s="301" t="str">
        <v>MRT44342</v>
      </c>
      <c r="B19" s="302" t="str">
        <f t="shared" ref="B19:B32" si="7">_xlfn.CONCAT("D", A19)</f>
        <v>DMRT44342</v>
      </c>
      <c r="C19" s="302" t="str">
        <v>BSPI44342</v>
      </c>
      <c r="D19" s="302" t="str">
        <f t="shared" si="1"/>
        <v>SPI44342</v>
      </c>
      <c r="E19" s="302" t="str">
        <f t="shared" si="2"/>
        <v>SPI443426</v>
      </c>
      <c r="F19" s="302" t="str">
        <f t="shared" si="3"/>
        <v>SPI</v>
      </c>
      <c r="G19" s="316">
        <f t="shared" si="4"/>
        <v>44342</v>
      </c>
      <c r="H19" s="350">
        <f>INDEX(qPCR_Managed!N$4:N$235, MATCH($E19, qPCR_Managed!$E$4:$E$235, 0), 1)</f>
        <v>25778658.584579062</v>
      </c>
      <c r="I19" s="351">
        <f>INDEX(qPCR_Managed!Q$4:Q$235, MATCH($E19, qPCR_Managed!$E$4:$E$235, 0), 1)</f>
        <v>7.4112603147058156</v>
      </c>
      <c r="J19" s="352">
        <f>INDEX(qPCR_Managed!R$4:R$235, MATCH($E19, qPCR_Managed!$E$4:$E$235, 0), 1)</f>
        <v>7.4720344749401507E-2</v>
      </c>
      <c r="K19" s="353">
        <f>INDEX(qPCR_Managed!Y$4:Y$235, MATCH($E19, qPCR_Managed!$E$4:$E$235, 0), 1)</f>
        <v>71430.420269980386</v>
      </c>
      <c r="L19" s="354">
        <f>INDEX(qPCR_Managed!AB$4:AB$235, MATCH($E19, qPCR_Managed!$E$4:$E$235, 0), 1)</f>
        <v>4.8538832053589882</v>
      </c>
      <c r="M19" s="355">
        <f>INDEX(qPCR_Managed!AC$4:AC$235, MATCH($E19, qPCR_Managed!$E$4:$E$235, 0), 1)</f>
        <v>0.16126766777143298</v>
      </c>
      <c r="N19" s="350">
        <f>INDEX(qPCR_Managed!AJ$4:AJ$235, MATCH($E19, qPCR_Managed!$E$4:$E$235, 0), 1)</f>
        <v>421.49648844824014</v>
      </c>
      <c r="O19" s="351">
        <f>INDEX(qPCR_Managed!AM$4:AM$235, MATCH($E19, qPCR_Managed!$E$4:$E$235, 0), 1)</f>
        <v>2.6247939608020308</v>
      </c>
      <c r="P19" s="352">
        <f>INDEX(qPCR_Managed!AN$4:AN$235, MATCH($E19, qPCR_Managed!$E$4:$E$235, 0), 1)</f>
        <v>0.43429448190325176</v>
      </c>
      <c r="Q19" s="356">
        <f>INDEX(qPCR_Managed!AU$4:AU$235, MATCH($E19, qPCR_Managed!$E$4:$E$235, 0), 1)</f>
        <v>0</v>
      </c>
      <c r="R19" s="354">
        <f>INDEX(qPCR_Managed!AX$4:AX$235, MATCH($E19, qPCR_Managed!$E$4:$E$235, 0), 1)</f>
        <v>0</v>
      </c>
      <c r="S19" s="357">
        <f>INDEX(qPCR_Managed!AY$4:AY$235, MATCH($E19, qPCR_Managed!$E$4:$E$235, 0), 1)</f>
        <v>0</v>
      </c>
      <c r="T19" s="358">
        <f>INDEX(qPCR_Managed!BF$4:BF$235, MATCH($E19, qPCR_Managed!$E$4:$E$235, 0), 1)</f>
        <v>295.56050020105698</v>
      </c>
      <c r="U19" s="351">
        <f>INDEX(qPCR_Managed!BI$4:BI$235, MATCH($E19, qPCR_Managed!$E$4:$E$235, 0), 1)</f>
        <v>2.4706463928792002</v>
      </c>
      <c r="V19" s="359">
        <f>INDEX(qPCR_Managed!BJ$4:BJ$235, MATCH($E19, qPCR_Managed!$E$4:$E$235, 0), 1)</f>
        <v>0.43429448190325176</v>
      </c>
      <c r="W19" s="490">
        <f t="shared" si="5"/>
        <v>72147.477258629689</v>
      </c>
      <c r="X19" s="491">
        <f t="shared" si="6"/>
        <v>4.8582211499574273</v>
      </c>
      <c r="Y19" s="526" t="str" cm="1">
        <f t="array" ref="Y19">_xlfn.IFS(G19&lt;44361, "Before the burn", G19&lt;44403, "During the burn", G19&gt;44403, "After the burn")</f>
        <v>Before the burn</v>
      </c>
      <c r="Z19" s="1090" t="s">
        <v>287</v>
      </c>
      <c r="AA19" s="855" t="s">
        <v>282</v>
      </c>
    </row>
    <row r="20" spans="1:27" s="279" customFormat="1" x14ac:dyDescent="0.3">
      <c r="A20" s="301" t="str">
        <v>MRT44350</v>
      </c>
      <c r="B20" s="302" t="str">
        <f t="shared" si="7"/>
        <v>DMRT44350</v>
      </c>
      <c r="C20" s="302" t="str">
        <v>BSPI44350</v>
      </c>
      <c r="D20" s="302" t="str">
        <f t="shared" si="1"/>
        <v>SPI44350</v>
      </c>
      <c r="E20" s="302" t="str">
        <f t="shared" si="2"/>
        <v>SPI443506</v>
      </c>
      <c r="F20" s="302" t="str">
        <f t="shared" si="3"/>
        <v>SPI</v>
      </c>
      <c r="G20" s="316">
        <f t="shared" si="4"/>
        <v>44350</v>
      </c>
      <c r="H20" s="350">
        <f>INDEX(qPCR_Managed!N$4:N$235, MATCH($E20, qPCR_Managed!$E$4:$E$235, 0), 1)</f>
        <v>0</v>
      </c>
      <c r="I20" s="351">
        <f>INDEX(qPCR_Managed!Q$4:Q$235, MATCH($E20, qPCR_Managed!$E$4:$E$235, 0), 1)</f>
        <v>0</v>
      </c>
      <c r="J20" s="352">
        <f>INDEX(qPCR_Managed!R$4:R$235, MATCH($E20, qPCR_Managed!$E$4:$E$235, 0), 1)</f>
        <v>0</v>
      </c>
      <c r="K20" s="353">
        <f>INDEX(qPCR_Managed!Y$4:Y$235, MATCH($E20, qPCR_Managed!$E$4:$E$235, 0), 1)</f>
        <v>52061.807346804708</v>
      </c>
      <c r="L20" s="354">
        <f>INDEX(qPCR_Managed!AB$4:AB$235, MATCH($E20, qPCR_Managed!$E$4:$E$235, 0), 1)</f>
        <v>4.7165192407443959</v>
      </c>
      <c r="M20" s="355">
        <f>INDEX(qPCR_Managed!AC$4:AC$235, MATCH($E20, qPCR_Managed!$E$4:$E$235, 0), 1)</f>
        <v>2.7470789199276341E-2</v>
      </c>
      <c r="N20" s="350">
        <f>INDEX(qPCR_Managed!AJ$4:AJ$235, MATCH($E20, qPCR_Managed!$E$4:$E$235, 0), 1)</f>
        <v>1617.0057087128864</v>
      </c>
      <c r="O20" s="351">
        <f>INDEX(qPCR_Managed!AM$4:AM$235, MATCH($E20, qPCR_Managed!$E$4:$E$235, 0), 1)</f>
        <v>3.2087115531519972</v>
      </c>
      <c r="P20" s="352">
        <f>INDEX(qPCR_Managed!AN$4:AN$235, MATCH($E20, qPCR_Managed!$E$4:$E$235, 0), 1)</f>
        <v>7.889095762529999E-2</v>
      </c>
      <c r="Q20" s="356">
        <f>INDEX(qPCR_Managed!AU$4:AU$235, MATCH($E20, qPCR_Managed!$E$4:$E$235, 0), 1)</f>
        <v>3001.6080630574247</v>
      </c>
      <c r="R20" s="354">
        <f>INDEX(qPCR_Managed!AX$4:AX$235, MATCH($E20, qPCR_Managed!$E$4:$E$235, 0), 1)</f>
        <v>3.477353983322319</v>
      </c>
      <c r="S20" s="357">
        <f>INDEX(qPCR_Managed!AY$4:AY$235, MATCH($E20, qPCR_Managed!$E$4:$E$235, 0), 1)</f>
        <v>8.9389147864278221E-2</v>
      </c>
      <c r="T20" s="358">
        <f>INDEX(qPCR_Managed!BF$4:BF$235, MATCH($E20, qPCR_Managed!$E$4:$E$235, 0), 1)</f>
        <v>730.89966624255351</v>
      </c>
      <c r="U20" s="351">
        <f>INDEX(qPCR_Managed!BI$4:BI$235, MATCH($E20, qPCR_Managed!$E$4:$E$235, 0), 1)</f>
        <v>2.863857763568129</v>
      </c>
      <c r="V20" s="359">
        <f>INDEX(qPCR_Managed!BJ$4:BJ$235, MATCH($E20, qPCR_Managed!$E$4:$E$235, 0), 1)</f>
        <v>0.20032811483339752</v>
      </c>
      <c r="W20" s="490">
        <f t="shared" si="5"/>
        <v>57411.320784817573</v>
      </c>
      <c r="X20" s="491">
        <f t="shared" si="6"/>
        <v>4.7589975382098917</v>
      </c>
      <c r="Y20" s="526" t="str" cm="1">
        <f t="array" ref="Y20">_xlfn.IFS(G20&lt;44361, "Before the burn", G20&lt;44403, "During the burn", G20&gt;44403, "After the burn")</f>
        <v>Before the burn</v>
      </c>
      <c r="Z20" s="1090" t="s">
        <v>287</v>
      </c>
      <c r="AA20" s="854">
        <f>LOG10(AVERAGE(H19, H21))</f>
        <v>7.311591677936808</v>
      </c>
    </row>
    <row r="21" spans="1:27" s="279" customFormat="1" x14ac:dyDescent="0.3">
      <c r="A21" s="301" t="str">
        <v>MRT44356</v>
      </c>
      <c r="B21" s="302" t="str">
        <f t="shared" si="7"/>
        <v>DMRT44356</v>
      </c>
      <c r="C21" s="302" t="str">
        <v>BSPI44356</v>
      </c>
      <c r="D21" s="302" t="str">
        <f t="shared" si="1"/>
        <v>SPI44356</v>
      </c>
      <c r="E21" s="302" t="str">
        <f t="shared" si="2"/>
        <v>SPI443566</v>
      </c>
      <c r="F21" s="302" t="str">
        <f t="shared" si="3"/>
        <v>SPI</v>
      </c>
      <c r="G21" s="316">
        <f t="shared" si="4"/>
        <v>44356</v>
      </c>
      <c r="H21" s="350">
        <f>INDEX(qPCR_Managed!N$4:N$235, MATCH($E21, qPCR_Managed!$E$4:$E$235, 0), 1)</f>
        <v>15206033.216236256</v>
      </c>
      <c r="I21" s="351">
        <f>INDEX(qPCR_Managed!Q$4:Q$235, MATCH($E21, qPCR_Managed!$E$4:$E$235, 0), 1)</f>
        <v>7.1820159348297006</v>
      </c>
      <c r="J21" s="352">
        <f>INDEX(qPCR_Managed!R$4:R$235, MATCH($E21, qPCR_Managed!$E$4:$E$235, 0), 1)</f>
        <v>2.3206287351900681E-2</v>
      </c>
      <c r="K21" s="353">
        <f>INDEX(qPCR_Managed!Y$4:Y$235, MATCH($E21, qPCR_Managed!$E$4:$E$235, 0), 1)</f>
        <v>14571.268293592666</v>
      </c>
      <c r="L21" s="354">
        <f>INDEX(qPCR_Managed!AB$4:AB$235, MATCH($E21, qPCR_Managed!$E$4:$E$235, 0), 1)</f>
        <v>4.163497354716899</v>
      </c>
      <c r="M21" s="355">
        <f>INDEX(qPCR_Managed!AC$4:AC$235, MATCH($E21, qPCR_Managed!$E$4:$E$235, 0), 1)</f>
        <v>0.19674278356235073</v>
      </c>
      <c r="N21" s="350">
        <f>INDEX(qPCR_Managed!AJ$4:AJ$235, MATCH($E21, qPCR_Managed!$E$4:$E$235, 0), 1)</f>
        <v>1328.8851711485122</v>
      </c>
      <c r="O21" s="351">
        <f>INDEX(qPCR_Managed!AM$4:AM$235, MATCH($E21, qPCR_Managed!$E$4:$E$235, 0), 1)</f>
        <v>3.1234874552157841</v>
      </c>
      <c r="P21" s="352">
        <f>INDEX(qPCR_Managed!AN$4:AN$235, MATCH($E21, qPCR_Managed!$E$4:$E$235, 0), 1)</f>
        <v>8.5745817406865599E-2</v>
      </c>
      <c r="Q21" s="356">
        <f>INDEX(qPCR_Managed!AU$4:AU$235, MATCH($E21, qPCR_Managed!$E$4:$E$235, 0), 1)</f>
        <v>6327.580451965332</v>
      </c>
      <c r="R21" s="354">
        <f>INDEX(qPCR_Managed!AX$4:AX$235, MATCH($E21, qPCR_Managed!$E$4:$E$235, 0), 1)</f>
        <v>3.8012376756987201</v>
      </c>
      <c r="S21" s="357">
        <f>INDEX(qPCR_Managed!AY$4:AY$235, MATCH($E21, qPCR_Managed!$E$4:$E$235, 0), 1)</f>
        <v>0.21885505358285348</v>
      </c>
      <c r="T21" s="358">
        <f>INDEX(qPCR_Managed!BF$4:BF$235, MATCH($E21, qPCR_Managed!$E$4:$E$235, 0), 1)</f>
        <v>1036.8709829118516</v>
      </c>
      <c r="U21" s="351">
        <f>INDEX(qPCR_Managed!BI$4:BI$235, MATCH($E21, qPCR_Managed!$E$4:$E$235, 0), 1)</f>
        <v>3.0157247208101761</v>
      </c>
      <c r="V21" s="359">
        <f>INDEX(qPCR_Managed!BJ$4:BJ$235, MATCH($E21, qPCR_Managed!$E$4:$E$235, 0), 1)</f>
        <v>0.10162435235722379</v>
      </c>
      <c r="W21" s="490">
        <f t="shared" si="5"/>
        <v>23264.604899618364</v>
      </c>
      <c r="X21" s="491">
        <f t="shared" si="6"/>
        <v>4.366695681353594</v>
      </c>
      <c r="Y21" s="526" t="str" cm="1">
        <f t="array" ref="Y21">_xlfn.IFS(G21&lt;44361, "Before the burn", G21&lt;44403, "During the burn", G21&gt;44403, "After the burn")</f>
        <v>Before the burn</v>
      </c>
      <c r="Z21" s="1090" t="s">
        <v>287</v>
      </c>
    </row>
    <row r="22" spans="1:27" s="279" customFormat="1" x14ac:dyDescent="0.3">
      <c r="A22" s="301" t="str">
        <v>MRT44363</v>
      </c>
      <c r="B22" s="302" t="str">
        <f t="shared" si="7"/>
        <v>DMRT44363</v>
      </c>
      <c r="C22" s="302" t="str">
        <v>BSPI44370</v>
      </c>
      <c r="D22" s="302" t="str">
        <f t="shared" si="1"/>
        <v>SPI44370</v>
      </c>
      <c r="E22" s="302" t="str">
        <f t="shared" si="2"/>
        <v>SPI443706</v>
      </c>
      <c r="F22" s="302" t="str">
        <f t="shared" si="3"/>
        <v>SPI</v>
      </c>
      <c r="G22" s="316">
        <f t="shared" si="4"/>
        <v>44370</v>
      </c>
      <c r="H22" s="350">
        <f>INDEX(qPCR_Managed!N$4:N$235, MATCH($E22, qPCR_Managed!$E$4:$E$235, 0), 1)</f>
        <v>1079688.9856161503</v>
      </c>
      <c r="I22" s="351">
        <f>INDEX(qPCR_Managed!Q$4:Q$235, MATCH($E22, qPCR_Managed!$E$4:$E$235, 0), 1)</f>
        <v>6.0332986709654914</v>
      </c>
      <c r="J22" s="352">
        <f>INDEX(qPCR_Managed!R$4:R$235, MATCH($E22, qPCR_Managed!$E$4:$E$235, 0), 1)</f>
        <v>0.2937595748300737</v>
      </c>
      <c r="K22" s="353">
        <f>INDEX(qPCR_Managed!Y$4:Y$235, MATCH($E22, qPCR_Managed!$E$4:$E$235, 0), 1)</f>
        <v>0</v>
      </c>
      <c r="L22" s="354">
        <f>INDEX(qPCR_Managed!AB$4:AB$235, MATCH($E22, qPCR_Managed!$E$4:$E$235, 0), 1)</f>
        <v>0</v>
      </c>
      <c r="M22" s="355">
        <f>INDEX(qPCR_Managed!AC$4:AC$235, MATCH($E22, qPCR_Managed!$E$4:$E$235, 0), 1)</f>
        <v>0</v>
      </c>
      <c r="N22" s="350">
        <f>INDEX(qPCR_Managed!AJ$4:AJ$235, MATCH($E22, qPCR_Managed!$E$4:$E$235, 0), 1)</f>
        <v>68.575786609275667</v>
      </c>
      <c r="O22" s="351">
        <f>INDEX(qPCR_Managed!AM$4:AM$235, MATCH($E22, qPCR_Managed!$E$4:$E$235, 0), 1)</f>
        <v>1.8361707979478543</v>
      </c>
      <c r="P22" s="352">
        <f>INDEX(qPCR_Managed!AN$4:AN$235, MATCH($E22, qPCR_Managed!$E$4:$E$235, 0), 1)</f>
        <v>0.43429448190325176</v>
      </c>
      <c r="Q22" s="356">
        <f>INDEX(qPCR_Managed!AU$4:AU$235, MATCH($E22, qPCR_Managed!$E$4:$E$235, 0), 1)</f>
        <v>0</v>
      </c>
      <c r="R22" s="354">
        <f>INDEX(qPCR_Managed!AX$4:AX$235, MATCH($E22, qPCR_Managed!$E$4:$E$235, 0), 1)</f>
        <v>0</v>
      </c>
      <c r="S22" s="357">
        <f>INDEX(qPCR_Managed!AY$4:AY$235, MATCH($E22, qPCR_Managed!$E$4:$E$235, 0), 1)</f>
        <v>0</v>
      </c>
      <c r="T22" s="358">
        <f>INDEX(qPCR_Managed!BF$4:BF$235, MATCH($E22, qPCR_Managed!$E$4:$E$235, 0), 1)</f>
        <v>182.62219065414794</v>
      </c>
      <c r="U22" s="351">
        <f>INDEX(qPCR_Managed!BI$4:BI$235, MATCH($E22, qPCR_Managed!$E$4:$E$235, 0), 1)</f>
        <v>2.2615535480783655</v>
      </c>
      <c r="V22" s="359">
        <f>INDEX(qPCR_Managed!BJ$4:BJ$235, MATCH($E22, qPCR_Managed!$E$4:$E$235, 0), 1)</f>
        <v>0.43429448190325176</v>
      </c>
      <c r="W22" s="490">
        <f t="shared" si="5"/>
        <v>251.19797726342361</v>
      </c>
      <c r="X22" s="491">
        <f t="shared" si="6"/>
        <v>2.4000161379836684</v>
      </c>
      <c r="Y22" s="526" t="str" cm="1">
        <f t="array" ref="Y22">_xlfn.IFS(G22&lt;44361, "Before the burn", G22&lt;44403, "During the burn", G22&gt;44403, "After the burn")</f>
        <v>During the burn</v>
      </c>
      <c r="Z22" s="1090" t="s">
        <v>287</v>
      </c>
    </row>
    <row r="23" spans="1:27" s="279" customFormat="1" x14ac:dyDescent="0.3">
      <c r="A23" s="301" t="str">
        <v>MRT44370</v>
      </c>
      <c r="B23" s="302" t="str">
        <f t="shared" si="7"/>
        <v>DMRT44370</v>
      </c>
      <c r="C23" s="302" t="str">
        <v>BSPI44377</v>
      </c>
      <c r="D23" s="302" t="str">
        <f t="shared" si="1"/>
        <v>SPI44377</v>
      </c>
      <c r="E23" s="302" t="str">
        <f t="shared" si="2"/>
        <v>SPI443776</v>
      </c>
      <c r="F23" s="302" t="str">
        <f t="shared" si="3"/>
        <v>SPI</v>
      </c>
      <c r="G23" s="316">
        <f t="shared" si="4"/>
        <v>44377</v>
      </c>
      <c r="H23" s="350">
        <f>INDEX(qPCR_Managed!N$4:N$235, MATCH($E23, qPCR_Managed!$E$4:$E$235, 0), 1)</f>
        <v>445554.91106951679</v>
      </c>
      <c r="I23" s="351">
        <f>INDEX(qPCR_Managed!Q$4:Q$235, MATCH($E23, qPCR_Managed!$E$4:$E$235, 0), 1)</f>
        <v>5.6489012349832528</v>
      </c>
      <c r="J23" s="352">
        <f>INDEX(qPCR_Managed!R$4:R$235, MATCH($E23, qPCR_Managed!$E$4:$E$235, 0), 1)</f>
        <v>0.43429448190325176</v>
      </c>
      <c r="K23" s="353">
        <f>INDEX(qPCR_Managed!Y$4:Y$235, MATCH($E23, qPCR_Managed!$E$4:$E$235, 0), 1)</f>
        <v>470.35959031846784</v>
      </c>
      <c r="L23" s="354">
        <f>INDEX(qPCR_Managed!AB$4:AB$235, MATCH($E23, qPCR_Managed!$E$4:$E$235, 0), 1)</f>
        <v>2.6724300034261792</v>
      </c>
      <c r="M23" s="355">
        <f>INDEX(qPCR_Managed!AC$4:AC$235, MATCH($E23, qPCR_Managed!$E$4:$E$235, 0), 1)</f>
        <v>0.43429448190325176</v>
      </c>
      <c r="N23" s="350">
        <f>INDEX(qPCR_Managed!AJ$4:AJ$235, MATCH($E23, qPCR_Managed!$E$4:$E$235, 0), 1)</f>
        <v>0</v>
      </c>
      <c r="O23" s="351">
        <f>INDEX(qPCR_Managed!AM$4:AM$235, MATCH($E23, qPCR_Managed!$E$4:$E$235, 0), 1)</f>
        <v>0</v>
      </c>
      <c r="P23" s="352">
        <f>INDEX(qPCR_Managed!AN$4:AN$235, MATCH($E23, qPCR_Managed!$E$4:$E$235, 0), 1)</f>
        <v>0</v>
      </c>
      <c r="Q23" s="356">
        <f>INDEX(qPCR_Managed!AU$4:AU$235, MATCH($E23, qPCR_Managed!$E$4:$E$235, 0), 1)</f>
        <v>0</v>
      </c>
      <c r="R23" s="354">
        <f>INDEX(qPCR_Managed!AX$4:AX$235, MATCH($E23, qPCR_Managed!$E$4:$E$235, 0), 1)</f>
        <v>0</v>
      </c>
      <c r="S23" s="357">
        <f>INDEX(qPCR_Managed!AY$4:AY$235, MATCH($E23, qPCR_Managed!$E$4:$E$235, 0), 1)</f>
        <v>0</v>
      </c>
      <c r="T23" s="358">
        <f>INDEX(qPCR_Managed!BF$4:BF$235, MATCH($E23, qPCR_Managed!$E$4:$E$235, 0), 1)</f>
        <v>0</v>
      </c>
      <c r="U23" s="351">
        <f>INDEX(qPCR_Managed!BI$4:BI$235, MATCH($E23, qPCR_Managed!$E$4:$E$235, 0), 1)</f>
        <v>0</v>
      </c>
      <c r="V23" s="359">
        <f>INDEX(qPCR_Managed!BJ$4:BJ$235, MATCH($E23, qPCR_Managed!$E$4:$E$235, 0), 1)</f>
        <v>0</v>
      </c>
      <c r="W23" s="490">
        <f t="shared" si="5"/>
        <v>470.35959031846784</v>
      </c>
      <c r="X23" s="491">
        <f t="shared" si="6"/>
        <v>2.6724300034261792</v>
      </c>
      <c r="Y23" s="526" t="str" cm="1">
        <f t="array" ref="Y23">_xlfn.IFS(G23&lt;44361, "Before the burn", G23&lt;44403, "During the burn", G23&gt;44403, "After the burn")</f>
        <v>During the burn</v>
      </c>
      <c r="Z23" s="1090" t="s">
        <v>287</v>
      </c>
    </row>
    <row r="24" spans="1:27" s="279" customFormat="1" x14ac:dyDescent="0.3">
      <c r="A24" s="301" t="str">
        <v>MRT44377</v>
      </c>
      <c r="B24" s="302" t="str">
        <f t="shared" si="7"/>
        <v>DMRT44377</v>
      </c>
      <c r="C24" s="302" t="str">
        <v>BSPI44385</v>
      </c>
      <c r="D24" s="302" t="str">
        <f t="shared" si="1"/>
        <v>SPI44385</v>
      </c>
      <c r="E24" s="302" t="str">
        <f t="shared" si="2"/>
        <v>SPI443856</v>
      </c>
      <c r="F24" s="302" t="str">
        <f t="shared" si="3"/>
        <v>SPI</v>
      </c>
      <c r="G24" s="316">
        <f t="shared" si="4"/>
        <v>44385</v>
      </c>
      <c r="H24" s="350">
        <f>INDEX(qPCR_Managed!N$4:N$235, MATCH($E24, qPCR_Managed!$E$4:$E$235, 0), 1)</f>
        <v>287961.82326668227</v>
      </c>
      <c r="I24" s="351">
        <f>INDEX(qPCR_Managed!Q$4:Q$235, MATCH($E24, qPCR_Managed!$E$4:$E$235, 0), 1)</f>
        <v>5.4593349146911159</v>
      </c>
      <c r="J24" s="352">
        <f>INDEX(qPCR_Managed!R$4:R$235, MATCH($E24, qPCR_Managed!$E$4:$E$235, 0), 1)</f>
        <v>0.32575543700956072</v>
      </c>
      <c r="K24" s="353">
        <f>INDEX(qPCR_Managed!Y$4:Y$235, MATCH($E24, qPCR_Managed!$E$4:$E$235, 0), 1)</f>
        <v>301.44047126265929</v>
      </c>
      <c r="L24" s="354">
        <f>INDEX(qPCR_Managed!AB$4:AB$235, MATCH($E24, qPCR_Managed!$E$4:$E$235, 0), 1)</f>
        <v>2.4792015600758024</v>
      </c>
      <c r="M24" s="355">
        <f>INDEX(qPCR_Managed!AC$4:AC$235, MATCH($E24, qPCR_Managed!$E$4:$E$235, 0), 1)</f>
        <v>0.11906382903343478</v>
      </c>
      <c r="N24" s="350">
        <f>INDEX(qPCR_Managed!AJ$4:AJ$235, MATCH($E24, qPCR_Managed!$E$4:$E$235, 0), 1)</f>
        <v>0</v>
      </c>
      <c r="O24" s="351">
        <f>INDEX(qPCR_Managed!AM$4:AM$235, MATCH($E24, qPCR_Managed!$E$4:$E$235, 0), 1)</f>
        <v>0</v>
      </c>
      <c r="P24" s="352">
        <f>INDEX(qPCR_Managed!AN$4:AN$235, MATCH($E24, qPCR_Managed!$E$4:$E$235, 0), 1)</f>
        <v>0</v>
      </c>
      <c r="Q24" s="356">
        <f>INDEX(qPCR_Managed!AU$4:AU$235, MATCH($E24, qPCR_Managed!$E$4:$E$235, 0), 1)</f>
        <v>0</v>
      </c>
      <c r="R24" s="354">
        <f>INDEX(qPCR_Managed!AX$4:AX$235, MATCH($E24, qPCR_Managed!$E$4:$E$235, 0), 1)</f>
        <v>0</v>
      </c>
      <c r="S24" s="357">
        <f>INDEX(qPCR_Managed!AY$4:AY$235, MATCH($E24, qPCR_Managed!$E$4:$E$235, 0), 1)</f>
        <v>0</v>
      </c>
      <c r="T24" s="358">
        <f>INDEX(qPCR_Managed!BF$4:BF$235, MATCH($E24, qPCR_Managed!$E$4:$E$235, 0), 1)</f>
        <v>4166.1283587882535</v>
      </c>
      <c r="U24" s="351">
        <f>INDEX(qPCR_Managed!BI$4:BI$235, MATCH($E24, qPCR_Managed!$E$4:$E$235, 0), 1)</f>
        <v>3.6197326464697857</v>
      </c>
      <c r="V24" s="359">
        <f>INDEX(qPCR_Managed!BJ$4:BJ$235, MATCH($E24, qPCR_Managed!$E$4:$E$235, 0), 1)</f>
        <v>0.43429448190325176</v>
      </c>
      <c r="W24" s="490">
        <f t="shared" si="5"/>
        <v>4467.5688300509128</v>
      </c>
      <c r="X24" s="491">
        <f t="shared" si="6"/>
        <v>3.6500712522310739</v>
      </c>
      <c r="Y24" s="526" t="str" cm="1">
        <f t="array" ref="Y24">_xlfn.IFS(G24&lt;44361, "Before the burn", G24&lt;44403, "During the burn", G24&gt;44403, "After the burn")</f>
        <v>During the burn</v>
      </c>
      <c r="Z24" s="1090" t="s">
        <v>287</v>
      </c>
    </row>
    <row r="25" spans="1:27" s="279" customFormat="1" x14ac:dyDescent="0.3">
      <c r="A25" s="301" t="str">
        <v>MRT44385</v>
      </c>
      <c r="B25" s="302" t="str">
        <f t="shared" si="7"/>
        <v>DMRT44385</v>
      </c>
      <c r="C25" s="302" t="str">
        <v>BSPI44391</v>
      </c>
      <c r="D25" s="302" t="str">
        <f t="shared" si="1"/>
        <v>SPI44391</v>
      </c>
      <c r="E25" s="302" t="str">
        <f t="shared" si="2"/>
        <v>SPI443916</v>
      </c>
      <c r="F25" s="302" t="str">
        <f t="shared" si="3"/>
        <v>SPI</v>
      </c>
      <c r="G25" s="316">
        <f t="shared" si="4"/>
        <v>44391</v>
      </c>
      <c r="H25" s="350">
        <f>INDEX(qPCR_Managed!N$4:N$235, MATCH($E25, qPCR_Managed!$E$4:$E$235, 0), 1)</f>
        <v>816250.59539917484</v>
      </c>
      <c r="I25" s="351">
        <f>INDEX(qPCR_Managed!Q$4:Q$235, MATCH($E25, qPCR_Managed!$E$4:$E$235, 0), 1)</f>
        <v>5.9118235110714696</v>
      </c>
      <c r="J25" s="352">
        <f>INDEX(qPCR_Managed!R$4:R$235, MATCH($E25, qPCR_Managed!$E$4:$E$235, 0), 1)</f>
        <v>0.43429448190325176</v>
      </c>
      <c r="K25" s="353">
        <f>INDEX(qPCR_Managed!Y$4:Y$235, MATCH($E25, qPCR_Managed!$E$4:$E$235, 0), 1)</f>
        <v>1253.6846466876591</v>
      </c>
      <c r="L25" s="354">
        <f>INDEX(qPCR_Managed!AB$4:AB$235, MATCH($E25, qPCR_Managed!$E$4:$E$235, 0), 1)</f>
        <v>3.0981883072865495</v>
      </c>
      <c r="M25" s="355">
        <f>INDEX(qPCR_Managed!AC$4:AC$235, MATCH($E25, qPCR_Managed!$E$4:$E$235, 0), 1)</f>
        <v>0.2506677084956192</v>
      </c>
      <c r="N25" s="350">
        <f>INDEX(qPCR_Managed!AJ$4:AJ$235, MATCH($E25, qPCR_Managed!$E$4:$E$235, 0), 1)</f>
        <v>0</v>
      </c>
      <c r="O25" s="351">
        <f>INDEX(qPCR_Managed!AM$4:AM$235, MATCH($E25, qPCR_Managed!$E$4:$E$235, 0), 1)</f>
        <v>0</v>
      </c>
      <c r="P25" s="352">
        <f>INDEX(qPCR_Managed!AN$4:AN$235, MATCH($E25, qPCR_Managed!$E$4:$E$235, 0), 1)</f>
        <v>0</v>
      </c>
      <c r="Q25" s="356">
        <f>INDEX(qPCR_Managed!AU$4:AU$235, MATCH($E25, qPCR_Managed!$E$4:$E$235, 0), 1)</f>
        <v>0</v>
      </c>
      <c r="R25" s="354">
        <f>INDEX(qPCR_Managed!AX$4:AX$235, MATCH($E25, qPCR_Managed!$E$4:$E$235, 0), 1)</f>
        <v>0</v>
      </c>
      <c r="S25" s="357">
        <f>INDEX(qPCR_Managed!AY$4:AY$235, MATCH($E25, qPCR_Managed!$E$4:$E$235, 0), 1)</f>
        <v>0</v>
      </c>
      <c r="T25" s="358">
        <f>INDEX(qPCR_Managed!BF$4:BF$235, MATCH($E25, qPCR_Managed!$E$4:$E$235, 0), 1)</f>
        <v>0</v>
      </c>
      <c r="U25" s="351">
        <f>INDEX(qPCR_Managed!BI$4:BI$235, MATCH($E25, qPCR_Managed!$E$4:$E$235, 0), 1)</f>
        <v>0</v>
      </c>
      <c r="V25" s="359">
        <f>INDEX(qPCR_Managed!BJ$4:BJ$235, MATCH($E25, qPCR_Managed!$E$4:$E$235, 0), 1)</f>
        <v>0</v>
      </c>
      <c r="W25" s="490">
        <f t="shared" si="5"/>
        <v>1253.6846466876591</v>
      </c>
      <c r="X25" s="491">
        <f t="shared" si="6"/>
        <v>3.0981883072865495</v>
      </c>
      <c r="Y25" s="526" t="str" cm="1">
        <f t="array" ref="Y25">_xlfn.IFS(G25&lt;44361, "Before the burn", G25&lt;44403, "During the burn", G25&gt;44403, "After the burn")</f>
        <v>During the burn</v>
      </c>
      <c r="Z25" s="1090" t="s">
        <v>287</v>
      </c>
    </row>
    <row r="26" spans="1:27" s="279" customFormat="1" x14ac:dyDescent="0.3">
      <c r="A26" s="301" t="str">
        <v>MRT44391</v>
      </c>
      <c r="B26" s="302" t="str">
        <f t="shared" si="7"/>
        <v>DMRT44391</v>
      </c>
      <c r="C26" s="302" t="str">
        <v>BSPI44398</v>
      </c>
      <c r="D26" s="302" t="str">
        <f t="shared" si="1"/>
        <v>SPI44398</v>
      </c>
      <c r="E26" s="302" t="str">
        <f t="shared" si="2"/>
        <v>SPI443986</v>
      </c>
      <c r="F26" s="302" t="str">
        <f t="shared" si="3"/>
        <v>SPI</v>
      </c>
      <c r="G26" s="316">
        <f t="shared" si="4"/>
        <v>44398</v>
      </c>
      <c r="H26" s="350">
        <f>INDEX(qPCR_Managed!N$4:N$235, MATCH($E26, qPCR_Managed!$E$4:$E$235, 0), 1)</f>
        <v>2059047.2165643605</v>
      </c>
      <c r="I26" s="351">
        <f>INDEX(qPCR_Managed!Q$4:Q$235, MATCH($E26, qPCR_Managed!$E$4:$E$235, 0), 1)</f>
        <v>6.3136663056555458</v>
      </c>
      <c r="J26" s="352">
        <f>INDEX(qPCR_Managed!R$4:R$235, MATCH($E26, qPCR_Managed!$E$4:$E$235, 0), 1)</f>
        <v>0.43429448190325176</v>
      </c>
      <c r="K26" s="353">
        <f>INDEX(qPCR_Managed!Y$4:Y$235, MATCH($E26, qPCR_Managed!$E$4:$E$235, 0), 1)</f>
        <v>0</v>
      </c>
      <c r="L26" s="354">
        <f>INDEX(qPCR_Managed!AB$4:AB$235, MATCH($E26, qPCR_Managed!$E$4:$E$235, 0), 1)</f>
        <v>0</v>
      </c>
      <c r="M26" s="355">
        <f>INDEX(qPCR_Managed!AC$4:AC$235, MATCH($E26, qPCR_Managed!$E$4:$E$235, 0), 1)</f>
        <v>0</v>
      </c>
      <c r="N26" s="350">
        <f>INDEX(qPCR_Managed!AJ$4:AJ$235, MATCH($E26, qPCR_Managed!$E$4:$E$235, 0), 1)</f>
        <v>0</v>
      </c>
      <c r="O26" s="351">
        <f>INDEX(qPCR_Managed!AM$4:AM$235, MATCH($E26, qPCR_Managed!$E$4:$E$235, 0), 1)</f>
        <v>0</v>
      </c>
      <c r="P26" s="352">
        <f>INDEX(qPCR_Managed!AN$4:AN$235, MATCH($E26, qPCR_Managed!$E$4:$E$235, 0), 1)</f>
        <v>0</v>
      </c>
      <c r="Q26" s="356">
        <f>INDEX(qPCR_Managed!AU$4:AU$235, MATCH($E26, qPCR_Managed!$E$4:$E$235, 0), 1)</f>
        <v>12738.265555245534</v>
      </c>
      <c r="R26" s="354">
        <f>INDEX(qPCR_Managed!AX$4:AX$235, MATCH($E26, qPCR_Managed!$E$4:$E$235, 0), 1)</f>
        <v>4.1051102984023373</v>
      </c>
      <c r="S26" s="357">
        <f>INDEX(qPCR_Managed!AY$4:AY$235, MATCH($E26, qPCR_Managed!$E$4:$E$235, 0), 1)</f>
        <v>0.43429448190325176</v>
      </c>
      <c r="T26" s="358">
        <f>INDEX(qPCR_Managed!BF$4:BF$235, MATCH($E26, qPCR_Managed!$E$4:$E$235, 0), 1)</f>
        <v>0</v>
      </c>
      <c r="U26" s="351">
        <f>INDEX(qPCR_Managed!BI$4:BI$235, MATCH($E26, qPCR_Managed!$E$4:$E$235, 0), 1)</f>
        <v>0</v>
      </c>
      <c r="V26" s="359">
        <f>INDEX(qPCR_Managed!BJ$4:BJ$235, MATCH($E26, qPCR_Managed!$E$4:$E$235, 0), 1)</f>
        <v>0</v>
      </c>
      <c r="W26" s="490">
        <f t="shared" si="5"/>
        <v>12738.265555245534</v>
      </c>
      <c r="X26" s="491">
        <f t="shared" si="6"/>
        <v>4.1051102984023373</v>
      </c>
      <c r="Y26" s="526" t="str" cm="1">
        <f t="array" ref="Y26">_xlfn.IFS(G26&lt;44361, "Before the burn", G26&lt;44403, "During the burn", G26&gt;44403, "After the burn")</f>
        <v>During the burn</v>
      </c>
      <c r="Z26" s="1090" t="s">
        <v>287</v>
      </c>
    </row>
    <row r="27" spans="1:27" s="279" customFormat="1" x14ac:dyDescent="0.3">
      <c r="A27" s="301" t="str">
        <v>MRT44398</v>
      </c>
      <c r="B27" s="302" t="str">
        <f t="shared" si="7"/>
        <v>DMRT44398</v>
      </c>
      <c r="C27" s="302" t="str">
        <v>BSPI44405</v>
      </c>
      <c r="D27" s="302" t="str">
        <f t="shared" si="1"/>
        <v>SPI44405</v>
      </c>
      <c r="E27" s="302" t="str">
        <f t="shared" si="2"/>
        <v>SPI444056</v>
      </c>
      <c r="F27" s="302" t="str">
        <f t="shared" si="3"/>
        <v>SPI</v>
      </c>
      <c r="G27" s="316">
        <f t="shared" si="4"/>
        <v>44405</v>
      </c>
      <c r="H27" s="350">
        <f>INDEX(qPCR_Managed!N$4:N$235, MATCH($E27, qPCR_Managed!$E$4:$E$235, 0), 1)</f>
        <v>405670191.50834006</v>
      </c>
      <c r="I27" s="351">
        <f>INDEX(qPCR_Managed!Q$4:Q$235, MATCH($E27, qPCR_Managed!$E$4:$E$235, 0), 1)</f>
        <v>8.6081730970830517</v>
      </c>
      <c r="J27" s="352">
        <f>INDEX(qPCR_Managed!R$4:R$235, MATCH($E27, qPCR_Managed!$E$4:$E$235, 0), 1)</f>
        <v>0.34832853327517965</v>
      </c>
      <c r="K27" s="353">
        <f>INDEX(qPCR_Managed!Y$4:Y$235, MATCH($E27, qPCR_Managed!$E$4:$E$235, 0), 1)</f>
        <v>0</v>
      </c>
      <c r="L27" s="354">
        <f>INDEX(qPCR_Managed!AB$4:AB$235, MATCH($E27, qPCR_Managed!$E$4:$E$235, 0), 1)</f>
        <v>0</v>
      </c>
      <c r="M27" s="355">
        <f>INDEX(qPCR_Managed!AC$4:AC$235, MATCH($E27, qPCR_Managed!$E$4:$E$235, 0), 1)</f>
        <v>0</v>
      </c>
      <c r="N27" s="350">
        <f>INDEX(qPCR_Managed!AJ$4:AJ$235, MATCH($E27, qPCR_Managed!$E$4:$E$235, 0), 1)</f>
        <v>0</v>
      </c>
      <c r="O27" s="351">
        <f>INDEX(qPCR_Managed!AM$4:AM$235, MATCH($E27, qPCR_Managed!$E$4:$E$235, 0), 1)</f>
        <v>0</v>
      </c>
      <c r="P27" s="352">
        <f>INDEX(qPCR_Managed!AN$4:AN$235, MATCH($E27, qPCR_Managed!$E$4:$E$235, 0), 1)</f>
        <v>0</v>
      </c>
      <c r="Q27" s="356">
        <f>INDEX(qPCR_Managed!AU$4:AU$235, MATCH($E27, qPCR_Managed!$E$4:$E$235, 0), 1)</f>
        <v>735372.31754194864</v>
      </c>
      <c r="R27" s="354">
        <f>INDEX(qPCR_Managed!AX$4:AX$235, MATCH($E27, qPCR_Managed!$E$4:$E$235, 0), 1)</f>
        <v>5.8665072771985223</v>
      </c>
      <c r="S27" s="357">
        <f>INDEX(qPCR_Managed!AY$4:AY$235, MATCH($E27, qPCR_Managed!$E$4:$E$235, 0), 1)</f>
        <v>0.33952687880923438</v>
      </c>
      <c r="T27" s="358">
        <f>INDEX(qPCR_Managed!BF$4:BF$235, MATCH($E27, qPCR_Managed!$E$4:$E$235, 0), 1)</f>
        <v>0</v>
      </c>
      <c r="U27" s="351">
        <f>INDEX(qPCR_Managed!BI$4:BI$235, MATCH($E27, qPCR_Managed!$E$4:$E$235, 0), 1)</f>
        <v>0</v>
      </c>
      <c r="V27" s="359">
        <f>INDEX(qPCR_Managed!BJ$4:BJ$235, MATCH($E27, qPCR_Managed!$E$4:$E$235, 0), 1)</f>
        <v>0</v>
      </c>
      <c r="W27" s="490">
        <f t="shared" si="5"/>
        <v>735372.31754194864</v>
      </c>
      <c r="X27" s="491">
        <f t="shared" si="6"/>
        <v>5.8665072771985223</v>
      </c>
      <c r="Y27" s="526" t="str" cm="1">
        <f t="array" ref="Y27">_xlfn.IFS(G27&lt;44361, "Before the burn", G27&lt;44403, "During the burn", G27&gt;44403, "After the burn")</f>
        <v>After the burn</v>
      </c>
      <c r="Z27" s="1090" t="s">
        <v>287</v>
      </c>
    </row>
    <row r="28" spans="1:27" s="279" customFormat="1" x14ac:dyDescent="0.3">
      <c r="A28" s="301" t="str">
        <v>MRT44405</v>
      </c>
      <c r="B28" s="302" t="str">
        <f t="shared" si="7"/>
        <v>DMRT44405</v>
      </c>
      <c r="C28" s="302" t="str">
        <v>BSPI44412</v>
      </c>
      <c r="D28" s="302" t="str">
        <f t="shared" si="1"/>
        <v>SPI44412</v>
      </c>
      <c r="E28" s="302" t="str">
        <f t="shared" si="2"/>
        <v>SPI444126</v>
      </c>
      <c r="F28" s="302" t="str">
        <f t="shared" si="3"/>
        <v>SPI</v>
      </c>
      <c r="G28" s="316">
        <f t="shared" si="4"/>
        <v>44412</v>
      </c>
      <c r="H28" s="350">
        <f>INDEX(qPCR_Managed!N$4:N$235, MATCH($E28, qPCR_Managed!$E$4:$E$235, 0), 1)</f>
        <v>57927326.48095873</v>
      </c>
      <c r="I28" s="351">
        <f>INDEX(qPCR_Managed!Q$4:Q$235, MATCH($E28, qPCR_Managed!$E$4:$E$235, 0), 1)</f>
        <v>7.7628834849747959</v>
      </c>
      <c r="J28" s="352">
        <f>INDEX(qPCR_Managed!R$4:R$235, MATCH($E28, qPCR_Managed!$E$4:$E$235, 0), 1)</f>
        <v>0.4162793164291988</v>
      </c>
      <c r="K28" s="353">
        <f>INDEX(qPCR_Managed!Y$4:Y$235, MATCH($E28, qPCR_Managed!$E$4:$E$235, 0), 1)</f>
        <v>5782.9686164855957</v>
      </c>
      <c r="L28" s="354">
        <f>INDEX(qPCR_Managed!AB$4:AB$235, MATCH($E28, qPCR_Managed!$E$4:$E$235, 0), 1)</f>
        <v>3.7621508354431223</v>
      </c>
      <c r="M28" s="355">
        <f>INDEX(qPCR_Managed!AC$4:AC$235, MATCH($E28, qPCR_Managed!$E$4:$E$235, 0), 1)</f>
        <v>0.27255859693364748</v>
      </c>
      <c r="N28" s="350">
        <f>INDEX(qPCR_Managed!AJ$4:AJ$235, MATCH($E28, qPCR_Managed!$E$4:$E$235, 0), 1)</f>
        <v>673.59232803185773</v>
      </c>
      <c r="O28" s="351">
        <f>INDEX(qPCR_Managed!AM$4:AM$235, MATCH($E28, qPCR_Managed!$E$4:$E$235, 0), 1)</f>
        <v>2.828397132065815</v>
      </c>
      <c r="P28" s="352">
        <f>INDEX(qPCR_Managed!AN$4:AN$235, MATCH($E28, qPCR_Managed!$E$4:$E$235, 0), 1)</f>
        <v>6.4102134359966353E-2</v>
      </c>
      <c r="Q28" s="356">
        <f>INDEX(qPCR_Managed!AU$4:AU$235, MATCH($E28, qPCR_Managed!$E$4:$E$235, 0), 1)</f>
        <v>0</v>
      </c>
      <c r="R28" s="354">
        <f>INDEX(qPCR_Managed!AX$4:AX$235, MATCH($E28, qPCR_Managed!$E$4:$E$235, 0), 1)</f>
        <v>0</v>
      </c>
      <c r="S28" s="357">
        <f>INDEX(qPCR_Managed!AY$4:AY$235, MATCH($E28, qPCR_Managed!$E$4:$E$235, 0), 1)</f>
        <v>0</v>
      </c>
      <c r="T28" s="358">
        <f>INDEX(qPCR_Managed!BF$4:BF$235, MATCH($E28, qPCR_Managed!$E$4:$E$235, 0), 1)</f>
        <v>0</v>
      </c>
      <c r="U28" s="351">
        <f>INDEX(qPCR_Managed!BI$4:BI$235, MATCH($E28, qPCR_Managed!$E$4:$E$235, 0), 1)</f>
        <v>0</v>
      </c>
      <c r="V28" s="359">
        <f>INDEX(qPCR_Managed!BJ$4:BJ$235, MATCH($E28, qPCR_Managed!$E$4:$E$235, 0), 1)</f>
        <v>0</v>
      </c>
      <c r="W28" s="490">
        <f t="shared" si="5"/>
        <v>6456.5609445174532</v>
      </c>
      <c r="X28" s="491">
        <f t="shared" si="6"/>
        <v>3.8100012547570228</v>
      </c>
      <c r="Y28" s="526" t="str" cm="1">
        <f t="array" ref="Y28">_xlfn.IFS(G28&lt;44361, "Before the burn", G28&lt;44403, "During the burn", G28&gt;44403, "After the burn")</f>
        <v>After the burn</v>
      </c>
      <c r="Z28" s="1090" t="s">
        <v>287</v>
      </c>
    </row>
    <row r="29" spans="1:27" s="279" customFormat="1" x14ac:dyDescent="0.3">
      <c r="A29" s="301" t="str">
        <v>MRT44412</v>
      </c>
      <c r="B29" s="302" t="str">
        <f t="shared" si="7"/>
        <v>DMRT44412</v>
      </c>
      <c r="C29" s="302" t="str">
        <v>BSPI44419</v>
      </c>
      <c r="D29" s="302" t="str">
        <f t="shared" si="1"/>
        <v>SPI44419</v>
      </c>
      <c r="E29" s="302" t="str">
        <f t="shared" si="2"/>
        <v>SPI444196</v>
      </c>
      <c r="F29" s="302" t="str">
        <f t="shared" si="3"/>
        <v>SPI</v>
      </c>
      <c r="G29" s="316">
        <f t="shared" si="4"/>
        <v>44419</v>
      </c>
      <c r="H29" s="350">
        <f>INDEX(qPCR_Managed!N$4:N$235, MATCH($E29, qPCR_Managed!$E$4:$E$235, 0), 1)</f>
        <v>9060300.0450077765</v>
      </c>
      <c r="I29" s="351">
        <f>INDEX(qPCR_Managed!Q$4:Q$235, MATCH($E29, qPCR_Managed!$E$4:$E$235, 0), 1)</f>
        <v>6.9571425802081057</v>
      </c>
      <c r="J29" s="352">
        <f>INDEX(qPCR_Managed!R$4:R$235, MATCH($E29, qPCR_Managed!$E$4:$E$235, 0), 1)</f>
        <v>0.16937546303109191</v>
      </c>
      <c r="K29" s="353">
        <f>INDEX(qPCR_Managed!Y$4:Y$235, MATCH($E29, qPCR_Managed!$E$4:$E$235, 0), 1)</f>
        <v>6351.5933354695635</v>
      </c>
      <c r="L29" s="354">
        <f>INDEX(qPCR_Managed!AB$4:AB$235, MATCH($E29, qPCR_Managed!$E$4:$E$235, 0), 1)</f>
        <v>3.8028826843473644</v>
      </c>
      <c r="M29" s="355">
        <f>INDEX(qPCR_Managed!AC$4:AC$235, MATCH($E29, qPCR_Managed!$E$4:$E$235, 0), 1)</f>
        <v>0.35849273168062923</v>
      </c>
      <c r="N29" s="350">
        <f>INDEX(qPCR_Managed!AJ$4:AJ$235, MATCH($E29, qPCR_Managed!$E$4:$E$235, 0), 1)</f>
        <v>690.3161658181084</v>
      </c>
      <c r="O29" s="351">
        <f>INDEX(qPCR_Managed!AM$4:AM$235, MATCH($E29, qPCR_Managed!$E$4:$E$235, 0), 1)</f>
        <v>2.8390480438118804</v>
      </c>
      <c r="P29" s="352">
        <f>INDEX(qPCR_Managed!AN$4:AN$235, MATCH($E29, qPCR_Managed!$E$4:$E$235, 0), 1)</f>
        <v>0.20787693142600364</v>
      </c>
      <c r="Q29" s="356">
        <f>INDEX(qPCR_Managed!AU$4:AU$235, MATCH($E29, qPCR_Managed!$E$4:$E$235, 0), 1)</f>
        <v>1396.6173463397556</v>
      </c>
      <c r="R29" s="354">
        <f>INDEX(qPCR_Managed!AX$4:AX$235, MATCH($E29, qPCR_Managed!$E$4:$E$235, 0), 1)</f>
        <v>3.1450774317855172</v>
      </c>
      <c r="S29" s="357">
        <f>INDEX(qPCR_Managed!AY$4:AY$235, MATCH($E29, qPCR_Managed!$E$4:$E$235, 0), 1)</f>
        <v>0.22928586786247901</v>
      </c>
      <c r="T29" s="358">
        <f>INDEX(qPCR_Managed!BF$4:BF$235, MATCH($E29, qPCR_Managed!$E$4:$E$235, 0), 1)</f>
        <v>0</v>
      </c>
      <c r="U29" s="351">
        <f>INDEX(qPCR_Managed!BI$4:BI$235, MATCH($E29, qPCR_Managed!$E$4:$E$235, 0), 1)</f>
        <v>0</v>
      </c>
      <c r="V29" s="359">
        <f>INDEX(qPCR_Managed!BJ$4:BJ$235, MATCH($E29, qPCR_Managed!$E$4:$E$235, 0), 1)</f>
        <v>0</v>
      </c>
      <c r="W29" s="490">
        <f t="shared" si="5"/>
        <v>8438.5268476274268</v>
      </c>
      <c r="X29" s="491">
        <f t="shared" si="6"/>
        <v>3.9262666364612002</v>
      </c>
      <c r="Y29" s="526" t="str" cm="1">
        <f t="array" ref="Y29">_xlfn.IFS(G29&lt;44361, "Before the burn", G29&lt;44403, "During the burn", G29&gt;44403, "After the burn")</f>
        <v>After the burn</v>
      </c>
      <c r="Z29" s="1090" t="s">
        <v>287</v>
      </c>
    </row>
    <row r="30" spans="1:27" s="279" customFormat="1" x14ac:dyDescent="0.3">
      <c r="A30" s="301" t="str">
        <v>MRT44419</v>
      </c>
      <c r="B30" s="302" t="str">
        <f t="shared" si="7"/>
        <v>DMRT44419</v>
      </c>
      <c r="C30" s="302" t="str">
        <v>BSPI44426</v>
      </c>
      <c r="D30" s="302" t="str">
        <f t="shared" si="1"/>
        <v>SPI44426</v>
      </c>
      <c r="E30" s="302" t="str">
        <f t="shared" si="2"/>
        <v>SPI444266</v>
      </c>
      <c r="F30" s="302" t="str">
        <f t="shared" si="3"/>
        <v>SPI</v>
      </c>
      <c r="G30" s="316">
        <f t="shared" si="4"/>
        <v>44426</v>
      </c>
      <c r="H30" s="350">
        <f>INDEX(qPCR_Managed!N$4:N$235, MATCH($E30, qPCR_Managed!$E$4:$E$235, 0), 1)</f>
        <v>12399603.777513435</v>
      </c>
      <c r="I30" s="351">
        <f>INDEX(qPCR_Managed!Q$4:Q$235, MATCH($E30, qPCR_Managed!$E$4:$E$235, 0), 1)</f>
        <v>7.093407807743783</v>
      </c>
      <c r="J30" s="352">
        <f>INDEX(qPCR_Managed!R$4:R$235, MATCH($E30, qPCR_Managed!$E$4:$E$235, 0), 1)</f>
        <v>0.21111643634973712</v>
      </c>
      <c r="K30" s="353">
        <f>INDEX(qPCR_Managed!Y$4:Y$235, MATCH($E30, qPCR_Managed!$E$4:$E$235, 0), 1)</f>
        <v>36587.487890365279</v>
      </c>
      <c r="L30" s="354">
        <f>INDEX(qPCR_Managed!AB$4:AB$235, MATCH($E30, qPCR_Managed!$E$4:$E$235, 0), 1)</f>
        <v>4.5633325917001768</v>
      </c>
      <c r="M30" s="355">
        <f>INDEX(qPCR_Managed!AC$4:AC$235, MATCH($E30, qPCR_Managed!$E$4:$E$235, 0), 1)</f>
        <v>0.24120410446646018</v>
      </c>
      <c r="N30" s="350">
        <f>INDEX(qPCR_Managed!AJ$4:AJ$235, MATCH($E30, qPCR_Managed!$E$4:$E$235, 0), 1)</f>
        <v>106.2839462402019</v>
      </c>
      <c r="O30" s="351">
        <f>INDEX(qPCR_Managed!AM$4:AM$235, MATCH($E30, qPCR_Managed!$E$4:$E$235, 0), 1)</f>
        <v>2.0264676710536986</v>
      </c>
      <c r="P30" s="352">
        <f>INDEX(qPCR_Managed!AN$4:AN$235, MATCH($E30, qPCR_Managed!$E$4:$E$235, 0), 1)</f>
        <v>0.43429448190325176</v>
      </c>
      <c r="Q30" s="356">
        <f>INDEX(qPCR_Managed!AU$4:AU$235, MATCH($E30, qPCR_Managed!$E$4:$E$235, 0), 1)</f>
        <v>0</v>
      </c>
      <c r="R30" s="354">
        <f>INDEX(qPCR_Managed!AX$4:AX$235, MATCH($E30, qPCR_Managed!$E$4:$E$235, 0), 1)</f>
        <v>0</v>
      </c>
      <c r="S30" s="357">
        <f>INDEX(qPCR_Managed!AY$4:AY$235, MATCH($E30, qPCR_Managed!$E$4:$E$235, 0), 1)</f>
        <v>0</v>
      </c>
      <c r="T30" s="358">
        <f>INDEX(qPCR_Managed!BF$4:BF$235, MATCH($E30, qPCR_Managed!$E$4:$E$235, 0), 1)</f>
        <v>0</v>
      </c>
      <c r="U30" s="351">
        <f>INDEX(qPCR_Managed!BI$4:BI$235, MATCH($E30, qPCR_Managed!$E$4:$E$235, 0), 1)</f>
        <v>0</v>
      </c>
      <c r="V30" s="359">
        <f>INDEX(qPCR_Managed!BJ$4:BJ$235, MATCH($E30, qPCR_Managed!$E$4:$E$235, 0), 1)</f>
        <v>0</v>
      </c>
      <c r="W30" s="490">
        <f t="shared" si="5"/>
        <v>36693.771836605483</v>
      </c>
      <c r="X30" s="491">
        <f t="shared" si="6"/>
        <v>4.5645923561721409</v>
      </c>
      <c r="Y30" s="526" t="str" cm="1">
        <f t="array" ref="Y30">_xlfn.IFS(G30&lt;44361, "Before the burn", G30&lt;44403, "During the burn", G30&gt;44403, "After the burn")</f>
        <v>After the burn</v>
      </c>
      <c r="Z30" s="1090" t="s">
        <v>287</v>
      </c>
    </row>
    <row r="31" spans="1:27" s="279" customFormat="1" ht="16.350000000000001" thickBot="1" x14ac:dyDescent="0.35">
      <c r="A31" s="303" t="str">
        <v>MRT44426</v>
      </c>
      <c r="B31" s="304" t="str">
        <f t="shared" si="7"/>
        <v>DMRT44426</v>
      </c>
      <c r="C31" s="304" t="str">
        <v>BSPI44433</v>
      </c>
      <c r="D31" s="304" t="str">
        <f t="shared" si="1"/>
        <v>SPI44433</v>
      </c>
      <c r="E31" s="304" t="str">
        <f t="shared" si="2"/>
        <v>SPI444336</v>
      </c>
      <c r="F31" s="304" t="str">
        <f t="shared" si="3"/>
        <v>SPI</v>
      </c>
      <c r="G31" s="317">
        <f t="shared" si="4"/>
        <v>44433</v>
      </c>
      <c r="H31" s="360">
        <f>INDEX(qPCR_Managed!N$4:N$235, MATCH($E31, qPCR_Managed!$E$4:$E$235, 0), 1)</f>
        <v>3301584693.4449725</v>
      </c>
      <c r="I31" s="361">
        <f>INDEX(qPCR_Managed!Q$4:Q$235, MATCH($E31, qPCR_Managed!$E$4:$E$235, 0), 1)</f>
        <v>9.5187224424310894</v>
      </c>
      <c r="J31" s="362">
        <f>INDEX(qPCR_Managed!R$4:R$235, MATCH($E31, qPCR_Managed!$E$4:$E$235, 0), 1)</f>
        <v>0.42907509179096531</v>
      </c>
      <c r="K31" s="363">
        <f>INDEX(qPCR_Managed!Y$4:Y$235, MATCH($E31, qPCR_Managed!$E$4:$E$235, 0), 1)</f>
        <v>11727.359347873264</v>
      </c>
      <c r="L31" s="364">
        <f>INDEX(qPCR_Managed!AB$4:AB$235, MATCH($E31, qPCR_Managed!$E$4:$E$235, 0), 1)</f>
        <v>4.0692002329379919</v>
      </c>
      <c r="M31" s="365">
        <f>INDEX(qPCR_Managed!AC$4:AC$235, MATCH($E31, qPCR_Managed!$E$4:$E$235, 0), 1)</f>
        <v>0.43429448190325176</v>
      </c>
      <c r="N31" s="360">
        <f>INDEX(qPCR_Managed!AJ$4:AJ$235, MATCH($E31, qPCR_Managed!$E$4:$E$235, 0), 1)</f>
        <v>154.5098200154944</v>
      </c>
      <c r="O31" s="361">
        <f>INDEX(qPCR_Managed!AM$4:AM$235, MATCH($E31, qPCR_Managed!$E$4:$E$235, 0), 1)</f>
        <v>2.1889560866282487</v>
      </c>
      <c r="P31" s="362">
        <f>INDEX(qPCR_Managed!AN$4:AN$235, MATCH($E31, qPCR_Managed!$E$4:$E$235, 0), 1)</f>
        <v>2.0781092842217158E-2</v>
      </c>
      <c r="Q31" s="366">
        <f>INDEX(qPCR_Managed!AU$4:AU$235, MATCH($E31, qPCR_Managed!$E$4:$E$235, 0), 1)</f>
        <v>110032.59417654453</v>
      </c>
      <c r="R31" s="364">
        <f>INDEX(qPCR_Managed!AX$4:AX$235, MATCH($E31, qPCR_Managed!$E$4:$E$235, 0), 1)</f>
        <v>5.0415213521965967</v>
      </c>
      <c r="S31" s="367">
        <f>INDEX(qPCR_Managed!AY$4:AY$235, MATCH($E31, qPCR_Managed!$E$4:$E$235, 0), 1)</f>
        <v>0.43429448190325176</v>
      </c>
      <c r="T31" s="368">
        <f>INDEX(qPCR_Managed!BF$4:BF$235, MATCH($E31, qPCR_Managed!$E$4:$E$235, 0), 1)</f>
        <v>0</v>
      </c>
      <c r="U31" s="361">
        <f>INDEX(qPCR_Managed!BI$4:BI$235, MATCH($E31, qPCR_Managed!$E$4:$E$235, 0), 1)</f>
        <v>0</v>
      </c>
      <c r="V31" s="369">
        <f>INDEX(qPCR_Managed!BJ$4:BJ$235, MATCH($E31, qPCR_Managed!$E$4:$E$235, 0), 1)</f>
        <v>0</v>
      </c>
      <c r="W31" s="492">
        <f t="shared" si="5"/>
        <v>121914.46334443329</v>
      </c>
      <c r="X31" s="493">
        <f t="shared" si="6"/>
        <v>5.0860552312793166</v>
      </c>
      <c r="Y31" s="527" t="str" cm="1">
        <f t="array" ref="Y31">_xlfn.IFS(G31&lt;44361, "Before the burn", G31&lt;44403, "During the burn", G31&gt;44403, "After the burn")</f>
        <v>After the burn</v>
      </c>
      <c r="Z31" s="1090" t="s">
        <v>287</v>
      </c>
    </row>
    <row r="32" spans="1:27" s="279" customFormat="1" x14ac:dyDescent="0.3">
      <c r="A32" s="288" t="str">
        <v>MRT44433</v>
      </c>
      <c r="B32" s="289" t="str">
        <f t="shared" si="7"/>
        <v>DMRT44433</v>
      </c>
      <c r="C32" s="289" t="str">
        <v>CSPO44335</v>
      </c>
      <c r="D32" s="289" t="str">
        <f t="shared" si="1"/>
        <v>SPO44335</v>
      </c>
      <c r="E32" s="289" t="str">
        <f t="shared" si="2"/>
        <v>SPO443356</v>
      </c>
      <c r="F32" s="289" t="str">
        <f t="shared" si="3"/>
        <v>SPO</v>
      </c>
      <c r="G32" s="312">
        <f t="shared" si="4"/>
        <v>44335</v>
      </c>
      <c r="H32" s="324">
        <f>INDEX(qPCR_Managed!N$4:N$235, MATCH($E32, qPCR_Managed!$E$4:$E$235, 0), 1)</f>
        <v>24982327.534028612</v>
      </c>
      <c r="I32" s="213">
        <f>INDEX(qPCR_Managed!Q$4:Q$235, MATCH($E32, qPCR_Managed!$E$4:$E$235, 0), 1)</f>
        <v>7.3976328979330424</v>
      </c>
      <c r="J32" s="325">
        <f>INDEX(qPCR_Managed!R$4:R$235, MATCH($E32, qPCR_Managed!$E$4:$E$235, 0), 1)</f>
        <v>3.9404873393259557E-3</v>
      </c>
      <c r="K32" s="320">
        <f>INDEX(qPCR_Managed!Y$4:Y$235, MATCH($E32, qPCR_Managed!$E$4:$E$235, 0), 1)</f>
        <v>127384.67265126975</v>
      </c>
      <c r="L32" s="308">
        <f>INDEX(qPCR_Managed!AB$4:AB$235, MATCH($E32, qPCR_Managed!$E$4:$E$235, 0), 1)</f>
        <v>5.1051171753821354</v>
      </c>
      <c r="M32" s="329">
        <f>INDEX(qPCR_Managed!AC$4:AC$235, MATCH($E32, qPCR_Managed!$E$4:$E$235, 0), 1)</f>
        <v>1.183747321165329E-2</v>
      </c>
      <c r="N32" s="324">
        <f>INDEX(qPCR_Managed!AJ$4:AJ$235, MATCH($E32, qPCR_Managed!$E$4:$E$235, 0), 1)</f>
        <v>2341.3237787638136</v>
      </c>
      <c r="O32" s="213">
        <f>INDEX(qPCR_Managed!AM$4:AM$235, MATCH($E32, qPCR_Managed!$E$4:$E$235, 0), 1)</f>
        <v>3.3694614758953745</v>
      </c>
      <c r="P32" s="325">
        <f>INDEX(qPCR_Managed!AN$4:AN$235, MATCH($E32, qPCR_Managed!$E$4:$E$235, 0), 1)</f>
        <v>0.18185081074288614</v>
      </c>
      <c r="Q32" s="336">
        <f>INDEX(qPCR_Managed!AU$4:AU$235, MATCH($E32, qPCR_Managed!$E$4:$E$235, 0), 1)</f>
        <v>409.23349785082269</v>
      </c>
      <c r="R32" s="308">
        <f>INDEX(qPCR_Managed!AX$4:AX$235, MATCH($E32, qPCR_Managed!$E$4:$E$235, 0), 1)</f>
        <v>2.6119711757154414</v>
      </c>
      <c r="S32" s="337">
        <f>INDEX(qPCR_Managed!AY$4:AY$235, MATCH($E32, qPCR_Managed!$E$4:$E$235, 0), 1)</f>
        <v>0.43429448190325176</v>
      </c>
      <c r="T32" s="332">
        <f>INDEX(qPCR_Managed!BF$4:BF$235, MATCH($E32, qPCR_Managed!$E$4:$E$235, 0), 1)</f>
        <v>94.925520395991782</v>
      </c>
      <c r="U32" s="213">
        <f>INDEX(qPCR_Managed!BI$4:BI$235, MATCH($E32, qPCR_Managed!$E$4:$E$235, 0), 1)</f>
        <v>1.9773829866860844</v>
      </c>
      <c r="V32" s="214">
        <f>INDEX(qPCR_Managed!BJ$4:BJ$235, MATCH($E32, qPCR_Managed!$E$4:$E$235, 0), 1)</f>
        <v>0.43429448190325176</v>
      </c>
      <c r="W32" s="486">
        <f t="shared" si="5"/>
        <v>130230.15544828038</v>
      </c>
      <c r="X32" s="487">
        <f t="shared" si="6"/>
        <v>5.1147115589511296</v>
      </c>
      <c r="Y32" s="524" t="str" cm="1">
        <f t="array" ref="Y32">_xlfn.IFS(G32&lt;44361, "Before the burn", G32&lt;44403, "During the burn", G32&gt;44403, "After the burn")</f>
        <v>Before the burn</v>
      </c>
      <c r="Z32" s="1090" t="s">
        <v>287</v>
      </c>
    </row>
    <row r="33" spans="1:26" s="279" customFormat="1" x14ac:dyDescent="0.3">
      <c r="A33" s="286" t="str">
        <v>RL44335</v>
      </c>
      <c r="B33" s="287" t="str">
        <f>_xlfn.CONCAT("G", A33)</f>
        <v>GRL44335</v>
      </c>
      <c r="C33" s="287" t="str">
        <v>CSPO44342</v>
      </c>
      <c r="D33" s="287" t="str">
        <f t="shared" si="1"/>
        <v>SPO44342</v>
      </c>
      <c r="E33" s="287" t="str">
        <f t="shared" si="2"/>
        <v>SPO443426</v>
      </c>
      <c r="F33" s="287" t="str">
        <f t="shared" si="3"/>
        <v>SPO</v>
      </c>
      <c r="G33" s="313">
        <f t="shared" si="4"/>
        <v>44342</v>
      </c>
      <c r="H33" s="324">
        <f>INDEX(qPCR_Managed!N$4:N$235, MATCH($E33, qPCR_Managed!$E$4:$E$235, 0), 1)</f>
        <v>8355844.2294126544</v>
      </c>
      <c r="I33" s="213">
        <f>INDEX(qPCR_Managed!Q$4:Q$235, MATCH($E33, qPCR_Managed!$E$4:$E$235, 0), 1)</f>
        <v>6.9219903352171874</v>
      </c>
      <c r="J33" s="325">
        <f>INDEX(qPCR_Managed!R$4:R$235, MATCH($E33, qPCR_Managed!$E$4:$E$235, 0), 1)</f>
        <v>0.14360289696123357</v>
      </c>
      <c r="K33" s="320">
        <f>INDEX(qPCR_Managed!Y$4:Y$235, MATCH($E33, qPCR_Managed!$E$4:$E$235, 0), 1)</f>
        <v>22802.724945411253</v>
      </c>
      <c r="L33" s="308">
        <f>INDEX(qPCR_Managed!AB$4:AB$235, MATCH($E33, qPCR_Managed!$E$4:$E$235, 0), 1)</f>
        <v>4.3579867486689796</v>
      </c>
      <c r="M33" s="329">
        <f>INDEX(qPCR_Managed!AC$4:AC$235, MATCH($E33, qPCR_Managed!$E$4:$E$235, 0), 1)</f>
        <v>1.7038562379018952E-2</v>
      </c>
      <c r="N33" s="324">
        <f>INDEX(qPCR_Managed!AJ$4:AJ$235, MATCH($E33, qPCR_Managed!$E$4:$E$235, 0), 1)</f>
        <v>311.48391137891775</v>
      </c>
      <c r="O33" s="213">
        <f>INDEX(qPCR_Managed!AM$4:AM$235, MATCH($E33, qPCR_Managed!$E$4:$E$235, 0), 1)</f>
        <v>2.4934356195993486</v>
      </c>
      <c r="P33" s="325">
        <f>INDEX(qPCR_Managed!AN$4:AN$235, MATCH($E33, qPCR_Managed!$E$4:$E$235, 0), 1)</f>
        <v>7.8988598793511305E-2</v>
      </c>
      <c r="Q33" s="336">
        <f>INDEX(qPCR_Managed!AU$4:AU$235, MATCH($E33, qPCR_Managed!$E$4:$E$235, 0), 1)</f>
        <v>9879.4440833889712</v>
      </c>
      <c r="R33" s="308">
        <f>INDEX(qPCR_Managed!AX$4:AX$235, MATCH($E33, qPCR_Managed!$E$4:$E$235, 0), 1)</f>
        <v>3.9947325075118063</v>
      </c>
      <c r="S33" s="337">
        <f>INDEX(qPCR_Managed!AY$4:AY$235, MATCH($E33, qPCR_Managed!$E$4:$E$235, 0), 1)</f>
        <v>0.43429448190325171</v>
      </c>
      <c r="T33" s="332">
        <f>INDEX(qPCR_Managed!BF$4:BF$235, MATCH($E33, qPCR_Managed!$E$4:$E$235, 0), 1)</f>
        <v>249.61873482356677</v>
      </c>
      <c r="U33" s="213">
        <f>INDEX(qPCR_Managed!BI$4:BI$235, MATCH($E33, qPCR_Managed!$E$4:$E$235, 0), 1)</f>
        <v>2.397277177665643</v>
      </c>
      <c r="V33" s="214">
        <f>INDEX(qPCR_Managed!BJ$4:BJ$235, MATCH($E33, qPCR_Managed!$E$4:$E$235, 0), 1)</f>
        <v>3.4879257329606804E-2</v>
      </c>
      <c r="W33" s="482">
        <f t="shared" si="5"/>
        <v>33243.27167500271</v>
      </c>
      <c r="X33" s="483">
        <f t="shared" si="6"/>
        <v>4.5217037588088145</v>
      </c>
      <c r="Y33" s="522" t="str" cm="1">
        <f t="array" ref="Y33">_xlfn.IFS(G33&lt;44361, "Before the burn", G33&lt;44403, "During the burn", G33&gt;44403, "After the burn")</f>
        <v>Before the burn</v>
      </c>
      <c r="Z33" s="1090" t="s">
        <v>287</v>
      </c>
    </row>
    <row r="34" spans="1:26" s="279" customFormat="1" x14ac:dyDescent="0.3">
      <c r="A34" s="286" t="str">
        <v>RL44342</v>
      </c>
      <c r="B34" s="287" t="str">
        <f t="shared" ref="B34:B46" si="8">_xlfn.CONCAT("G", A34)</f>
        <v>GRL44342</v>
      </c>
      <c r="C34" s="287" t="str">
        <v>CSPO44350</v>
      </c>
      <c r="D34" s="287" t="str">
        <f t="shared" si="1"/>
        <v>SPO44350</v>
      </c>
      <c r="E34" s="287" t="str">
        <f t="shared" si="2"/>
        <v>SPO443506</v>
      </c>
      <c r="F34" s="287" t="str">
        <f t="shared" si="3"/>
        <v>SPO</v>
      </c>
      <c r="G34" s="313">
        <f t="shared" si="4"/>
        <v>44350</v>
      </c>
      <c r="H34" s="324">
        <f>INDEX(qPCR_Managed!N$4:N$235, MATCH($E34, qPCR_Managed!$E$4:$E$235, 0), 1)</f>
        <v>13632722.99709842</v>
      </c>
      <c r="I34" s="213">
        <f>INDEX(qPCR_Managed!Q$4:Q$235, MATCH($E34, qPCR_Managed!$E$4:$E$235, 0), 1)</f>
        <v>7.134582610383597</v>
      </c>
      <c r="J34" s="325">
        <f>INDEX(qPCR_Managed!R$4:R$235, MATCH($E34, qPCR_Managed!$E$4:$E$235, 0), 1)</f>
        <v>0.16724922684422205</v>
      </c>
      <c r="K34" s="320">
        <f>INDEX(qPCR_Managed!Y$4:Y$235, MATCH($E34, qPCR_Managed!$E$4:$E$235, 0), 1)</f>
        <v>69895.216642370535</v>
      </c>
      <c r="L34" s="308">
        <f>INDEX(qPCR_Managed!AB$4:AB$235, MATCH($E34, qPCR_Managed!$E$4:$E$235, 0), 1)</f>
        <v>4.8444474553321486</v>
      </c>
      <c r="M34" s="329">
        <f>INDEX(qPCR_Managed!AC$4:AC$235, MATCH($E34, qPCR_Managed!$E$4:$E$235, 0), 1)</f>
        <v>4.702753297180004E-2</v>
      </c>
      <c r="N34" s="324">
        <f>INDEX(qPCR_Managed!AJ$4:AJ$235, MATCH($E34, qPCR_Managed!$E$4:$E$235, 0), 1)</f>
        <v>1487.2847663031685</v>
      </c>
      <c r="O34" s="213">
        <f>INDEX(qPCR_Managed!AM$4:AM$235, MATCH($E34, qPCR_Managed!$E$4:$E$235, 0), 1)</f>
        <v>3.1723941296475311</v>
      </c>
      <c r="P34" s="325">
        <f>INDEX(qPCR_Managed!AN$4:AN$235, MATCH($E34, qPCR_Managed!$E$4:$E$235, 0), 1)</f>
        <v>0.10855756933633319</v>
      </c>
      <c r="Q34" s="336">
        <f>INDEX(qPCR_Managed!AU$4:AU$235, MATCH($E34, qPCR_Managed!$E$4:$E$235, 0), 1)</f>
        <v>821.68414857652454</v>
      </c>
      <c r="R34" s="308">
        <f>INDEX(qPCR_Managed!AX$4:AX$235, MATCH($E34, qPCR_Managed!$E$4:$E$235, 0), 1)</f>
        <v>2.9147049089133246</v>
      </c>
      <c r="S34" s="337">
        <f>INDEX(qPCR_Managed!AY$4:AY$235, MATCH($E34, qPCR_Managed!$E$4:$E$235, 0), 1)</f>
        <v>0.43429448190325176</v>
      </c>
      <c r="T34" s="332">
        <f>INDEX(qPCR_Managed!BF$4:BF$235, MATCH($E34, qPCR_Managed!$E$4:$E$235, 0), 1)</f>
        <v>0</v>
      </c>
      <c r="U34" s="213">
        <f>INDEX(qPCR_Managed!BI$4:BI$235, MATCH($E34, qPCR_Managed!$E$4:$E$235, 0), 1)</f>
        <v>0</v>
      </c>
      <c r="V34" s="214">
        <f>INDEX(qPCR_Managed!BJ$4:BJ$235, MATCH($E34, qPCR_Managed!$E$4:$E$235, 0), 1)</f>
        <v>0</v>
      </c>
      <c r="W34" s="482">
        <f t="shared" si="5"/>
        <v>72204.185557250225</v>
      </c>
      <c r="X34" s="483">
        <f t="shared" si="6"/>
        <v>4.858562373632382</v>
      </c>
      <c r="Y34" s="522" t="str" cm="1">
        <f t="array" ref="Y34">_xlfn.IFS(G34&lt;44361, "Before the burn", G34&lt;44403, "During the burn", G34&gt;44403, "After the burn")</f>
        <v>Before the burn</v>
      </c>
      <c r="Z34" s="1090" t="s">
        <v>287</v>
      </c>
    </row>
    <row r="35" spans="1:26" s="279" customFormat="1" x14ac:dyDescent="0.3">
      <c r="A35" s="286" t="str">
        <v>RL44350</v>
      </c>
      <c r="B35" s="287" t="str">
        <f t="shared" si="8"/>
        <v>GRL44350</v>
      </c>
      <c r="C35" s="287" t="str">
        <v>CSPO44356</v>
      </c>
      <c r="D35" s="287" t="str">
        <f t="shared" si="1"/>
        <v>SPO44356</v>
      </c>
      <c r="E35" s="287" t="str">
        <f t="shared" si="2"/>
        <v>SPO443566</v>
      </c>
      <c r="F35" s="287" t="str">
        <f t="shared" si="3"/>
        <v>SPO</v>
      </c>
      <c r="G35" s="313">
        <f t="shared" si="4"/>
        <v>44356</v>
      </c>
      <c r="H35" s="324">
        <f>INDEX(qPCR_Managed!N$4:N$235, MATCH($E35, qPCR_Managed!$E$4:$E$235, 0), 1)</f>
        <v>7621051.6536266599</v>
      </c>
      <c r="I35" s="213">
        <f>INDEX(qPCR_Managed!Q$4:Q$235, MATCH($E35, qPCR_Managed!$E$4:$E$235, 0), 1)</f>
        <v>6.8820149051785551</v>
      </c>
      <c r="J35" s="325">
        <f>INDEX(qPCR_Managed!R$4:R$235, MATCH($E35, qPCR_Managed!$E$4:$E$235, 0), 1)</f>
        <v>0.171192816916276</v>
      </c>
      <c r="K35" s="320">
        <f>INDEX(qPCR_Managed!Y$4:Y$235, MATCH($E35, qPCR_Managed!$E$4:$E$235, 0), 1)</f>
        <v>25427.847262077932</v>
      </c>
      <c r="L35" s="308">
        <f>INDEX(qPCR_Managed!AB$4:AB$235, MATCH($E35, qPCR_Managed!$E$4:$E$235, 0), 1)</f>
        <v>4.4053095940815297</v>
      </c>
      <c r="M35" s="329">
        <f>INDEX(qPCR_Managed!AC$4:AC$235, MATCH($E35, qPCR_Managed!$E$4:$E$235, 0), 1)</f>
        <v>0.16732303039122209</v>
      </c>
      <c r="N35" s="324">
        <f>INDEX(qPCR_Managed!AJ$4:AJ$235, MATCH($E35, qPCR_Managed!$E$4:$E$235, 0), 1)</f>
        <v>2143.2214447965171</v>
      </c>
      <c r="O35" s="213">
        <f>INDEX(qPCR_Managed!AM$4:AM$235, MATCH($E35, qPCR_Managed!$E$4:$E$235, 0), 1)</f>
        <v>3.3310670461162957</v>
      </c>
      <c r="P35" s="325">
        <f>INDEX(qPCR_Managed!AN$4:AN$235, MATCH($E35, qPCR_Managed!$E$4:$E$235, 0), 1)</f>
        <v>9.8356843547808437E-2</v>
      </c>
      <c r="Q35" s="336">
        <f>INDEX(qPCR_Managed!AU$4:AU$235, MATCH($E35, qPCR_Managed!$E$4:$E$235, 0), 1)</f>
        <v>930.36455583822044</v>
      </c>
      <c r="R35" s="308">
        <f>INDEX(qPCR_Managed!AX$4:AX$235, MATCH($E35, qPCR_Managed!$E$4:$E$235, 0), 1)</f>
        <v>2.968653156689125</v>
      </c>
      <c r="S35" s="337">
        <f>INDEX(qPCR_Managed!AY$4:AY$235, MATCH($E35, qPCR_Managed!$E$4:$E$235, 0), 1)</f>
        <v>9.4508594094169632E-2</v>
      </c>
      <c r="T35" s="332">
        <f>INDEX(qPCR_Managed!BF$4:BF$235, MATCH($E35, qPCR_Managed!$E$4:$E$235, 0), 1)</f>
        <v>0</v>
      </c>
      <c r="U35" s="213">
        <f>INDEX(qPCR_Managed!BI$4:BI$235, MATCH($E35, qPCR_Managed!$E$4:$E$235, 0), 1)</f>
        <v>0</v>
      </c>
      <c r="V35" s="214">
        <f>INDEX(qPCR_Managed!BJ$4:BJ$235, MATCH($E35, qPCR_Managed!$E$4:$E$235, 0), 1)</f>
        <v>0</v>
      </c>
      <c r="W35" s="482">
        <f t="shared" si="5"/>
        <v>28501.433262712668</v>
      </c>
      <c r="X35" s="483">
        <f t="shared" si="6"/>
        <v>4.4548667000939863</v>
      </c>
      <c r="Y35" s="522" t="str" cm="1">
        <f t="array" ref="Y35">_xlfn.IFS(G35&lt;44361, "Before the burn", G35&lt;44403, "During the burn", G35&gt;44403, "After the burn")</f>
        <v>Before the burn</v>
      </c>
      <c r="Z35" s="1090" t="s">
        <v>287</v>
      </c>
    </row>
    <row r="36" spans="1:26" s="279" customFormat="1" x14ac:dyDescent="0.3">
      <c r="A36" s="286" t="str">
        <v>RL44356</v>
      </c>
      <c r="B36" s="287" t="str">
        <f t="shared" si="8"/>
        <v>GRL44356</v>
      </c>
      <c r="C36" s="287" t="str">
        <v>CSPO44370</v>
      </c>
      <c r="D36" s="287" t="str">
        <f t="shared" si="1"/>
        <v>SPO44370</v>
      </c>
      <c r="E36" s="287" t="str">
        <f t="shared" si="2"/>
        <v>SPO443706</v>
      </c>
      <c r="F36" s="287" t="str">
        <f t="shared" si="3"/>
        <v>SPO</v>
      </c>
      <c r="G36" s="313">
        <f t="shared" si="4"/>
        <v>44370</v>
      </c>
      <c r="H36" s="324">
        <f>INDEX(qPCR_Managed!N$4:N$235, MATCH($E36, qPCR_Managed!$E$4:$E$235, 0), 1)</f>
        <v>106165.19125697804</v>
      </c>
      <c r="I36" s="213">
        <f>INDEX(qPCR_Managed!Q$4:Q$235, MATCH($E36, qPCR_Managed!$E$4:$E$235, 0), 1)</f>
        <v>5.025982146472221</v>
      </c>
      <c r="J36" s="325">
        <f>INDEX(qPCR_Managed!R$4:R$235, MATCH($E36, qPCR_Managed!$E$4:$E$235, 0), 1)</f>
        <v>0.43429448190325176</v>
      </c>
      <c r="K36" s="320">
        <f>INDEX(qPCR_Managed!Y$4:Y$235, MATCH($E36, qPCR_Managed!$E$4:$E$235, 0), 1)</f>
        <v>0</v>
      </c>
      <c r="L36" s="308">
        <f>INDEX(qPCR_Managed!AB$4:AB$235, MATCH($E36, qPCR_Managed!$E$4:$E$235, 0), 1)</f>
        <v>0</v>
      </c>
      <c r="M36" s="329">
        <f>INDEX(qPCR_Managed!AC$4:AC$235, MATCH($E36, qPCR_Managed!$E$4:$E$235, 0), 1)</f>
        <v>0</v>
      </c>
      <c r="N36" s="324">
        <f>INDEX(qPCR_Managed!AJ$4:AJ$235, MATCH($E36, qPCR_Managed!$E$4:$E$235, 0), 1)</f>
        <v>0</v>
      </c>
      <c r="O36" s="213">
        <f>INDEX(qPCR_Managed!AM$4:AM$235, MATCH($E36, qPCR_Managed!$E$4:$E$235, 0), 1)</f>
        <v>0</v>
      </c>
      <c r="P36" s="325">
        <f>INDEX(qPCR_Managed!AN$4:AN$235, MATCH($E36, qPCR_Managed!$E$4:$E$235, 0), 1)</f>
        <v>0</v>
      </c>
      <c r="Q36" s="336">
        <f>INDEX(qPCR_Managed!AU$4:AU$235, MATCH($E36, qPCR_Managed!$E$4:$E$235, 0), 1)</f>
        <v>0</v>
      </c>
      <c r="R36" s="308">
        <f>INDEX(qPCR_Managed!AX$4:AX$235, MATCH($E36, qPCR_Managed!$E$4:$E$235, 0), 1)</f>
        <v>0</v>
      </c>
      <c r="S36" s="337">
        <f>INDEX(qPCR_Managed!AY$4:AY$235, MATCH($E36, qPCR_Managed!$E$4:$E$235, 0), 1)</f>
        <v>0</v>
      </c>
      <c r="T36" s="332">
        <f>INDEX(qPCR_Managed!BF$4:BF$235, MATCH($E36, qPCR_Managed!$E$4:$E$235, 0), 1)</f>
        <v>0</v>
      </c>
      <c r="U36" s="213">
        <f>INDEX(qPCR_Managed!BI$4:BI$235, MATCH($E36, qPCR_Managed!$E$4:$E$235, 0), 1)</f>
        <v>0</v>
      </c>
      <c r="V36" s="214">
        <f>INDEX(qPCR_Managed!BJ$4:BJ$235, MATCH($E36, qPCR_Managed!$E$4:$E$235, 0), 1)</f>
        <v>0</v>
      </c>
      <c r="W36" s="482">
        <f t="shared" si="5"/>
        <v>0</v>
      </c>
      <c r="X36" s="483">
        <f t="shared" si="6"/>
        <v>0</v>
      </c>
      <c r="Y36" s="522" t="str" cm="1">
        <f t="array" ref="Y36">_xlfn.IFS(G36&lt;44361, "Before the burn", G36&lt;44403, "During the burn", G36&gt;44403, "After the burn")</f>
        <v>During the burn</v>
      </c>
      <c r="Z36" s="1090" t="s">
        <v>287</v>
      </c>
    </row>
    <row r="37" spans="1:26" s="279" customFormat="1" x14ac:dyDescent="0.3">
      <c r="A37" s="286" t="str">
        <v>RL44363</v>
      </c>
      <c r="B37" s="287" t="str">
        <f t="shared" si="8"/>
        <v>GRL44363</v>
      </c>
      <c r="C37" s="287" t="str">
        <v>CSPO44377</v>
      </c>
      <c r="D37" s="287" t="str">
        <f t="shared" si="1"/>
        <v>SPO44377</v>
      </c>
      <c r="E37" s="287" t="str">
        <f t="shared" si="2"/>
        <v>SPO443776</v>
      </c>
      <c r="F37" s="287" t="str">
        <f t="shared" si="3"/>
        <v>SPO</v>
      </c>
      <c r="G37" s="313">
        <f t="shared" si="4"/>
        <v>44377</v>
      </c>
      <c r="H37" s="324">
        <f>INDEX(qPCR_Managed!N$4:N$235, MATCH($E37, qPCR_Managed!$E$4:$E$235, 0), 1)</f>
        <v>48169.277388961244</v>
      </c>
      <c r="I37" s="213">
        <f>INDEX(qPCR_Managed!Q$4:Q$235, MATCH($E37, qPCR_Managed!$E$4:$E$235, 0), 1)</f>
        <v>4.682770131298021</v>
      </c>
      <c r="J37" s="325">
        <f>INDEX(qPCR_Managed!R$4:R$235, MATCH($E37, qPCR_Managed!$E$4:$E$235, 0), 1)</f>
        <v>0.43429448190325187</v>
      </c>
      <c r="K37" s="320">
        <f>INDEX(qPCR_Managed!Y$4:Y$235, MATCH($E37, qPCR_Managed!$E$4:$E$235, 0), 1)</f>
        <v>0</v>
      </c>
      <c r="L37" s="308">
        <f>INDEX(qPCR_Managed!AB$4:AB$235, MATCH($E37, qPCR_Managed!$E$4:$E$235, 0), 1)</f>
        <v>0</v>
      </c>
      <c r="M37" s="329">
        <f>INDEX(qPCR_Managed!AC$4:AC$235, MATCH($E37, qPCR_Managed!$E$4:$E$235, 0), 1)</f>
        <v>0</v>
      </c>
      <c r="N37" s="324">
        <f>INDEX(qPCR_Managed!AJ$4:AJ$235, MATCH($E37, qPCR_Managed!$E$4:$E$235, 0), 1)</f>
        <v>0</v>
      </c>
      <c r="O37" s="213">
        <f>INDEX(qPCR_Managed!AM$4:AM$235, MATCH($E37, qPCR_Managed!$E$4:$E$235, 0), 1)</f>
        <v>0</v>
      </c>
      <c r="P37" s="325">
        <f>INDEX(qPCR_Managed!AN$4:AN$235, MATCH($E37, qPCR_Managed!$E$4:$E$235, 0), 1)</f>
        <v>0</v>
      </c>
      <c r="Q37" s="336">
        <f>INDEX(qPCR_Managed!AU$4:AU$235, MATCH($E37, qPCR_Managed!$E$4:$E$235, 0), 1)</f>
        <v>0</v>
      </c>
      <c r="R37" s="308">
        <f>INDEX(qPCR_Managed!AX$4:AX$235, MATCH($E37, qPCR_Managed!$E$4:$E$235, 0), 1)</f>
        <v>0</v>
      </c>
      <c r="S37" s="337">
        <f>INDEX(qPCR_Managed!AY$4:AY$235, MATCH($E37, qPCR_Managed!$E$4:$E$235, 0), 1)</f>
        <v>0</v>
      </c>
      <c r="T37" s="332">
        <f>INDEX(qPCR_Managed!BF$4:BF$235, MATCH($E37, qPCR_Managed!$E$4:$E$235, 0), 1)</f>
        <v>0</v>
      </c>
      <c r="U37" s="213">
        <f>INDEX(qPCR_Managed!BI$4:BI$235, MATCH($E37, qPCR_Managed!$E$4:$E$235, 0), 1)</f>
        <v>0</v>
      </c>
      <c r="V37" s="214">
        <f>INDEX(qPCR_Managed!BJ$4:BJ$235, MATCH($E37, qPCR_Managed!$E$4:$E$235, 0), 1)</f>
        <v>0</v>
      </c>
      <c r="W37" s="482">
        <f t="shared" si="5"/>
        <v>0</v>
      </c>
      <c r="X37" s="483">
        <f t="shared" si="6"/>
        <v>0</v>
      </c>
      <c r="Y37" s="522" t="str" cm="1">
        <f t="array" ref="Y37">_xlfn.IFS(G37&lt;44361, "Before the burn", G37&lt;44403, "During the burn", G37&gt;44403, "After the burn")</f>
        <v>During the burn</v>
      </c>
      <c r="Z37" s="1090" t="s">
        <v>287</v>
      </c>
    </row>
    <row r="38" spans="1:26" s="279" customFormat="1" x14ac:dyDescent="0.3">
      <c r="A38" s="286" t="str">
        <v>RL44370</v>
      </c>
      <c r="B38" s="287" t="str">
        <f t="shared" si="8"/>
        <v>GRL44370</v>
      </c>
      <c r="C38" s="287" t="str">
        <v>CSPO44385</v>
      </c>
      <c r="D38" s="287" t="str">
        <f t="shared" si="1"/>
        <v>SPO44385</v>
      </c>
      <c r="E38" s="287" t="str">
        <f t="shared" si="2"/>
        <v>SPO443856</v>
      </c>
      <c r="F38" s="287" t="str">
        <f t="shared" si="3"/>
        <v>SPO</v>
      </c>
      <c r="G38" s="313">
        <f t="shared" si="4"/>
        <v>44385</v>
      </c>
      <c r="H38" s="324">
        <f>INDEX(qPCR_Managed!N$4:N$235, MATCH($E38, qPCR_Managed!$E$4:$E$235, 0), 1)</f>
        <v>122492.91297526439</v>
      </c>
      <c r="I38" s="213">
        <f>INDEX(qPCR_Managed!Q$4:Q$235, MATCH($E38, qPCR_Managed!$E$4:$E$235, 0), 1)</f>
        <v>5.0881109626207861</v>
      </c>
      <c r="J38" s="325">
        <f>INDEX(qPCR_Managed!R$4:R$235, MATCH($E38, qPCR_Managed!$E$4:$E$235, 0), 1)</f>
        <v>0.33916643344319786</v>
      </c>
      <c r="K38" s="320">
        <f>INDEX(qPCR_Managed!Y$4:Y$235, MATCH($E38, qPCR_Managed!$E$4:$E$235, 0), 1)</f>
        <v>683.64194920765431</v>
      </c>
      <c r="L38" s="308">
        <f>INDEX(qPCR_Managed!AB$4:AB$235, MATCH($E38, qPCR_Managed!$E$4:$E$235, 0), 1)</f>
        <v>2.8348287037714068</v>
      </c>
      <c r="M38" s="329">
        <f>INDEX(qPCR_Managed!AC$4:AC$235, MATCH($E38, qPCR_Managed!$E$4:$E$235, 0), 1)</f>
        <v>0.11278915013912376</v>
      </c>
      <c r="N38" s="324">
        <f>INDEX(qPCR_Managed!AJ$4:AJ$235, MATCH($E38, qPCR_Managed!$E$4:$E$235, 0), 1)</f>
        <v>0</v>
      </c>
      <c r="O38" s="213">
        <f>INDEX(qPCR_Managed!AM$4:AM$235, MATCH($E38, qPCR_Managed!$E$4:$E$235, 0), 1)</f>
        <v>0</v>
      </c>
      <c r="P38" s="325">
        <f>INDEX(qPCR_Managed!AN$4:AN$235, MATCH($E38, qPCR_Managed!$E$4:$E$235, 0), 1)</f>
        <v>0</v>
      </c>
      <c r="Q38" s="336">
        <f>INDEX(qPCR_Managed!AU$4:AU$235, MATCH($E38, qPCR_Managed!$E$4:$E$235, 0), 1)</f>
        <v>0</v>
      </c>
      <c r="R38" s="308">
        <f>INDEX(qPCR_Managed!AX$4:AX$235, MATCH($E38, qPCR_Managed!$E$4:$E$235, 0), 1)</f>
        <v>0</v>
      </c>
      <c r="S38" s="337">
        <f>INDEX(qPCR_Managed!AY$4:AY$235, MATCH($E38, qPCR_Managed!$E$4:$E$235, 0), 1)</f>
        <v>0</v>
      </c>
      <c r="T38" s="332">
        <f>INDEX(qPCR_Managed!BF$4:BF$235, MATCH($E38, qPCR_Managed!$E$4:$E$235, 0), 1)</f>
        <v>0</v>
      </c>
      <c r="U38" s="213">
        <f>INDEX(qPCR_Managed!BI$4:BI$235, MATCH($E38, qPCR_Managed!$E$4:$E$235, 0), 1)</f>
        <v>0</v>
      </c>
      <c r="V38" s="214">
        <f>INDEX(qPCR_Managed!BJ$4:BJ$235, MATCH($E38, qPCR_Managed!$E$4:$E$235, 0), 1)</f>
        <v>0</v>
      </c>
      <c r="W38" s="482">
        <f t="shared" si="5"/>
        <v>683.64194920765431</v>
      </c>
      <c r="X38" s="483">
        <f t="shared" si="6"/>
        <v>2.8348287037714068</v>
      </c>
      <c r="Y38" s="522" t="str" cm="1">
        <f t="array" ref="Y38">_xlfn.IFS(G38&lt;44361, "Before the burn", G38&lt;44403, "During the burn", G38&gt;44403, "After the burn")</f>
        <v>During the burn</v>
      </c>
      <c r="Z38" s="1090" t="s">
        <v>287</v>
      </c>
    </row>
    <row r="39" spans="1:26" s="279" customFormat="1" x14ac:dyDescent="0.3">
      <c r="A39" s="286" t="str">
        <v>RL44385</v>
      </c>
      <c r="B39" s="287" t="str">
        <f t="shared" si="8"/>
        <v>GRL44385</v>
      </c>
      <c r="C39" s="287" t="str">
        <v>CSPO44391</v>
      </c>
      <c r="D39" s="287" t="str">
        <f t="shared" si="1"/>
        <v>SPO44391</v>
      </c>
      <c r="E39" s="287" t="str">
        <f t="shared" si="2"/>
        <v>SPO443916</v>
      </c>
      <c r="F39" s="287" t="str">
        <f t="shared" si="3"/>
        <v>SPO</v>
      </c>
      <c r="G39" s="313">
        <f t="shared" si="4"/>
        <v>44391</v>
      </c>
      <c r="H39" s="324">
        <f>INDEX(qPCR_Managed!N$4:N$235, MATCH($E39, qPCR_Managed!$E$4:$E$235, 0), 1)</f>
        <v>309997.18331333145</v>
      </c>
      <c r="I39" s="213">
        <f>INDEX(qPCR_Managed!Q$4:Q$235, MATCH($E39, qPCR_Managed!$E$4:$E$235, 0), 1)</f>
        <v>5.4913577477793218</v>
      </c>
      <c r="J39" s="325">
        <f>INDEX(qPCR_Managed!R$4:R$235, MATCH($E39, qPCR_Managed!$E$4:$E$235, 0), 1)</f>
        <v>0.43429448190325176</v>
      </c>
      <c r="K39" s="320">
        <f>INDEX(qPCR_Managed!Y$4:Y$235, MATCH($E39, qPCR_Managed!$E$4:$E$235, 0), 1)</f>
        <v>759.18580362970374</v>
      </c>
      <c r="L39" s="308">
        <f>INDEX(qPCR_Managed!AB$4:AB$235, MATCH($E39, qPCR_Managed!$E$4:$E$235, 0), 1)</f>
        <v>2.8803480784195954</v>
      </c>
      <c r="M39" s="329">
        <f>INDEX(qPCR_Managed!AC$4:AC$235, MATCH($E39, qPCR_Managed!$E$4:$E$235, 0), 1)</f>
        <v>9.4548581526901307E-2</v>
      </c>
      <c r="N39" s="324">
        <f>INDEX(qPCR_Managed!AJ$4:AJ$235, MATCH($E39, qPCR_Managed!$E$4:$E$235, 0), 1)</f>
        <v>0</v>
      </c>
      <c r="O39" s="213">
        <f>INDEX(qPCR_Managed!AM$4:AM$235, MATCH($E39, qPCR_Managed!$E$4:$E$235, 0), 1)</f>
        <v>0</v>
      </c>
      <c r="P39" s="325">
        <f>INDEX(qPCR_Managed!AN$4:AN$235, MATCH($E39, qPCR_Managed!$E$4:$E$235, 0), 1)</f>
        <v>0</v>
      </c>
      <c r="Q39" s="336">
        <f>INDEX(qPCR_Managed!AU$4:AU$235, MATCH($E39, qPCR_Managed!$E$4:$E$235, 0), 1)</f>
        <v>0</v>
      </c>
      <c r="R39" s="308">
        <f>INDEX(qPCR_Managed!AX$4:AX$235, MATCH($E39, qPCR_Managed!$E$4:$E$235, 0), 1)</f>
        <v>0</v>
      </c>
      <c r="S39" s="337">
        <f>INDEX(qPCR_Managed!AY$4:AY$235, MATCH($E39, qPCR_Managed!$E$4:$E$235, 0), 1)</f>
        <v>0</v>
      </c>
      <c r="T39" s="332">
        <f>INDEX(qPCR_Managed!BF$4:BF$235, MATCH($E39, qPCR_Managed!$E$4:$E$235, 0), 1)</f>
        <v>0</v>
      </c>
      <c r="U39" s="213">
        <f>INDEX(qPCR_Managed!BI$4:BI$235, MATCH($E39, qPCR_Managed!$E$4:$E$235, 0), 1)</f>
        <v>0</v>
      </c>
      <c r="V39" s="214">
        <f>INDEX(qPCR_Managed!BJ$4:BJ$235, MATCH($E39, qPCR_Managed!$E$4:$E$235, 0), 1)</f>
        <v>0</v>
      </c>
      <c r="W39" s="482">
        <f t="shared" si="5"/>
        <v>759.18580362970374</v>
      </c>
      <c r="X39" s="483">
        <f t="shared" si="6"/>
        <v>2.8803480784195954</v>
      </c>
      <c r="Y39" s="522" t="str" cm="1">
        <f t="array" ref="Y39">_xlfn.IFS(G39&lt;44361, "Before the burn", G39&lt;44403, "During the burn", G39&gt;44403, "After the burn")</f>
        <v>During the burn</v>
      </c>
      <c r="Z39" s="1090" t="s">
        <v>287</v>
      </c>
    </row>
    <row r="40" spans="1:26" s="279" customFormat="1" x14ac:dyDescent="0.3">
      <c r="A40" s="286" t="str">
        <v>RL44391</v>
      </c>
      <c r="B40" s="287" t="str">
        <f t="shared" si="8"/>
        <v>GRL44391</v>
      </c>
      <c r="C40" s="287" t="str">
        <v>CSPO44398</v>
      </c>
      <c r="D40" s="287" t="str">
        <f t="shared" si="1"/>
        <v>SPO44398</v>
      </c>
      <c r="E40" s="287" t="str">
        <f t="shared" si="2"/>
        <v>SPO443986</v>
      </c>
      <c r="F40" s="287" t="str">
        <f t="shared" si="3"/>
        <v>SPO</v>
      </c>
      <c r="G40" s="313">
        <f t="shared" si="4"/>
        <v>44398</v>
      </c>
      <c r="H40" s="324">
        <f>INDEX(qPCR_Managed!N$4:N$235, MATCH($E40, qPCR_Managed!$E$4:$E$235, 0), 1)</f>
        <v>102771.66345384388</v>
      </c>
      <c r="I40" s="213">
        <f>INDEX(qPCR_Managed!Q$4:Q$235, MATCH($E40, qPCR_Managed!$E$4:$E$235, 0), 1)</f>
        <v>5.01187338604002</v>
      </c>
      <c r="J40" s="325">
        <f>INDEX(qPCR_Managed!R$4:R$235, MATCH($E40, qPCR_Managed!$E$4:$E$235, 0), 1)</f>
        <v>0.43429448190325176</v>
      </c>
      <c r="K40" s="320">
        <f>INDEX(qPCR_Managed!Y$4:Y$235, MATCH($E40, qPCR_Managed!$E$4:$E$235, 0), 1)</f>
        <v>461.25147640705109</v>
      </c>
      <c r="L40" s="308">
        <f>INDEX(qPCR_Managed!AB$4:AB$235, MATCH($E40, qPCR_Managed!$E$4:$E$235, 0), 1)</f>
        <v>2.6639377692904969</v>
      </c>
      <c r="M40" s="329">
        <f>INDEX(qPCR_Managed!AC$4:AC$235, MATCH($E40, qPCR_Managed!$E$4:$E$235, 0), 1)</f>
        <v>4.158728707838804E-2</v>
      </c>
      <c r="N40" s="324">
        <f>INDEX(qPCR_Managed!AJ$4:AJ$235, MATCH($E40, qPCR_Managed!$E$4:$E$235, 0), 1)</f>
        <v>0</v>
      </c>
      <c r="O40" s="213">
        <f>INDEX(qPCR_Managed!AM$4:AM$235, MATCH($E40, qPCR_Managed!$E$4:$E$235, 0), 1)</f>
        <v>0</v>
      </c>
      <c r="P40" s="325">
        <f>INDEX(qPCR_Managed!AN$4:AN$235, MATCH($E40, qPCR_Managed!$E$4:$E$235, 0), 1)</f>
        <v>0</v>
      </c>
      <c r="Q40" s="336">
        <f>INDEX(qPCR_Managed!AU$4:AU$235, MATCH($E40, qPCR_Managed!$E$4:$E$235, 0), 1)</f>
        <v>0</v>
      </c>
      <c r="R40" s="308">
        <f>INDEX(qPCR_Managed!AX$4:AX$235, MATCH($E40, qPCR_Managed!$E$4:$E$235, 0), 1)</f>
        <v>0</v>
      </c>
      <c r="S40" s="337">
        <f>INDEX(qPCR_Managed!AY$4:AY$235, MATCH($E40, qPCR_Managed!$E$4:$E$235, 0), 1)</f>
        <v>0</v>
      </c>
      <c r="T40" s="332">
        <f>INDEX(qPCR_Managed!BF$4:BF$235, MATCH($E40, qPCR_Managed!$E$4:$E$235, 0), 1)</f>
        <v>0</v>
      </c>
      <c r="U40" s="213">
        <f>INDEX(qPCR_Managed!BI$4:BI$235, MATCH($E40, qPCR_Managed!$E$4:$E$235, 0), 1)</f>
        <v>0</v>
      </c>
      <c r="V40" s="214">
        <f>INDEX(qPCR_Managed!BJ$4:BJ$235, MATCH($E40, qPCR_Managed!$E$4:$E$235, 0), 1)</f>
        <v>0</v>
      </c>
      <c r="W40" s="482">
        <f t="shared" si="5"/>
        <v>461.25147640705109</v>
      </c>
      <c r="X40" s="483">
        <f t="shared" si="6"/>
        <v>2.6639377692904969</v>
      </c>
      <c r="Y40" s="522" t="str" cm="1">
        <f t="array" ref="Y40">_xlfn.IFS(G40&lt;44361, "Before the burn", G40&lt;44403, "During the burn", G40&gt;44403, "After the burn")</f>
        <v>During the burn</v>
      </c>
      <c r="Z40" s="1090" t="s">
        <v>287</v>
      </c>
    </row>
    <row r="41" spans="1:26" s="279" customFormat="1" x14ac:dyDescent="0.3">
      <c r="A41" s="286" t="str">
        <v>RL44398</v>
      </c>
      <c r="B41" s="287" t="str">
        <f t="shared" si="8"/>
        <v>GRL44398</v>
      </c>
      <c r="C41" s="287" t="str">
        <v>CSPO44405</v>
      </c>
      <c r="D41" s="287" t="str">
        <f t="shared" si="1"/>
        <v>SPO44405</v>
      </c>
      <c r="E41" s="287" t="str">
        <f t="shared" si="2"/>
        <v>SPO444056</v>
      </c>
      <c r="F41" s="287" t="str">
        <f t="shared" si="3"/>
        <v>SPO</v>
      </c>
      <c r="G41" s="313">
        <f t="shared" si="4"/>
        <v>44405</v>
      </c>
      <c r="H41" s="324">
        <f>INDEX(qPCR_Managed!N$4:N$235, MATCH($E41, qPCR_Managed!$E$4:$E$235, 0), 1)</f>
        <v>4793686.0464590564</v>
      </c>
      <c r="I41" s="213">
        <f>INDEX(qPCR_Managed!Q$4:Q$235, MATCH($E41, qPCR_Managed!$E$4:$E$235, 0), 1)</f>
        <v>6.6806695873206543</v>
      </c>
      <c r="J41" s="325">
        <f>INDEX(qPCR_Managed!R$4:R$235, MATCH($E41, qPCR_Managed!$E$4:$E$235, 0), 1)</f>
        <v>0.43429448190325176</v>
      </c>
      <c r="K41" s="320">
        <f>INDEX(qPCR_Managed!Y$4:Y$235, MATCH($E41, qPCR_Managed!$E$4:$E$235, 0), 1)</f>
        <v>8111.5696165296768</v>
      </c>
      <c r="L41" s="308">
        <f>INDEX(qPCR_Managed!AB$4:AB$235, MATCH($E41, qPCR_Managed!$E$4:$E$235, 0), 1)</f>
        <v>3.9091048998141136</v>
      </c>
      <c r="M41" s="329">
        <f>INDEX(qPCR_Managed!AC$4:AC$235, MATCH($E41, qPCR_Managed!$E$4:$E$235, 0), 1)</f>
        <v>0.43429448190325176</v>
      </c>
      <c r="N41" s="324">
        <f>INDEX(qPCR_Managed!AJ$4:AJ$235, MATCH($E41, qPCR_Managed!$E$4:$E$235, 0), 1)</f>
        <v>1903.4889009263782</v>
      </c>
      <c r="O41" s="213">
        <f>INDEX(qPCR_Managed!AM$4:AM$235, MATCH($E41, qPCR_Managed!$E$4:$E$235, 0), 1)</f>
        <v>3.279550348825468</v>
      </c>
      <c r="P41" s="325">
        <f>INDEX(qPCR_Managed!AN$4:AN$235, MATCH($E41, qPCR_Managed!$E$4:$E$235, 0), 1)</f>
        <v>0.43429448190325176</v>
      </c>
      <c r="Q41" s="336">
        <f>INDEX(qPCR_Managed!AU$4:AU$235, MATCH($E41, qPCR_Managed!$E$4:$E$235, 0), 1)</f>
        <v>0</v>
      </c>
      <c r="R41" s="308">
        <f>INDEX(qPCR_Managed!AX$4:AX$235, MATCH($E41, qPCR_Managed!$E$4:$E$235, 0), 1)</f>
        <v>0</v>
      </c>
      <c r="S41" s="337">
        <f>INDEX(qPCR_Managed!AY$4:AY$235, MATCH($E41, qPCR_Managed!$E$4:$E$235, 0), 1)</f>
        <v>0</v>
      </c>
      <c r="T41" s="332">
        <f>INDEX(qPCR_Managed!BF$4:BF$235, MATCH($E41, qPCR_Managed!$E$4:$E$235, 0), 1)</f>
        <v>0</v>
      </c>
      <c r="U41" s="213">
        <f>INDEX(qPCR_Managed!BI$4:BI$235, MATCH($E41, qPCR_Managed!$E$4:$E$235, 0), 1)</f>
        <v>0</v>
      </c>
      <c r="V41" s="214">
        <f>INDEX(qPCR_Managed!BJ$4:BJ$235, MATCH($E41, qPCR_Managed!$E$4:$E$235, 0), 1)</f>
        <v>0</v>
      </c>
      <c r="W41" s="482">
        <f t="shared" si="5"/>
        <v>10015.058517456055</v>
      </c>
      <c r="X41" s="483">
        <f t="shared" si="6"/>
        <v>4.0006534911966458</v>
      </c>
      <c r="Y41" s="522" t="str" cm="1">
        <f t="array" ref="Y41">_xlfn.IFS(G41&lt;44361, "Before the burn", G41&lt;44403, "During the burn", G41&gt;44403, "After the burn")</f>
        <v>After the burn</v>
      </c>
      <c r="Z41" s="1090" t="s">
        <v>287</v>
      </c>
    </row>
    <row r="42" spans="1:26" s="279" customFormat="1" x14ac:dyDescent="0.3">
      <c r="A42" s="286" t="str">
        <v>RL44405</v>
      </c>
      <c r="B42" s="287" t="str">
        <f t="shared" si="8"/>
        <v>GRL44405</v>
      </c>
      <c r="C42" s="287" t="str">
        <v>CSPO44412</v>
      </c>
      <c r="D42" s="287" t="str">
        <f t="shared" si="1"/>
        <v>SPO44412</v>
      </c>
      <c r="E42" s="287" t="str">
        <f t="shared" si="2"/>
        <v>SPO444126</v>
      </c>
      <c r="F42" s="287" t="str">
        <f t="shared" si="3"/>
        <v>SPO</v>
      </c>
      <c r="G42" s="313">
        <f t="shared" si="4"/>
        <v>44412</v>
      </c>
      <c r="H42" s="324">
        <f>INDEX(qPCR_Managed!N$4:N$235, MATCH($E42, qPCR_Managed!$E$4:$E$235, 0), 1)</f>
        <v>2937071.3611744074</v>
      </c>
      <c r="I42" s="213">
        <f>INDEX(qPCR_Managed!Q$4:Q$235, MATCH($E42, qPCR_Managed!$E$4:$E$235, 0), 1)</f>
        <v>6.4679144985785593</v>
      </c>
      <c r="J42" s="325">
        <f>INDEX(qPCR_Managed!R$4:R$235, MATCH($E42, qPCR_Managed!$E$4:$E$235, 0), 1)</f>
        <v>0.18057023393826838</v>
      </c>
      <c r="K42" s="320">
        <f>INDEX(qPCR_Managed!Y$4:Y$235, MATCH($E42, qPCR_Managed!$E$4:$E$235, 0), 1)</f>
        <v>4646.8658447265625</v>
      </c>
      <c r="L42" s="308">
        <f>INDEX(qPCR_Managed!AB$4:AB$235, MATCH($E42, qPCR_Managed!$E$4:$E$235, 0), 1)</f>
        <v>3.6671601345541878</v>
      </c>
      <c r="M42" s="329">
        <f>INDEX(qPCR_Managed!AC$4:AC$235, MATCH($E42, qPCR_Managed!$E$4:$E$235, 0), 1)</f>
        <v>1.3379572783233354E-2</v>
      </c>
      <c r="N42" s="324">
        <f>INDEX(qPCR_Managed!AJ$4:AJ$235, MATCH($E42, qPCR_Managed!$E$4:$E$235, 0), 1)</f>
        <v>122.35397762722438</v>
      </c>
      <c r="O42" s="213">
        <f>INDEX(qPCR_Managed!AM$4:AM$235, MATCH($E42, qPCR_Managed!$E$4:$E$235, 0), 1)</f>
        <v>2.0876180924738739</v>
      </c>
      <c r="P42" s="325">
        <f>INDEX(qPCR_Managed!AN$4:AN$235, MATCH($E42, qPCR_Managed!$E$4:$E$235, 0), 1)</f>
        <v>0.43429448190325176</v>
      </c>
      <c r="Q42" s="336">
        <f>INDEX(qPCR_Managed!AU$4:AU$235, MATCH($E42, qPCR_Managed!$E$4:$E$235, 0), 1)</f>
        <v>338.14777268303766</v>
      </c>
      <c r="R42" s="308">
        <f>INDEX(qPCR_Managed!AX$4:AX$235, MATCH($E42, qPCR_Managed!$E$4:$E$235, 0), 1)</f>
        <v>2.5291065311531939</v>
      </c>
      <c r="S42" s="337">
        <f>INDEX(qPCR_Managed!AY$4:AY$235, MATCH($E42, qPCR_Managed!$E$4:$E$235, 0), 1)</f>
        <v>0.43429448190325176</v>
      </c>
      <c r="T42" s="332">
        <f>INDEX(qPCR_Managed!BF$4:BF$235, MATCH($E42, qPCR_Managed!$E$4:$E$235, 0), 1)</f>
        <v>0</v>
      </c>
      <c r="U42" s="213">
        <f>INDEX(qPCR_Managed!BI$4:BI$235, MATCH($E42, qPCR_Managed!$E$4:$E$235, 0), 1)</f>
        <v>0</v>
      </c>
      <c r="V42" s="214">
        <f>INDEX(qPCR_Managed!BJ$4:BJ$235, MATCH($E42, qPCR_Managed!$E$4:$E$235, 0), 1)</f>
        <v>0</v>
      </c>
      <c r="W42" s="482">
        <f t="shared" si="5"/>
        <v>5107.3675950368252</v>
      </c>
      <c r="X42" s="483">
        <f t="shared" si="6"/>
        <v>3.708197116667141</v>
      </c>
      <c r="Y42" s="522" t="str" cm="1">
        <f t="array" ref="Y42">_xlfn.IFS(G42&lt;44361, "Before the burn", G42&lt;44403, "During the burn", G42&gt;44403, "After the burn")</f>
        <v>After the burn</v>
      </c>
      <c r="Z42" s="1090" t="s">
        <v>287</v>
      </c>
    </row>
    <row r="43" spans="1:26" s="279" customFormat="1" x14ac:dyDescent="0.3">
      <c r="A43" s="286" t="str">
        <v>RL44412</v>
      </c>
      <c r="B43" s="287" t="str">
        <f t="shared" si="8"/>
        <v>GRL44412</v>
      </c>
      <c r="C43" s="287" t="str">
        <v>CSPO44419</v>
      </c>
      <c r="D43" s="287" t="str">
        <f t="shared" si="1"/>
        <v>SPO44419</v>
      </c>
      <c r="E43" s="287" t="str">
        <f t="shared" si="2"/>
        <v>SPO444196</v>
      </c>
      <c r="F43" s="287" t="str">
        <f t="shared" si="3"/>
        <v>SPO</v>
      </c>
      <c r="G43" s="313">
        <f t="shared" si="4"/>
        <v>44419</v>
      </c>
      <c r="H43" s="324">
        <f>INDEX(qPCR_Managed!N$4:N$235, MATCH($E43, qPCR_Managed!$E$4:$E$235, 0), 1)</f>
        <v>29949175.790985227</v>
      </c>
      <c r="I43" s="213">
        <f>INDEX(qPCR_Managed!Q$4:Q$235, MATCH($E43, qPCR_Managed!$E$4:$E$235, 0), 1)</f>
        <v>7.4763848749940305</v>
      </c>
      <c r="J43" s="325">
        <f>INDEX(qPCR_Managed!R$4:R$235, MATCH($E43, qPCR_Managed!$E$4:$E$235, 0), 1)</f>
        <v>8.4362492495708832E-2</v>
      </c>
      <c r="K43" s="320">
        <f>INDEX(qPCR_Managed!Y$4:Y$235, MATCH($E43, qPCR_Managed!$E$4:$E$235, 0), 1)</f>
        <v>10585.327707487961</v>
      </c>
      <c r="L43" s="308">
        <f>INDEX(qPCR_Managed!AB$4:AB$235, MATCH($E43, qPCR_Managed!$E$4:$E$235, 0), 1)</f>
        <v>4.0247043077357461</v>
      </c>
      <c r="M43" s="329">
        <f>INDEX(qPCR_Managed!AC$4:AC$235, MATCH($E43, qPCR_Managed!$E$4:$E$235, 0), 1)</f>
        <v>8.873549332693853E-2</v>
      </c>
      <c r="N43" s="324">
        <f>INDEX(qPCR_Managed!AJ$4:AJ$235, MATCH($E43, qPCR_Managed!$E$4:$E$235, 0), 1)</f>
        <v>1335.8274191275411</v>
      </c>
      <c r="O43" s="213">
        <f>INDEX(qPCR_Managed!AM$4:AM$235, MATCH($E43, qPCR_Managed!$E$4:$E$235, 0), 1)</f>
        <v>3.1257503535272613</v>
      </c>
      <c r="P43" s="325">
        <f>INDEX(qPCR_Managed!AN$4:AN$235, MATCH($E43, qPCR_Managed!$E$4:$E$235, 0), 1)</f>
        <v>0.12122521138605627</v>
      </c>
      <c r="Q43" s="336">
        <f>INDEX(qPCR_Managed!AU$4:AU$235, MATCH($E43, qPCR_Managed!$E$4:$E$235, 0), 1)</f>
        <v>0</v>
      </c>
      <c r="R43" s="308">
        <f>INDEX(qPCR_Managed!AX$4:AX$235, MATCH($E43, qPCR_Managed!$E$4:$E$235, 0), 1)</f>
        <v>0</v>
      </c>
      <c r="S43" s="337">
        <f>INDEX(qPCR_Managed!AY$4:AY$235, MATCH($E43, qPCR_Managed!$E$4:$E$235, 0), 1)</f>
        <v>0</v>
      </c>
      <c r="T43" s="332">
        <f>INDEX(qPCR_Managed!BF$4:BF$235, MATCH($E43, qPCR_Managed!$E$4:$E$235, 0), 1)</f>
        <v>0</v>
      </c>
      <c r="U43" s="213">
        <f>INDEX(qPCR_Managed!BI$4:BI$235, MATCH($E43, qPCR_Managed!$E$4:$E$235, 0), 1)</f>
        <v>0</v>
      </c>
      <c r="V43" s="214">
        <f>INDEX(qPCR_Managed!BJ$4:BJ$235, MATCH($E43, qPCR_Managed!$E$4:$E$235, 0), 1)</f>
        <v>0</v>
      </c>
      <c r="W43" s="482">
        <f t="shared" si="5"/>
        <v>11921.155126615502</v>
      </c>
      <c r="X43" s="483">
        <f t="shared" si="6"/>
        <v>4.0763183393647253</v>
      </c>
      <c r="Y43" s="522" t="str" cm="1">
        <f t="array" ref="Y43">_xlfn.IFS(G43&lt;44361, "Before the burn", G43&lt;44403, "During the burn", G43&gt;44403, "After the burn")</f>
        <v>After the burn</v>
      </c>
      <c r="Z43" s="1090" t="s">
        <v>287</v>
      </c>
    </row>
    <row r="44" spans="1:26" s="279" customFormat="1" x14ac:dyDescent="0.3">
      <c r="A44" s="286" t="str">
        <v>RL44419</v>
      </c>
      <c r="B44" s="287" t="str">
        <f t="shared" si="8"/>
        <v>GRL44419</v>
      </c>
      <c r="C44" s="287" t="str">
        <v>CSPO44426</v>
      </c>
      <c r="D44" s="287" t="str">
        <f t="shared" si="1"/>
        <v>SPO44426</v>
      </c>
      <c r="E44" s="287" t="str">
        <f t="shared" si="2"/>
        <v>SPO444266</v>
      </c>
      <c r="F44" s="287" t="str">
        <f t="shared" si="3"/>
        <v>SPO</v>
      </c>
      <c r="G44" s="313">
        <f t="shared" si="4"/>
        <v>44426</v>
      </c>
      <c r="H44" s="324">
        <f>INDEX(qPCR_Managed!N$4:N$235, MATCH($E44, qPCR_Managed!$E$4:$E$235, 0), 1)</f>
        <v>259920497.12116551</v>
      </c>
      <c r="I44" s="213">
        <f>INDEX(qPCR_Managed!Q$4:Q$235, MATCH($E44, qPCR_Managed!$E$4:$E$235, 0), 1)</f>
        <v>8.4148405289647066</v>
      </c>
      <c r="J44" s="325">
        <f>INDEX(qPCR_Managed!R$4:R$235, MATCH($E44, qPCR_Managed!$E$4:$E$235, 0), 1)</f>
        <v>0.42524728961034419</v>
      </c>
      <c r="K44" s="320">
        <f>INDEX(qPCR_Managed!Y$4:Y$235, MATCH($E44, qPCR_Managed!$E$4:$E$235, 0), 1)</f>
        <v>17657.209545162554</v>
      </c>
      <c r="L44" s="308">
        <f>INDEX(qPCR_Managed!AB$4:AB$235, MATCH($E44, qPCR_Managed!$E$4:$E$235, 0), 1)</f>
        <v>4.2469220709916948</v>
      </c>
      <c r="M44" s="329">
        <f>INDEX(qPCR_Managed!AC$4:AC$235, MATCH($E44, qPCR_Managed!$E$4:$E$235, 0), 1)</f>
        <v>0.1575620758765113</v>
      </c>
      <c r="N44" s="324">
        <f>INDEX(qPCR_Managed!AJ$4:AJ$235, MATCH($E44, qPCR_Managed!$E$4:$E$235, 0), 1)</f>
        <v>0</v>
      </c>
      <c r="O44" s="213">
        <f>INDEX(qPCR_Managed!AM$4:AM$235, MATCH($E44, qPCR_Managed!$E$4:$E$235, 0), 1)</f>
        <v>0</v>
      </c>
      <c r="P44" s="325">
        <f>INDEX(qPCR_Managed!AN$4:AN$235, MATCH($E44, qPCR_Managed!$E$4:$E$235, 0), 1)</f>
        <v>0</v>
      </c>
      <c r="Q44" s="336">
        <f>INDEX(qPCR_Managed!AU$4:AU$235, MATCH($E44, qPCR_Managed!$E$4:$E$235, 0), 1)</f>
        <v>0</v>
      </c>
      <c r="R44" s="308">
        <f>INDEX(qPCR_Managed!AX$4:AX$235, MATCH($E44, qPCR_Managed!$E$4:$E$235, 0), 1)</f>
        <v>0</v>
      </c>
      <c r="S44" s="337">
        <f>INDEX(qPCR_Managed!AY$4:AY$235, MATCH($E44, qPCR_Managed!$E$4:$E$235, 0), 1)</f>
        <v>0</v>
      </c>
      <c r="T44" s="332">
        <f>INDEX(qPCR_Managed!BF$4:BF$235, MATCH($E44, qPCR_Managed!$E$4:$E$235, 0), 1)</f>
        <v>0</v>
      </c>
      <c r="U44" s="213">
        <f>INDEX(qPCR_Managed!BI$4:BI$235, MATCH($E44, qPCR_Managed!$E$4:$E$235, 0), 1)</f>
        <v>0</v>
      </c>
      <c r="V44" s="214">
        <f>INDEX(qPCR_Managed!BJ$4:BJ$235, MATCH($E44, qPCR_Managed!$E$4:$E$235, 0), 1)</f>
        <v>0</v>
      </c>
      <c r="W44" s="482">
        <f t="shared" si="5"/>
        <v>17657.209545162554</v>
      </c>
      <c r="X44" s="483">
        <f t="shared" si="6"/>
        <v>4.2469220709916948</v>
      </c>
      <c r="Y44" s="522" t="str" cm="1">
        <f t="array" ref="Y44">_xlfn.IFS(G44&lt;44361, "Before the burn", G44&lt;44403, "During the burn", G44&gt;44403, "After the burn")</f>
        <v>After the burn</v>
      </c>
      <c r="Z44" s="1090" t="s">
        <v>287</v>
      </c>
    </row>
    <row r="45" spans="1:26" s="279" customFormat="1" ht="16.350000000000001" thickBot="1" x14ac:dyDescent="0.35">
      <c r="A45" s="295" t="str">
        <v>RL44426</v>
      </c>
      <c r="B45" s="296" t="str">
        <f t="shared" si="8"/>
        <v>GRL44426</v>
      </c>
      <c r="C45" s="296" t="str">
        <v>CSPO44433</v>
      </c>
      <c r="D45" s="296" t="str">
        <f t="shared" si="1"/>
        <v>SPO44433</v>
      </c>
      <c r="E45" s="296" t="str">
        <f t="shared" si="2"/>
        <v>SPO444336</v>
      </c>
      <c r="F45" s="296" t="str">
        <f t="shared" si="3"/>
        <v>SPO</v>
      </c>
      <c r="G45" s="314">
        <f t="shared" si="4"/>
        <v>44433</v>
      </c>
      <c r="H45" s="340">
        <f>INDEX(qPCR_Managed!N$4:N$235, MATCH($E45, qPCR_Managed!$E$4:$E$235, 0), 1)</f>
        <v>20113773.002200656</v>
      </c>
      <c r="I45" s="341">
        <f>INDEX(qPCR_Managed!Q$4:Q$235, MATCH($E45, qPCR_Managed!$E$4:$E$235, 0), 1)</f>
        <v>7.3034935445072406</v>
      </c>
      <c r="J45" s="342">
        <f>INDEX(qPCR_Managed!R$4:R$235, MATCH($E45, qPCR_Managed!$E$4:$E$235, 0), 1)</f>
        <v>2.2797372561925482E-2</v>
      </c>
      <c r="K45" s="343">
        <f>INDEX(qPCR_Managed!Y$4:Y$235, MATCH($E45, qPCR_Managed!$E$4:$E$235, 0), 1)</f>
        <v>13158.726294835409</v>
      </c>
      <c r="L45" s="344">
        <f>INDEX(qPCR_Managed!AB$4:AB$235, MATCH($E45, qPCR_Managed!$E$4:$E$235, 0), 1)</f>
        <v>4.1192138535715888</v>
      </c>
      <c r="M45" s="345">
        <f>INDEX(qPCR_Managed!AC$4:AC$235, MATCH($E45, qPCR_Managed!$E$4:$E$235, 0), 1)</f>
        <v>3.2994466628272309E-2</v>
      </c>
      <c r="N45" s="340">
        <f>INDEX(qPCR_Managed!AJ$4:AJ$235, MATCH($E45, qPCR_Managed!$E$4:$E$235, 0), 1)</f>
        <v>0</v>
      </c>
      <c r="O45" s="341">
        <f>INDEX(qPCR_Managed!AM$4:AM$235, MATCH($E45, qPCR_Managed!$E$4:$E$235, 0), 1)</f>
        <v>0</v>
      </c>
      <c r="P45" s="342">
        <f>INDEX(qPCR_Managed!AN$4:AN$235, MATCH($E45, qPCR_Managed!$E$4:$E$235, 0), 1)</f>
        <v>0</v>
      </c>
      <c r="Q45" s="346">
        <f>INDEX(qPCR_Managed!AU$4:AU$235, MATCH($E45, qPCR_Managed!$E$4:$E$235, 0), 1)</f>
        <v>1687.9391670227051</v>
      </c>
      <c r="R45" s="344">
        <f>INDEX(qPCR_Managed!AX$4:AX$235, MATCH($E45, qPCR_Managed!$E$4:$E$235, 0), 1)</f>
        <v>3.2273567906886726</v>
      </c>
      <c r="S45" s="347">
        <f>INDEX(qPCR_Managed!AY$4:AY$235, MATCH($E45, qPCR_Managed!$E$4:$E$235, 0), 1)</f>
        <v>0.43429448190325176</v>
      </c>
      <c r="T45" s="348">
        <f>INDEX(qPCR_Managed!BF$4:BF$235, MATCH($E45, qPCR_Managed!$E$4:$E$235, 0), 1)</f>
        <v>0</v>
      </c>
      <c r="U45" s="341">
        <f>INDEX(qPCR_Managed!BI$4:BI$235, MATCH($E45, qPCR_Managed!$E$4:$E$235, 0), 1)</f>
        <v>0</v>
      </c>
      <c r="V45" s="349">
        <f>INDEX(qPCR_Managed!BJ$4:BJ$235, MATCH($E45, qPCR_Managed!$E$4:$E$235, 0), 1)</f>
        <v>0</v>
      </c>
      <c r="W45" s="484">
        <f t="shared" si="5"/>
        <v>14846.665461858114</v>
      </c>
      <c r="X45" s="485">
        <f t="shared" si="6"/>
        <v>4.1716289227353132</v>
      </c>
      <c r="Y45" s="523" t="str" cm="1">
        <f t="array" ref="Y45">_xlfn.IFS(G45&lt;44361, "Before the burn", G45&lt;44403, "During the burn", G45&gt;44403, "After the burn")</f>
        <v>After the burn</v>
      </c>
      <c r="Z45" s="1090" t="s">
        <v>287</v>
      </c>
    </row>
    <row r="46" spans="1:26" s="279" customFormat="1" x14ac:dyDescent="0.3">
      <c r="A46" s="297" t="str">
        <v>RL44433</v>
      </c>
      <c r="B46" s="298" t="str">
        <f t="shared" si="8"/>
        <v>GRL44433</v>
      </c>
      <c r="C46" s="298" t="str">
        <v>DMRT44335</v>
      </c>
      <c r="D46" s="298" t="str">
        <f t="shared" si="1"/>
        <v>MRT44335</v>
      </c>
      <c r="E46" s="298" t="str">
        <f t="shared" si="2"/>
        <v>MRT443356</v>
      </c>
      <c r="F46" s="298" t="str">
        <f t="shared" si="3"/>
        <v>MRT</v>
      </c>
      <c r="G46" s="315">
        <f t="shared" si="4"/>
        <v>44335</v>
      </c>
      <c r="H46" s="326">
        <f>INDEX(qPCR_Managed!N$4:N$235, MATCH($E46, qPCR_Managed!$E$4:$E$235, 0), 1)</f>
        <v>158612328.02195847</v>
      </c>
      <c r="I46" s="299">
        <f>INDEX(qPCR_Managed!Q$4:Q$235, MATCH($E46, qPCR_Managed!$E$4:$E$235, 0), 1)</f>
        <v>8.2003369395001009</v>
      </c>
      <c r="J46" s="327">
        <f>INDEX(qPCR_Managed!R$4:R$235, MATCH($E46, qPCR_Managed!$E$4:$E$235, 0), 1)</f>
        <v>9.4693353160028634E-3</v>
      </c>
      <c r="K46" s="321">
        <f>INDEX(qPCR_Managed!Y$4:Y$235, MATCH($E46, qPCR_Managed!$E$4:$E$235, 0), 1)</f>
        <v>434454.3984430125</v>
      </c>
      <c r="L46" s="309">
        <f>INDEX(qPCR_Managed!AB$4:AB$235, MATCH($E46, qPCR_Managed!$E$4:$E$235, 0), 1)</f>
        <v>5.6379441984051732</v>
      </c>
      <c r="M46" s="330">
        <f>INDEX(qPCR_Managed!AC$4:AC$235, MATCH($E46, qPCR_Managed!$E$4:$E$235, 0), 1)</f>
        <v>5.2696140361196665E-2</v>
      </c>
      <c r="N46" s="326">
        <f>INDEX(qPCR_Managed!AJ$4:AJ$235, MATCH($E46, qPCR_Managed!$E$4:$E$235, 0), 1)</f>
        <v>5552.844740337152</v>
      </c>
      <c r="O46" s="299">
        <f>INDEX(qPCR_Managed!AM$4:AM$235, MATCH($E46, qPCR_Managed!$E$4:$E$235, 0), 1)</f>
        <v>3.7445155306024982</v>
      </c>
      <c r="P46" s="327">
        <f>INDEX(qPCR_Managed!AN$4:AN$235, MATCH($E46, qPCR_Managed!$E$4:$E$235, 0), 1)</f>
        <v>2.9240214894410105E-2</v>
      </c>
      <c r="Q46" s="338">
        <f>INDEX(qPCR_Managed!AU$4:AU$235, MATCH($E46, qPCR_Managed!$E$4:$E$235, 0), 1)</f>
        <v>2518.4778622632643</v>
      </c>
      <c r="R46" s="309">
        <f>INDEX(qPCR_Managed!AX$4:AX$235, MATCH($E46, qPCR_Managed!$E$4:$E$235, 0), 1)</f>
        <v>3.4011381377074636</v>
      </c>
      <c r="S46" s="339">
        <f>INDEX(qPCR_Managed!AY$4:AY$235, MATCH($E46, qPCR_Managed!$E$4:$E$235, 0), 1)</f>
        <v>2.8843092685159187E-2</v>
      </c>
      <c r="T46" s="333">
        <f>INDEX(qPCR_Managed!BF$4:BF$235, MATCH($E46, qPCR_Managed!$E$4:$E$235, 0), 1)</f>
        <v>19036.175922057551</v>
      </c>
      <c r="U46" s="299">
        <f>INDEX(qPCR_Managed!BI$4:BI$235, MATCH($E46, qPCR_Managed!$E$4:$E$235, 0), 1)</f>
        <v>4.2795797096603305</v>
      </c>
      <c r="V46" s="300">
        <f>INDEX(qPCR_Managed!BJ$4:BJ$235, MATCH($E46, qPCR_Managed!$E$4:$E$235, 0), 1)</f>
        <v>0.10726372151609645</v>
      </c>
      <c r="W46" s="488">
        <f t="shared" si="5"/>
        <v>461561.89696767047</v>
      </c>
      <c r="X46" s="489">
        <f t="shared" si="6"/>
        <v>5.6642299495850637</v>
      </c>
      <c r="Y46" s="525" t="str" cm="1">
        <f t="array" ref="Y46">_xlfn.IFS(G46&lt;44361, "Before the burn", G46&lt;44403, "During the burn", G46&gt;44403, "After the burn")</f>
        <v>Before the burn</v>
      </c>
      <c r="Z46" s="1090" t="s">
        <v>287</v>
      </c>
    </row>
    <row r="47" spans="1:26" s="279" customFormat="1" x14ac:dyDescent="0.3">
      <c r="A47" s="301" t="str">
        <v>RN44335</v>
      </c>
      <c r="B47" s="302" t="str">
        <f>_xlfn.CONCAT("E", A47)</f>
        <v>ERN44335</v>
      </c>
      <c r="C47" s="302" t="str">
        <v>DMRT44342</v>
      </c>
      <c r="D47" s="302" t="str">
        <f t="shared" si="1"/>
        <v>MRT44342</v>
      </c>
      <c r="E47" s="302" t="str">
        <f t="shared" si="2"/>
        <v>MRT443426</v>
      </c>
      <c r="F47" s="302" t="str">
        <f t="shared" si="3"/>
        <v>MRT</v>
      </c>
      <c r="G47" s="316">
        <f t="shared" si="4"/>
        <v>44342</v>
      </c>
      <c r="H47" s="350">
        <f>INDEX(qPCR_Managed!N$4:N$235, MATCH($E47, qPCR_Managed!$E$4:$E$235, 0), 1)</f>
        <v>243367747.83005893</v>
      </c>
      <c r="I47" s="351">
        <f>INDEX(qPCR_Managed!Q$4:Q$235, MATCH($E47, qPCR_Managed!$E$4:$E$235, 0), 1)</f>
        <v>8.3862630230825239</v>
      </c>
      <c r="J47" s="352">
        <f>INDEX(qPCR_Managed!R$4:R$235, MATCH($E47, qPCR_Managed!$E$4:$E$235, 0), 1)</f>
        <v>5.697006617585415E-2</v>
      </c>
      <c r="K47" s="353">
        <f>INDEX(qPCR_Managed!Y$4:Y$235, MATCH($E47, qPCR_Managed!$E$4:$E$235, 0), 1)</f>
        <v>186501.19442409941</v>
      </c>
      <c r="L47" s="354">
        <f>INDEX(qPCR_Managed!AB$4:AB$235, MATCH($E47, qPCR_Managed!$E$4:$E$235, 0), 1)</f>
        <v>5.2706816175395286</v>
      </c>
      <c r="M47" s="355">
        <f>INDEX(qPCR_Managed!AC$4:AC$235, MATCH($E47, qPCR_Managed!$E$4:$E$235, 0), 1)</f>
        <v>0.3714820430458311</v>
      </c>
      <c r="N47" s="350">
        <f>INDEX(qPCR_Managed!AJ$4:AJ$235, MATCH($E47, qPCR_Managed!$E$4:$E$235, 0), 1)</f>
        <v>4288.045446077982</v>
      </c>
      <c r="O47" s="351">
        <f>INDEX(qPCR_Managed!AM$4:AM$235, MATCH($E47, qPCR_Managed!$E$4:$E$235, 0), 1)</f>
        <v>3.6322593795010154</v>
      </c>
      <c r="P47" s="352">
        <f>INDEX(qPCR_Managed!AN$4:AN$235, MATCH($E47, qPCR_Managed!$E$4:$E$235, 0), 1)</f>
        <v>0.30540557904067916</v>
      </c>
      <c r="Q47" s="356">
        <f>INDEX(qPCR_Managed!AU$4:AU$235, MATCH($E47, qPCR_Managed!$E$4:$E$235, 0), 1)</f>
        <v>165037.95454237197</v>
      </c>
      <c r="R47" s="354">
        <f>INDEX(qPCR_Managed!AX$4:AX$235, MATCH($E47, qPCR_Managed!$E$4:$E$235, 0), 1)</f>
        <v>5.2175838324125881</v>
      </c>
      <c r="S47" s="357">
        <f>INDEX(qPCR_Managed!AY$4:AY$235, MATCH($E47, qPCR_Managed!$E$4:$E$235, 0), 1)</f>
        <v>0.14952627086264583</v>
      </c>
      <c r="T47" s="358">
        <f>INDEX(qPCR_Managed!BF$4:BF$235, MATCH($E47, qPCR_Managed!$E$4:$E$235, 0), 1)</f>
        <v>72781.686782836914</v>
      </c>
      <c r="U47" s="351">
        <f>INDEX(qPCR_Managed!BI$4:BI$235, MATCH($E47, qPCR_Managed!$E$4:$E$235, 0), 1)</f>
        <v>4.8620221165427324</v>
      </c>
      <c r="V47" s="359">
        <f>INDEX(qPCR_Managed!BJ$4:BJ$235, MATCH($E47, qPCR_Managed!$E$4:$E$235, 0), 1)</f>
        <v>4.9000279175812296E-2</v>
      </c>
      <c r="W47" s="490">
        <f t="shared" si="5"/>
        <v>428608.88119538629</v>
      </c>
      <c r="X47" s="491">
        <f t="shared" si="6"/>
        <v>5.6320611658056414</v>
      </c>
      <c r="Y47" s="526" t="str" cm="1">
        <f t="array" ref="Y47">_xlfn.IFS(G47&lt;44361, "Before the burn", G47&lt;44403, "During the burn", G47&gt;44403, "After the burn")</f>
        <v>Before the burn</v>
      </c>
      <c r="Z47" s="1090" t="s">
        <v>287</v>
      </c>
    </row>
    <row r="48" spans="1:26" s="279" customFormat="1" x14ac:dyDescent="0.3">
      <c r="A48" s="301" t="str">
        <v>RN44342</v>
      </c>
      <c r="B48" s="302" t="str">
        <f t="shared" ref="B48:B61" si="9">_xlfn.CONCAT("E", A48)</f>
        <v>ERN44342</v>
      </c>
      <c r="C48" s="302" t="str">
        <v>DMRT44350</v>
      </c>
      <c r="D48" s="302" t="str">
        <f t="shared" si="1"/>
        <v>MRT44350</v>
      </c>
      <c r="E48" s="302" t="str">
        <f t="shared" si="2"/>
        <v>MRT443506</v>
      </c>
      <c r="F48" s="302" t="str">
        <f t="shared" si="3"/>
        <v>MRT</v>
      </c>
      <c r="G48" s="316">
        <f t="shared" si="4"/>
        <v>44350</v>
      </c>
      <c r="H48" s="350">
        <f>INDEX(qPCR_Managed!N$4:N$235, MATCH($E48, qPCR_Managed!$E$4:$E$235, 0), 1)</f>
        <v>117616405.17009389</v>
      </c>
      <c r="I48" s="351">
        <f>INDEX(qPCR_Managed!Q$4:Q$235, MATCH($E48, qPCR_Managed!$E$4:$E$235, 0), 1)</f>
        <v>8.0704679014845713</v>
      </c>
      <c r="J48" s="352">
        <f>INDEX(qPCR_Managed!R$4:R$235, MATCH($E48, qPCR_Managed!$E$4:$E$235, 0), 1)</f>
        <v>3.7119818005133344E-2</v>
      </c>
      <c r="K48" s="353">
        <f>INDEX(qPCR_Managed!Y$4:Y$235, MATCH($E48, qPCR_Managed!$E$4:$E$235, 0), 1)</f>
        <v>132147.67872203479</v>
      </c>
      <c r="L48" s="354">
        <f>INDEX(qPCR_Managed!AB$4:AB$235, MATCH($E48, qPCR_Managed!$E$4:$E$235, 0), 1)</f>
        <v>5.121059538810405</v>
      </c>
      <c r="M48" s="355">
        <f>INDEX(qPCR_Managed!AC$4:AC$235, MATCH($E48, qPCR_Managed!$E$4:$E$235, 0), 1)</f>
        <v>0.40881808029743943</v>
      </c>
      <c r="N48" s="350">
        <f>INDEX(qPCR_Managed!AJ$4:AJ$235, MATCH($E48, qPCR_Managed!$E$4:$E$235, 0), 1)</f>
        <v>2696.8599557876587</v>
      </c>
      <c r="O48" s="351">
        <f>INDEX(qPCR_Managed!AM$4:AM$235, MATCH($E48, qPCR_Managed!$E$4:$E$235, 0), 1)</f>
        <v>3.4308583947258704</v>
      </c>
      <c r="P48" s="352">
        <f>INDEX(qPCR_Managed!AN$4:AN$235, MATCH($E48, qPCR_Managed!$E$4:$E$235, 0), 1)</f>
        <v>7.6302033047665391E-2</v>
      </c>
      <c r="Q48" s="356">
        <f>INDEX(qPCR_Managed!AU$4:AU$235, MATCH($E48, qPCR_Managed!$E$4:$E$235, 0), 1)</f>
        <v>110533.04498845882</v>
      </c>
      <c r="R48" s="354">
        <f>INDEX(qPCR_Managed!AX$4:AX$235, MATCH($E48, qPCR_Managed!$E$4:$E$235, 0), 1)</f>
        <v>5.0434921342265664</v>
      </c>
      <c r="S48" s="357">
        <f>INDEX(qPCR_Managed!AY$4:AY$235, MATCH($E48, qPCR_Managed!$E$4:$E$235, 0), 1)</f>
        <v>0.40818547017306445</v>
      </c>
      <c r="T48" s="358">
        <f>INDEX(qPCR_Managed!BF$4:BF$235, MATCH($E48, qPCR_Managed!$E$4:$E$235, 0), 1)</f>
        <v>9735.6602061878548</v>
      </c>
      <c r="U48" s="351">
        <f>INDEX(qPCR_Managed!BI$4:BI$235, MATCH($E48, qPCR_Managed!$E$4:$E$235, 0), 1)</f>
        <v>3.988365407749451</v>
      </c>
      <c r="V48" s="359">
        <f>INDEX(qPCR_Managed!BJ$4:BJ$235, MATCH($E48, qPCR_Managed!$E$4:$E$235, 0), 1)</f>
        <v>0.11065764998328662</v>
      </c>
      <c r="W48" s="490">
        <f t="shared" si="5"/>
        <v>255113.24387246912</v>
      </c>
      <c r="X48" s="491">
        <f t="shared" si="6"/>
        <v>5.4067330050285776</v>
      </c>
      <c r="Y48" s="526" t="str" cm="1">
        <f t="array" ref="Y48">_xlfn.IFS(G48&lt;44361, "Before the burn", G48&lt;44403, "During the burn", G48&gt;44403, "After the burn")</f>
        <v>Before the burn</v>
      </c>
      <c r="Z48" s="1090" t="s">
        <v>287</v>
      </c>
    </row>
    <row r="49" spans="1:26" s="279" customFormat="1" x14ac:dyDescent="0.3">
      <c r="A49" s="301" t="str">
        <v>RN44350</v>
      </c>
      <c r="B49" s="302" t="str">
        <f t="shared" si="9"/>
        <v>ERN44350</v>
      </c>
      <c r="C49" s="302" t="str">
        <v>DMRT44356</v>
      </c>
      <c r="D49" s="302" t="str">
        <f t="shared" si="1"/>
        <v>MRT44356</v>
      </c>
      <c r="E49" s="302" t="str">
        <f t="shared" si="2"/>
        <v>MRT443566</v>
      </c>
      <c r="F49" s="302" t="str">
        <f t="shared" si="3"/>
        <v>MRT</v>
      </c>
      <c r="G49" s="316">
        <f t="shared" si="4"/>
        <v>44356</v>
      </c>
      <c r="H49" s="350">
        <f>INDEX(qPCR_Managed!N$4:N$235, MATCH($E49, qPCR_Managed!$E$4:$E$235, 0), 1)</f>
        <v>11783562812.700453</v>
      </c>
      <c r="I49" s="351">
        <f>INDEX(qPCR_Managed!Q$4:Q$235, MATCH($E49, qPCR_Managed!$E$4:$E$235, 0), 1)</f>
        <v>10.071276621177251</v>
      </c>
      <c r="J49" s="352">
        <f>INDEX(qPCR_Managed!R$4:R$235, MATCH($E49, qPCR_Managed!$E$4:$E$235, 0), 1)</f>
        <v>0.30460877718942764</v>
      </c>
      <c r="K49" s="353">
        <f>INDEX(qPCR_Managed!Y$4:Y$235, MATCH($E49, qPCR_Managed!$E$4:$E$235, 0), 1)</f>
        <v>79355.841742621516</v>
      </c>
      <c r="L49" s="354">
        <f>INDEX(qPCR_Managed!AB$4:AB$235, MATCH($E49, qPCR_Managed!$E$4:$E$235, 0), 1)</f>
        <v>4.8995789026498029</v>
      </c>
      <c r="M49" s="355">
        <f>INDEX(qPCR_Managed!AC$4:AC$235, MATCH($E49, qPCR_Managed!$E$4:$E$235, 0), 1)</f>
        <v>0</v>
      </c>
      <c r="N49" s="350">
        <f>INDEX(qPCR_Managed!AJ$4:AJ$235, MATCH($E49, qPCR_Managed!$E$4:$E$235, 0), 1)</f>
        <v>13072.442280497526</v>
      </c>
      <c r="O49" s="351">
        <f>INDEX(qPCR_Managed!AM$4:AM$235, MATCH($E49, qPCR_Managed!$E$4:$E$235, 0), 1)</f>
        <v>4.1163567329406483</v>
      </c>
      <c r="P49" s="352">
        <f>INDEX(qPCR_Managed!AN$4:AN$235, MATCH($E49, qPCR_Managed!$E$4:$E$235, 0), 1)</f>
        <v>0.1272608903689656</v>
      </c>
      <c r="Q49" s="356">
        <f>INDEX(qPCR_Managed!AU$4:AU$235, MATCH($E49, qPCR_Managed!$E$4:$E$235, 0), 1)</f>
        <v>164188.92415364584</v>
      </c>
      <c r="R49" s="354">
        <f>INDEX(qPCR_Managed!AX$4:AX$235, MATCH($E49, qPCR_Managed!$E$4:$E$235, 0), 1)</f>
        <v>5.2153438571610549</v>
      </c>
      <c r="S49" s="357">
        <f>INDEX(qPCR_Managed!AY$4:AY$235, MATCH($E49, qPCR_Managed!$E$4:$E$235, 0), 1)</f>
        <v>0</v>
      </c>
      <c r="T49" s="358">
        <f>INDEX(qPCR_Managed!BF$4:BF$235, MATCH($E49, qPCR_Managed!$E$4:$E$235, 0), 1)</f>
        <v>15606.90318904637</v>
      </c>
      <c r="U49" s="351">
        <f>INDEX(qPCR_Managed!BI$4:BI$235, MATCH($E49, qPCR_Managed!$E$4:$E$235, 0), 1)</f>
        <v>4.1933167364170636</v>
      </c>
      <c r="V49" s="359">
        <f>INDEX(qPCR_Managed!BJ$4:BJ$235, MATCH($E49, qPCR_Managed!$E$4:$E$235, 0), 1)</f>
        <v>0.19713848137834883</v>
      </c>
      <c r="W49" s="490">
        <f t="shared" si="5"/>
        <v>272224.11136581126</v>
      </c>
      <c r="X49" s="491">
        <f t="shared" si="6"/>
        <v>5.4349265887930054</v>
      </c>
      <c r="Y49" s="526" t="str" cm="1">
        <f t="array" ref="Y49">_xlfn.IFS(G49&lt;44361, "Before the burn", G49&lt;44403, "During the burn", G49&gt;44403, "After the burn")</f>
        <v>Before the burn</v>
      </c>
      <c r="Z49" s="1090" t="s">
        <v>287</v>
      </c>
    </row>
    <row r="50" spans="1:26" s="279" customFormat="1" x14ac:dyDescent="0.3">
      <c r="A50" s="301" t="str">
        <v>RN44356</v>
      </c>
      <c r="B50" s="302" t="str">
        <f t="shared" si="9"/>
        <v>ERN44356</v>
      </c>
      <c r="C50" s="302" t="str">
        <v>DMRT44363</v>
      </c>
      <c r="D50" s="302" t="str">
        <f t="shared" si="1"/>
        <v>MRT44363</v>
      </c>
      <c r="E50" s="302" t="str">
        <f t="shared" si="2"/>
        <v>MRT443636</v>
      </c>
      <c r="F50" s="302" t="str">
        <f t="shared" si="3"/>
        <v>MRT</v>
      </c>
      <c r="G50" s="316">
        <f t="shared" si="4"/>
        <v>44363</v>
      </c>
      <c r="H50" s="350">
        <f>INDEX(qPCR_Managed!N$4:N$235, MATCH($E50, qPCR_Managed!$E$4:$E$235, 0), 1)</f>
        <v>68923810.684481233</v>
      </c>
      <c r="I50" s="351">
        <f>INDEX(qPCR_Managed!Q$4:Q$235, MATCH($E50, qPCR_Managed!$E$4:$E$235, 0), 1)</f>
        <v>7.8383692808696015</v>
      </c>
      <c r="J50" s="352">
        <f>INDEX(qPCR_Managed!R$4:R$235, MATCH($E50, qPCR_Managed!$E$4:$E$235, 0), 1)</f>
        <v>0.20569752131575036</v>
      </c>
      <c r="K50" s="353">
        <f>INDEX(qPCR_Managed!Y$4:Y$235, MATCH($E50, qPCR_Managed!$E$4:$E$235, 0), 1)</f>
        <v>60196.714296445738</v>
      </c>
      <c r="L50" s="354">
        <f>INDEX(qPCR_Managed!AB$4:AB$235, MATCH($E50, qPCR_Managed!$E$4:$E$235, 0), 1)</f>
        <v>4.7795727869078934</v>
      </c>
      <c r="M50" s="355">
        <f>INDEX(qPCR_Managed!AC$4:AC$235, MATCH($E50, qPCR_Managed!$E$4:$E$235, 0), 1)</f>
        <v>0.43429448190325176</v>
      </c>
      <c r="N50" s="350">
        <f>INDEX(qPCR_Managed!AJ$4:AJ$235, MATCH($E50, qPCR_Managed!$E$4:$E$235, 0), 1)</f>
        <v>2435.7093826973396</v>
      </c>
      <c r="O50" s="351">
        <f>INDEX(qPCR_Managed!AM$4:AM$235, MATCH($E50, qPCR_Managed!$E$4:$E$235, 0), 1)</f>
        <v>3.3866254690921229</v>
      </c>
      <c r="P50" s="352">
        <f>INDEX(qPCR_Managed!AN$4:AN$235, MATCH($E50, qPCR_Managed!$E$4:$E$235, 0), 1)</f>
        <v>0.22438023053221637</v>
      </c>
      <c r="Q50" s="356">
        <f>INDEX(qPCR_Managed!AU$4:AU$235, MATCH($E50, qPCR_Managed!$E$4:$E$235, 0), 1)</f>
        <v>1400357.4164359125</v>
      </c>
      <c r="R50" s="354">
        <f>INDEX(qPCR_Managed!AX$4:AX$235, MATCH($E50, qPCR_Managed!$E$4:$E$235, 0), 1)</f>
        <v>6.1462388958032994</v>
      </c>
      <c r="S50" s="357">
        <f>INDEX(qPCR_Managed!AY$4:AY$235, MATCH($E50, qPCR_Managed!$E$4:$E$235, 0), 1)</f>
        <v>0.43389410109255555</v>
      </c>
      <c r="T50" s="358">
        <f>INDEX(qPCR_Managed!BF$4:BF$235, MATCH($E50, qPCR_Managed!$E$4:$E$235, 0), 1)</f>
        <v>2967.3292305006653</v>
      </c>
      <c r="U50" s="351">
        <f>INDEX(qPCR_Managed!BI$4:BI$235, MATCH($E50, qPCR_Managed!$E$4:$E$235, 0), 1)</f>
        <v>3.4723657347419548</v>
      </c>
      <c r="V50" s="359">
        <f>INDEX(qPCR_Managed!BJ$4:BJ$235, MATCH($E50, qPCR_Managed!$E$4:$E$235, 0), 1)</f>
        <v>0.23102537419596508</v>
      </c>
      <c r="W50" s="490">
        <f t="shared" si="5"/>
        <v>1465957.1693455561</v>
      </c>
      <c r="X50" s="491">
        <f t="shared" si="6"/>
        <v>6.1661212817726314</v>
      </c>
      <c r="Y50" s="526" t="str" cm="1">
        <f t="array" ref="Y50">_xlfn.IFS(G50&lt;44361, "Before the burn", G50&lt;44403, "During the burn", G50&gt;44403, "After the burn")</f>
        <v>During the burn</v>
      </c>
      <c r="Z50" s="1090" t="s">
        <v>287</v>
      </c>
    </row>
    <row r="51" spans="1:26" s="279" customFormat="1" x14ac:dyDescent="0.3">
      <c r="A51" s="301" t="str">
        <v>RN44363</v>
      </c>
      <c r="B51" s="302" t="str">
        <f t="shared" si="9"/>
        <v>ERN44363</v>
      </c>
      <c r="C51" s="302" t="str">
        <v>DMRT44370</v>
      </c>
      <c r="D51" s="302" t="str">
        <f t="shared" si="1"/>
        <v>MRT44370</v>
      </c>
      <c r="E51" s="302" t="str">
        <f t="shared" si="2"/>
        <v>MRT443706</v>
      </c>
      <c r="F51" s="302" t="str">
        <f t="shared" si="3"/>
        <v>MRT</v>
      </c>
      <c r="G51" s="316">
        <f t="shared" si="4"/>
        <v>44370</v>
      </c>
      <c r="H51" s="350">
        <f>INDEX(qPCR_Managed!N$4:N$235, MATCH($E51, qPCR_Managed!$E$4:$E$235, 0), 1)</f>
        <v>6951611.3340243362</v>
      </c>
      <c r="I51" s="351">
        <f>INDEX(qPCR_Managed!Q$4:Q$235, MATCH($E51, qPCR_Managed!$E$4:$E$235, 0), 1)</f>
        <v>6.8420854826283053</v>
      </c>
      <c r="J51" s="352">
        <f>INDEX(qPCR_Managed!R$4:R$235, MATCH($E51, qPCR_Managed!$E$4:$E$235, 0), 1)</f>
        <v>0.34685296928100606</v>
      </c>
      <c r="K51" s="353">
        <f>INDEX(qPCR_Managed!Y$4:Y$235, MATCH($E51, qPCR_Managed!$E$4:$E$235, 0), 1)</f>
        <v>0</v>
      </c>
      <c r="L51" s="354">
        <f>INDEX(qPCR_Managed!AB$4:AB$235, MATCH($E51, qPCR_Managed!$E$4:$E$235, 0), 1)</f>
        <v>0</v>
      </c>
      <c r="M51" s="355">
        <f>INDEX(qPCR_Managed!AC$4:AC$235, MATCH($E51, qPCR_Managed!$E$4:$E$235, 0), 1)</f>
        <v>0</v>
      </c>
      <c r="N51" s="350">
        <f>INDEX(qPCR_Managed!AJ$4:AJ$235, MATCH($E51, qPCR_Managed!$E$4:$E$235, 0), 1)</f>
        <v>182.28853667508744</v>
      </c>
      <c r="O51" s="351">
        <f>INDEX(qPCR_Managed!AM$4:AM$235, MATCH($E51, qPCR_Managed!$E$4:$E$235, 0), 1)</f>
        <v>2.2607593586424297</v>
      </c>
      <c r="P51" s="352">
        <f>INDEX(qPCR_Managed!AN$4:AN$235, MATCH($E51, qPCR_Managed!$E$4:$E$235, 0), 1)</f>
        <v>7.9624821026684348E-2</v>
      </c>
      <c r="Q51" s="356">
        <f>INDEX(qPCR_Managed!AU$4:AU$235, MATCH($E51, qPCR_Managed!$E$4:$E$235, 0), 1)</f>
        <v>0</v>
      </c>
      <c r="R51" s="354">
        <f>INDEX(qPCR_Managed!AX$4:AX$235, MATCH($E51, qPCR_Managed!$E$4:$E$235, 0), 1)</f>
        <v>0</v>
      </c>
      <c r="S51" s="357">
        <f>INDEX(qPCR_Managed!AY$4:AY$235, MATCH($E51, qPCR_Managed!$E$4:$E$235, 0), 1)</f>
        <v>0</v>
      </c>
      <c r="T51" s="358">
        <f>INDEX(qPCR_Managed!BF$4:BF$235, MATCH($E51, qPCR_Managed!$E$4:$E$235, 0), 1)</f>
        <v>0</v>
      </c>
      <c r="U51" s="351">
        <f>INDEX(qPCR_Managed!BI$4:BI$235, MATCH($E51, qPCR_Managed!$E$4:$E$235, 0), 1)</f>
        <v>0</v>
      </c>
      <c r="V51" s="359">
        <f>INDEX(qPCR_Managed!BJ$4:BJ$235, MATCH($E51, qPCR_Managed!$E$4:$E$235, 0), 1)</f>
        <v>0</v>
      </c>
      <c r="W51" s="490">
        <f t="shared" si="5"/>
        <v>182.28853667508744</v>
      </c>
      <c r="X51" s="491">
        <f t="shared" si="6"/>
        <v>2.2607593586424297</v>
      </c>
      <c r="Y51" s="526" t="str" cm="1">
        <f t="array" ref="Y51">_xlfn.IFS(G51&lt;44361, "Before the burn", G51&lt;44403, "During the burn", G51&gt;44403, "After the burn")</f>
        <v>During the burn</v>
      </c>
      <c r="Z51" s="1090" t="s">
        <v>287</v>
      </c>
    </row>
    <row r="52" spans="1:26" s="279" customFormat="1" x14ac:dyDescent="0.3">
      <c r="A52" s="301" t="str">
        <v>RN44370</v>
      </c>
      <c r="B52" s="302" t="str">
        <f t="shared" si="9"/>
        <v>ERN44370</v>
      </c>
      <c r="C52" s="302" t="str">
        <v>DMRT44377</v>
      </c>
      <c r="D52" s="302" t="str">
        <f t="shared" si="1"/>
        <v>MRT44377</v>
      </c>
      <c r="E52" s="302" t="str">
        <f t="shared" si="2"/>
        <v>MRT443776</v>
      </c>
      <c r="F52" s="302" t="str">
        <f t="shared" si="3"/>
        <v>MRT</v>
      </c>
      <c r="G52" s="316">
        <f t="shared" si="4"/>
        <v>44377</v>
      </c>
      <c r="H52" s="350">
        <f>INDEX(qPCR_Managed!N$4:N$235, MATCH($E52, qPCR_Managed!$E$4:$E$235, 0), 1)</f>
        <v>6165448.363805701</v>
      </c>
      <c r="I52" s="351">
        <f>INDEX(qPCR_Managed!Q$4:Q$235, MATCH($E52, qPCR_Managed!$E$4:$E$235, 0), 1)</f>
        <v>6.7899646648484158</v>
      </c>
      <c r="J52" s="352">
        <f>INDEX(qPCR_Managed!R$4:R$235, MATCH($E52, qPCR_Managed!$E$4:$E$235, 0), 1)</f>
        <v>3.7754077490664874E-2</v>
      </c>
      <c r="K52" s="353">
        <f>INDEX(qPCR_Managed!Y$4:Y$235, MATCH($E52, qPCR_Managed!$E$4:$E$235, 0), 1)</f>
        <v>268.31407017178003</v>
      </c>
      <c r="L52" s="354">
        <f>INDEX(qPCR_Managed!AB$4:AB$235, MATCH($E52, qPCR_Managed!$E$4:$E$235, 0), 1)</f>
        <v>2.4286434473187644</v>
      </c>
      <c r="M52" s="355">
        <f>INDEX(qPCR_Managed!AC$4:AC$235, MATCH($E52, qPCR_Managed!$E$4:$E$235, 0), 1)</f>
        <v>0.43429448190325176</v>
      </c>
      <c r="N52" s="350">
        <f>INDEX(qPCR_Managed!AJ$4:AJ$235, MATCH($E52, qPCR_Managed!$E$4:$E$235, 0), 1)</f>
        <v>0</v>
      </c>
      <c r="O52" s="351">
        <f>INDEX(qPCR_Managed!AM$4:AM$235, MATCH($E52, qPCR_Managed!$E$4:$E$235, 0), 1)</f>
        <v>0</v>
      </c>
      <c r="P52" s="352">
        <f>INDEX(qPCR_Managed!AN$4:AN$235, MATCH($E52, qPCR_Managed!$E$4:$E$235, 0), 1)</f>
        <v>0</v>
      </c>
      <c r="Q52" s="356">
        <f>INDEX(qPCR_Managed!AU$4:AU$235, MATCH($E52, qPCR_Managed!$E$4:$E$235, 0), 1)</f>
        <v>0</v>
      </c>
      <c r="R52" s="354">
        <f>INDEX(qPCR_Managed!AX$4:AX$235, MATCH($E52, qPCR_Managed!$E$4:$E$235, 0), 1)</f>
        <v>0</v>
      </c>
      <c r="S52" s="357">
        <f>INDEX(qPCR_Managed!AY$4:AY$235, MATCH($E52, qPCR_Managed!$E$4:$E$235, 0), 1)</f>
        <v>0</v>
      </c>
      <c r="T52" s="358">
        <f>INDEX(qPCR_Managed!BF$4:BF$235, MATCH($E52, qPCR_Managed!$E$4:$E$235, 0), 1)</f>
        <v>322.4329948425293</v>
      </c>
      <c r="U52" s="351">
        <f>INDEX(qPCR_Managed!BI$4:BI$235, MATCH($E52, qPCR_Managed!$E$4:$E$235, 0), 1)</f>
        <v>2.5084394771307048</v>
      </c>
      <c r="V52" s="359">
        <f>INDEX(qPCR_Managed!BJ$4:BJ$235, MATCH($E52, qPCR_Managed!$E$4:$E$235, 0), 1)</f>
        <v>0.43429448190325171</v>
      </c>
      <c r="W52" s="490">
        <f t="shared" si="5"/>
        <v>590.74706501430933</v>
      </c>
      <c r="X52" s="491">
        <f t="shared" si="6"/>
        <v>2.7714015726213659</v>
      </c>
      <c r="Y52" s="526" t="str" cm="1">
        <f t="array" ref="Y52">_xlfn.IFS(G52&lt;44361, "Before the burn", G52&lt;44403, "During the burn", G52&gt;44403, "After the burn")</f>
        <v>During the burn</v>
      </c>
      <c r="Z52" s="1090" t="s">
        <v>287</v>
      </c>
    </row>
    <row r="53" spans="1:26" s="279" customFormat="1" x14ac:dyDescent="0.3">
      <c r="A53" s="301" t="str">
        <v>RN44377</v>
      </c>
      <c r="B53" s="302" t="str">
        <f t="shared" si="9"/>
        <v>ERN44377</v>
      </c>
      <c r="C53" s="302" t="str">
        <v>DMRT44385</v>
      </c>
      <c r="D53" s="302" t="str">
        <f t="shared" si="1"/>
        <v>MRT44385</v>
      </c>
      <c r="E53" s="302" t="str">
        <f t="shared" si="2"/>
        <v>MRT443856</v>
      </c>
      <c r="F53" s="302" t="str">
        <f t="shared" si="3"/>
        <v>MRT</v>
      </c>
      <c r="G53" s="316">
        <f t="shared" si="4"/>
        <v>44385</v>
      </c>
      <c r="H53" s="350">
        <f>INDEX(qPCR_Managed!N$4:N$235, MATCH($E53, qPCR_Managed!$E$4:$E$235, 0), 1)</f>
        <v>7748489.6500424985</v>
      </c>
      <c r="I53" s="351">
        <f>INDEX(qPCR_Managed!Q$4:Q$235, MATCH($E53, qPCR_Managed!$E$4:$E$235, 0), 1)</f>
        <v>6.8892170572706553</v>
      </c>
      <c r="J53" s="352">
        <f>INDEX(qPCR_Managed!R$4:R$235, MATCH($E53, qPCR_Managed!$E$4:$E$235, 0), 1)</f>
        <v>0.27693543959643552</v>
      </c>
      <c r="K53" s="353">
        <f>INDEX(qPCR_Managed!Y$4:Y$235, MATCH($E53, qPCR_Managed!$E$4:$E$235, 0), 1)</f>
        <v>1528.8693375057644</v>
      </c>
      <c r="L53" s="354">
        <f>INDEX(qPCR_Managed!AB$4:AB$235, MATCH($E53, qPCR_Managed!$E$4:$E$235, 0), 1)</f>
        <v>3.1843703706804534</v>
      </c>
      <c r="M53" s="355">
        <f>INDEX(qPCR_Managed!AC$4:AC$235, MATCH($E53, qPCR_Managed!$E$4:$E$235, 0), 1)</f>
        <v>0.17486358508649869</v>
      </c>
      <c r="N53" s="350">
        <f>INDEX(qPCR_Managed!AJ$4:AJ$235, MATCH($E53, qPCR_Managed!$E$4:$E$235, 0), 1)</f>
        <v>0</v>
      </c>
      <c r="O53" s="351">
        <f>INDEX(qPCR_Managed!AM$4:AM$235, MATCH($E53, qPCR_Managed!$E$4:$E$235, 0), 1)</f>
        <v>0</v>
      </c>
      <c r="P53" s="352">
        <f>INDEX(qPCR_Managed!AN$4:AN$235, MATCH($E53, qPCR_Managed!$E$4:$E$235, 0), 1)</f>
        <v>0</v>
      </c>
      <c r="Q53" s="356">
        <f>INDEX(qPCR_Managed!AU$4:AU$235, MATCH($E53, qPCR_Managed!$E$4:$E$235, 0), 1)</f>
        <v>431.67843818664551</v>
      </c>
      <c r="R53" s="354">
        <f>INDEX(qPCR_Managed!AX$4:AX$235, MATCH($E53, qPCR_Managed!$E$4:$E$235, 0), 1)</f>
        <v>2.6351603567164474</v>
      </c>
      <c r="S53" s="357">
        <f>INDEX(qPCR_Managed!AY$4:AY$235, MATCH($E53, qPCR_Managed!$E$4:$E$235, 0), 1)</f>
        <v>0.43429448190325176</v>
      </c>
      <c r="T53" s="358">
        <f>INDEX(qPCR_Managed!BF$4:BF$235, MATCH($E53, qPCR_Managed!$E$4:$E$235, 0), 1)</f>
        <v>0</v>
      </c>
      <c r="U53" s="351">
        <f>INDEX(qPCR_Managed!BI$4:BI$235, MATCH($E53, qPCR_Managed!$E$4:$E$235, 0), 1)</f>
        <v>0</v>
      </c>
      <c r="V53" s="359">
        <f>INDEX(qPCR_Managed!BJ$4:BJ$235, MATCH($E53, qPCR_Managed!$E$4:$E$235, 0), 1)</f>
        <v>0</v>
      </c>
      <c r="W53" s="490">
        <f t="shared" si="5"/>
        <v>1960.5477756924099</v>
      </c>
      <c r="X53" s="491">
        <f t="shared" si="6"/>
        <v>3.2923774298888513</v>
      </c>
      <c r="Y53" s="526" t="str" cm="1">
        <f t="array" ref="Y53">_xlfn.IFS(G53&lt;44361, "Before the burn", G53&lt;44403, "During the burn", G53&gt;44403, "After the burn")</f>
        <v>During the burn</v>
      </c>
      <c r="Z53" s="1090" t="s">
        <v>287</v>
      </c>
    </row>
    <row r="54" spans="1:26" s="279" customFormat="1" x14ac:dyDescent="0.3">
      <c r="A54" s="301" t="str">
        <v>RN44385</v>
      </c>
      <c r="B54" s="302" t="str">
        <f t="shared" si="9"/>
        <v>ERN44385</v>
      </c>
      <c r="C54" s="302" t="str">
        <v>DMRT44391</v>
      </c>
      <c r="D54" s="302" t="str">
        <f t="shared" si="1"/>
        <v>MRT44391</v>
      </c>
      <c r="E54" s="302" t="str">
        <f t="shared" si="2"/>
        <v>MRT443916</v>
      </c>
      <c r="F54" s="302" t="str">
        <f t="shared" si="3"/>
        <v>MRT</v>
      </c>
      <c r="G54" s="316">
        <f t="shared" si="4"/>
        <v>44391</v>
      </c>
      <c r="H54" s="350">
        <f>INDEX(qPCR_Managed!N$4:N$235, MATCH($E54, qPCR_Managed!$E$4:$E$235, 0), 1)</f>
        <v>23027506.457112629</v>
      </c>
      <c r="I54" s="351">
        <f>INDEX(qPCR_Managed!Q$4:Q$235, MATCH($E54, qPCR_Managed!$E$4:$E$235, 0), 1)</f>
        <v>7.362246912755932</v>
      </c>
      <c r="J54" s="352">
        <f>INDEX(qPCR_Managed!R$4:R$235, MATCH($E54, qPCR_Managed!$E$4:$E$235, 0), 1)</f>
        <v>0.10928610789896223</v>
      </c>
      <c r="K54" s="353">
        <f>INDEX(qPCR_Managed!Y$4:Y$235, MATCH($E54, qPCR_Managed!$E$4:$E$235, 0), 1)</f>
        <v>1402.1369934082031</v>
      </c>
      <c r="L54" s="354">
        <f>INDEX(qPCR_Managed!AB$4:AB$235, MATCH($E54, qPCR_Managed!$E$4:$E$235, 0), 1)</f>
        <v>3.1467904477067403</v>
      </c>
      <c r="M54" s="355">
        <f>INDEX(qPCR_Managed!AC$4:AC$235, MATCH($E54, qPCR_Managed!$E$4:$E$235, 0), 1)</f>
        <v>4.627566057861543E-2</v>
      </c>
      <c r="N54" s="350">
        <f>INDEX(qPCR_Managed!AJ$4:AJ$235, MATCH($E54, qPCR_Managed!$E$4:$E$235, 0), 1)</f>
        <v>101.41029357910156</v>
      </c>
      <c r="O54" s="351">
        <f>INDEX(qPCR_Managed!AM$4:AM$235, MATCH($E54, qPCR_Managed!$E$4:$E$235, 0), 1)</f>
        <v>2.0060820399846007</v>
      </c>
      <c r="P54" s="352">
        <f>INDEX(qPCR_Managed!AN$4:AN$235, MATCH($E54, qPCR_Managed!$E$4:$E$235, 0), 1)</f>
        <v>0.43429448190325176</v>
      </c>
      <c r="Q54" s="356">
        <f>INDEX(qPCR_Managed!AU$4:AU$235, MATCH($E54, qPCR_Managed!$E$4:$E$235, 0), 1)</f>
        <v>2321.6773986816406</v>
      </c>
      <c r="R54" s="354">
        <f>INDEX(qPCR_Managed!AX$4:AX$235, MATCH($E54, qPCR_Managed!$E$4:$E$235, 0), 1)</f>
        <v>3.36580187358265</v>
      </c>
      <c r="S54" s="357">
        <f>INDEX(qPCR_Managed!AY$4:AY$235, MATCH($E54, qPCR_Managed!$E$4:$E$235, 0), 1)</f>
        <v>0.27928433822935989</v>
      </c>
      <c r="T54" s="358">
        <f>INDEX(qPCR_Managed!BF$4:BF$235, MATCH($E54, qPCR_Managed!$E$4:$E$235, 0), 1)</f>
        <v>0</v>
      </c>
      <c r="U54" s="351">
        <f>INDEX(qPCR_Managed!BI$4:BI$235, MATCH($E54, qPCR_Managed!$E$4:$E$235, 0), 1)</f>
        <v>0</v>
      </c>
      <c r="V54" s="359">
        <f>INDEX(qPCR_Managed!BJ$4:BJ$235, MATCH($E54, qPCR_Managed!$E$4:$E$235, 0), 1)</f>
        <v>0</v>
      </c>
      <c r="W54" s="490">
        <f t="shared" si="5"/>
        <v>3825.2246856689453</v>
      </c>
      <c r="X54" s="491">
        <f t="shared" si="6"/>
        <v>3.5826569497851435</v>
      </c>
      <c r="Y54" s="526" t="str" cm="1">
        <f t="array" ref="Y54">_xlfn.IFS(G54&lt;44361, "Before the burn", G54&lt;44403, "During the burn", G54&gt;44403, "After the burn")</f>
        <v>During the burn</v>
      </c>
      <c r="Z54" s="1090" t="s">
        <v>287</v>
      </c>
    </row>
    <row r="55" spans="1:26" s="279" customFormat="1" x14ac:dyDescent="0.3">
      <c r="A55" s="301" t="str">
        <v>RN44391</v>
      </c>
      <c r="B55" s="302" t="str">
        <f t="shared" si="9"/>
        <v>ERN44391</v>
      </c>
      <c r="C55" s="302" t="str">
        <v>DMRT44398</v>
      </c>
      <c r="D55" s="302" t="str">
        <f t="shared" si="1"/>
        <v>MRT44398</v>
      </c>
      <c r="E55" s="302" t="str">
        <f t="shared" si="2"/>
        <v>MRT443986</v>
      </c>
      <c r="F55" s="302" t="str">
        <f t="shared" si="3"/>
        <v>MRT</v>
      </c>
      <c r="G55" s="316">
        <f t="shared" si="4"/>
        <v>44398</v>
      </c>
      <c r="H55" s="350">
        <f>INDEX(qPCR_Managed!N$4:N$235, MATCH($E55, qPCR_Managed!$E$4:$E$235, 0), 1)</f>
        <v>4031205.7741744434</v>
      </c>
      <c r="I55" s="351">
        <f>INDEX(qPCR_Managed!Q$4:Q$235, MATCH($E55, qPCR_Managed!$E$4:$E$235, 0), 1)</f>
        <v>6.6054349674181383</v>
      </c>
      <c r="J55" s="352">
        <f>INDEX(qPCR_Managed!R$4:R$235, MATCH($E55, qPCR_Managed!$E$4:$E$235, 0), 1)</f>
        <v>9.8835135429531762E-2</v>
      </c>
      <c r="K55" s="353">
        <f>INDEX(qPCR_Managed!Y$4:Y$235, MATCH($E55, qPCR_Managed!$E$4:$E$235, 0), 1)</f>
        <v>464.26421006520587</v>
      </c>
      <c r="L55" s="354">
        <f>INDEX(qPCR_Managed!AB$4:AB$235, MATCH($E55, qPCR_Managed!$E$4:$E$235, 0), 1)</f>
        <v>2.6667652053756519</v>
      </c>
      <c r="M55" s="355">
        <f>INDEX(qPCR_Managed!AC$4:AC$235, MATCH($E55, qPCR_Managed!$E$4:$E$235, 0), 1)</f>
        <v>0.1961609434587307</v>
      </c>
      <c r="N55" s="350">
        <f>INDEX(qPCR_Managed!AJ$4:AJ$235, MATCH($E55, qPCR_Managed!$E$4:$E$235, 0), 1)</f>
        <v>169.27974621454874</v>
      </c>
      <c r="O55" s="351">
        <f>INDEX(qPCR_Managed!AM$4:AM$235, MATCH($E55, qPCR_Managed!$E$4:$E$235, 0), 1)</f>
        <v>2.2286049992580708</v>
      </c>
      <c r="P55" s="352">
        <f>INDEX(qPCR_Managed!AN$4:AN$235, MATCH($E55, qPCR_Managed!$E$4:$E$235, 0), 1)</f>
        <v>0.12130419250929357</v>
      </c>
      <c r="Q55" s="356">
        <f>INDEX(qPCR_Managed!AU$4:AU$235, MATCH($E55, qPCR_Managed!$E$4:$E$235, 0), 1)</f>
        <v>0</v>
      </c>
      <c r="R55" s="354">
        <f>INDEX(qPCR_Managed!AX$4:AX$235, MATCH($E55, qPCR_Managed!$E$4:$E$235, 0), 1)</f>
        <v>0</v>
      </c>
      <c r="S55" s="357">
        <f>INDEX(qPCR_Managed!AY$4:AY$235, MATCH($E55, qPCR_Managed!$E$4:$E$235, 0), 1)</f>
        <v>0</v>
      </c>
      <c r="T55" s="358">
        <f>INDEX(qPCR_Managed!BF$4:BF$235, MATCH($E55, qPCR_Managed!$E$4:$E$235, 0), 1)</f>
        <v>0</v>
      </c>
      <c r="U55" s="351">
        <f>INDEX(qPCR_Managed!BI$4:BI$235, MATCH($E55, qPCR_Managed!$E$4:$E$235, 0), 1)</f>
        <v>0</v>
      </c>
      <c r="V55" s="359">
        <f>INDEX(qPCR_Managed!BJ$4:BJ$235, MATCH($E55, qPCR_Managed!$E$4:$E$235, 0), 1)</f>
        <v>0</v>
      </c>
      <c r="W55" s="490">
        <f t="shared" si="5"/>
        <v>633.54395627975464</v>
      </c>
      <c r="X55" s="491">
        <f t="shared" si="6"/>
        <v>2.8017767523015138</v>
      </c>
      <c r="Y55" s="526" t="str" cm="1">
        <f t="array" ref="Y55">_xlfn.IFS(G55&lt;44361, "Before the burn", G55&lt;44403, "During the burn", G55&gt;44403, "After the burn")</f>
        <v>During the burn</v>
      </c>
      <c r="Z55" s="1090" t="s">
        <v>287</v>
      </c>
    </row>
    <row r="56" spans="1:26" s="279" customFormat="1" x14ac:dyDescent="0.3">
      <c r="A56" s="301" t="str">
        <v>RN44398</v>
      </c>
      <c r="B56" s="302" t="str">
        <f t="shared" si="9"/>
        <v>ERN44398</v>
      </c>
      <c r="C56" s="302" t="str">
        <v>DMRT44405</v>
      </c>
      <c r="D56" s="302" t="str">
        <f t="shared" si="1"/>
        <v>MRT44405</v>
      </c>
      <c r="E56" s="302" t="str">
        <f t="shared" si="2"/>
        <v>MRT444056</v>
      </c>
      <c r="F56" s="302" t="str">
        <f t="shared" si="3"/>
        <v>MRT</v>
      </c>
      <c r="G56" s="316">
        <f t="shared" si="4"/>
        <v>44405</v>
      </c>
      <c r="H56" s="350">
        <f>INDEX(qPCR_Managed!N$4:N$235, MATCH($E56, qPCR_Managed!$E$4:$E$235, 0), 1)</f>
        <v>7210440.946767821</v>
      </c>
      <c r="I56" s="351">
        <f>INDEX(qPCR_Managed!Q$4:Q$235, MATCH($E56, qPCR_Managed!$E$4:$E$235, 0), 1)</f>
        <v>6.857961824343902</v>
      </c>
      <c r="J56" s="352">
        <f>INDEX(qPCR_Managed!R$4:R$235, MATCH($E56, qPCR_Managed!$E$4:$E$235, 0), 1)</f>
        <v>0.24708577393031075</v>
      </c>
      <c r="K56" s="353">
        <f>INDEX(qPCR_Managed!Y$4:Y$235, MATCH($E56, qPCR_Managed!$E$4:$E$235, 0), 1)</f>
        <v>433.24586939304436</v>
      </c>
      <c r="L56" s="354">
        <f>INDEX(qPCR_Managed!AB$4:AB$235, MATCH($E56, qPCR_Managed!$E$4:$E$235, 0), 1)</f>
        <v>2.6367344308011669</v>
      </c>
      <c r="M56" s="355">
        <f>INDEX(qPCR_Managed!AC$4:AC$235, MATCH($E56, qPCR_Managed!$E$4:$E$235, 0), 1)</f>
        <v>6.9900938459799125E-2</v>
      </c>
      <c r="N56" s="350">
        <f>INDEX(qPCR_Managed!AJ$4:AJ$235, MATCH($E56, qPCR_Managed!$E$4:$E$235, 0), 1)</f>
        <v>214.79730314396798</v>
      </c>
      <c r="O56" s="351">
        <f>INDEX(qPCR_Managed!AM$4:AM$235, MATCH($E56, qPCR_Managed!$E$4:$E$235, 0), 1)</f>
        <v>2.3320288243410854</v>
      </c>
      <c r="P56" s="352">
        <f>INDEX(qPCR_Managed!AN$4:AN$235, MATCH($E56, qPCR_Managed!$E$4:$E$235, 0), 1)</f>
        <v>0.11018075958427638</v>
      </c>
      <c r="Q56" s="356">
        <f>INDEX(qPCR_Managed!AU$4:AU$235, MATCH($E56, qPCR_Managed!$E$4:$E$235, 0), 1)</f>
        <v>0</v>
      </c>
      <c r="R56" s="354">
        <f>INDEX(qPCR_Managed!AX$4:AX$235, MATCH($E56, qPCR_Managed!$E$4:$E$235, 0), 1)</f>
        <v>0</v>
      </c>
      <c r="S56" s="357">
        <f>INDEX(qPCR_Managed!AY$4:AY$235, MATCH($E56, qPCR_Managed!$E$4:$E$235, 0), 1)</f>
        <v>0</v>
      </c>
      <c r="T56" s="358">
        <f>INDEX(qPCR_Managed!BF$4:BF$235, MATCH($E56, qPCR_Managed!$E$4:$E$235, 0), 1)</f>
        <v>0</v>
      </c>
      <c r="U56" s="351">
        <f>INDEX(qPCR_Managed!BI$4:BI$235, MATCH($E56, qPCR_Managed!$E$4:$E$235, 0), 1)</f>
        <v>0</v>
      </c>
      <c r="V56" s="359">
        <f>INDEX(qPCR_Managed!BJ$4:BJ$235, MATCH($E56, qPCR_Managed!$E$4:$E$235, 0), 1)</f>
        <v>0</v>
      </c>
      <c r="W56" s="490">
        <f t="shared" si="5"/>
        <v>648.04317253701231</v>
      </c>
      <c r="X56" s="491">
        <f t="shared" si="6"/>
        <v>2.8116039394663228</v>
      </c>
      <c r="Y56" s="526" t="str" cm="1">
        <f t="array" ref="Y56">_xlfn.IFS(G56&lt;44361, "Before the burn", G56&lt;44403, "During the burn", G56&gt;44403, "After the burn")</f>
        <v>After the burn</v>
      </c>
      <c r="Z56" s="1090" t="s">
        <v>287</v>
      </c>
    </row>
    <row r="57" spans="1:26" s="279" customFormat="1" x14ac:dyDescent="0.3">
      <c r="A57" s="301" t="str">
        <v>RN44405</v>
      </c>
      <c r="B57" s="302" t="str">
        <f t="shared" si="9"/>
        <v>ERN44405</v>
      </c>
      <c r="C57" s="302" t="str">
        <v>DMRT44412</v>
      </c>
      <c r="D57" s="302" t="str">
        <f t="shared" si="1"/>
        <v>MRT44412</v>
      </c>
      <c r="E57" s="302" t="str">
        <f t="shared" si="2"/>
        <v>MRT444126</v>
      </c>
      <c r="F57" s="302" t="str">
        <f t="shared" si="3"/>
        <v>MRT</v>
      </c>
      <c r="G57" s="316">
        <f t="shared" si="4"/>
        <v>44412</v>
      </c>
      <c r="H57" s="350">
        <f>INDEX(qPCR_Managed!N$4:N$235, MATCH($E57, qPCR_Managed!$E$4:$E$235, 0), 1)</f>
        <v>79702011.311411425</v>
      </c>
      <c r="I57" s="351">
        <f>INDEX(qPCR_Managed!Q$4:Q$235, MATCH($E57, qPCR_Managed!$E$4:$E$235, 0), 1)</f>
        <v>7.9014692811254186</v>
      </c>
      <c r="J57" s="352">
        <f>INDEX(qPCR_Managed!R$4:R$235, MATCH($E57, qPCR_Managed!$E$4:$E$235, 0), 1)</f>
        <v>1.1904459936508623E-2</v>
      </c>
      <c r="K57" s="353">
        <f>INDEX(qPCR_Managed!Y$4:Y$235, MATCH($E57, qPCR_Managed!$E$4:$E$235, 0), 1)</f>
        <v>64895.859585013444</v>
      </c>
      <c r="L57" s="354">
        <f>INDEX(qPCR_Managed!AB$4:AB$235, MATCH($E57, qPCR_Managed!$E$4:$E$235, 0), 1)</f>
        <v>4.8122169893004871</v>
      </c>
      <c r="M57" s="355">
        <f>INDEX(qPCR_Managed!AC$4:AC$235, MATCH($E57, qPCR_Managed!$E$4:$E$235, 0), 1)</f>
        <v>2.9056679382363625E-2</v>
      </c>
      <c r="N57" s="350">
        <f>INDEX(qPCR_Managed!AJ$4:AJ$235, MATCH($E57, qPCR_Managed!$E$4:$E$235, 0), 1)</f>
        <v>10450.565174061765</v>
      </c>
      <c r="O57" s="351">
        <f>INDEX(qPCR_Managed!AM$4:AM$235, MATCH($E57, qPCR_Managed!$E$4:$E$235, 0), 1)</f>
        <v>4.0191397780393325</v>
      </c>
      <c r="P57" s="352">
        <f>INDEX(qPCR_Managed!AN$4:AN$235, MATCH($E57, qPCR_Managed!$E$4:$E$235, 0), 1)</f>
        <v>0.30755796728144069</v>
      </c>
      <c r="Q57" s="356">
        <f>INDEX(qPCR_Managed!AU$4:AU$235, MATCH($E57, qPCR_Managed!$E$4:$E$235, 0), 1)</f>
        <v>1997.1930596136278</v>
      </c>
      <c r="R57" s="354">
        <f>INDEX(qPCR_Managed!AX$4:AX$235, MATCH($E57, qPCR_Managed!$E$4:$E$235, 0), 1)</f>
        <v>3.3004200481818198</v>
      </c>
      <c r="S57" s="357">
        <f>INDEX(qPCR_Managed!AY$4:AY$235, MATCH($E57, qPCR_Managed!$E$4:$E$235, 0), 1)</f>
        <v>0.1196855059904765</v>
      </c>
      <c r="T57" s="358">
        <f>INDEX(qPCR_Managed!BF$4:BF$235, MATCH($E57, qPCR_Managed!$E$4:$E$235, 0), 1)</f>
        <v>3987.8832653004633</v>
      </c>
      <c r="U57" s="351">
        <f>INDEX(qPCR_Managed!BI$4:BI$235, MATCH($E57, qPCR_Managed!$E$4:$E$235, 0), 1)</f>
        <v>3.6007424370072556</v>
      </c>
      <c r="V57" s="359">
        <f>INDEX(qPCR_Managed!BJ$4:BJ$235, MATCH($E57, qPCR_Managed!$E$4:$E$235, 0), 1)</f>
        <v>0.39470044109863828</v>
      </c>
      <c r="W57" s="490">
        <f t="shared" si="5"/>
        <v>81331.501083989293</v>
      </c>
      <c r="X57" s="491">
        <f t="shared" si="6"/>
        <v>4.9102587878722295</v>
      </c>
      <c r="Y57" s="526" t="str" cm="1">
        <f t="array" ref="Y57">_xlfn.IFS(G57&lt;44361, "Before the burn", G57&lt;44403, "During the burn", G57&gt;44403, "After the burn")</f>
        <v>After the burn</v>
      </c>
      <c r="Z57" s="1090" t="s">
        <v>287</v>
      </c>
    </row>
    <row r="58" spans="1:26" s="279" customFormat="1" x14ac:dyDescent="0.3">
      <c r="A58" s="301" t="str">
        <v>RN44412</v>
      </c>
      <c r="B58" s="302" t="str">
        <f t="shared" si="9"/>
        <v>ERN44412</v>
      </c>
      <c r="C58" s="302" t="str">
        <v>DMRT44419</v>
      </c>
      <c r="D58" s="302" t="str">
        <f t="shared" si="1"/>
        <v>MRT44419</v>
      </c>
      <c r="E58" s="302" t="str">
        <f t="shared" si="2"/>
        <v>MRT444196</v>
      </c>
      <c r="F58" s="302" t="str">
        <f t="shared" si="3"/>
        <v>MRT</v>
      </c>
      <c r="G58" s="316">
        <f t="shared" si="4"/>
        <v>44419</v>
      </c>
      <c r="H58" s="350">
        <f>INDEX(qPCR_Managed!N$4:N$235, MATCH($E58, qPCR_Managed!$E$4:$E$235, 0), 1)</f>
        <v>22343931.466452245</v>
      </c>
      <c r="I58" s="351">
        <f>INDEX(qPCR_Managed!Q$4:Q$235, MATCH($E58, qPCR_Managed!$E$4:$E$235, 0), 1)</f>
        <v>7.3491595906222695</v>
      </c>
      <c r="J58" s="352">
        <f>INDEX(qPCR_Managed!R$4:R$235, MATCH($E58, qPCR_Managed!$E$4:$E$235, 0), 1)</f>
        <v>7.6929408610107664E-2</v>
      </c>
      <c r="K58" s="353">
        <f>INDEX(qPCR_Managed!Y$4:Y$235, MATCH($E58, qPCR_Managed!$E$4:$E$235, 0), 1)</f>
        <v>4823.8886858316355</v>
      </c>
      <c r="L58" s="354">
        <f>INDEX(qPCR_Managed!AB$4:AB$235, MATCH($E58, qPCR_Managed!$E$4:$E$235, 0), 1)</f>
        <v>3.6833972776381381</v>
      </c>
      <c r="M58" s="355">
        <f>INDEX(qPCR_Managed!AC$4:AC$235, MATCH($E58, qPCR_Managed!$E$4:$E$235, 0), 1)</f>
        <v>0.27556368985044022</v>
      </c>
      <c r="N58" s="350">
        <f>INDEX(qPCR_Managed!AJ$4:AJ$235, MATCH($E58, qPCR_Managed!$E$4:$E$235, 0), 1)</f>
        <v>0</v>
      </c>
      <c r="O58" s="351">
        <f>INDEX(qPCR_Managed!AM$4:AM$235, MATCH($E58, qPCR_Managed!$E$4:$E$235, 0), 1)</f>
        <v>0</v>
      </c>
      <c r="P58" s="352">
        <f>INDEX(qPCR_Managed!AN$4:AN$235, MATCH($E58, qPCR_Managed!$E$4:$E$235, 0), 1)</f>
        <v>0</v>
      </c>
      <c r="Q58" s="356">
        <f>INDEX(qPCR_Managed!AU$4:AU$235, MATCH($E58, qPCR_Managed!$E$4:$E$235, 0), 1)</f>
        <v>0</v>
      </c>
      <c r="R58" s="354">
        <f>INDEX(qPCR_Managed!AX$4:AX$235, MATCH($E58, qPCR_Managed!$E$4:$E$235, 0), 1)</f>
        <v>0</v>
      </c>
      <c r="S58" s="357">
        <f>INDEX(qPCR_Managed!AY$4:AY$235, MATCH($E58, qPCR_Managed!$E$4:$E$235, 0), 1)</f>
        <v>0</v>
      </c>
      <c r="T58" s="358">
        <f>INDEX(qPCR_Managed!BF$4:BF$235, MATCH($E58, qPCR_Managed!$E$4:$E$235, 0), 1)</f>
        <v>388.69497401880915</v>
      </c>
      <c r="U58" s="351">
        <f>INDEX(qPCR_Managed!BI$4:BI$235, MATCH($E58, qPCR_Managed!$E$4:$E$235, 0), 1)</f>
        <v>2.5896089250665399</v>
      </c>
      <c r="V58" s="359">
        <f>INDEX(qPCR_Managed!BJ$4:BJ$235, MATCH($E58, qPCR_Managed!$E$4:$E$235, 0), 1)</f>
        <v>8.9075877705358117E-2</v>
      </c>
      <c r="W58" s="490">
        <f t="shared" si="5"/>
        <v>5212.5836598504447</v>
      </c>
      <c r="X58" s="491">
        <f t="shared" si="6"/>
        <v>3.7170530382877782</v>
      </c>
      <c r="Y58" s="526" t="str" cm="1">
        <f t="array" ref="Y58">_xlfn.IFS(G58&lt;44361, "Before the burn", G58&lt;44403, "During the burn", G58&gt;44403, "After the burn")</f>
        <v>After the burn</v>
      </c>
      <c r="Z58" s="1090" t="s">
        <v>287</v>
      </c>
    </row>
    <row r="59" spans="1:26" s="279" customFormat="1" x14ac:dyDescent="0.3">
      <c r="A59" s="301" t="str">
        <v>RN44419</v>
      </c>
      <c r="B59" s="302" t="str">
        <f t="shared" si="9"/>
        <v>ERN44419</v>
      </c>
      <c r="C59" s="302" t="str">
        <v>DMRT44426</v>
      </c>
      <c r="D59" s="302" t="str">
        <f t="shared" si="1"/>
        <v>MRT44426</v>
      </c>
      <c r="E59" s="302" t="str">
        <f t="shared" si="2"/>
        <v>MRT444266</v>
      </c>
      <c r="F59" s="302" t="str">
        <f t="shared" si="3"/>
        <v>MRT</v>
      </c>
      <c r="G59" s="316">
        <f t="shared" si="4"/>
        <v>44426</v>
      </c>
      <c r="H59" s="350">
        <f>INDEX(qPCR_Managed!N$4:N$235, MATCH($E59, qPCR_Managed!$E$4:$E$235, 0), 1)</f>
        <v>195558911.76375777</v>
      </c>
      <c r="I59" s="351">
        <f>INDEX(qPCR_Managed!Q$4:Q$235, MATCH($E59, qPCR_Managed!$E$4:$E$235, 0), 1)</f>
        <v>8.2912776118587743</v>
      </c>
      <c r="J59" s="352">
        <f>INDEX(qPCR_Managed!R$4:R$235, MATCH($E59, qPCR_Managed!$E$4:$E$235, 0), 1)</f>
        <v>0.13191196306402403</v>
      </c>
      <c r="K59" s="353">
        <f>INDEX(qPCR_Managed!Y$4:Y$235, MATCH($E59, qPCR_Managed!$E$4:$E$235, 0), 1)</f>
        <v>47348.697747124563</v>
      </c>
      <c r="L59" s="354">
        <f>INDEX(qPCR_Managed!AB$4:AB$235, MATCH($E59, qPCR_Managed!$E$4:$E$235, 0), 1)</f>
        <v>4.6753080389039123</v>
      </c>
      <c r="M59" s="355">
        <f>INDEX(qPCR_Managed!AC$4:AC$235, MATCH($E59, qPCR_Managed!$E$4:$E$235, 0), 1)</f>
        <v>4.2223354177416905E-2</v>
      </c>
      <c r="N59" s="350">
        <f>INDEX(qPCR_Managed!AJ$4:AJ$235, MATCH($E59, qPCR_Managed!$E$4:$E$235, 0), 1)</f>
        <v>872.19350867801245</v>
      </c>
      <c r="O59" s="351">
        <f>INDEX(qPCR_Managed!AM$4:AM$235, MATCH($E59, qPCR_Managed!$E$4:$E$235, 0), 1)</f>
        <v>2.9406128501018993</v>
      </c>
      <c r="P59" s="352">
        <f>INDEX(qPCR_Managed!AN$4:AN$235, MATCH($E59, qPCR_Managed!$E$4:$E$235, 0), 1)</f>
        <v>0.14686105079050518</v>
      </c>
      <c r="Q59" s="356">
        <f>INDEX(qPCR_Managed!AU$4:AU$235, MATCH($E59, qPCR_Managed!$E$4:$E$235, 0), 1)</f>
        <v>10366.154819064672</v>
      </c>
      <c r="R59" s="354">
        <f>INDEX(qPCR_Managed!AX$4:AX$235, MATCH($E59, qPCR_Managed!$E$4:$E$235, 0), 1)</f>
        <v>4.0156176907627623</v>
      </c>
      <c r="S59" s="357">
        <f>INDEX(qPCR_Managed!AY$4:AY$235, MATCH($E59, qPCR_Managed!$E$4:$E$235, 0), 1)</f>
        <v>1.9171030403175254E-3</v>
      </c>
      <c r="T59" s="358">
        <f>INDEX(qPCR_Managed!BF$4:BF$235, MATCH($E59, qPCR_Managed!$E$4:$E$235, 0), 1)</f>
        <v>6749.5549519856777</v>
      </c>
      <c r="U59" s="351">
        <f>INDEX(qPCR_Managed!BI$4:BI$235, MATCH($E59, qPCR_Managed!$E$4:$E$235, 0), 1)</f>
        <v>3.8292751375319267</v>
      </c>
      <c r="V59" s="359">
        <f>INDEX(qPCR_Managed!BJ$4:BJ$235, MATCH($E59, qPCR_Managed!$E$4:$E$235, 0), 1)</f>
        <v>3.2776225738422965E-4</v>
      </c>
      <c r="W59" s="490">
        <f t="shared" si="5"/>
        <v>65336.601026852928</v>
      </c>
      <c r="X59" s="491">
        <f t="shared" si="6"/>
        <v>4.815156537643583</v>
      </c>
      <c r="Y59" s="526" t="str" cm="1">
        <f t="array" ref="Y59">_xlfn.IFS(G59&lt;44361, "Before the burn", G59&lt;44403, "During the burn", G59&gt;44403, "After the burn")</f>
        <v>After the burn</v>
      </c>
      <c r="Z59" s="1090" t="s">
        <v>287</v>
      </c>
    </row>
    <row r="60" spans="1:26" s="279" customFormat="1" ht="16.350000000000001" thickBot="1" x14ac:dyDescent="0.35">
      <c r="A60" s="303" t="str">
        <v>RN44426</v>
      </c>
      <c r="B60" s="304" t="str">
        <f t="shared" si="9"/>
        <v>ERN44426</v>
      </c>
      <c r="C60" s="304" t="str">
        <v>DMRT44433</v>
      </c>
      <c r="D60" s="304" t="str">
        <f t="shared" si="1"/>
        <v>MRT44433</v>
      </c>
      <c r="E60" s="304" t="str">
        <f t="shared" si="2"/>
        <v>MRT444336</v>
      </c>
      <c r="F60" s="304" t="str">
        <f t="shared" si="3"/>
        <v>MRT</v>
      </c>
      <c r="G60" s="317">
        <f t="shared" si="4"/>
        <v>44433</v>
      </c>
      <c r="H60" s="360">
        <f>INDEX(qPCR_Managed!N$4:N$235, MATCH($E60, qPCR_Managed!$E$4:$E$235, 0), 1)</f>
        <v>49593736.004659221</v>
      </c>
      <c r="I60" s="361">
        <f>INDEX(qPCR_Managed!Q$4:Q$235, MATCH($E60, qPCR_Managed!$E$4:$E$235, 0), 1)</f>
        <v>7.6954268258771572</v>
      </c>
      <c r="J60" s="362">
        <f>INDEX(qPCR_Managed!R$4:R$235, MATCH($E60, qPCR_Managed!$E$4:$E$235, 0), 1)</f>
        <v>0.31202986383023479</v>
      </c>
      <c r="K60" s="363">
        <f>INDEX(qPCR_Managed!Y$4:Y$235, MATCH($E60, qPCR_Managed!$E$4:$E$235, 0), 1)</f>
        <v>22610.194658992266</v>
      </c>
      <c r="L60" s="364">
        <f>INDEX(qPCR_Managed!AB$4:AB$235, MATCH($E60, qPCR_Managed!$E$4:$E$235, 0), 1)</f>
        <v>4.354304301352979</v>
      </c>
      <c r="M60" s="365">
        <f>INDEX(qPCR_Managed!AC$4:AC$235, MATCH($E60, qPCR_Managed!$E$4:$E$235, 0), 1)</f>
        <v>0.19876904189552486</v>
      </c>
      <c r="N60" s="360">
        <f>INDEX(qPCR_Managed!AJ$4:AJ$235, MATCH($E60, qPCR_Managed!$E$4:$E$235, 0), 1)</f>
        <v>111.86782759849471</v>
      </c>
      <c r="O60" s="361">
        <f>INDEX(qPCR_Managed!AM$4:AM$235, MATCH($E60, qPCR_Managed!$E$4:$E$235, 0), 1)</f>
        <v>2.048705204442399</v>
      </c>
      <c r="P60" s="362">
        <f>INDEX(qPCR_Managed!AN$4:AN$235, MATCH($E60, qPCR_Managed!$E$4:$E$235, 0), 1)</f>
        <v>0.43429448190325176</v>
      </c>
      <c r="Q60" s="366">
        <f>INDEX(qPCR_Managed!AU$4:AU$235, MATCH($E60, qPCR_Managed!$E$4:$E$235, 0), 1)</f>
        <v>16481.839189625749</v>
      </c>
      <c r="R60" s="364">
        <f>INDEX(qPCR_Managed!AX$4:AX$235, MATCH($E60, qPCR_Managed!$E$4:$E$235, 0), 1)</f>
        <v>4.2170056724908411</v>
      </c>
      <c r="S60" s="367">
        <f>INDEX(qPCR_Managed!AY$4:AY$235, MATCH($E60, qPCR_Managed!$E$4:$E$235, 0), 1)</f>
        <v>0.30464746811444915</v>
      </c>
      <c r="T60" s="368">
        <f>INDEX(qPCR_Managed!BF$4:BF$235, MATCH($E60, qPCR_Managed!$E$4:$E$235, 0), 1)</f>
        <v>498.61801995171442</v>
      </c>
      <c r="U60" s="361">
        <f>INDEX(qPCR_Managed!BI$4:BI$235, MATCH($E60, qPCR_Managed!$E$4:$E$235, 0), 1)</f>
        <v>2.6977679697637789</v>
      </c>
      <c r="V60" s="369">
        <f>INDEX(qPCR_Managed!BJ$4:BJ$235, MATCH($E60, qPCR_Managed!$E$4:$E$235, 0), 1)</f>
        <v>0.43429448190325176</v>
      </c>
      <c r="W60" s="492">
        <f t="shared" si="5"/>
        <v>39702.519696168223</v>
      </c>
      <c r="X60" s="493">
        <f t="shared" si="6"/>
        <v>4.5988180698718546</v>
      </c>
      <c r="Y60" s="527" t="str" cm="1">
        <f t="array" ref="Y60">_xlfn.IFS(G60&lt;44361, "Before the burn", G60&lt;44403, "During the burn", G60&gt;44403, "After the burn")</f>
        <v>After the burn</v>
      </c>
      <c r="Z60" s="1095" t="s">
        <v>287</v>
      </c>
    </row>
    <row r="61" spans="1:26" s="279" customFormat="1" x14ac:dyDescent="0.3">
      <c r="A61" s="288" t="str">
        <v>RN44433</v>
      </c>
      <c r="B61" s="289" t="str">
        <f t="shared" si="9"/>
        <v>ERN44433</v>
      </c>
      <c r="C61" s="289" t="str">
        <v>ERN44335</v>
      </c>
      <c r="D61" s="289" t="str">
        <f t="shared" si="1"/>
        <v>RN44335</v>
      </c>
      <c r="E61" s="289" t="str">
        <f t="shared" si="2"/>
        <v>RN443356</v>
      </c>
      <c r="F61" s="289" t="str">
        <f t="shared" si="3"/>
        <v>RN</v>
      </c>
      <c r="G61" s="312">
        <f t="shared" si="4"/>
        <v>44335</v>
      </c>
      <c r="H61" s="324">
        <f>INDEX(qPCR_Managed!N$4:N$235, MATCH($E61, qPCR_Managed!$E$4:$E$235, 0), 1)</f>
        <v>1121392480.7027545</v>
      </c>
      <c r="I61" s="213">
        <f>INDEX(qPCR_Managed!Q$4:Q$235, MATCH($E61, qPCR_Managed!$E$4:$E$235, 0), 1)</f>
        <v>9.0497576396880604</v>
      </c>
      <c r="J61" s="325">
        <f>INDEX(qPCR_Managed!R$4:R$235, MATCH($E61, qPCR_Managed!$E$4:$E$235, 0), 1)</f>
        <v>0.18418400269386506</v>
      </c>
      <c r="K61" s="320">
        <f>INDEX(qPCR_Managed!Y$4:Y$235, MATCH($E61, qPCR_Managed!$E$4:$E$235, 0), 1)</f>
        <v>77162.920880061327</v>
      </c>
      <c r="L61" s="308">
        <f>INDEX(qPCR_Managed!AB$4:AB$235, MATCH($E61, qPCR_Managed!$E$4:$E$235, 0), 1)</f>
        <v>4.8874086588122267</v>
      </c>
      <c r="M61" s="329">
        <f>INDEX(qPCR_Managed!AC$4:AC$235, MATCH($E61, qPCR_Managed!$E$4:$E$235, 0), 1)</f>
        <v>0.17931496713489234</v>
      </c>
      <c r="N61" s="324">
        <f>INDEX(qPCR_Managed!AJ$4:AJ$235, MATCH($E61, qPCR_Managed!$E$4:$E$235, 0), 1)</f>
        <v>525950.38957493287</v>
      </c>
      <c r="O61" s="213">
        <f>INDEX(qPCR_Managed!AM$4:AM$235, MATCH($E61, qPCR_Managed!$E$4:$E$235, 0), 1)</f>
        <v>5.7209447811309939</v>
      </c>
      <c r="P61" s="325">
        <f>INDEX(qPCR_Managed!AN$4:AN$235, MATCH($E61, qPCR_Managed!$E$4:$E$235, 0), 1)</f>
        <v>7.5703032411179191E-2</v>
      </c>
      <c r="Q61" s="336">
        <f>INDEX(qPCR_Managed!AU$4:AU$235, MATCH($E61, qPCR_Managed!$E$4:$E$235, 0), 1)</f>
        <v>0</v>
      </c>
      <c r="R61" s="308">
        <f>INDEX(qPCR_Managed!AX$4:AX$235, MATCH($E61, qPCR_Managed!$E$4:$E$235, 0), 1)</f>
        <v>0</v>
      </c>
      <c r="S61" s="337">
        <f>INDEX(qPCR_Managed!AY$4:AY$235, MATCH($E61, qPCR_Managed!$E$4:$E$235, 0), 1)</f>
        <v>0</v>
      </c>
      <c r="T61" s="332">
        <f>INDEX(qPCR_Managed!BF$4:BF$235, MATCH($E61, qPCR_Managed!$E$4:$E$235, 0), 1)</f>
        <v>12002271.461623544</v>
      </c>
      <c r="U61" s="213">
        <f>INDEX(qPCR_Managed!BI$4:BI$235, MATCH($E61, qPCR_Managed!$E$4:$E$235, 0), 1)</f>
        <v>7.0792634452056076</v>
      </c>
      <c r="V61" s="214">
        <f>INDEX(qPCR_Managed!BJ$4:BJ$235, MATCH($E61, qPCR_Managed!$E$4:$E$235, 0), 1)</f>
        <v>0.28375896552427626</v>
      </c>
      <c r="W61" s="486">
        <f t="shared" si="5"/>
        <v>12605384.772078538</v>
      </c>
      <c r="X61" s="487">
        <f t="shared" si="6"/>
        <v>7.1005561068026344</v>
      </c>
      <c r="Y61" s="524" t="str" cm="1">
        <f t="array" ref="Y61">_xlfn.IFS(G61&lt;44361, "Before the burn", G61&lt;44403, "During the burn", G61&gt;44403, "After the burn")</f>
        <v>Before the burn</v>
      </c>
      <c r="Z61" s="1093" t="s">
        <v>288</v>
      </c>
    </row>
    <row r="62" spans="1:26" s="279" customFormat="1" x14ac:dyDescent="0.3">
      <c r="A62" s="286" t="str">
        <v>RS44335</v>
      </c>
      <c r="B62" s="287" t="str">
        <f>_xlfn.CONCAT("H", A62)</f>
        <v>HRS44335</v>
      </c>
      <c r="C62" s="287" t="str">
        <v>ERN44342</v>
      </c>
      <c r="D62" s="287" t="str">
        <f t="shared" si="1"/>
        <v>RN44342</v>
      </c>
      <c r="E62" s="287" t="str">
        <f t="shared" si="2"/>
        <v>RN443426</v>
      </c>
      <c r="F62" s="287" t="str">
        <f t="shared" si="3"/>
        <v>RN</v>
      </c>
      <c r="G62" s="313">
        <f t="shared" si="4"/>
        <v>44342</v>
      </c>
      <c r="H62" s="324">
        <f>INDEX(qPCR_Managed!N$4:N$235, MATCH($E62, qPCR_Managed!$E$4:$E$235, 0), 1)</f>
        <v>118565273.33576651</v>
      </c>
      <c r="I62" s="213">
        <f>INDEX(qPCR_Managed!Q$4:Q$235, MATCH($E62, qPCR_Managed!$E$4:$E$235, 0), 1)</f>
        <v>8.0739575068438771</v>
      </c>
      <c r="J62" s="325">
        <f>INDEX(qPCR_Managed!R$4:R$235, MATCH($E62, qPCR_Managed!$E$4:$E$235, 0), 1)</f>
        <v>0.41366679993840327</v>
      </c>
      <c r="K62" s="320">
        <f>INDEX(qPCR_Managed!Y$4:Y$235, MATCH($E62, qPCR_Managed!$E$4:$E$235, 0), 1)</f>
        <v>38224.811381520994</v>
      </c>
      <c r="L62" s="308">
        <f>INDEX(qPCR_Managed!AB$4:AB$235, MATCH($E62, qPCR_Managed!$E$4:$E$235, 0), 1)</f>
        <v>4.582345351084574</v>
      </c>
      <c r="M62" s="329">
        <f>INDEX(qPCR_Managed!AC$4:AC$235, MATCH($E62, qPCR_Managed!$E$4:$E$235, 0), 1)</f>
        <v>0.24277313718349219</v>
      </c>
      <c r="N62" s="324">
        <f>INDEX(qPCR_Managed!AJ$4:AJ$235, MATCH($E62, qPCR_Managed!$E$4:$E$235, 0), 1)</f>
        <v>37924.813644311573</v>
      </c>
      <c r="O62" s="213">
        <f>INDEX(qPCR_Managed!AM$4:AM$235, MATCH($E62, qPCR_Managed!$E$4:$E$235, 0), 1)</f>
        <v>4.5789234554193214</v>
      </c>
      <c r="P62" s="325">
        <f>INDEX(qPCR_Managed!AN$4:AN$235, MATCH($E62, qPCR_Managed!$E$4:$E$235, 0), 1)</f>
        <v>0.29258277072984373</v>
      </c>
      <c r="Q62" s="336">
        <f>INDEX(qPCR_Managed!AU$4:AU$235, MATCH($E62, qPCR_Managed!$E$4:$E$235, 0), 1)</f>
        <v>0</v>
      </c>
      <c r="R62" s="308">
        <f>INDEX(qPCR_Managed!AX$4:AX$235, MATCH($E62, qPCR_Managed!$E$4:$E$235, 0), 1)</f>
        <v>0</v>
      </c>
      <c r="S62" s="337">
        <f>INDEX(qPCR_Managed!AY$4:AY$235, MATCH($E62, qPCR_Managed!$E$4:$E$235, 0), 1)</f>
        <v>0</v>
      </c>
      <c r="T62" s="332">
        <f>INDEX(qPCR_Managed!BF$4:BF$235, MATCH($E62, qPCR_Managed!$E$4:$E$235, 0), 1)</f>
        <v>872700.43957024999</v>
      </c>
      <c r="U62" s="213">
        <f>INDEX(qPCR_Managed!BI$4:BI$235, MATCH($E62, qPCR_Managed!$E$4:$E$235, 0), 1)</f>
        <v>5.9408651947164479</v>
      </c>
      <c r="V62" s="214">
        <f>INDEX(qPCR_Managed!BJ$4:BJ$235, MATCH($E62, qPCR_Managed!$E$4:$E$235, 0), 1)</f>
        <v>0.3873128842357873</v>
      </c>
      <c r="W62" s="482">
        <f t="shared" si="5"/>
        <v>948850.06459608255</v>
      </c>
      <c r="X62" s="483">
        <f t="shared" si="6"/>
        <v>5.9771975914967843</v>
      </c>
      <c r="Y62" s="522" t="str" cm="1">
        <f t="array" ref="Y62">_xlfn.IFS(G62&lt;44361, "Before the burn", G62&lt;44403, "During the burn", G62&gt;44403, "After the burn")</f>
        <v>Before the burn</v>
      </c>
      <c r="Z62" s="1091" t="s">
        <v>288</v>
      </c>
    </row>
    <row r="63" spans="1:26" s="279" customFormat="1" x14ac:dyDescent="0.3">
      <c r="A63" s="286" t="str">
        <v>RS44342</v>
      </c>
      <c r="B63" s="287" t="str">
        <f t="shared" ref="B63:B75" si="10">_xlfn.CONCAT("H", A63)</f>
        <v>HRS44342</v>
      </c>
      <c r="C63" s="287" t="str">
        <v>ERN44350</v>
      </c>
      <c r="D63" s="287" t="str">
        <f t="shared" si="1"/>
        <v>RN44350</v>
      </c>
      <c r="E63" s="287" t="str">
        <f t="shared" si="2"/>
        <v>RN443506</v>
      </c>
      <c r="F63" s="287" t="str">
        <f t="shared" si="3"/>
        <v>RN</v>
      </c>
      <c r="G63" s="313">
        <f t="shared" si="4"/>
        <v>44350</v>
      </c>
      <c r="H63" s="324">
        <f>INDEX(qPCR_Managed!N$4:N$235, MATCH($E63, qPCR_Managed!$E$4:$E$235, 0), 1)</f>
        <v>9410233335.8906155</v>
      </c>
      <c r="I63" s="213">
        <f>INDEX(qPCR_Managed!Q$4:Q$235, MATCH($E63, qPCR_Managed!$E$4:$E$235, 0), 1)</f>
        <v>9.9736003923149656</v>
      </c>
      <c r="J63" s="325">
        <f>INDEX(qPCR_Managed!R$4:R$235, MATCH($E63, qPCR_Managed!$E$4:$E$235, 0), 1)</f>
        <v>4.9154712250792855E-2</v>
      </c>
      <c r="K63" s="320">
        <f>INDEX(qPCR_Managed!Y$4:Y$235, MATCH($E63, qPCR_Managed!$E$4:$E$235, 0), 1)</f>
        <v>162937.95470673279</v>
      </c>
      <c r="L63" s="308">
        <f>INDEX(qPCR_Managed!AB$4:AB$235, MATCH($E63, qPCR_Managed!$E$4:$E$235, 0), 1)</f>
        <v>5.2120222604884647</v>
      </c>
      <c r="M63" s="329">
        <f>INDEX(qPCR_Managed!AC$4:AC$235, MATCH($E63, qPCR_Managed!$E$4:$E$235, 0), 1)</f>
        <v>6.6061828291278666E-3</v>
      </c>
      <c r="N63" s="324">
        <f>INDEX(qPCR_Managed!AJ$4:AJ$235, MATCH($E63, qPCR_Managed!$E$4:$E$235, 0), 1)</f>
        <v>240357.5262945118</v>
      </c>
      <c r="O63" s="213">
        <f>INDEX(qPCR_Managed!AM$4:AM$235, MATCH($E63, qPCR_Managed!$E$4:$E$235, 0), 1)</f>
        <v>5.3808577257032759</v>
      </c>
      <c r="P63" s="325">
        <f>INDEX(qPCR_Managed!AN$4:AN$235, MATCH($E63, qPCR_Managed!$E$4:$E$235, 0), 1)</f>
        <v>0.19814571080198626</v>
      </c>
      <c r="Q63" s="336">
        <f>INDEX(qPCR_Managed!AU$4:AU$235, MATCH($E63, qPCR_Managed!$E$4:$E$235, 0), 1)</f>
        <v>736.41356601509995</v>
      </c>
      <c r="R63" s="308">
        <f>INDEX(qPCR_Managed!AX$4:AX$235, MATCH($E63, qPCR_Managed!$E$4:$E$235, 0), 1)</f>
        <v>2.8671217803632532</v>
      </c>
      <c r="S63" s="337">
        <f>INDEX(qPCR_Managed!AY$4:AY$235, MATCH($E63, qPCR_Managed!$E$4:$E$235, 0), 1)</f>
        <v>0.43429448190325176</v>
      </c>
      <c r="T63" s="332">
        <f>INDEX(qPCR_Managed!BF$4:BF$235, MATCH($E63, qPCR_Managed!$E$4:$E$235, 0), 1)</f>
        <v>7787952.2915782388</v>
      </c>
      <c r="U63" s="213">
        <f>INDEX(qPCR_Managed!BI$4:BI$235, MATCH($E63, qPCR_Managed!$E$4:$E$235, 0), 1)</f>
        <v>6.8914232824001544</v>
      </c>
      <c r="V63" s="214">
        <f>INDEX(qPCR_Managed!BJ$4:BJ$235, MATCH($E63, qPCR_Managed!$E$4:$E$235, 0), 1)</f>
        <v>0.15270351303425561</v>
      </c>
      <c r="W63" s="482">
        <f t="shared" si="5"/>
        <v>8191984.1861454984</v>
      </c>
      <c r="X63" s="483">
        <f t="shared" si="6"/>
        <v>6.9133891052679397</v>
      </c>
      <c r="Y63" s="522" t="str" cm="1">
        <f t="array" ref="Y63">_xlfn.IFS(G63&lt;44361, "Before the burn", G63&lt;44403, "During the burn", G63&gt;44403, "After the burn")</f>
        <v>Before the burn</v>
      </c>
      <c r="Z63" s="1091" t="s">
        <v>288</v>
      </c>
    </row>
    <row r="64" spans="1:26" s="279" customFormat="1" x14ac:dyDescent="0.3">
      <c r="A64" s="286" t="str">
        <v>RS44350</v>
      </c>
      <c r="B64" s="287" t="str">
        <f t="shared" si="10"/>
        <v>HRS44350</v>
      </c>
      <c r="C64" s="287" t="str">
        <v>ERN44356</v>
      </c>
      <c r="D64" s="287" t="str">
        <f t="shared" si="1"/>
        <v>RN44356</v>
      </c>
      <c r="E64" s="287" t="str">
        <f t="shared" si="2"/>
        <v>RN443566</v>
      </c>
      <c r="F64" s="287" t="str">
        <f t="shared" si="3"/>
        <v>RN</v>
      </c>
      <c r="G64" s="313">
        <f t="shared" si="4"/>
        <v>44356</v>
      </c>
      <c r="H64" s="324">
        <f>INDEX(qPCR_Managed!N$4:N$235, MATCH($E64, qPCR_Managed!$E$4:$E$235, 0), 1)</f>
        <v>1203762443.3262875</v>
      </c>
      <c r="I64" s="213">
        <f>INDEX(qPCR_Managed!Q$4:Q$235, MATCH($E64, qPCR_Managed!$E$4:$E$235, 0), 1)</f>
        <v>9.0805407894700885</v>
      </c>
      <c r="J64" s="325">
        <f>INDEX(qPCR_Managed!R$4:R$235, MATCH($E64, qPCR_Managed!$E$4:$E$235, 0), 1)</f>
        <v>0.28148545758303911</v>
      </c>
      <c r="K64" s="320">
        <f>INDEX(qPCR_Managed!Y$4:Y$235, MATCH($E64, qPCR_Managed!$E$4:$E$235, 0), 1)</f>
        <v>38949.830988833775</v>
      </c>
      <c r="L64" s="308">
        <f>INDEX(qPCR_Managed!AB$4:AB$235, MATCH($E64, qPCR_Managed!$E$4:$E$235, 0), 1)</f>
        <v>4.5905055775213919</v>
      </c>
      <c r="M64" s="329">
        <f>INDEX(qPCR_Managed!AC$4:AC$235, MATCH($E64, qPCR_Managed!$E$4:$E$235, 0), 1)</f>
        <v>0.27966489644099557</v>
      </c>
      <c r="N64" s="324">
        <f>INDEX(qPCR_Managed!AJ$4:AJ$235, MATCH($E64, qPCR_Managed!$E$4:$E$235, 0), 1)</f>
        <v>20437.742695055509</v>
      </c>
      <c r="O64" s="213">
        <f>INDEX(qPCR_Managed!AM$4:AM$235, MATCH($E64, qPCR_Managed!$E$4:$E$235, 0), 1)</f>
        <v>4.3104329272152517</v>
      </c>
      <c r="P64" s="325">
        <f>INDEX(qPCR_Managed!AN$4:AN$235, MATCH($E64, qPCR_Managed!$E$4:$E$235, 0), 1)</f>
        <v>2.4258710438023579E-2</v>
      </c>
      <c r="Q64" s="336">
        <f>INDEX(qPCR_Managed!AU$4:AU$235, MATCH($E64, qPCR_Managed!$E$4:$E$235, 0), 1)</f>
        <v>16087.194824218748</v>
      </c>
      <c r="R64" s="308">
        <f>INDEX(qPCR_Managed!AX$4:AX$235, MATCH($E64, qPCR_Managed!$E$4:$E$235, 0), 1)</f>
        <v>4.2064803213784936</v>
      </c>
      <c r="S64" s="337">
        <f>INDEX(qPCR_Managed!AY$4:AY$235, MATCH($E64, qPCR_Managed!$E$4:$E$235, 0), 1)</f>
        <v>0.43429448190325176</v>
      </c>
      <c r="T64" s="332">
        <f>INDEX(qPCR_Managed!BF$4:BF$235, MATCH($E64, qPCR_Managed!$E$4:$E$235, 0), 1)</f>
        <v>3771222.101151316</v>
      </c>
      <c r="U64" s="213">
        <f>INDEX(qPCR_Managed!BI$4:BI$235, MATCH($E64, qPCR_Managed!$E$4:$E$235, 0), 1)</f>
        <v>6.5764821103594846</v>
      </c>
      <c r="V64" s="214">
        <f>INDEX(qPCR_Managed!BJ$4:BJ$235, MATCH($E64, qPCR_Managed!$E$4:$E$235, 0), 1)</f>
        <v>6.4347549026786577E-2</v>
      </c>
      <c r="W64" s="482">
        <f t="shared" si="5"/>
        <v>3846696.8696594238</v>
      </c>
      <c r="X64" s="483">
        <f t="shared" si="6"/>
        <v>6.5850879640502056</v>
      </c>
      <c r="Y64" s="522" t="str" cm="1">
        <f t="array" ref="Y64">_xlfn.IFS(G64&lt;44361, "Before the burn", G64&lt;44403, "During the burn", G64&gt;44403, "After the burn")</f>
        <v>Before the burn</v>
      </c>
      <c r="Z64" s="1091" t="s">
        <v>288</v>
      </c>
    </row>
    <row r="65" spans="1:26" s="279" customFormat="1" x14ac:dyDescent="0.3">
      <c r="A65" s="286" t="str">
        <v>RS44363</v>
      </c>
      <c r="B65" s="287" t="str">
        <f t="shared" si="10"/>
        <v>HRS44363</v>
      </c>
      <c r="C65" s="287" t="str">
        <v>ERN44363</v>
      </c>
      <c r="D65" s="287" t="str">
        <f t="shared" si="1"/>
        <v>RN44363</v>
      </c>
      <c r="E65" s="287" t="str">
        <f t="shared" si="2"/>
        <v>RN443636</v>
      </c>
      <c r="F65" s="287" t="str">
        <f t="shared" si="3"/>
        <v>RN</v>
      </c>
      <c r="G65" s="313">
        <f t="shared" si="4"/>
        <v>44363</v>
      </c>
      <c r="H65" s="324">
        <f>INDEX(qPCR_Managed!N$4:N$235, MATCH($E65, qPCR_Managed!$E$4:$E$235, 0), 1)</f>
        <v>37634574.441604882</v>
      </c>
      <c r="I65" s="213">
        <f>INDEX(qPCR_Managed!Q$4:Q$235, MATCH($E65, qPCR_Managed!$E$4:$E$235, 0), 1)</f>
        <v>7.5755870095503726</v>
      </c>
      <c r="J65" s="325">
        <f>INDEX(qPCR_Managed!R$4:R$235, MATCH($E65, qPCR_Managed!$E$4:$E$235, 0), 1)</f>
        <v>0.40917588613039546</v>
      </c>
      <c r="K65" s="320">
        <f>INDEX(qPCR_Managed!Y$4:Y$235, MATCH($E65, qPCR_Managed!$E$4:$E$235, 0), 1)</f>
        <v>0</v>
      </c>
      <c r="L65" s="308">
        <f>INDEX(qPCR_Managed!AB$4:AB$235, MATCH($E65, qPCR_Managed!$E$4:$E$235, 0), 1)</f>
        <v>0</v>
      </c>
      <c r="M65" s="329">
        <f>INDEX(qPCR_Managed!AC$4:AC$235, MATCH($E65, qPCR_Managed!$E$4:$E$235, 0), 1)</f>
        <v>0</v>
      </c>
      <c r="N65" s="324">
        <f>INDEX(qPCR_Managed!AJ$4:AJ$235, MATCH($E65, qPCR_Managed!$E$4:$E$235, 0), 1)</f>
        <v>16241.106240467358</v>
      </c>
      <c r="O65" s="213">
        <f>INDEX(qPCR_Managed!AM$4:AM$235, MATCH($E65, qPCR_Managed!$E$4:$E$235, 0), 1)</f>
        <v>4.2106156072800465</v>
      </c>
      <c r="P65" s="325">
        <f>INDEX(qPCR_Managed!AN$4:AN$235, MATCH($E65, qPCR_Managed!$E$4:$E$235, 0), 1)</f>
        <v>0.29304142138778433</v>
      </c>
      <c r="Q65" s="336">
        <f>INDEX(qPCR_Managed!AU$4:AU$235, MATCH($E65, qPCR_Managed!$E$4:$E$235, 0), 1)</f>
        <v>0</v>
      </c>
      <c r="R65" s="308">
        <f>INDEX(qPCR_Managed!AX$4:AX$235, MATCH($E65, qPCR_Managed!$E$4:$E$235, 0), 1)</f>
        <v>0</v>
      </c>
      <c r="S65" s="337">
        <f>INDEX(qPCR_Managed!AY$4:AY$235, MATCH($E65, qPCR_Managed!$E$4:$E$235, 0), 1)</f>
        <v>0</v>
      </c>
      <c r="T65" s="332">
        <f>INDEX(qPCR_Managed!BF$4:BF$235, MATCH($E65, qPCR_Managed!$E$4:$E$235, 0), 1)</f>
        <v>1078833.0810546875</v>
      </c>
      <c r="U65" s="213">
        <f>INDEX(qPCR_Managed!BI$4:BI$235, MATCH($E65, qPCR_Managed!$E$4:$E$235, 0), 1)</f>
        <v>6.0329542550771391</v>
      </c>
      <c r="V65" s="214">
        <f>INDEX(qPCR_Managed!BJ$4:BJ$235, MATCH($E65, qPCR_Managed!$E$4:$E$235, 0), 1)</f>
        <v>0.4104956491100426</v>
      </c>
      <c r="W65" s="482">
        <f t="shared" si="5"/>
        <v>1095074.1872951549</v>
      </c>
      <c r="X65" s="483">
        <f t="shared" si="6"/>
        <v>6.0394435420451087</v>
      </c>
      <c r="Y65" s="522" t="str" cm="1">
        <f t="array" ref="Y65">_xlfn.IFS(G65&lt;44361, "Before the burn", G65&lt;44403, "During the burn", G65&gt;44403, "After the burn")</f>
        <v>During the burn</v>
      </c>
      <c r="Z65" s="1091" t="s">
        <v>288</v>
      </c>
    </row>
    <row r="66" spans="1:26" s="279" customFormat="1" x14ac:dyDescent="0.3">
      <c r="A66" s="286" t="str">
        <v>RS44370</v>
      </c>
      <c r="B66" s="287" t="str">
        <f t="shared" si="10"/>
        <v>HRS44370</v>
      </c>
      <c r="C66" s="287" t="str">
        <v>ERN44370</v>
      </c>
      <c r="D66" s="287" t="str">
        <f t="shared" si="1"/>
        <v>RN44370</v>
      </c>
      <c r="E66" s="287" t="str">
        <f t="shared" si="2"/>
        <v>RN443706</v>
      </c>
      <c r="F66" s="287" t="str">
        <f t="shared" si="3"/>
        <v>RN</v>
      </c>
      <c r="G66" s="313">
        <f t="shared" si="4"/>
        <v>44370</v>
      </c>
      <c r="H66" s="324">
        <f>INDEX(qPCR_Managed!N$4:N$235, MATCH($E66, qPCR_Managed!$E$4:$E$235, 0), 1)</f>
        <v>887407127.34477782</v>
      </c>
      <c r="I66" s="213">
        <f>INDEX(qPCR_Managed!Q$4:Q$235, MATCH($E66, qPCR_Managed!$E$4:$E$235, 0), 1)</f>
        <v>8.9481229124964674</v>
      </c>
      <c r="J66" s="325">
        <f>INDEX(qPCR_Managed!R$4:R$235, MATCH($E66, qPCR_Managed!$E$4:$E$235, 0), 1)</f>
        <v>0.10671498924691655</v>
      </c>
      <c r="K66" s="320">
        <f>INDEX(qPCR_Managed!Y$4:Y$235, MATCH($E66, qPCR_Managed!$E$4:$E$235, 0), 1)</f>
        <v>0</v>
      </c>
      <c r="L66" s="308">
        <f>INDEX(qPCR_Managed!AB$4:AB$235, MATCH($E66, qPCR_Managed!$E$4:$E$235, 0), 1)</f>
        <v>0</v>
      </c>
      <c r="M66" s="329">
        <f>INDEX(qPCR_Managed!AC$4:AC$235, MATCH($E66, qPCR_Managed!$E$4:$E$235, 0), 1)</f>
        <v>0</v>
      </c>
      <c r="N66" s="324">
        <f>INDEX(qPCR_Managed!AJ$4:AJ$235, MATCH($E66, qPCR_Managed!$E$4:$E$235, 0), 1)</f>
        <v>93902.081015675329</v>
      </c>
      <c r="O66" s="213">
        <f>INDEX(qPCR_Managed!AM$4:AM$235, MATCH($E66, qPCR_Managed!$E$4:$E$235, 0), 1)</f>
        <v>4.972675217011691</v>
      </c>
      <c r="P66" s="325">
        <f>INDEX(qPCR_Managed!AN$4:AN$235, MATCH($E66, qPCR_Managed!$E$4:$E$235, 0), 1)</f>
        <v>4.4211627601549687E-3</v>
      </c>
      <c r="Q66" s="336">
        <f>INDEX(qPCR_Managed!AU$4:AU$235, MATCH($E66, qPCR_Managed!$E$4:$E$235, 0), 1)</f>
        <v>0</v>
      </c>
      <c r="R66" s="308">
        <f>INDEX(qPCR_Managed!AX$4:AX$235, MATCH($E66, qPCR_Managed!$E$4:$E$235, 0), 1)</f>
        <v>0</v>
      </c>
      <c r="S66" s="337">
        <f>INDEX(qPCR_Managed!AY$4:AY$235, MATCH($E66, qPCR_Managed!$E$4:$E$235, 0), 1)</f>
        <v>0</v>
      </c>
      <c r="T66" s="332">
        <f>INDEX(qPCR_Managed!BF$4:BF$235, MATCH($E66, qPCR_Managed!$E$4:$E$235, 0), 1)</f>
        <v>2653870.0859777704</v>
      </c>
      <c r="U66" s="213">
        <f>INDEX(qPCR_Managed!BI$4:BI$235, MATCH($E66, qPCR_Managed!$E$4:$E$235, 0), 1)</f>
        <v>6.4238796591750136</v>
      </c>
      <c r="V66" s="214">
        <f>INDEX(qPCR_Managed!BJ$4:BJ$235, MATCH($E66, qPCR_Managed!$E$4:$E$235, 0), 1)</f>
        <v>4.6821904322901118E-3</v>
      </c>
      <c r="W66" s="482">
        <f t="shared" si="5"/>
        <v>2747772.1669934457</v>
      </c>
      <c r="X66" s="483">
        <f t="shared" si="6"/>
        <v>6.4389807201198508</v>
      </c>
      <c r="Y66" s="522" t="str" cm="1">
        <f t="array" ref="Y66">_xlfn.IFS(G66&lt;44361, "Before the burn", G66&lt;44403, "During the burn", G66&gt;44403, "After the burn")</f>
        <v>During the burn</v>
      </c>
      <c r="Z66" s="1091" t="s">
        <v>288</v>
      </c>
    </row>
    <row r="67" spans="1:26" s="279" customFormat="1" x14ac:dyDescent="0.3">
      <c r="A67" s="286" t="str">
        <v>RS44377</v>
      </c>
      <c r="B67" s="287" t="str">
        <f t="shared" si="10"/>
        <v>HRS44377</v>
      </c>
      <c r="C67" s="287" t="str">
        <v>ERN44377</v>
      </c>
      <c r="D67" s="287" t="str">
        <f t="shared" si="1"/>
        <v>RN44377</v>
      </c>
      <c r="E67" s="287" t="str">
        <f t="shared" si="2"/>
        <v>RN443776</v>
      </c>
      <c r="F67" s="287" t="str">
        <f t="shared" si="3"/>
        <v>RN</v>
      </c>
      <c r="G67" s="313">
        <f t="shared" si="4"/>
        <v>44377</v>
      </c>
      <c r="H67" s="324">
        <f>INDEX(qPCR_Managed!N$4:N$235, MATCH($E67, qPCR_Managed!$E$4:$E$235, 0), 1)</f>
        <v>615711260.39890146</v>
      </c>
      <c r="I67" s="213">
        <f>INDEX(qPCR_Managed!Q$4:Q$235, MATCH($E67, qPCR_Managed!$E$4:$E$235, 0), 1)</f>
        <v>8.7893770962330091</v>
      </c>
      <c r="J67" s="325">
        <f>INDEX(qPCR_Managed!R$4:R$235, MATCH($E67, qPCR_Managed!$E$4:$E$235, 0), 1)</f>
        <v>0.16119566510383246</v>
      </c>
      <c r="K67" s="320">
        <f>INDEX(qPCR_Managed!Y$4:Y$235, MATCH($E67, qPCR_Managed!$E$4:$E$235, 0), 1)</f>
        <v>0</v>
      </c>
      <c r="L67" s="308">
        <f>INDEX(qPCR_Managed!AB$4:AB$235, MATCH($E67, qPCR_Managed!$E$4:$E$235, 0), 1)</f>
        <v>0</v>
      </c>
      <c r="M67" s="329">
        <f>INDEX(qPCR_Managed!AC$4:AC$235, MATCH($E67, qPCR_Managed!$E$4:$E$235, 0), 1)</f>
        <v>0</v>
      </c>
      <c r="N67" s="324">
        <f>INDEX(qPCR_Managed!AJ$4:AJ$235, MATCH($E67, qPCR_Managed!$E$4:$E$235, 0), 1)</f>
        <v>170585.00498348905</v>
      </c>
      <c r="O67" s="213">
        <f>INDEX(qPCR_Managed!AM$4:AM$235, MATCH($E67, qPCR_Managed!$E$4:$E$235, 0), 1)</f>
        <v>5.2319408525106175</v>
      </c>
      <c r="P67" s="325">
        <f>INDEX(qPCR_Managed!AN$4:AN$235, MATCH($E67, qPCR_Managed!$E$4:$E$235, 0), 1)</f>
        <v>0.10610091204631435</v>
      </c>
      <c r="Q67" s="336">
        <f>INDEX(qPCR_Managed!AU$4:AU$235, MATCH($E67, qPCR_Managed!$E$4:$E$235, 0), 1)</f>
        <v>0</v>
      </c>
      <c r="R67" s="308">
        <f>INDEX(qPCR_Managed!AX$4:AX$235, MATCH($E67, qPCR_Managed!$E$4:$E$235, 0), 1)</f>
        <v>0</v>
      </c>
      <c r="S67" s="337">
        <f>INDEX(qPCR_Managed!AY$4:AY$235, MATCH($E67, qPCR_Managed!$E$4:$E$235, 0), 1)</f>
        <v>0</v>
      </c>
      <c r="T67" s="332">
        <f>INDEX(qPCR_Managed!BF$4:BF$235, MATCH($E67, qPCR_Managed!$E$4:$E$235, 0), 1)</f>
        <v>5579348.3529317006</v>
      </c>
      <c r="U67" s="213">
        <f>INDEX(qPCR_Managed!BI$4:BI$235, MATCH($E67, qPCR_Managed!$E$4:$E$235, 0), 1)</f>
        <v>6.7465834779246157</v>
      </c>
      <c r="V67" s="214">
        <f>INDEX(qPCR_Managed!BJ$4:BJ$235, MATCH($E67, qPCR_Managed!$E$4:$E$235, 0), 1)</f>
        <v>0.13257204661890881</v>
      </c>
      <c r="W67" s="482">
        <f t="shared" si="5"/>
        <v>5749933.35791519</v>
      </c>
      <c r="X67" s="483">
        <f t="shared" si="6"/>
        <v>6.7596628112187753</v>
      </c>
      <c r="Y67" s="522" t="str" cm="1">
        <f t="array" ref="Y67">_xlfn.IFS(G67&lt;44361, "Before the burn", G67&lt;44403, "During the burn", G67&gt;44403, "After the burn")</f>
        <v>During the burn</v>
      </c>
      <c r="Z67" s="1091" t="s">
        <v>288</v>
      </c>
    </row>
    <row r="68" spans="1:26" s="279" customFormat="1" x14ac:dyDescent="0.3">
      <c r="A68" s="286" t="str">
        <v>RS44385</v>
      </c>
      <c r="B68" s="287" t="str">
        <f t="shared" si="10"/>
        <v>HRS44385</v>
      </c>
      <c r="C68" s="287" t="str">
        <v>ERN44385</v>
      </c>
      <c r="D68" s="287" t="str">
        <f t="shared" ref="D68:D118" si="11">RIGHT(C68, LEN(C68)-1)</f>
        <v>RN44385</v>
      </c>
      <c r="E68" s="287" t="str">
        <f t="shared" ref="E68:E118" si="12">D68&amp;6</f>
        <v>RN443856</v>
      </c>
      <c r="F68" s="287" t="str">
        <f t="shared" ref="F68:F118" si="13">LEFT(D68, LEN(D68)-5)</f>
        <v>RN</v>
      </c>
      <c r="G68" s="313">
        <f t="shared" ref="G68:G118" si="14">INT(RIGHT(D68, 5))</f>
        <v>44385</v>
      </c>
      <c r="H68" s="324">
        <f>INDEX(qPCR_Managed!N$4:N$235, MATCH($E68, qPCR_Managed!$E$4:$E$235, 0), 1)</f>
        <v>552362214.71622205</v>
      </c>
      <c r="I68" s="213">
        <f>INDEX(qPCR_Managed!Q$4:Q$235, MATCH($E68, qPCR_Managed!$E$4:$E$235, 0), 1)</f>
        <v>8.7422239622644788</v>
      </c>
      <c r="J68" s="325">
        <f>INDEX(qPCR_Managed!R$4:R$235, MATCH($E68, qPCR_Managed!$E$4:$E$235, 0), 1)</f>
        <v>0.1181372481709939</v>
      </c>
      <c r="K68" s="320">
        <f>INDEX(qPCR_Managed!Y$4:Y$235, MATCH($E68, qPCR_Managed!$E$4:$E$235, 0), 1)</f>
        <v>696.10249806964202</v>
      </c>
      <c r="L68" s="308">
        <f>INDEX(qPCR_Managed!AB$4:AB$235, MATCH($E68, qPCR_Managed!$E$4:$E$235, 0), 1)</f>
        <v>2.8426731922953588</v>
      </c>
      <c r="M68" s="329">
        <f>INDEX(qPCR_Managed!AC$4:AC$235, MATCH($E68, qPCR_Managed!$E$4:$E$235, 0), 1)</f>
        <v>0.13287691959985501</v>
      </c>
      <c r="N68" s="324">
        <f>INDEX(qPCR_Managed!AJ$4:AJ$235, MATCH($E68, qPCR_Managed!$E$4:$E$235, 0), 1)</f>
        <v>50417.907242547903</v>
      </c>
      <c r="O68" s="213">
        <f>INDEX(qPCR_Managed!AM$4:AM$235, MATCH($E68, qPCR_Managed!$E$4:$E$235, 0), 1)</f>
        <v>4.7025848149247986</v>
      </c>
      <c r="P68" s="325">
        <f>INDEX(qPCR_Managed!AN$4:AN$235, MATCH($E68, qPCR_Managed!$E$4:$E$235, 0), 1)</f>
        <v>0.13661046695476067</v>
      </c>
      <c r="Q68" s="336">
        <f>INDEX(qPCR_Managed!AU$4:AU$235, MATCH($E68, qPCR_Managed!$E$4:$E$235, 0), 1)</f>
        <v>0</v>
      </c>
      <c r="R68" s="308">
        <f>INDEX(qPCR_Managed!AX$4:AX$235, MATCH($E68, qPCR_Managed!$E$4:$E$235, 0), 1)</f>
        <v>0</v>
      </c>
      <c r="S68" s="337">
        <f>INDEX(qPCR_Managed!AY$4:AY$235, MATCH($E68, qPCR_Managed!$E$4:$E$235, 0), 1)</f>
        <v>0</v>
      </c>
      <c r="T68" s="332">
        <f>INDEX(qPCR_Managed!BF$4:BF$235, MATCH($E68, qPCR_Managed!$E$4:$E$235, 0), 1)</f>
        <v>3831470.7093253974</v>
      </c>
      <c r="U68" s="213">
        <f>INDEX(qPCR_Managed!BI$4:BI$235, MATCH($E68, qPCR_Managed!$E$4:$E$235, 0), 1)</f>
        <v>6.583365509828246</v>
      </c>
      <c r="V68" s="214">
        <f>INDEX(qPCR_Managed!BJ$4:BJ$235, MATCH($E68, qPCR_Managed!$E$4:$E$235, 0), 1)</f>
        <v>0.20752412383942145</v>
      </c>
      <c r="W68" s="482">
        <f t="shared" ref="W68:W118" si="15">SUM(K68, N68, Q68, T68)</f>
        <v>3882584.719066015</v>
      </c>
      <c r="X68" s="483">
        <f t="shared" ref="X68:X118" si="16">IF((W68)&gt;0,LOG10(W68), 0)</f>
        <v>6.589120940928983</v>
      </c>
      <c r="Y68" s="522" t="str" cm="1">
        <f t="array" ref="Y68">_xlfn.IFS(G68&lt;44361, "Before the burn", G68&lt;44403, "During the burn", G68&gt;44403, "After the burn")</f>
        <v>During the burn</v>
      </c>
      <c r="Z68" s="1091" t="s">
        <v>288</v>
      </c>
    </row>
    <row r="69" spans="1:26" s="279" customFormat="1" x14ac:dyDescent="0.3">
      <c r="A69" s="286" t="str">
        <v>RS44391</v>
      </c>
      <c r="B69" s="287" t="str">
        <f t="shared" si="10"/>
        <v>HRS44391</v>
      </c>
      <c r="C69" s="287" t="str">
        <v>ERN44391</v>
      </c>
      <c r="D69" s="287" t="str">
        <f t="shared" si="11"/>
        <v>RN44391</v>
      </c>
      <c r="E69" s="287" t="str">
        <f t="shared" si="12"/>
        <v>RN443916</v>
      </c>
      <c r="F69" s="287" t="str">
        <f t="shared" si="13"/>
        <v>RN</v>
      </c>
      <c r="G69" s="313">
        <f t="shared" si="14"/>
        <v>44391</v>
      </c>
      <c r="H69" s="324">
        <f>INDEX(qPCR_Managed!N$4:N$235, MATCH($E69, qPCR_Managed!$E$4:$E$235, 0), 1)</f>
        <v>3139305002.0711265</v>
      </c>
      <c r="I69" s="213">
        <f>INDEX(qPCR_Managed!Q$4:Q$235, MATCH($E69, qPCR_Managed!$E$4:$E$235, 0), 1)</f>
        <v>9.4968335120305873</v>
      </c>
      <c r="J69" s="325">
        <f>INDEX(qPCR_Managed!R$4:R$235, MATCH($E69, qPCR_Managed!$E$4:$E$235, 0), 1)</f>
        <v>0.39161385364179596</v>
      </c>
      <c r="K69" s="320">
        <f>INDEX(qPCR_Managed!Y$4:Y$235, MATCH($E69, qPCR_Managed!$E$4:$E$235, 0), 1)</f>
        <v>0</v>
      </c>
      <c r="L69" s="308">
        <f>INDEX(qPCR_Managed!AB$4:AB$235, MATCH($E69, qPCR_Managed!$E$4:$E$235, 0), 1)</f>
        <v>0</v>
      </c>
      <c r="M69" s="329">
        <f>INDEX(qPCR_Managed!AC$4:AC$235, MATCH($E69, qPCR_Managed!$E$4:$E$235, 0), 1)</f>
        <v>0</v>
      </c>
      <c r="N69" s="324">
        <f>INDEX(qPCR_Managed!AJ$4:AJ$235, MATCH($E69, qPCR_Managed!$E$4:$E$235, 0), 1)</f>
        <v>1802917.1752929688</v>
      </c>
      <c r="O69" s="213">
        <f>INDEX(qPCR_Managed!AM$4:AM$235, MATCH($E69, qPCR_Managed!$E$4:$E$235, 0), 1)</f>
        <v>6.2559757760072374</v>
      </c>
      <c r="P69" s="325">
        <f>INDEX(qPCR_Managed!AN$4:AN$235, MATCH($E69, qPCR_Managed!$E$4:$E$235, 0), 1)</f>
        <v>0.18905086498344267</v>
      </c>
      <c r="Q69" s="336">
        <f>INDEX(qPCR_Managed!AU$4:AU$235, MATCH($E69, qPCR_Managed!$E$4:$E$235, 0), 1)</f>
        <v>29921.933841705322</v>
      </c>
      <c r="R69" s="308">
        <f>INDEX(qPCR_Managed!AX$4:AX$235, MATCH($E69, qPCR_Managed!$E$4:$E$235, 0), 1)</f>
        <v>4.475989658364921</v>
      </c>
      <c r="S69" s="337">
        <f>INDEX(qPCR_Managed!AY$4:AY$235, MATCH($E69, qPCR_Managed!$E$4:$E$235, 0), 1)</f>
        <v>0.21439450635618068</v>
      </c>
      <c r="T69" s="332">
        <f>INDEX(qPCR_Managed!BF$4:BF$235, MATCH($E69, qPCR_Managed!$E$4:$E$235, 0), 1)</f>
        <v>56260882.03125</v>
      </c>
      <c r="U69" s="213">
        <f>INDEX(qPCR_Managed!BI$4:BI$235, MATCH($E69, qPCR_Managed!$E$4:$E$235, 0), 1)</f>
        <v>7.7502065365441126</v>
      </c>
      <c r="V69" s="214">
        <f>INDEX(qPCR_Managed!BJ$4:BJ$235, MATCH($E69, qPCR_Managed!$E$4:$E$235, 0), 1)</f>
        <v>0.2795796309863231</v>
      </c>
      <c r="W69" s="482">
        <f t="shared" si="15"/>
        <v>58093721.140384674</v>
      </c>
      <c r="X69" s="483">
        <f t="shared" si="16"/>
        <v>7.764129195704605</v>
      </c>
      <c r="Y69" s="522" t="str" cm="1">
        <f t="array" ref="Y69">_xlfn.IFS(G69&lt;44361, "Before the burn", G69&lt;44403, "During the burn", G69&gt;44403, "After the burn")</f>
        <v>During the burn</v>
      </c>
      <c r="Z69" s="1091" t="s">
        <v>288</v>
      </c>
    </row>
    <row r="70" spans="1:26" s="279" customFormat="1" x14ac:dyDescent="0.3">
      <c r="A70" s="286" t="str">
        <v>RS44398</v>
      </c>
      <c r="B70" s="287" t="str">
        <f t="shared" si="10"/>
        <v>HRS44398</v>
      </c>
      <c r="C70" s="287" t="str">
        <v>ERN44398</v>
      </c>
      <c r="D70" s="287" t="str">
        <f t="shared" si="11"/>
        <v>RN44398</v>
      </c>
      <c r="E70" s="287" t="str">
        <f t="shared" si="12"/>
        <v>RN443986</v>
      </c>
      <c r="F70" s="287" t="str">
        <f t="shared" si="13"/>
        <v>RN</v>
      </c>
      <c r="G70" s="313">
        <f t="shared" si="14"/>
        <v>44398</v>
      </c>
      <c r="H70" s="324">
        <f>INDEX(qPCR_Managed!N$4:N$235, MATCH($E70, qPCR_Managed!$E$4:$E$235, 0), 1)</f>
        <v>282519522.60192114</v>
      </c>
      <c r="I70" s="213">
        <f>INDEX(qPCR_Managed!Q$4:Q$235, MATCH($E70, qPCR_Managed!$E$4:$E$235, 0), 1)</f>
        <v>8.4510484637141765</v>
      </c>
      <c r="J70" s="325">
        <f>INDEX(qPCR_Managed!R$4:R$235, MATCH($E70, qPCR_Managed!$E$4:$E$235, 0), 1)</f>
        <v>0.10167634189606937</v>
      </c>
      <c r="K70" s="320">
        <f>INDEX(qPCR_Managed!Y$4:Y$235, MATCH($E70, qPCR_Managed!$E$4:$E$235, 0), 1)</f>
        <v>338.35356819575418</v>
      </c>
      <c r="L70" s="308">
        <f>INDEX(qPCR_Managed!AB$4:AB$235, MATCH($E70, qPCR_Managed!$E$4:$E$235, 0), 1)</f>
        <v>2.5293707608093068</v>
      </c>
      <c r="M70" s="329">
        <f>INDEX(qPCR_Managed!AC$4:AC$235, MATCH($E70, qPCR_Managed!$E$4:$E$235, 0), 1)</f>
        <v>7.6906433188412915E-3</v>
      </c>
      <c r="N70" s="324">
        <f>INDEX(qPCR_Managed!AJ$4:AJ$235, MATCH($E70, qPCR_Managed!$E$4:$E$235, 0), 1)</f>
        <v>37121.263894220741</v>
      </c>
      <c r="O70" s="213">
        <f>INDEX(qPCR_Managed!AM$4:AM$235, MATCH($E70, qPCR_Managed!$E$4:$E$235, 0), 1)</f>
        <v>4.5696227545333876</v>
      </c>
      <c r="P70" s="325">
        <f>INDEX(qPCR_Managed!AN$4:AN$235, MATCH($E70, qPCR_Managed!$E$4:$E$235, 0), 1)</f>
        <v>0.13757373905465575</v>
      </c>
      <c r="Q70" s="336">
        <f>INDEX(qPCR_Managed!AU$4:AU$235, MATCH($E70, qPCR_Managed!$E$4:$E$235, 0), 1)</f>
        <v>954.79618419300425</v>
      </c>
      <c r="R70" s="308">
        <f>INDEX(qPCR_Managed!AX$4:AX$235, MATCH($E70, qPCR_Managed!$E$4:$E$235, 0), 1)</f>
        <v>2.9799106746966424</v>
      </c>
      <c r="S70" s="337">
        <f>INDEX(qPCR_Managed!AY$4:AY$235, MATCH($E70, qPCR_Managed!$E$4:$E$235, 0), 1)</f>
        <v>0.43429448190325176</v>
      </c>
      <c r="T70" s="332">
        <f>INDEX(qPCR_Managed!BF$4:BF$235, MATCH($E70, qPCR_Managed!$E$4:$E$235, 0), 1)</f>
        <v>0</v>
      </c>
      <c r="U70" s="213">
        <f>INDEX(qPCR_Managed!BI$4:BI$235, MATCH($E70, qPCR_Managed!$E$4:$E$235, 0), 1)</f>
        <v>0</v>
      </c>
      <c r="V70" s="214">
        <f>INDEX(qPCR_Managed!BJ$4:BJ$235, MATCH($E70, qPCR_Managed!$E$4:$E$235, 0), 1)</f>
        <v>0</v>
      </c>
      <c r="W70" s="482">
        <f t="shared" si="15"/>
        <v>38414.413646609493</v>
      </c>
      <c r="X70" s="483">
        <f t="shared" si="16"/>
        <v>4.5844942085514333</v>
      </c>
      <c r="Y70" s="522" t="str" cm="1">
        <f t="array" ref="Y70">_xlfn.IFS(G70&lt;44361, "Before the burn", G70&lt;44403, "During the burn", G70&gt;44403, "After the burn")</f>
        <v>During the burn</v>
      </c>
      <c r="Z70" s="1091" t="s">
        <v>288</v>
      </c>
    </row>
    <row r="71" spans="1:26" s="279" customFormat="1" x14ac:dyDescent="0.3">
      <c r="A71" s="286" t="str">
        <v>RS44405</v>
      </c>
      <c r="B71" s="287" t="str">
        <f t="shared" si="10"/>
        <v>HRS44405</v>
      </c>
      <c r="C71" s="287" t="str">
        <v>ERN44405</v>
      </c>
      <c r="D71" s="287" t="str">
        <f t="shared" si="11"/>
        <v>RN44405</v>
      </c>
      <c r="E71" s="287" t="str">
        <f t="shared" si="12"/>
        <v>RN444056</v>
      </c>
      <c r="F71" s="287" t="str">
        <f t="shared" si="13"/>
        <v>RN</v>
      </c>
      <c r="G71" s="313">
        <f t="shared" si="14"/>
        <v>44405</v>
      </c>
      <c r="H71" s="324">
        <f>INDEX(qPCR_Managed!N$4:N$235, MATCH($E71, qPCR_Managed!$E$4:$E$235, 0), 1)</f>
        <v>7024192134.8143406</v>
      </c>
      <c r="I71" s="213">
        <f>INDEX(qPCR_Managed!Q$4:Q$235, MATCH($E71, qPCR_Managed!$E$4:$E$235, 0), 1)</f>
        <v>9.8465963824465117</v>
      </c>
      <c r="J71" s="325">
        <f>INDEX(qPCR_Managed!R$4:R$235, MATCH($E71, qPCR_Managed!$E$4:$E$235, 0), 1)</f>
        <v>0.11706261123965082</v>
      </c>
      <c r="K71" s="320">
        <f>INDEX(qPCR_Managed!Y$4:Y$235, MATCH($E71, qPCR_Managed!$E$4:$E$235, 0), 1)</f>
        <v>11993.938865242424</v>
      </c>
      <c r="L71" s="308">
        <f>INDEX(qPCR_Managed!AB$4:AB$235, MATCH($E71, qPCR_Managed!$E$4:$E$235, 0), 1)</f>
        <v>4.0789618308486393</v>
      </c>
      <c r="M71" s="329">
        <f>INDEX(qPCR_Managed!AC$4:AC$235, MATCH($E71, qPCR_Managed!$E$4:$E$235, 0), 1)</f>
        <v>0.41998678047885374</v>
      </c>
      <c r="N71" s="324">
        <f>INDEX(qPCR_Managed!AJ$4:AJ$235, MATCH($E71, qPCR_Managed!$E$4:$E$235, 0), 1)</f>
        <v>92658.185351025924</v>
      </c>
      <c r="O71" s="213">
        <f>INDEX(qPCR_Managed!AM$4:AM$235, MATCH($E71, qPCR_Managed!$E$4:$E$235, 0), 1)</f>
        <v>4.966883790581651</v>
      </c>
      <c r="P71" s="325">
        <f>INDEX(qPCR_Managed!AN$4:AN$235, MATCH($E71, qPCR_Managed!$E$4:$E$235, 0), 1)</f>
        <v>0.19108286554877929</v>
      </c>
      <c r="Q71" s="336">
        <f>INDEX(qPCR_Managed!AU$4:AU$235, MATCH($E71, qPCR_Managed!$E$4:$E$235, 0), 1)</f>
        <v>0</v>
      </c>
      <c r="R71" s="308">
        <f>INDEX(qPCR_Managed!AX$4:AX$235, MATCH($E71, qPCR_Managed!$E$4:$E$235, 0), 1)</f>
        <v>0</v>
      </c>
      <c r="S71" s="337">
        <f>INDEX(qPCR_Managed!AY$4:AY$235, MATCH($E71, qPCR_Managed!$E$4:$E$235, 0), 1)</f>
        <v>0</v>
      </c>
      <c r="T71" s="332">
        <f>INDEX(qPCR_Managed!BF$4:BF$235, MATCH($E71, qPCR_Managed!$E$4:$E$235, 0), 1)</f>
        <v>3108902.8313605338</v>
      </c>
      <c r="U71" s="213">
        <f>INDEX(qPCR_Managed!BI$4:BI$235, MATCH($E71, qPCR_Managed!$E$4:$E$235, 0), 1)</f>
        <v>6.4926071483978385</v>
      </c>
      <c r="V71" s="214">
        <f>INDEX(qPCR_Managed!BJ$4:BJ$235, MATCH($E71, qPCR_Managed!$E$4:$E$235, 0), 1)</f>
        <v>0.35353991511553895</v>
      </c>
      <c r="W71" s="482">
        <f t="shared" si="15"/>
        <v>3213554.9555768021</v>
      </c>
      <c r="X71" s="483">
        <f t="shared" si="16"/>
        <v>6.506985731257366</v>
      </c>
      <c r="Y71" s="522" t="str" cm="1">
        <f t="array" ref="Y71">_xlfn.IFS(G71&lt;44361, "Before the burn", G71&lt;44403, "During the burn", G71&gt;44403, "After the burn")</f>
        <v>After the burn</v>
      </c>
      <c r="Z71" s="1091" t="s">
        <v>288</v>
      </c>
    </row>
    <row r="72" spans="1:26" s="279" customFormat="1" x14ac:dyDescent="0.3">
      <c r="A72" s="286" t="str">
        <v>RS44412</v>
      </c>
      <c r="B72" s="287" t="str">
        <f t="shared" si="10"/>
        <v>HRS44412</v>
      </c>
      <c r="C72" s="287" t="str">
        <v>ERN44412</v>
      </c>
      <c r="D72" s="287" t="str">
        <f t="shared" si="11"/>
        <v>RN44412</v>
      </c>
      <c r="E72" s="287" t="str">
        <f t="shared" si="12"/>
        <v>RN444126</v>
      </c>
      <c r="F72" s="287" t="str">
        <f t="shared" si="13"/>
        <v>RN</v>
      </c>
      <c r="G72" s="313">
        <f t="shared" si="14"/>
        <v>44412</v>
      </c>
      <c r="H72" s="324">
        <f>INDEX(qPCR_Managed!N$4:N$235, MATCH($E72, qPCR_Managed!$E$4:$E$235, 0), 1)</f>
        <v>577977421.28951466</v>
      </c>
      <c r="I72" s="213">
        <f>INDEX(qPCR_Managed!Q$4:Q$235, MATCH($E72, qPCR_Managed!$E$4:$E$235, 0), 1)</f>
        <v>8.7619108730210442</v>
      </c>
      <c r="J72" s="325">
        <f>INDEX(qPCR_Managed!R$4:R$235, MATCH($E72, qPCR_Managed!$E$4:$E$235, 0), 1)</f>
        <v>0.13126450441325488</v>
      </c>
      <c r="K72" s="320">
        <f>INDEX(qPCR_Managed!Y$4:Y$235, MATCH($E72, qPCR_Managed!$E$4:$E$235, 0), 1)</f>
        <v>5921.2174945407442</v>
      </c>
      <c r="L72" s="308">
        <f>INDEX(qPCR_Managed!AB$4:AB$235, MATCH($E72, qPCR_Managed!$E$4:$E$235, 0), 1)</f>
        <v>3.7724110136143607</v>
      </c>
      <c r="M72" s="329">
        <f>INDEX(qPCR_Managed!AC$4:AC$235, MATCH($E72, qPCR_Managed!$E$4:$E$235, 0), 1)</f>
        <v>0.16280776690267629</v>
      </c>
      <c r="N72" s="324">
        <f>INDEX(qPCR_Managed!AJ$4:AJ$235, MATCH($E72, qPCR_Managed!$E$4:$E$235, 0), 1)</f>
        <v>43565.980275472008</v>
      </c>
      <c r="O72" s="213">
        <f>INDEX(qPCR_Managed!AM$4:AM$235, MATCH($E72, qPCR_Managed!$E$4:$E$235, 0), 1)</f>
        <v>4.6391474905137544</v>
      </c>
      <c r="P72" s="325">
        <f>INDEX(qPCR_Managed!AN$4:AN$235, MATCH($E72, qPCR_Managed!$E$4:$E$235, 0), 1)</f>
        <v>0.17750806970006125</v>
      </c>
      <c r="Q72" s="336">
        <f>INDEX(qPCR_Managed!AU$4:AU$235, MATCH($E72, qPCR_Managed!$E$4:$E$235, 0), 1)</f>
        <v>3200.3125932481557</v>
      </c>
      <c r="R72" s="308">
        <f>INDEX(qPCR_Managed!AX$4:AX$235, MATCH($E72, qPCR_Managed!$E$4:$E$235, 0), 1)</f>
        <v>3.505192400473788</v>
      </c>
      <c r="S72" s="337">
        <f>INDEX(qPCR_Managed!AY$4:AY$235, MATCH($E72, qPCR_Managed!$E$4:$E$235, 0), 1)</f>
        <v>0.19387221622223902</v>
      </c>
      <c r="T72" s="332">
        <f>INDEX(qPCR_Managed!BF$4:BF$235, MATCH($E72, qPCR_Managed!$E$4:$E$235, 0), 1)</f>
        <v>229751.8798828125</v>
      </c>
      <c r="U72" s="213">
        <f>INDEX(qPCR_Managed!BI$4:BI$235, MATCH($E72, qPCR_Managed!$E$4:$E$235, 0), 1)</f>
        <v>5.3612590735701922</v>
      </c>
      <c r="V72" s="214">
        <f>INDEX(qPCR_Managed!BJ$4:BJ$235, MATCH($E72, qPCR_Managed!$E$4:$E$235, 0), 1)</f>
        <v>3.769628607887849E-2</v>
      </c>
      <c r="W72" s="482">
        <f t="shared" si="15"/>
        <v>282439.39024607342</v>
      </c>
      <c r="X72" s="483">
        <f t="shared" si="16"/>
        <v>5.4509252652322751</v>
      </c>
      <c r="Y72" s="522" t="str" cm="1">
        <f t="array" ref="Y72">_xlfn.IFS(G72&lt;44361, "Before the burn", G72&lt;44403, "During the burn", G72&gt;44403, "After the burn")</f>
        <v>After the burn</v>
      </c>
      <c r="Z72" s="1091" t="s">
        <v>288</v>
      </c>
    </row>
    <row r="73" spans="1:26" s="279" customFormat="1" x14ac:dyDescent="0.3">
      <c r="A73" s="286" t="str">
        <v>RS44419</v>
      </c>
      <c r="B73" s="287" t="str">
        <f t="shared" si="10"/>
        <v>HRS44419</v>
      </c>
      <c r="C73" s="287" t="str">
        <v>ERN44419</v>
      </c>
      <c r="D73" s="287" t="str">
        <f t="shared" si="11"/>
        <v>RN44419</v>
      </c>
      <c r="E73" s="287" t="str">
        <f t="shared" si="12"/>
        <v>RN444196</v>
      </c>
      <c r="F73" s="287" t="str">
        <f t="shared" si="13"/>
        <v>RN</v>
      </c>
      <c r="G73" s="313">
        <f t="shared" si="14"/>
        <v>44419</v>
      </c>
      <c r="H73" s="324">
        <f>INDEX(qPCR_Managed!N$4:N$235, MATCH($E73, qPCR_Managed!$E$4:$E$235, 0), 1)</f>
        <v>624673267.69612622</v>
      </c>
      <c r="I73" s="213">
        <f>INDEX(qPCR_Managed!Q$4:Q$235, MATCH($E73, qPCR_Managed!$E$4:$E$235, 0), 1)</f>
        <v>8.7956529211205527</v>
      </c>
      <c r="J73" s="325">
        <f>INDEX(qPCR_Managed!R$4:R$235, MATCH($E73, qPCR_Managed!$E$4:$E$235, 0), 1)</f>
        <v>6.4040211732130731E-2</v>
      </c>
      <c r="K73" s="320">
        <f>INDEX(qPCR_Managed!Y$4:Y$235, MATCH($E73, qPCR_Managed!$E$4:$E$235, 0), 1)</f>
        <v>11561.279296875</v>
      </c>
      <c r="L73" s="308">
        <f>INDEX(qPCR_Managed!AB$4:AB$235, MATCH($E73, qPCR_Managed!$E$4:$E$235, 0), 1)</f>
        <v>4.063005892980124</v>
      </c>
      <c r="M73" s="329">
        <f>INDEX(qPCR_Managed!AC$4:AC$235, MATCH($E73, qPCR_Managed!$E$4:$E$235, 0), 1)</f>
        <v>0.16587071630755923</v>
      </c>
      <c r="N73" s="324">
        <f>INDEX(qPCR_Managed!AJ$4:AJ$235, MATCH($E73, qPCR_Managed!$E$4:$E$235, 0), 1)</f>
        <v>58241.781234741211</v>
      </c>
      <c r="O73" s="213">
        <f>INDEX(qPCR_Managed!AM$4:AM$235, MATCH($E73, qPCR_Managed!$E$4:$E$235, 0), 1)</f>
        <v>4.7652346487326867</v>
      </c>
      <c r="P73" s="325">
        <f>INDEX(qPCR_Managed!AN$4:AN$235, MATCH($E73, qPCR_Managed!$E$4:$E$235, 0), 1)</f>
        <v>5.0052558911184694E-2</v>
      </c>
      <c r="Q73" s="336">
        <f>INDEX(qPCR_Managed!AU$4:AU$235, MATCH($E73, qPCR_Managed!$E$4:$E$235, 0), 1)</f>
        <v>0</v>
      </c>
      <c r="R73" s="308">
        <f>INDEX(qPCR_Managed!AX$4:AX$235, MATCH($E73, qPCR_Managed!$E$4:$E$235, 0), 1)</f>
        <v>0</v>
      </c>
      <c r="S73" s="337">
        <f>INDEX(qPCR_Managed!AY$4:AY$235, MATCH($E73, qPCR_Managed!$E$4:$E$235, 0), 1)</f>
        <v>0</v>
      </c>
      <c r="T73" s="332">
        <f>INDEX(qPCR_Managed!BF$4:BF$235, MATCH($E73, qPCR_Managed!$E$4:$E$235, 0), 1)</f>
        <v>899716.04919433594</v>
      </c>
      <c r="U73" s="213">
        <f>INDEX(qPCR_Managed!BI$4:BI$235, MATCH($E73, qPCR_Managed!$E$4:$E$235, 0), 1)</f>
        <v>5.9541054675219511</v>
      </c>
      <c r="V73" s="214">
        <f>INDEX(qPCR_Managed!BJ$4:BJ$235, MATCH($E73, qPCR_Managed!$E$4:$E$235, 0), 1)</f>
        <v>0.25351445426048907</v>
      </c>
      <c r="W73" s="482">
        <f t="shared" si="15"/>
        <v>969519.10972595215</v>
      </c>
      <c r="X73" s="483">
        <f t="shared" si="16"/>
        <v>5.9865563736692264</v>
      </c>
      <c r="Y73" s="522" t="str" cm="1">
        <f t="array" ref="Y73">_xlfn.IFS(G73&lt;44361, "Before the burn", G73&lt;44403, "During the burn", G73&gt;44403, "After the burn")</f>
        <v>After the burn</v>
      </c>
      <c r="Z73" s="1091" t="s">
        <v>288</v>
      </c>
    </row>
    <row r="74" spans="1:26" s="279" customFormat="1" x14ac:dyDescent="0.3">
      <c r="A74" s="286" t="str">
        <v>RS44426</v>
      </c>
      <c r="B74" s="287" t="str">
        <f t="shared" si="10"/>
        <v>HRS44426</v>
      </c>
      <c r="C74" s="287" t="str">
        <v>ERN44426</v>
      </c>
      <c r="D74" s="287" t="str">
        <f t="shared" si="11"/>
        <v>RN44426</v>
      </c>
      <c r="E74" s="287" t="str">
        <f t="shared" si="12"/>
        <v>RN444266</v>
      </c>
      <c r="F74" s="287" t="str">
        <f t="shared" si="13"/>
        <v>RN</v>
      </c>
      <c r="G74" s="313">
        <f t="shared" si="14"/>
        <v>44426</v>
      </c>
      <c r="H74" s="324">
        <f>INDEX(qPCR_Managed!N$4:N$235, MATCH($E74, qPCR_Managed!$E$4:$E$235, 0), 1)</f>
        <v>447831809.7998417</v>
      </c>
      <c r="I74" s="213">
        <f>INDEX(qPCR_Managed!Q$4:Q$235, MATCH($E74, qPCR_Managed!$E$4:$E$235, 0), 1)</f>
        <v>8.6511149385728281</v>
      </c>
      <c r="J74" s="325">
        <f>INDEX(qPCR_Managed!R$4:R$235, MATCH($E74, qPCR_Managed!$E$4:$E$235, 0), 1)</f>
        <v>0.19888908890984319</v>
      </c>
      <c r="K74" s="320">
        <f>INDEX(qPCR_Managed!Y$4:Y$235, MATCH($E74, qPCR_Managed!$E$4:$E$235, 0), 1)</f>
        <v>9034.257368607954</v>
      </c>
      <c r="L74" s="308">
        <f>INDEX(qPCR_Managed!AB$4:AB$235, MATCH($E74, qPCR_Managed!$E$4:$E$235, 0), 1)</f>
        <v>3.9558924586156925</v>
      </c>
      <c r="M74" s="329">
        <f>INDEX(qPCR_Managed!AC$4:AC$235, MATCH($E74, qPCR_Managed!$E$4:$E$235, 0), 1)</f>
        <v>0.16389499019572343</v>
      </c>
      <c r="N74" s="324">
        <f>INDEX(qPCR_Managed!AJ$4:AJ$235, MATCH($E74, qPCR_Managed!$E$4:$E$235, 0), 1)</f>
        <v>9738.2939897402375</v>
      </c>
      <c r="O74" s="213">
        <f>INDEX(qPCR_Managed!AM$4:AM$235, MATCH($E74, qPCR_Managed!$E$4:$E$235, 0), 1)</f>
        <v>3.9884828813409765</v>
      </c>
      <c r="P74" s="325">
        <f>INDEX(qPCR_Managed!AN$4:AN$235, MATCH($E74, qPCR_Managed!$E$4:$E$235, 0), 1)</f>
        <v>0.37234819415139586</v>
      </c>
      <c r="Q74" s="336">
        <f>INDEX(qPCR_Managed!AU$4:AU$235, MATCH($E74, qPCR_Managed!$E$4:$E$235, 0), 1)</f>
        <v>0</v>
      </c>
      <c r="R74" s="308">
        <f>INDEX(qPCR_Managed!AX$4:AX$235, MATCH($E74, qPCR_Managed!$E$4:$E$235, 0), 1)</f>
        <v>0</v>
      </c>
      <c r="S74" s="337">
        <f>INDEX(qPCR_Managed!AY$4:AY$235, MATCH($E74, qPCR_Managed!$E$4:$E$235, 0), 1)</f>
        <v>0</v>
      </c>
      <c r="T74" s="332">
        <f>INDEX(qPCR_Managed!BF$4:BF$235, MATCH($E74, qPCR_Managed!$E$4:$E$235, 0), 1)</f>
        <v>701817.0111299766</v>
      </c>
      <c r="U74" s="213">
        <f>INDEX(qPCR_Managed!BI$4:BI$235, MATCH($E74, qPCR_Managed!$E$4:$E$235, 0), 1)</f>
        <v>5.8462238907393802</v>
      </c>
      <c r="V74" s="214">
        <f>INDEX(qPCR_Managed!BJ$4:BJ$235, MATCH($E74, qPCR_Managed!$E$4:$E$235, 0), 1)</f>
        <v>0.41697369311659516</v>
      </c>
      <c r="W74" s="482">
        <f t="shared" si="15"/>
        <v>720589.56248832482</v>
      </c>
      <c r="X74" s="483">
        <f t="shared" si="16"/>
        <v>5.8576879672140345</v>
      </c>
      <c r="Y74" s="522" t="str" cm="1">
        <f t="array" ref="Y74">_xlfn.IFS(G74&lt;44361, "Before the burn", G74&lt;44403, "During the burn", G74&gt;44403, "After the burn")</f>
        <v>After the burn</v>
      </c>
      <c r="Z74" s="1091" t="s">
        <v>288</v>
      </c>
    </row>
    <row r="75" spans="1:26" s="279" customFormat="1" ht="16.350000000000001" thickBot="1" x14ac:dyDescent="0.35">
      <c r="A75" s="295" t="str">
        <v>RS44433</v>
      </c>
      <c r="B75" s="296" t="str">
        <f t="shared" si="10"/>
        <v>HRS44433</v>
      </c>
      <c r="C75" s="296" t="str">
        <v>ERN44433</v>
      </c>
      <c r="D75" s="296" t="str">
        <f t="shared" si="11"/>
        <v>RN44433</v>
      </c>
      <c r="E75" s="296" t="str">
        <f t="shared" si="12"/>
        <v>RN444336</v>
      </c>
      <c r="F75" s="296" t="str">
        <f t="shared" si="13"/>
        <v>RN</v>
      </c>
      <c r="G75" s="314">
        <f t="shared" si="14"/>
        <v>44433</v>
      </c>
      <c r="H75" s="340">
        <f>INDEX(qPCR_Managed!N$4:N$235, MATCH($E75, qPCR_Managed!$E$4:$E$235, 0), 1)</f>
        <v>1469654048.9461265</v>
      </c>
      <c r="I75" s="341">
        <f>INDEX(qPCR_Managed!Q$4:Q$235, MATCH($E75, qPCR_Managed!$E$4:$E$235, 0), 1)</f>
        <v>9.1672151154857069</v>
      </c>
      <c r="J75" s="342">
        <f>INDEX(qPCR_Managed!R$4:R$235, MATCH($E75, qPCR_Managed!$E$4:$E$235, 0), 1)</f>
        <v>0.207142091156887</v>
      </c>
      <c r="K75" s="343">
        <f>INDEX(qPCR_Managed!Y$4:Y$235, MATCH($E75, qPCR_Managed!$E$4:$E$235, 0), 1)</f>
        <v>2412.9703521728516</v>
      </c>
      <c r="L75" s="344">
        <f>INDEX(qPCR_Managed!AB$4:AB$235, MATCH($E75, qPCR_Managed!$E$4:$E$235, 0), 1)</f>
        <v>3.3825519858263853</v>
      </c>
      <c r="M75" s="345">
        <f>INDEX(qPCR_Managed!AC$4:AC$235, MATCH($E75, qPCR_Managed!$E$4:$E$235, 0), 1)</f>
        <v>0.43429448190325176</v>
      </c>
      <c r="N75" s="340">
        <f>INDEX(qPCR_Managed!AJ$4:AJ$235, MATCH($E75, qPCR_Managed!$E$4:$E$235, 0), 1)</f>
        <v>10485.744857788086</v>
      </c>
      <c r="O75" s="341">
        <f>INDEX(qPCR_Managed!AM$4:AM$235, MATCH($E75, qPCR_Managed!$E$4:$E$235, 0), 1)</f>
        <v>4.0205992861258624</v>
      </c>
      <c r="P75" s="342">
        <f>INDEX(qPCR_Managed!AN$4:AN$235, MATCH($E75, qPCR_Managed!$E$4:$E$235, 0), 1)</f>
        <v>3.8620280514219139E-2</v>
      </c>
      <c r="Q75" s="346">
        <f>INDEX(qPCR_Managed!AU$4:AU$235, MATCH($E75, qPCR_Managed!$E$4:$E$235, 0), 1)</f>
        <v>905193.4814453125</v>
      </c>
      <c r="R75" s="344">
        <f>INDEX(qPCR_Managed!AX$4:AX$235, MATCH($E75, qPCR_Managed!$E$4:$E$235, 0), 1)</f>
        <v>5.9567414178163585</v>
      </c>
      <c r="S75" s="347">
        <f>INDEX(qPCR_Managed!AY$4:AY$235, MATCH($E75, qPCR_Managed!$E$4:$E$235, 0), 1)</f>
        <v>0.43429448190325176</v>
      </c>
      <c r="T75" s="348">
        <f>INDEX(qPCR_Managed!BF$4:BF$235, MATCH($E75, qPCR_Managed!$E$4:$E$235, 0), 1)</f>
        <v>45860.533142089844</v>
      </c>
      <c r="U75" s="341">
        <f>INDEX(qPCR_Managed!BI$4:BI$235, MATCH($E75, qPCR_Managed!$E$4:$E$235, 0), 1)</f>
        <v>4.6614390992234407</v>
      </c>
      <c r="V75" s="349">
        <f>INDEX(qPCR_Managed!BJ$4:BJ$235, MATCH($E75, qPCR_Managed!$E$4:$E$235, 0), 1)</f>
        <v>0.10502280321519181</v>
      </c>
      <c r="W75" s="484">
        <f t="shared" si="15"/>
        <v>963952.72979736328</v>
      </c>
      <c r="X75" s="485">
        <f t="shared" si="16"/>
        <v>5.9840557375423442</v>
      </c>
      <c r="Y75" s="523" t="str" cm="1">
        <f t="array" ref="Y75">_xlfn.IFS(G75&lt;44361, "Before the burn", G75&lt;44403, "During the burn", G75&gt;44403, "After the burn")</f>
        <v>After the burn</v>
      </c>
      <c r="Z75" s="1091" t="s">
        <v>288</v>
      </c>
    </row>
    <row r="76" spans="1:26" s="279" customFormat="1" x14ac:dyDescent="0.3">
      <c r="A76" s="297" t="str">
        <v>RU44335</v>
      </c>
      <c r="B76" s="298" t="str">
        <f>_xlfn.CONCAT("F", A76)</f>
        <v>FRU44335</v>
      </c>
      <c r="C76" s="298" t="str">
        <v>FRU44335</v>
      </c>
      <c r="D76" s="298" t="str">
        <f t="shared" si="11"/>
        <v>RU44335</v>
      </c>
      <c r="E76" s="298" t="str">
        <f t="shared" si="12"/>
        <v>RU443356</v>
      </c>
      <c r="F76" s="298" t="str">
        <f t="shared" si="13"/>
        <v>RU</v>
      </c>
      <c r="G76" s="315">
        <f t="shared" si="14"/>
        <v>44335</v>
      </c>
      <c r="H76" s="326">
        <f>INDEX(qPCR_Managed!N$4:N$235, MATCH($E76, qPCR_Managed!$E$4:$E$235, 0), 1)</f>
        <v>29455633.811668113</v>
      </c>
      <c r="I76" s="299">
        <f>INDEX(qPCR_Managed!Q$4:Q$235, MATCH($E76, qPCR_Managed!$E$4:$E$235, 0), 1)</f>
        <v>7.4691683721050639</v>
      </c>
      <c r="J76" s="327">
        <f>INDEX(qPCR_Managed!R$4:R$235, MATCH($E76, qPCR_Managed!$E$4:$E$235, 0), 1)</f>
        <v>5.9595121487214596E-2</v>
      </c>
      <c r="K76" s="321">
        <f>INDEX(qPCR_Managed!Y$4:Y$235, MATCH($E76, qPCR_Managed!$E$4:$E$235, 0), 1)</f>
        <v>54957.756890190969</v>
      </c>
      <c r="L76" s="309">
        <f>INDEX(qPCR_Managed!AB$4:AB$235, MATCH($E76, qPCR_Managed!$E$4:$E$235, 0), 1)</f>
        <v>4.7400289986131288</v>
      </c>
      <c r="M76" s="330">
        <f>INDEX(qPCR_Managed!AC$4:AC$235, MATCH($E76, qPCR_Managed!$E$4:$E$235, 0), 1)</f>
        <v>3.3166153128110672E-2</v>
      </c>
      <c r="N76" s="326">
        <f>INDEX(qPCR_Managed!AJ$4:AJ$235, MATCH($E76, qPCR_Managed!$E$4:$E$235, 0), 1)</f>
        <v>25420.947180853949</v>
      </c>
      <c r="O76" s="299">
        <f>INDEX(qPCR_Managed!AM$4:AM$235, MATCH($E76, qPCR_Managed!$E$4:$E$235, 0), 1)</f>
        <v>4.4051917282697053</v>
      </c>
      <c r="P76" s="327">
        <f>INDEX(qPCR_Managed!AN$4:AN$235, MATCH($E76, qPCR_Managed!$E$4:$E$235, 0), 1)</f>
        <v>0.29375891951444005</v>
      </c>
      <c r="Q76" s="338">
        <f>INDEX(qPCR_Managed!AU$4:AU$235, MATCH($E76, qPCR_Managed!$E$4:$E$235, 0), 1)</f>
        <v>0</v>
      </c>
      <c r="R76" s="309">
        <f>INDEX(qPCR_Managed!AX$4:AX$235, MATCH($E76, qPCR_Managed!$E$4:$E$235, 0), 1)</f>
        <v>0</v>
      </c>
      <c r="S76" s="339">
        <f>INDEX(qPCR_Managed!AY$4:AY$235, MATCH($E76, qPCR_Managed!$E$4:$E$235, 0), 1)</f>
        <v>0</v>
      </c>
      <c r="T76" s="333">
        <f>INDEX(qPCR_Managed!BF$4:BF$235, MATCH($E76, qPCR_Managed!$E$4:$E$235, 0), 1)</f>
        <v>331.44619729783795</v>
      </c>
      <c r="U76" s="299">
        <f>INDEX(qPCR_Managed!BI$4:BI$235, MATCH($E76, qPCR_Managed!$E$4:$E$235, 0), 1)</f>
        <v>2.5204130406954133</v>
      </c>
      <c r="V76" s="300">
        <f>INDEX(qPCR_Managed!BJ$4:BJ$235, MATCH($E76, qPCR_Managed!$E$4:$E$235, 0), 1)</f>
        <v>0.43429448190325176</v>
      </c>
      <c r="W76" s="488">
        <f t="shared" si="15"/>
        <v>80710.150268342753</v>
      </c>
      <c r="X76" s="489">
        <f t="shared" si="16"/>
        <v>4.9069281558909319</v>
      </c>
      <c r="Y76" s="525" t="str" cm="1">
        <f t="array" ref="Y76">_xlfn.IFS(G76&lt;44361, "Before the burn", G76&lt;44403, "During the burn", G76&gt;44403, "After the burn")</f>
        <v>Before the burn</v>
      </c>
      <c r="Z76" s="1091" t="s">
        <v>288</v>
      </c>
    </row>
    <row r="77" spans="1:26" s="279" customFormat="1" x14ac:dyDescent="0.3">
      <c r="A77" s="301" t="str">
        <v>RU44342</v>
      </c>
      <c r="B77" s="302" t="str">
        <f t="shared" ref="B77:B90" si="17">_xlfn.CONCAT("F", A77)</f>
        <v>FRU44342</v>
      </c>
      <c r="C77" s="302" t="str">
        <v>FRU44342</v>
      </c>
      <c r="D77" s="302" t="str">
        <f t="shared" si="11"/>
        <v>RU44342</v>
      </c>
      <c r="E77" s="302" t="str">
        <f t="shared" si="12"/>
        <v>RU443426</v>
      </c>
      <c r="F77" s="302" t="str">
        <f t="shared" si="13"/>
        <v>RU</v>
      </c>
      <c r="G77" s="316">
        <f t="shared" si="14"/>
        <v>44342</v>
      </c>
      <c r="H77" s="350">
        <f>INDEX(qPCR_Managed!N$4:N$235, MATCH($E77, qPCR_Managed!$E$4:$E$235, 0), 1)</f>
        <v>48647295.477407962</v>
      </c>
      <c r="I77" s="351">
        <f>INDEX(qPCR_Managed!Q$4:Q$235, MATCH($E77, qPCR_Managed!$E$4:$E$235, 0), 1)</f>
        <v>7.6870587008862445</v>
      </c>
      <c r="J77" s="352">
        <f>INDEX(qPCR_Managed!R$4:R$235, MATCH($E77, qPCR_Managed!$E$4:$E$235, 0), 1)</f>
        <v>4.492672580587196E-2</v>
      </c>
      <c r="K77" s="353">
        <f>INDEX(qPCR_Managed!Y$4:Y$235, MATCH($E77, qPCR_Managed!$E$4:$E$235, 0), 1)</f>
        <v>52625.391126254901</v>
      </c>
      <c r="L77" s="354">
        <f>INDEX(qPCR_Managed!AB$4:AB$235, MATCH($E77, qPCR_Managed!$E$4:$E$235, 0), 1)</f>
        <v>4.7211953366507178</v>
      </c>
      <c r="M77" s="355">
        <f>INDEX(qPCR_Managed!AC$4:AC$235, MATCH($E77, qPCR_Managed!$E$4:$E$235, 0), 1)</f>
        <v>5.803650230499046E-2</v>
      </c>
      <c r="N77" s="350">
        <f>INDEX(qPCR_Managed!AJ$4:AJ$235, MATCH($E77, qPCR_Managed!$E$4:$E$235, 0), 1)</f>
        <v>15974.355216187554</v>
      </c>
      <c r="O77" s="351">
        <f>INDEX(qPCR_Managed!AM$4:AM$235, MATCH($E77, qPCR_Managed!$E$4:$E$235, 0), 1)</f>
        <v>4.2034233374593502</v>
      </c>
      <c r="P77" s="352">
        <f>INDEX(qPCR_Managed!AN$4:AN$235, MATCH($E77, qPCR_Managed!$E$4:$E$235, 0), 1)</f>
        <v>0.25044446240480783</v>
      </c>
      <c r="Q77" s="356">
        <f>INDEX(qPCR_Managed!AU$4:AU$235, MATCH($E77, qPCR_Managed!$E$4:$E$235, 0), 1)</f>
        <v>0</v>
      </c>
      <c r="R77" s="354">
        <f>INDEX(qPCR_Managed!AX$4:AX$235, MATCH($E77, qPCR_Managed!$E$4:$E$235, 0), 1)</f>
        <v>0</v>
      </c>
      <c r="S77" s="357">
        <f>INDEX(qPCR_Managed!AY$4:AY$235, MATCH($E77, qPCR_Managed!$E$4:$E$235, 0), 1)</f>
        <v>0</v>
      </c>
      <c r="T77" s="358">
        <f>INDEX(qPCR_Managed!BF$4:BF$235, MATCH($E77, qPCR_Managed!$E$4:$E$235, 0), 1)</f>
        <v>634.50652620066774</v>
      </c>
      <c r="U77" s="351">
        <f>INDEX(qPCR_Managed!BI$4:BI$235, MATCH($E77, qPCR_Managed!$E$4:$E$235, 0), 1)</f>
        <v>2.8024360933784962</v>
      </c>
      <c r="V77" s="359">
        <f>INDEX(qPCR_Managed!BJ$4:BJ$235, MATCH($E77, qPCR_Managed!$E$4:$E$235, 0), 1)</f>
        <v>0.43429448190325176</v>
      </c>
      <c r="W77" s="490">
        <f t="shared" si="15"/>
        <v>69234.252868643118</v>
      </c>
      <c r="X77" s="491">
        <f t="shared" si="16"/>
        <v>4.8403210099395428</v>
      </c>
      <c r="Y77" s="526" t="str" cm="1">
        <f t="array" ref="Y77">_xlfn.IFS(G77&lt;44361, "Before the burn", G77&lt;44403, "During the burn", G77&gt;44403, "After the burn")</f>
        <v>Before the burn</v>
      </c>
      <c r="Z77" s="1091" t="s">
        <v>288</v>
      </c>
    </row>
    <row r="78" spans="1:26" s="279" customFormat="1" x14ac:dyDescent="0.3">
      <c r="A78" s="301" t="str">
        <v>RU44350</v>
      </c>
      <c r="B78" s="302" t="str">
        <f t="shared" si="17"/>
        <v>FRU44350</v>
      </c>
      <c r="C78" s="302" t="str">
        <v>FRU44350</v>
      </c>
      <c r="D78" s="302" t="str">
        <f t="shared" si="11"/>
        <v>RU44350</v>
      </c>
      <c r="E78" s="302" t="str">
        <f t="shared" si="12"/>
        <v>RU443506</v>
      </c>
      <c r="F78" s="302" t="str">
        <f t="shared" si="13"/>
        <v>RU</v>
      </c>
      <c r="G78" s="316">
        <f t="shared" si="14"/>
        <v>44350</v>
      </c>
      <c r="H78" s="350">
        <f>INDEX(qPCR_Managed!N$4:N$235, MATCH($E78, qPCR_Managed!$E$4:$E$235, 0), 1)</f>
        <v>12504728.455745811</v>
      </c>
      <c r="I78" s="351">
        <f>INDEX(qPCR_Managed!Q$4:Q$235, MATCH($E78, qPCR_Managed!$E$4:$E$235, 0), 1)</f>
        <v>7.0970742653226893</v>
      </c>
      <c r="J78" s="352">
        <f>INDEX(qPCR_Managed!R$4:R$235, MATCH($E78, qPCR_Managed!$E$4:$E$235, 0), 1)</f>
        <v>0.43429448190325176</v>
      </c>
      <c r="K78" s="353">
        <f>INDEX(qPCR_Managed!Y$4:Y$235, MATCH($E78, qPCR_Managed!$E$4:$E$235, 0), 1)</f>
        <v>22581.77655808469</v>
      </c>
      <c r="L78" s="354">
        <f>INDEX(qPCR_Managed!AB$4:AB$235, MATCH($E78, qPCR_Managed!$E$4:$E$235, 0), 1)</f>
        <v>4.3537581058361781</v>
      </c>
      <c r="M78" s="355">
        <f>INDEX(qPCR_Managed!AC$4:AC$235, MATCH($E78, qPCR_Managed!$E$4:$E$235, 0), 1)</f>
        <v>0.22713906398723699</v>
      </c>
      <c r="N78" s="350">
        <f>INDEX(qPCR_Managed!AJ$4:AJ$235, MATCH($E78, qPCR_Managed!$E$4:$E$235, 0), 1)</f>
        <v>5805.9290760490376</v>
      </c>
      <c r="O78" s="351">
        <f>INDEX(qPCR_Managed!AM$4:AM$235, MATCH($E78, qPCR_Managed!$E$4:$E$235, 0), 1)</f>
        <v>3.7638717262823116</v>
      </c>
      <c r="P78" s="352">
        <f>INDEX(qPCR_Managed!AN$4:AN$235, MATCH($E78, qPCR_Managed!$E$4:$E$235, 0), 1)</f>
        <v>0.31521576684054692</v>
      </c>
      <c r="Q78" s="356">
        <f>INDEX(qPCR_Managed!AU$4:AU$235, MATCH($E78, qPCR_Managed!$E$4:$E$235, 0), 1)</f>
        <v>0</v>
      </c>
      <c r="R78" s="354">
        <f>INDEX(qPCR_Managed!AX$4:AX$235, MATCH($E78, qPCR_Managed!$E$4:$E$235, 0), 1)</f>
        <v>0</v>
      </c>
      <c r="S78" s="357">
        <f>INDEX(qPCR_Managed!AY$4:AY$235, MATCH($E78, qPCR_Managed!$E$4:$E$235, 0), 1)</f>
        <v>0</v>
      </c>
      <c r="T78" s="358">
        <f>INDEX(qPCR_Managed!BF$4:BF$235, MATCH($E78, qPCR_Managed!$E$4:$E$235, 0), 1)</f>
        <v>576.1197099833239</v>
      </c>
      <c r="U78" s="351">
        <f>INDEX(qPCR_Managed!BI$4:BI$235, MATCH($E78, qPCR_Managed!$E$4:$E$235, 0), 1)</f>
        <v>2.7605127333945005</v>
      </c>
      <c r="V78" s="359">
        <f>INDEX(qPCR_Managed!BJ$4:BJ$235, MATCH($E78, qPCR_Managed!$E$4:$E$235, 0), 1)</f>
        <v>0.18699382377605328</v>
      </c>
      <c r="W78" s="490">
        <f t="shared" si="15"/>
        <v>28963.825344117049</v>
      </c>
      <c r="X78" s="491">
        <f t="shared" si="16"/>
        <v>4.4618559199604793</v>
      </c>
      <c r="Y78" s="526" t="str" cm="1">
        <f t="array" ref="Y78">_xlfn.IFS(G78&lt;44361, "Before the burn", G78&lt;44403, "During the burn", G78&gt;44403, "After the burn")</f>
        <v>Before the burn</v>
      </c>
      <c r="Z78" s="1091" t="s">
        <v>288</v>
      </c>
    </row>
    <row r="79" spans="1:26" s="279" customFormat="1" x14ac:dyDescent="0.3">
      <c r="A79" s="301" t="str">
        <v>RU44356</v>
      </c>
      <c r="B79" s="302" t="str">
        <f t="shared" si="17"/>
        <v>FRU44356</v>
      </c>
      <c r="C79" s="302" t="str">
        <v>FRU44356</v>
      </c>
      <c r="D79" s="302" t="str">
        <f t="shared" si="11"/>
        <v>RU44356</v>
      </c>
      <c r="E79" s="302" t="str">
        <f t="shared" si="12"/>
        <v>RU443566</v>
      </c>
      <c r="F79" s="302" t="str">
        <f t="shared" si="13"/>
        <v>RU</v>
      </c>
      <c r="G79" s="316">
        <f t="shared" si="14"/>
        <v>44356</v>
      </c>
      <c r="H79" s="350">
        <f>INDEX(qPCR_Managed!N$4:N$235, MATCH($E79, qPCR_Managed!$E$4:$E$235, 0), 1)</f>
        <v>54162506.367632359</v>
      </c>
      <c r="I79" s="351">
        <f>INDEX(qPCR_Managed!Q$4:Q$235, MATCH($E79, qPCR_Managed!$E$4:$E$235, 0), 1)</f>
        <v>7.7336987531004038</v>
      </c>
      <c r="J79" s="352">
        <f>INDEX(qPCR_Managed!R$4:R$235, MATCH($E79, qPCR_Managed!$E$4:$E$235, 0), 1)</f>
        <v>5.6709914379270275E-2</v>
      </c>
      <c r="K79" s="353">
        <f>INDEX(qPCR_Managed!Y$4:Y$235, MATCH($E79, qPCR_Managed!$E$4:$E$235, 0), 1)</f>
        <v>21577.740209707943</v>
      </c>
      <c r="L79" s="354">
        <f>INDEX(qPCR_Managed!AB$4:AB$235, MATCH($E79, qPCR_Managed!$E$4:$E$235, 0), 1)</f>
        <v>4.3340059600019885</v>
      </c>
      <c r="M79" s="355">
        <f>INDEX(qPCR_Managed!AC$4:AC$235, MATCH($E79, qPCR_Managed!$E$4:$E$235, 0), 1)</f>
        <v>0.33699410421590764</v>
      </c>
      <c r="N79" s="350">
        <f>INDEX(qPCR_Managed!AJ$4:AJ$235, MATCH($E79, qPCR_Managed!$E$4:$E$235, 0), 1)</f>
        <v>5644.2105681489629</v>
      </c>
      <c r="O79" s="351">
        <f>INDEX(qPCR_Managed!AM$4:AM$235, MATCH($E79, qPCR_Managed!$E$4:$E$235, 0), 1)</f>
        <v>3.7516032075768719</v>
      </c>
      <c r="P79" s="352">
        <f>INDEX(qPCR_Managed!AN$4:AN$235, MATCH($E79, qPCR_Managed!$E$4:$E$235, 0), 1)</f>
        <v>0.40776284613959818</v>
      </c>
      <c r="Q79" s="356">
        <f>INDEX(qPCR_Managed!AU$4:AU$235, MATCH($E79, qPCR_Managed!$E$4:$E$235, 0), 1)</f>
        <v>0</v>
      </c>
      <c r="R79" s="354">
        <f>INDEX(qPCR_Managed!AX$4:AX$235, MATCH($E79, qPCR_Managed!$E$4:$E$235, 0), 1)</f>
        <v>0</v>
      </c>
      <c r="S79" s="357">
        <f>INDEX(qPCR_Managed!AY$4:AY$235, MATCH($E79, qPCR_Managed!$E$4:$E$235, 0), 1)</f>
        <v>0</v>
      </c>
      <c r="T79" s="358">
        <f>INDEX(qPCR_Managed!BF$4:BF$235, MATCH($E79, qPCR_Managed!$E$4:$E$235, 0), 1)</f>
        <v>0</v>
      </c>
      <c r="U79" s="351">
        <f>INDEX(qPCR_Managed!BI$4:BI$235, MATCH($E79, qPCR_Managed!$E$4:$E$235, 0), 1)</f>
        <v>0</v>
      </c>
      <c r="V79" s="359">
        <f>INDEX(qPCR_Managed!BJ$4:BJ$235, MATCH($E79, qPCR_Managed!$E$4:$E$235, 0), 1)</f>
        <v>0</v>
      </c>
      <c r="W79" s="490">
        <f t="shared" si="15"/>
        <v>27221.950777856906</v>
      </c>
      <c r="X79" s="491">
        <f t="shared" si="16"/>
        <v>4.4349192443684737</v>
      </c>
      <c r="Y79" s="526" t="str" cm="1">
        <f t="array" ref="Y79">_xlfn.IFS(G79&lt;44361, "Before the burn", G79&lt;44403, "During the burn", G79&gt;44403, "After the burn")</f>
        <v>Before the burn</v>
      </c>
      <c r="Z79" s="1091" t="s">
        <v>288</v>
      </c>
    </row>
    <row r="80" spans="1:26" s="279" customFormat="1" x14ac:dyDescent="0.3">
      <c r="A80" s="301" t="str">
        <v>RU44363</v>
      </c>
      <c r="B80" s="302" t="str">
        <f t="shared" si="17"/>
        <v>FRU44363</v>
      </c>
      <c r="C80" s="302" t="str">
        <v>FRU44363</v>
      </c>
      <c r="D80" s="302" t="str">
        <f t="shared" si="11"/>
        <v>RU44363</v>
      </c>
      <c r="E80" s="302" t="str">
        <f t="shared" si="12"/>
        <v>RU443636</v>
      </c>
      <c r="F80" s="302" t="str">
        <f t="shared" si="13"/>
        <v>RU</v>
      </c>
      <c r="G80" s="316">
        <f t="shared" si="14"/>
        <v>44363</v>
      </c>
      <c r="H80" s="350">
        <f>INDEX(qPCR_Managed!N$4:N$235, MATCH($E80, qPCR_Managed!$E$4:$E$235, 0), 1)</f>
        <v>4961924.6717953514</v>
      </c>
      <c r="I80" s="351">
        <f>INDEX(qPCR_Managed!Q$4:Q$235, MATCH($E80, qPCR_Managed!$E$4:$E$235, 0), 1)</f>
        <v>6.6956501668543815</v>
      </c>
      <c r="J80" s="352">
        <f>INDEX(qPCR_Managed!R$4:R$235, MATCH($E80, qPCR_Managed!$E$4:$E$235, 0), 1)</f>
        <v>0.17068614845696886</v>
      </c>
      <c r="K80" s="353">
        <f>INDEX(qPCR_Managed!Y$4:Y$235, MATCH($E80, qPCR_Managed!$E$4:$E$235, 0), 1)</f>
        <v>0</v>
      </c>
      <c r="L80" s="354">
        <f>INDEX(qPCR_Managed!AB$4:AB$235, MATCH($E80, qPCR_Managed!$E$4:$E$235, 0), 1)</f>
        <v>0</v>
      </c>
      <c r="M80" s="355">
        <f>INDEX(qPCR_Managed!AC$4:AC$235, MATCH($E80, qPCR_Managed!$E$4:$E$235, 0), 1)</f>
        <v>0</v>
      </c>
      <c r="N80" s="350">
        <f>INDEX(qPCR_Managed!AJ$4:AJ$235, MATCH($E80, qPCR_Managed!$E$4:$E$235, 0), 1)</f>
        <v>22695.970028004747</v>
      </c>
      <c r="O80" s="351">
        <f>INDEX(qPCR_Managed!AM$4:AM$235, MATCH($E80, qPCR_Managed!$E$4:$E$235, 0), 1)</f>
        <v>4.3559487492646749</v>
      </c>
      <c r="P80" s="352">
        <f>INDEX(qPCR_Managed!AN$4:AN$235, MATCH($E80, qPCR_Managed!$E$4:$E$235, 0), 1)</f>
        <v>0.11775531649097815</v>
      </c>
      <c r="Q80" s="356">
        <f>INDEX(qPCR_Managed!AU$4:AU$235, MATCH($E80, qPCR_Managed!$E$4:$E$235, 0), 1)</f>
        <v>0</v>
      </c>
      <c r="R80" s="354">
        <f>INDEX(qPCR_Managed!AX$4:AX$235, MATCH($E80, qPCR_Managed!$E$4:$E$235, 0), 1)</f>
        <v>0</v>
      </c>
      <c r="S80" s="357">
        <f>INDEX(qPCR_Managed!AY$4:AY$235, MATCH($E80, qPCR_Managed!$E$4:$E$235, 0), 1)</f>
        <v>0</v>
      </c>
      <c r="T80" s="358">
        <f>INDEX(qPCR_Managed!BF$4:BF$235, MATCH($E80, qPCR_Managed!$E$4:$E$235, 0), 1)</f>
        <v>72.787949379454261</v>
      </c>
      <c r="U80" s="351">
        <f>INDEX(qPCR_Managed!BI$4:BI$235, MATCH($E80, qPCR_Managed!$E$4:$E$235, 0), 1)</f>
        <v>1.8620594843788647</v>
      </c>
      <c r="V80" s="359">
        <f>INDEX(qPCR_Managed!BJ$4:BJ$235, MATCH($E80, qPCR_Managed!$E$4:$E$235, 0), 1)</f>
        <v>0.43429448190325176</v>
      </c>
      <c r="W80" s="490">
        <f t="shared" si="15"/>
        <v>22768.757977384201</v>
      </c>
      <c r="X80" s="491">
        <f t="shared" si="16"/>
        <v>4.3573393407477621</v>
      </c>
      <c r="Y80" s="526" t="str" cm="1">
        <f t="array" ref="Y80">_xlfn.IFS(G80&lt;44361, "Before the burn", G80&lt;44403, "During the burn", G80&gt;44403, "After the burn")</f>
        <v>During the burn</v>
      </c>
      <c r="Z80" s="1091" t="s">
        <v>288</v>
      </c>
    </row>
    <row r="81" spans="1:26" s="279" customFormat="1" x14ac:dyDescent="0.3">
      <c r="A81" s="301" t="str">
        <v>RU44370</v>
      </c>
      <c r="B81" s="302" t="str">
        <f t="shared" si="17"/>
        <v>FRU44370</v>
      </c>
      <c r="C81" s="302" t="str">
        <v>FRU44370</v>
      </c>
      <c r="D81" s="302" t="str">
        <f t="shared" si="11"/>
        <v>RU44370</v>
      </c>
      <c r="E81" s="302" t="str">
        <f t="shared" si="12"/>
        <v>RU443706</v>
      </c>
      <c r="F81" s="302" t="str">
        <f t="shared" si="13"/>
        <v>RU</v>
      </c>
      <c r="G81" s="316">
        <f t="shared" si="14"/>
        <v>44370</v>
      </c>
      <c r="H81" s="350">
        <f>INDEX(qPCR_Managed!N$4:N$235, MATCH($E81, qPCR_Managed!$E$4:$E$235, 0), 1)</f>
        <v>5144906.1596131269</v>
      </c>
      <c r="I81" s="351">
        <f>INDEX(qPCR_Managed!Q$4:Q$235, MATCH($E81, qPCR_Managed!$E$4:$E$235, 0), 1)</f>
        <v>6.7113774578673802</v>
      </c>
      <c r="J81" s="352">
        <f>INDEX(qPCR_Managed!R$4:R$235, MATCH($E81, qPCR_Managed!$E$4:$E$235, 0), 1)</f>
        <v>0.20919424554186997</v>
      </c>
      <c r="K81" s="353">
        <f>INDEX(qPCR_Managed!Y$4:Y$235, MATCH($E81, qPCR_Managed!$E$4:$E$235, 0), 1)</f>
        <v>0</v>
      </c>
      <c r="L81" s="354">
        <f>INDEX(qPCR_Managed!AB$4:AB$235, MATCH($E81, qPCR_Managed!$E$4:$E$235, 0), 1)</f>
        <v>0</v>
      </c>
      <c r="M81" s="355">
        <f>INDEX(qPCR_Managed!AC$4:AC$235, MATCH($E81, qPCR_Managed!$E$4:$E$235, 0), 1)</f>
        <v>0</v>
      </c>
      <c r="N81" s="350">
        <f>INDEX(qPCR_Managed!AJ$4:AJ$235, MATCH($E81, qPCR_Managed!$E$4:$E$235, 0), 1)</f>
        <v>33779.142436861119</v>
      </c>
      <c r="O81" s="351">
        <f>INDEX(qPCR_Managed!AM$4:AM$235, MATCH($E81, qPCR_Managed!$E$4:$E$235, 0), 1)</f>
        <v>4.528648619786007</v>
      </c>
      <c r="P81" s="352">
        <f>INDEX(qPCR_Managed!AN$4:AN$235, MATCH($E81, qPCR_Managed!$E$4:$E$235, 0), 1)</f>
        <v>0.28684215493915644</v>
      </c>
      <c r="Q81" s="356">
        <f>INDEX(qPCR_Managed!AU$4:AU$235, MATCH($E81, qPCR_Managed!$E$4:$E$235, 0), 1)</f>
        <v>0</v>
      </c>
      <c r="R81" s="354">
        <f>INDEX(qPCR_Managed!AX$4:AX$235, MATCH($E81, qPCR_Managed!$E$4:$E$235, 0), 1)</f>
        <v>0</v>
      </c>
      <c r="S81" s="357">
        <f>INDEX(qPCR_Managed!AY$4:AY$235, MATCH($E81, qPCR_Managed!$E$4:$E$235, 0), 1)</f>
        <v>0</v>
      </c>
      <c r="T81" s="358">
        <f>INDEX(qPCR_Managed!BF$4:BF$235, MATCH($E81, qPCR_Managed!$E$4:$E$235, 0), 1)</f>
        <v>4889.5274954100705</v>
      </c>
      <c r="U81" s="351">
        <f>INDEX(qPCR_Managed!BI$4:BI$235, MATCH($E81, qPCR_Managed!$E$4:$E$235, 0), 1)</f>
        <v>3.6892668926510406</v>
      </c>
      <c r="V81" s="359">
        <f>INDEX(qPCR_Managed!BJ$4:BJ$235, MATCH($E81, qPCR_Managed!$E$4:$E$235, 0), 1)</f>
        <v>8.5772296276015597E-3</v>
      </c>
      <c r="W81" s="490">
        <f t="shared" si="15"/>
        <v>38668.669932271187</v>
      </c>
      <c r="X81" s="491">
        <f t="shared" si="16"/>
        <v>4.5873592341105756</v>
      </c>
      <c r="Y81" s="526" t="str" cm="1">
        <f t="array" ref="Y81">_xlfn.IFS(G81&lt;44361, "Before the burn", G81&lt;44403, "During the burn", G81&gt;44403, "After the burn")</f>
        <v>During the burn</v>
      </c>
      <c r="Z81" s="1091" t="s">
        <v>288</v>
      </c>
    </row>
    <row r="82" spans="1:26" s="279" customFormat="1" x14ac:dyDescent="0.3">
      <c r="A82" s="301" t="str">
        <v>RU44377</v>
      </c>
      <c r="B82" s="302" t="str">
        <f t="shared" si="17"/>
        <v>FRU44377</v>
      </c>
      <c r="C82" s="302" t="str">
        <v>FRU44377</v>
      </c>
      <c r="D82" s="302" t="str">
        <f t="shared" si="11"/>
        <v>RU44377</v>
      </c>
      <c r="E82" s="302" t="str">
        <f t="shared" si="12"/>
        <v>RU443776</v>
      </c>
      <c r="F82" s="302" t="str">
        <f t="shared" si="13"/>
        <v>RU</v>
      </c>
      <c r="G82" s="316">
        <f t="shared" si="14"/>
        <v>44377</v>
      </c>
      <c r="H82" s="350">
        <f>INDEX(qPCR_Managed!N$4:N$235, MATCH($E82, qPCR_Managed!$E$4:$E$235, 0), 1)</f>
        <v>3310752.8625485878</v>
      </c>
      <c r="I82" s="351">
        <f>INDEX(qPCR_Managed!Q$4:Q$235, MATCH($E82, qPCR_Managed!$E$4:$E$235, 0), 1)</f>
        <v>6.5199267632234479</v>
      </c>
      <c r="J82" s="352">
        <f>INDEX(qPCR_Managed!R$4:R$235, MATCH($E82, qPCR_Managed!$E$4:$E$235, 0), 1)</f>
        <v>0.14369314183355147</v>
      </c>
      <c r="K82" s="353">
        <f>INDEX(qPCR_Managed!Y$4:Y$235, MATCH($E82, qPCR_Managed!$E$4:$E$235, 0), 1)</f>
        <v>0</v>
      </c>
      <c r="L82" s="354">
        <f>INDEX(qPCR_Managed!AB$4:AB$235, MATCH($E82, qPCR_Managed!$E$4:$E$235, 0), 1)</f>
        <v>0</v>
      </c>
      <c r="M82" s="355">
        <f>INDEX(qPCR_Managed!AC$4:AC$235, MATCH($E82, qPCR_Managed!$E$4:$E$235, 0), 1)</f>
        <v>0</v>
      </c>
      <c r="N82" s="350">
        <f>INDEX(qPCR_Managed!AJ$4:AJ$235, MATCH($E82, qPCR_Managed!$E$4:$E$235, 0), 1)</f>
        <v>17428.499808002136</v>
      </c>
      <c r="O82" s="351">
        <f>INDEX(qPCR_Managed!AM$4:AM$235, MATCH($E82, qPCR_Managed!$E$4:$E$235, 0), 1)</f>
        <v>4.2412600059771011</v>
      </c>
      <c r="P82" s="352">
        <f>INDEX(qPCR_Managed!AN$4:AN$235, MATCH($E82, qPCR_Managed!$E$4:$E$235, 0), 1)</f>
        <v>0.27718944531226547</v>
      </c>
      <c r="Q82" s="356">
        <f>INDEX(qPCR_Managed!AU$4:AU$235, MATCH($E82, qPCR_Managed!$E$4:$E$235, 0), 1)</f>
        <v>0</v>
      </c>
      <c r="R82" s="354">
        <f>INDEX(qPCR_Managed!AX$4:AX$235, MATCH($E82, qPCR_Managed!$E$4:$E$235, 0), 1)</f>
        <v>0</v>
      </c>
      <c r="S82" s="357">
        <f>INDEX(qPCR_Managed!AY$4:AY$235, MATCH($E82, qPCR_Managed!$E$4:$E$235, 0), 1)</f>
        <v>0</v>
      </c>
      <c r="T82" s="358">
        <f>INDEX(qPCR_Managed!BF$4:BF$235, MATCH($E82, qPCR_Managed!$E$4:$E$235, 0), 1)</f>
        <v>1152.9222425523694</v>
      </c>
      <c r="U82" s="351">
        <f>INDEX(qPCR_Managed!BI$4:BI$235, MATCH($E82, qPCR_Managed!$E$4:$E$235, 0), 1)</f>
        <v>3.0618000178157891</v>
      </c>
      <c r="V82" s="359">
        <f>INDEX(qPCR_Managed!BJ$4:BJ$235, MATCH($E82, qPCR_Managed!$E$4:$E$235, 0), 1)</f>
        <v>0.43429448190325171</v>
      </c>
      <c r="W82" s="490">
        <f t="shared" si="15"/>
        <v>18581.422050554505</v>
      </c>
      <c r="X82" s="491">
        <f t="shared" si="16"/>
        <v>4.2690789478210212</v>
      </c>
      <c r="Y82" s="526" t="str" cm="1">
        <f t="array" ref="Y82">_xlfn.IFS(G82&lt;44361, "Before the burn", G82&lt;44403, "During the burn", G82&gt;44403, "After the burn")</f>
        <v>During the burn</v>
      </c>
      <c r="Z82" s="1091" t="s">
        <v>288</v>
      </c>
    </row>
    <row r="83" spans="1:26" s="279" customFormat="1" x14ac:dyDescent="0.3">
      <c r="A83" s="301" t="str">
        <v>RU44385</v>
      </c>
      <c r="B83" s="302" t="str">
        <f t="shared" si="17"/>
        <v>FRU44385</v>
      </c>
      <c r="C83" s="302" t="str">
        <v>FRU44385</v>
      </c>
      <c r="D83" s="302" t="str">
        <f t="shared" si="11"/>
        <v>RU44385</v>
      </c>
      <c r="E83" s="302" t="str">
        <f t="shared" si="12"/>
        <v>RU443856</v>
      </c>
      <c r="F83" s="302" t="str">
        <f t="shared" si="13"/>
        <v>RU</v>
      </c>
      <c r="G83" s="316">
        <f t="shared" si="14"/>
        <v>44385</v>
      </c>
      <c r="H83" s="350">
        <f>INDEX(qPCR_Managed!N$4:N$235, MATCH($E83, qPCR_Managed!$E$4:$E$235, 0), 1)</f>
        <v>5460775.3915549135</v>
      </c>
      <c r="I83" s="351">
        <f>INDEX(qPCR_Managed!Q$4:Q$235, MATCH($E83, qPCR_Managed!$E$4:$E$235, 0), 1)</f>
        <v>6.7372543138337742</v>
      </c>
      <c r="J83" s="352">
        <f>INDEX(qPCR_Managed!R$4:R$235, MATCH($E83, qPCR_Managed!$E$4:$E$235, 0), 1)</f>
        <v>5.7918144401133832E-2</v>
      </c>
      <c r="K83" s="353">
        <f>INDEX(qPCR_Managed!Y$4:Y$235, MATCH($E83, qPCR_Managed!$E$4:$E$235, 0), 1)</f>
        <v>904.61397652674202</v>
      </c>
      <c r="L83" s="354">
        <f>INDEX(qPCR_Managed!AB$4:AB$235, MATCH($E83, qPCR_Managed!$E$4:$E$235, 0), 1)</f>
        <v>2.9564632934270887</v>
      </c>
      <c r="M83" s="355">
        <f>INDEX(qPCR_Managed!AC$4:AC$235, MATCH($E83, qPCR_Managed!$E$4:$E$235, 0), 1)</f>
        <v>2.3263726237242866E-2</v>
      </c>
      <c r="N83" s="350">
        <f>INDEX(qPCR_Managed!AJ$4:AJ$235, MATCH($E83, qPCR_Managed!$E$4:$E$235, 0), 1)</f>
        <v>8722.075602020881</v>
      </c>
      <c r="O83" s="351">
        <f>INDEX(qPCR_Managed!AM$4:AM$235, MATCH($E83, qPCR_Managed!$E$4:$E$235, 0), 1)</f>
        <v>3.9406198467719626</v>
      </c>
      <c r="P83" s="352">
        <f>INDEX(qPCR_Managed!AN$4:AN$235, MATCH($E83, qPCR_Managed!$E$4:$E$235, 0), 1)</f>
        <v>9.3538457563862532E-2</v>
      </c>
      <c r="Q83" s="356">
        <f>INDEX(qPCR_Managed!AU$4:AU$235, MATCH($E83, qPCR_Managed!$E$4:$E$235, 0), 1)</f>
        <v>0</v>
      </c>
      <c r="R83" s="354">
        <f>INDEX(qPCR_Managed!AX$4:AX$235, MATCH($E83, qPCR_Managed!$E$4:$E$235, 0), 1)</f>
        <v>0</v>
      </c>
      <c r="S83" s="357">
        <f>INDEX(qPCR_Managed!AY$4:AY$235, MATCH($E83, qPCR_Managed!$E$4:$E$235, 0), 1)</f>
        <v>0</v>
      </c>
      <c r="T83" s="358">
        <f>INDEX(qPCR_Managed!BF$4:BF$235, MATCH($E83, qPCR_Managed!$E$4:$E$235, 0), 1)</f>
        <v>0</v>
      </c>
      <c r="U83" s="351">
        <f>INDEX(qPCR_Managed!BI$4:BI$235, MATCH($E83, qPCR_Managed!$E$4:$E$235, 0), 1)</f>
        <v>0</v>
      </c>
      <c r="V83" s="359">
        <f>INDEX(qPCR_Managed!BJ$4:BJ$235, MATCH($E83, qPCR_Managed!$E$4:$E$235, 0), 1)</f>
        <v>0</v>
      </c>
      <c r="W83" s="490">
        <f t="shared" si="15"/>
        <v>9626.6895785476227</v>
      </c>
      <c r="X83" s="491">
        <f t="shared" si="16"/>
        <v>3.9834769678162663</v>
      </c>
      <c r="Y83" s="526" t="str" cm="1">
        <f t="array" ref="Y83">_xlfn.IFS(G83&lt;44361, "Before the burn", G83&lt;44403, "During the burn", G83&gt;44403, "After the burn")</f>
        <v>During the burn</v>
      </c>
      <c r="Z83" s="1091" t="s">
        <v>288</v>
      </c>
    </row>
    <row r="84" spans="1:26" s="279" customFormat="1" x14ac:dyDescent="0.3">
      <c r="A84" s="301" t="str">
        <v>RU44391</v>
      </c>
      <c r="B84" s="302" t="str">
        <f t="shared" si="17"/>
        <v>FRU44391</v>
      </c>
      <c r="C84" s="302" t="str">
        <v>FRU44391</v>
      </c>
      <c r="D84" s="302" t="str">
        <f t="shared" si="11"/>
        <v>RU44391</v>
      </c>
      <c r="E84" s="302" t="str">
        <f t="shared" si="12"/>
        <v>RU443916</v>
      </c>
      <c r="F84" s="302" t="str">
        <f t="shared" si="13"/>
        <v>RU</v>
      </c>
      <c r="G84" s="316">
        <f t="shared" si="14"/>
        <v>44391</v>
      </c>
      <c r="H84" s="350">
        <f>INDEX(qPCR_Managed!N$4:N$235, MATCH($E84, qPCR_Managed!$E$4:$E$235, 0), 1)</f>
        <v>7292215215.8877764</v>
      </c>
      <c r="I84" s="351">
        <f>INDEX(qPCR_Managed!Q$4:Q$235, MATCH($E84, qPCR_Managed!$E$4:$E$235, 0), 1)</f>
        <v>9.8628594775492058</v>
      </c>
      <c r="J84" s="352">
        <f>INDEX(qPCR_Managed!R$4:R$235, MATCH($E84, qPCR_Managed!$E$4:$E$235, 0), 1)</f>
        <v>0.43403617568292674</v>
      </c>
      <c r="K84" s="353">
        <f>INDEX(qPCR_Managed!Y$4:Y$235, MATCH($E84, qPCR_Managed!$E$4:$E$235, 0), 1)</f>
        <v>0</v>
      </c>
      <c r="L84" s="354">
        <f>INDEX(qPCR_Managed!AB$4:AB$235, MATCH($E84, qPCR_Managed!$E$4:$E$235, 0), 1)</f>
        <v>0</v>
      </c>
      <c r="M84" s="355">
        <f>INDEX(qPCR_Managed!AC$4:AC$235, MATCH($E84, qPCR_Managed!$E$4:$E$235, 0), 1)</f>
        <v>0</v>
      </c>
      <c r="N84" s="350">
        <f>INDEX(qPCR_Managed!AJ$4:AJ$235, MATCH($E84, qPCR_Managed!$E$4:$E$235, 0), 1)</f>
        <v>5536.310193874142</v>
      </c>
      <c r="O84" s="351">
        <f>INDEX(qPCR_Managed!AM$4:AM$235, MATCH($E84, qPCR_Managed!$E$4:$E$235, 0), 1)</f>
        <v>3.7432204152120327</v>
      </c>
      <c r="P84" s="352">
        <f>INDEX(qPCR_Managed!AN$4:AN$235, MATCH($E84, qPCR_Managed!$E$4:$E$235, 0), 1)</f>
        <v>0.308155076192202</v>
      </c>
      <c r="Q84" s="356">
        <f>INDEX(qPCR_Managed!AU$4:AU$235, MATCH($E84, qPCR_Managed!$E$4:$E$235, 0), 1)</f>
        <v>87266.000225259704</v>
      </c>
      <c r="R84" s="354">
        <f>INDEX(qPCR_Managed!AX$4:AX$235, MATCH($E84, qPCR_Managed!$E$4:$E$235, 0), 1)</f>
        <v>4.9408450708457536</v>
      </c>
      <c r="S84" s="357">
        <f>INDEX(qPCR_Managed!AY$4:AY$235, MATCH($E84, qPCR_Managed!$E$4:$E$235, 0), 1)</f>
        <v>0.33387910272495597</v>
      </c>
      <c r="T84" s="358">
        <f>INDEX(qPCR_Managed!BF$4:BF$235, MATCH($E84, qPCR_Managed!$E$4:$E$235, 0), 1)</f>
        <v>0</v>
      </c>
      <c r="U84" s="351">
        <f>INDEX(qPCR_Managed!BI$4:BI$235, MATCH($E84, qPCR_Managed!$E$4:$E$235, 0), 1)</f>
        <v>0</v>
      </c>
      <c r="V84" s="359">
        <f>INDEX(qPCR_Managed!BJ$4:BJ$235, MATCH($E84, qPCR_Managed!$E$4:$E$235, 0), 1)</f>
        <v>0</v>
      </c>
      <c r="W84" s="490">
        <f t="shared" si="15"/>
        <v>92802.31041913385</v>
      </c>
      <c r="X84" s="491">
        <f t="shared" si="16"/>
        <v>4.9675587886088426</v>
      </c>
      <c r="Y84" s="526" t="str" cm="1">
        <f t="array" ref="Y84">_xlfn.IFS(G84&lt;44361, "Before the burn", G84&lt;44403, "During the burn", G84&gt;44403, "After the burn")</f>
        <v>During the burn</v>
      </c>
      <c r="Z84" s="1091" t="s">
        <v>288</v>
      </c>
    </row>
    <row r="85" spans="1:26" s="279" customFormat="1" x14ac:dyDescent="0.3">
      <c r="A85" s="301" t="str">
        <v>RU44398</v>
      </c>
      <c r="B85" s="302" t="str">
        <f t="shared" si="17"/>
        <v>FRU44398</v>
      </c>
      <c r="C85" s="302" t="str">
        <v>FRU44398</v>
      </c>
      <c r="D85" s="302" t="str">
        <f t="shared" si="11"/>
        <v>RU44398</v>
      </c>
      <c r="E85" s="302" t="str">
        <f t="shared" si="12"/>
        <v>RU443986</v>
      </c>
      <c r="F85" s="302" t="str">
        <f t="shared" si="13"/>
        <v>RU</v>
      </c>
      <c r="G85" s="316">
        <f t="shared" si="14"/>
        <v>44398</v>
      </c>
      <c r="H85" s="350">
        <f>INDEX(qPCR_Managed!N$4:N$235, MATCH($E85, qPCR_Managed!$E$4:$E$235, 0), 1)</f>
        <v>541791330.82256353</v>
      </c>
      <c r="I85" s="351">
        <f>INDEX(qPCR_Managed!Q$4:Q$235, MATCH($E85, qPCR_Managed!$E$4:$E$235, 0), 1)</f>
        <v>8.7338320516272994</v>
      </c>
      <c r="J85" s="352">
        <f>INDEX(qPCR_Managed!R$4:R$235, MATCH($E85, qPCR_Managed!$E$4:$E$235, 0), 1)</f>
        <v>0.38148136421067003</v>
      </c>
      <c r="K85" s="353">
        <f>INDEX(qPCR_Managed!Y$4:Y$235, MATCH($E85, qPCR_Managed!$E$4:$E$235, 0), 1)</f>
        <v>557.17863534626213</v>
      </c>
      <c r="L85" s="354">
        <f>INDEX(qPCR_Managed!AB$4:AB$235, MATCH($E85, qPCR_Managed!$E$4:$E$235, 0), 1)</f>
        <v>2.7459944553306879</v>
      </c>
      <c r="M85" s="355">
        <f>INDEX(qPCR_Managed!AC$4:AC$235, MATCH($E85, qPCR_Managed!$E$4:$E$235, 0), 1)</f>
        <v>0.43429448190325171</v>
      </c>
      <c r="N85" s="350">
        <f>INDEX(qPCR_Managed!AJ$4:AJ$235, MATCH($E85, qPCR_Managed!$E$4:$E$235, 0), 1)</f>
        <v>21219.17455795913</v>
      </c>
      <c r="O85" s="351">
        <f>INDEX(qPCR_Managed!AM$4:AM$235, MATCH($E85, qPCR_Managed!$E$4:$E$235, 0), 1)</f>
        <v>4.3267284855080144</v>
      </c>
      <c r="P85" s="352">
        <f>INDEX(qPCR_Managed!AN$4:AN$235, MATCH($E85, qPCR_Managed!$E$4:$E$235, 0), 1)</f>
        <v>0.22613900725118</v>
      </c>
      <c r="Q85" s="356">
        <f>INDEX(qPCR_Managed!AU$4:AU$235, MATCH($E85, qPCR_Managed!$E$4:$E$235, 0), 1)</f>
        <v>2789551.6493055555</v>
      </c>
      <c r="R85" s="354">
        <f>INDEX(qPCR_Managed!AX$4:AX$235, MATCH($E85, qPCR_Managed!$E$4:$E$235, 0), 1)</f>
        <v>6.4455344069009808</v>
      </c>
      <c r="S85" s="357">
        <f>INDEX(qPCR_Managed!AY$4:AY$235, MATCH($E85, qPCR_Managed!$E$4:$E$235, 0), 1)</f>
        <v>0.43429448190325176</v>
      </c>
      <c r="T85" s="358">
        <f>INDEX(qPCR_Managed!BF$4:BF$235, MATCH($E85, qPCR_Managed!$E$4:$E$235, 0), 1)</f>
        <v>0</v>
      </c>
      <c r="U85" s="351">
        <f>INDEX(qPCR_Managed!BI$4:BI$235, MATCH($E85, qPCR_Managed!$E$4:$E$235, 0), 1)</f>
        <v>0</v>
      </c>
      <c r="V85" s="359">
        <f>INDEX(qPCR_Managed!BJ$4:BJ$235, MATCH($E85, qPCR_Managed!$E$4:$E$235, 0), 1)</f>
        <v>0</v>
      </c>
      <c r="W85" s="490">
        <f t="shared" si="15"/>
        <v>2811328.0024988609</v>
      </c>
      <c r="X85" s="491">
        <f t="shared" si="16"/>
        <v>6.448911518451645</v>
      </c>
      <c r="Y85" s="526" t="str" cm="1">
        <f t="array" ref="Y85">_xlfn.IFS(G85&lt;44361, "Before the burn", G85&lt;44403, "During the burn", G85&gt;44403, "After the burn")</f>
        <v>During the burn</v>
      </c>
      <c r="Z85" s="1091" t="s">
        <v>288</v>
      </c>
    </row>
    <row r="86" spans="1:26" s="279" customFormat="1" x14ac:dyDescent="0.3">
      <c r="A86" s="301" t="str">
        <v>RU44405</v>
      </c>
      <c r="B86" s="302" t="str">
        <f t="shared" si="17"/>
        <v>FRU44405</v>
      </c>
      <c r="C86" s="302" t="str">
        <v>FRU44405</v>
      </c>
      <c r="D86" s="302" t="str">
        <f t="shared" si="11"/>
        <v>RU44405</v>
      </c>
      <c r="E86" s="302" t="str">
        <f t="shared" si="12"/>
        <v>RU444056</v>
      </c>
      <c r="F86" s="302" t="str">
        <f t="shared" si="13"/>
        <v>RU</v>
      </c>
      <c r="G86" s="316">
        <f t="shared" si="14"/>
        <v>44405</v>
      </c>
      <c r="H86" s="350">
        <f>INDEX(qPCR_Managed!N$4:N$235, MATCH($E86, qPCR_Managed!$E$4:$E$235, 0), 1)</f>
        <v>135947433.75445986</v>
      </c>
      <c r="I86" s="351">
        <f>INDEX(qPCR_Managed!Q$4:Q$235, MATCH($E86, qPCR_Managed!$E$4:$E$235, 0), 1)</f>
        <v>8.1333710139331075</v>
      </c>
      <c r="J86" s="352">
        <f>INDEX(qPCR_Managed!R$4:R$235, MATCH($E86, qPCR_Managed!$E$4:$E$235, 0), 1)</f>
        <v>0.19125254806198155</v>
      </c>
      <c r="K86" s="353">
        <f>INDEX(qPCR_Managed!Y$4:Y$235, MATCH($E86, qPCR_Managed!$E$4:$E$235, 0), 1)</f>
        <v>34091.366242619821</v>
      </c>
      <c r="L86" s="354">
        <f>INDEX(qPCR_Managed!AB$4:AB$235, MATCH($E86, qPCR_Managed!$E$4:$E$235, 0), 1)</f>
        <v>4.5326444063254305</v>
      </c>
      <c r="M86" s="355">
        <f>INDEX(qPCR_Managed!AC$4:AC$235, MATCH($E86, qPCR_Managed!$E$4:$E$235, 0), 1)</f>
        <v>0.25907367582752444</v>
      </c>
      <c r="N86" s="350">
        <f>INDEX(qPCR_Managed!AJ$4:AJ$235, MATCH($E86, qPCR_Managed!$E$4:$E$235, 0), 1)</f>
        <v>4336.9628494573963</v>
      </c>
      <c r="O86" s="351">
        <f>INDEX(qPCR_Managed!AM$4:AM$235, MATCH($E86, qPCR_Managed!$E$4:$E$235, 0), 1)</f>
        <v>3.6371857019862635</v>
      </c>
      <c r="P86" s="352">
        <f>INDEX(qPCR_Managed!AN$4:AN$235, MATCH($E86, qPCR_Managed!$E$4:$E$235, 0), 1)</f>
        <v>0.22144412868821989</v>
      </c>
      <c r="Q86" s="356">
        <f>INDEX(qPCR_Managed!AU$4:AU$235, MATCH($E86, qPCR_Managed!$E$4:$E$235, 0), 1)</f>
        <v>0</v>
      </c>
      <c r="R86" s="354">
        <f>INDEX(qPCR_Managed!AX$4:AX$235, MATCH($E86, qPCR_Managed!$E$4:$E$235, 0), 1)</f>
        <v>0</v>
      </c>
      <c r="S86" s="357">
        <f>INDEX(qPCR_Managed!AY$4:AY$235, MATCH($E86, qPCR_Managed!$E$4:$E$235, 0), 1)</f>
        <v>0</v>
      </c>
      <c r="T86" s="358">
        <f>INDEX(qPCR_Managed!BF$4:BF$235, MATCH($E86, qPCR_Managed!$E$4:$E$235, 0), 1)</f>
        <v>1087.3621272057603</v>
      </c>
      <c r="U86" s="351">
        <f>INDEX(qPCR_Managed!BI$4:BI$235, MATCH($E86, qPCR_Managed!$E$4:$E$235, 0), 1)</f>
        <v>3.0363742024637514</v>
      </c>
      <c r="V86" s="359">
        <f>INDEX(qPCR_Managed!BJ$4:BJ$235, MATCH($E86, qPCR_Managed!$E$4:$E$235, 0), 1)</f>
        <v>0.43429448190325176</v>
      </c>
      <c r="W86" s="490">
        <f t="shared" si="15"/>
        <v>39515.691219282977</v>
      </c>
      <c r="X86" s="491">
        <f t="shared" si="16"/>
        <v>4.5967695831395945</v>
      </c>
      <c r="Y86" s="526" t="str" cm="1">
        <f t="array" ref="Y86">_xlfn.IFS(G86&lt;44361, "Before the burn", G86&lt;44403, "During the burn", G86&gt;44403, "After the burn")</f>
        <v>After the burn</v>
      </c>
      <c r="Z86" s="1091" t="s">
        <v>288</v>
      </c>
    </row>
    <row r="87" spans="1:26" s="279" customFormat="1" x14ac:dyDescent="0.3">
      <c r="A87" s="301" t="str">
        <v>RU44412</v>
      </c>
      <c r="B87" s="302" t="str">
        <f t="shared" si="17"/>
        <v>FRU44412</v>
      </c>
      <c r="C87" s="302" t="str">
        <v>FRU44412</v>
      </c>
      <c r="D87" s="302" t="str">
        <f t="shared" si="11"/>
        <v>RU44412</v>
      </c>
      <c r="E87" s="302" t="str">
        <f t="shared" si="12"/>
        <v>RU444126</v>
      </c>
      <c r="F87" s="302" t="str">
        <f t="shared" si="13"/>
        <v>RU</v>
      </c>
      <c r="G87" s="316">
        <f t="shared" si="14"/>
        <v>44412</v>
      </c>
      <c r="H87" s="350">
        <f>INDEX(qPCR_Managed!N$4:N$235, MATCH($E87, qPCR_Managed!$E$4:$E$235, 0), 1)</f>
        <v>62663974.075787343</v>
      </c>
      <c r="I87" s="351">
        <f>INDEX(qPCR_Managed!Q$4:Q$235, MATCH($E87, qPCR_Managed!$E$4:$E$235, 0), 1)</f>
        <v>7.7970179338660834</v>
      </c>
      <c r="J87" s="352">
        <f>INDEX(qPCR_Managed!R$4:R$235, MATCH($E87, qPCR_Managed!$E$4:$E$235, 0), 1)</f>
        <v>0.26589295607205832</v>
      </c>
      <c r="K87" s="353">
        <f>INDEX(qPCR_Managed!Y$4:Y$235, MATCH($E87, qPCR_Managed!$E$4:$E$235, 0), 1)</f>
        <v>5374.9038950044514</v>
      </c>
      <c r="L87" s="354">
        <f>INDEX(qPCR_Managed!AB$4:AB$235, MATCH($E87, qPCR_Managed!$E$4:$E$235, 0), 1)</f>
        <v>3.7303707033332447</v>
      </c>
      <c r="M87" s="355">
        <f>INDEX(qPCR_Managed!AC$4:AC$235, MATCH($E87, qPCR_Managed!$E$4:$E$235, 0), 1)</f>
        <v>0.10849446791578979</v>
      </c>
      <c r="N87" s="350">
        <f>INDEX(qPCR_Managed!AJ$4:AJ$235, MATCH($E87, qPCR_Managed!$E$4:$E$235, 0), 1)</f>
        <v>10308.560555441338</v>
      </c>
      <c r="O87" s="351">
        <f>INDEX(qPCR_Managed!AM$4:AM$235, MATCH($E87, qPCR_Managed!$E$4:$E$235, 0), 1)</f>
        <v>4.0131980264403566</v>
      </c>
      <c r="P87" s="352">
        <f>INDEX(qPCR_Managed!AN$4:AN$235, MATCH($E87, qPCR_Managed!$E$4:$E$235, 0), 1)</f>
        <v>0.23047766089807925</v>
      </c>
      <c r="Q87" s="356">
        <f>INDEX(qPCR_Managed!AU$4:AU$235, MATCH($E87, qPCR_Managed!$E$4:$E$235, 0), 1)</f>
        <v>0</v>
      </c>
      <c r="R87" s="354">
        <f>INDEX(qPCR_Managed!AX$4:AX$235, MATCH($E87, qPCR_Managed!$E$4:$E$235, 0), 1)</f>
        <v>0</v>
      </c>
      <c r="S87" s="357">
        <f>INDEX(qPCR_Managed!AY$4:AY$235, MATCH($E87, qPCR_Managed!$E$4:$E$235, 0), 1)</f>
        <v>0</v>
      </c>
      <c r="T87" s="358">
        <f>INDEX(qPCR_Managed!BF$4:BF$235, MATCH($E87, qPCR_Managed!$E$4:$E$235, 0), 1)</f>
        <v>1204.345703125</v>
      </c>
      <c r="U87" s="351">
        <f>INDEX(qPCR_Managed!BI$4:BI$235, MATCH($E87, qPCR_Managed!$E$4:$E$235, 0), 1)</f>
        <v>3.0807511674943671</v>
      </c>
      <c r="V87" s="359">
        <f>INDEX(qPCR_Managed!BJ$4:BJ$235, MATCH($E87, qPCR_Managed!$E$4:$E$235, 0), 1)</f>
        <v>0.43429448190325176</v>
      </c>
      <c r="W87" s="490">
        <f t="shared" si="15"/>
        <v>16887.81015357079</v>
      </c>
      <c r="X87" s="491">
        <f t="shared" si="16"/>
        <v>4.2275733381513261</v>
      </c>
      <c r="Y87" s="526" t="str" cm="1">
        <f t="array" ref="Y87">_xlfn.IFS(G87&lt;44361, "Before the burn", G87&lt;44403, "During the burn", G87&gt;44403, "After the burn")</f>
        <v>After the burn</v>
      </c>
      <c r="Z87" s="1091" t="s">
        <v>288</v>
      </c>
    </row>
    <row r="88" spans="1:26" s="279" customFormat="1" x14ac:dyDescent="0.3">
      <c r="A88" s="301" t="str">
        <v>RU44419</v>
      </c>
      <c r="B88" s="302" t="str">
        <f t="shared" si="17"/>
        <v>FRU44419</v>
      </c>
      <c r="C88" s="302" t="str">
        <v>FRU44419</v>
      </c>
      <c r="D88" s="302" t="str">
        <f t="shared" si="11"/>
        <v>RU44419</v>
      </c>
      <c r="E88" s="302" t="str">
        <f t="shared" si="12"/>
        <v>RU444196</v>
      </c>
      <c r="F88" s="302" t="str">
        <f t="shared" si="13"/>
        <v>RU</v>
      </c>
      <c r="G88" s="316">
        <f t="shared" si="14"/>
        <v>44419</v>
      </c>
      <c r="H88" s="350">
        <f>INDEX(qPCR_Managed!N$4:N$235, MATCH($E88, qPCR_Managed!$E$4:$E$235, 0), 1)</f>
        <v>293259200.57923603</v>
      </c>
      <c r="I88" s="351">
        <f>INDEX(qPCR_Managed!Q$4:Q$235, MATCH($E88, qPCR_Managed!$E$4:$E$235, 0), 1)</f>
        <v>8.4672516463565746</v>
      </c>
      <c r="J88" s="352">
        <f>INDEX(qPCR_Managed!R$4:R$235, MATCH($E88, qPCR_Managed!$E$4:$E$235, 0), 1)</f>
        <v>0.27308644159112216</v>
      </c>
      <c r="K88" s="353">
        <f>INDEX(qPCR_Managed!Y$4:Y$235, MATCH($E88, qPCR_Managed!$E$4:$E$235, 0), 1)</f>
        <v>12165.310158951736</v>
      </c>
      <c r="L88" s="354">
        <f>INDEX(qPCR_Managed!AB$4:AB$235, MATCH($E88, qPCR_Managed!$E$4:$E$235, 0), 1)</f>
        <v>4.0851231859017831</v>
      </c>
      <c r="M88" s="355">
        <f>INDEX(qPCR_Managed!AC$4:AC$235, MATCH($E88, qPCR_Managed!$E$4:$E$235, 0), 1)</f>
        <v>6.6568538980958838E-2</v>
      </c>
      <c r="N88" s="350">
        <f>INDEX(qPCR_Managed!AJ$4:AJ$235, MATCH($E88, qPCR_Managed!$E$4:$E$235, 0), 1)</f>
        <v>13426.09979089443</v>
      </c>
      <c r="O88" s="351">
        <f>INDEX(qPCR_Managed!AM$4:AM$235, MATCH($E88, qPCR_Managed!$E$4:$E$235, 0), 1)</f>
        <v>4.1279498708001707</v>
      </c>
      <c r="P88" s="352">
        <f>INDEX(qPCR_Managed!AN$4:AN$235, MATCH($E88, qPCR_Managed!$E$4:$E$235, 0), 1)</f>
        <v>0.25700797188800723</v>
      </c>
      <c r="Q88" s="356">
        <f>INDEX(qPCR_Managed!AU$4:AU$235, MATCH($E88, qPCR_Managed!$E$4:$E$235, 0), 1)</f>
        <v>33261.758571884537</v>
      </c>
      <c r="R88" s="354">
        <f>INDEX(qPCR_Managed!AX$4:AX$235, MATCH($E88, qPCR_Managed!$E$4:$E$235, 0), 1)</f>
        <v>4.5219452069362802</v>
      </c>
      <c r="S88" s="357">
        <f>INDEX(qPCR_Managed!AY$4:AY$235, MATCH($E88, qPCR_Managed!$E$4:$E$235, 0), 1)</f>
        <v>0.42114324213497706</v>
      </c>
      <c r="T88" s="358">
        <f>INDEX(qPCR_Managed!BF$4:BF$235, MATCH($E88, qPCR_Managed!$E$4:$E$235, 0), 1)</f>
        <v>0</v>
      </c>
      <c r="U88" s="351">
        <f>INDEX(qPCR_Managed!BI$4:BI$235, MATCH($E88, qPCR_Managed!$E$4:$E$235, 0), 1)</f>
        <v>0</v>
      </c>
      <c r="V88" s="359">
        <f>INDEX(qPCR_Managed!BJ$4:BJ$235, MATCH($E88, qPCR_Managed!$E$4:$E$235, 0), 1)</f>
        <v>0</v>
      </c>
      <c r="W88" s="490">
        <f t="shared" si="15"/>
        <v>58853.168521730702</v>
      </c>
      <c r="X88" s="491">
        <f t="shared" si="16"/>
        <v>4.7697698492433531</v>
      </c>
      <c r="Y88" s="526" t="str" cm="1">
        <f t="array" ref="Y88">_xlfn.IFS(G88&lt;44361, "Before the burn", G88&lt;44403, "During the burn", G88&gt;44403, "After the burn")</f>
        <v>After the burn</v>
      </c>
      <c r="Z88" s="1091" t="s">
        <v>288</v>
      </c>
    </row>
    <row r="89" spans="1:26" s="279" customFormat="1" x14ac:dyDescent="0.3">
      <c r="A89" s="301" t="str">
        <v>RU44426</v>
      </c>
      <c r="B89" s="302" t="str">
        <f t="shared" si="17"/>
        <v>FRU44426</v>
      </c>
      <c r="C89" s="302" t="str">
        <v>FRU44426</v>
      </c>
      <c r="D89" s="302" t="str">
        <f t="shared" si="11"/>
        <v>RU44426</v>
      </c>
      <c r="E89" s="302" t="str">
        <f t="shared" si="12"/>
        <v>RU444266</v>
      </c>
      <c r="F89" s="302" t="str">
        <f t="shared" si="13"/>
        <v>RU</v>
      </c>
      <c r="G89" s="316">
        <f t="shared" si="14"/>
        <v>44426</v>
      </c>
      <c r="H89" s="350">
        <f>INDEX(qPCR_Managed!N$4:N$235, MATCH($E89, qPCR_Managed!$E$4:$E$235, 0), 1)</f>
        <v>37459069.302015245</v>
      </c>
      <c r="I89" s="351">
        <f>INDEX(qPCR_Managed!Q$4:Q$235, MATCH($E89, qPCR_Managed!$E$4:$E$235, 0), 1)</f>
        <v>7.5735569828090972</v>
      </c>
      <c r="J89" s="352">
        <f>INDEX(qPCR_Managed!R$4:R$235, MATCH($E89, qPCR_Managed!$E$4:$E$235, 0), 1)</f>
        <v>2.9090796026394465E-2</v>
      </c>
      <c r="K89" s="353">
        <f>INDEX(qPCR_Managed!Y$4:Y$235, MATCH($E89, qPCR_Managed!$E$4:$E$235, 0), 1)</f>
        <v>87612.893404689181</v>
      </c>
      <c r="L89" s="354">
        <f>INDEX(qPCR_Managed!AB$4:AB$235, MATCH($E89, qPCR_Managed!$E$4:$E$235, 0), 1)</f>
        <v>4.9425680230912103</v>
      </c>
      <c r="M89" s="355">
        <f>INDEX(qPCR_Managed!AC$4:AC$235, MATCH($E89, qPCR_Managed!$E$4:$E$235, 0), 1)</f>
        <v>2.5829493603281916E-2</v>
      </c>
      <c r="N89" s="350">
        <f>INDEX(qPCR_Managed!AJ$4:AJ$235, MATCH($E89, qPCR_Managed!$E$4:$E$235, 0), 1)</f>
        <v>2491.0730030047525</v>
      </c>
      <c r="O89" s="351">
        <f>INDEX(qPCR_Managed!AM$4:AM$235, MATCH($E89, qPCR_Managed!$E$4:$E$235, 0), 1)</f>
        <v>3.396386455090723</v>
      </c>
      <c r="P89" s="352">
        <f>INDEX(qPCR_Managed!AN$4:AN$235, MATCH($E89, qPCR_Managed!$E$4:$E$235, 0), 1)</f>
        <v>8.0551391000424993E-2</v>
      </c>
      <c r="Q89" s="356">
        <f>INDEX(qPCR_Managed!AU$4:AU$235, MATCH($E89, qPCR_Managed!$E$4:$E$235, 0), 1)</f>
        <v>0</v>
      </c>
      <c r="R89" s="354">
        <f>INDEX(qPCR_Managed!AX$4:AX$235, MATCH($E89, qPCR_Managed!$E$4:$E$235, 0), 1)</f>
        <v>0</v>
      </c>
      <c r="S89" s="357">
        <f>INDEX(qPCR_Managed!AY$4:AY$235, MATCH($E89, qPCR_Managed!$E$4:$E$235, 0), 1)</f>
        <v>0</v>
      </c>
      <c r="T89" s="358">
        <f>INDEX(qPCR_Managed!BF$4:BF$235, MATCH($E89, qPCR_Managed!$E$4:$E$235, 0), 1)</f>
        <v>373.7701445209737</v>
      </c>
      <c r="U89" s="351">
        <f>INDEX(qPCR_Managed!BI$4:BI$235, MATCH($E89, qPCR_Managed!$E$4:$E$235, 0), 1)</f>
        <v>2.572604608472389</v>
      </c>
      <c r="V89" s="359">
        <f>INDEX(qPCR_Managed!BJ$4:BJ$235, MATCH($E89, qPCR_Managed!$E$4:$E$235, 0), 1)</f>
        <v>0.43429448190325176</v>
      </c>
      <c r="W89" s="490">
        <f t="shared" si="15"/>
        <v>90477.736552214905</v>
      </c>
      <c r="X89" s="491">
        <f t="shared" si="16"/>
        <v>4.9565417274702419</v>
      </c>
      <c r="Y89" s="526" t="str" cm="1">
        <f t="array" ref="Y89">_xlfn.IFS(G89&lt;44361, "Before the burn", G89&lt;44403, "During the burn", G89&gt;44403, "After the burn")</f>
        <v>After the burn</v>
      </c>
      <c r="Z89" s="1091" t="s">
        <v>288</v>
      </c>
    </row>
    <row r="90" spans="1:26" s="279" customFormat="1" ht="16.350000000000001" thickBot="1" x14ac:dyDescent="0.35">
      <c r="A90" s="303" t="str">
        <v>RU44433</v>
      </c>
      <c r="B90" s="304" t="str">
        <f t="shared" si="17"/>
        <v>FRU44433</v>
      </c>
      <c r="C90" s="304" t="str">
        <v>FRU44433</v>
      </c>
      <c r="D90" s="304" t="str">
        <f t="shared" si="11"/>
        <v>RU44433</v>
      </c>
      <c r="E90" s="304" t="str">
        <f t="shared" si="12"/>
        <v>RU444336</v>
      </c>
      <c r="F90" s="304" t="str">
        <f t="shared" si="13"/>
        <v>RU</v>
      </c>
      <c r="G90" s="317">
        <f t="shared" si="14"/>
        <v>44433</v>
      </c>
      <c r="H90" s="360">
        <f>INDEX(qPCR_Managed!N$4:N$235, MATCH($E90, qPCR_Managed!$E$4:$E$235, 0), 1)</f>
        <v>353050043.07230633</v>
      </c>
      <c r="I90" s="361">
        <f>INDEX(qPCR_Managed!Q$4:Q$235, MATCH($E90, qPCR_Managed!$E$4:$E$235, 0), 1)</f>
        <v>8.5478362688149758</v>
      </c>
      <c r="J90" s="362">
        <f>INDEX(qPCR_Managed!R$4:R$235, MATCH($E90, qPCR_Managed!$E$4:$E$235, 0), 1)</f>
        <v>0.43429448190325171</v>
      </c>
      <c r="K90" s="363">
        <f>INDEX(qPCR_Managed!Y$4:Y$235, MATCH($E90, qPCR_Managed!$E$4:$E$235, 0), 1)</f>
        <v>11476.994323730469</v>
      </c>
      <c r="L90" s="364">
        <f>INDEX(qPCR_Managed!AB$4:AB$235, MATCH($E90, qPCR_Managed!$E$4:$E$235, 0), 1)</f>
        <v>4.0598281668485159</v>
      </c>
      <c r="M90" s="365">
        <f>INDEX(qPCR_Managed!AC$4:AC$235, MATCH($E90, qPCR_Managed!$E$4:$E$235, 0), 1)</f>
        <v>0.43429448190325176</v>
      </c>
      <c r="N90" s="360">
        <f>INDEX(qPCR_Managed!AJ$4:AJ$235, MATCH($E90, qPCR_Managed!$E$4:$E$235, 0), 1)</f>
        <v>9791.71142578125</v>
      </c>
      <c r="O90" s="361">
        <f>INDEX(qPCR_Managed!AM$4:AM$235, MATCH($E90, qPCR_Managed!$E$4:$E$235, 0), 1)</f>
        <v>3.9908586057780417</v>
      </c>
      <c r="P90" s="362">
        <f>INDEX(qPCR_Managed!AN$4:AN$235, MATCH($E90, qPCR_Managed!$E$4:$E$235, 0), 1)</f>
        <v>0.43429448190325176</v>
      </c>
      <c r="Q90" s="366">
        <f>INDEX(qPCR_Managed!AU$4:AU$235, MATCH($E90, qPCR_Managed!$E$4:$E$235, 0), 1)</f>
        <v>0</v>
      </c>
      <c r="R90" s="364">
        <f>INDEX(qPCR_Managed!AX$4:AX$235, MATCH($E90, qPCR_Managed!$E$4:$E$235, 0), 1)</f>
        <v>0</v>
      </c>
      <c r="S90" s="367">
        <f>INDEX(qPCR_Managed!AY$4:AY$235, MATCH($E90, qPCR_Managed!$E$4:$E$235, 0), 1)</f>
        <v>0</v>
      </c>
      <c r="T90" s="368">
        <f>INDEX(qPCR_Managed!BF$4:BF$235, MATCH($E90, qPCR_Managed!$E$4:$E$235, 0), 1)</f>
        <v>0</v>
      </c>
      <c r="U90" s="361">
        <f>INDEX(qPCR_Managed!BI$4:BI$235, MATCH($E90, qPCR_Managed!$E$4:$E$235, 0), 1)</f>
        <v>0</v>
      </c>
      <c r="V90" s="369">
        <f>INDEX(qPCR_Managed!BJ$4:BJ$235, MATCH($E90, qPCR_Managed!$E$4:$E$235, 0), 1)</f>
        <v>0</v>
      </c>
      <c r="W90" s="492">
        <f t="shared" si="15"/>
        <v>21268.705749511719</v>
      </c>
      <c r="X90" s="493">
        <f t="shared" si="16"/>
        <v>4.3277410628718389</v>
      </c>
      <c r="Y90" s="527" t="str" cm="1">
        <f t="array" ref="Y90">_xlfn.IFS(G90&lt;44361, "Before the burn", G90&lt;44403, "During the burn", G90&gt;44403, "After the burn")</f>
        <v>After the burn</v>
      </c>
      <c r="Z90" s="1094" t="s">
        <v>288</v>
      </c>
    </row>
    <row r="91" spans="1:26" s="279" customFormat="1" x14ac:dyDescent="0.3">
      <c r="A91" s="288" t="str">
        <v>SPI44335</v>
      </c>
      <c r="B91" s="289" t="str">
        <f>_xlfn.CONCAT("B", A91)</f>
        <v>BSPI44335</v>
      </c>
      <c r="C91" s="289" t="str">
        <v>GRL44335</v>
      </c>
      <c r="D91" s="289" t="str">
        <f t="shared" si="11"/>
        <v>RL44335</v>
      </c>
      <c r="E91" s="289" t="str">
        <f t="shared" si="12"/>
        <v>RL443356</v>
      </c>
      <c r="F91" s="289" t="str">
        <f t="shared" si="13"/>
        <v>RL</v>
      </c>
      <c r="G91" s="312">
        <f t="shared" si="14"/>
        <v>44335</v>
      </c>
      <c r="H91" s="324">
        <f>INDEX(qPCR_Managed!N$4:N$235, MATCH($E91, qPCR_Managed!$E$4:$E$235, 0), 1)</f>
        <v>113910053.0310961</v>
      </c>
      <c r="I91" s="213">
        <f>INDEX(qPCR_Managed!Q$4:Q$235, MATCH($E91, qPCR_Managed!$E$4:$E$235, 0), 1)</f>
        <v>8.056562054046335</v>
      </c>
      <c r="J91" s="325">
        <f>INDEX(qPCR_Managed!R$4:R$235, MATCH($E91, qPCR_Managed!$E$4:$E$235, 0), 1)</f>
        <v>0.23645620777629225</v>
      </c>
      <c r="K91" s="320">
        <f>INDEX(qPCR_Managed!Y$4:Y$235, MATCH($E91, qPCR_Managed!$E$4:$E$235, 0), 1)</f>
        <v>198977.36119289021</v>
      </c>
      <c r="L91" s="308">
        <f>INDEX(qPCR_Managed!AB$4:AB$235, MATCH($E91, qPCR_Managed!$E$4:$E$235, 0), 1)</f>
        <v>5.2988036670212644</v>
      </c>
      <c r="M91" s="329">
        <f>INDEX(qPCR_Managed!AC$4:AC$235, MATCH($E91, qPCR_Managed!$E$4:$E$235, 0), 1)</f>
        <v>0.12709458869450224</v>
      </c>
      <c r="N91" s="324">
        <f>INDEX(qPCR_Managed!AJ$4:AJ$235, MATCH($E91, qPCR_Managed!$E$4:$E$235, 0), 1)</f>
        <v>1622.2520365434534</v>
      </c>
      <c r="O91" s="213">
        <f>INDEX(qPCR_Managed!AM$4:AM$235, MATCH($E91, qPCR_Managed!$E$4:$E$235, 0), 1)</f>
        <v>3.2101183280359256</v>
      </c>
      <c r="P91" s="325">
        <f>INDEX(qPCR_Managed!AN$4:AN$235, MATCH($E91, qPCR_Managed!$E$4:$E$235, 0), 1)</f>
        <v>7.8271142215945305E-2</v>
      </c>
      <c r="Q91" s="336">
        <f>INDEX(qPCR_Managed!AU$4:AU$235, MATCH($E91, qPCR_Managed!$E$4:$E$235, 0), 1)</f>
        <v>772.48905540681358</v>
      </c>
      <c r="R91" s="308">
        <f>INDEX(qPCR_Managed!AX$4:AX$235, MATCH($E91, qPCR_Managed!$E$4:$E$235, 0), 1)</f>
        <v>2.8878923350740906</v>
      </c>
      <c r="S91" s="337">
        <f>INDEX(qPCR_Managed!AY$4:AY$235, MATCH($E91, qPCR_Managed!$E$4:$E$235, 0), 1)</f>
        <v>7.0897055749523721E-2</v>
      </c>
      <c r="T91" s="332">
        <f>INDEX(qPCR_Managed!BF$4:BF$235, MATCH($E91, qPCR_Managed!$E$4:$E$235, 0), 1)</f>
        <v>83.405853559573487</v>
      </c>
      <c r="U91" s="213">
        <f>INDEX(qPCR_Managed!BI$4:BI$235, MATCH($E91, qPCR_Managed!$E$4:$E$235, 0), 1)</f>
        <v>1.9211965312062447</v>
      </c>
      <c r="V91" s="214">
        <f>INDEX(qPCR_Managed!BJ$4:BJ$235, MATCH($E91, qPCR_Managed!$E$4:$E$235, 0), 1)</f>
        <v>0.43429448190325176</v>
      </c>
      <c r="W91" s="486">
        <f t="shared" si="15"/>
        <v>201455.50813840007</v>
      </c>
      <c r="X91" s="487">
        <f t="shared" si="16"/>
        <v>5.3041791462411982</v>
      </c>
      <c r="Y91" s="524" t="str" cm="1">
        <f t="array" ref="Y91">_xlfn.IFS(G91&lt;44361, "Before the burn", G91&lt;44403, "During the burn", G91&gt;44403, "After the burn")</f>
        <v>Before the burn</v>
      </c>
      <c r="Z91" s="1093" t="s">
        <v>288</v>
      </c>
    </row>
    <row r="92" spans="1:26" s="279" customFormat="1" x14ac:dyDescent="0.3">
      <c r="A92" s="286" t="str">
        <v>SPI44342</v>
      </c>
      <c r="B92" s="287" t="str">
        <f t="shared" ref="B92:B104" si="18">_xlfn.CONCAT("B", A92)</f>
        <v>BSPI44342</v>
      </c>
      <c r="C92" s="287" t="str">
        <v>GRL44342</v>
      </c>
      <c r="D92" s="287" t="str">
        <f t="shared" si="11"/>
        <v>RL44342</v>
      </c>
      <c r="E92" s="287" t="str">
        <f t="shared" si="12"/>
        <v>RL443426</v>
      </c>
      <c r="F92" s="287" t="str">
        <f t="shared" si="13"/>
        <v>RL</v>
      </c>
      <c r="G92" s="313">
        <f t="shared" si="14"/>
        <v>44342</v>
      </c>
      <c r="H92" s="324">
        <f>INDEX(qPCR_Managed!N$4:N$235, MATCH($E92, qPCR_Managed!$E$4:$E$235, 0), 1)</f>
        <v>70723139.80739139</v>
      </c>
      <c r="I92" s="213">
        <f>INDEX(qPCR_Managed!Q$4:Q$235, MATCH($E92, qPCR_Managed!$E$4:$E$235, 0), 1)</f>
        <v>7.8495615332656898</v>
      </c>
      <c r="J92" s="325">
        <f>INDEX(qPCR_Managed!R$4:R$235, MATCH($E92, qPCR_Managed!$E$4:$E$235, 0), 1)</f>
        <v>5.8419891419784258E-2</v>
      </c>
      <c r="K92" s="320">
        <f>INDEX(qPCR_Managed!Y$4:Y$235, MATCH($E92, qPCR_Managed!$E$4:$E$235, 0), 1)</f>
        <v>103087.54580483315</v>
      </c>
      <c r="L92" s="308">
        <f>INDEX(qPCR_Managed!AB$4:AB$235, MATCH($E92, qPCR_Managed!$E$4:$E$235, 0), 1)</f>
        <v>5.0132062005410614</v>
      </c>
      <c r="M92" s="329">
        <f>INDEX(qPCR_Managed!AC$4:AC$235, MATCH($E92, qPCR_Managed!$E$4:$E$235, 0), 1)</f>
        <v>3.5812018699240653E-2</v>
      </c>
      <c r="N92" s="324">
        <f>INDEX(qPCR_Managed!AJ$4:AJ$235, MATCH($E92, qPCR_Managed!$E$4:$E$235, 0), 1)</f>
        <v>1077.9828809014111</v>
      </c>
      <c r="O92" s="213">
        <f>INDEX(qPCR_Managed!AM$4:AM$235, MATCH($E92, qPCR_Managed!$E$4:$E$235, 0), 1)</f>
        <v>3.0326118640148327</v>
      </c>
      <c r="P92" s="325">
        <f>INDEX(qPCR_Managed!AN$4:AN$235, MATCH($E92, qPCR_Managed!$E$4:$E$235, 0), 1)</f>
        <v>0.12944281257362644</v>
      </c>
      <c r="Q92" s="336">
        <f>INDEX(qPCR_Managed!AU$4:AU$235, MATCH($E92, qPCR_Managed!$E$4:$E$235, 0), 1)</f>
        <v>420.06662714551067</v>
      </c>
      <c r="R92" s="308">
        <f>INDEX(qPCR_Managed!AX$4:AX$235, MATCH($E92, qPCR_Managed!$E$4:$E$235, 0), 1)</f>
        <v>2.6233181796996914</v>
      </c>
      <c r="S92" s="337">
        <f>INDEX(qPCR_Managed!AY$4:AY$235, MATCH($E92, qPCR_Managed!$E$4:$E$235, 0), 1)</f>
        <v>0.43429448190325176</v>
      </c>
      <c r="T92" s="332">
        <f>INDEX(qPCR_Managed!BF$4:BF$235, MATCH($E92, qPCR_Managed!$E$4:$E$235, 0), 1)</f>
        <v>124.6290876154314</v>
      </c>
      <c r="U92" s="213">
        <f>INDEX(qPCR_Managed!BI$4:BI$235, MATCH($E92, qPCR_Managed!$E$4:$E$235, 0), 1)</f>
        <v>2.095619415650412</v>
      </c>
      <c r="V92" s="214">
        <f>INDEX(qPCR_Managed!BJ$4:BJ$235, MATCH($E92, qPCR_Managed!$E$4:$E$235, 0), 1)</f>
        <v>0.43429448190325176</v>
      </c>
      <c r="W92" s="482">
        <f t="shared" si="15"/>
        <v>104710.22440049551</v>
      </c>
      <c r="X92" s="483">
        <f t="shared" si="16"/>
        <v>5.0199890903122526</v>
      </c>
      <c r="Y92" s="522" t="str" cm="1">
        <f t="array" ref="Y92">_xlfn.IFS(G92&lt;44361, "Before the burn", G92&lt;44403, "During the burn", G92&gt;44403, "After the burn")</f>
        <v>Before the burn</v>
      </c>
      <c r="Z92" s="1091" t="s">
        <v>288</v>
      </c>
    </row>
    <row r="93" spans="1:26" s="279" customFormat="1" x14ac:dyDescent="0.3">
      <c r="A93" s="286" t="str">
        <v>SPI44350</v>
      </c>
      <c r="B93" s="287" t="str">
        <f t="shared" si="18"/>
        <v>BSPI44350</v>
      </c>
      <c r="C93" s="287" t="str">
        <v>GRL44350</v>
      </c>
      <c r="D93" s="287" t="str">
        <f t="shared" si="11"/>
        <v>RL44350</v>
      </c>
      <c r="E93" s="287" t="str">
        <f t="shared" si="12"/>
        <v>RL443506</v>
      </c>
      <c r="F93" s="287" t="str">
        <f t="shared" si="13"/>
        <v>RL</v>
      </c>
      <c r="G93" s="313">
        <f t="shared" si="14"/>
        <v>44350</v>
      </c>
      <c r="H93" s="324">
        <f>INDEX(qPCR_Managed!N$4:N$235, MATCH($E93, qPCR_Managed!$E$4:$E$235, 0), 1)</f>
        <v>57258145.097091109</v>
      </c>
      <c r="I93" s="213">
        <f>INDEX(qPCR_Managed!Q$4:Q$235, MATCH($E93, qPCR_Managed!$E$4:$E$235, 0), 1)</f>
        <v>7.7578372747518367</v>
      </c>
      <c r="J93" s="325">
        <f>INDEX(qPCR_Managed!R$4:R$235, MATCH($E93, qPCR_Managed!$E$4:$E$235, 0), 1)</f>
        <v>1.3642992671606957E-2</v>
      </c>
      <c r="K93" s="320">
        <f>INDEX(qPCR_Managed!Y$4:Y$235, MATCH($E93, qPCR_Managed!$E$4:$E$235, 0), 1)</f>
        <v>271746.11918131512</v>
      </c>
      <c r="L93" s="308">
        <f>INDEX(qPCR_Managed!AB$4:AB$235, MATCH($E93, qPCR_Managed!$E$4:$E$235, 0), 1)</f>
        <v>5.4341633506233746</v>
      </c>
      <c r="M93" s="329">
        <f>INDEX(qPCR_Managed!AC$4:AC$235, MATCH($E93, qPCR_Managed!$E$4:$E$235, 0), 1)</f>
        <v>0.3644308263511829</v>
      </c>
      <c r="N93" s="324">
        <f>INDEX(qPCR_Managed!AJ$4:AJ$235, MATCH($E93, qPCR_Managed!$E$4:$E$235, 0), 1)</f>
        <v>274.00694953070746</v>
      </c>
      <c r="O93" s="213">
        <f>INDEX(qPCR_Managed!AM$4:AM$235, MATCH($E93, qPCR_Managed!$E$4:$E$235, 0), 1)</f>
        <v>2.4377615778005475</v>
      </c>
      <c r="P93" s="325">
        <f>INDEX(qPCR_Managed!AN$4:AN$235, MATCH($E93, qPCR_Managed!$E$4:$E$235, 0), 1)</f>
        <v>0.43429448190325176</v>
      </c>
      <c r="Q93" s="336">
        <f>INDEX(qPCR_Managed!AU$4:AU$235, MATCH($E93, qPCR_Managed!$E$4:$E$235, 0), 1)</f>
        <v>0</v>
      </c>
      <c r="R93" s="308">
        <f>INDEX(qPCR_Managed!AX$4:AX$235, MATCH($E93, qPCR_Managed!$E$4:$E$235, 0), 1)</f>
        <v>0</v>
      </c>
      <c r="S93" s="337">
        <f>INDEX(qPCR_Managed!AY$4:AY$235, MATCH($E93, qPCR_Managed!$E$4:$E$235, 0), 1)</f>
        <v>0</v>
      </c>
      <c r="T93" s="332">
        <f>INDEX(qPCR_Managed!BF$4:BF$235, MATCH($E93, qPCR_Managed!$E$4:$E$235, 0), 1)</f>
        <v>0</v>
      </c>
      <c r="U93" s="213">
        <f>INDEX(qPCR_Managed!BI$4:BI$235, MATCH($E93, qPCR_Managed!$E$4:$E$235, 0), 1)</f>
        <v>0</v>
      </c>
      <c r="V93" s="214">
        <f>INDEX(qPCR_Managed!BJ$4:BJ$235, MATCH($E93, qPCR_Managed!$E$4:$E$235, 0), 1)</f>
        <v>0</v>
      </c>
      <c r="W93" s="482">
        <f t="shared" si="15"/>
        <v>272020.12613084581</v>
      </c>
      <c r="X93" s="483">
        <f t="shared" si="16"/>
        <v>5.4346010376526168</v>
      </c>
      <c r="Y93" s="522" t="str" cm="1">
        <f t="array" ref="Y93">_xlfn.IFS(G93&lt;44361, "Before the burn", G93&lt;44403, "During the burn", G93&gt;44403, "After the burn")</f>
        <v>Before the burn</v>
      </c>
      <c r="Z93" s="1091" t="s">
        <v>288</v>
      </c>
    </row>
    <row r="94" spans="1:26" s="279" customFormat="1" x14ac:dyDescent="0.3">
      <c r="A94" s="286" t="str">
        <v>SPI44356</v>
      </c>
      <c r="B94" s="287" t="str">
        <f t="shared" si="18"/>
        <v>BSPI44356</v>
      </c>
      <c r="C94" s="287" t="str">
        <v>GRL44356</v>
      </c>
      <c r="D94" s="287" t="str">
        <f t="shared" si="11"/>
        <v>RL44356</v>
      </c>
      <c r="E94" s="287" t="str">
        <f t="shared" si="12"/>
        <v>RL443566</v>
      </c>
      <c r="F94" s="287" t="str">
        <f t="shared" si="13"/>
        <v>RL</v>
      </c>
      <c r="G94" s="313">
        <f t="shared" si="14"/>
        <v>44356</v>
      </c>
      <c r="H94" s="324">
        <f>INDEX(qPCR_Managed!N$4:N$235, MATCH($E94, qPCR_Managed!$E$4:$E$235, 0), 1)</f>
        <v>3470117062.895443</v>
      </c>
      <c r="I94" s="213">
        <f>INDEX(qPCR_Managed!Q$4:Q$235, MATCH($E94, qPCR_Managed!$E$4:$E$235, 0), 1)</f>
        <v>9.5403441257741548</v>
      </c>
      <c r="J94" s="325">
        <f>INDEX(qPCR_Managed!R$4:R$235, MATCH($E94, qPCR_Managed!$E$4:$E$235, 0), 1)</f>
        <v>0.33708525480077117</v>
      </c>
      <c r="K94" s="320">
        <f>INDEX(qPCR_Managed!Y$4:Y$235, MATCH($E94, qPCR_Managed!$E$4:$E$235, 0), 1)</f>
        <v>46046.018664583615</v>
      </c>
      <c r="L94" s="308">
        <f>INDEX(qPCR_Managed!AB$4:AB$235, MATCH($E94, qPCR_Managed!$E$4:$E$235, 0), 1)</f>
        <v>4.6631920852005928</v>
      </c>
      <c r="M94" s="329">
        <f>INDEX(qPCR_Managed!AC$4:AC$235, MATCH($E94, qPCR_Managed!$E$4:$E$235, 0), 1)</f>
        <v>0.15678079984202778</v>
      </c>
      <c r="N94" s="324">
        <f>INDEX(qPCR_Managed!AJ$4:AJ$235, MATCH($E94, qPCR_Managed!$E$4:$E$235, 0), 1)</f>
        <v>1444.3270420611361</v>
      </c>
      <c r="O94" s="213">
        <f>INDEX(qPCR_Managed!AM$4:AM$235, MATCH($E94, qPCR_Managed!$E$4:$E$235, 0), 1)</f>
        <v>3.1596655425971378</v>
      </c>
      <c r="P94" s="325">
        <f>INDEX(qPCR_Managed!AN$4:AN$235, MATCH($E94, qPCR_Managed!$E$4:$E$235, 0), 1)</f>
        <v>6.4515934514715245E-3</v>
      </c>
      <c r="Q94" s="336">
        <f>INDEX(qPCR_Managed!AU$4:AU$235, MATCH($E94, qPCR_Managed!$E$4:$E$235, 0), 1)</f>
        <v>13221.508710708174</v>
      </c>
      <c r="R94" s="308">
        <f>INDEX(qPCR_Managed!AX$4:AX$235, MATCH($E94, qPCR_Managed!$E$4:$E$235, 0), 1)</f>
        <v>4.1212810154635378</v>
      </c>
      <c r="S94" s="337">
        <f>INDEX(qPCR_Managed!AY$4:AY$235, MATCH($E94, qPCR_Managed!$E$4:$E$235, 0), 1)</f>
        <v>0.12749209934592101</v>
      </c>
      <c r="T94" s="332">
        <f>INDEX(qPCR_Managed!BF$4:BF$235, MATCH($E94, qPCR_Managed!$E$4:$E$235, 0), 1)</f>
        <v>748.7501888625668</v>
      </c>
      <c r="U94" s="213">
        <f>INDEX(qPCR_Managed!BI$4:BI$235, MATCH($E94, qPCR_Managed!$E$4:$E$235, 0), 1)</f>
        <v>2.8743369449425566</v>
      </c>
      <c r="V94" s="214">
        <f>INDEX(qPCR_Managed!BJ$4:BJ$235, MATCH($E94, qPCR_Managed!$E$4:$E$235, 0), 1)</f>
        <v>0.29007232868549881</v>
      </c>
      <c r="W94" s="482">
        <f t="shared" si="15"/>
        <v>61460.604606215493</v>
      </c>
      <c r="X94" s="483">
        <f t="shared" si="16"/>
        <v>4.7885968282251365</v>
      </c>
      <c r="Y94" s="522" t="str" cm="1">
        <f t="array" ref="Y94">_xlfn.IFS(G94&lt;44361, "Before the burn", G94&lt;44403, "During the burn", G94&gt;44403, "After the burn")</f>
        <v>Before the burn</v>
      </c>
      <c r="Z94" s="1091" t="s">
        <v>288</v>
      </c>
    </row>
    <row r="95" spans="1:26" s="279" customFormat="1" x14ac:dyDescent="0.3">
      <c r="A95" s="286" t="str">
        <v>SPI44370</v>
      </c>
      <c r="B95" s="287" t="str">
        <f t="shared" si="18"/>
        <v>BSPI44370</v>
      </c>
      <c r="C95" s="287" t="str">
        <v>GRL44363</v>
      </c>
      <c r="D95" s="287" t="str">
        <f t="shared" si="11"/>
        <v>RL44363</v>
      </c>
      <c r="E95" s="287" t="str">
        <f t="shared" si="12"/>
        <v>RL443636</v>
      </c>
      <c r="F95" s="287" t="str">
        <f t="shared" si="13"/>
        <v>RL</v>
      </c>
      <c r="G95" s="313">
        <f t="shared" si="14"/>
        <v>44363</v>
      </c>
      <c r="H95" s="324">
        <f>INDEX(qPCR_Managed!N$4:N$235, MATCH($E95, qPCR_Managed!$E$4:$E$235, 0), 1)</f>
        <v>1238588096.8042445</v>
      </c>
      <c r="I95" s="213">
        <f>INDEX(qPCR_Managed!Q$4:Q$235, MATCH($E95, qPCR_Managed!$E$4:$E$235, 0), 1)</f>
        <v>9.0929269019959538</v>
      </c>
      <c r="J95" s="325">
        <f>INDEX(qPCR_Managed!R$4:R$235, MATCH($E95, qPCR_Managed!$E$4:$E$235, 0), 1)</f>
        <v>3.0183812791709355E-2</v>
      </c>
      <c r="K95" s="320">
        <f>INDEX(qPCR_Managed!Y$4:Y$235, MATCH($E95, qPCR_Managed!$E$4:$E$235, 0), 1)</f>
        <v>0</v>
      </c>
      <c r="L95" s="308">
        <f>INDEX(qPCR_Managed!AB$4:AB$235, MATCH($E95, qPCR_Managed!$E$4:$E$235, 0), 1)</f>
        <v>0</v>
      </c>
      <c r="M95" s="329">
        <f>INDEX(qPCR_Managed!AC$4:AC$235, MATCH($E95, qPCR_Managed!$E$4:$E$235, 0), 1)</f>
        <v>0</v>
      </c>
      <c r="N95" s="324">
        <f>INDEX(qPCR_Managed!AJ$4:AJ$235, MATCH($E95, qPCR_Managed!$E$4:$E$235, 0), 1)</f>
        <v>0</v>
      </c>
      <c r="O95" s="213">
        <f>INDEX(qPCR_Managed!AM$4:AM$235, MATCH($E95, qPCR_Managed!$E$4:$E$235, 0), 1)</f>
        <v>0</v>
      </c>
      <c r="P95" s="325">
        <f>INDEX(qPCR_Managed!AN$4:AN$235, MATCH($E95, qPCR_Managed!$E$4:$E$235, 0), 1)</f>
        <v>0</v>
      </c>
      <c r="Q95" s="336">
        <f>INDEX(qPCR_Managed!AU$4:AU$235, MATCH($E95, qPCR_Managed!$E$4:$E$235, 0), 1)</f>
        <v>0</v>
      </c>
      <c r="R95" s="308">
        <f>INDEX(qPCR_Managed!AX$4:AX$235, MATCH($E95, qPCR_Managed!$E$4:$E$235, 0), 1)</f>
        <v>0</v>
      </c>
      <c r="S95" s="337">
        <f>INDEX(qPCR_Managed!AY$4:AY$235, MATCH($E95, qPCR_Managed!$E$4:$E$235, 0), 1)</f>
        <v>0</v>
      </c>
      <c r="T95" s="332">
        <f>INDEX(qPCR_Managed!BF$4:BF$235, MATCH($E95, qPCR_Managed!$E$4:$E$235, 0), 1)</f>
        <v>58.599966764450073</v>
      </c>
      <c r="U95" s="213">
        <f>INDEX(qPCR_Managed!BI$4:BI$235, MATCH($E95, qPCR_Managed!$E$4:$E$235, 0), 1)</f>
        <v>1.7678973697037557</v>
      </c>
      <c r="V95" s="214">
        <f>INDEX(qPCR_Managed!BJ$4:BJ$235, MATCH($E95, qPCR_Managed!$E$4:$E$235, 0), 1)</f>
        <v>0.43429448190325176</v>
      </c>
      <c r="W95" s="482">
        <f t="shared" si="15"/>
        <v>58.599966764450073</v>
      </c>
      <c r="X95" s="483">
        <f t="shared" si="16"/>
        <v>1.7678973697037557</v>
      </c>
      <c r="Y95" s="522" t="str" cm="1">
        <f t="array" ref="Y95">_xlfn.IFS(G95&lt;44361, "Before the burn", G95&lt;44403, "During the burn", G95&gt;44403, "After the burn")</f>
        <v>During the burn</v>
      </c>
      <c r="Z95" s="1091" t="s">
        <v>288</v>
      </c>
    </row>
    <row r="96" spans="1:26" s="279" customFormat="1" x14ac:dyDescent="0.3">
      <c r="A96" s="286" t="str">
        <v>SPI44377</v>
      </c>
      <c r="B96" s="287" t="str">
        <f t="shared" si="18"/>
        <v>BSPI44377</v>
      </c>
      <c r="C96" s="287" t="str">
        <v>GRL44370</v>
      </c>
      <c r="D96" s="287" t="str">
        <f t="shared" si="11"/>
        <v>RL44370</v>
      </c>
      <c r="E96" s="287" t="str">
        <f t="shared" si="12"/>
        <v>RL443706</v>
      </c>
      <c r="F96" s="287" t="str">
        <f t="shared" si="13"/>
        <v>RL</v>
      </c>
      <c r="G96" s="313">
        <f t="shared" si="14"/>
        <v>44370</v>
      </c>
      <c r="H96" s="324">
        <f>INDEX(qPCR_Managed!N$4:N$235, MATCH($E96, qPCR_Managed!$E$4:$E$235, 0), 1)</f>
        <v>298887823.46990538</v>
      </c>
      <c r="I96" s="213">
        <f>INDEX(qPCR_Managed!Q$4:Q$235, MATCH($E96, qPCR_Managed!$E$4:$E$235, 0), 1)</f>
        <v>8.4755082224747227</v>
      </c>
      <c r="J96" s="325">
        <f>INDEX(qPCR_Managed!R$4:R$235, MATCH($E96, qPCR_Managed!$E$4:$E$235, 0), 1)</f>
        <v>8.8533097152047758E-3</v>
      </c>
      <c r="K96" s="320">
        <f>INDEX(qPCR_Managed!Y$4:Y$235, MATCH($E96, qPCR_Managed!$E$4:$E$235, 0), 1)</f>
        <v>0</v>
      </c>
      <c r="L96" s="308">
        <f>INDEX(qPCR_Managed!AB$4:AB$235, MATCH($E96, qPCR_Managed!$E$4:$E$235, 0), 1)</f>
        <v>0</v>
      </c>
      <c r="M96" s="329">
        <f>INDEX(qPCR_Managed!AC$4:AC$235, MATCH($E96, qPCR_Managed!$E$4:$E$235, 0), 1)</f>
        <v>0</v>
      </c>
      <c r="N96" s="324">
        <f>INDEX(qPCR_Managed!AJ$4:AJ$235, MATCH($E96, qPCR_Managed!$E$4:$E$235, 0), 1)</f>
        <v>245918.54102554324</v>
      </c>
      <c r="O96" s="213">
        <f>INDEX(qPCR_Managed!AM$4:AM$235, MATCH($E96, qPCR_Managed!$E$4:$E$235, 0), 1)</f>
        <v>5.3907912736005485</v>
      </c>
      <c r="P96" s="325">
        <f>INDEX(qPCR_Managed!AN$4:AN$235, MATCH($E96, qPCR_Managed!$E$4:$E$235, 0), 1)</f>
        <v>0.43406397951280501</v>
      </c>
      <c r="Q96" s="336">
        <f>INDEX(qPCR_Managed!AU$4:AU$235, MATCH($E96, qPCR_Managed!$E$4:$E$235, 0), 1)</f>
        <v>0</v>
      </c>
      <c r="R96" s="308">
        <f>INDEX(qPCR_Managed!AX$4:AX$235, MATCH($E96, qPCR_Managed!$E$4:$E$235, 0), 1)</f>
        <v>0</v>
      </c>
      <c r="S96" s="337">
        <f>INDEX(qPCR_Managed!AY$4:AY$235, MATCH($E96, qPCR_Managed!$E$4:$E$235, 0), 1)</f>
        <v>0</v>
      </c>
      <c r="T96" s="332">
        <f>INDEX(qPCR_Managed!BF$4:BF$235, MATCH($E96, qPCR_Managed!$E$4:$E$235, 0), 1)</f>
        <v>928.49617641694795</v>
      </c>
      <c r="U96" s="213">
        <f>INDEX(qPCR_Managed!BI$4:BI$235, MATCH($E96, qPCR_Managed!$E$4:$E$235, 0), 1)</f>
        <v>2.9677801196380611</v>
      </c>
      <c r="V96" s="214">
        <f>INDEX(qPCR_Managed!BJ$4:BJ$235, MATCH($E96, qPCR_Managed!$E$4:$E$235, 0), 1)</f>
        <v>0.43429448190325176</v>
      </c>
      <c r="W96" s="482">
        <f t="shared" si="15"/>
        <v>246847.03720196019</v>
      </c>
      <c r="X96" s="483">
        <f t="shared" si="16"/>
        <v>5.392427918938326</v>
      </c>
      <c r="Y96" s="522" t="str" cm="1">
        <f t="array" ref="Y96">_xlfn.IFS(G96&lt;44361, "Before the burn", G96&lt;44403, "During the burn", G96&gt;44403, "After the burn")</f>
        <v>During the burn</v>
      </c>
      <c r="Z96" s="1091" t="s">
        <v>288</v>
      </c>
    </row>
    <row r="97" spans="1:26" s="279" customFormat="1" x14ac:dyDescent="0.3">
      <c r="A97" s="286" t="str">
        <v>SPI44385</v>
      </c>
      <c r="B97" s="287" t="str">
        <f t="shared" si="18"/>
        <v>BSPI44385</v>
      </c>
      <c r="C97" s="287" t="str">
        <v>GRL44385</v>
      </c>
      <c r="D97" s="287" t="str">
        <f t="shared" si="11"/>
        <v>RL44385</v>
      </c>
      <c r="E97" s="287" t="str">
        <f t="shared" si="12"/>
        <v>RL443856</v>
      </c>
      <c r="F97" s="287" t="str">
        <f t="shared" si="13"/>
        <v>RL</v>
      </c>
      <c r="G97" s="313">
        <f t="shared" si="14"/>
        <v>44385</v>
      </c>
      <c r="H97" s="324">
        <f>INDEX(qPCR_Managed!N$4:N$235, MATCH($E97, qPCR_Managed!$E$4:$E$235, 0), 1)</f>
        <v>27416233.737069584</v>
      </c>
      <c r="I97" s="213">
        <f>INDEX(qPCR_Managed!Q$4:Q$235, MATCH($E97, qPCR_Managed!$E$4:$E$235, 0), 1)</f>
        <v>7.4380077940147062</v>
      </c>
      <c r="J97" s="325">
        <f>INDEX(qPCR_Managed!R$4:R$235, MATCH($E97, qPCR_Managed!$E$4:$E$235, 0), 1)</f>
        <v>0.11418969457862084</v>
      </c>
      <c r="K97" s="320">
        <f>INDEX(qPCR_Managed!Y$4:Y$235, MATCH($E97, qPCR_Managed!$E$4:$E$235, 0), 1)</f>
        <v>2020.580596394009</v>
      </c>
      <c r="L97" s="308">
        <f>INDEX(qPCR_Managed!AB$4:AB$235, MATCH($E97, qPCR_Managed!$E$4:$E$235, 0), 1)</f>
        <v>3.305476178149656</v>
      </c>
      <c r="M97" s="329">
        <f>INDEX(qPCR_Managed!AC$4:AC$235, MATCH($E97, qPCR_Managed!$E$4:$E$235, 0), 1)</f>
        <v>2.210494229572459E-2</v>
      </c>
      <c r="N97" s="324">
        <f>INDEX(qPCR_Managed!AJ$4:AJ$235, MATCH($E97, qPCR_Managed!$E$4:$E$235, 0), 1)</f>
        <v>0</v>
      </c>
      <c r="O97" s="213">
        <f>INDEX(qPCR_Managed!AM$4:AM$235, MATCH($E97, qPCR_Managed!$E$4:$E$235, 0), 1)</f>
        <v>0</v>
      </c>
      <c r="P97" s="325">
        <f>INDEX(qPCR_Managed!AN$4:AN$235, MATCH($E97, qPCR_Managed!$E$4:$E$235, 0), 1)</f>
        <v>0</v>
      </c>
      <c r="Q97" s="336">
        <f>INDEX(qPCR_Managed!AU$4:AU$235, MATCH($E97, qPCR_Managed!$E$4:$E$235, 0), 1)</f>
        <v>0</v>
      </c>
      <c r="R97" s="308">
        <f>INDEX(qPCR_Managed!AX$4:AX$235, MATCH($E97, qPCR_Managed!$E$4:$E$235, 0), 1)</f>
        <v>0</v>
      </c>
      <c r="S97" s="337">
        <f>INDEX(qPCR_Managed!AY$4:AY$235, MATCH($E97, qPCR_Managed!$E$4:$E$235, 0), 1)</f>
        <v>0</v>
      </c>
      <c r="T97" s="332">
        <f>INDEX(qPCR_Managed!BF$4:BF$235, MATCH($E97, qPCR_Managed!$E$4:$E$235, 0), 1)</f>
        <v>0</v>
      </c>
      <c r="U97" s="213">
        <f>INDEX(qPCR_Managed!BI$4:BI$235, MATCH($E97, qPCR_Managed!$E$4:$E$235, 0), 1)</f>
        <v>0</v>
      </c>
      <c r="V97" s="214">
        <f>INDEX(qPCR_Managed!BJ$4:BJ$235, MATCH($E97, qPCR_Managed!$E$4:$E$235, 0), 1)</f>
        <v>0</v>
      </c>
      <c r="W97" s="482">
        <f t="shared" si="15"/>
        <v>2020.580596394009</v>
      </c>
      <c r="X97" s="483">
        <f t="shared" si="16"/>
        <v>3.305476178149656</v>
      </c>
      <c r="Y97" s="522" t="str" cm="1">
        <f t="array" ref="Y97">_xlfn.IFS(G97&lt;44361, "Before the burn", G97&lt;44403, "During the burn", G97&gt;44403, "After the burn")</f>
        <v>During the burn</v>
      </c>
      <c r="Z97" s="1091" t="s">
        <v>288</v>
      </c>
    </row>
    <row r="98" spans="1:26" s="279" customFormat="1" x14ac:dyDescent="0.3">
      <c r="A98" s="286" t="str">
        <v>SPI44391</v>
      </c>
      <c r="B98" s="287" t="str">
        <f t="shared" si="18"/>
        <v>BSPI44391</v>
      </c>
      <c r="C98" s="287" t="str">
        <v>GRL44391</v>
      </c>
      <c r="D98" s="287" t="str">
        <f t="shared" si="11"/>
        <v>RL44391</v>
      </c>
      <c r="E98" s="287" t="str">
        <f t="shared" si="12"/>
        <v>RL443916</v>
      </c>
      <c r="F98" s="287" t="str">
        <f t="shared" si="13"/>
        <v>RL</v>
      </c>
      <c r="G98" s="313">
        <f t="shared" si="14"/>
        <v>44391</v>
      </c>
      <c r="H98" s="324">
        <f>INDEX(qPCR_Managed!N$4:N$235, MATCH($E98, qPCR_Managed!$E$4:$E$235, 0), 1)</f>
        <v>415370905.20958984</v>
      </c>
      <c r="I98" s="213">
        <f>INDEX(qPCR_Managed!Q$4:Q$235, MATCH($E98, qPCR_Managed!$E$4:$E$235, 0), 1)</f>
        <v>8.618436072965924</v>
      </c>
      <c r="J98" s="325">
        <f>INDEX(qPCR_Managed!R$4:R$235, MATCH($E98, qPCR_Managed!$E$4:$E$235, 0), 1)</f>
        <v>0.39921275511407123</v>
      </c>
      <c r="K98" s="320">
        <f>INDEX(qPCR_Managed!Y$4:Y$235, MATCH($E98, qPCR_Managed!$E$4:$E$235, 0), 1)</f>
        <v>235.07587114969888</v>
      </c>
      <c r="L98" s="308">
        <f>INDEX(qPCR_Managed!AB$4:AB$235, MATCH($E98, qPCR_Managed!$E$4:$E$235, 0), 1)</f>
        <v>2.371208054202266</v>
      </c>
      <c r="M98" s="329">
        <f>INDEX(qPCR_Managed!AC$4:AC$235, MATCH($E98, qPCR_Managed!$E$4:$E$235, 0), 1)</f>
        <v>0.43429448190325176</v>
      </c>
      <c r="N98" s="324">
        <f>INDEX(qPCR_Managed!AJ$4:AJ$235, MATCH($E98, qPCR_Managed!$E$4:$E$235, 0), 1)</f>
        <v>243.03815099928113</v>
      </c>
      <c r="O98" s="213">
        <f>INDEX(qPCR_Managed!AM$4:AM$235, MATCH($E98, qPCR_Managed!$E$4:$E$235, 0), 1)</f>
        <v>2.3856744524787841</v>
      </c>
      <c r="P98" s="325">
        <f>INDEX(qPCR_Managed!AN$4:AN$235, MATCH($E98, qPCR_Managed!$E$4:$E$235, 0), 1)</f>
        <v>0.43429448190325176</v>
      </c>
      <c r="Q98" s="336">
        <f>INDEX(qPCR_Managed!AU$4:AU$235, MATCH($E98, qPCR_Managed!$E$4:$E$235, 0), 1)</f>
        <v>913144.19058866287</v>
      </c>
      <c r="R98" s="308">
        <f>INDEX(qPCR_Managed!AX$4:AX$235, MATCH($E98, qPCR_Managed!$E$4:$E$235, 0), 1)</f>
        <v>5.9605393604835006</v>
      </c>
      <c r="S98" s="337">
        <f>INDEX(qPCR_Managed!AY$4:AY$235, MATCH($E98, qPCR_Managed!$E$4:$E$235, 0), 1)</f>
        <v>0.43429448190325176</v>
      </c>
      <c r="T98" s="332">
        <f>INDEX(qPCR_Managed!BF$4:BF$235, MATCH($E98, qPCR_Managed!$E$4:$E$235, 0), 1)</f>
        <v>2794.779455939004</v>
      </c>
      <c r="U98" s="213">
        <f>INDEX(qPCR_Managed!BI$4:BI$235, MATCH($E98, qPCR_Managed!$E$4:$E$235, 0), 1)</f>
        <v>3.4463475421516776</v>
      </c>
      <c r="V98" s="214">
        <f>INDEX(qPCR_Managed!BJ$4:BJ$235, MATCH($E98, qPCR_Managed!$E$4:$E$235, 0), 1)</f>
        <v>0.43429448190325176</v>
      </c>
      <c r="W98" s="482">
        <f t="shared" si="15"/>
        <v>916417.08406675083</v>
      </c>
      <c r="X98" s="483">
        <f t="shared" si="16"/>
        <v>5.962093176814566</v>
      </c>
      <c r="Y98" s="522" t="str" cm="1">
        <f t="array" ref="Y98">_xlfn.IFS(G98&lt;44361, "Before the burn", G98&lt;44403, "During the burn", G98&gt;44403, "After the burn")</f>
        <v>During the burn</v>
      </c>
      <c r="Z98" s="1091" t="s">
        <v>288</v>
      </c>
    </row>
    <row r="99" spans="1:26" s="279" customFormat="1" x14ac:dyDescent="0.3">
      <c r="A99" s="286" t="str">
        <v>SPI44398</v>
      </c>
      <c r="B99" s="287" t="str">
        <f t="shared" si="18"/>
        <v>BSPI44398</v>
      </c>
      <c r="C99" s="287" t="str">
        <v>GRL44398</v>
      </c>
      <c r="D99" s="287" t="str">
        <f t="shared" si="11"/>
        <v>RL44398</v>
      </c>
      <c r="E99" s="287" t="str">
        <f t="shared" si="12"/>
        <v>RL443986</v>
      </c>
      <c r="F99" s="287" t="str">
        <f t="shared" si="13"/>
        <v>RL</v>
      </c>
      <c r="G99" s="313">
        <f t="shared" si="14"/>
        <v>44398</v>
      </c>
      <c r="H99" s="324">
        <f>INDEX(qPCR_Managed!N$4:N$235, MATCH($E99, qPCR_Managed!$E$4:$E$235, 0), 1)</f>
        <v>76195180.57230632</v>
      </c>
      <c r="I99" s="213">
        <f>INDEX(qPCR_Managed!Q$4:Q$235, MATCH($E99, qPCR_Managed!$E$4:$E$235, 0), 1)</f>
        <v>7.8819275026119655</v>
      </c>
      <c r="J99" s="325">
        <f>INDEX(qPCR_Managed!R$4:R$235, MATCH($E99, qPCR_Managed!$E$4:$E$235, 0), 1)</f>
        <v>0.43429448190325176</v>
      </c>
      <c r="K99" s="320">
        <f>INDEX(qPCR_Managed!Y$4:Y$235, MATCH($E99, qPCR_Managed!$E$4:$E$235, 0), 1)</f>
        <v>252.9397249221802</v>
      </c>
      <c r="L99" s="308">
        <f>INDEX(qPCR_Managed!AB$4:AB$235, MATCH($E99, qPCR_Managed!$E$4:$E$235, 0), 1)</f>
        <v>2.4030170419172112</v>
      </c>
      <c r="M99" s="329">
        <f>INDEX(qPCR_Managed!AC$4:AC$235, MATCH($E99, qPCR_Managed!$E$4:$E$235, 0), 1)</f>
        <v>0.43429448190325176</v>
      </c>
      <c r="N99" s="324">
        <f>INDEX(qPCR_Managed!AJ$4:AJ$235, MATCH($E99, qPCR_Managed!$E$4:$E$235, 0), 1)</f>
        <v>0</v>
      </c>
      <c r="O99" s="213">
        <f>INDEX(qPCR_Managed!AM$4:AM$235, MATCH($E99, qPCR_Managed!$E$4:$E$235, 0), 1)</f>
        <v>0</v>
      </c>
      <c r="P99" s="325">
        <f>INDEX(qPCR_Managed!AN$4:AN$235, MATCH($E99, qPCR_Managed!$E$4:$E$235, 0), 1)</f>
        <v>0</v>
      </c>
      <c r="Q99" s="336">
        <f>INDEX(qPCR_Managed!AU$4:AU$235, MATCH($E99, qPCR_Managed!$E$4:$E$235, 0), 1)</f>
        <v>0</v>
      </c>
      <c r="R99" s="308">
        <f>INDEX(qPCR_Managed!AX$4:AX$235, MATCH($E99, qPCR_Managed!$E$4:$E$235, 0), 1)</f>
        <v>0</v>
      </c>
      <c r="S99" s="337">
        <f>INDEX(qPCR_Managed!AY$4:AY$235, MATCH($E99, qPCR_Managed!$E$4:$E$235, 0), 1)</f>
        <v>0</v>
      </c>
      <c r="T99" s="332">
        <f>INDEX(qPCR_Managed!BF$4:BF$235, MATCH($E99, qPCR_Managed!$E$4:$E$235, 0), 1)</f>
        <v>0</v>
      </c>
      <c r="U99" s="213">
        <f>INDEX(qPCR_Managed!BI$4:BI$235, MATCH($E99, qPCR_Managed!$E$4:$E$235, 0), 1)</f>
        <v>0</v>
      </c>
      <c r="V99" s="214">
        <f>INDEX(qPCR_Managed!BJ$4:BJ$235, MATCH($E99, qPCR_Managed!$E$4:$E$235, 0), 1)</f>
        <v>0</v>
      </c>
      <c r="W99" s="482">
        <f t="shared" si="15"/>
        <v>252.9397249221802</v>
      </c>
      <c r="X99" s="483">
        <f t="shared" si="16"/>
        <v>2.4030170419172112</v>
      </c>
      <c r="Y99" s="522" t="str" cm="1">
        <f t="array" ref="Y99">_xlfn.IFS(G99&lt;44361, "Before the burn", G99&lt;44403, "During the burn", G99&gt;44403, "After the burn")</f>
        <v>During the burn</v>
      </c>
      <c r="Z99" s="1091" t="s">
        <v>288</v>
      </c>
    </row>
    <row r="100" spans="1:26" s="279" customFormat="1" x14ac:dyDescent="0.3">
      <c r="A100" s="286" t="str">
        <v>SPI44405</v>
      </c>
      <c r="B100" s="287" t="str">
        <f t="shared" si="18"/>
        <v>BSPI44405</v>
      </c>
      <c r="C100" s="287" t="str">
        <v>GRL44405</v>
      </c>
      <c r="D100" s="287" t="str">
        <f t="shared" si="11"/>
        <v>RL44405</v>
      </c>
      <c r="E100" s="287" t="str">
        <f t="shared" si="12"/>
        <v>RL444056</v>
      </c>
      <c r="F100" s="287" t="str">
        <f t="shared" si="13"/>
        <v>RL</v>
      </c>
      <c r="G100" s="313">
        <f t="shared" si="14"/>
        <v>44405</v>
      </c>
      <c r="H100" s="324">
        <f>INDEX(qPCR_Managed!N$4:N$235, MATCH($E100, qPCR_Managed!$E$4:$E$235, 0), 1)</f>
        <v>3173505443.792172</v>
      </c>
      <c r="I100" s="213">
        <f>INDEX(qPCR_Managed!Q$4:Q$235, MATCH($E100, qPCR_Managed!$E$4:$E$235, 0), 1)</f>
        <v>9.5015392476340228</v>
      </c>
      <c r="J100" s="325">
        <f>INDEX(qPCR_Managed!R$4:R$235, MATCH($E100, qPCR_Managed!$E$4:$E$235, 0), 1)</f>
        <v>0.36888352064033281</v>
      </c>
      <c r="K100" s="320">
        <f>INDEX(qPCR_Managed!Y$4:Y$235, MATCH($E100, qPCR_Managed!$E$4:$E$235, 0), 1)</f>
        <v>23139.209931698319</v>
      </c>
      <c r="L100" s="308">
        <f>INDEX(qPCR_Managed!AB$4:AB$235, MATCH($E100, qPCR_Managed!$E$4:$E$235, 0), 1)</f>
        <v>4.3643485262595734</v>
      </c>
      <c r="M100" s="329">
        <f>INDEX(qPCR_Managed!AC$4:AC$235, MATCH($E100, qPCR_Managed!$E$4:$E$235, 0), 1)</f>
        <v>8.5016048257424287E-2</v>
      </c>
      <c r="N100" s="324">
        <f>INDEX(qPCR_Managed!AJ$4:AJ$235, MATCH($E100, qPCR_Managed!$E$4:$E$235, 0), 1)</f>
        <v>535.57325075315475</v>
      </c>
      <c r="O100" s="213">
        <f>INDEX(qPCR_Managed!AM$4:AM$235, MATCH($E100, qPCR_Managed!$E$4:$E$235, 0), 1)</f>
        <v>2.7288188780106166</v>
      </c>
      <c r="P100" s="325">
        <f>INDEX(qPCR_Managed!AN$4:AN$235, MATCH($E100, qPCR_Managed!$E$4:$E$235, 0), 1)</f>
        <v>4.1551496010425709E-2</v>
      </c>
      <c r="Q100" s="336">
        <f>INDEX(qPCR_Managed!AU$4:AU$235, MATCH($E100, qPCR_Managed!$E$4:$E$235, 0), 1)</f>
        <v>338.15275995354904</v>
      </c>
      <c r="R100" s="308">
        <f>INDEX(qPCR_Managed!AX$4:AX$235, MATCH($E100, qPCR_Managed!$E$4:$E$235, 0), 1)</f>
        <v>2.5291129364241001</v>
      </c>
      <c r="S100" s="337">
        <f>INDEX(qPCR_Managed!AY$4:AY$235, MATCH($E100, qPCR_Managed!$E$4:$E$235, 0), 1)</f>
        <v>0.43429448190325176</v>
      </c>
      <c r="T100" s="332">
        <f>INDEX(qPCR_Managed!BF$4:BF$235, MATCH($E100, qPCR_Managed!$E$4:$E$235, 0), 1)</f>
        <v>119.52242072747677</v>
      </c>
      <c r="U100" s="213">
        <f>INDEX(qPCR_Managed!BI$4:BI$235, MATCH($E100, qPCR_Managed!$E$4:$E$235, 0), 1)</f>
        <v>2.0774493804714829</v>
      </c>
      <c r="V100" s="214">
        <f>INDEX(qPCR_Managed!BJ$4:BJ$235, MATCH($E100, qPCR_Managed!$E$4:$E$235, 0), 1)</f>
        <v>0.43429448190325176</v>
      </c>
      <c r="W100" s="482">
        <f t="shared" si="15"/>
        <v>24132.458363132497</v>
      </c>
      <c r="X100" s="483">
        <f t="shared" si="16"/>
        <v>4.382601565554058</v>
      </c>
      <c r="Y100" s="522" t="str" cm="1">
        <f t="array" ref="Y100">_xlfn.IFS(G100&lt;44361, "Before the burn", G100&lt;44403, "During the burn", G100&gt;44403, "After the burn")</f>
        <v>After the burn</v>
      </c>
      <c r="Z100" s="1091" t="s">
        <v>288</v>
      </c>
    </row>
    <row r="101" spans="1:26" s="279" customFormat="1" x14ac:dyDescent="0.3">
      <c r="A101" s="286" t="str">
        <v>SPI44412</v>
      </c>
      <c r="B101" s="287" t="str">
        <f t="shared" si="18"/>
        <v>BSPI44412</v>
      </c>
      <c r="C101" s="287" t="str">
        <v>GRL44412</v>
      </c>
      <c r="D101" s="287" t="str">
        <f t="shared" si="11"/>
        <v>RL44412</v>
      </c>
      <c r="E101" s="287" t="str">
        <f t="shared" si="12"/>
        <v>RL444126</v>
      </c>
      <c r="F101" s="287" t="str">
        <f t="shared" si="13"/>
        <v>RL</v>
      </c>
      <c r="G101" s="313">
        <f t="shared" si="14"/>
        <v>44412</v>
      </c>
      <c r="H101" s="324">
        <f>INDEX(qPCR_Managed!N$4:N$235, MATCH($E101, qPCR_Managed!$E$4:$E$235, 0), 1)</f>
        <v>774557554.21707714</v>
      </c>
      <c r="I101" s="213">
        <f>INDEX(qPCR_Managed!Q$4:Q$235, MATCH($E101, qPCR_Managed!$E$4:$E$235, 0), 1)</f>
        <v>8.889053693948302</v>
      </c>
      <c r="J101" s="325">
        <f>INDEX(qPCR_Managed!R$4:R$235, MATCH($E101, qPCR_Managed!$E$4:$E$235, 0), 1)</f>
        <v>0.32484887222373693</v>
      </c>
      <c r="K101" s="320">
        <f>INDEX(qPCR_Managed!Y$4:Y$235, MATCH($E101, qPCR_Managed!$E$4:$E$235, 0), 1)</f>
        <v>23453.208923339844</v>
      </c>
      <c r="L101" s="308">
        <f>INDEX(qPCR_Managed!AB$4:AB$235, MATCH($E101, qPCR_Managed!$E$4:$E$235, 0), 1)</f>
        <v>4.3702022723114844</v>
      </c>
      <c r="M101" s="329">
        <f>INDEX(qPCR_Managed!AC$4:AC$235, MATCH($E101, qPCR_Managed!$E$4:$E$235, 0), 1)</f>
        <v>0.11528184311666682</v>
      </c>
      <c r="N101" s="324">
        <f>INDEX(qPCR_Managed!AJ$4:AJ$235, MATCH($E101, qPCR_Managed!$E$4:$E$235, 0), 1)</f>
        <v>4095.562669965956</v>
      </c>
      <c r="O101" s="213">
        <f>INDEX(qPCR_Managed!AM$4:AM$235, MATCH($E101, qPCR_Managed!$E$4:$E$235, 0), 1)</f>
        <v>3.6123135758582299</v>
      </c>
      <c r="P101" s="325">
        <f>INDEX(qPCR_Managed!AN$4:AN$235, MATCH($E101, qPCR_Managed!$E$4:$E$235, 0), 1)</f>
        <v>0.16854605888198093</v>
      </c>
      <c r="Q101" s="336">
        <f>INDEX(qPCR_Managed!AU$4:AU$235, MATCH($E101, qPCR_Managed!$E$4:$E$235, 0), 1)</f>
        <v>845.08628315395777</v>
      </c>
      <c r="R101" s="308">
        <f>INDEX(qPCR_Managed!AX$4:AX$235, MATCH($E101, qPCR_Managed!$E$4:$E$235, 0), 1)</f>
        <v>2.9269010526001331</v>
      </c>
      <c r="S101" s="337">
        <f>INDEX(qPCR_Managed!AY$4:AY$235, MATCH($E101, qPCR_Managed!$E$4:$E$235, 0), 1)</f>
        <v>6.4412239492510293E-2</v>
      </c>
      <c r="T101" s="332">
        <f>INDEX(qPCR_Managed!BF$4:BF$235, MATCH($E101, qPCR_Managed!$E$4:$E$235, 0), 1)</f>
        <v>355.20115163591174</v>
      </c>
      <c r="U101" s="213">
        <f>INDEX(qPCR_Managed!BI$4:BI$235, MATCH($E101, qPCR_Managed!$E$4:$E$235, 0), 1)</f>
        <v>2.550474365181763</v>
      </c>
      <c r="V101" s="214">
        <f>INDEX(qPCR_Managed!BJ$4:BJ$235, MATCH($E101, qPCR_Managed!$E$4:$E$235, 0), 1)</f>
        <v>4.8460354599132296E-2</v>
      </c>
      <c r="W101" s="482">
        <f t="shared" si="15"/>
        <v>28749.059028095668</v>
      </c>
      <c r="X101" s="483">
        <f t="shared" si="16"/>
        <v>4.4586236345702259</v>
      </c>
      <c r="Y101" s="522" t="str" cm="1">
        <f t="array" ref="Y101">_xlfn.IFS(G101&lt;44361, "Before the burn", G101&lt;44403, "During the burn", G101&gt;44403, "After the burn")</f>
        <v>After the burn</v>
      </c>
      <c r="Z101" s="1091" t="s">
        <v>288</v>
      </c>
    </row>
    <row r="102" spans="1:26" s="279" customFormat="1" x14ac:dyDescent="0.3">
      <c r="A102" s="286" t="str">
        <v>SPI44419</v>
      </c>
      <c r="B102" s="287" t="str">
        <f t="shared" si="18"/>
        <v>BSPI44419</v>
      </c>
      <c r="C102" s="287" t="str">
        <v>GRL44419</v>
      </c>
      <c r="D102" s="287" t="str">
        <f t="shared" si="11"/>
        <v>RL44419</v>
      </c>
      <c r="E102" s="287" t="str">
        <f t="shared" si="12"/>
        <v>RL444196</v>
      </c>
      <c r="F102" s="287" t="str">
        <f t="shared" si="13"/>
        <v>RL</v>
      </c>
      <c r="G102" s="313">
        <f t="shared" si="14"/>
        <v>44419</v>
      </c>
      <c r="H102" s="324">
        <f>INDEX(qPCR_Managed!N$4:N$235, MATCH($E102, qPCR_Managed!$E$4:$E$235, 0), 1)</f>
        <v>43430463.771791816</v>
      </c>
      <c r="I102" s="213">
        <f>INDEX(qPCR_Managed!Q$4:Q$235, MATCH($E102, qPCR_Managed!$E$4:$E$235, 0), 1)</f>
        <v>7.6377944669964597</v>
      </c>
      <c r="J102" s="325">
        <f>INDEX(qPCR_Managed!R$4:R$235, MATCH($E102, qPCR_Managed!$E$4:$E$235, 0), 1)</f>
        <v>1.1107309704144985E-2</v>
      </c>
      <c r="K102" s="320">
        <f>INDEX(qPCR_Managed!Y$4:Y$235, MATCH($E102, qPCR_Managed!$E$4:$E$235, 0), 1)</f>
        <v>10669.250700208877</v>
      </c>
      <c r="L102" s="308">
        <f>INDEX(qPCR_Managed!AB$4:AB$235, MATCH($E102, qPCR_Managed!$E$4:$E$235, 0), 1)</f>
        <v>4.0281339200625865</v>
      </c>
      <c r="M102" s="329">
        <f>INDEX(qPCR_Managed!AC$4:AC$235, MATCH($E102, qPCR_Managed!$E$4:$E$235, 0), 1)</f>
        <v>5.7076718338304251E-2</v>
      </c>
      <c r="N102" s="324">
        <f>INDEX(qPCR_Managed!AJ$4:AJ$235, MATCH($E102, qPCR_Managed!$E$4:$E$235, 0), 1)</f>
        <v>1108.0127424663967</v>
      </c>
      <c r="O102" s="213">
        <f>INDEX(qPCR_Managed!AM$4:AM$235, MATCH($E102, qPCR_Managed!$E$4:$E$235, 0), 1)</f>
        <v>3.0445447549330433</v>
      </c>
      <c r="P102" s="325">
        <f>INDEX(qPCR_Managed!AN$4:AN$235, MATCH($E102, qPCR_Managed!$E$4:$E$235, 0), 1)</f>
        <v>0.1741573434932005</v>
      </c>
      <c r="Q102" s="336">
        <f>INDEX(qPCR_Managed!AU$4:AU$235, MATCH($E102, qPCR_Managed!$E$4:$E$235, 0), 1)</f>
        <v>2564.7217432657872</v>
      </c>
      <c r="R102" s="308">
        <f>INDEX(qPCR_Managed!AX$4:AX$235, MATCH($E102, qPCR_Managed!$E$4:$E$235, 0), 1)</f>
        <v>3.4090402536897542</v>
      </c>
      <c r="S102" s="337">
        <f>INDEX(qPCR_Managed!AY$4:AY$235, MATCH($E102, qPCR_Managed!$E$4:$E$235, 0), 1)</f>
        <v>0.30942779199513504</v>
      </c>
      <c r="T102" s="332">
        <f>INDEX(qPCR_Managed!BF$4:BF$235, MATCH($E102, qPCR_Managed!$E$4:$E$235, 0), 1)</f>
        <v>0</v>
      </c>
      <c r="U102" s="213">
        <f>INDEX(qPCR_Managed!BI$4:BI$235, MATCH($E102, qPCR_Managed!$E$4:$E$235, 0), 1)</f>
        <v>0</v>
      </c>
      <c r="V102" s="214">
        <f>INDEX(qPCR_Managed!BJ$4:BJ$235, MATCH($E102, qPCR_Managed!$E$4:$E$235, 0), 1)</f>
        <v>0</v>
      </c>
      <c r="W102" s="482">
        <f t="shared" si="15"/>
        <v>14341.985185941061</v>
      </c>
      <c r="X102" s="483">
        <f t="shared" si="16"/>
        <v>4.1566092695764247</v>
      </c>
      <c r="Y102" s="522" t="str" cm="1">
        <f t="array" ref="Y102">_xlfn.IFS(G102&lt;44361, "Before the burn", G102&lt;44403, "During the burn", G102&gt;44403, "After the burn")</f>
        <v>After the burn</v>
      </c>
      <c r="Z102" s="1091" t="s">
        <v>288</v>
      </c>
    </row>
    <row r="103" spans="1:26" s="279" customFormat="1" x14ac:dyDescent="0.3">
      <c r="A103" s="286" t="str">
        <v>SPI44426</v>
      </c>
      <c r="B103" s="287" t="str">
        <f t="shared" si="18"/>
        <v>BSPI44426</v>
      </c>
      <c r="C103" s="287" t="str">
        <v>GRL44426</v>
      </c>
      <c r="D103" s="287" t="str">
        <f t="shared" si="11"/>
        <v>RL44426</v>
      </c>
      <c r="E103" s="287" t="str">
        <f t="shared" si="12"/>
        <v>RL444266</v>
      </c>
      <c r="F103" s="287" t="str">
        <f t="shared" si="13"/>
        <v>RL</v>
      </c>
      <c r="G103" s="313">
        <f t="shared" si="14"/>
        <v>44426</v>
      </c>
      <c r="H103" s="324">
        <f>INDEX(qPCR_Managed!N$4:N$235, MATCH($E103, qPCR_Managed!$E$4:$E$235, 0), 1)</f>
        <v>1364663550.2241735</v>
      </c>
      <c r="I103" s="213">
        <f>INDEX(qPCR_Managed!Q$4:Q$235, MATCH($E103, qPCR_Managed!$E$4:$E$235, 0), 1)</f>
        <v>9.1350255918222683</v>
      </c>
      <c r="J103" s="325">
        <f>INDEX(qPCR_Managed!R$4:R$235, MATCH($E103, qPCR_Managed!$E$4:$E$235, 0), 1)</f>
        <v>0.21801059482880017</v>
      </c>
      <c r="K103" s="320">
        <f>INDEX(qPCR_Managed!Y$4:Y$235, MATCH($E103, qPCR_Managed!$E$4:$E$235, 0), 1)</f>
        <v>72013.959660642082</v>
      </c>
      <c r="L103" s="308">
        <f>INDEX(qPCR_Managed!AB$4:AB$235, MATCH($E103, qPCR_Managed!$E$4:$E$235, 0), 1)</f>
        <v>4.8574166910971099</v>
      </c>
      <c r="M103" s="329">
        <f>INDEX(qPCR_Managed!AC$4:AC$235, MATCH($E103, qPCR_Managed!$E$4:$E$235, 0), 1)</f>
        <v>9.821845073165765E-2</v>
      </c>
      <c r="N103" s="324">
        <f>INDEX(qPCR_Managed!AJ$4:AJ$235, MATCH($E103, qPCR_Managed!$E$4:$E$235, 0), 1)</f>
        <v>2842.1932646538362</v>
      </c>
      <c r="O103" s="213">
        <f>INDEX(qPCR_Managed!AM$4:AM$235, MATCH($E103, qPCR_Managed!$E$4:$E$235, 0), 1)</f>
        <v>3.4536536059345058</v>
      </c>
      <c r="P103" s="325">
        <f>INDEX(qPCR_Managed!AN$4:AN$235, MATCH($E103, qPCR_Managed!$E$4:$E$235, 0), 1)</f>
        <v>0.235754157429895</v>
      </c>
      <c r="Q103" s="336">
        <f>INDEX(qPCR_Managed!AU$4:AU$235, MATCH($E103, qPCR_Managed!$E$4:$E$235, 0), 1)</f>
        <v>365.84675312042236</v>
      </c>
      <c r="R103" s="308">
        <f>INDEX(qPCR_Managed!AX$4:AX$235, MATCH($E103, qPCR_Managed!$E$4:$E$235, 0), 1)</f>
        <v>2.5632992050352823</v>
      </c>
      <c r="S103" s="337">
        <f>INDEX(qPCR_Managed!AY$4:AY$235, MATCH($E103, qPCR_Managed!$E$4:$E$235, 0), 1)</f>
        <v>0.43429448190325176</v>
      </c>
      <c r="T103" s="332">
        <f>INDEX(qPCR_Managed!BF$4:BF$235, MATCH($E103, qPCR_Managed!$E$4:$E$235, 0), 1)</f>
        <v>0</v>
      </c>
      <c r="U103" s="213">
        <f>INDEX(qPCR_Managed!BI$4:BI$235, MATCH($E103, qPCR_Managed!$E$4:$E$235, 0), 1)</f>
        <v>0</v>
      </c>
      <c r="V103" s="214">
        <f>INDEX(qPCR_Managed!BJ$4:BJ$235, MATCH($E103, qPCR_Managed!$E$4:$E$235, 0), 1)</f>
        <v>0</v>
      </c>
      <c r="W103" s="482">
        <f t="shared" si="15"/>
        <v>75221.999678416338</v>
      </c>
      <c r="X103" s="483">
        <f t="shared" si="16"/>
        <v>4.8763448743902673</v>
      </c>
      <c r="Y103" s="522" t="str" cm="1">
        <f t="array" ref="Y103">_xlfn.IFS(G103&lt;44361, "Before the burn", G103&lt;44403, "During the burn", G103&gt;44403, "After the burn")</f>
        <v>After the burn</v>
      </c>
      <c r="Z103" s="1091" t="s">
        <v>288</v>
      </c>
    </row>
    <row r="104" spans="1:26" s="279" customFormat="1" ht="16.350000000000001" thickBot="1" x14ac:dyDescent="0.35">
      <c r="A104" s="295" t="str">
        <v>SPI44433</v>
      </c>
      <c r="B104" s="296" t="str">
        <f t="shared" si="18"/>
        <v>BSPI44433</v>
      </c>
      <c r="C104" s="296" t="str">
        <v>GRL44433</v>
      </c>
      <c r="D104" s="296" t="str">
        <f t="shared" si="11"/>
        <v>RL44433</v>
      </c>
      <c r="E104" s="296" t="str">
        <f t="shared" si="12"/>
        <v>RL444336</v>
      </c>
      <c r="F104" s="296" t="str">
        <f t="shared" si="13"/>
        <v>RL</v>
      </c>
      <c r="G104" s="314">
        <f t="shared" si="14"/>
        <v>44433</v>
      </c>
      <c r="H104" s="340">
        <f>INDEX(qPCR_Managed!N$4:N$235, MATCH($E104, qPCR_Managed!$E$4:$E$235, 0), 1)</f>
        <v>596329571.0607121</v>
      </c>
      <c r="I104" s="341">
        <f>INDEX(qPCR_Managed!Q$4:Q$235, MATCH($E104, qPCR_Managed!$E$4:$E$235, 0), 1)</f>
        <v>8.7754863458710872</v>
      </c>
      <c r="J104" s="342">
        <f>INDEX(qPCR_Managed!R$4:R$235, MATCH($E104, qPCR_Managed!$E$4:$E$235, 0), 1)</f>
        <v>0.10662577850056448</v>
      </c>
      <c r="K104" s="343">
        <f>INDEX(qPCR_Managed!Y$4:Y$235, MATCH($E104, qPCR_Managed!$E$4:$E$235, 0), 1)</f>
        <v>14006.673435996219</v>
      </c>
      <c r="L104" s="344">
        <f>INDEX(qPCR_Managed!AB$4:AB$235, MATCH($E104, qPCR_Managed!$E$4:$E$235, 0), 1)</f>
        <v>4.1463350032418775</v>
      </c>
      <c r="M104" s="345">
        <f>INDEX(qPCR_Managed!AC$4:AC$235, MATCH($E104, qPCR_Managed!$E$4:$E$235, 0), 1)</f>
        <v>1.7841915804778638E-3</v>
      </c>
      <c r="N104" s="340">
        <f>INDEX(qPCR_Managed!AJ$4:AJ$235, MATCH($E104, qPCR_Managed!$E$4:$E$235, 0), 1)</f>
        <v>64.542824133283148</v>
      </c>
      <c r="O104" s="341">
        <f>INDEX(qPCR_Managed!AM$4:AM$235, MATCH($E104, qPCR_Managed!$E$4:$E$235, 0), 1)</f>
        <v>1.8098479644559737</v>
      </c>
      <c r="P104" s="342">
        <f>INDEX(qPCR_Managed!AN$4:AN$235, MATCH($E104, qPCR_Managed!$E$4:$E$235, 0), 1)</f>
        <v>0.43429448190325171</v>
      </c>
      <c r="Q104" s="346">
        <f>INDEX(qPCR_Managed!AU$4:AU$235, MATCH($E104, qPCR_Managed!$E$4:$E$235, 0), 1)</f>
        <v>0</v>
      </c>
      <c r="R104" s="344">
        <f>INDEX(qPCR_Managed!AX$4:AX$235, MATCH($E104, qPCR_Managed!$E$4:$E$235, 0), 1)</f>
        <v>0</v>
      </c>
      <c r="S104" s="347">
        <f>INDEX(qPCR_Managed!AY$4:AY$235, MATCH($E104, qPCR_Managed!$E$4:$E$235, 0), 1)</f>
        <v>0</v>
      </c>
      <c r="T104" s="348">
        <f>INDEX(qPCR_Managed!BF$4:BF$235, MATCH($E104, qPCR_Managed!$E$4:$E$235, 0), 1)</f>
        <v>0</v>
      </c>
      <c r="U104" s="341">
        <f>INDEX(qPCR_Managed!BI$4:BI$235, MATCH($E104, qPCR_Managed!$E$4:$E$235, 0), 1)</f>
        <v>0</v>
      </c>
      <c r="V104" s="349">
        <f>INDEX(qPCR_Managed!BJ$4:BJ$235, MATCH($E104, qPCR_Managed!$E$4:$E$235, 0), 1)</f>
        <v>0</v>
      </c>
      <c r="W104" s="484">
        <f t="shared" si="15"/>
        <v>14071.216260129502</v>
      </c>
      <c r="X104" s="485">
        <f t="shared" si="16"/>
        <v>4.1483316377498651</v>
      </c>
      <c r="Y104" s="523" t="str" cm="1">
        <f t="array" ref="Y104">_xlfn.IFS(G104&lt;44361, "Before the burn", G104&lt;44403, "During the burn", G104&gt;44403, "After the burn")</f>
        <v>After the burn</v>
      </c>
      <c r="Z104" s="1091" t="s">
        <v>288</v>
      </c>
    </row>
    <row r="105" spans="1:26" s="279" customFormat="1" x14ac:dyDescent="0.3">
      <c r="A105" s="297" t="str">
        <v>SPO44335</v>
      </c>
      <c r="B105" s="298" t="str">
        <f>_xlfn.CONCAT("C", A105)</f>
        <v>CSPO44335</v>
      </c>
      <c r="C105" s="298" t="str">
        <v>HRS44335</v>
      </c>
      <c r="D105" s="298" t="str">
        <f t="shared" si="11"/>
        <v>RS44335</v>
      </c>
      <c r="E105" s="298" t="str">
        <f t="shared" si="12"/>
        <v>RS443356</v>
      </c>
      <c r="F105" s="298" t="str">
        <f t="shared" si="13"/>
        <v>RS</v>
      </c>
      <c r="G105" s="315">
        <f t="shared" si="14"/>
        <v>44335</v>
      </c>
      <c r="H105" s="326">
        <f>INDEX(qPCR_Managed!N$4:N$235, MATCH($E105, qPCR_Managed!$E$4:$E$235, 0), 1)</f>
        <v>154998246.26978758</v>
      </c>
      <c r="I105" s="299">
        <f>INDEX(qPCR_Managed!Q$4:Q$235, MATCH($E105, qPCR_Managed!$E$4:$E$235, 0), 1)</f>
        <v>8.1903267843660164</v>
      </c>
      <c r="J105" s="327">
        <f>INDEX(qPCR_Managed!R$4:R$235, MATCH($E105, qPCR_Managed!$E$4:$E$235, 0), 1)</f>
        <v>0.33616632690769432</v>
      </c>
      <c r="K105" s="321">
        <f>INDEX(qPCR_Managed!Y$4:Y$235, MATCH($E105, qPCR_Managed!$E$4:$E$235, 0), 1)</f>
        <v>69693.462332499388</v>
      </c>
      <c r="L105" s="309">
        <f>INDEX(qPCR_Managed!AB$4:AB$235, MATCH($E105, qPCR_Managed!$E$4:$E$235, 0), 1)</f>
        <v>4.8431920405644897</v>
      </c>
      <c r="M105" s="330">
        <f>INDEX(qPCR_Managed!AC$4:AC$235, MATCH($E105, qPCR_Managed!$E$4:$E$235, 0), 1)</f>
        <v>7.9435424434708884E-2</v>
      </c>
      <c r="N105" s="326">
        <f>INDEX(qPCR_Managed!AJ$4:AJ$235, MATCH($E105, qPCR_Managed!$E$4:$E$235, 0), 1)</f>
        <v>23623.736658456812</v>
      </c>
      <c r="O105" s="299">
        <f>INDEX(qPCR_Managed!AM$4:AM$235, MATCH($E105, qPCR_Managed!$E$4:$E$235, 0), 1)</f>
        <v>4.3733485927609284</v>
      </c>
      <c r="P105" s="327">
        <f>INDEX(qPCR_Managed!AN$4:AN$235, MATCH($E105, qPCR_Managed!$E$4:$E$235, 0), 1)</f>
        <v>0.2798430592982355</v>
      </c>
      <c r="Q105" s="338">
        <f>INDEX(qPCR_Managed!AU$4:AU$235, MATCH($E105, qPCR_Managed!$E$4:$E$235, 0), 1)</f>
        <v>340.74119685851423</v>
      </c>
      <c r="R105" s="309">
        <f>INDEX(qPCR_Managed!AX$4:AX$235, MATCH($E105, qPCR_Managed!$E$4:$E$235, 0), 1)</f>
        <v>2.5324246445355993</v>
      </c>
      <c r="S105" s="339">
        <f>INDEX(qPCR_Managed!AY$4:AY$235, MATCH($E105, qPCR_Managed!$E$4:$E$235, 0), 1)</f>
        <v>0.43429448190325176</v>
      </c>
      <c r="T105" s="333">
        <f>INDEX(qPCR_Managed!BF$4:BF$235, MATCH($E105, qPCR_Managed!$E$4:$E$235, 0), 1)</f>
        <v>115924.07826295833</v>
      </c>
      <c r="U105" s="299">
        <f>INDEX(qPCR_Managed!BI$4:BI$235, MATCH($E105, qPCR_Managed!$E$4:$E$235, 0), 1)</f>
        <v>5.0641736514136264</v>
      </c>
      <c r="V105" s="300">
        <f>INDEX(qPCR_Managed!BJ$4:BJ$235, MATCH($E105, qPCR_Managed!$E$4:$E$235, 0), 1)</f>
        <v>0.19434089077206526</v>
      </c>
      <c r="W105" s="488">
        <f t="shared" si="15"/>
        <v>209582.01845077303</v>
      </c>
      <c r="X105" s="489">
        <f t="shared" si="16"/>
        <v>5.3213540186618644</v>
      </c>
      <c r="Y105" s="525" t="str" cm="1">
        <f t="array" ref="Y105">_xlfn.IFS(G105&lt;44361, "Before the burn", G105&lt;44403, "During the burn", G105&gt;44403, "After the burn")</f>
        <v>Before the burn</v>
      </c>
      <c r="Z105" s="1091" t="s">
        <v>288</v>
      </c>
    </row>
    <row r="106" spans="1:26" s="279" customFormat="1" x14ac:dyDescent="0.3">
      <c r="A106" s="301" t="str">
        <v>SPO44342</v>
      </c>
      <c r="B106" s="302" t="str">
        <f t="shared" ref="B106:B118" si="19">_xlfn.CONCAT("C", A106)</f>
        <v>CSPO44342</v>
      </c>
      <c r="C106" s="302" t="str">
        <v>HRS44342</v>
      </c>
      <c r="D106" s="302" t="str">
        <f t="shared" si="11"/>
        <v>RS44342</v>
      </c>
      <c r="E106" s="302" t="str">
        <f t="shared" si="12"/>
        <v>RS443426</v>
      </c>
      <c r="F106" s="302" t="str">
        <f t="shared" si="13"/>
        <v>RS</v>
      </c>
      <c r="G106" s="316">
        <f t="shared" si="14"/>
        <v>44342</v>
      </c>
      <c r="H106" s="350">
        <f>INDEX(qPCR_Managed!N$4:N$235, MATCH($E106, qPCR_Managed!$E$4:$E$235, 0), 1)</f>
        <v>670230508.91361952</v>
      </c>
      <c r="I106" s="351">
        <f>INDEX(qPCR_Managed!Q$4:Q$235, MATCH($E106, qPCR_Managed!$E$4:$E$235, 0), 1)</f>
        <v>8.8262241930475405</v>
      </c>
      <c r="J106" s="352">
        <f>INDEX(qPCR_Managed!R$4:R$235, MATCH($E106, qPCR_Managed!$E$4:$E$235, 0), 1)</f>
        <v>0.42669076622818014</v>
      </c>
      <c r="K106" s="353">
        <f>INDEX(qPCR_Managed!Y$4:Y$235, MATCH($E106, qPCR_Managed!$E$4:$E$235, 0), 1)</f>
        <v>91614.980909559454</v>
      </c>
      <c r="L106" s="354">
        <f>INDEX(qPCR_Managed!AB$4:AB$235, MATCH($E106, qPCR_Managed!$E$4:$E$235, 0), 1)</f>
        <v>4.9619664954406089</v>
      </c>
      <c r="M106" s="355">
        <f>INDEX(qPCR_Managed!AC$4:AC$235, MATCH($E106, qPCR_Managed!$E$4:$E$235, 0), 1)</f>
        <v>0.17851058242573092</v>
      </c>
      <c r="N106" s="350">
        <f>INDEX(qPCR_Managed!AJ$4:AJ$235, MATCH($E106, qPCR_Managed!$E$4:$E$235, 0), 1)</f>
        <v>44257.850223117406</v>
      </c>
      <c r="O106" s="351">
        <f>INDEX(qPCR_Managed!AM$4:AM$235, MATCH($E106, qPCR_Managed!$E$4:$E$235, 0), 1)</f>
        <v>4.6459903147220061</v>
      </c>
      <c r="P106" s="352">
        <f>INDEX(qPCR_Managed!AN$4:AN$235, MATCH($E106, qPCR_Managed!$E$4:$E$235, 0), 1)</f>
        <v>0.35170639334188109</v>
      </c>
      <c r="Q106" s="356">
        <f>INDEX(qPCR_Managed!AU$4:AU$235, MATCH($E106, qPCR_Managed!$E$4:$E$235, 0), 1)</f>
        <v>0</v>
      </c>
      <c r="R106" s="354">
        <f>INDEX(qPCR_Managed!AX$4:AX$235, MATCH($E106, qPCR_Managed!$E$4:$E$235, 0), 1)</f>
        <v>0</v>
      </c>
      <c r="S106" s="357">
        <f>INDEX(qPCR_Managed!AY$4:AY$235, MATCH($E106, qPCR_Managed!$E$4:$E$235, 0), 1)</f>
        <v>0</v>
      </c>
      <c r="T106" s="358">
        <f>INDEX(qPCR_Managed!BF$4:BF$235, MATCH($E106, qPCR_Managed!$E$4:$E$235, 0), 1)</f>
        <v>231277.60484483506</v>
      </c>
      <c r="U106" s="351">
        <f>INDEX(qPCR_Managed!BI$4:BI$235, MATCH($E106, qPCR_Managed!$E$4:$E$235, 0), 1)</f>
        <v>5.3641335810490691</v>
      </c>
      <c r="V106" s="359">
        <f>INDEX(qPCR_Managed!BJ$4:BJ$235, MATCH($E106, qPCR_Managed!$E$4:$E$235, 0), 1)</f>
        <v>0.28196198821016277</v>
      </c>
      <c r="W106" s="490">
        <f t="shared" si="15"/>
        <v>367150.43597751192</v>
      </c>
      <c r="X106" s="491">
        <f t="shared" si="16"/>
        <v>5.5648440482527137</v>
      </c>
      <c r="Y106" s="526" t="str" cm="1">
        <f t="array" ref="Y106">_xlfn.IFS(G106&lt;44361, "Before the burn", G106&lt;44403, "During the burn", G106&gt;44403, "After the burn")</f>
        <v>Before the burn</v>
      </c>
      <c r="Z106" s="1091" t="s">
        <v>288</v>
      </c>
    </row>
    <row r="107" spans="1:26" s="279" customFormat="1" x14ac:dyDescent="0.3">
      <c r="A107" s="301" t="str">
        <v>SPO44350</v>
      </c>
      <c r="B107" s="302" t="str">
        <f t="shared" si="19"/>
        <v>CSPO44350</v>
      </c>
      <c r="C107" s="302" t="str">
        <v>HRS44350</v>
      </c>
      <c r="D107" s="302" t="str">
        <f t="shared" si="11"/>
        <v>RS44350</v>
      </c>
      <c r="E107" s="302" t="str">
        <f t="shared" si="12"/>
        <v>RS443506</v>
      </c>
      <c r="F107" s="302" t="str">
        <f t="shared" si="13"/>
        <v>RS</v>
      </c>
      <c r="G107" s="316">
        <f t="shared" si="14"/>
        <v>44350</v>
      </c>
      <c r="H107" s="350">
        <f>INDEX(qPCR_Managed!N$4:N$235, MATCH($E107, qPCR_Managed!$E$4:$E$235, 0), 1)</f>
        <v>16876936944.962345</v>
      </c>
      <c r="I107" s="351">
        <f>INDEX(qPCR_Managed!Q$4:Q$235, MATCH($E107, qPCR_Managed!$E$4:$E$235, 0), 1)</f>
        <v>10.227293627798474</v>
      </c>
      <c r="J107" s="352">
        <f>INDEX(qPCR_Managed!R$4:R$235, MATCH($E107, qPCR_Managed!$E$4:$E$235, 0), 1)</f>
        <v>0.17060056927049855</v>
      </c>
      <c r="K107" s="353">
        <f>INDEX(qPCR_Managed!Y$4:Y$235, MATCH($E107, qPCR_Managed!$E$4:$E$235, 0), 1)</f>
        <v>414279.88644454628</v>
      </c>
      <c r="L107" s="354">
        <f>INDEX(qPCR_Managed!AB$4:AB$235, MATCH($E107, qPCR_Managed!$E$4:$E$235, 0), 1)</f>
        <v>5.6172938485331683</v>
      </c>
      <c r="M107" s="355">
        <f>INDEX(qPCR_Managed!AC$4:AC$235, MATCH($E107, qPCR_Managed!$E$4:$E$235, 0), 1)</f>
        <v>0.14909562874665278</v>
      </c>
      <c r="N107" s="350">
        <f>INDEX(qPCR_Managed!AJ$4:AJ$235, MATCH($E107, qPCR_Managed!$E$4:$E$235, 0), 1)</f>
        <v>88344.487368309477</v>
      </c>
      <c r="O107" s="351">
        <f>INDEX(qPCR_Managed!AM$4:AM$235, MATCH($E107, qPCR_Managed!$E$4:$E$235, 0), 1)</f>
        <v>4.9461794550287745</v>
      </c>
      <c r="P107" s="352">
        <f>INDEX(qPCR_Managed!AN$4:AN$235, MATCH($E107, qPCR_Managed!$E$4:$E$235, 0), 1)</f>
        <v>8.6889828405983333E-2</v>
      </c>
      <c r="Q107" s="356">
        <f>INDEX(qPCR_Managed!AU$4:AU$235, MATCH($E107, qPCR_Managed!$E$4:$E$235, 0), 1)</f>
        <v>0</v>
      </c>
      <c r="R107" s="354">
        <f>INDEX(qPCR_Managed!AX$4:AX$235, MATCH($E107, qPCR_Managed!$E$4:$E$235, 0), 1)</f>
        <v>0</v>
      </c>
      <c r="S107" s="357">
        <f>INDEX(qPCR_Managed!AY$4:AY$235, MATCH($E107, qPCR_Managed!$E$4:$E$235, 0), 1)</f>
        <v>0</v>
      </c>
      <c r="T107" s="358">
        <f>INDEX(qPCR_Managed!BF$4:BF$235, MATCH($E107, qPCR_Managed!$E$4:$E$235, 0), 1)</f>
        <v>192624.80369821313</v>
      </c>
      <c r="U107" s="351">
        <f>INDEX(qPCR_Managed!BI$4:BI$235, MATCH($E107, qPCR_Managed!$E$4:$E$235, 0), 1)</f>
        <v>5.2847122091420431</v>
      </c>
      <c r="V107" s="359">
        <f>INDEX(qPCR_Managed!BJ$4:BJ$235, MATCH($E107, qPCR_Managed!$E$4:$E$235, 0), 1)</f>
        <v>7.1770157255336905E-2</v>
      </c>
      <c r="W107" s="490">
        <f t="shared" si="15"/>
        <v>695249.17751106888</v>
      </c>
      <c r="X107" s="491">
        <f t="shared" si="16"/>
        <v>5.842140483760411</v>
      </c>
      <c r="Y107" s="526" t="str" cm="1">
        <f t="array" ref="Y107">_xlfn.IFS(G107&lt;44361, "Before the burn", G107&lt;44403, "During the burn", G107&gt;44403, "After the burn")</f>
        <v>Before the burn</v>
      </c>
      <c r="Z107" s="1091" t="s">
        <v>288</v>
      </c>
    </row>
    <row r="108" spans="1:26" s="279" customFormat="1" x14ac:dyDescent="0.3">
      <c r="A108" s="301" t="str">
        <v>SPO44356</v>
      </c>
      <c r="B108" s="302" t="str">
        <f t="shared" si="19"/>
        <v>CSPO44356</v>
      </c>
      <c r="C108" s="302" t="str">
        <v>HRS44363</v>
      </c>
      <c r="D108" s="302" t="str">
        <f t="shared" si="11"/>
        <v>RS44363</v>
      </c>
      <c r="E108" s="302" t="str">
        <f t="shared" si="12"/>
        <v>RS443636</v>
      </c>
      <c r="F108" s="302" t="str">
        <f t="shared" si="13"/>
        <v>RS</v>
      </c>
      <c r="G108" s="316">
        <f t="shared" si="14"/>
        <v>44363</v>
      </c>
      <c r="H108" s="350">
        <f>INDEX(qPCR_Managed!N$4:N$235, MATCH($E108, qPCR_Managed!$E$4:$E$235, 0), 1)</f>
        <v>15699138986.446127</v>
      </c>
      <c r="I108" s="351">
        <f>INDEX(qPCR_Managed!Q$4:Q$235, MATCH($E108, qPCR_Managed!$E$4:$E$235, 0), 1)</f>
        <v>10.195875834339857</v>
      </c>
      <c r="J108" s="352">
        <f>INDEX(qPCR_Managed!R$4:R$235, MATCH($E108, qPCR_Managed!$E$4:$E$235, 0), 1)</f>
        <v>0.38230086570483307</v>
      </c>
      <c r="K108" s="353">
        <f>INDEX(qPCR_Managed!Y$4:Y$235, MATCH($E108, qPCR_Managed!$E$4:$E$235, 0), 1)</f>
        <v>109062.00561523438</v>
      </c>
      <c r="L108" s="354">
        <f>INDEX(qPCR_Managed!AB$4:AB$235, MATCH($E108, qPCR_Managed!$E$4:$E$235, 0), 1)</f>
        <v>5.0376734799601923</v>
      </c>
      <c r="M108" s="355">
        <f>INDEX(qPCR_Managed!AC$4:AC$235, MATCH($E108, qPCR_Managed!$E$4:$E$235, 0), 1)</f>
        <v>0.13301218352525318</v>
      </c>
      <c r="N108" s="350">
        <f>INDEX(qPCR_Managed!AJ$4:AJ$235, MATCH($E108, qPCR_Managed!$E$4:$E$235, 0), 1)</f>
        <v>68823.013305664063</v>
      </c>
      <c r="O108" s="351">
        <f>INDEX(qPCR_Managed!AM$4:AM$235, MATCH($E108, qPCR_Managed!$E$4:$E$235, 0), 1)</f>
        <v>4.8377336835911153</v>
      </c>
      <c r="P108" s="352">
        <f>INDEX(qPCR_Managed!AN$4:AN$235, MATCH($E108, qPCR_Managed!$E$4:$E$235, 0), 1)</f>
        <v>7.3706288932608E-2</v>
      </c>
      <c r="Q108" s="356">
        <f>INDEX(qPCR_Managed!AU$4:AU$235, MATCH($E108, qPCR_Managed!$E$4:$E$235, 0), 1)</f>
        <v>0</v>
      </c>
      <c r="R108" s="354">
        <f>INDEX(qPCR_Managed!AX$4:AX$235, MATCH($E108, qPCR_Managed!$E$4:$E$235, 0), 1)</f>
        <v>0</v>
      </c>
      <c r="S108" s="357">
        <f>INDEX(qPCR_Managed!AY$4:AY$235, MATCH($E108, qPCR_Managed!$E$4:$E$235, 0), 1)</f>
        <v>0</v>
      </c>
      <c r="T108" s="358">
        <f>INDEX(qPCR_Managed!BF$4:BF$235, MATCH($E108, qPCR_Managed!$E$4:$E$235, 0), 1)</f>
        <v>321984.51843261719</v>
      </c>
      <c r="U108" s="351">
        <f>INDEX(qPCR_Managed!BI$4:BI$235, MATCH($E108, qPCR_Managed!$E$4:$E$235, 0), 1)</f>
        <v>5.5078349905749517</v>
      </c>
      <c r="V108" s="359">
        <f>INDEX(qPCR_Managed!BJ$4:BJ$235, MATCH($E108, qPCR_Managed!$E$4:$E$235, 0), 1)</f>
        <v>0.33595264156340127</v>
      </c>
      <c r="W108" s="490">
        <f t="shared" si="15"/>
        <v>499869.53735351563</v>
      </c>
      <c r="X108" s="491">
        <f t="shared" si="16"/>
        <v>5.6988566711347008</v>
      </c>
      <c r="Y108" s="526" t="str" cm="1">
        <f t="array" ref="Y108">_xlfn.IFS(G108&lt;44361, "Before the burn", G108&lt;44403, "During the burn", G108&gt;44403, "After the burn")</f>
        <v>During the burn</v>
      </c>
      <c r="Z108" s="1091" t="s">
        <v>288</v>
      </c>
    </row>
    <row r="109" spans="1:26" s="279" customFormat="1" x14ac:dyDescent="0.3">
      <c r="A109" s="301" t="str">
        <v>SPO44370</v>
      </c>
      <c r="B109" s="302" t="str">
        <f t="shared" si="19"/>
        <v>CSPO44370</v>
      </c>
      <c r="C109" s="302" t="str">
        <v>HRS44370</v>
      </c>
      <c r="D109" s="302" t="str">
        <f t="shared" si="11"/>
        <v>RS44370</v>
      </c>
      <c r="E109" s="302" t="str">
        <f t="shared" si="12"/>
        <v>RS443706</v>
      </c>
      <c r="F109" s="302" t="str">
        <f t="shared" si="13"/>
        <v>RS</v>
      </c>
      <c r="G109" s="316">
        <f t="shared" si="14"/>
        <v>44370</v>
      </c>
      <c r="H109" s="350">
        <f>INDEX(qPCR_Managed!N$4:N$235, MATCH($E109, qPCR_Managed!$E$4:$E$235, 0), 1)</f>
        <v>1278923530.0453696</v>
      </c>
      <c r="I109" s="351">
        <f>INDEX(qPCR_Managed!Q$4:Q$235, MATCH($E109, qPCR_Managed!$E$4:$E$235, 0), 1)</f>
        <v>9.1068445777294933</v>
      </c>
      <c r="J109" s="352">
        <f>INDEX(qPCR_Managed!R$4:R$235, MATCH($E109, qPCR_Managed!$E$4:$E$235, 0), 1)</f>
        <v>0.36968203155974744</v>
      </c>
      <c r="K109" s="353">
        <f>INDEX(qPCR_Managed!Y$4:Y$235, MATCH($E109, qPCR_Managed!$E$4:$E$235, 0), 1)</f>
        <v>54195.428466796875</v>
      </c>
      <c r="L109" s="354">
        <f>INDEX(qPCR_Managed!AB$4:AB$235, MATCH($E109, qPCR_Managed!$E$4:$E$235, 0), 1)</f>
        <v>4.7339626541513349</v>
      </c>
      <c r="M109" s="355">
        <f>INDEX(qPCR_Managed!AC$4:AC$235, MATCH($E109, qPCR_Managed!$E$4:$E$235, 0), 1)</f>
        <v>0.1972520078545745</v>
      </c>
      <c r="N109" s="350">
        <f>INDEX(qPCR_Managed!AJ$4:AJ$235, MATCH($E109, qPCR_Managed!$E$4:$E$235, 0), 1)</f>
        <v>80209.956359863281</v>
      </c>
      <c r="O109" s="351">
        <f>INDEX(qPCR_Managed!AM$4:AM$235, MATCH($E109, qPCR_Managed!$E$4:$E$235, 0), 1)</f>
        <v>4.9042282800518882</v>
      </c>
      <c r="P109" s="352">
        <f>INDEX(qPCR_Managed!AN$4:AN$235, MATCH($E109, qPCR_Managed!$E$4:$E$235, 0), 1)</f>
        <v>0.23741102834628694</v>
      </c>
      <c r="Q109" s="356">
        <f>INDEX(qPCR_Managed!AU$4:AU$235, MATCH($E109, qPCR_Managed!$E$4:$E$235, 0), 1)</f>
        <v>380.12592792510986</v>
      </c>
      <c r="R109" s="354">
        <f>INDEX(qPCR_Managed!AX$4:AX$235, MATCH($E109, qPCR_Managed!$E$4:$E$235, 0), 1)</f>
        <v>2.5799274933094076</v>
      </c>
      <c r="S109" s="357">
        <f>INDEX(qPCR_Managed!AY$4:AY$235, MATCH($E109, qPCR_Managed!$E$4:$E$235, 0), 1)</f>
        <v>0.43429448190325176</v>
      </c>
      <c r="T109" s="358">
        <f>INDEX(qPCR_Managed!BF$4:BF$235, MATCH($E109, qPCR_Managed!$E$4:$E$235, 0), 1)</f>
        <v>614565.2099609375</v>
      </c>
      <c r="U109" s="351">
        <f>INDEX(qPCR_Managed!BI$4:BI$235, MATCH($E109, qPCR_Managed!$E$4:$E$235, 0), 1)</f>
        <v>5.7885679715571321</v>
      </c>
      <c r="V109" s="359">
        <f>INDEX(qPCR_Managed!BJ$4:BJ$235, MATCH($E109, qPCR_Managed!$E$4:$E$235, 0), 1)</f>
        <v>2.2049485473714589E-2</v>
      </c>
      <c r="W109" s="490">
        <f t="shared" si="15"/>
        <v>749350.72071552277</v>
      </c>
      <c r="X109" s="491">
        <f t="shared" si="16"/>
        <v>5.8746851293435514</v>
      </c>
      <c r="Y109" s="526" t="str" cm="1">
        <f t="array" ref="Y109">_xlfn.IFS(G109&lt;44361, "Before the burn", G109&lt;44403, "During the burn", G109&gt;44403, "After the burn")</f>
        <v>During the burn</v>
      </c>
      <c r="Z109" s="1091" t="s">
        <v>288</v>
      </c>
    </row>
    <row r="110" spans="1:26" s="279" customFormat="1" x14ac:dyDescent="0.3">
      <c r="A110" s="301" t="str">
        <v>SPO44377</v>
      </c>
      <c r="B110" s="302" t="str">
        <f t="shared" si="19"/>
        <v>CSPO44377</v>
      </c>
      <c r="C110" s="302" t="str">
        <v>HRS44377</v>
      </c>
      <c r="D110" s="302" t="str">
        <f t="shared" si="11"/>
        <v>RS44377</v>
      </c>
      <c r="E110" s="302" t="str">
        <f t="shared" si="12"/>
        <v>RS443776</v>
      </c>
      <c r="F110" s="302" t="str">
        <f t="shared" si="13"/>
        <v>RS</v>
      </c>
      <c r="G110" s="316">
        <f t="shared" si="14"/>
        <v>44377</v>
      </c>
      <c r="H110" s="350">
        <f>INDEX(qPCR_Managed!N$4:N$235, MATCH($E110, qPCR_Managed!$E$4:$E$235, 0), 1)</f>
        <v>143376061.67969105</v>
      </c>
      <c r="I110" s="351">
        <f>INDEX(qPCR_Managed!Q$4:Q$235, MATCH($E110, qPCR_Managed!$E$4:$E$235, 0), 1)</f>
        <v>8.15647664681115</v>
      </c>
      <c r="J110" s="352">
        <f>INDEX(qPCR_Managed!R$4:R$235, MATCH($E110, qPCR_Managed!$E$4:$E$235, 0), 1)</f>
        <v>0.18518215863237994</v>
      </c>
      <c r="K110" s="353">
        <f>INDEX(qPCR_Managed!Y$4:Y$235, MATCH($E110, qPCR_Managed!$E$4:$E$235, 0), 1)</f>
        <v>57434.004095447803</v>
      </c>
      <c r="L110" s="354">
        <f>INDEX(qPCR_Managed!AB$4:AB$235, MATCH($E110, qPCR_Managed!$E$4:$E$235, 0), 1)</f>
        <v>4.7591690948104999</v>
      </c>
      <c r="M110" s="355">
        <f>INDEX(qPCR_Managed!AC$4:AC$235, MATCH($E110, qPCR_Managed!$E$4:$E$235, 0), 1)</f>
        <v>0.17442451075881682</v>
      </c>
      <c r="N110" s="350">
        <f>INDEX(qPCR_Managed!AJ$4:AJ$235, MATCH($E110, qPCR_Managed!$E$4:$E$235, 0), 1)</f>
        <v>107100.73275443834</v>
      </c>
      <c r="O110" s="351">
        <f>INDEX(qPCR_Managed!AM$4:AM$235, MATCH($E110, qPCR_Managed!$E$4:$E$235, 0), 1)</f>
        <v>5.0297924421681817</v>
      </c>
      <c r="P110" s="352">
        <f>INDEX(qPCR_Managed!AN$4:AN$235, MATCH($E110, qPCR_Managed!$E$4:$E$235, 0), 1)</f>
        <v>0.30267354609648317</v>
      </c>
      <c r="Q110" s="356">
        <f>INDEX(qPCR_Managed!AU$4:AU$235, MATCH($E110, qPCR_Managed!$E$4:$E$235, 0), 1)</f>
        <v>0</v>
      </c>
      <c r="R110" s="354">
        <f>INDEX(qPCR_Managed!AX$4:AX$235, MATCH($E110, qPCR_Managed!$E$4:$E$235, 0), 1)</f>
        <v>0</v>
      </c>
      <c r="S110" s="357">
        <f>INDEX(qPCR_Managed!AY$4:AY$235, MATCH($E110, qPCR_Managed!$E$4:$E$235, 0), 1)</f>
        <v>0</v>
      </c>
      <c r="T110" s="358">
        <f>INDEX(qPCR_Managed!BF$4:BF$235, MATCH($E110, qPCR_Managed!$E$4:$E$235, 0), 1)</f>
        <v>952376.10366318247</v>
      </c>
      <c r="U110" s="351">
        <f>INDEX(qPCR_Managed!BI$4:BI$235, MATCH($E110, qPCR_Managed!$E$4:$E$235, 0), 1)</f>
        <v>5.9788084898644929</v>
      </c>
      <c r="V110" s="359">
        <f>INDEX(qPCR_Managed!BJ$4:BJ$235, MATCH($E110, qPCR_Managed!$E$4:$E$235, 0), 1)</f>
        <v>0.19725880017594594</v>
      </c>
      <c r="W110" s="490">
        <f t="shared" si="15"/>
        <v>1116910.8405130687</v>
      </c>
      <c r="X110" s="491">
        <f t="shared" si="16"/>
        <v>6.0480185061338281</v>
      </c>
      <c r="Y110" s="526" t="str" cm="1">
        <f t="array" ref="Y110">_xlfn.IFS(G110&lt;44361, "Before the burn", G110&lt;44403, "During the burn", G110&gt;44403, "After the burn")</f>
        <v>During the burn</v>
      </c>
      <c r="Z110" s="1091" t="s">
        <v>288</v>
      </c>
    </row>
    <row r="111" spans="1:26" s="279" customFormat="1" x14ac:dyDescent="0.3">
      <c r="A111" s="301" t="str">
        <v>SPO44385</v>
      </c>
      <c r="B111" s="302" t="str">
        <f t="shared" si="19"/>
        <v>CSPO44385</v>
      </c>
      <c r="C111" s="302" t="str">
        <v>HRS44385</v>
      </c>
      <c r="D111" s="302" t="str">
        <f t="shared" si="11"/>
        <v>RS44385</v>
      </c>
      <c r="E111" s="302" t="str">
        <f t="shared" si="12"/>
        <v>RS443856</v>
      </c>
      <c r="F111" s="302" t="str">
        <f t="shared" si="13"/>
        <v>RS</v>
      </c>
      <c r="G111" s="316">
        <f t="shared" si="14"/>
        <v>44385</v>
      </c>
      <c r="H111" s="350">
        <f>INDEX(qPCR_Managed!N$4:N$235, MATCH($E111, qPCR_Managed!$E$4:$E$235, 0), 1)</f>
        <v>16409049987.985281</v>
      </c>
      <c r="I111" s="351">
        <f>INDEX(qPCR_Managed!Q$4:Q$235, MATCH($E111, qPCR_Managed!$E$4:$E$235, 0), 1)</f>
        <v>10.215083438035487</v>
      </c>
      <c r="J111" s="352">
        <f>INDEX(qPCR_Managed!R$4:R$235, MATCH($E111, qPCR_Managed!$E$4:$E$235, 0), 1)</f>
        <v>0.4194819167290702</v>
      </c>
      <c r="K111" s="353">
        <f>INDEX(qPCR_Managed!Y$4:Y$235, MATCH($E111, qPCR_Managed!$E$4:$E$235, 0), 1)</f>
        <v>77360.772254058669</v>
      </c>
      <c r="L111" s="354">
        <f>INDEX(qPCR_Managed!AB$4:AB$235, MATCH($E111, qPCR_Managed!$E$4:$E$235, 0), 1)</f>
        <v>4.8885207964420898</v>
      </c>
      <c r="M111" s="355">
        <f>INDEX(qPCR_Managed!AC$4:AC$235, MATCH($E111, qPCR_Managed!$E$4:$E$235, 0), 1)</f>
        <v>0.19758851416278725</v>
      </c>
      <c r="N111" s="350">
        <f>INDEX(qPCR_Managed!AJ$4:AJ$235, MATCH($E111, qPCR_Managed!$E$4:$E$235, 0), 1)</f>
        <v>66771.347657093022</v>
      </c>
      <c r="O111" s="351">
        <f>INDEX(qPCR_Managed!AM$4:AM$235, MATCH($E111, qPCR_Managed!$E$4:$E$235, 0), 1)</f>
        <v>4.8245901417589065</v>
      </c>
      <c r="P111" s="352">
        <f>INDEX(qPCR_Managed!AN$4:AN$235, MATCH($E111, qPCR_Managed!$E$4:$E$235, 0), 1)</f>
        <v>0.33884183302498949</v>
      </c>
      <c r="Q111" s="356">
        <f>INDEX(qPCR_Managed!AU$4:AU$235, MATCH($E111, qPCR_Managed!$E$4:$E$235, 0), 1)</f>
        <v>0</v>
      </c>
      <c r="R111" s="354">
        <f>INDEX(qPCR_Managed!AX$4:AX$235, MATCH($E111, qPCR_Managed!$E$4:$E$235, 0), 1)</f>
        <v>0</v>
      </c>
      <c r="S111" s="357">
        <f>INDEX(qPCR_Managed!AY$4:AY$235, MATCH($E111, qPCR_Managed!$E$4:$E$235, 0), 1)</f>
        <v>0</v>
      </c>
      <c r="T111" s="358">
        <f>INDEX(qPCR_Managed!BF$4:BF$235, MATCH($E111, qPCR_Managed!$E$4:$E$235, 0), 1)</f>
        <v>1283609.8329322773</v>
      </c>
      <c r="U111" s="351">
        <f>INDEX(qPCR_Managed!BI$4:BI$235, MATCH($E111, qPCR_Managed!$E$4:$E$235, 0), 1)</f>
        <v>6.1084330352946665</v>
      </c>
      <c r="V111" s="359">
        <f>INDEX(qPCR_Managed!BJ$4:BJ$235, MATCH($E111, qPCR_Managed!$E$4:$E$235, 0), 1)</f>
        <v>0.16189368997157527</v>
      </c>
      <c r="W111" s="490">
        <f t="shared" si="15"/>
        <v>1427741.9528434291</v>
      </c>
      <c r="X111" s="491">
        <f t="shared" si="16"/>
        <v>6.1546497210374449</v>
      </c>
      <c r="Y111" s="526" t="str" cm="1">
        <f t="array" ref="Y111">_xlfn.IFS(G111&lt;44361, "Before the burn", G111&lt;44403, "During the burn", G111&gt;44403, "After the burn")</f>
        <v>During the burn</v>
      </c>
      <c r="Z111" s="1091" t="s">
        <v>288</v>
      </c>
    </row>
    <row r="112" spans="1:26" s="279" customFormat="1" x14ac:dyDescent="0.3">
      <c r="A112" s="301" t="str">
        <v>SPO44391</v>
      </c>
      <c r="B112" s="302" t="str">
        <f t="shared" si="19"/>
        <v>CSPO44391</v>
      </c>
      <c r="C112" s="302" t="str">
        <v>HRS44391</v>
      </c>
      <c r="D112" s="302" t="str">
        <f t="shared" si="11"/>
        <v>RS44391</v>
      </c>
      <c r="E112" s="302" t="str">
        <f t="shared" si="12"/>
        <v>RS443916</v>
      </c>
      <c r="F112" s="302" t="str">
        <f t="shared" si="13"/>
        <v>RS</v>
      </c>
      <c r="G112" s="316">
        <f t="shared" si="14"/>
        <v>44391</v>
      </c>
      <c r="H112" s="350">
        <f>INDEX(qPCR_Managed!N$4:N$235, MATCH($E112, qPCR_Managed!$E$4:$E$235, 0), 1)</f>
        <v>14338618581.142103</v>
      </c>
      <c r="I112" s="351">
        <f>INDEX(qPCR_Managed!Q$4:Q$235, MATCH($E112, qPCR_Managed!$E$4:$E$235, 0), 1)</f>
        <v>10.156507312316004</v>
      </c>
      <c r="J112" s="352">
        <f>INDEX(qPCR_Managed!R$4:R$235, MATCH($E112, qPCR_Managed!$E$4:$E$235, 0), 1)</f>
        <v>0.43088481053527622</v>
      </c>
      <c r="K112" s="353">
        <f>INDEX(qPCR_Managed!Y$4:Y$235, MATCH($E112, qPCR_Managed!$E$4:$E$235, 0), 1)</f>
        <v>119424.19139557664</v>
      </c>
      <c r="L112" s="354">
        <f>INDEX(qPCR_Managed!AB$4:AB$235, MATCH($E112, qPCR_Managed!$E$4:$E$235, 0), 1)</f>
        <v>5.0770923094184184</v>
      </c>
      <c r="M112" s="355">
        <f>INDEX(qPCR_Managed!AC$4:AC$235, MATCH($E112, qPCR_Managed!$E$4:$E$235, 0), 1)</f>
        <v>0.19354740394730724</v>
      </c>
      <c r="N112" s="350">
        <f>INDEX(qPCR_Managed!AJ$4:AJ$235, MATCH($E112, qPCR_Managed!$E$4:$E$235, 0), 1)</f>
        <v>148097.27831216069</v>
      </c>
      <c r="O112" s="351">
        <f>INDEX(qPCR_Managed!AM$4:AM$235, MATCH($E112, qPCR_Managed!$E$4:$E$235, 0), 1)</f>
        <v>5.1705470772594166</v>
      </c>
      <c r="P112" s="352">
        <f>INDEX(qPCR_Managed!AN$4:AN$235, MATCH($E112, qPCR_Managed!$E$4:$E$235, 0), 1)</f>
        <v>0.37183088302961859</v>
      </c>
      <c r="Q112" s="356">
        <f>INDEX(qPCR_Managed!AU$4:AU$235, MATCH($E112, qPCR_Managed!$E$4:$E$235, 0), 1)</f>
        <v>386.95036737542404</v>
      </c>
      <c r="R112" s="354">
        <f>INDEX(qPCR_Managed!AX$4:AX$235, MATCH($E112, qPCR_Managed!$E$4:$E$235, 0), 1)</f>
        <v>2.5876552633204204</v>
      </c>
      <c r="S112" s="357">
        <f>INDEX(qPCR_Managed!AY$4:AY$235, MATCH($E112, qPCR_Managed!$E$4:$E$235, 0), 1)</f>
        <v>0.43429448190325176</v>
      </c>
      <c r="T112" s="358">
        <f>INDEX(qPCR_Managed!BF$4:BF$235, MATCH($E112, qPCR_Managed!$E$4:$E$235, 0), 1)</f>
        <v>1008360.8018478972</v>
      </c>
      <c r="U112" s="351">
        <f>INDEX(qPCR_Managed!BI$4:BI$235, MATCH($E112, qPCR_Managed!$E$4:$E$235, 0), 1)</f>
        <v>6.0036159549417007</v>
      </c>
      <c r="V112" s="359">
        <f>INDEX(qPCR_Managed!BJ$4:BJ$235, MATCH($E112, qPCR_Managed!$E$4:$E$235, 0), 1)</f>
        <v>0.28004694595576629</v>
      </c>
      <c r="W112" s="490">
        <f t="shared" si="15"/>
        <v>1276269.22192301</v>
      </c>
      <c r="X112" s="491">
        <f t="shared" si="16"/>
        <v>6.1059422960643923</v>
      </c>
      <c r="Y112" s="526" t="str" cm="1">
        <f t="array" ref="Y112">_xlfn.IFS(G112&lt;44361, "Before the burn", G112&lt;44403, "During the burn", G112&gt;44403, "After the burn")</f>
        <v>During the burn</v>
      </c>
      <c r="Z112" s="1091" t="s">
        <v>288</v>
      </c>
    </row>
    <row r="113" spans="1:26" s="279" customFormat="1" x14ac:dyDescent="0.3">
      <c r="A113" s="301" t="str">
        <v>SPO44398</v>
      </c>
      <c r="B113" s="302" t="str">
        <f t="shared" si="19"/>
        <v>CSPO44398</v>
      </c>
      <c r="C113" s="302" t="str">
        <v>HRS44398</v>
      </c>
      <c r="D113" s="302" t="str">
        <f t="shared" si="11"/>
        <v>RS44398</v>
      </c>
      <c r="E113" s="302" t="str">
        <f t="shared" si="12"/>
        <v>RS443986</v>
      </c>
      <c r="F113" s="302" t="str">
        <f t="shared" si="13"/>
        <v>RS</v>
      </c>
      <c r="G113" s="316">
        <f t="shared" si="14"/>
        <v>44398</v>
      </c>
      <c r="H113" s="350">
        <f>INDEX(qPCR_Managed!N$4:N$235, MATCH($E113, qPCR_Managed!$E$4:$E$235, 0), 1)</f>
        <v>38399491.316661008</v>
      </c>
      <c r="I113" s="351">
        <f>INDEX(qPCR_Managed!Q$4:Q$235, MATCH($E113, qPCR_Managed!$E$4:$E$235, 0), 1)</f>
        <v>7.584325471246947</v>
      </c>
      <c r="J113" s="352">
        <f>INDEX(qPCR_Managed!R$4:R$235, MATCH($E113, qPCR_Managed!$E$4:$E$235, 0), 1)</f>
        <v>0.18213595659498813</v>
      </c>
      <c r="K113" s="353">
        <f>INDEX(qPCR_Managed!Y$4:Y$235, MATCH($E113, qPCR_Managed!$E$4:$E$235, 0), 1)</f>
        <v>56496.787660018264</v>
      </c>
      <c r="L113" s="354">
        <f>INDEX(qPCR_Managed!AB$4:AB$235, MATCH($E113, qPCR_Managed!$E$4:$E$235, 0), 1)</f>
        <v>4.7520237550550277</v>
      </c>
      <c r="M113" s="355">
        <f>INDEX(qPCR_Managed!AC$4:AC$235, MATCH($E113, qPCR_Managed!$E$4:$E$235, 0), 1)</f>
        <v>0.33152751490615967</v>
      </c>
      <c r="N113" s="350">
        <f>INDEX(qPCR_Managed!AJ$4:AJ$235, MATCH($E113, qPCR_Managed!$E$4:$E$235, 0), 1)</f>
        <v>80147.284466287369</v>
      </c>
      <c r="O113" s="351">
        <f>INDEX(qPCR_Managed!AM$4:AM$235, MATCH($E113, qPCR_Managed!$E$4:$E$235, 0), 1)</f>
        <v>4.9038888122636424</v>
      </c>
      <c r="P113" s="352">
        <f>INDEX(qPCR_Managed!AN$4:AN$235, MATCH($E113, qPCR_Managed!$E$4:$E$235, 0), 1)</f>
        <v>0.17176940892169396</v>
      </c>
      <c r="Q113" s="356">
        <f>INDEX(qPCR_Managed!AU$4:AU$235, MATCH($E113, qPCR_Managed!$E$4:$E$235, 0), 1)</f>
        <v>0</v>
      </c>
      <c r="R113" s="354">
        <f>INDEX(qPCR_Managed!AX$4:AX$235, MATCH($E113, qPCR_Managed!$E$4:$E$235, 0), 1)</f>
        <v>0</v>
      </c>
      <c r="S113" s="357">
        <f>INDEX(qPCR_Managed!AY$4:AY$235, MATCH($E113, qPCR_Managed!$E$4:$E$235, 0), 1)</f>
        <v>0</v>
      </c>
      <c r="T113" s="358">
        <f>INDEX(qPCR_Managed!BF$4:BF$235, MATCH($E113, qPCR_Managed!$E$4:$E$235, 0), 1)</f>
        <v>299398.47412109375</v>
      </c>
      <c r="U113" s="351">
        <f>INDEX(qPCR_Managed!BI$4:BI$235, MATCH($E113, qPCR_Managed!$E$4:$E$235, 0), 1)</f>
        <v>5.4762495826387045</v>
      </c>
      <c r="V113" s="359">
        <f>INDEX(qPCR_Managed!BJ$4:BJ$235, MATCH($E113, qPCR_Managed!$E$4:$E$235, 0), 1)</f>
        <v>0.28819327842287246</v>
      </c>
      <c r="W113" s="490">
        <f t="shared" si="15"/>
        <v>436042.54624739941</v>
      </c>
      <c r="X113" s="491">
        <f t="shared" si="16"/>
        <v>5.6395288670185373</v>
      </c>
      <c r="Y113" s="526" t="str" cm="1">
        <f t="array" ref="Y113">_xlfn.IFS(G113&lt;44361, "Before the burn", G113&lt;44403, "During the burn", G113&gt;44403, "After the burn")</f>
        <v>During the burn</v>
      </c>
      <c r="Z113" s="1091" t="s">
        <v>288</v>
      </c>
    </row>
    <row r="114" spans="1:26" s="279" customFormat="1" x14ac:dyDescent="0.3">
      <c r="A114" s="301" t="str">
        <v>SPO44405</v>
      </c>
      <c r="B114" s="302" t="str">
        <f t="shared" si="19"/>
        <v>CSPO44405</v>
      </c>
      <c r="C114" s="302" t="str">
        <v>HRS44405</v>
      </c>
      <c r="D114" s="302" t="str">
        <f t="shared" si="11"/>
        <v>RS44405</v>
      </c>
      <c r="E114" s="302" t="str">
        <f t="shared" si="12"/>
        <v>RS444056</v>
      </c>
      <c r="F114" s="302" t="str">
        <f t="shared" si="13"/>
        <v>RS</v>
      </c>
      <c r="G114" s="316">
        <f t="shared" si="14"/>
        <v>44405</v>
      </c>
      <c r="H114" s="350">
        <f>INDEX(qPCR_Managed!N$4:N$235, MATCH($E114, qPCR_Managed!$E$4:$E$235, 0), 1)</f>
        <v>6587094752.5368137</v>
      </c>
      <c r="I114" s="351">
        <f>INDEX(qPCR_Managed!Q$4:Q$235, MATCH($E114, qPCR_Managed!$E$4:$E$235, 0), 1)</f>
        <v>9.8186939106265623</v>
      </c>
      <c r="J114" s="352">
        <f>INDEX(qPCR_Managed!R$4:R$235, MATCH($E114, qPCR_Managed!$E$4:$E$235, 0), 1)</f>
        <v>2.3482742912674541E-2</v>
      </c>
      <c r="K114" s="353">
        <f>INDEX(qPCR_Managed!Y$4:Y$235, MATCH($E114, qPCR_Managed!$E$4:$E$235, 0), 1)</f>
        <v>70088.184959010076</v>
      </c>
      <c r="L114" s="354">
        <f>INDEX(qPCR_Managed!AB$4:AB$235, MATCH($E114, qPCR_Managed!$E$4:$E$235, 0), 1)</f>
        <v>4.8456448134078149</v>
      </c>
      <c r="M114" s="355">
        <f>INDEX(qPCR_Managed!AC$4:AC$235, MATCH($E114, qPCR_Managed!$E$4:$E$235, 0), 1)</f>
        <v>7.8415849505495794E-2</v>
      </c>
      <c r="N114" s="350">
        <f>INDEX(qPCR_Managed!AJ$4:AJ$235, MATCH($E114, qPCR_Managed!$E$4:$E$235, 0), 1)</f>
        <v>107617.26218775699</v>
      </c>
      <c r="O114" s="351">
        <f>INDEX(qPCR_Managed!AM$4:AM$235, MATCH($E114, qPCR_Managed!$E$4:$E$235, 0), 1)</f>
        <v>5.0318819392819867</v>
      </c>
      <c r="P114" s="352">
        <f>INDEX(qPCR_Managed!AN$4:AN$235, MATCH($E114, qPCR_Managed!$E$4:$E$235, 0), 1)</f>
        <v>0.29251868854289048</v>
      </c>
      <c r="Q114" s="356">
        <f>INDEX(qPCR_Managed!AU$4:AU$235, MATCH($E114, qPCR_Managed!$E$4:$E$235, 0), 1)</f>
        <v>388.14637535496757</v>
      </c>
      <c r="R114" s="354">
        <f>INDEX(qPCR_Managed!AX$4:AX$235, MATCH($E114, qPCR_Managed!$E$4:$E$235, 0), 1)</f>
        <v>2.5889955349263674</v>
      </c>
      <c r="S114" s="357">
        <f>INDEX(qPCR_Managed!AY$4:AY$235, MATCH($E114, qPCR_Managed!$E$4:$E$235, 0), 1)</f>
        <v>0.43429448190325176</v>
      </c>
      <c r="T114" s="358">
        <f>INDEX(qPCR_Managed!BF$4:BF$235, MATCH($E114, qPCR_Managed!$E$4:$E$235, 0), 1)</f>
        <v>474137.22028230364</v>
      </c>
      <c r="U114" s="351">
        <f>INDEX(qPCR_Managed!BI$4:BI$235, MATCH($E114, qPCR_Managed!$E$4:$E$235, 0), 1)</f>
        <v>5.6759040492416206</v>
      </c>
      <c r="V114" s="359">
        <f>INDEX(qPCR_Managed!BJ$4:BJ$235, MATCH($E114, qPCR_Managed!$E$4:$E$235, 0), 1)</f>
        <v>0.37761814243884673</v>
      </c>
      <c r="W114" s="490">
        <f t="shared" si="15"/>
        <v>652230.81380442565</v>
      </c>
      <c r="X114" s="491">
        <f t="shared" si="16"/>
        <v>5.8144013126378464</v>
      </c>
      <c r="Y114" s="526" t="str" cm="1">
        <f t="array" ref="Y114">_xlfn.IFS(G114&lt;44361, "Before the burn", G114&lt;44403, "During the burn", G114&gt;44403, "After the burn")</f>
        <v>After the burn</v>
      </c>
      <c r="Z114" s="1091" t="s">
        <v>288</v>
      </c>
    </row>
    <row r="115" spans="1:26" s="279" customFormat="1" x14ac:dyDescent="0.3">
      <c r="A115" s="301" t="str">
        <v>SPO44412</v>
      </c>
      <c r="B115" s="302" t="str">
        <f t="shared" si="19"/>
        <v>CSPO44412</v>
      </c>
      <c r="C115" s="302" t="str">
        <v>HRS44412</v>
      </c>
      <c r="D115" s="302" t="str">
        <f t="shared" si="11"/>
        <v>RS44412</v>
      </c>
      <c r="E115" s="302" t="str">
        <f t="shared" si="12"/>
        <v>RS444126</v>
      </c>
      <c r="F115" s="302" t="str">
        <f t="shared" si="13"/>
        <v>RS</v>
      </c>
      <c r="G115" s="316">
        <f t="shared" si="14"/>
        <v>44412</v>
      </c>
      <c r="H115" s="350">
        <f>INDEX(qPCR_Managed!N$4:N$235, MATCH($E115, qPCR_Managed!$E$4:$E$235, 0), 1)</f>
        <v>16064625517.928452</v>
      </c>
      <c r="I115" s="351">
        <f>INDEX(qPCR_Managed!Q$4:Q$235, MATCH($E115, qPCR_Managed!$E$4:$E$235, 0), 1)</f>
        <v>10.205870606178054</v>
      </c>
      <c r="J115" s="352">
        <f>INDEX(qPCR_Managed!R$4:R$235, MATCH($E115, qPCR_Managed!$E$4:$E$235, 0), 1)</f>
        <v>0.42568295894565583</v>
      </c>
      <c r="K115" s="353">
        <f>INDEX(qPCR_Managed!Y$4:Y$235, MATCH($E115, qPCR_Managed!$E$4:$E$235, 0), 1)</f>
        <v>36254.02649412764</v>
      </c>
      <c r="L115" s="354">
        <f>INDEX(qPCR_Managed!AB$4:AB$235, MATCH($E115, qPCR_Managed!$E$4:$E$235, 0), 1)</f>
        <v>4.5593562477917047</v>
      </c>
      <c r="M115" s="355">
        <f>INDEX(qPCR_Managed!AC$4:AC$235, MATCH($E115, qPCR_Managed!$E$4:$E$235, 0), 1)</f>
        <v>3.490438643317173E-2</v>
      </c>
      <c r="N115" s="350">
        <f>INDEX(qPCR_Managed!AJ$4:AJ$235, MATCH($E115, qPCR_Managed!$E$4:$E$235, 0), 1)</f>
        <v>73374.810011843423</v>
      </c>
      <c r="O115" s="351">
        <f>INDEX(qPCR_Managed!AM$4:AM$235, MATCH($E115, qPCR_Managed!$E$4:$E$235, 0), 1)</f>
        <v>4.8655469897457584</v>
      </c>
      <c r="P115" s="352">
        <f>INDEX(qPCR_Managed!AN$4:AN$235, MATCH($E115, qPCR_Managed!$E$4:$E$235, 0), 1)</f>
        <v>0.11855281625767398</v>
      </c>
      <c r="Q115" s="356">
        <f>INDEX(qPCR_Managed!AU$4:AU$235, MATCH($E115, qPCR_Managed!$E$4:$E$235, 0), 1)</f>
        <v>434.03660997431331</v>
      </c>
      <c r="R115" s="354">
        <f>INDEX(qPCR_Managed!AX$4:AX$235, MATCH($E115, qPCR_Managed!$E$4:$E$235, 0), 1)</f>
        <v>2.6375263627827059</v>
      </c>
      <c r="S115" s="357">
        <f>INDEX(qPCR_Managed!AY$4:AY$235, MATCH($E115, qPCR_Managed!$E$4:$E$235, 0), 1)</f>
        <v>0.43429448190325176</v>
      </c>
      <c r="T115" s="358">
        <f>INDEX(qPCR_Managed!BF$4:BF$235, MATCH($E115, qPCR_Managed!$E$4:$E$235, 0), 1)</f>
        <v>179645.90038543052</v>
      </c>
      <c r="U115" s="351">
        <f>INDEX(qPCR_Managed!BI$4:BI$235, MATCH($E115, qPCR_Managed!$E$4:$E$235, 0), 1)</f>
        <v>5.2544173108237153</v>
      </c>
      <c r="V115" s="359">
        <f>INDEX(qPCR_Managed!BJ$4:BJ$235, MATCH($E115, qPCR_Managed!$E$4:$E$235, 0), 1)</f>
        <v>1.3309638831127731E-2</v>
      </c>
      <c r="W115" s="490">
        <f t="shared" si="15"/>
        <v>289708.77350137592</v>
      </c>
      <c r="X115" s="491">
        <f t="shared" si="16"/>
        <v>5.4619616475183594</v>
      </c>
      <c r="Y115" s="526" t="str" cm="1">
        <f t="array" ref="Y115">_xlfn.IFS(G115&lt;44361, "Before the burn", G115&lt;44403, "During the burn", G115&gt;44403, "After the burn")</f>
        <v>After the burn</v>
      </c>
      <c r="Z115" s="1091" t="s">
        <v>288</v>
      </c>
    </row>
    <row r="116" spans="1:26" s="279" customFormat="1" x14ac:dyDescent="0.3">
      <c r="A116" s="301" t="str">
        <v>SPO44419</v>
      </c>
      <c r="B116" s="302" t="str">
        <f t="shared" si="19"/>
        <v>CSPO44419</v>
      </c>
      <c r="C116" s="302" t="str">
        <v>HRS44419</v>
      </c>
      <c r="D116" s="302" t="str">
        <f t="shared" si="11"/>
        <v>RS44419</v>
      </c>
      <c r="E116" s="302" t="str">
        <f t="shared" si="12"/>
        <v>RS444196</v>
      </c>
      <c r="F116" s="302" t="str">
        <f t="shared" si="13"/>
        <v>RS</v>
      </c>
      <c r="G116" s="316">
        <f t="shared" si="14"/>
        <v>44419</v>
      </c>
      <c r="H116" s="350">
        <f>INDEX(qPCR_Managed!N$4:N$235, MATCH($E116, qPCR_Managed!$E$4:$E$235, 0), 1)</f>
        <v>73629304.93827939</v>
      </c>
      <c r="I116" s="351">
        <f>INDEX(qPCR_Managed!Q$4:Q$235, MATCH($E116, qPCR_Managed!$E$4:$E$235, 0), 1)</f>
        <v>7.8670507007497612</v>
      </c>
      <c r="J116" s="352">
        <f>INDEX(qPCR_Managed!R$4:R$235, MATCH($E116, qPCR_Managed!$E$4:$E$235, 0), 1)</f>
        <v>0.26724709382511219</v>
      </c>
      <c r="K116" s="353">
        <f>INDEX(qPCR_Managed!Y$4:Y$235, MATCH($E116, qPCR_Managed!$E$4:$E$235, 0), 1)</f>
        <v>9661.5081668747735</v>
      </c>
      <c r="L116" s="354">
        <f>INDEX(qPCR_Managed!AB$4:AB$235, MATCH($E116, qPCR_Managed!$E$4:$E$235, 0), 1)</f>
        <v>3.9850449253209592</v>
      </c>
      <c r="M116" s="355">
        <f>INDEX(qPCR_Managed!AC$4:AC$235, MATCH($E116, qPCR_Managed!$E$4:$E$235, 0), 1)</f>
        <v>0.19857698348318406</v>
      </c>
      <c r="N116" s="350">
        <f>INDEX(qPCR_Managed!AJ$4:AJ$235, MATCH($E116, qPCR_Managed!$E$4:$E$235, 0), 1)</f>
        <v>12225.516857450521</v>
      </c>
      <c r="O116" s="351">
        <f>INDEX(qPCR_Managed!AM$4:AM$235, MATCH($E116, qPCR_Managed!$E$4:$E$235, 0), 1)</f>
        <v>4.0872672288258176</v>
      </c>
      <c r="P116" s="352">
        <f>INDEX(qPCR_Managed!AN$4:AN$235, MATCH($E116, qPCR_Managed!$E$4:$E$235, 0), 1)</f>
        <v>0.15273893844396583</v>
      </c>
      <c r="Q116" s="356">
        <f>INDEX(qPCR_Managed!AU$4:AU$235, MATCH($E116, qPCR_Managed!$E$4:$E$235, 0), 1)</f>
        <v>0</v>
      </c>
      <c r="R116" s="354">
        <f>INDEX(qPCR_Managed!AX$4:AX$235, MATCH($E116, qPCR_Managed!$E$4:$E$235, 0), 1)</f>
        <v>0</v>
      </c>
      <c r="S116" s="357">
        <f>INDEX(qPCR_Managed!AY$4:AY$235, MATCH($E116, qPCR_Managed!$E$4:$E$235, 0), 1)</f>
        <v>0</v>
      </c>
      <c r="T116" s="358">
        <f>INDEX(qPCR_Managed!BF$4:BF$235, MATCH($E116, qPCR_Managed!$E$4:$E$235, 0), 1)</f>
        <v>71758.281567209211</v>
      </c>
      <c r="U116" s="351">
        <f>INDEX(qPCR_Managed!BI$4:BI$235, MATCH($E116, qPCR_Managed!$E$4:$E$235, 0), 1)</f>
        <v>4.8558720298853313</v>
      </c>
      <c r="V116" s="359">
        <f>INDEX(qPCR_Managed!BJ$4:BJ$235, MATCH($E116, qPCR_Managed!$E$4:$E$235, 0), 1)</f>
        <v>0.35384439391721256</v>
      </c>
      <c r="W116" s="490">
        <f t="shared" si="15"/>
        <v>93645.306591534507</v>
      </c>
      <c r="X116" s="491">
        <f t="shared" si="16"/>
        <v>4.9714860158545946</v>
      </c>
      <c r="Y116" s="526" t="str" cm="1">
        <f t="array" ref="Y116">_xlfn.IFS(G116&lt;44361, "Before the burn", G116&lt;44403, "During the burn", G116&gt;44403, "After the burn")</f>
        <v>After the burn</v>
      </c>
      <c r="Z116" s="1091" t="s">
        <v>288</v>
      </c>
    </row>
    <row r="117" spans="1:26" s="279" customFormat="1" x14ac:dyDescent="0.3">
      <c r="A117" s="301" t="str">
        <v>SPO44426</v>
      </c>
      <c r="B117" s="302" t="str">
        <f t="shared" si="19"/>
        <v>CSPO44426</v>
      </c>
      <c r="C117" s="302" t="str">
        <v>HRS44426</v>
      </c>
      <c r="D117" s="302" t="str">
        <f t="shared" si="11"/>
        <v>RS44426</v>
      </c>
      <c r="E117" s="302" t="str">
        <f t="shared" si="12"/>
        <v>RS444266</v>
      </c>
      <c r="F117" s="302" t="str">
        <f t="shared" si="13"/>
        <v>RS</v>
      </c>
      <c r="G117" s="316">
        <f t="shared" si="14"/>
        <v>44426</v>
      </c>
      <c r="H117" s="350">
        <f>INDEX(qPCR_Managed!N$4:N$235, MATCH($E117, qPCR_Managed!$E$4:$E$235, 0), 1)</f>
        <v>36564198272.898399</v>
      </c>
      <c r="I117" s="351">
        <f>INDEX(qPCR_Managed!Q$4:Q$235, MATCH($E117, qPCR_Managed!$E$4:$E$235, 0), 1)</f>
        <v>10.563056055280478</v>
      </c>
      <c r="J117" s="352">
        <f>INDEX(qPCR_Managed!R$4:R$235, MATCH($E117, qPCR_Managed!$E$4:$E$235, 0), 1)</f>
        <v>0.2282612894969332</v>
      </c>
      <c r="K117" s="353">
        <f>INDEX(qPCR_Managed!Y$4:Y$235, MATCH($E117, qPCR_Managed!$E$4:$E$235, 0), 1)</f>
        <v>100093.8214373845</v>
      </c>
      <c r="L117" s="354">
        <f>INDEX(qPCR_Managed!AB$4:AB$235, MATCH($E117, qPCR_Managed!$E$4:$E$235, 0), 1)</f>
        <v>5.0004072703018387</v>
      </c>
      <c r="M117" s="355">
        <f>INDEX(qPCR_Managed!AC$4:AC$235, MATCH($E117, qPCR_Managed!$E$4:$E$235, 0), 1)</f>
        <v>9.0894503752808151E-2</v>
      </c>
      <c r="N117" s="350">
        <f>INDEX(qPCR_Managed!AJ$4:AJ$235, MATCH($E117, qPCR_Managed!$E$4:$E$235, 0), 1)</f>
        <v>99557.523944813714</v>
      </c>
      <c r="O117" s="351">
        <f>INDEX(qPCR_Managed!AM$4:AM$235, MATCH($E117, qPCR_Managed!$E$4:$E$235, 0), 1)</f>
        <v>4.9980740869072635</v>
      </c>
      <c r="P117" s="352">
        <f>INDEX(qPCR_Managed!AN$4:AN$235, MATCH($E117, qPCR_Managed!$E$4:$E$235, 0), 1)</f>
        <v>0.23939320451605847</v>
      </c>
      <c r="Q117" s="356">
        <f>INDEX(qPCR_Managed!AU$4:AU$235, MATCH($E117, qPCR_Managed!$E$4:$E$235, 0), 1)</f>
        <v>0</v>
      </c>
      <c r="R117" s="354">
        <f>INDEX(qPCR_Managed!AX$4:AX$235, MATCH($E117, qPCR_Managed!$E$4:$E$235, 0), 1)</f>
        <v>0</v>
      </c>
      <c r="S117" s="357">
        <f>INDEX(qPCR_Managed!AY$4:AY$235, MATCH($E117, qPCR_Managed!$E$4:$E$235, 0), 1)</f>
        <v>0</v>
      </c>
      <c r="T117" s="358">
        <f>INDEX(qPCR_Managed!BF$4:BF$235, MATCH($E117, qPCR_Managed!$E$4:$E$235, 0), 1)</f>
        <v>196949.74913648382</v>
      </c>
      <c r="U117" s="351">
        <f>INDEX(qPCR_Managed!BI$4:BI$235, MATCH($E117, qPCR_Managed!$E$4:$E$235, 0), 1)</f>
        <v>5.2943554319656219</v>
      </c>
      <c r="V117" s="359">
        <f>INDEX(qPCR_Managed!BJ$4:BJ$235, MATCH($E117, qPCR_Managed!$E$4:$E$235, 0), 1)</f>
        <v>0.31745382611832568</v>
      </c>
      <c r="W117" s="490">
        <f t="shared" si="15"/>
        <v>396601.09451868205</v>
      </c>
      <c r="X117" s="491">
        <f t="shared" si="16"/>
        <v>5.5983539084138325</v>
      </c>
      <c r="Y117" s="526" t="str" cm="1">
        <f t="array" ref="Y117">_xlfn.IFS(G117&lt;44361, "Before the burn", G117&lt;44403, "During the burn", G117&gt;44403, "After the burn")</f>
        <v>After the burn</v>
      </c>
      <c r="Z117" s="1091" t="s">
        <v>288</v>
      </c>
    </row>
    <row r="118" spans="1:26" s="279" customFormat="1" ht="16.350000000000001" thickBot="1" x14ac:dyDescent="0.35">
      <c r="A118" s="305" t="str">
        <v>SPO44433</v>
      </c>
      <c r="B118" s="306" t="str">
        <f t="shared" si="19"/>
        <v>CSPO44433</v>
      </c>
      <c r="C118" s="306" t="str">
        <v>HRS44433</v>
      </c>
      <c r="D118" s="306" t="str">
        <f t="shared" si="11"/>
        <v>RS44433</v>
      </c>
      <c r="E118" s="306" t="str">
        <f t="shared" si="12"/>
        <v>RS444336</v>
      </c>
      <c r="F118" s="306" t="str">
        <f t="shared" si="13"/>
        <v>RS</v>
      </c>
      <c r="G118" s="318">
        <f t="shared" si="14"/>
        <v>44433</v>
      </c>
      <c r="H118" s="370">
        <f>INDEX(qPCR_Managed!N$4:N$235, MATCH($E118, qPCR_Managed!$E$4:$E$235, 0), 1)</f>
        <v>5272134086.2953701</v>
      </c>
      <c r="I118" s="371">
        <f>INDEX(qPCR_Managed!Q$4:Q$235, MATCH($E118, qPCR_Managed!$E$4:$E$235, 0), 1)</f>
        <v>9.7219864471469641</v>
      </c>
      <c r="J118" s="372">
        <f>INDEX(qPCR_Managed!R$4:R$235, MATCH($E118, qPCR_Managed!$E$4:$E$235, 0), 1)</f>
        <v>0.30509060942187038</v>
      </c>
      <c r="K118" s="373">
        <f>INDEX(qPCR_Managed!Y$4:Y$235, MATCH($E118, qPCR_Managed!$E$4:$E$235, 0), 1)</f>
        <v>38463.906860351563</v>
      </c>
      <c r="L118" s="374">
        <f>INDEX(qPCR_Managed!AB$4:AB$235, MATCH($E118, qPCR_Managed!$E$4:$E$235, 0), 1)</f>
        <v>4.5850533943517382</v>
      </c>
      <c r="M118" s="375">
        <f>INDEX(qPCR_Managed!AC$4:AC$235, MATCH($E118, qPCR_Managed!$E$4:$E$235, 0), 1)</f>
        <v>2.0400225410747711E-2</v>
      </c>
      <c r="N118" s="370">
        <f>INDEX(qPCR_Managed!AJ$4:AJ$235, MATCH($E118, qPCR_Managed!$E$4:$E$235, 0), 1)</f>
        <v>30609.590530395508</v>
      </c>
      <c r="O118" s="371">
        <f>INDEX(qPCR_Managed!AM$4:AM$235, MATCH($E118, qPCR_Managed!$E$4:$E$235, 0), 1)</f>
        <v>4.4858575200063786</v>
      </c>
      <c r="P118" s="372">
        <f>INDEX(qPCR_Managed!AN$4:AN$235, MATCH($E118, qPCR_Managed!$E$4:$E$235, 0), 1)</f>
        <v>0.29536552535321209</v>
      </c>
      <c r="Q118" s="376">
        <f>INDEX(qPCR_Managed!AU$4:AU$235, MATCH($E118, qPCR_Managed!$E$4:$E$235, 0), 1)</f>
        <v>722.44873046875</v>
      </c>
      <c r="R118" s="374">
        <f>INDEX(qPCR_Managed!AX$4:AX$235, MATCH($E118, qPCR_Managed!$E$4:$E$235, 0), 1)</f>
        <v>2.8588070322388779</v>
      </c>
      <c r="S118" s="377">
        <f>INDEX(qPCR_Managed!AY$4:AY$235, MATCH($E118, qPCR_Managed!$E$4:$E$235, 0), 1)</f>
        <v>0.43429448190325176</v>
      </c>
      <c r="T118" s="378">
        <f>INDEX(qPCR_Managed!BF$4:BF$235, MATCH($E118, qPCR_Managed!$E$4:$E$235, 0), 1)</f>
        <v>52716.384887695313</v>
      </c>
      <c r="U118" s="371">
        <f>INDEX(qPCR_Managed!BI$4:BI$235, MATCH($E118, qPCR_Managed!$E$4:$E$235, 0), 1)</f>
        <v>4.7219456201527663</v>
      </c>
      <c r="V118" s="379">
        <f>INDEX(qPCR_Managed!BJ$4:BJ$235, MATCH($E118, qPCR_Managed!$E$4:$E$235, 0), 1)</f>
        <v>4.1674593875753979E-2</v>
      </c>
      <c r="W118" s="494">
        <f t="shared" si="15"/>
        <v>122512.33100891113</v>
      </c>
      <c r="X118" s="495">
        <f t="shared" si="16"/>
        <v>5.0881798031463417</v>
      </c>
      <c r="Y118" s="528" t="str" cm="1">
        <f t="array" ref="Y118">_xlfn.IFS(G118&lt;44361, "Before the burn", G118&lt;44403, "During the burn", G118&gt;44403, "After the burn")</f>
        <v>After the burn</v>
      </c>
      <c r="Z118" s="1092" t="s">
        <v>288</v>
      </c>
    </row>
    <row r="119" spans="1:26" ht="16.350000000000001" thickTop="1" x14ac:dyDescent="0.3"/>
  </sheetData>
  <sheetProtection algorithmName="SHA-512" hashValue="fHulS3ue1rMcrAtt1YTJHCkizQcx0xgXseQjxlkQ25msMpebZ4BjIVU+sANiL5Be7+mqHWmQPbrQHJwgv1+X7Q==" saltValue="EDijOgZ8wj2YWauJLHyOjg==" spinCount="100000" sheet="1" objects="1" scenarios="1"/>
  <mergeCells count="6">
    <mergeCell ref="W1:X1"/>
    <mergeCell ref="H1:J1"/>
    <mergeCell ref="K1:M1"/>
    <mergeCell ref="N1:P1"/>
    <mergeCell ref="Q1:S1"/>
    <mergeCell ref="T1:V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58F1A-7960-4C53-A58E-C577FCFB3F84}">
  <dimension ref="A1:AB142"/>
  <sheetViews>
    <sheetView topLeftCell="F121" workbookViewId="0">
      <selection activeCell="I122" sqref="I122:I141"/>
    </sheetView>
  </sheetViews>
  <sheetFormatPr defaultRowHeight="15.75" x14ac:dyDescent="0.3"/>
  <cols>
    <col min="1" max="1" width="12.6640625" style="62" customWidth="1"/>
    <col min="2" max="3" width="14" style="62" customWidth="1"/>
    <col min="4" max="4" width="12.6640625" style="62" customWidth="1"/>
    <col min="5" max="5" width="13.21875" style="62" customWidth="1"/>
    <col min="6" max="6" width="6.5546875" style="62" customWidth="1"/>
    <col min="7" max="7" width="12.44140625" style="280" customWidth="1"/>
    <col min="8" max="8" width="12.77734375" style="283" customWidth="1"/>
    <col min="9" max="9" width="11.6640625" style="282" customWidth="1"/>
    <col min="10" max="10" width="15.5546875" style="282" customWidth="1"/>
    <col min="11" max="11" width="12.88671875" style="283" customWidth="1"/>
    <col min="12" max="12" width="10.88671875" style="282" customWidth="1"/>
    <col min="13" max="13" width="15.88671875" style="282" customWidth="1"/>
    <col min="14" max="14" width="13.109375" style="283" customWidth="1"/>
    <col min="15" max="15" width="11.44140625" style="282" customWidth="1"/>
    <col min="16" max="16" width="15.109375" style="282" customWidth="1"/>
    <col min="17" max="17" width="15.21875" style="283" customWidth="1"/>
    <col min="18" max="18" width="12.109375" style="282" customWidth="1"/>
    <col min="19" max="19" width="16.44140625" style="282" customWidth="1"/>
    <col min="20" max="20" width="14.44140625" style="283" customWidth="1"/>
    <col min="21" max="21" width="12.109375" style="282" customWidth="1"/>
    <col min="22" max="22" width="15.21875" style="282" customWidth="1"/>
    <col min="23" max="23" width="17.33203125" style="283" customWidth="1"/>
    <col min="24" max="24" width="15.21875" style="282" customWidth="1"/>
    <col min="25" max="25" width="16.44140625" style="62" customWidth="1"/>
    <col min="26" max="26" width="20" style="62" customWidth="1"/>
    <col min="27" max="16384" width="8.88671875" style="62"/>
  </cols>
  <sheetData>
    <row r="1" spans="1:28" ht="16.95" customHeight="1" thickTop="1" x14ac:dyDescent="0.3">
      <c r="A1" s="1689" t="s">
        <v>294</v>
      </c>
      <c r="B1" s="1690"/>
      <c r="C1" s="1690"/>
      <c r="D1" s="1690"/>
      <c r="E1" s="1690"/>
      <c r="F1" s="1690"/>
      <c r="G1" s="1691"/>
      <c r="H1" s="1701" t="s">
        <v>8</v>
      </c>
      <c r="I1" s="1659"/>
      <c r="J1" s="1702"/>
      <c r="K1" s="1667" t="s">
        <v>3</v>
      </c>
      <c r="L1" s="1662"/>
      <c r="M1" s="1668"/>
      <c r="N1" s="1669" t="s">
        <v>5</v>
      </c>
      <c r="O1" s="1665"/>
      <c r="P1" s="1687"/>
      <c r="Q1" s="1667" t="s">
        <v>6</v>
      </c>
      <c r="R1" s="1662"/>
      <c r="S1" s="1668"/>
      <c r="T1" s="1669" t="s">
        <v>51</v>
      </c>
      <c r="U1" s="1665"/>
      <c r="V1" s="1687"/>
      <c r="W1" s="1688" t="s">
        <v>229</v>
      </c>
      <c r="X1" s="1668"/>
      <c r="Y1" s="1132"/>
      <c r="Z1" s="1128"/>
    </row>
    <row r="2" spans="1:28" s="281" customFormat="1" ht="44.2" customHeight="1" thickBot="1" x14ac:dyDescent="0.35">
      <c r="A2" s="290" t="s">
        <v>208</v>
      </c>
      <c r="B2" s="291" t="s">
        <v>214</v>
      </c>
      <c r="C2" s="291" t="s">
        <v>217</v>
      </c>
      <c r="D2" s="291" t="s">
        <v>215</v>
      </c>
      <c r="E2" s="292" t="s">
        <v>174</v>
      </c>
      <c r="F2" s="292" t="s">
        <v>149</v>
      </c>
      <c r="G2" s="1130" t="s">
        <v>55</v>
      </c>
      <c r="H2" s="331" t="s">
        <v>163</v>
      </c>
      <c r="I2" s="293" t="s">
        <v>169</v>
      </c>
      <c r="J2" s="1131" t="s">
        <v>213</v>
      </c>
      <c r="K2" s="334" t="s">
        <v>163</v>
      </c>
      <c r="L2" s="307" t="s">
        <v>169</v>
      </c>
      <c r="M2" s="335" t="s">
        <v>213</v>
      </c>
      <c r="N2" s="331" t="s">
        <v>163</v>
      </c>
      <c r="O2" s="293" t="s">
        <v>169</v>
      </c>
      <c r="P2" s="1131" t="s">
        <v>213</v>
      </c>
      <c r="Q2" s="334" t="s">
        <v>163</v>
      </c>
      <c r="R2" s="307" t="s">
        <v>169</v>
      </c>
      <c r="S2" s="335" t="s">
        <v>213</v>
      </c>
      <c r="T2" s="331" t="s">
        <v>163</v>
      </c>
      <c r="U2" s="293" t="s">
        <v>169</v>
      </c>
      <c r="V2" s="1131" t="s">
        <v>213</v>
      </c>
      <c r="W2" s="334" t="s">
        <v>230</v>
      </c>
      <c r="X2" s="335" t="s">
        <v>231</v>
      </c>
      <c r="Y2" s="1133" t="s">
        <v>232</v>
      </c>
      <c r="Z2" s="1129" t="s">
        <v>149</v>
      </c>
    </row>
    <row r="3" spans="1:28" s="1127" customFormat="1" x14ac:dyDescent="0.3">
      <c r="A3" s="288" t="str" cm="1">
        <f t="array" ref="A3:Z18">_xlfn._xlws.FILTER(qPCR_Unique!A3:Z60, qPCR_Unique!G3:G60&lt;44361)</f>
        <v>EP44335</v>
      </c>
      <c r="B3" s="289" t="str">
        <v>AEP44335</v>
      </c>
      <c r="C3" s="289" t="str">
        <v>AEP44335</v>
      </c>
      <c r="D3" s="289" t="str">
        <v>EP44335</v>
      </c>
      <c r="E3" s="289" t="str">
        <v>EP443356</v>
      </c>
      <c r="F3" s="289" t="str">
        <v>EP</v>
      </c>
      <c r="G3" s="1134">
        <v>44335</v>
      </c>
      <c r="H3" s="332">
        <v>32164583.610520542</v>
      </c>
      <c r="I3" s="213">
        <v>7.5073779335749142</v>
      </c>
      <c r="J3" s="1135">
        <v>2.3035436250220781E-2</v>
      </c>
      <c r="K3" s="336">
        <v>52840.999497307668</v>
      </c>
      <c r="L3" s="308">
        <v>4.7229710237808709</v>
      </c>
      <c r="M3" s="337">
        <v>0.14788994274292655</v>
      </c>
      <c r="N3" s="332">
        <v>1512.8435691197712</v>
      </c>
      <c r="O3" s="213">
        <v>3.1797940234756839</v>
      </c>
      <c r="P3" s="1135">
        <v>0.13492832095299329</v>
      </c>
      <c r="Q3" s="336">
        <v>0</v>
      </c>
      <c r="R3" s="308">
        <v>0</v>
      </c>
      <c r="S3" s="337">
        <v>0</v>
      </c>
      <c r="T3" s="332">
        <v>0</v>
      </c>
      <c r="U3" s="213">
        <v>0</v>
      </c>
      <c r="V3" s="1135">
        <v>0</v>
      </c>
      <c r="W3" s="336">
        <v>54353.843066427442</v>
      </c>
      <c r="X3" s="337">
        <v>4.7352302561231019</v>
      </c>
      <c r="Y3" s="1136" t="str">
        <v>Before the burn</v>
      </c>
      <c r="Z3" s="1137" t="str">
        <v>Distribution system</v>
      </c>
    </row>
    <row r="4" spans="1:28" s="1127" customFormat="1" x14ac:dyDescent="0.3">
      <c r="A4" s="286" t="str">
        <v>EP44342</v>
      </c>
      <c r="B4" s="287" t="str">
        <v>AEP44342</v>
      </c>
      <c r="C4" s="287" t="str">
        <v>AEP44342</v>
      </c>
      <c r="D4" s="287" t="str">
        <v>EP44342</v>
      </c>
      <c r="E4" s="287" t="str">
        <v>EP443426</v>
      </c>
      <c r="F4" s="287" t="str">
        <v>EP</v>
      </c>
      <c r="G4" s="1138">
        <v>44342</v>
      </c>
      <c r="H4" s="1139">
        <v>26951814.677109942</v>
      </c>
      <c r="I4" s="197">
        <v>7.4305880117388243</v>
      </c>
      <c r="J4" s="1140">
        <v>2.6457692832264634E-2</v>
      </c>
      <c r="K4" s="1141">
        <v>25023.050202818511</v>
      </c>
      <c r="L4" s="1142">
        <v>4.3983402472244153</v>
      </c>
      <c r="M4" s="1143">
        <v>5.2992127759468773E-2</v>
      </c>
      <c r="N4" s="1139">
        <v>889.56442386900164</v>
      </c>
      <c r="O4" s="197">
        <v>2.9491774059529887</v>
      </c>
      <c r="P4" s="1140">
        <v>0.26297738069518506</v>
      </c>
      <c r="Q4" s="1141">
        <v>0</v>
      </c>
      <c r="R4" s="1142">
        <v>0</v>
      </c>
      <c r="S4" s="1143">
        <v>0</v>
      </c>
      <c r="T4" s="1139">
        <v>144.71015439885102</v>
      </c>
      <c r="U4" s="197">
        <v>2.1604990068941463</v>
      </c>
      <c r="V4" s="1140">
        <v>0.11642705313480027</v>
      </c>
      <c r="W4" s="1141">
        <v>26057.324781086361</v>
      </c>
      <c r="X4" s="1143">
        <v>4.4159298260944944</v>
      </c>
      <c r="Y4" s="1144" t="str">
        <v>Before the burn</v>
      </c>
      <c r="Z4" s="1145" t="str">
        <v>Distribution system</v>
      </c>
    </row>
    <row r="5" spans="1:28" s="1127" customFormat="1" x14ac:dyDescent="0.3">
      <c r="A5" s="286" t="str">
        <v>EP44350</v>
      </c>
      <c r="B5" s="287" t="str">
        <v>AEP44350</v>
      </c>
      <c r="C5" s="287" t="str">
        <v>AEP44350</v>
      </c>
      <c r="D5" s="287" t="str">
        <v>EP44350</v>
      </c>
      <c r="E5" s="287" t="str">
        <v>EP443506</v>
      </c>
      <c r="F5" s="287" t="str">
        <v>EP</v>
      </c>
      <c r="G5" s="1138">
        <v>44350</v>
      </c>
      <c r="H5" s="1139">
        <v>15887775.792306878</v>
      </c>
      <c r="I5" s="197">
        <v>7.2010631024471907</v>
      </c>
      <c r="J5" s="1140">
        <v>1.4858055983854399E-2</v>
      </c>
      <c r="K5" s="1141">
        <v>8269.3150698483641</v>
      </c>
      <c r="L5" s="1142">
        <v>3.9174695393344017</v>
      </c>
      <c r="M5" s="1143">
        <v>1.2266886723812187E-2</v>
      </c>
      <c r="N5" s="1139">
        <v>1751.7194643125429</v>
      </c>
      <c r="O5" s="197">
        <v>3.2434645556811552</v>
      </c>
      <c r="P5" s="1140">
        <v>3.6972262286928334E-2</v>
      </c>
      <c r="Q5" s="1141">
        <v>0</v>
      </c>
      <c r="R5" s="1142">
        <v>0</v>
      </c>
      <c r="S5" s="1143">
        <v>0</v>
      </c>
      <c r="T5" s="1139">
        <v>554.66038840157648</v>
      </c>
      <c r="U5" s="197">
        <v>2.7440271514333912</v>
      </c>
      <c r="V5" s="1140">
        <v>0.43429448190325176</v>
      </c>
      <c r="W5" s="1141">
        <v>10575.694922562483</v>
      </c>
      <c r="X5" s="1143">
        <v>4.0243089142143083</v>
      </c>
      <c r="Y5" s="1144" t="str">
        <v>Before the burn</v>
      </c>
      <c r="Z5" s="1145" t="str">
        <v>Distribution system</v>
      </c>
    </row>
    <row r="6" spans="1:28" s="1127" customFormat="1" x14ac:dyDescent="0.3">
      <c r="A6" s="286" t="str">
        <v>EP44356</v>
      </c>
      <c r="B6" s="287" t="str">
        <v>AEP44356</v>
      </c>
      <c r="C6" s="287" t="str">
        <v>AEP44356</v>
      </c>
      <c r="D6" s="287" t="str">
        <v>EP44356</v>
      </c>
      <c r="E6" s="287" t="str">
        <v>EP443566</v>
      </c>
      <c r="F6" s="287" t="str">
        <v>EP</v>
      </c>
      <c r="G6" s="1138">
        <v>44356</v>
      </c>
      <c r="H6" s="1139">
        <v>37805884.255184606</v>
      </c>
      <c r="I6" s="197">
        <v>7.5775594003841169</v>
      </c>
      <c r="J6" s="1140">
        <v>4.3285714611350855E-2</v>
      </c>
      <c r="K6" s="1141">
        <v>15022.144063313803</v>
      </c>
      <c r="L6" s="1142">
        <v>4.1767319225757706</v>
      </c>
      <c r="M6" s="1143">
        <v>0.28731606868291865</v>
      </c>
      <c r="N6" s="1139">
        <v>2066.3175145785012</v>
      </c>
      <c r="O6" s="197">
        <v>3.3151970568903897</v>
      </c>
      <c r="P6" s="1140">
        <v>0.22108847306442125</v>
      </c>
      <c r="Q6" s="1141">
        <v>2289.4446055094404</v>
      </c>
      <c r="R6" s="1142">
        <v>3.3597301399743871</v>
      </c>
      <c r="S6" s="1143">
        <v>0.2839570800170545</v>
      </c>
      <c r="T6" s="1139">
        <v>0</v>
      </c>
      <c r="U6" s="197">
        <v>0</v>
      </c>
      <c r="V6" s="1140">
        <v>0</v>
      </c>
      <c r="W6" s="1141">
        <v>19377.906183401745</v>
      </c>
      <c r="X6" s="1143">
        <v>4.2873068489727197</v>
      </c>
      <c r="Y6" s="1144" t="str">
        <v>Before the burn</v>
      </c>
      <c r="Z6" s="1145" t="str">
        <v>Distribution system</v>
      </c>
    </row>
    <row r="7" spans="1:28" s="1127" customFormat="1" x14ac:dyDescent="0.3">
      <c r="A7" s="286" t="str">
        <v>MRT44335</v>
      </c>
      <c r="B7" s="287" t="str">
        <v>DMRT44335</v>
      </c>
      <c r="C7" s="287" t="str">
        <v>BSPI44335</v>
      </c>
      <c r="D7" s="287" t="str">
        <v>SPI44335</v>
      </c>
      <c r="E7" s="287" t="str">
        <v>SPI443356</v>
      </c>
      <c r="F7" s="287" t="str">
        <v>SPI</v>
      </c>
      <c r="G7" s="1138">
        <v>44335</v>
      </c>
      <c r="H7" s="1139">
        <v>17735687.835008629</v>
      </c>
      <c r="I7" s="197">
        <v>7.2488480361773453</v>
      </c>
      <c r="J7" s="1140">
        <v>8.3739746480381488E-2</v>
      </c>
      <c r="K7" s="1141">
        <v>52716.432091497605</v>
      </c>
      <c r="L7" s="1142">
        <v>4.721946009032651</v>
      </c>
      <c r="M7" s="1143">
        <v>2.9516469219282287E-2</v>
      </c>
      <c r="N7" s="1139">
        <v>349.56291055166594</v>
      </c>
      <c r="O7" s="197">
        <v>2.5435253467391021</v>
      </c>
      <c r="P7" s="1140">
        <v>0.13845464993722353</v>
      </c>
      <c r="Q7" s="1141">
        <v>0</v>
      </c>
      <c r="R7" s="1142">
        <v>0</v>
      </c>
      <c r="S7" s="1143">
        <v>0</v>
      </c>
      <c r="T7" s="1139">
        <v>336.88556404523951</v>
      </c>
      <c r="U7" s="197">
        <v>2.5274824013348796</v>
      </c>
      <c r="V7" s="1140">
        <v>2.7161047944297051E-2</v>
      </c>
      <c r="W7" s="1141">
        <v>53402.880566094507</v>
      </c>
      <c r="X7" s="1143">
        <v>4.7275646836244176</v>
      </c>
      <c r="Y7" s="1144" t="str">
        <v>Before the burn</v>
      </c>
      <c r="Z7" s="1145" t="str">
        <v>Distribution system</v>
      </c>
    </row>
    <row r="8" spans="1:28" s="1127" customFormat="1" x14ac:dyDescent="0.3">
      <c r="A8" s="286" t="str">
        <v>MRT44342</v>
      </c>
      <c r="B8" s="287" t="str">
        <v>DMRT44342</v>
      </c>
      <c r="C8" s="287" t="str">
        <v>BSPI44342</v>
      </c>
      <c r="D8" s="287" t="str">
        <v>SPI44342</v>
      </c>
      <c r="E8" s="287" t="str">
        <v>SPI443426</v>
      </c>
      <c r="F8" s="287" t="str">
        <v>SPI</v>
      </c>
      <c r="G8" s="1138">
        <v>44342</v>
      </c>
      <c r="H8" s="1139">
        <v>25778658.584579062</v>
      </c>
      <c r="I8" s="197">
        <v>7.4112603147058156</v>
      </c>
      <c r="J8" s="1140">
        <v>7.4720344749401507E-2</v>
      </c>
      <c r="K8" s="1141">
        <v>71430.420269980386</v>
      </c>
      <c r="L8" s="1142">
        <v>4.8538832053589882</v>
      </c>
      <c r="M8" s="1143">
        <v>0.16126766777143298</v>
      </c>
      <c r="N8" s="1139">
        <v>421.49648844824014</v>
      </c>
      <c r="O8" s="197">
        <v>2.6247939608020308</v>
      </c>
      <c r="P8" s="1140">
        <v>0.43429448190325176</v>
      </c>
      <c r="Q8" s="1141">
        <v>0</v>
      </c>
      <c r="R8" s="1142">
        <v>0</v>
      </c>
      <c r="S8" s="1143">
        <v>0</v>
      </c>
      <c r="T8" s="1139">
        <v>295.56050020105698</v>
      </c>
      <c r="U8" s="197">
        <v>2.4706463928792002</v>
      </c>
      <c r="V8" s="1140">
        <v>0.43429448190325176</v>
      </c>
      <c r="W8" s="1141">
        <v>72147.477258629689</v>
      </c>
      <c r="X8" s="1143">
        <v>4.8582211499574273</v>
      </c>
      <c r="Y8" s="1144" t="str">
        <v>Before the burn</v>
      </c>
      <c r="Z8" s="1145" t="str">
        <v>Distribution system</v>
      </c>
      <c r="AB8" s="1127" t="s">
        <v>297</v>
      </c>
    </row>
    <row r="9" spans="1:28" s="1127" customFormat="1" x14ac:dyDescent="0.3">
      <c r="A9" s="286" t="str">
        <v>MRT44350</v>
      </c>
      <c r="B9" s="287" t="str">
        <v>DMRT44350</v>
      </c>
      <c r="C9" s="287" t="str">
        <v>BSPI44350</v>
      </c>
      <c r="D9" s="287" t="str">
        <v>SPI44350</v>
      </c>
      <c r="E9" s="287" t="str">
        <v>SPI443506</v>
      </c>
      <c r="F9" s="287" t="str">
        <v>SPI</v>
      </c>
      <c r="G9" s="1138">
        <v>44350</v>
      </c>
      <c r="H9" s="1139">
        <v>0</v>
      </c>
      <c r="I9" s="1146">
        <v>0</v>
      </c>
      <c r="J9" s="1140">
        <v>0</v>
      </c>
      <c r="K9" s="1141">
        <v>52061.807346804708</v>
      </c>
      <c r="L9" s="1142">
        <v>4.7165192407443959</v>
      </c>
      <c r="M9" s="1143">
        <v>2.7470789199276341E-2</v>
      </c>
      <c r="N9" s="1139">
        <v>1617.0057087128864</v>
      </c>
      <c r="O9" s="197">
        <v>3.2087115531519972</v>
      </c>
      <c r="P9" s="1140">
        <v>7.889095762529999E-2</v>
      </c>
      <c r="Q9" s="1141">
        <v>3001.6080630574247</v>
      </c>
      <c r="R9" s="1142">
        <v>3.477353983322319</v>
      </c>
      <c r="S9" s="1143">
        <v>8.9389147864278221E-2</v>
      </c>
      <c r="T9" s="1139">
        <v>730.89966624255351</v>
      </c>
      <c r="U9" s="197">
        <v>2.863857763568129</v>
      </c>
      <c r="V9" s="1140">
        <v>0.20032811483339752</v>
      </c>
      <c r="W9" s="1141">
        <v>57411.320784817573</v>
      </c>
      <c r="X9" s="1143">
        <v>4.7589975382098917</v>
      </c>
      <c r="Y9" s="1144" t="str">
        <v>Before the burn</v>
      </c>
      <c r="Z9" s="1145" t="str">
        <v>Distribution system</v>
      </c>
      <c r="AB9" s="1147">
        <f>qPCR_Unique!AA20</f>
        <v>7.311591677936808</v>
      </c>
    </row>
    <row r="10" spans="1:28" s="1127" customFormat="1" x14ac:dyDescent="0.3">
      <c r="A10" s="286" t="str">
        <v>MRT44356</v>
      </c>
      <c r="B10" s="287" t="str">
        <v>DMRT44356</v>
      </c>
      <c r="C10" s="287" t="str">
        <v>BSPI44356</v>
      </c>
      <c r="D10" s="287" t="str">
        <v>SPI44356</v>
      </c>
      <c r="E10" s="287" t="str">
        <v>SPI443566</v>
      </c>
      <c r="F10" s="287" t="str">
        <v>SPI</v>
      </c>
      <c r="G10" s="1138">
        <v>44356</v>
      </c>
      <c r="H10" s="1139">
        <v>15206033.216236256</v>
      </c>
      <c r="I10" s="197">
        <v>7.1820159348297006</v>
      </c>
      <c r="J10" s="1140">
        <v>2.3206287351900681E-2</v>
      </c>
      <c r="K10" s="1141">
        <v>14571.268293592666</v>
      </c>
      <c r="L10" s="1142">
        <v>4.163497354716899</v>
      </c>
      <c r="M10" s="1143">
        <v>0.19674278356235073</v>
      </c>
      <c r="N10" s="1139">
        <v>1328.8851711485122</v>
      </c>
      <c r="O10" s="197">
        <v>3.1234874552157841</v>
      </c>
      <c r="P10" s="1140">
        <v>8.5745817406865599E-2</v>
      </c>
      <c r="Q10" s="1141">
        <v>6327.580451965332</v>
      </c>
      <c r="R10" s="1142">
        <v>3.8012376756987201</v>
      </c>
      <c r="S10" s="1143">
        <v>0.21885505358285348</v>
      </c>
      <c r="T10" s="1139">
        <v>1036.8709829118516</v>
      </c>
      <c r="U10" s="197">
        <v>3.0157247208101761</v>
      </c>
      <c r="V10" s="1140">
        <v>0.10162435235722379</v>
      </c>
      <c r="W10" s="1141">
        <v>23264.604899618364</v>
      </c>
      <c r="X10" s="1143">
        <v>4.366695681353594</v>
      </c>
      <c r="Y10" s="1144" t="str">
        <v>Before the burn</v>
      </c>
      <c r="Z10" s="1145" t="str">
        <v>Distribution system</v>
      </c>
    </row>
    <row r="11" spans="1:28" s="1127" customFormat="1" x14ac:dyDescent="0.3">
      <c r="A11" s="286" t="str">
        <v>MRT44433</v>
      </c>
      <c r="B11" s="287" t="str">
        <v>DMRT44433</v>
      </c>
      <c r="C11" s="287" t="str">
        <v>CSPO44335</v>
      </c>
      <c r="D11" s="287" t="str">
        <v>SPO44335</v>
      </c>
      <c r="E11" s="287" t="str">
        <v>SPO443356</v>
      </c>
      <c r="F11" s="287" t="str">
        <v>SPO</v>
      </c>
      <c r="G11" s="1138">
        <v>44335</v>
      </c>
      <c r="H11" s="1139">
        <v>24982327.534028612</v>
      </c>
      <c r="I11" s="197">
        <v>7.3976328979330424</v>
      </c>
      <c r="J11" s="1140">
        <v>3.9404873393259557E-3</v>
      </c>
      <c r="K11" s="1141">
        <v>127384.67265126975</v>
      </c>
      <c r="L11" s="1142">
        <v>5.1051171753821354</v>
      </c>
      <c r="M11" s="1143">
        <v>1.183747321165329E-2</v>
      </c>
      <c r="N11" s="1139">
        <v>2341.3237787638136</v>
      </c>
      <c r="O11" s="197">
        <v>3.3694614758953745</v>
      </c>
      <c r="P11" s="1140">
        <v>0.18185081074288614</v>
      </c>
      <c r="Q11" s="1141">
        <v>409.23349785082269</v>
      </c>
      <c r="R11" s="1142">
        <v>2.6119711757154414</v>
      </c>
      <c r="S11" s="1143">
        <v>0.43429448190325176</v>
      </c>
      <c r="T11" s="1139">
        <v>94.925520395991782</v>
      </c>
      <c r="U11" s="197">
        <v>1.9773829866860844</v>
      </c>
      <c r="V11" s="1140">
        <v>0.43429448190325176</v>
      </c>
      <c r="W11" s="1141">
        <v>130230.15544828038</v>
      </c>
      <c r="X11" s="1143">
        <v>5.1147115589511296</v>
      </c>
      <c r="Y11" s="1144" t="str">
        <v>Before the burn</v>
      </c>
      <c r="Z11" s="1145" t="str">
        <v>Distribution system</v>
      </c>
    </row>
    <row r="12" spans="1:28" s="1127" customFormat="1" x14ac:dyDescent="0.3">
      <c r="A12" s="286" t="str">
        <v>RL44335</v>
      </c>
      <c r="B12" s="287" t="str">
        <v>GRL44335</v>
      </c>
      <c r="C12" s="287" t="str">
        <v>CSPO44342</v>
      </c>
      <c r="D12" s="287" t="str">
        <v>SPO44342</v>
      </c>
      <c r="E12" s="287" t="str">
        <v>SPO443426</v>
      </c>
      <c r="F12" s="287" t="str">
        <v>SPO</v>
      </c>
      <c r="G12" s="1138">
        <v>44342</v>
      </c>
      <c r="H12" s="1139">
        <v>8355844.2294126544</v>
      </c>
      <c r="I12" s="197">
        <v>6.9219903352171874</v>
      </c>
      <c r="J12" s="1140">
        <v>0.14360289696123357</v>
      </c>
      <c r="K12" s="1141">
        <v>22802.724945411253</v>
      </c>
      <c r="L12" s="1142">
        <v>4.3579867486689796</v>
      </c>
      <c r="M12" s="1143">
        <v>1.7038562379018952E-2</v>
      </c>
      <c r="N12" s="1139">
        <v>311.48391137891775</v>
      </c>
      <c r="O12" s="197">
        <v>2.4934356195993486</v>
      </c>
      <c r="P12" s="1140">
        <v>7.8988598793511305E-2</v>
      </c>
      <c r="Q12" s="1141">
        <v>9879.4440833889712</v>
      </c>
      <c r="R12" s="1142">
        <v>3.9947325075118063</v>
      </c>
      <c r="S12" s="1143">
        <v>0.43429448190325171</v>
      </c>
      <c r="T12" s="1139">
        <v>249.61873482356677</v>
      </c>
      <c r="U12" s="197">
        <v>2.397277177665643</v>
      </c>
      <c r="V12" s="1140">
        <v>3.4879257329606804E-2</v>
      </c>
      <c r="W12" s="1141">
        <v>33243.27167500271</v>
      </c>
      <c r="X12" s="1143">
        <v>4.5217037588088145</v>
      </c>
      <c r="Y12" s="1144" t="str">
        <v>Before the burn</v>
      </c>
      <c r="Z12" s="1145" t="str">
        <v>Distribution system</v>
      </c>
    </row>
    <row r="13" spans="1:28" s="1127" customFormat="1" x14ac:dyDescent="0.3">
      <c r="A13" s="286" t="str">
        <v>RL44342</v>
      </c>
      <c r="B13" s="287" t="str">
        <v>GRL44342</v>
      </c>
      <c r="C13" s="287" t="str">
        <v>CSPO44350</v>
      </c>
      <c r="D13" s="287" t="str">
        <v>SPO44350</v>
      </c>
      <c r="E13" s="287" t="str">
        <v>SPO443506</v>
      </c>
      <c r="F13" s="287" t="str">
        <v>SPO</v>
      </c>
      <c r="G13" s="1138">
        <v>44350</v>
      </c>
      <c r="H13" s="1139">
        <v>13632722.99709842</v>
      </c>
      <c r="I13" s="197">
        <v>7.134582610383597</v>
      </c>
      <c r="J13" s="1140">
        <v>0.16724922684422205</v>
      </c>
      <c r="K13" s="1141">
        <v>69895.216642370535</v>
      </c>
      <c r="L13" s="1142">
        <v>4.8444474553321486</v>
      </c>
      <c r="M13" s="1143">
        <v>4.702753297180004E-2</v>
      </c>
      <c r="N13" s="1139">
        <v>1487.2847663031685</v>
      </c>
      <c r="O13" s="197">
        <v>3.1723941296475311</v>
      </c>
      <c r="P13" s="1140">
        <v>0.10855756933633319</v>
      </c>
      <c r="Q13" s="1141">
        <v>821.68414857652454</v>
      </c>
      <c r="R13" s="1142">
        <v>2.9147049089133246</v>
      </c>
      <c r="S13" s="1143">
        <v>0.43429448190325176</v>
      </c>
      <c r="T13" s="1139">
        <v>0</v>
      </c>
      <c r="U13" s="197">
        <v>0</v>
      </c>
      <c r="V13" s="1140">
        <v>0</v>
      </c>
      <c r="W13" s="1141">
        <v>72204.185557250225</v>
      </c>
      <c r="X13" s="1143">
        <v>4.858562373632382</v>
      </c>
      <c r="Y13" s="1144" t="str">
        <v>Before the burn</v>
      </c>
      <c r="Z13" s="1145" t="str">
        <v>Distribution system</v>
      </c>
    </row>
    <row r="14" spans="1:28" s="1127" customFormat="1" x14ac:dyDescent="0.3">
      <c r="A14" s="286" t="str">
        <v>RL44350</v>
      </c>
      <c r="B14" s="287" t="str">
        <v>GRL44350</v>
      </c>
      <c r="C14" s="287" t="str">
        <v>CSPO44356</v>
      </c>
      <c r="D14" s="287" t="str">
        <v>SPO44356</v>
      </c>
      <c r="E14" s="287" t="str">
        <v>SPO443566</v>
      </c>
      <c r="F14" s="287" t="str">
        <v>SPO</v>
      </c>
      <c r="G14" s="1138">
        <v>44356</v>
      </c>
      <c r="H14" s="1139">
        <v>7621051.6536266599</v>
      </c>
      <c r="I14" s="197">
        <v>6.8820149051785551</v>
      </c>
      <c r="J14" s="1140">
        <v>0.171192816916276</v>
      </c>
      <c r="K14" s="1141">
        <v>25427.847262077932</v>
      </c>
      <c r="L14" s="1142">
        <v>4.4053095940815297</v>
      </c>
      <c r="M14" s="1143">
        <v>0.16732303039122209</v>
      </c>
      <c r="N14" s="1139">
        <v>2143.2214447965171</v>
      </c>
      <c r="O14" s="197">
        <v>3.3310670461162957</v>
      </c>
      <c r="P14" s="1140">
        <v>9.8356843547808437E-2</v>
      </c>
      <c r="Q14" s="1141">
        <v>930.36455583822044</v>
      </c>
      <c r="R14" s="1142">
        <v>2.968653156689125</v>
      </c>
      <c r="S14" s="1143">
        <v>9.4508594094169632E-2</v>
      </c>
      <c r="T14" s="1139">
        <v>0</v>
      </c>
      <c r="U14" s="197">
        <v>0</v>
      </c>
      <c r="V14" s="1140">
        <v>0</v>
      </c>
      <c r="W14" s="1141">
        <v>28501.433262712668</v>
      </c>
      <c r="X14" s="1143">
        <v>4.4548667000939863</v>
      </c>
      <c r="Y14" s="1144" t="str">
        <v>Before the burn</v>
      </c>
      <c r="Z14" s="1145" t="str">
        <v>Distribution system</v>
      </c>
    </row>
    <row r="15" spans="1:28" s="1127" customFormat="1" x14ac:dyDescent="0.3">
      <c r="A15" s="286" t="str">
        <v>RL44433</v>
      </c>
      <c r="B15" s="287" t="str">
        <v>GRL44433</v>
      </c>
      <c r="C15" s="287" t="str">
        <v>DMRT44335</v>
      </c>
      <c r="D15" s="287" t="str">
        <v>MRT44335</v>
      </c>
      <c r="E15" s="287" t="str">
        <v>MRT443356</v>
      </c>
      <c r="F15" s="287" t="str">
        <v>MRT</v>
      </c>
      <c r="G15" s="1138">
        <v>44335</v>
      </c>
      <c r="H15" s="1139">
        <v>158612328.02195847</v>
      </c>
      <c r="I15" s="197">
        <v>8.2003369395001009</v>
      </c>
      <c r="J15" s="1140">
        <v>9.4693353160028634E-3</v>
      </c>
      <c r="K15" s="1141">
        <v>434454.3984430125</v>
      </c>
      <c r="L15" s="1142">
        <v>5.6379441984051732</v>
      </c>
      <c r="M15" s="1143">
        <v>5.2696140361196665E-2</v>
      </c>
      <c r="N15" s="1139">
        <v>5552.844740337152</v>
      </c>
      <c r="O15" s="197">
        <v>3.7445155306024982</v>
      </c>
      <c r="P15" s="1140">
        <v>2.9240214894410105E-2</v>
      </c>
      <c r="Q15" s="1141">
        <v>2518.4778622632643</v>
      </c>
      <c r="R15" s="1142">
        <v>3.4011381377074636</v>
      </c>
      <c r="S15" s="1143">
        <v>2.8843092685159187E-2</v>
      </c>
      <c r="T15" s="1139">
        <v>19036.175922057551</v>
      </c>
      <c r="U15" s="197">
        <v>4.2795797096603305</v>
      </c>
      <c r="V15" s="1140">
        <v>0.10726372151609645</v>
      </c>
      <c r="W15" s="1141">
        <v>461561.89696767047</v>
      </c>
      <c r="X15" s="1143">
        <v>5.6642299495850637</v>
      </c>
      <c r="Y15" s="1144" t="str">
        <v>Before the burn</v>
      </c>
      <c r="Z15" s="1145" t="str">
        <v>Distribution system</v>
      </c>
    </row>
    <row r="16" spans="1:28" s="1127" customFormat="1" x14ac:dyDescent="0.3">
      <c r="A16" s="286" t="str">
        <v>RN44335</v>
      </c>
      <c r="B16" s="287" t="str">
        <v>ERN44335</v>
      </c>
      <c r="C16" s="287" t="str">
        <v>DMRT44342</v>
      </c>
      <c r="D16" s="287" t="str">
        <v>MRT44342</v>
      </c>
      <c r="E16" s="287" t="str">
        <v>MRT443426</v>
      </c>
      <c r="F16" s="287" t="str">
        <v>MRT</v>
      </c>
      <c r="G16" s="1138">
        <v>44342</v>
      </c>
      <c r="H16" s="1139">
        <v>243367747.83005893</v>
      </c>
      <c r="I16" s="197">
        <v>8.3862630230825239</v>
      </c>
      <c r="J16" s="1140">
        <v>5.697006617585415E-2</v>
      </c>
      <c r="K16" s="1141">
        <v>186501.19442409941</v>
      </c>
      <c r="L16" s="1142">
        <v>5.2706816175395286</v>
      </c>
      <c r="M16" s="1143">
        <v>0.3714820430458311</v>
      </c>
      <c r="N16" s="1139">
        <v>4288.045446077982</v>
      </c>
      <c r="O16" s="197">
        <v>3.6322593795010154</v>
      </c>
      <c r="P16" s="1140">
        <v>0.30540557904067916</v>
      </c>
      <c r="Q16" s="1141">
        <v>165037.95454237197</v>
      </c>
      <c r="R16" s="1142">
        <v>5.2175838324125881</v>
      </c>
      <c r="S16" s="1143">
        <v>0.14952627086264583</v>
      </c>
      <c r="T16" s="1139">
        <v>72781.686782836914</v>
      </c>
      <c r="U16" s="197">
        <v>4.8620221165427324</v>
      </c>
      <c r="V16" s="1140">
        <v>4.9000279175812296E-2</v>
      </c>
      <c r="W16" s="1141">
        <v>428608.88119538629</v>
      </c>
      <c r="X16" s="1143">
        <v>5.6320611658056414</v>
      </c>
      <c r="Y16" s="1144" t="str">
        <v>Before the burn</v>
      </c>
      <c r="Z16" s="1145" t="str">
        <v>Distribution system</v>
      </c>
    </row>
    <row r="17" spans="1:26" s="1127" customFormat="1" x14ac:dyDescent="0.3">
      <c r="A17" s="286" t="str">
        <v>RN44342</v>
      </c>
      <c r="B17" s="287" t="str">
        <v>ERN44342</v>
      </c>
      <c r="C17" s="287" t="str">
        <v>DMRT44350</v>
      </c>
      <c r="D17" s="287" t="str">
        <v>MRT44350</v>
      </c>
      <c r="E17" s="287" t="str">
        <v>MRT443506</v>
      </c>
      <c r="F17" s="287" t="str">
        <v>MRT</v>
      </c>
      <c r="G17" s="1138">
        <v>44350</v>
      </c>
      <c r="H17" s="1139">
        <v>117616405.17009389</v>
      </c>
      <c r="I17" s="197">
        <v>8.0704679014845713</v>
      </c>
      <c r="J17" s="1140">
        <v>3.7119818005133344E-2</v>
      </c>
      <c r="K17" s="1141">
        <v>132147.67872203479</v>
      </c>
      <c r="L17" s="1142">
        <v>5.121059538810405</v>
      </c>
      <c r="M17" s="1143">
        <v>0.40881808029743943</v>
      </c>
      <c r="N17" s="1139">
        <v>2696.8599557876587</v>
      </c>
      <c r="O17" s="197">
        <v>3.4308583947258704</v>
      </c>
      <c r="P17" s="1140">
        <v>7.6302033047665391E-2</v>
      </c>
      <c r="Q17" s="1141">
        <v>110533.04498845882</v>
      </c>
      <c r="R17" s="1142">
        <v>5.0434921342265664</v>
      </c>
      <c r="S17" s="1143">
        <v>0.40818547017306445</v>
      </c>
      <c r="T17" s="1139">
        <v>9735.6602061878548</v>
      </c>
      <c r="U17" s="197">
        <v>3.988365407749451</v>
      </c>
      <c r="V17" s="1140">
        <v>0.11065764998328662</v>
      </c>
      <c r="W17" s="1141">
        <v>255113.24387246912</v>
      </c>
      <c r="X17" s="1143">
        <v>5.4067330050285776</v>
      </c>
      <c r="Y17" s="1144" t="str">
        <v>Before the burn</v>
      </c>
      <c r="Z17" s="1145" t="str">
        <v>Distribution system</v>
      </c>
    </row>
    <row r="18" spans="1:26" s="1127" customFormat="1" ht="16.350000000000001" thickBot="1" x14ac:dyDescent="0.35">
      <c r="A18" s="295" t="str">
        <v>RN44350</v>
      </c>
      <c r="B18" s="296" t="str">
        <v>ERN44350</v>
      </c>
      <c r="C18" s="296" t="str">
        <v>DMRT44356</v>
      </c>
      <c r="D18" s="296" t="str">
        <v>MRT44356</v>
      </c>
      <c r="E18" s="296" t="str">
        <v>MRT443566</v>
      </c>
      <c r="F18" s="296" t="str">
        <v>MRT</v>
      </c>
      <c r="G18" s="1148">
        <v>44356</v>
      </c>
      <c r="H18" s="1149">
        <v>11783562812.700453</v>
      </c>
      <c r="I18" s="224">
        <v>10.071276621177251</v>
      </c>
      <c r="J18" s="1150">
        <v>0.30460877718942764</v>
      </c>
      <c r="K18" s="1151">
        <v>79355.841742621516</v>
      </c>
      <c r="L18" s="1152">
        <v>4.8995789026498029</v>
      </c>
      <c r="M18" s="1153">
        <v>0</v>
      </c>
      <c r="N18" s="1149">
        <v>13072.442280497526</v>
      </c>
      <c r="O18" s="224">
        <v>4.1163567329406483</v>
      </c>
      <c r="P18" s="1150">
        <v>0.1272608903689656</v>
      </c>
      <c r="Q18" s="1151">
        <v>164188.92415364584</v>
      </c>
      <c r="R18" s="1152">
        <v>5.2153438571610549</v>
      </c>
      <c r="S18" s="1153">
        <v>0</v>
      </c>
      <c r="T18" s="1149">
        <v>15606.90318904637</v>
      </c>
      <c r="U18" s="224">
        <v>4.1933167364170636</v>
      </c>
      <c r="V18" s="1150">
        <v>0.19713848137834883</v>
      </c>
      <c r="W18" s="1151">
        <v>272224.11136581126</v>
      </c>
      <c r="X18" s="1153">
        <v>5.4349265887930054</v>
      </c>
      <c r="Y18" s="1154" t="str">
        <v>Before the burn</v>
      </c>
      <c r="Z18" s="1155" t="str">
        <v>Distribution system</v>
      </c>
    </row>
    <row r="19" spans="1:26" s="1127" customFormat="1" x14ac:dyDescent="0.3">
      <c r="A19" s="1156" t="str" cm="1">
        <f t="array" ref="A19:Z33">_xlfn._xlws.FILTER(qPCR_Unique!A61:Z118, qPCR_Unique!G61:G118&lt;44361)</f>
        <v>RN44433</v>
      </c>
      <c r="B19" s="1157" t="str">
        <v>ERN44433</v>
      </c>
      <c r="C19" s="1157" t="str">
        <v>ERN44335</v>
      </c>
      <c r="D19" s="1157" t="str">
        <v>RN44335</v>
      </c>
      <c r="E19" s="1157" t="str">
        <v>RN443356</v>
      </c>
      <c r="F19" s="1157" t="str">
        <v>RN</v>
      </c>
      <c r="G19" s="1158">
        <v>44335</v>
      </c>
      <c r="H19" s="1159">
        <v>1121392480.7027545</v>
      </c>
      <c r="I19" s="1160">
        <v>9.0497576396880604</v>
      </c>
      <c r="J19" s="1161">
        <v>0.18418400269386506</v>
      </c>
      <c r="K19" s="1162">
        <v>77162.920880061327</v>
      </c>
      <c r="L19" s="1163">
        <v>4.8874086588122267</v>
      </c>
      <c r="M19" s="1164">
        <v>0.17931496713489234</v>
      </c>
      <c r="N19" s="1159">
        <v>525950.38957493287</v>
      </c>
      <c r="O19" s="1160">
        <v>5.7209447811309939</v>
      </c>
      <c r="P19" s="1161">
        <v>7.5703032411179191E-2</v>
      </c>
      <c r="Q19" s="1162">
        <v>0</v>
      </c>
      <c r="R19" s="1163">
        <v>0</v>
      </c>
      <c r="S19" s="1164">
        <v>0</v>
      </c>
      <c r="T19" s="1159">
        <v>12002271.461623544</v>
      </c>
      <c r="U19" s="1160">
        <v>7.0792634452056076</v>
      </c>
      <c r="V19" s="1161">
        <v>0.28375896552427626</v>
      </c>
      <c r="W19" s="1162">
        <v>12605384.772078538</v>
      </c>
      <c r="X19" s="1164">
        <v>7.1005561068026344</v>
      </c>
      <c r="Y19" s="1165" t="str">
        <v>Before the burn</v>
      </c>
      <c r="Z19" s="1166" t="str">
        <v>Premise plumbing</v>
      </c>
    </row>
    <row r="20" spans="1:26" s="1127" customFormat="1" x14ac:dyDescent="0.3">
      <c r="A20" s="1167" t="str">
        <v>RS44335</v>
      </c>
      <c r="B20" s="1168" t="str">
        <v>HRS44335</v>
      </c>
      <c r="C20" s="1168" t="str">
        <v>ERN44342</v>
      </c>
      <c r="D20" s="1168" t="str">
        <v>RN44342</v>
      </c>
      <c r="E20" s="1168" t="str">
        <v>RN443426</v>
      </c>
      <c r="F20" s="1168" t="str">
        <v>RN</v>
      </c>
      <c r="G20" s="1169">
        <v>44342</v>
      </c>
      <c r="H20" s="1170">
        <v>118565273.33576651</v>
      </c>
      <c r="I20" s="1171">
        <v>8.0739575068438771</v>
      </c>
      <c r="J20" s="1172">
        <v>0.41366679993840327</v>
      </c>
      <c r="K20" s="1173">
        <v>38224.811381520994</v>
      </c>
      <c r="L20" s="1174">
        <v>4.582345351084574</v>
      </c>
      <c r="M20" s="1175">
        <v>0.24277313718349219</v>
      </c>
      <c r="N20" s="1170">
        <v>37924.813644311573</v>
      </c>
      <c r="O20" s="1171">
        <v>4.5789234554193214</v>
      </c>
      <c r="P20" s="1172">
        <v>0.29258277072984373</v>
      </c>
      <c r="Q20" s="1173">
        <v>0</v>
      </c>
      <c r="R20" s="1174">
        <v>0</v>
      </c>
      <c r="S20" s="1175">
        <v>0</v>
      </c>
      <c r="T20" s="1170">
        <v>872700.43957024999</v>
      </c>
      <c r="U20" s="1171">
        <v>5.9408651947164479</v>
      </c>
      <c r="V20" s="1172">
        <v>0.3873128842357873</v>
      </c>
      <c r="W20" s="1173">
        <v>948850.06459608255</v>
      </c>
      <c r="X20" s="1175">
        <v>5.9771975914967843</v>
      </c>
      <c r="Y20" s="1176" t="str">
        <v>Before the burn</v>
      </c>
      <c r="Z20" s="1177" t="str">
        <v>Premise plumbing</v>
      </c>
    </row>
    <row r="21" spans="1:26" s="1127" customFormat="1" x14ac:dyDescent="0.3">
      <c r="A21" s="1167" t="str">
        <v>RS44342</v>
      </c>
      <c r="B21" s="1168" t="str">
        <v>HRS44342</v>
      </c>
      <c r="C21" s="1168" t="str">
        <v>ERN44350</v>
      </c>
      <c r="D21" s="1168" t="str">
        <v>RN44350</v>
      </c>
      <c r="E21" s="1168" t="str">
        <v>RN443506</v>
      </c>
      <c r="F21" s="1168" t="str">
        <v>RN</v>
      </c>
      <c r="G21" s="1169">
        <v>44350</v>
      </c>
      <c r="H21" s="1170">
        <v>9410233335.8906155</v>
      </c>
      <c r="I21" s="1171">
        <v>9.9736003923149656</v>
      </c>
      <c r="J21" s="1172">
        <v>4.9154712250792855E-2</v>
      </c>
      <c r="K21" s="1173">
        <v>162937.95470673279</v>
      </c>
      <c r="L21" s="1174">
        <v>5.2120222604884647</v>
      </c>
      <c r="M21" s="1175">
        <v>6.6061828291278666E-3</v>
      </c>
      <c r="N21" s="1170">
        <v>240357.5262945118</v>
      </c>
      <c r="O21" s="1171">
        <v>5.3808577257032759</v>
      </c>
      <c r="P21" s="1172">
        <v>0.19814571080198626</v>
      </c>
      <c r="Q21" s="1173">
        <v>736.41356601509995</v>
      </c>
      <c r="R21" s="1174">
        <v>2.8671217803632532</v>
      </c>
      <c r="S21" s="1175">
        <v>0.43429448190325176</v>
      </c>
      <c r="T21" s="1170">
        <v>7787952.2915782388</v>
      </c>
      <c r="U21" s="1171">
        <v>6.8914232824001544</v>
      </c>
      <c r="V21" s="1172">
        <v>0.15270351303425561</v>
      </c>
      <c r="W21" s="1173">
        <v>8191984.1861454984</v>
      </c>
      <c r="X21" s="1175">
        <v>6.9133891052679397</v>
      </c>
      <c r="Y21" s="1176" t="str">
        <v>Before the burn</v>
      </c>
      <c r="Z21" s="1177" t="str">
        <v>Premise plumbing</v>
      </c>
    </row>
    <row r="22" spans="1:26" s="1127" customFormat="1" x14ac:dyDescent="0.3">
      <c r="A22" s="1167" t="str">
        <v>RS44350</v>
      </c>
      <c r="B22" s="1168" t="str">
        <v>HRS44350</v>
      </c>
      <c r="C22" s="1168" t="str">
        <v>ERN44356</v>
      </c>
      <c r="D22" s="1168" t="str">
        <v>RN44356</v>
      </c>
      <c r="E22" s="1168" t="str">
        <v>RN443566</v>
      </c>
      <c r="F22" s="1168" t="str">
        <v>RN</v>
      </c>
      <c r="G22" s="1169">
        <v>44356</v>
      </c>
      <c r="H22" s="1170">
        <v>1203762443.3262875</v>
      </c>
      <c r="I22" s="1171">
        <v>9.0805407894700885</v>
      </c>
      <c r="J22" s="1172">
        <v>0.28148545758303911</v>
      </c>
      <c r="K22" s="1173">
        <v>38949.830988833775</v>
      </c>
      <c r="L22" s="1174">
        <v>4.5905055775213919</v>
      </c>
      <c r="M22" s="1175">
        <v>0.27966489644099557</v>
      </c>
      <c r="N22" s="1170">
        <v>20437.742695055509</v>
      </c>
      <c r="O22" s="1171">
        <v>4.3104329272152517</v>
      </c>
      <c r="P22" s="1172">
        <v>2.4258710438023579E-2</v>
      </c>
      <c r="Q22" s="1173">
        <v>16087.194824218748</v>
      </c>
      <c r="R22" s="1174">
        <v>4.2064803213784936</v>
      </c>
      <c r="S22" s="1175">
        <v>0.43429448190325176</v>
      </c>
      <c r="T22" s="1170">
        <v>3771222.101151316</v>
      </c>
      <c r="U22" s="1171">
        <v>6.5764821103594846</v>
      </c>
      <c r="V22" s="1172">
        <v>6.4347549026786577E-2</v>
      </c>
      <c r="W22" s="1173">
        <v>3846696.8696594238</v>
      </c>
      <c r="X22" s="1175">
        <v>6.5850879640502056</v>
      </c>
      <c r="Y22" s="1176" t="str">
        <v>Before the burn</v>
      </c>
      <c r="Z22" s="1177" t="str">
        <v>Premise plumbing</v>
      </c>
    </row>
    <row r="23" spans="1:26" s="1127" customFormat="1" x14ac:dyDescent="0.3">
      <c r="A23" s="1167" t="str">
        <v>RU44335</v>
      </c>
      <c r="B23" s="1168" t="str">
        <v>FRU44335</v>
      </c>
      <c r="C23" s="1168" t="str">
        <v>FRU44335</v>
      </c>
      <c r="D23" s="1168" t="str">
        <v>RU44335</v>
      </c>
      <c r="E23" s="1168" t="str">
        <v>RU443356</v>
      </c>
      <c r="F23" s="1168" t="str">
        <v>RU</v>
      </c>
      <c r="G23" s="1169">
        <v>44335</v>
      </c>
      <c r="H23" s="1170">
        <v>29455633.811668113</v>
      </c>
      <c r="I23" s="1171">
        <v>7.4691683721050639</v>
      </c>
      <c r="J23" s="1172">
        <v>5.9595121487214596E-2</v>
      </c>
      <c r="K23" s="1173">
        <v>54957.756890190969</v>
      </c>
      <c r="L23" s="1174">
        <v>4.7400289986131288</v>
      </c>
      <c r="M23" s="1175">
        <v>3.3166153128110672E-2</v>
      </c>
      <c r="N23" s="1170">
        <v>25420.947180853949</v>
      </c>
      <c r="O23" s="1171">
        <v>4.4051917282697053</v>
      </c>
      <c r="P23" s="1172">
        <v>0.29375891951444005</v>
      </c>
      <c r="Q23" s="1173">
        <v>0</v>
      </c>
      <c r="R23" s="1174">
        <v>0</v>
      </c>
      <c r="S23" s="1175">
        <v>0</v>
      </c>
      <c r="T23" s="1170">
        <v>331.44619729783795</v>
      </c>
      <c r="U23" s="1171">
        <v>2.5204130406954133</v>
      </c>
      <c r="V23" s="1172">
        <v>0.43429448190325176</v>
      </c>
      <c r="W23" s="1173">
        <v>80710.150268342753</v>
      </c>
      <c r="X23" s="1175">
        <v>4.9069281558909319</v>
      </c>
      <c r="Y23" s="1176" t="str">
        <v>Before the burn</v>
      </c>
      <c r="Z23" s="1177" t="str">
        <v>Premise plumbing</v>
      </c>
    </row>
    <row r="24" spans="1:26" s="1127" customFormat="1" x14ac:dyDescent="0.3">
      <c r="A24" s="1167" t="str">
        <v>RU44342</v>
      </c>
      <c r="B24" s="1168" t="str">
        <v>FRU44342</v>
      </c>
      <c r="C24" s="1168" t="str">
        <v>FRU44342</v>
      </c>
      <c r="D24" s="1168" t="str">
        <v>RU44342</v>
      </c>
      <c r="E24" s="1168" t="str">
        <v>RU443426</v>
      </c>
      <c r="F24" s="1168" t="str">
        <v>RU</v>
      </c>
      <c r="G24" s="1169">
        <v>44342</v>
      </c>
      <c r="H24" s="1170">
        <v>48647295.477407962</v>
      </c>
      <c r="I24" s="1171">
        <v>7.6870587008862445</v>
      </c>
      <c r="J24" s="1172">
        <v>4.492672580587196E-2</v>
      </c>
      <c r="K24" s="1173">
        <v>52625.391126254901</v>
      </c>
      <c r="L24" s="1174">
        <v>4.7211953366507178</v>
      </c>
      <c r="M24" s="1175">
        <v>5.803650230499046E-2</v>
      </c>
      <c r="N24" s="1170">
        <v>15974.355216187554</v>
      </c>
      <c r="O24" s="1171">
        <v>4.2034233374593502</v>
      </c>
      <c r="P24" s="1172">
        <v>0.25044446240480783</v>
      </c>
      <c r="Q24" s="1173">
        <v>0</v>
      </c>
      <c r="R24" s="1174">
        <v>0</v>
      </c>
      <c r="S24" s="1175">
        <v>0</v>
      </c>
      <c r="T24" s="1170">
        <v>634.50652620066774</v>
      </c>
      <c r="U24" s="1171">
        <v>2.8024360933784962</v>
      </c>
      <c r="V24" s="1172">
        <v>0.43429448190325176</v>
      </c>
      <c r="W24" s="1173">
        <v>69234.252868643118</v>
      </c>
      <c r="X24" s="1175">
        <v>4.8403210099395428</v>
      </c>
      <c r="Y24" s="1176" t="str">
        <v>Before the burn</v>
      </c>
      <c r="Z24" s="1177" t="str">
        <v>Premise plumbing</v>
      </c>
    </row>
    <row r="25" spans="1:26" s="1127" customFormat="1" x14ac:dyDescent="0.3">
      <c r="A25" s="1167" t="str">
        <v>RU44350</v>
      </c>
      <c r="B25" s="1168" t="str">
        <v>FRU44350</v>
      </c>
      <c r="C25" s="1168" t="str">
        <v>FRU44350</v>
      </c>
      <c r="D25" s="1168" t="str">
        <v>RU44350</v>
      </c>
      <c r="E25" s="1168" t="str">
        <v>RU443506</v>
      </c>
      <c r="F25" s="1168" t="str">
        <v>RU</v>
      </c>
      <c r="G25" s="1169">
        <v>44350</v>
      </c>
      <c r="H25" s="1170">
        <v>12504728.455745811</v>
      </c>
      <c r="I25" s="1171">
        <v>7.0970742653226893</v>
      </c>
      <c r="J25" s="1172">
        <v>0.43429448190325176</v>
      </c>
      <c r="K25" s="1173">
        <v>22581.77655808469</v>
      </c>
      <c r="L25" s="1174">
        <v>4.3537581058361781</v>
      </c>
      <c r="M25" s="1175">
        <v>0.22713906398723699</v>
      </c>
      <c r="N25" s="1170">
        <v>5805.9290760490376</v>
      </c>
      <c r="O25" s="1171">
        <v>3.7638717262823116</v>
      </c>
      <c r="P25" s="1172">
        <v>0.31521576684054692</v>
      </c>
      <c r="Q25" s="1173">
        <v>0</v>
      </c>
      <c r="R25" s="1174">
        <v>0</v>
      </c>
      <c r="S25" s="1175">
        <v>0</v>
      </c>
      <c r="T25" s="1170">
        <v>576.1197099833239</v>
      </c>
      <c r="U25" s="1171">
        <v>2.7605127333945005</v>
      </c>
      <c r="V25" s="1172">
        <v>0.18699382377605328</v>
      </c>
      <c r="W25" s="1173">
        <v>28963.825344117049</v>
      </c>
      <c r="X25" s="1175">
        <v>4.4618559199604793</v>
      </c>
      <c r="Y25" s="1176" t="str">
        <v>Before the burn</v>
      </c>
      <c r="Z25" s="1177" t="str">
        <v>Premise plumbing</v>
      </c>
    </row>
    <row r="26" spans="1:26" s="1127" customFormat="1" x14ac:dyDescent="0.3">
      <c r="A26" s="1167" t="str">
        <v>RU44356</v>
      </c>
      <c r="B26" s="1168" t="str">
        <v>FRU44356</v>
      </c>
      <c r="C26" s="1168" t="str">
        <v>FRU44356</v>
      </c>
      <c r="D26" s="1168" t="str">
        <v>RU44356</v>
      </c>
      <c r="E26" s="1168" t="str">
        <v>RU443566</v>
      </c>
      <c r="F26" s="1168" t="str">
        <v>RU</v>
      </c>
      <c r="G26" s="1169">
        <v>44356</v>
      </c>
      <c r="H26" s="1170">
        <v>54162506.367632359</v>
      </c>
      <c r="I26" s="1171">
        <v>7.7336987531004038</v>
      </c>
      <c r="J26" s="1172">
        <v>5.6709914379270275E-2</v>
      </c>
      <c r="K26" s="1173">
        <v>21577.740209707943</v>
      </c>
      <c r="L26" s="1174">
        <v>4.3340059600019885</v>
      </c>
      <c r="M26" s="1175">
        <v>0.33699410421590764</v>
      </c>
      <c r="N26" s="1170">
        <v>5644.2105681489629</v>
      </c>
      <c r="O26" s="1171">
        <v>3.7516032075768719</v>
      </c>
      <c r="P26" s="1172">
        <v>0.40776284613959818</v>
      </c>
      <c r="Q26" s="1173">
        <v>0</v>
      </c>
      <c r="R26" s="1174">
        <v>0</v>
      </c>
      <c r="S26" s="1175">
        <v>0</v>
      </c>
      <c r="T26" s="1170">
        <v>0</v>
      </c>
      <c r="U26" s="1171">
        <v>0</v>
      </c>
      <c r="V26" s="1172">
        <v>0</v>
      </c>
      <c r="W26" s="1173">
        <v>27221.950777856906</v>
      </c>
      <c r="X26" s="1175">
        <v>4.4349192443684737</v>
      </c>
      <c r="Y26" s="1176" t="str">
        <v>Before the burn</v>
      </c>
      <c r="Z26" s="1177" t="str">
        <v>Premise plumbing</v>
      </c>
    </row>
    <row r="27" spans="1:26" s="1127" customFormat="1" x14ac:dyDescent="0.3">
      <c r="A27" s="1167" t="str">
        <v>SPI44335</v>
      </c>
      <c r="B27" s="1168" t="str">
        <v>BSPI44335</v>
      </c>
      <c r="C27" s="1168" t="str">
        <v>GRL44335</v>
      </c>
      <c r="D27" s="1168" t="str">
        <v>RL44335</v>
      </c>
      <c r="E27" s="1168" t="str">
        <v>RL443356</v>
      </c>
      <c r="F27" s="1168" t="str">
        <v>RL</v>
      </c>
      <c r="G27" s="1169">
        <v>44335</v>
      </c>
      <c r="H27" s="1170">
        <v>113910053.0310961</v>
      </c>
      <c r="I27" s="1171">
        <v>8.056562054046335</v>
      </c>
      <c r="J27" s="1172">
        <v>0.23645620777629225</v>
      </c>
      <c r="K27" s="1173">
        <v>198977.36119289021</v>
      </c>
      <c r="L27" s="1174">
        <v>5.2988036670212644</v>
      </c>
      <c r="M27" s="1175">
        <v>0.12709458869450224</v>
      </c>
      <c r="N27" s="1170">
        <v>1622.2520365434534</v>
      </c>
      <c r="O27" s="1171">
        <v>3.2101183280359256</v>
      </c>
      <c r="P27" s="1172">
        <v>7.8271142215945305E-2</v>
      </c>
      <c r="Q27" s="1173">
        <v>772.48905540681358</v>
      </c>
      <c r="R27" s="1174">
        <v>2.8878923350740906</v>
      </c>
      <c r="S27" s="1175">
        <v>7.0897055749523721E-2</v>
      </c>
      <c r="T27" s="1170">
        <v>83.405853559573487</v>
      </c>
      <c r="U27" s="1171">
        <v>1.9211965312062447</v>
      </c>
      <c r="V27" s="1172">
        <v>0.43429448190325176</v>
      </c>
      <c r="W27" s="1173">
        <v>201455.50813840007</v>
      </c>
      <c r="X27" s="1175">
        <v>5.3041791462411982</v>
      </c>
      <c r="Y27" s="1176" t="str">
        <v>Before the burn</v>
      </c>
      <c r="Z27" s="1177" t="str">
        <v>Premise plumbing</v>
      </c>
    </row>
    <row r="28" spans="1:26" s="1127" customFormat="1" x14ac:dyDescent="0.3">
      <c r="A28" s="1167" t="str">
        <v>SPI44342</v>
      </c>
      <c r="B28" s="1168" t="str">
        <v>BSPI44342</v>
      </c>
      <c r="C28" s="1168" t="str">
        <v>GRL44342</v>
      </c>
      <c r="D28" s="1168" t="str">
        <v>RL44342</v>
      </c>
      <c r="E28" s="1168" t="str">
        <v>RL443426</v>
      </c>
      <c r="F28" s="1168" t="str">
        <v>RL</v>
      </c>
      <c r="G28" s="1169">
        <v>44342</v>
      </c>
      <c r="H28" s="1170">
        <v>70723139.80739139</v>
      </c>
      <c r="I28" s="1171">
        <v>7.8495615332656898</v>
      </c>
      <c r="J28" s="1172">
        <v>5.8419891419784258E-2</v>
      </c>
      <c r="K28" s="1173">
        <v>103087.54580483315</v>
      </c>
      <c r="L28" s="1174">
        <v>5.0132062005410614</v>
      </c>
      <c r="M28" s="1175">
        <v>3.5812018699240653E-2</v>
      </c>
      <c r="N28" s="1170">
        <v>1077.9828809014111</v>
      </c>
      <c r="O28" s="1171">
        <v>3.0326118640148327</v>
      </c>
      <c r="P28" s="1172">
        <v>0.12944281257362644</v>
      </c>
      <c r="Q28" s="1173">
        <v>420.06662714551067</v>
      </c>
      <c r="R28" s="1174">
        <v>2.6233181796996914</v>
      </c>
      <c r="S28" s="1175">
        <v>0.43429448190325176</v>
      </c>
      <c r="T28" s="1170">
        <v>124.6290876154314</v>
      </c>
      <c r="U28" s="1171">
        <v>2.095619415650412</v>
      </c>
      <c r="V28" s="1172">
        <v>0.43429448190325176</v>
      </c>
      <c r="W28" s="1173">
        <v>104710.22440049551</v>
      </c>
      <c r="X28" s="1175">
        <v>5.0199890903122526</v>
      </c>
      <c r="Y28" s="1176" t="str">
        <v>Before the burn</v>
      </c>
      <c r="Z28" s="1177" t="str">
        <v>Premise plumbing</v>
      </c>
    </row>
    <row r="29" spans="1:26" s="1127" customFormat="1" x14ac:dyDescent="0.3">
      <c r="A29" s="1167" t="str">
        <v>SPI44350</v>
      </c>
      <c r="B29" s="1168" t="str">
        <v>BSPI44350</v>
      </c>
      <c r="C29" s="1168" t="str">
        <v>GRL44350</v>
      </c>
      <c r="D29" s="1168" t="str">
        <v>RL44350</v>
      </c>
      <c r="E29" s="1168" t="str">
        <v>RL443506</v>
      </c>
      <c r="F29" s="1168" t="str">
        <v>RL</v>
      </c>
      <c r="G29" s="1169">
        <v>44350</v>
      </c>
      <c r="H29" s="1170">
        <v>57258145.097091109</v>
      </c>
      <c r="I29" s="1171">
        <v>7.7578372747518367</v>
      </c>
      <c r="J29" s="1172">
        <v>1.3642992671606957E-2</v>
      </c>
      <c r="K29" s="1173">
        <v>271746.11918131512</v>
      </c>
      <c r="L29" s="1174">
        <v>5.4341633506233746</v>
      </c>
      <c r="M29" s="1175">
        <v>0.3644308263511829</v>
      </c>
      <c r="N29" s="1170">
        <v>274.00694953070746</v>
      </c>
      <c r="O29" s="1171">
        <v>2.4377615778005475</v>
      </c>
      <c r="P29" s="1172">
        <v>0.43429448190325176</v>
      </c>
      <c r="Q29" s="1173">
        <v>0</v>
      </c>
      <c r="R29" s="1174">
        <v>0</v>
      </c>
      <c r="S29" s="1175">
        <v>0</v>
      </c>
      <c r="T29" s="1170">
        <v>0</v>
      </c>
      <c r="U29" s="1171">
        <v>0</v>
      </c>
      <c r="V29" s="1172">
        <v>0</v>
      </c>
      <c r="W29" s="1173">
        <v>272020.12613084581</v>
      </c>
      <c r="X29" s="1175">
        <v>5.4346010376526168</v>
      </c>
      <c r="Y29" s="1176" t="str">
        <v>Before the burn</v>
      </c>
      <c r="Z29" s="1177" t="str">
        <v>Premise plumbing</v>
      </c>
    </row>
    <row r="30" spans="1:26" s="1127" customFormat="1" x14ac:dyDescent="0.3">
      <c r="A30" s="1167" t="str">
        <v>SPI44356</v>
      </c>
      <c r="B30" s="1168" t="str">
        <v>BSPI44356</v>
      </c>
      <c r="C30" s="1168" t="str">
        <v>GRL44356</v>
      </c>
      <c r="D30" s="1168" t="str">
        <v>RL44356</v>
      </c>
      <c r="E30" s="1168" t="str">
        <v>RL443566</v>
      </c>
      <c r="F30" s="1168" t="str">
        <v>RL</v>
      </c>
      <c r="G30" s="1169">
        <v>44356</v>
      </c>
      <c r="H30" s="1170">
        <v>3470117062.895443</v>
      </c>
      <c r="I30" s="1171">
        <v>9.5403441257741548</v>
      </c>
      <c r="J30" s="1172">
        <v>0.33708525480077117</v>
      </c>
      <c r="K30" s="1173">
        <v>46046.018664583615</v>
      </c>
      <c r="L30" s="1174">
        <v>4.6631920852005928</v>
      </c>
      <c r="M30" s="1175">
        <v>0.15678079984202778</v>
      </c>
      <c r="N30" s="1170">
        <v>1444.3270420611361</v>
      </c>
      <c r="O30" s="1171">
        <v>3.1596655425971378</v>
      </c>
      <c r="P30" s="1172">
        <v>6.4515934514715245E-3</v>
      </c>
      <c r="Q30" s="1173">
        <v>13221.508710708174</v>
      </c>
      <c r="R30" s="1174">
        <v>4.1212810154635378</v>
      </c>
      <c r="S30" s="1175">
        <v>0.12749209934592101</v>
      </c>
      <c r="T30" s="1170">
        <v>748.7501888625668</v>
      </c>
      <c r="U30" s="1171">
        <v>2.8743369449425566</v>
      </c>
      <c r="V30" s="1172">
        <v>0.29007232868549881</v>
      </c>
      <c r="W30" s="1173">
        <v>61460.604606215493</v>
      </c>
      <c r="X30" s="1175">
        <v>4.7885968282251365</v>
      </c>
      <c r="Y30" s="1176" t="str">
        <v>Before the burn</v>
      </c>
      <c r="Z30" s="1177" t="str">
        <v>Premise plumbing</v>
      </c>
    </row>
    <row r="31" spans="1:26" s="1127" customFormat="1" x14ac:dyDescent="0.3">
      <c r="A31" s="1167" t="str">
        <v>SPO44335</v>
      </c>
      <c r="B31" s="1168" t="str">
        <v>CSPO44335</v>
      </c>
      <c r="C31" s="1168" t="str">
        <v>HRS44335</v>
      </c>
      <c r="D31" s="1168" t="str">
        <v>RS44335</v>
      </c>
      <c r="E31" s="1168" t="str">
        <v>RS443356</v>
      </c>
      <c r="F31" s="1168" t="str">
        <v>RS</v>
      </c>
      <c r="G31" s="1169">
        <v>44335</v>
      </c>
      <c r="H31" s="1170">
        <v>154998246.26978758</v>
      </c>
      <c r="I31" s="1171">
        <v>8.1903267843660164</v>
      </c>
      <c r="J31" s="1172">
        <v>0.33616632690769432</v>
      </c>
      <c r="K31" s="1173">
        <v>69693.462332499388</v>
      </c>
      <c r="L31" s="1174">
        <v>4.8431920405644897</v>
      </c>
      <c r="M31" s="1175">
        <v>7.9435424434708884E-2</v>
      </c>
      <c r="N31" s="1170">
        <v>23623.736658456812</v>
      </c>
      <c r="O31" s="1171">
        <v>4.3733485927609284</v>
      </c>
      <c r="P31" s="1172">
        <v>0.2798430592982355</v>
      </c>
      <c r="Q31" s="1173">
        <v>340.74119685851423</v>
      </c>
      <c r="R31" s="1174">
        <v>2.5324246445355993</v>
      </c>
      <c r="S31" s="1175">
        <v>0.43429448190325176</v>
      </c>
      <c r="T31" s="1170">
        <v>115924.07826295833</v>
      </c>
      <c r="U31" s="1171">
        <v>5.0641736514136264</v>
      </c>
      <c r="V31" s="1172">
        <v>0.19434089077206526</v>
      </c>
      <c r="W31" s="1173">
        <v>209582.01845077303</v>
      </c>
      <c r="X31" s="1175">
        <v>5.3213540186618644</v>
      </c>
      <c r="Y31" s="1176" t="str">
        <v>Before the burn</v>
      </c>
      <c r="Z31" s="1177" t="str">
        <v>Premise plumbing</v>
      </c>
    </row>
    <row r="32" spans="1:26" s="1127" customFormat="1" x14ac:dyDescent="0.3">
      <c r="A32" s="1167" t="str">
        <v>SPO44342</v>
      </c>
      <c r="B32" s="1168" t="str">
        <v>CSPO44342</v>
      </c>
      <c r="C32" s="1168" t="str">
        <v>HRS44342</v>
      </c>
      <c r="D32" s="1168" t="str">
        <v>RS44342</v>
      </c>
      <c r="E32" s="1168" t="str">
        <v>RS443426</v>
      </c>
      <c r="F32" s="1168" t="str">
        <v>RS</v>
      </c>
      <c r="G32" s="1169">
        <v>44342</v>
      </c>
      <c r="H32" s="1170">
        <v>670230508.91361952</v>
      </c>
      <c r="I32" s="1171">
        <v>8.8262241930475405</v>
      </c>
      <c r="J32" s="1172">
        <v>0.42669076622818014</v>
      </c>
      <c r="K32" s="1173">
        <v>91614.980909559454</v>
      </c>
      <c r="L32" s="1174">
        <v>4.9619664954406089</v>
      </c>
      <c r="M32" s="1175">
        <v>0.17851058242573092</v>
      </c>
      <c r="N32" s="1170">
        <v>44257.850223117406</v>
      </c>
      <c r="O32" s="1171">
        <v>4.6459903147220061</v>
      </c>
      <c r="P32" s="1172">
        <v>0.35170639334188109</v>
      </c>
      <c r="Q32" s="1173">
        <v>0</v>
      </c>
      <c r="R32" s="1174">
        <v>0</v>
      </c>
      <c r="S32" s="1175">
        <v>0</v>
      </c>
      <c r="T32" s="1170">
        <v>231277.60484483506</v>
      </c>
      <c r="U32" s="1171">
        <v>5.3641335810490691</v>
      </c>
      <c r="V32" s="1172">
        <v>0.28196198821016277</v>
      </c>
      <c r="W32" s="1173">
        <v>367150.43597751192</v>
      </c>
      <c r="X32" s="1175">
        <v>5.5648440482527137</v>
      </c>
      <c r="Y32" s="1176" t="str">
        <v>Before the burn</v>
      </c>
      <c r="Z32" s="1177" t="str">
        <v>Premise plumbing</v>
      </c>
    </row>
    <row r="33" spans="1:26" s="1127" customFormat="1" ht="16.350000000000001" thickBot="1" x14ac:dyDescent="0.35">
      <c r="A33" s="1178" t="str">
        <v>SPO44350</v>
      </c>
      <c r="B33" s="1179" t="str">
        <v>CSPO44350</v>
      </c>
      <c r="C33" s="1179" t="str">
        <v>HRS44350</v>
      </c>
      <c r="D33" s="1179" t="str">
        <v>RS44350</v>
      </c>
      <c r="E33" s="1179" t="str">
        <v>RS443506</v>
      </c>
      <c r="F33" s="1179" t="str">
        <v>RS</v>
      </c>
      <c r="G33" s="1180">
        <v>44350</v>
      </c>
      <c r="H33" s="1181">
        <v>16876936944.962345</v>
      </c>
      <c r="I33" s="1182">
        <v>10.227293627798474</v>
      </c>
      <c r="J33" s="1183">
        <v>0.17060056927049855</v>
      </c>
      <c r="K33" s="1184">
        <v>414279.88644454628</v>
      </c>
      <c r="L33" s="1185">
        <v>5.6172938485331683</v>
      </c>
      <c r="M33" s="1186">
        <v>0.14909562874665278</v>
      </c>
      <c r="N33" s="1181">
        <v>88344.487368309477</v>
      </c>
      <c r="O33" s="1182">
        <v>4.9461794550287745</v>
      </c>
      <c r="P33" s="1183">
        <v>8.6889828405983333E-2</v>
      </c>
      <c r="Q33" s="1184">
        <v>0</v>
      </c>
      <c r="R33" s="1185">
        <v>0</v>
      </c>
      <c r="S33" s="1186">
        <v>0</v>
      </c>
      <c r="T33" s="1181">
        <v>192624.80369821313</v>
      </c>
      <c r="U33" s="1182">
        <v>5.2847122091420431</v>
      </c>
      <c r="V33" s="1183">
        <v>7.1770157255336905E-2</v>
      </c>
      <c r="W33" s="1184">
        <v>695249.17751106888</v>
      </c>
      <c r="X33" s="1186">
        <v>5.842140483760411</v>
      </c>
      <c r="Y33" s="1187" t="str">
        <v>Before the burn</v>
      </c>
      <c r="Z33" s="1188" t="str">
        <v>Premise plumbing</v>
      </c>
    </row>
    <row r="34" spans="1:26" ht="16.350000000000001" thickTop="1" x14ac:dyDescent="0.3"/>
    <row r="39" spans="1:26" ht="16.350000000000001" thickBot="1" x14ac:dyDescent="0.35"/>
    <row r="40" spans="1:26" ht="16.95" customHeight="1" thickTop="1" x14ac:dyDescent="0.3">
      <c r="A40" s="1692" t="s">
        <v>295</v>
      </c>
      <c r="B40" s="1693"/>
      <c r="C40" s="1693"/>
      <c r="D40" s="1693"/>
      <c r="E40" s="1693"/>
      <c r="F40" s="1693"/>
      <c r="G40" s="1694"/>
      <c r="H40" s="1695" t="s">
        <v>8</v>
      </c>
      <c r="I40" s="1696"/>
      <c r="J40" s="1697"/>
      <c r="K40" s="1676" t="s">
        <v>3</v>
      </c>
      <c r="L40" s="1677"/>
      <c r="M40" s="1678"/>
      <c r="N40" s="1698" t="s">
        <v>5</v>
      </c>
      <c r="O40" s="1699"/>
      <c r="P40" s="1700"/>
      <c r="Q40" s="1676" t="s">
        <v>6</v>
      </c>
      <c r="R40" s="1677"/>
      <c r="S40" s="1678"/>
      <c r="T40" s="1698" t="s">
        <v>51</v>
      </c>
      <c r="U40" s="1699"/>
      <c r="V40" s="1700"/>
      <c r="W40" s="1703" t="s">
        <v>229</v>
      </c>
      <c r="X40" s="1678"/>
      <c r="Y40" s="1201"/>
      <c r="Z40" s="1189"/>
    </row>
    <row r="41" spans="1:26" s="281" customFormat="1" ht="44.2" customHeight="1" thickBot="1" x14ac:dyDescent="0.35">
      <c r="A41" s="1190" t="s">
        <v>208</v>
      </c>
      <c r="B41" s="1191" t="s">
        <v>214</v>
      </c>
      <c r="C41" s="1191" t="s">
        <v>217</v>
      </c>
      <c r="D41" s="1191" t="s">
        <v>215</v>
      </c>
      <c r="E41" s="1192" t="s">
        <v>174</v>
      </c>
      <c r="F41" s="1192" t="s">
        <v>149</v>
      </c>
      <c r="G41" s="1196" t="s">
        <v>55</v>
      </c>
      <c r="H41" s="1195" t="s">
        <v>163</v>
      </c>
      <c r="I41" s="1193" t="s">
        <v>169</v>
      </c>
      <c r="J41" s="1197" t="s">
        <v>213</v>
      </c>
      <c r="K41" s="1198" t="s">
        <v>163</v>
      </c>
      <c r="L41" s="1199" t="s">
        <v>169</v>
      </c>
      <c r="M41" s="1200" t="s">
        <v>213</v>
      </c>
      <c r="N41" s="1195" t="s">
        <v>163</v>
      </c>
      <c r="O41" s="1193" t="s">
        <v>169</v>
      </c>
      <c r="P41" s="1197" t="s">
        <v>213</v>
      </c>
      <c r="Q41" s="1198" t="s">
        <v>163</v>
      </c>
      <c r="R41" s="1199" t="s">
        <v>169</v>
      </c>
      <c r="S41" s="1200" t="s">
        <v>213</v>
      </c>
      <c r="T41" s="1195" t="s">
        <v>163</v>
      </c>
      <c r="U41" s="1193" t="s">
        <v>169</v>
      </c>
      <c r="V41" s="1197" t="s">
        <v>213</v>
      </c>
      <c r="W41" s="1198" t="s">
        <v>230</v>
      </c>
      <c r="X41" s="1200" t="s">
        <v>231</v>
      </c>
      <c r="Y41" s="1202" t="s">
        <v>232</v>
      </c>
      <c r="Z41" s="1194" t="s">
        <v>149</v>
      </c>
    </row>
    <row r="42" spans="1:26" s="1127" customFormat="1" x14ac:dyDescent="0.3">
      <c r="A42" s="562" t="str" cm="1">
        <f t="array" ref="A42:Z63">_xlfn._xlws.FILTER(qPCR_Unique!A3:Z60, qPCR_Unique!Y3:Y60="During the burn")</f>
        <v>EP44363</v>
      </c>
      <c r="B42" s="563" t="str">
        <v>AEP44363</v>
      </c>
      <c r="C42" s="563" t="str">
        <v>AEP44363</v>
      </c>
      <c r="D42" s="563" t="str">
        <v>EP44363</v>
      </c>
      <c r="E42" s="563" t="str">
        <v>EP443636</v>
      </c>
      <c r="F42" s="563" t="str">
        <v>EP</v>
      </c>
      <c r="G42" s="1203">
        <v>44363</v>
      </c>
      <c r="H42" s="1204">
        <v>831979408.03559792</v>
      </c>
      <c r="I42" s="1205">
        <v>8.9201125773878598</v>
      </c>
      <c r="J42" s="1206">
        <v>0.25898988519193905</v>
      </c>
      <c r="K42" s="1207">
        <v>0</v>
      </c>
      <c r="L42" s="150">
        <v>0</v>
      </c>
      <c r="M42" s="1208">
        <v>0</v>
      </c>
      <c r="N42" s="1204">
        <v>668.65919235247918</v>
      </c>
      <c r="O42" s="1205">
        <v>2.8252048194210433</v>
      </c>
      <c r="P42" s="1206">
        <v>0.14140759558936419</v>
      </c>
      <c r="Q42" s="1207">
        <v>20644560.865319293</v>
      </c>
      <c r="R42" s="150">
        <v>7.3148056493421336</v>
      </c>
      <c r="S42" s="1208">
        <v>0.42524661129923802</v>
      </c>
      <c r="T42" s="1204">
        <v>578.47426997290722</v>
      </c>
      <c r="U42" s="1205">
        <v>2.7622840466805152</v>
      </c>
      <c r="V42" s="1206">
        <v>0.43429448190325171</v>
      </c>
      <c r="W42" s="1207">
        <v>20645807.998781618</v>
      </c>
      <c r="X42" s="1208">
        <v>7.3148318841855584</v>
      </c>
      <c r="Y42" s="1209" t="str">
        <v>During the burn</v>
      </c>
      <c r="Z42" s="564" t="str">
        <v>Distribution system</v>
      </c>
    </row>
    <row r="43" spans="1:26" s="1127" customFormat="1" x14ac:dyDescent="0.3">
      <c r="A43" s="556" t="str">
        <v>EP44370</v>
      </c>
      <c r="B43" s="557" t="str">
        <v>AEP44370</v>
      </c>
      <c r="C43" s="557" t="str">
        <v>AEP44370</v>
      </c>
      <c r="D43" s="557" t="str">
        <v>EP44370</v>
      </c>
      <c r="E43" s="557" t="str">
        <v>EP443706</v>
      </c>
      <c r="F43" s="557" t="str">
        <v>EP</v>
      </c>
      <c r="G43" s="1210">
        <v>44370</v>
      </c>
      <c r="H43" s="1211">
        <v>24217772.465048898</v>
      </c>
      <c r="I43" s="1212">
        <v>7.384134194520211</v>
      </c>
      <c r="J43" s="1213">
        <v>4.073939284282424E-2</v>
      </c>
      <c r="K43" s="1214">
        <v>5151.3180096944179</v>
      </c>
      <c r="L43" s="157">
        <v>3.7119183612943583</v>
      </c>
      <c r="M43" s="1215">
        <v>0.1022360351746279</v>
      </c>
      <c r="N43" s="1211">
        <v>1206.8078498045602</v>
      </c>
      <c r="O43" s="1212">
        <v>3.0816381264248243</v>
      </c>
      <c r="P43" s="1213">
        <v>3.9879239828460354E-3</v>
      </c>
      <c r="Q43" s="1214">
        <v>0</v>
      </c>
      <c r="R43" s="157">
        <v>0</v>
      </c>
      <c r="S43" s="1215">
        <v>0</v>
      </c>
      <c r="T43" s="1211">
        <v>678.19035649299622</v>
      </c>
      <c r="U43" s="1212">
        <v>2.831351610048888</v>
      </c>
      <c r="V43" s="1213">
        <v>0.13701356553114208</v>
      </c>
      <c r="W43" s="1214">
        <v>7036.3162159919739</v>
      </c>
      <c r="X43" s="1215">
        <v>3.8473453486612756</v>
      </c>
      <c r="Y43" s="1216" t="str">
        <v>During the burn</v>
      </c>
      <c r="Z43" s="558" t="str">
        <v>Distribution system</v>
      </c>
    </row>
    <row r="44" spans="1:26" s="1127" customFormat="1" x14ac:dyDescent="0.3">
      <c r="A44" s="556" t="str">
        <v>EP44377</v>
      </c>
      <c r="B44" s="557" t="str">
        <v>AEP44377</v>
      </c>
      <c r="C44" s="557" t="str">
        <v>AEP44377</v>
      </c>
      <c r="D44" s="557" t="str">
        <v>EP44377</v>
      </c>
      <c r="E44" s="557" t="str">
        <v>EP443776</v>
      </c>
      <c r="F44" s="557" t="str">
        <v>EP</v>
      </c>
      <c r="G44" s="1210">
        <v>44377</v>
      </c>
      <c r="H44" s="1211">
        <v>4684351.6805013027</v>
      </c>
      <c r="I44" s="1212">
        <v>6.6706494925420223</v>
      </c>
      <c r="J44" s="1213">
        <v>0</v>
      </c>
      <c r="K44" s="1214">
        <v>2815.9367766786131</v>
      </c>
      <c r="L44" s="157">
        <v>3.4496228998138809</v>
      </c>
      <c r="M44" s="1215">
        <v>0.39147166104896969</v>
      </c>
      <c r="N44" s="1211">
        <v>1257.7391614305211</v>
      </c>
      <c r="O44" s="1212">
        <v>3.0995905834804347</v>
      </c>
      <c r="P44" s="1213">
        <v>1.8571555700006535E-2</v>
      </c>
      <c r="Q44" s="1214">
        <v>0</v>
      </c>
      <c r="R44" s="157">
        <v>0</v>
      </c>
      <c r="S44" s="1215">
        <v>0</v>
      </c>
      <c r="T44" s="1211">
        <v>142.99451112747192</v>
      </c>
      <c r="U44" s="1212">
        <v>2.1553193673056121</v>
      </c>
      <c r="V44" s="1213">
        <v>0.43429448190325171</v>
      </c>
      <c r="W44" s="1214">
        <v>4216.6704492366061</v>
      </c>
      <c r="X44" s="1215">
        <v>3.6249696603768022</v>
      </c>
      <c r="Y44" s="1216" t="str">
        <v>During the burn</v>
      </c>
      <c r="Z44" s="558" t="str">
        <v>Distribution system</v>
      </c>
    </row>
    <row r="45" spans="1:26" s="1127" customFormat="1" x14ac:dyDescent="0.3">
      <c r="A45" s="556" t="str">
        <v>EP44385</v>
      </c>
      <c r="B45" s="557" t="str">
        <v>AEP44385</v>
      </c>
      <c r="C45" s="557" t="str">
        <v>AEP44385</v>
      </c>
      <c r="D45" s="557" t="str">
        <v>EP44385</v>
      </c>
      <c r="E45" s="557" t="str">
        <v>EP443856</v>
      </c>
      <c r="F45" s="557" t="str">
        <v>EP</v>
      </c>
      <c r="G45" s="1210">
        <v>44385</v>
      </c>
      <c r="H45" s="1211">
        <v>67800048.633661866</v>
      </c>
      <c r="I45" s="1212">
        <v>7.8312300053910073</v>
      </c>
      <c r="J45" s="1213">
        <v>0.16523932968123001</v>
      </c>
      <c r="K45" s="1214">
        <v>3291.3459990055644</v>
      </c>
      <c r="L45" s="157">
        <v>3.5173735394078167</v>
      </c>
      <c r="M45" s="1215">
        <v>8.2044235114006742E-2</v>
      </c>
      <c r="N45" s="1211">
        <v>1053.8266904416253</v>
      </c>
      <c r="O45" s="1212">
        <v>3.0227691938237178</v>
      </c>
      <c r="P45" s="1213">
        <v>0.13499729370255115</v>
      </c>
      <c r="Q45" s="1214">
        <v>468.02621979953193</v>
      </c>
      <c r="R45" s="157">
        <v>2.6702701838332747</v>
      </c>
      <c r="S45" s="1215">
        <v>0.43429448190325176</v>
      </c>
      <c r="T45" s="1211">
        <v>0</v>
      </c>
      <c r="U45" s="1212">
        <v>0</v>
      </c>
      <c r="V45" s="1213">
        <v>0</v>
      </c>
      <c r="W45" s="1214">
        <v>4813.1989092467211</v>
      </c>
      <c r="X45" s="1215">
        <v>3.6824338096107176</v>
      </c>
      <c r="Y45" s="1216" t="str">
        <v>During the burn</v>
      </c>
      <c r="Z45" s="558" t="str">
        <v>Distribution system</v>
      </c>
    </row>
    <row r="46" spans="1:26" s="1127" customFormat="1" x14ac:dyDescent="0.3">
      <c r="A46" s="556" t="str">
        <v>EP44391</v>
      </c>
      <c r="B46" s="557" t="str">
        <v>AEP44391</v>
      </c>
      <c r="C46" s="557" t="str">
        <v>AEP44391</v>
      </c>
      <c r="D46" s="557" t="str">
        <v>EP44391</v>
      </c>
      <c r="E46" s="557" t="str">
        <v>EP443916</v>
      </c>
      <c r="F46" s="557" t="str">
        <v>EP</v>
      </c>
      <c r="G46" s="1210">
        <v>44391</v>
      </c>
      <c r="H46" s="1211">
        <v>9534312.4342822526</v>
      </c>
      <c r="I46" s="1212">
        <v>6.9792893794204227</v>
      </c>
      <c r="J46" s="1213">
        <v>3.4155392929378178E-2</v>
      </c>
      <c r="K46" s="1214">
        <v>3184.9360238938107</v>
      </c>
      <c r="L46" s="157">
        <v>3.5031007130453271</v>
      </c>
      <c r="M46" s="1215">
        <v>9.3361948215887822E-2</v>
      </c>
      <c r="N46" s="1211">
        <v>1117.8190272951883</v>
      </c>
      <c r="O46" s="1212">
        <v>3.048371497817886</v>
      </c>
      <c r="P46" s="1213">
        <v>0.20910710850632552</v>
      </c>
      <c r="Q46" s="1214">
        <v>1153.1784647987001</v>
      </c>
      <c r="R46" s="157">
        <v>3.06189652349555</v>
      </c>
      <c r="S46" s="1215">
        <v>0.12931347079532557</v>
      </c>
      <c r="T46" s="1211">
        <v>225.24785333209567</v>
      </c>
      <c r="U46" s="1212">
        <v>2.3526606607367042</v>
      </c>
      <c r="V46" s="1213">
        <v>0.1229186537572927</v>
      </c>
      <c r="W46" s="1214">
        <v>5681.1813693197946</v>
      </c>
      <c r="X46" s="1215">
        <v>3.7544386541667936</v>
      </c>
      <c r="Y46" s="1216" t="str">
        <v>During the burn</v>
      </c>
      <c r="Z46" s="558" t="str">
        <v>Distribution system</v>
      </c>
    </row>
    <row r="47" spans="1:26" s="1127" customFormat="1" x14ac:dyDescent="0.3">
      <c r="A47" s="556" t="str">
        <v>EP44398</v>
      </c>
      <c r="B47" s="557" t="str">
        <v>AEP44398</v>
      </c>
      <c r="C47" s="557" t="str">
        <v>AEP44398</v>
      </c>
      <c r="D47" s="557" t="str">
        <v>EP44398</v>
      </c>
      <c r="E47" s="557" t="str">
        <v>EP443986</v>
      </c>
      <c r="F47" s="557" t="str">
        <v>EP</v>
      </c>
      <c r="G47" s="1210">
        <v>44398</v>
      </c>
      <c r="H47" s="1211">
        <v>13314536.822306314</v>
      </c>
      <c r="I47" s="1212">
        <v>7.1243260630757259</v>
      </c>
      <c r="J47" s="1213">
        <v>0.43429448190325176</v>
      </c>
      <c r="K47" s="1214">
        <v>8008.6822509765625</v>
      </c>
      <c r="L47" s="157">
        <v>3.903561063124283</v>
      </c>
      <c r="M47" s="1215">
        <v>0.43429448190325176</v>
      </c>
      <c r="N47" s="1211">
        <v>440.29507637023926</v>
      </c>
      <c r="O47" s="1212">
        <v>2.6437438289589763</v>
      </c>
      <c r="P47" s="1213">
        <v>0.43429448190325176</v>
      </c>
      <c r="Q47" s="1214">
        <v>19066.925048828125</v>
      </c>
      <c r="R47" s="157">
        <v>4.2802806593803524</v>
      </c>
      <c r="S47" s="1215">
        <v>0.43429448190325176</v>
      </c>
      <c r="T47" s="1211">
        <v>0</v>
      </c>
      <c r="U47" s="1212">
        <v>0</v>
      </c>
      <c r="V47" s="1213">
        <v>0</v>
      </c>
      <c r="W47" s="1214">
        <v>27515.902376174927</v>
      </c>
      <c r="X47" s="1215">
        <v>4.4395837599444574</v>
      </c>
      <c r="Y47" s="1216" t="str">
        <v>During the burn</v>
      </c>
      <c r="Z47" s="558" t="str">
        <v>Distribution system</v>
      </c>
    </row>
    <row r="48" spans="1:26" s="1127" customFormat="1" x14ac:dyDescent="0.3">
      <c r="A48" s="556" t="str">
        <v>MRT44363</v>
      </c>
      <c r="B48" s="557" t="str">
        <v>DMRT44363</v>
      </c>
      <c r="C48" s="557" t="str">
        <v>BSPI44370</v>
      </c>
      <c r="D48" s="557" t="str">
        <v>SPI44370</v>
      </c>
      <c r="E48" s="557" t="str">
        <v>SPI443706</v>
      </c>
      <c r="F48" s="557" t="str">
        <v>SPI</v>
      </c>
      <c r="G48" s="1210">
        <v>44370</v>
      </c>
      <c r="H48" s="1211">
        <v>1079688.9856161503</v>
      </c>
      <c r="I48" s="1212">
        <v>6.0332986709654914</v>
      </c>
      <c r="J48" s="1213">
        <v>0.2937595748300737</v>
      </c>
      <c r="K48" s="1214">
        <v>0</v>
      </c>
      <c r="L48" s="157">
        <v>0</v>
      </c>
      <c r="M48" s="1215">
        <v>0</v>
      </c>
      <c r="N48" s="1211">
        <v>68.575786609275667</v>
      </c>
      <c r="O48" s="1212">
        <v>1.8361707979478543</v>
      </c>
      <c r="P48" s="1213">
        <v>0.43429448190325176</v>
      </c>
      <c r="Q48" s="1214">
        <v>0</v>
      </c>
      <c r="R48" s="157">
        <v>0</v>
      </c>
      <c r="S48" s="1215">
        <v>0</v>
      </c>
      <c r="T48" s="1211">
        <v>182.62219065414794</v>
      </c>
      <c r="U48" s="1212">
        <v>2.2615535480783655</v>
      </c>
      <c r="V48" s="1213">
        <v>0.43429448190325176</v>
      </c>
      <c r="W48" s="1214">
        <v>251.19797726342361</v>
      </c>
      <c r="X48" s="1215">
        <v>2.4000161379836684</v>
      </c>
      <c r="Y48" s="1216" t="str">
        <v>During the burn</v>
      </c>
      <c r="Z48" s="558" t="str">
        <v>Distribution system</v>
      </c>
    </row>
    <row r="49" spans="1:26" s="1127" customFormat="1" x14ac:dyDescent="0.3">
      <c r="A49" s="556" t="str">
        <v>MRT44370</v>
      </c>
      <c r="B49" s="557" t="str">
        <v>DMRT44370</v>
      </c>
      <c r="C49" s="557" t="str">
        <v>BSPI44377</v>
      </c>
      <c r="D49" s="557" t="str">
        <v>SPI44377</v>
      </c>
      <c r="E49" s="557" t="str">
        <v>SPI443776</v>
      </c>
      <c r="F49" s="557" t="str">
        <v>SPI</v>
      </c>
      <c r="G49" s="1210">
        <v>44377</v>
      </c>
      <c r="H49" s="1211">
        <v>445554.91106951679</v>
      </c>
      <c r="I49" s="1212">
        <v>5.6489012349832528</v>
      </c>
      <c r="J49" s="1213">
        <v>0.43429448190325176</v>
      </c>
      <c r="K49" s="1214">
        <v>470.35959031846784</v>
      </c>
      <c r="L49" s="157">
        <v>2.6724300034261792</v>
      </c>
      <c r="M49" s="1215">
        <v>0.43429448190325176</v>
      </c>
      <c r="N49" s="1211">
        <v>0</v>
      </c>
      <c r="O49" s="1212">
        <v>0</v>
      </c>
      <c r="P49" s="1213">
        <v>0</v>
      </c>
      <c r="Q49" s="1214">
        <v>0</v>
      </c>
      <c r="R49" s="157">
        <v>0</v>
      </c>
      <c r="S49" s="1215">
        <v>0</v>
      </c>
      <c r="T49" s="1211">
        <v>0</v>
      </c>
      <c r="U49" s="1212">
        <v>0</v>
      </c>
      <c r="V49" s="1213">
        <v>0</v>
      </c>
      <c r="W49" s="1214">
        <v>470.35959031846784</v>
      </c>
      <c r="X49" s="1215">
        <v>2.6724300034261792</v>
      </c>
      <c r="Y49" s="1216" t="str">
        <v>During the burn</v>
      </c>
      <c r="Z49" s="558" t="str">
        <v>Distribution system</v>
      </c>
    </row>
    <row r="50" spans="1:26" s="1127" customFormat="1" x14ac:dyDescent="0.3">
      <c r="A50" s="556" t="str">
        <v>MRT44377</v>
      </c>
      <c r="B50" s="557" t="str">
        <v>DMRT44377</v>
      </c>
      <c r="C50" s="557" t="str">
        <v>BSPI44385</v>
      </c>
      <c r="D50" s="557" t="str">
        <v>SPI44385</v>
      </c>
      <c r="E50" s="557" t="str">
        <v>SPI443856</v>
      </c>
      <c r="F50" s="557" t="str">
        <v>SPI</v>
      </c>
      <c r="G50" s="1210">
        <v>44385</v>
      </c>
      <c r="H50" s="1211">
        <v>287961.82326668227</v>
      </c>
      <c r="I50" s="1212">
        <v>5.4593349146911159</v>
      </c>
      <c r="J50" s="1213">
        <v>0.32575543700956072</v>
      </c>
      <c r="K50" s="1214">
        <v>301.44047126265929</v>
      </c>
      <c r="L50" s="157">
        <v>2.4792015600758024</v>
      </c>
      <c r="M50" s="1215">
        <v>0.11906382903343478</v>
      </c>
      <c r="N50" s="1211">
        <v>0</v>
      </c>
      <c r="O50" s="1212">
        <v>0</v>
      </c>
      <c r="P50" s="1213">
        <v>0</v>
      </c>
      <c r="Q50" s="1214">
        <v>0</v>
      </c>
      <c r="R50" s="157">
        <v>0</v>
      </c>
      <c r="S50" s="1215">
        <v>0</v>
      </c>
      <c r="T50" s="1211">
        <v>4166.1283587882535</v>
      </c>
      <c r="U50" s="1212">
        <v>3.6197326464697857</v>
      </c>
      <c r="V50" s="1213">
        <v>0.43429448190325176</v>
      </c>
      <c r="W50" s="1214">
        <v>4467.5688300509128</v>
      </c>
      <c r="X50" s="1215">
        <v>3.6500712522310739</v>
      </c>
      <c r="Y50" s="1216" t="str">
        <v>During the burn</v>
      </c>
      <c r="Z50" s="558" t="str">
        <v>Distribution system</v>
      </c>
    </row>
    <row r="51" spans="1:26" s="1127" customFormat="1" x14ac:dyDescent="0.3">
      <c r="A51" s="556" t="str">
        <v>MRT44385</v>
      </c>
      <c r="B51" s="557" t="str">
        <v>DMRT44385</v>
      </c>
      <c r="C51" s="557" t="str">
        <v>BSPI44391</v>
      </c>
      <c r="D51" s="557" t="str">
        <v>SPI44391</v>
      </c>
      <c r="E51" s="557" t="str">
        <v>SPI443916</v>
      </c>
      <c r="F51" s="557" t="str">
        <v>SPI</v>
      </c>
      <c r="G51" s="1210">
        <v>44391</v>
      </c>
      <c r="H51" s="1211">
        <v>816250.59539917484</v>
      </c>
      <c r="I51" s="1212">
        <v>5.9118235110714696</v>
      </c>
      <c r="J51" s="1213">
        <v>0.43429448190325176</v>
      </c>
      <c r="K51" s="1214">
        <v>1253.6846466876591</v>
      </c>
      <c r="L51" s="157">
        <v>3.0981883072865495</v>
      </c>
      <c r="M51" s="1215">
        <v>0.2506677084956192</v>
      </c>
      <c r="N51" s="1211">
        <v>0</v>
      </c>
      <c r="O51" s="1212">
        <v>0</v>
      </c>
      <c r="P51" s="1213">
        <v>0</v>
      </c>
      <c r="Q51" s="1214">
        <v>0</v>
      </c>
      <c r="R51" s="157">
        <v>0</v>
      </c>
      <c r="S51" s="1215">
        <v>0</v>
      </c>
      <c r="T51" s="1211">
        <v>0</v>
      </c>
      <c r="U51" s="1212">
        <v>0</v>
      </c>
      <c r="V51" s="1213">
        <v>0</v>
      </c>
      <c r="W51" s="1214">
        <v>1253.6846466876591</v>
      </c>
      <c r="X51" s="1215">
        <v>3.0981883072865495</v>
      </c>
      <c r="Y51" s="1216" t="str">
        <v>During the burn</v>
      </c>
      <c r="Z51" s="558" t="str">
        <v>Distribution system</v>
      </c>
    </row>
    <row r="52" spans="1:26" s="1127" customFormat="1" x14ac:dyDescent="0.3">
      <c r="A52" s="556" t="str">
        <v>MRT44391</v>
      </c>
      <c r="B52" s="557" t="str">
        <v>DMRT44391</v>
      </c>
      <c r="C52" s="557" t="str">
        <v>BSPI44398</v>
      </c>
      <c r="D52" s="557" t="str">
        <v>SPI44398</v>
      </c>
      <c r="E52" s="557" t="str">
        <v>SPI443986</v>
      </c>
      <c r="F52" s="557" t="str">
        <v>SPI</v>
      </c>
      <c r="G52" s="1210">
        <v>44398</v>
      </c>
      <c r="H52" s="1211">
        <v>2059047.2165643605</v>
      </c>
      <c r="I52" s="1212">
        <v>6.3136663056555458</v>
      </c>
      <c r="J52" s="1213">
        <v>0.43429448190325176</v>
      </c>
      <c r="K52" s="1214">
        <v>0</v>
      </c>
      <c r="L52" s="157">
        <v>0</v>
      </c>
      <c r="M52" s="1215">
        <v>0</v>
      </c>
      <c r="N52" s="1211">
        <v>0</v>
      </c>
      <c r="O52" s="1212">
        <v>0</v>
      </c>
      <c r="P52" s="1213">
        <v>0</v>
      </c>
      <c r="Q52" s="1214">
        <v>12738.265555245534</v>
      </c>
      <c r="R52" s="157">
        <v>4.1051102984023373</v>
      </c>
      <c r="S52" s="1215">
        <v>0.43429448190325176</v>
      </c>
      <c r="T52" s="1211">
        <v>0</v>
      </c>
      <c r="U52" s="1212">
        <v>0</v>
      </c>
      <c r="V52" s="1213">
        <v>0</v>
      </c>
      <c r="W52" s="1214">
        <v>12738.265555245534</v>
      </c>
      <c r="X52" s="1215">
        <v>4.1051102984023373</v>
      </c>
      <c r="Y52" s="1216" t="str">
        <v>During the burn</v>
      </c>
      <c r="Z52" s="558" t="str">
        <v>Distribution system</v>
      </c>
    </row>
    <row r="53" spans="1:26" s="1127" customFormat="1" x14ac:dyDescent="0.3">
      <c r="A53" s="556" t="str">
        <v>RL44356</v>
      </c>
      <c r="B53" s="557" t="str">
        <v>GRL44356</v>
      </c>
      <c r="C53" s="557" t="str">
        <v>CSPO44370</v>
      </c>
      <c r="D53" s="557" t="str">
        <v>SPO44370</v>
      </c>
      <c r="E53" s="557" t="str">
        <v>SPO443706</v>
      </c>
      <c r="F53" s="557" t="str">
        <v>SPO</v>
      </c>
      <c r="G53" s="1210">
        <v>44370</v>
      </c>
      <c r="H53" s="1211">
        <v>106165.19125697804</v>
      </c>
      <c r="I53" s="1212">
        <v>5.025982146472221</v>
      </c>
      <c r="J53" s="1213">
        <v>0.43429448190325176</v>
      </c>
      <c r="K53" s="1214">
        <v>0</v>
      </c>
      <c r="L53" s="157">
        <v>0</v>
      </c>
      <c r="M53" s="1215">
        <v>0</v>
      </c>
      <c r="N53" s="1211">
        <v>0</v>
      </c>
      <c r="O53" s="1212">
        <v>0</v>
      </c>
      <c r="P53" s="1213">
        <v>0</v>
      </c>
      <c r="Q53" s="1214">
        <v>0</v>
      </c>
      <c r="R53" s="157">
        <v>0</v>
      </c>
      <c r="S53" s="1215">
        <v>0</v>
      </c>
      <c r="T53" s="1211">
        <v>0</v>
      </c>
      <c r="U53" s="1212">
        <v>0</v>
      </c>
      <c r="V53" s="1213">
        <v>0</v>
      </c>
      <c r="W53" s="1214">
        <v>0</v>
      </c>
      <c r="X53" s="1215">
        <v>0</v>
      </c>
      <c r="Y53" s="1216" t="str">
        <v>During the burn</v>
      </c>
      <c r="Z53" s="558" t="str">
        <v>Distribution system</v>
      </c>
    </row>
    <row r="54" spans="1:26" s="1127" customFormat="1" x14ac:dyDescent="0.3">
      <c r="A54" s="556" t="str">
        <v>RL44363</v>
      </c>
      <c r="B54" s="557" t="str">
        <v>GRL44363</v>
      </c>
      <c r="C54" s="557" t="str">
        <v>CSPO44377</v>
      </c>
      <c r="D54" s="557" t="str">
        <v>SPO44377</v>
      </c>
      <c r="E54" s="557" t="str">
        <v>SPO443776</v>
      </c>
      <c r="F54" s="557" t="str">
        <v>SPO</v>
      </c>
      <c r="G54" s="1210">
        <v>44377</v>
      </c>
      <c r="H54" s="1211">
        <v>48169.277388961244</v>
      </c>
      <c r="I54" s="1212">
        <v>4.682770131298021</v>
      </c>
      <c r="J54" s="1213">
        <v>0.43429448190325187</v>
      </c>
      <c r="K54" s="1214">
        <v>0</v>
      </c>
      <c r="L54" s="157">
        <v>0</v>
      </c>
      <c r="M54" s="1215">
        <v>0</v>
      </c>
      <c r="N54" s="1211">
        <v>0</v>
      </c>
      <c r="O54" s="1212">
        <v>0</v>
      </c>
      <c r="P54" s="1213">
        <v>0</v>
      </c>
      <c r="Q54" s="1214">
        <v>0</v>
      </c>
      <c r="R54" s="157">
        <v>0</v>
      </c>
      <c r="S54" s="1215">
        <v>0</v>
      </c>
      <c r="T54" s="1211">
        <v>0</v>
      </c>
      <c r="U54" s="1212">
        <v>0</v>
      </c>
      <c r="V54" s="1213">
        <v>0</v>
      </c>
      <c r="W54" s="1214">
        <v>0</v>
      </c>
      <c r="X54" s="1215">
        <v>0</v>
      </c>
      <c r="Y54" s="1216" t="str">
        <v>During the burn</v>
      </c>
      <c r="Z54" s="558" t="str">
        <v>Distribution system</v>
      </c>
    </row>
    <row r="55" spans="1:26" s="1127" customFormat="1" x14ac:dyDescent="0.3">
      <c r="A55" s="556" t="str">
        <v>RL44370</v>
      </c>
      <c r="B55" s="557" t="str">
        <v>GRL44370</v>
      </c>
      <c r="C55" s="557" t="str">
        <v>CSPO44385</v>
      </c>
      <c r="D55" s="557" t="str">
        <v>SPO44385</v>
      </c>
      <c r="E55" s="557" t="str">
        <v>SPO443856</v>
      </c>
      <c r="F55" s="557" t="str">
        <v>SPO</v>
      </c>
      <c r="G55" s="1210">
        <v>44385</v>
      </c>
      <c r="H55" s="1211">
        <v>122492.91297526439</v>
      </c>
      <c r="I55" s="1212">
        <v>5.0881109626207861</v>
      </c>
      <c r="J55" s="1213">
        <v>0.33916643344319786</v>
      </c>
      <c r="K55" s="1214">
        <v>683.64194920765431</v>
      </c>
      <c r="L55" s="157">
        <v>2.8348287037714068</v>
      </c>
      <c r="M55" s="1215">
        <v>0.11278915013912376</v>
      </c>
      <c r="N55" s="1211">
        <v>0</v>
      </c>
      <c r="O55" s="1212">
        <v>0</v>
      </c>
      <c r="P55" s="1213">
        <v>0</v>
      </c>
      <c r="Q55" s="1214">
        <v>0</v>
      </c>
      <c r="R55" s="157">
        <v>0</v>
      </c>
      <c r="S55" s="1215">
        <v>0</v>
      </c>
      <c r="T55" s="1211">
        <v>0</v>
      </c>
      <c r="U55" s="1212">
        <v>0</v>
      </c>
      <c r="V55" s="1213">
        <v>0</v>
      </c>
      <c r="W55" s="1214">
        <v>683.64194920765431</v>
      </c>
      <c r="X55" s="1215">
        <v>2.8348287037714068</v>
      </c>
      <c r="Y55" s="1216" t="str">
        <v>During the burn</v>
      </c>
      <c r="Z55" s="558" t="str">
        <v>Distribution system</v>
      </c>
    </row>
    <row r="56" spans="1:26" s="1127" customFormat="1" x14ac:dyDescent="0.3">
      <c r="A56" s="556" t="str">
        <v>RL44385</v>
      </c>
      <c r="B56" s="557" t="str">
        <v>GRL44385</v>
      </c>
      <c r="C56" s="557" t="str">
        <v>CSPO44391</v>
      </c>
      <c r="D56" s="557" t="str">
        <v>SPO44391</v>
      </c>
      <c r="E56" s="557" t="str">
        <v>SPO443916</v>
      </c>
      <c r="F56" s="557" t="str">
        <v>SPO</v>
      </c>
      <c r="G56" s="1210">
        <v>44391</v>
      </c>
      <c r="H56" s="1211">
        <v>309997.18331333145</v>
      </c>
      <c r="I56" s="1212">
        <v>5.4913577477793218</v>
      </c>
      <c r="J56" s="1213">
        <v>0.43429448190325176</v>
      </c>
      <c r="K56" s="1214">
        <v>759.18580362970374</v>
      </c>
      <c r="L56" s="157">
        <v>2.8803480784195954</v>
      </c>
      <c r="M56" s="1215">
        <v>9.4548581526901307E-2</v>
      </c>
      <c r="N56" s="1211">
        <v>0</v>
      </c>
      <c r="O56" s="1212">
        <v>0</v>
      </c>
      <c r="P56" s="1213">
        <v>0</v>
      </c>
      <c r="Q56" s="1214">
        <v>0</v>
      </c>
      <c r="R56" s="157">
        <v>0</v>
      </c>
      <c r="S56" s="1215">
        <v>0</v>
      </c>
      <c r="T56" s="1211">
        <v>0</v>
      </c>
      <c r="U56" s="1212">
        <v>0</v>
      </c>
      <c r="V56" s="1213">
        <v>0</v>
      </c>
      <c r="W56" s="1214">
        <v>759.18580362970374</v>
      </c>
      <c r="X56" s="1215">
        <v>2.8803480784195954</v>
      </c>
      <c r="Y56" s="1216" t="str">
        <v>During the burn</v>
      </c>
      <c r="Z56" s="558" t="str">
        <v>Distribution system</v>
      </c>
    </row>
    <row r="57" spans="1:26" s="1127" customFormat="1" x14ac:dyDescent="0.3">
      <c r="A57" s="556" t="str">
        <v>RL44391</v>
      </c>
      <c r="B57" s="557" t="str">
        <v>GRL44391</v>
      </c>
      <c r="C57" s="557" t="str">
        <v>CSPO44398</v>
      </c>
      <c r="D57" s="557" t="str">
        <v>SPO44398</v>
      </c>
      <c r="E57" s="557" t="str">
        <v>SPO443986</v>
      </c>
      <c r="F57" s="557" t="str">
        <v>SPO</v>
      </c>
      <c r="G57" s="1210">
        <v>44398</v>
      </c>
      <c r="H57" s="1211">
        <v>102771.66345384388</v>
      </c>
      <c r="I57" s="1212">
        <v>5.01187338604002</v>
      </c>
      <c r="J57" s="1213">
        <v>0.43429448190325176</v>
      </c>
      <c r="K57" s="1214">
        <v>461.25147640705109</v>
      </c>
      <c r="L57" s="157">
        <v>2.6639377692904969</v>
      </c>
      <c r="M57" s="1215">
        <v>4.158728707838804E-2</v>
      </c>
      <c r="N57" s="1211">
        <v>0</v>
      </c>
      <c r="O57" s="1212">
        <v>0</v>
      </c>
      <c r="P57" s="1213">
        <v>0</v>
      </c>
      <c r="Q57" s="1214">
        <v>0</v>
      </c>
      <c r="R57" s="157">
        <v>0</v>
      </c>
      <c r="S57" s="1215">
        <v>0</v>
      </c>
      <c r="T57" s="1211">
        <v>0</v>
      </c>
      <c r="U57" s="1212">
        <v>0</v>
      </c>
      <c r="V57" s="1213">
        <v>0</v>
      </c>
      <c r="W57" s="1214">
        <v>461.25147640705109</v>
      </c>
      <c r="X57" s="1215">
        <v>2.6639377692904969</v>
      </c>
      <c r="Y57" s="1216" t="str">
        <v>During the burn</v>
      </c>
      <c r="Z57" s="558" t="str">
        <v>Distribution system</v>
      </c>
    </row>
    <row r="58" spans="1:26" s="1127" customFormat="1" x14ac:dyDescent="0.3">
      <c r="A58" s="556" t="str">
        <v>RN44356</v>
      </c>
      <c r="B58" s="557" t="str">
        <v>ERN44356</v>
      </c>
      <c r="C58" s="557" t="str">
        <v>DMRT44363</v>
      </c>
      <c r="D58" s="557" t="str">
        <v>MRT44363</v>
      </c>
      <c r="E58" s="557" t="str">
        <v>MRT443636</v>
      </c>
      <c r="F58" s="557" t="str">
        <v>MRT</v>
      </c>
      <c r="G58" s="1210">
        <v>44363</v>
      </c>
      <c r="H58" s="1211">
        <v>68923810.684481233</v>
      </c>
      <c r="I58" s="1212">
        <v>7.8383692808696015</v>
      </c>
      <c r="J58" s="1213">
        <v>0.20569752131575036</v>
      </c>
      <c r="K58" s="1214">
        <v>60196.714296445738</v>
      </c>
      <c r="L58" s="157">
        <v>4.7795727869078934</v>
      </c>
      <c r="M58" s="1215">
        <v>0.43429448190325176</v>
      </c>
      <c r="N58" s="1211">
        <v>2435.7093826973396</v>
      </c>
      <c r="O58" s="1212">
        <v>3.3866254690921229</v>
      </c>
      <c r="P58" s="1213">
        <v>0.22438023053221637</v>
      </c>
      <c r="Q58" s="1214">
        <v>1400357.4164359125</v>
      </c>
      <c r="R58" s="157">
        <v>6.1462388958032994</v>
      </c>
      <c r="S58" s="1215">
        <v>0.43389410109255555</v>
      </c>
      <c r="T58" s="1211">
        <v>2967.3292305006653</v>
      </c>
      <c r="U58" s="1212">
        <v>3.4723657347419548</v>
      </c>
      <c r="V58" s="1213">
        <v>0.23102537419596508</v>
      </c>
      <c r="W58" s="1214">
        <v>1465957.1693455561</v>
      </c>
      <c r="X58" s="1215">
        <v>6.1661212817726314</v>
      </c>
      <c r="Y58" s="1216" t="str">
        <v>During the burn</v>
      </c>
      <c r="Z58" s="558" t="str">
        <v>Distribution system</v>
      </c>
    </row>
    <row r="59" spans="1:26" s="1127" customFormat="1" x14ac:dyDescent="0.3">
      <c r="A59" s="556" t="str">
        <v>RN44363</v>
      </c>
      <c r="B59" s="557" t="str">
        <v>ERN44363</v>
      </c>
      <c r="C59" s="557" t="str">
        <v>DMRT44370</v>
      </c>
      <c r="D59" s="557" t="str">
        <v>MRT44370</v>
      </c>
      <c r="E59" s="557" t="str">
        <v>MRT443706</v>
      </c>
      <c r="F59" s="557" t="str">
        <v>MRT</v>
      </c>
      <c r="G59" s="1210">
        <v>44370</v>
      </c>
      <c r="H59" s="1211">
        <v>6951611.3340243362</v>
      </c>
      <c r="I59" s="1212">
        <v>6.8420854826283053</v>
      </c>
      <c r="J59" s="1213">
        <v>0.34685296928100606</v>
      </c>
      <c r="K59" s="1214">
        <v>0</v>
      </c>
      <c r="L59" s="157">
        <v>0</v>
      </c>
      <c r="M59" s="1215">
        <v>0</v>
      </c>
      <c r="N59" s="1211">
        <v>182.28853667508744</v>
      </c>
      <c r="O59" s="1212">
        <v>2.2607593586424297</v>
      </c>
      <c r="P59" s="1213">
        <v>7.9624821026684348E-2</v>
      </c>
      <c r="Q59" s="1214">
        <v>0</v>
      </c>
      <c r="R59" s="157">
        <v>0</v>
      </c>
      <c r="S59" s="1215">
        <v>0</v>
      </c>
      <c r="T59" s="1211">
        <v>0</v>
      </c>
      <c r="U59" s="1212">
        <v>0</v>
      </c>
      <c r="V59" s="1213">
        <v>0</v>
      </c>
      <c r="W59" s="1214">
        <v>182.28853667508744</v>
      </c>
      <c r="X59" s="1215">
        <v>2.2607593586424297</v>
      </c>
      <c r="Y59" s="1216" t="str">
        <v>During the burn</v>
      </c>
      <c r="Z59" s="558" t="str">
        <v>Distribution system</v>
      </c>
    </row>
    <row r="60" spans="1:26" s="1127" customFormat="1" x14ac:dyDescent="0.3">
      <c r="A60" s="556" t="str">
        <v>RN44370</v>
      </c>
      <c r="B60" s="557" t="str">
        <v>ERN44370</v>
      </c>
      <c r="C60" s="557" t="str">
        <v>DMRT44377</v>
      </c>
      <c r="D60" s="557" t="str">
        <v>MRT44377</v>
      </c>
      <c r="E60" s="557" t="str">
        <v>MRT443776</v>
      </c>
      <c r="F60" s="557" t="str">
        <v>MRT</v>
      </c>
      <c r="G60" s="1210">
        <v>44377</v>
      </c>
      <c r="H60" s="1211">
        <v>6165448.363805701</v>
      </c>
      <c r="I60" s="1212">
        <v>6.7899646648484158</v>
      </c>
      <c r="J60" s="1213">
        <v>3.7754077490664874E-2</v>
      </c>
      <c r="K60" s="1214">
        <v>268.31407017178003</v>
      </c>
      <c r="L60" s="157">
        <v>2.4286434473187644</v>
      </c>
      <c r="M60" s="1215">
        <v>0.43429448190325176</v>
      </c>
      <c r="N60" s="1211">
        <v>0</v>
      </c>
      <c r="O60" s="1212">
        <v>0</v>
      </c>
      <c r="P60" s="1213">
        <v>0</v>
      </c>
      <c r="Q60" s="1214">
        <v>0</v>
      </c>
      <c r="R60" s="157">
        <v>0</v>
      </c>
      <c r="S60" s="1215">
        <v>0</v>
      </c>
      <c r="T60" s="1211">
        <v>322.4329948425293</v>
      </c>
      <c r="U60" s="1212">
        <v>2.5084394771307048</v>
      </c>
      <c r="V60" s="1213">
        <v>0.43429448190325171</v>
      </c>
      <c r="W60" s="1214">
        <v>590.74706501430933</v>
      </c>
      <c r="X60" s="1215">
        <v>2.7714015726213659</v>
      </c>
      <c r="Y60" s="1216" t="str">
        <v>During the burn</v>
      </c>
      <c r="Z60" s="558" t="str">
        <v>Distribution system</v>
      </c>
    </row>
    <row r="61" spans="1:26" s="1127" customFormat="1" x14ac:dyDescent="0.3">
      <c r="A61" s="556" t="str">
        <v>RN44377</v>
      </c>
      <c r="B61" s="557" t="str">
        <v>ERN44377</v>
      </c>
      <c r="C61" s="557" t="str">
        <v>DMRT44385</v>
      </c>
      <c r="D61" s="557" t="str">
        <v>MRT44385</v>
      </c>
      <c r="E61" s="557" t="str">
        <v>MRT443856</v>
      </c>
      <c r="F61" s="557" t="str">
        <v>MRT</v>
      </c>
      <c r="G61" s="1210">
        <v>44385</v>
      </c>
      <c r="H61" s="1211">
        <v>7748489.6500424985</v>
      </c>
      <c r="I61" s="1212">
        <v>6.8892170572706553</v>
      </c>
      <c r="J61" s="1213">
        <v>0.27693543959643552</v>
      </c>
      <c r="K61" s="1214">
        <v>1528.8693375057644</v>
      </c>
      <c r="L61" s="157">
        <v>3.1843703706804534</v>
      </c>
      <c r="M61" s="1215">
        <v>0.17486358508649869</v>
      </c>
      <c r="N61" s="1211">
        <v>0</v>
      </c>
      <c r="O61" s="1212">
        <v>0</v>
      </c>
      <c r="P61" s="1213">
        <v>0</v>
      </c>
      <c r="Q61" s="1214">
        <v>431.67843818664551</v>
      </c>
      <c r="R61" s="157">
        <v>2.6351603567164474</v>
      </c>
      <c r="S61" s="1215">
        <v>0.43429448190325176</v>
      </c>
      <c r="T61" s="1211">
        <v>0</v>
      </c>
      <c r="U61" s="1212">
        <v>0</v>
      </c>
      <c r="V61" s="1213">
        <v>0</v>
      </c>
      <c r="W61" s="1214">
        <v>1960.5477756924099</v>
      </c>
      <c r="X61" s="1215">
        <v>3.2923774298888513</v>
      </c>
      <c r="Y61" s="1216" t="str">
        <v>During the burn</v>
      </c>
      <c r="Z61" s="558" t="str">
        <v>Distribution system</v>
      </c>
    </row>
    <row r="62" spans="1:26" s="1127" customFormat="1" x14ac:dyDescent="0.3">
      <c r="A62" s="556" t="str">
        <v>RN44385</v>
      </c>
      <c r="B62" s="557" t="str">
        <v>ERN44385</v>
      </c>
      <c r="C62" s="557" t="str">
        <v>DMRT44391</v>
      </c>
      <c r="D62" s="557" t="str">
        <v>MRT44391</v>
      </c>
      <c r="E62" s="557" t="str">
        <v>MRT443916</v>
      </c>
      <c r="F62" s="557" t="str">
        <v>MRT</v>
      </c>
      <c r="G62" s="1210">
        <v>44391</v>
      </c>
      <c r="H62" s="1211">
        <v>23027506.457112629</v>
      </c>
      <c r="I62" s="1212">
        <v>7.362246912755932</v>
      </c>
      <c r="J62" s="1213">
        <v>0.10928610789896223</v>
      </c>
      <c r="K62" s="1214">
        <v>1402.1369934082031</v>
      </c>
      <c r="L62" s="157">
        <v>3.1467904477067403</v>
      </c>
      <c r="M62" s="1215">
        <v>4.627566057861543E-2</v>
      </c>
      <c r="N62" s="1211">
        <v>101.41029357910156</v>
      </c>
      <c r="O62" s="1212">
        <v>2.0060820399846007</v>
      </c>
      <c r="P62" s="1213">
        <v>0.43429448190325176</v>
      </c>
      <c r="Q62" s="1214">
        <v>2321.6773986816406</v>
      </c>
      <c r="R62" s="157">
        <v>3.36580187358265</v>
      </c>
      <c r="S62" s="1215">
        <v>0.27928433822935989</v>
      </c>
      <c r="T62" s="1211">
        <v>0</v>
      </c>
      <c r="U62" s="1212">
        <v>0</v>
      </c>
      <c r="V62" s="1213">
        <v>0</v>
      </c>
      <c r="W62" s="1214">
        <v>3825.2246856689453</v>
      </c>
      <c r="X62" s="1215">
        <v>3.5826569497851435</v>
      </c>
      <c r="Y62" s="1216" t="str">
        <v>During the burn</v>
      </c>
      <c r="Z62" s="558" t="str">
        <v>Distribution system</v>
      </c>
    </row>
    <row r="63" spans="1:26" s="1127" customFormat="1" ht="16.350000000000001" thickBot="1" x14ac:dyDescent="0.35">
      <c r="A63" s="1217" t="str">
        <v>RN44391</v>
      </c>
      <c r="B63" s="1218" t="str">
        <v>ERN44391</v>
      </c>
      <c r="C63" s="1218" t="str">
        <v>DMRT44398</v>
      </c>
      <c r="D63" s="1218" t="str">
        <v>MRT44398</v>
      </c>
      <c r="E63" s="1218" t="str">
        <v>MRT443986</v>
      </c>
      <c r="F63" s="1218" t="str">
        <v>MRT</v>
      </c>
      <c r="G63" s="1219">
        <v>44398</v>
      </c>
      <c r="H63" s="1220">
        <v>4031205.7741744434</v>
      </c>
      <c r="I63" s="1221">
        <v>6.6054349674181383</v>
      </c>
      <c r="J63" s="1222">
        <v>9.8835135429531762E-2</v>
      </c>
      <c r="K63" s="1223">
        <v>464.26421006520587</v>
      </c>
      <c r="L63" s="1224">
        <v>2.6667652053756519</v>
      </c>
      <c r="M63" s="1225">
        <v>0.1961609434587307</v>
      </c>
      <c r="N63" s="1220">
        <v>169.27974621454874</v>
      </c>
      <c r="O63" s="1221">
        <v>2.2286049992580708</v>
      </c>
      <c r="P63" s="1222">
        <v>0.12130419250929357</v>
      </c>
      <c r="Q63" s="1223">
        <v>0</v>
      </c>
      <c r="R63" s="1224">
        <v>0</v>
      </c>
      <c r="S63" s="1225">
        <v>0</v>
      </c>
      <c r="T63" s="1220">
        <v>0</v>
      </c>
      <c r="U63" s="1221">
        <v>0</v>
      </c>
      <c r="V63" s="1222">
        <v>0</v>
      </c>
      <c r="W63" s="1223">
        <v>633.54395627975464</v>
      </c>
      <c r="X63" s="1225">
        <v>2.8017767523015138</v>
      </c>
      <c r="Y63" s="1226" t="str">
        <v>During the burn</v>
      </c>
      <c r="Z63" s="1227" t="str">
        <v>Distribution system</v>
      </c>
    </row>
    <row r="64" spans="1:26" s="1127" customFormat="1" x14ac:dyDescent="0.3">
      <c r="A64" s="1228" t="str" cm="1">
        <f t="array" ref="A64:Z86">_xlfn._xlws.FILTER(qPCR_Unique!A61:Z118, qPCR_Unique!Y61:Y118="During the burn")</f>
        <v>RS44363</v>
      </c>
      <c r="B64" s="1229" t="str">
        <v>HRS44363</v>
      </c>
      <c r="C64" s="1229" t="str">
        <v>ERN44363</v>
      </c>
      <c r="D64" s="1229" t="str">
        <v>RN44363</v>
      </c>
      <c r="E64" s="1229" t="str">
        <v>RN443636</v>
      </c>
      <c r="F64" s="1229" t="str">
        <v>RN</v>
      </c>
      <c r="G64" s="1230">
        <v>44363</v>
      </c>
      <c r="H64" s="1231">
        <v>37634574.441604882</v>
      </c>
      <c r="I64" s="1232">
        <v>7.5755870095503726</v>
      </c>
      <c r="J64" s="1233">
        <v>0.40917588613039546</v>
      </c>
      <c r="K64" s="1234">
        <v>0</v>
      </c>
      <c r="L64" s="1235">
        <v>0</v>
      </c>
      <c r="M64" s="1236">
        <v>0</v>
      </c>
      <c r="N64" s="1231">
        <v>16241.106240467358</v>
      </c>
      <c r="O64" s="1232">
        <v>4.2106156072800465</v>
      </c>
      <c r="P64" s="1233">
        <v>0.29304142138778433</v>
      </c>
      <c r="Q64" s="1234">
        <v>0</v>
      </c>
      <c r="R64" s="1235">
        <v>0</v>
      </c>
      <c r="S64" s="1236">
        <v>0</v>
      </c>
      <c r="T64" s="1231">
        <v>1078833.0810546875</v>
      </c>
      <c r="U64" s="1232">
        <v>6.0329542550771391</v>
      </c>
      <c r="V64" s="1233">
        <v>0.4104956491100426</v>
      </c>
      <c r="W64" s="1234">
        <v>1095074.1872951549</v>
      </c>
      <c r="X64" s="1236">
        <v>6.0394435420451087</v>
      </c>
      <c r="Y64" s="1237" t="str">
        <v>During the burn</v>
      </c>
      <c r="Z64" s="1238" t="str">
        <v>Premise plumbing</v>
      </c>
    </row>
    <row r="65" spans="1:26" s="1127" customFormat="1" x14ac:dyDescent="0.3">
      <c r="A65" s="1239" t="str">
        <v>RS44370</v>
      </c>
      <c r="B65" s="1240" t="str">
        <v>HRS44370</v>
      </c>
      <c r="C65" s="1240" t="str">
        <v>ERN44370</v>
      </c>
      <c r="D65" s="1240" t="str">
        <v>RN44370</v>
      </c>
      <c r="E65" s="1240" t="str">
        <v>RN443706</v>
      </c>
      <c r="F65" s="1240" t="str">
        <v>RN</v>
      </c>
      <c r="G65" s="1241">
        <v>44370</v>
      </c>
      <c r="H65" s="1242">
        <v>887407127.34477782</v>
      </c>
      <c r="I65" s="1243">
        <v>8.9481229124964674</v>
      </c>
      <c r="J65" s="1244">
        <v>0.10671498924691655</v>
      </c>
      <c r="K65" s="1245">
        <v>0</v>
      </c>
      <c r="L65" s="1246">
        <v>0</v>
      </c>
      <c r="M65" s="1247">
        <v>0</v>
      </c>
      <c r="N65" s="1242">
        <v>93902.081015675329</v>
      </c>
      <c r="O65" s="1243">
        <v>4.972675217011691</v>
      </c>
      <c r="P65" s="1244">
        <v>4.4211627601549687E-3</v>
      </c>
      <c r="Q65" s="1245">
        <v>0</v>
      </c>
      <c r="R65" s="1246">
        <v>0</v>
      </c>
      <c r="S65" s="1247">
        <v>0</v>
      </c>
      <c r="T65" s="1242">
        <v>2653870.0859777704</v>
      </c>
      <c r="U65" s="1243">
        <v>6.4238796591750136</v>
      </c>
      <c r="V65" s="1244">
        <v>4.6821904322901118E-3</v>
      </c>
      <c r="W65" s="1245">
        <v>2747772.1669934457</v>
      </c>
      <c r="X65" s="1247">
        <v>6.4389807201198508</v>
      </c>
      <c r="Y65" s="1248" t="str">
        <v>During the burn</v>
      </c>
      <c r="Z65" s="1249" t="str">
        <v>Premise plumbing</v>
      </c>
    </row>
    <row r="66" spans="1:26" s="1127" customFormat="1" x14ac:dyDescent="0.3">
      <c r="A66" s="1239" t="str">
        <v>RS44377</v>
      </c>
      <c r="B66" s="1240" t="str">
        <v>HRS44377</v>
      </c>
      <c r="C66" s="1240" t="str">
        <v>ERN44377</v>
      </c>
      <c r="D66" s="1240" t="str">
        <v>RN44377</v>
      </c>
      <c r="E66" s="1240" t="str">
        <v>RN443776</v>
      </c>
      <c r="F66" s="1240" t="str">
        <v>RN</v>
      </c>
      <c r="G66" s="1241">
        <v>44377</v>
      </c>
      <c r="H66" s="1242">
        <v>615711260.39890146</v>
      </c>
      <c r="I66" s="1243">
        <v>8.7893770962330091</v>
      </c>
      <c r="J66" s="1244">
        <v>0.16119566510383246</v>
      </c>
      <c r="K66" s="1245">
        <v>0</v>
      </c>
      <c r="L66" s="1246">
        <v>0</v>
      </c>
      <c r="M66" s="1247">
        <v>0</v>
      </c>
      <c r="N66" s="1242">
        <v>170585.00498348905</v>
      </c>
      <c r="O66" s="1243">
        <v>5.2319408525106175</v>
      </c>
      <c r="P66" s="1244">
        <v>0.10610091204631435</v>
      </c>
      <c r="Q66" s="1245">
        <v>0</v>
      </c>
      <c r="R66" s="1246">
        <v>0</v>
      </c>
      <c r="S66" s="1247">
        <v>0</v>
      </c>
      <c r="T66" s="1242">
        <v>5579348.3529317006</v>
      </c>
      <c r="U66" s="1243">
        <v>6.7465834779246157</v>
      </c>
      <c r="V66" s="1244">
        <v>0.13257204661890881</v>
      </c>
      <c r="W66" s="1245">
        <v>5749933.35791519</v>
      </c>
      <c r="X66" s="1247">
        <v>6.7596628112187753</v>
      </c>
      <c r="Y66" s="1248" t="str">
        <v>During the burn</v>
      </c>
      <c r="Z66" s="1249" t="str">
        <v>Premise plumbing</v>
      </c>
    </row>
    <row r="67" spans="1:26" s="1127" customFormat="1" x14ac:dyDescent="0.3">
      <c r="A67" s="1239" t="str">
        <v>RS44385</v>
      </c>
      <c r="B67" s="1240" t="str">
        <v>HRS44385</v>
      </c>
      <c r="C67" s="1240" t="str">
        <v>ERN44385</v>
      </c>
      <c r="D67" s="1240" t="str">
        <v>RN44385</v>
      </c>
      <c r="E67" s="1240" t="str">
        <v>RN443856</v>
      </c>
      <c r="F67" s="1240" t="str">
        <v>RN</v>
      </c>
      <c r="G67" s="1241">
        <v>44385</v>
      </c>
      <c r="H67" s="1242">
        <v>552362214.71622205</v>
      </c>
      <c r="I67" s="1243">
        <v>8.7422239622644788</v>
      </c>
      <c r="J67" s="1244">
        <v>0.1181372481709939</v>
      </c>
      <c r="K67" s="1245">
        <v>696.10249806964202</v>
      </c>
      <c r="L67" s="1246">
        <v>2.8426731922953588</v>
      </c>
      <c r="M67" s="1247">
        <v>0.13287691959985501</v>
      </c>
      <c r="N67" s="1242">
        <v>50417.907242547903</v>
      </c>
      <c r="O67" s="1243">
        <v>4.7025848149247986</v>
      </c>
      <c r="P67" s="1244">
        <v>0.13661046695476067</v>
      </c>
      <c r="Q67" s="1245">
        <v>0</v>
      </c>
      <c r="R67" s="1246">
        <v>0</v>
      </c>
      <c r="S67" s="1247">
        <v>0</v>
      </c>
      <c r="T67" s="1242">
        <v>3831470.7093253974</v>
      </c>
      <c r="U67" s="1243">
        <v>6.583365509828246</v>
      </c>
      <c r="V67" s="1244">
        <v>0.20752412383942145</v>
      </c>
      <c r="W67" s="1245">
        <v>3882584.719066015</v>
      </c>
      <c r="X67" s="1247">
        <v>6.589120940928983</v>
      </c>
      <c r="Y67" s="1248" t="str">
        <v>During the burn</v>
      </c>
      <c r="Z67" s="1249" t="str">
        <v>Premise plumbing</v>
      </c>
    </row>
    <row r="68" spans="1:26" s="1127" customFormat="1" x14ac:dyDescent="0.3">
      <c r="A68" s="1239" t="str">
        <v>RS44391</v>
      </c>
      <c r="B68" s="1240" t="str">
        <v>HRS44391</v>
      </c>
      <c r="C68" s="1240" t="str">
        <v>ERN44391</v>
      </c>
      <c r="D68" s="1240" t="str">
        <v>RN44391</v>
      </c>
      <c r="E68" s="1240" t="str">
        <v>RN443916</v>
      </c>
      <c r="F68" s="1240" t="str">
        <v>RN</v>
      </c>
      <c r="G68" s="1241">
        <v>44391</v>
      </c>
      <c r="H68" s="1242">
        <v>3139305002.0711265</v>
      </c>
      <c r="I68" s="1243">
        <v>9.4968335120305873</v>
      </c>
      <c r="J68" s="1244">
        <v>0.39161385364179596</v>
      </c>
      <c r="K68" s="1245">
        <v>0</v>
      </c>
      <c r="L68" s="1246">
        <v>0</v>
      </c>
      <c r="M68" s="1247">
        <v>0</v>
      </c>
      <c r="N68" s="1242">
        <v>1802917.1752929688</v>
      </c>
      <c r="O68" s="1243">
        <v>6.2559757760072374</v>
      </c>
      <c r="P68" s="1244">
        <v>0.18905086498344267</v>
      </c>
      <c r="Q68" s="1245">
        <v>29921.933841705322</v>
      </c>
      <c r="R68" s="1246">
        <v>4.475989658364921</v>
      </c>
      <c r="S68" s="1247">
        <v>0.21439450635618068</v>
      </c>
      <c r="T68" s="1242">
        <v>56260882.03125</v>
      </c>
      <c r="U68" s="1243">
        <v>7.7502065365441126</v>
      </c>
      <c r="V68" s="1244">
        <v>0.2795796309863231</v>
      </c>
      <c r="W68" s="1245">
        <v>58093721.140384674</v>
      </c>
      <c r="X68" s="1247">
        <v>7.764129195704605</v>
      </c>
      <c r="Y68" s="1248" t="str">
        <v>During the burn</v>
      </c>
      <c r="Z68" s="1249" t="str">
        <v>Premise plumbing</v>
      </c>
    </row>
    <row r="69" spans="1:26" s="1127" customFormat="1" x14ac:dyDescent="0.3">
      <c r="A69" s="1239" t="str">
        <v>RS44398</v>
      </c>
      <c r="B69" s="1240" t="str">
        <v>HRS44398</v>
      </c>
      <c r="C69" s="1240" t="str">
        <v>ERN44398</v>
      </c>
      <c r="D69" s="1240" t="str">
        <v>RN44398</v>
      </c>
      <c r="E69" s="1240" t="str">
        <v>RN443986</v>
      </c>
      <c r="F69" s="1240" t="str">
        <v>RN</v>
      </c>
      <c r="G69" s="1241">
        <v>44398</v>
      </c>
      <c r="H69" s="1242">
        <v>282519522.60192114</v>
      </c>
      <c r="I69" s="1243">
        <v>8.4510484637141765</v>
      </c>
      <c r="J69" s="1244">
        <v>0.10167634189606937</v>
      </c>
      <c r="K69" s="1245">
        <v>338.35356819575418</v>
      </c>
      <c r="L69" s="1246">
        <v>2.5293707608093068</v>
      </c>
      <c r="M69" s="1247">
        <v>7.6906433188412915E-3</v>
      </c>
      <c r="N69" s="1242">
        <v>37121.263894220741</v>
      </c>
      <c r="O69" s="1243">
        <v>4.5696227545333876</v>
      </c>
      <c r="P69" s="1244">
        <v>0.13757373905465575</v>
      </c>
      <c r="Q69" s="1245">
        <v>954.79618419300425</v>
      </c>
      <c r="R69" s="1246">
        <v>2.9799106746966424</v>
      </c>
      <c r="S69" s="1247">
        <v>0.43429448190325176</v>
      </c>
      <c r="T69" s="1242">
        <v>0</v>
      </c>
      <c r="U69" s="1243">
        <v>0</v>
      </c>
      <c r="V69" s="1244">
        <v>0</v>
      </c>
      <c r="W69" s="1245">
        <v>38414.413646609493</v>
      </c>
      <c r="X69" s="1247">
        <v>4.5844942085514333</v>
      </c>
      <c r="Y69" s="1248" t="str">
        <v>During the burn</v>
      </c>
      <c r="Z69" s="1249" t="str">
        <v>Premise plumbing</v>
      </c>
    </row>
    <row r="70" spans="1:26" s="1127" customFormat="1" x14ac:dyDescent="0.3">
      <c r="A70" s="1239" t="str">
        <v>RU44363</v>
      </c>
      <c r="B70" s="1240" t="str">
        <v>FRU44363</v>
      </c>
      <c r="C70" s="1240" t="str">
        <v>FRU44363</v>
      </c>
      <c r="D70" s="1240" t="str">
        <v>RU44363</v>
      </c>
      <c r="E70" s="1240" t="str">
        <v>RU443636</v>
      </c>
      <c r="F70" s="1240" t="str">
        <v>RU</v>
      </c>
      <c r="G70" s="1241">
        <v>44363</v>
      </c>
      <c r="H70" s="1242">
        <v>4961924.6717953514</v>
      </c>
      <c r="I70" s="1243">
        <v>6.6956501668543815</v>
      </c>
      <c r="J70" s="1244">
        <v>0.17068614845696886</v>
      </c>
      <c r="K70" s="1245">
        <v>0</v>
      </c>
      <c r="L70" s="1246">
        <v>0</v>
      </c>
      <c r="M70" s="1247">
        <v>0</v>
      </c>
      <c r="N70" s="1242">
        <v>22695.970028004747</v>
      </c>
      <c r="O70" s="1243">
        <v>4.3559487492646749</v>
      </c>
      <c r="P70" s="1244">
        <v>0.11775531649097815</v>
      </c>
      <c r="Q70" s="1245">
        <v>0</v>
      </c>
      <c r="R70" s="1246">
        <v>0</v>
      </c>
      <c r="S70" s="1247">
        <v>0</v>
      </c>
      <c r="T70" s="1242">
        <v>72.787949379454261</v>
      </c>
      <c r="U70" s="1243">
        <v>1.8620594843788647</v>
      </c>
      <c r="V70" s="1244">
        <v>0.43429448190325176</v>
      </c>
      <c r="W70" s="1245">
        <v>22768.757977384201</v>
      </c>
      <c r="X70" s="1247">
        <v>4.3573393407477621</v>
      </c>
      <c r="Y70" s="1248" t="str">
        <v>During the burn</v>
      </c>
      <c r="Z70" s="1249" t="str">
        <v>Premise plumbing</v>
      </c>
    </row>
    <row r="71" spans="1:26" s="1127" customFormat="1" x14ac:dyDescent="0.3">
      <c r="A71" s="1239" t="str">
        <v>RU44370</v>
      </c>
      <c r="B71" s="1240" t="str">
        <v>FRU44370</v>
      </c>
      <c r="C71" s="1240" t="str">
        <v>FRU44370</v>
      </c>
      <c r="D71" s="1240" t="str">
        <v>RU44370</v>
      </c>
      <c r="E71" s="1240" t="str">
        <v>RU443706</v>
      </c>
      <c r="F71" s="1240" t="str">
        <v>RU</v>
      </c>
      <c r="G71" s="1241">
        <v>44370</v>
      </c>
      <c r="H71" s="1242">
        <v>5144906.1596131269</v>
      </c>
      <c r="I71" s="1243">
        <v>6.7113774578673802</v>
      </c>
      <c r="J71" s="1244">
        <v>0.20919424554186997</v>
      </c>
      <c r="K71" s="1245">
        <v>0</v>
      </c>
      <c r="L71" s="1246">
        <v>0</v>
      </c>
      <c r="M71" s="1247">
        <v>0</v>
      </c>
      <c r="N71" s="1242">
        <v>33779.142436861119</v>
      </c>
      <c r="O71" s="1243">
        <v>4.528648619786007</v>
      </c>
      <c r="P71" s="1244">
        <v>0.28684215493915644</v>
      </c>
      <c r="Q71" s="1245">
        <v>0</v>
      </c>
      <c r="R71" s="1246">
        <v>0</v>
      </c>
      <c r="S71" s="1247">
        <v>0</v>
      </c>
      <c r="T71" s="1242">
        <v>4889.5274954100705</v>
      </c>
      <c r="U71" s="1243">
        <v>3.6892668926510406</v>
      </c>
      <c r="V71" s="1244">
        <v>8.5772296276015597E-3</v>
      </c>
      <c r="W71" s="1245">
        <v>38668.669932271187</v>
      </c>
      <c r="X71" s="1247">
        <v>4.5873592341105756</v>
      </c>
      <c r="Y71" s="1248" t="str">
        <v>During the burn</v>
      </c>
      <c r="Z71" s="1249" t="str">
        <v>Premise plumbing</v>
      </c>
    </row>
    <row r="72" spans="1:26" s="1127" customFormat="1" x14ac:dyDescent="0.3">
      <c r="A72" s="1239" t="str">
        <v>RU44377</v>
      </c>
      <c r="B72" s="1240" t="str">
        <v>FRU44377</v>
      </c>
      <c r="C72" s="1240" t="str">
        <v>FRU44377</v>
      </c>
      <c r="D72" s="1240" t="str">
        <v>RU44377</v>
      </c>
      <c r="E72" s="1240" t="str">
        <v>RU443776</v>
      </c>
      <c r="F72" s="1240" t="str">
        <v>RU</v>
      </c>
      <c r="G72" s="1241">
        <v>44377</v>
      </c>
      <c r="H72" s="1242">
        <v>3310752.8625485878</v>
      </c>
      <c r="I72" s="1243">
        <v>6.5199267632234479</v>
      </c>
      <c r="J72" s="1244">
        <v>0.14369314183355147</v>
      </c>
      <c r="K72" s="1245">
        <v>0</v>
      </c>
      <c r="L72" s="1246">
        <v>0</v>
      </c>
      <c r="M72" s="1247">
        <v>0</v>
      </c>
      <c r="N72" s="1242">
        <v>17428.499808002136</v>
      </c>
      <c r="O72" s="1243">
        <v>4.2412600059771011</v>
      </c>
      <c r="P72" s="1244">
        <v>0.27718944531226547</v>
      </c>
      <c r="Q72" s="1245">
        <v>0</v>
      </c>
      <c r="R72" s="1246">
        <v>0</v>
      </c>
      <c r="S72" s="1247">
        <v>0</v>
      </c>
      <c r="T72" s="1242">
        <v>1152.9222425523694</v>
      </c>
      <c r="U72" s="1243">
        <v>3.0618000178157891</v>
      </c>
      <c r="V72" s="1244">
        <v>0.43429448190325171</v>
      </c>
      <c r="W72" s="1245">
        <v>18581.422050554505</v>
      </c>
      <c r="X72" s="1247">
        <v>4.2690789478210212</v>
      </c>
      <c r="Y72" s="1248" t="str">
        <v>During the burn</v>
      </c>
      <c r="Z72" s="1249" t="str">
        <v>Premise plumbing</v>
      </c>
    </row>
    <row r="73" spans="1:26" s="1127" customFormat="1" x14ac:dyDescent="0.3">
      <c r="A73" s="1239" t="str">
        <v>RU44385</v>
      </c>
      <c r="B73" s="1240" t="str">
        <v>FRU44385</v>
      </c>
      <c r="C73" s="1240" t="str">
        <v>FRU44385</v>
      </c>
      <c r="D73" s="1240" t="str">
        <v>RU44385</v>
      </c>
      <c r="E73" s="1240" t="str">
        <v>RU443856</v>
      </c>
      <c r="F73" s="1240" t="str">
        <v>RU</v>
      </c>
      <c r="G73" s="1241">
        <v>44385</v>
      </c>
      <c r="H73" s="1242">
        <v>5460775.3915549135</v>
      </c>
      <c r="I73" s="1243">
        <v>6.7372543138337742</v>
      </c>
      <c r="J73" s="1244">
        <v>5.7918144401133832E-2</v>
      </c>
      <c r="K73" s="1245">
        <v>904.61397652674202</v>
      </c>
      <c r="L73" s="1246">
        <v>2.9564632934270887</v>
      </c>
      <c r="M73" s="1247">
        <v>2.3263726237242866E-2</v>
      </c>
      <c r="N73" s="1242">
        <v>8722.075602020881</v>
      </c>
      <c r="O73" s="1243">
        <v>3.9406198467719626</v>
      </c>
      <c r="P73" s="1244">
        <v>9.3538457563862532E-2</v>
      </c>
      <c r="Q73" s="1245">
        <v>0</v>
      </c>
      <c r="R73" s="1246">
        <v>0</v>
      </c>
      <c r="S73" s="1247">
        <v>0</v>
      </c>
      <c r="T73" s="1242">
        <v>0</v>
      </c>
      <c r="U73" s="1243">
        <v>0</v>
      </c>
      <c r="V73" s="1244">
        <v>0</v>
      </c>
      <c r="W73" s="1245">
        <v>9626.6895785476227</v>
      </c>
      <c r="X73" s="1247">
        <v>3.9834769678162663</v>
      </c>
      <c r="Y73" s="1248" t="str">
        <v>During the burn</v>
      </c>
      <c r="Z73" s="1249" t="str">
        <v>Premise plumbing</v>
      </c>
    </row>
    <row r="74" spans="1:26" s="1127" customFormat="1" x14ac:dyDescent="0.3">
      <c r="A74" s="1239" t="str">
        <v>RU44391</v>
      </c>
      <c r="B74" s="1240" t="str">
        <v>FRU44391</v>
      </c>
      <c r="C74" s="1240" t="str">
        <v>FRU44391</v>
      </c>
      <c r="D74" s="1240" t="str">
        <v>RU44391</v>
      </c>
      <c r="E74" s="1240" t="str">
        <v>RU443916</v>
      </c>
      <c r="F74" s="1240" t="str">
        <v>RU</v>
      </c>
      <c r="G74" s="1241">
        <v>44391</v>
      </c>
      <c r="H74" s="1242">
        <v>7292215215.8877764</v>
      </c>
      <c r="I74" s="1243">
        <v>9.8628594775492058</v>
      </c>
      <c r="J74" s="1244">
        <v>0.43403617568292674</v>
      </c>
      <c r="K74" s="1245">
        <v>0</v>
      </c>
      <c r="L74" s="1246">
        <v>0</v>
      </c>
      <c r="M74" s="1247">
        <v>0</v>
      </c>
      <c r="N74" s="1242">
        <v>5536.310193874142</v>
      </c>
      <c r="O74" s="1243">
        <v>3.7432204152120327</v>
      </c>
      <c r="P74" s="1244">
        <v>0.308155076192202</v>
      </c>
      <c r="Q74" s="1245">
        <v>87266.000225259704</v>
      </c>
      <c r="R74" s="1246">
        <v>4.9408450708457536</v>
      </c>
      <c r="S74" s="1247">
        <v>0.33387910272495597</v>
      </c>
      <c r="T74" s="1242">
        <v>0</v>
      </c>
      <c r="U74" s="1243">
        <v>0</v>
      </c>
      <c r="V74" s="1244">
        <v>0</v>
      </c>
      <c r="W74" s="1245">
        <v>92802.31041913385</v>
      </c>
      <c r="X74" s="1247">
        <v>4.9675587886088426</v>
      </c>
      <c r="Y74" s="1248" t="str">
        <v>During the burn</v>
      </c>
      <c r="Z74" s="1249" t="str">
        <v>Premise plumbing</v>
      </c>
    </row>
    <row r="75" spans="1:26" s="1127" customFormat="1" x14ac:dyDescent="0.3">
      <c r="A75" s="1239" t="str">
        <v>RU44398</v>
      </c>
      <c r="B75" s="1240" t="str">
        <v>FRU44398</v>
      </c>
      <c r="C75" s="1240" t="str">
        <v>FRU44398</v>
      </c>
      <c r="D75" s="1240" t="str">
        <v>RU44398</v>
      </c>
      <c r="E75" s="1240" t="str">
        <v>RU443986</v>
      </c>
      <c r="F75" s="1240" t="str">
        <v>RU</v>
      </c>
      <c r="G75" s="1241">
        <v>44398</v>
      </c>
      <c r="H75" s="1242">
        <v>541791330.82256353</v>
      </c>
      <c r="I75" s="1243">
        <v>8.7338320516272994</v>
      </c>
      <c r="J75" s="1244">
        <v>0.38148136421067003</v>
      </c>
      <c r="K75" s="1245">
        <v>557.17863534626213</v>
      </c>
      <c r="L75" s="1246">
        <v>2.7459944553306879</v>
      </c>
      <c r="M75" s="1247">
        <v>0.43429448190325171</v>
      </c>
      <c r="N75" s="1242">
        <v>21219.17455795913</v>
      </c>
      <c r="O75" s="1243">
        <v>4.3267284855080144</v>
      </c>
      <c r="P75" s="1244">
        <v>0.22613900725118</v>
      </c>
      <c r="Q75" s="1245">
        <v>2789551.6493055555</v>
      </c>
      <c r="R75" s="1246">
        <v>6.4455344069009808</v>
      </c>
      <c r="S75" s="1247">
        <v>0.43429448190325176</v>
      </c>
      <c r="T75" s="1242">
        <v>0</v>
      </c>
      <c r="U75" s="1243">
        <v>0</v>
      </c>
      <c r="V75" s="1244">
        <v>0</v>
      </c>
      <c r="W75" s="1245">
        <v>2811328.0024988609</v>
      </c>
      <c r="X75" s="1247">
        <v>6.448911518451645</v>
      </c>
      <c r="Y75" s="1248" t="str">
        <v>During the burn</v>
      </c>
      <c r="Z75" s="1249" t="str">
        <v>Premise plumbing</v>
      </c>
    </row>
    <row r="76" spans="1:26" s="1127" customFormat="1" x14ac:dyDescent="0.3">
      <c r="A76" s="1239" t="str">
        <v>SPI44370</v>
      </c>
      <c r="B76" s="1240" t="str">
        <v>BSPI44370</v>
      </c>
      <c r="C76" s="1240" t="str">
        <v>GRL44363</v>
      </c>
      <c r="D76" s="1240" t="str">
        <v>RL44363</v>
      </c>
      <c r="E76" s="1240" t="str">
        <v>RL443636</v>
      </c>
      <c r="F76" s="1240" t="str">
        <v>RL</v>
      </c>
      <c r="G76" s="1241">
        <v>44363</v>
      </c>
      <c r="H76" s="1242">
        <v>1238588096.8042445</v>
      </c>
      <c r="I76" s="1243">
        <v>9.0929269019959538</v>
      </c>
      <c r="J76" s="1244">
        <v>3.0183812791709355E-2</v>
      </c>
      <c r="K76" s="1245">
        <v>0</v>
      </c>
      <c r="L76" s="1246">
        <v>0</v>
      </c>
      <c r="M76" s="1247">
        <v>0</v>
      </c>
      <c r="N76" s="1242">
        <v>0</v>
      </c>
      <c r="O76" s="1243">
        <v>0</v>
      </c>
      <c r="P76" s="1244">
        <v>0</v>
      </c>
      <c r="Q76" s="1245">
        <v>0</v>
      </c>
      <c r="R76" s="1246">
        <v>0</v>
      </c>
      <c r="S76" s="1247">
        <v>0</v>
      </c>
      <c r="T76" s="1242">
        <v>58.599966764450073</v>
      </c>
      <c r="U76" s="1243">
        <v>1.7678973697037557</v>
      </c>
      <c r="V76" s="1244">
        <v>0.43429448190325176</v>
      </c>
      <c r="W76" s="1245">
        <v>58.599966764450073</v>
      </c>
      <c r="X76" s="1247">
        <v>1.7678973697037557</v>
      </c>
      <c r="Y76" s="1248" t="str">
        <v>During the burn</v>
      </c>
      <c r="Z76" s="1249" t="str">
        <v>Premise plumbing</v>
      </c>
    </row>
    <row r="77" spans="1:26" s="1127" customFormat="1" x14ac:dyDescent="0.3">
      <c r="A77" s="1239" t="str">
        <v>SPI44377</v>
      </c>
      <c r="B77" s="1240" t="str">
        <v>BSPI44377</v>
      </c>
      <c r="C77" s="1240" t="str">
        <v>GRL44370</v>
      </c>
      <c r="D77" s="1240" t="str">
        <v>RL44370</v>
      </c>
      <c r="E77" s="1240" t="str">
        <v>RL443706</v>
      </c>
      <c r="F77" s="1240" t="str">
        <v>RL</v>
      </c>
      <c r="G77" s="1241">
        <v>44370</v>
      </c>
      <c r="H77" s="1242">
        <v>298887823.46990538</v>
      </c>
      <c r="I77" s="1243">
        <v>8.4755082224747227</v>
      </c>
      <c r="J77" s="1244">
        <v>8.8533097152047758E-3</v>
      </c>
      <c r="K77" s="1245">
        <v>0</v>
      </c>
      <c r="L77" s="1246">
        <v>0</v>
      </c>
      <c r="M77" s="1247">
        <v>0</v>
      </c>
      <c r="N77" s="1242">
        <v>245918.54102554324</v>
      </c>
      <c r="O77" s="1243">
        <v>5.3907912736005485</v>
      </c>
      <c r="P77" s="1244">
        <v>0.43406397951280501</v>
      </c>
      <c r="Q77" s="1245">
        <v>0</v>
      </c>
      <c r="R77" s="1246">
        <v>0</v>
      </c>
      <c r="S77" s="1247">
        <v>0</v>
      </c>
      <c r="T77" s="1242">
        <v>928.49617641694795</v>
      </c>
      <c r="U77" s="1243">
        <v>2.9677801196380611</v>
      </c>
      <c r="V77" s="1244">
        <v>0.43429448190325176</v>
      </c>
      <c r="W77" s="1245">
        <v>246847.03720196019</v>
      </c>
      <c r="X77" s="1247">
        <v>5.392427918938326</v>
      </c>
      <c r="Y77" s="1248" t="str">
        <v>During the burn</v>
      </c>
      <c r="Z77" s="1249" t="str">
        <v>Premise plumbing</v>
      </c>
    </row>
    <row r="78" spans="1:26" s="1127" customFormat="1" x14ac:dyDescent="0.3">
      <c r="A78" s="1239" t="str">
        <v>SPI44385</v>
      </c>
      <c r="B78" s="1240" t="str">
        <v>BSPI44385</v>
      </c>
      <c r="C78" s="1240" t="str">
        <v>GRL44385</v>
      </c>
      <c r="D78" s="1240" t="str">
        <v>RL44385</v>
      </c>
      <c r="E78" s="1240" t="str">
        <v>RL443856</v>
      </c>
      <c r="F78" s="1240" t="str">
        <v>RL</v>
      </c>
      <c r="G78" s="1241">
        <v>44385</v>
      </c>
      <c r="H78" s="1242">
        <v>27416233.737069584</v>
      </c>
      <c r="I78" s="1243">
        <v>7.4380077940147062</v>
      </c>
      <c r="J78" s="1244">
        <v>0.11418969457862084</v>
      </c>
      <c r="K78" s="1245">
        <v>2020.580596394009</v>
      </c>
      <c r="L78" s="1246">
        <v>3.305476178149656</v>
      </c>
      <c r="M78" s="1247">
        <v>2.210494229572459E-2</v>
      </c>
      <c r="N78" s="1242">
        <v>0</v>
      </c>
      <c r="O78" s="1243">
        <v>0</v>
      </c>
      <c r="P78" s="1244">
        <v>0</v>
      </c>
      <c r="Q78" s="1245">
        <v>0</v>
      </c>
      <c r="R78" s="1246">
        <v>0</v>
      </c>
      <c r="S78" s="1247">
        <v>0</v>
      </c>
      <c r="T78" s="1242">
        <v>0</v>
      </c>
      <c r="U78" s="1243">
        <v>0</v>
      </c>
      <c r="V78" s="1244">
        <v>0</v>
      </c>
      <c r="W78" s="1245">
        <v>2020.580596394009</v>
      </c>
      <c r="X78" s="1247">
        <v>3.305476178149656</v>
      </c>
      <c r="Y78" s="1248" t="str">
        <v>During the burn</v>
      </c>
      <c r="Z78" s="1249" t="str">
        <v>Premise plumbing</v>
      </c>
    </row>
    <row r="79" spans="1:26" s="1127" customFormat="1" x14ac:dyDescent="0.3">
      <c r="A79" s="1239" t="str">
        <v>SPI44391</v>
      </c>
      <c r="B79" s="1240" t="str">
        <v>BSPI44391</v>
      </c>
      <c r="C79" s="1240" t="str">
        <v>GRL44391</v>
      </c>
      <c r="D79" s="1240" t="str">
        <v>RL44391</v>
      </c>
      <c r="E79" s="1240" t="str">
        <v>RL443916</v>
      </c>
      <c r="F79" s="1240" t="str">
        <v>RL</v>
      </c>
      <c r="G79" s="1241">
        <v>44391</v>
      </c>
      <c r="H79" s="1242">
        <v>415370905.20958984</v>
      </c>
      <c r="I79" s="1243">
        <v>8.618436072965924</v>
      </c>
      <c r="J79" s="1244">
        <v>0.39921275511407123</v>
      </c>
      <c r="K79" s="1245">
        <v>235.07587114969888</v>
      </c>
      <c r="L79" s="1246">
        <v>2.371208054202266</v>
      </c>
      <c r="M79" s="1247">
        <v>0.43429448190325176</v>
      </c>
      <c r="N79" s="1242">
        <v>243.03815099928113</v>
      </c>
      <c r="O79" s="1243">
        <v>2.3856744524787841</v>
      </c>
      <c r="P79" s="1244">
        <v>0.43429448190325176</v>
      </c>
      <c r="Q79" s="1245">
        <v>913144.19058866287</v>
      </c>
      <c r="R79" s="1246">
        <v>5.9605393604835006</v>
      </c>
      <c r="S79" s="1247">
        <v>0.43429448190325176</v>
      </c>
      <c r="T79" s="1242">
        <v>2794.779455939004</v>
      </c>
      <c r="U79" s="1243">
        <v>3.4463475421516776</v>
      </c>
      <c r="V79" s="1244">
        <v>0.43429448190325176</v>
      </c>
      <c r="W79" s="1245">
        <v>916417.08406675083</v>
      </c>
      <c r="X79" s="1247">
        <v>5.962093176814566</v>
      </c>
      <c r="Y79" s="1248" t="str">
        <v>During the burn</v>
      </c>
      <c r="Z79" s="1249" t="str">
        <v>Premise plumbing</v>
      </c>
    </row>
    <row r="80" spans="1:26" s="1127" customFormat="1" x14ac:dyDescent="0.3">
      <c r="A80" s="1239" t="str">
        <v>SPI44398</v>
      </c>
      <c r="B80" s="1240" t="str">
        <v>BSPI44398</v>
      </c>
      <c r="C80" s="1240" t="str">
        <v>GRL44398</v>
      </c>
      <c r="D80" s="1240" t="str">
        <v>RL44398</v>
      </c>
      <c r="E80" s="1240" t="str">
        <v>RL443986</v>
      </c>
      <c r="F80" s="1240" t="str">
        <v>RL</v>
      </c>
      <c r="G80" s="1241">
        <v>44398</v>
      </c>
      <c r="H80" s="1242">
        <v>76195180.57230632</v>
      </c>
      <c r="I80" s="1243">
        <v>7.8819275026119655</v>
      </c>
      <c r="J80" s="1244">
        <v>0.43429448190325176</v>
      </c>
      <c r="K80" s="1245">
        <v>252.9397249221802</v>
      </c>
      <c r="L80" s="1246">
        <v>2.4030170419172112</v>
      </c>
      <c r="M80" s="1247">
        <v>0.43429448190325176</v>
      </c>
      <c r="N80" s="1242">
        <v>0</v>
      </c>
      <c r="O80" s="1243">
        <v>0</v>
      </c>
      <c r="P80" s="1244">
        <v>0</v>
      </c>
      <c r="Q80" s="1245">
        <v>0</v>
      </c>
      <c r="R80" s="1246">
        <v>0</v>
      </c>
      <c r="S80" s="1247">
        <v>0</v>
      </c>
      <c r="T80" s="1242">
        <v>0</v>
      </c>
      <c r="U80" s="1243">
        <v>0</v>
      </c>
      <c r="V80" s="1244">
        <v>0</v>
      </c>
      <c r="W80" s="1245">
        <v>252.9397249221802</v>
      </c>
      <c r="X80" s="1247">
        <v>2.4030170419172112</v>
      </c>
      <c r="Y80" s="1248" t="str">
        <v>During the burn</v>
      </c>
      <c r="Z80" s="1249" t="str">
        <v>Premise plumbing</v>
      </c>
    </row>
    <row r="81" spans="1:26" s="1127" customFormat="1" x14ac:dyDescent="0.3">
      <c r="A81" s="1239" t="str">
        <v>SPO44356</v>
      </c>
      <c r="B81" s="1240" t="str">
        <v>CSPO44356</v>
      </c>
      <c r="C81" s="1240" t="str">
        <v>HRS44363</v>
      </c>
      <c r="D81" s="1240" t="str">
        <v>RS44363</v>
      </c>
      <c r="E81" s="1240" t="str">
        <v>RS443636</v>
      </c>
      <c r="F81" s="1240" t="str">
        <v>RS</v>
      </c>
      <c r="G81" s="1241">
        <v>44363</v>
      </c>
      <c r="H81" s="1242">
        <v>15699138986.446127</v>
      </c>
      <c r="I81" s="1243">
        <v>10.195875834339857</v>
      </c>
      <c r="J81" s="1244">
        <v>0.38230086570483307</v>
      </c>
      <c r="K81" s="1245">
        <v>109062.00561523438</v>
      </c>
      <c r="L81" s="1246">
        <v>5.0376734799601923</v>
      </c>
      <c r="M81" s="1247">
        <v>0.13301218352525318</v>
      </c>
      <c r="N81" s="1242">
        <v>68823.013305664063</v>
      </c>
      <c r="O81" s="1243">
        <v>4.8377336835911153</v>
      </c>
      <c r="P81" s="1244">
        <v>7.3706288932608E-2</v>
      </c>
      <c r="Q81" s="1245">
        <v>0</v>
      </c>
      <c r="R81" s="1246">
        <v>0</v>
      </c>
      <c r="S81" s="1247">
        <v>0</v>
      </c>
      <c r="T81" s="1242">
        <v>321984.51843261719</v>
      </c>
      <c r="U81" s="1243">
        <v>5.5078349905749517</v>
      </c>
      <c r="V81" s="1244">
        <v>0.33595264156340127</v>
      </c>
      <c r="W81" s="1245">
        <v>499869.53735351563</v>
      </c>
      <c r="X81" s="1247">
        <v>5.6988566711347008</v>
      </c>
      <c r="Y81" s="1248" t="str">
        <v>During the burn</v>
      </c>
      <c r="Z81" s="1249" t="str">
        <v>Premise plumbing</v>
      </c>
    </row>
    <row r="82" spans="1:26" s="1127" customFormat="1" x14ac:dyDescent="0.3">
      <c r="A82" s="1239" t="str">
        <v>SPO44370</v>
      </c>
      <c r="B82" s="1240" t="str">
        <v>CSPO44370</v>
      </c>
      <c r="C82" s="1240" t="str">
        <v>HRS44370</v>
      </c>
      <c r="D82" s="1240" t="str">
        <v>RS44370</v>
      </c>
      <c r="E82" s="1240" t="str">
        <v>RS443706</v>
      </c>
      <c r="F82" s="1240" t="str">
        <v>RS</v>
      </c>
      <c r="G82" s="1241">
        <v>44370</v>
      </c>
      <c r="H82" s="1242">
        <v>1278923530.0453696</v>
      </c>
      <c r="I82" s="1243">
        <v>9.1068445777294933</v>
      </c>
      <c r="J82" s="1244">
        <v>0.36968203155974744</v>
      </c>
      <c r="K82" s="1245">
        <v>54195.428466796875</v>
      </c>
      <c r="L82" s="1246">
        <v>4.7339626541513349</v>
      </c>
      <c r="M82" s="1247">
        <v>0.1972520078545745</v>
      </c>
      <c r="N82" s="1242">
        <v>80209.956359863281</v>
      </c>
      <c r="O82" s="1243">
        <v>4.9042282800518882</v>
      </c>
      <c r="P82" s="1244">
        <v>0.23741102834628694</v>
      </c>
      <c r="Q82" s="1245">
        <v>380.12592792510986</v>
      </c>
      <c r="R82" s="1246">
        <v>2.5799274933094076</v>
      </c>
      <c r="S82" s="1247">
        <v>0.43429448190325176</v>
      </c>
      <c r="T82" s="1242">
        <v>614565.2099609375</v>
      </c>
      <c r="U82" s="1243">
        <v>5.7885679715571321</v>
      </c>
      <c r="V82" s="1244">
        <v>2.2049485473714589E-2</v>
      </c>
      <c r="W82" s="1245">
        <v>749350.72071552277</v>
      </c>
      <c r="X82" s="1247">
        <v>5.8746851293435514</v>
      </c>
      <c r="Y82" s="1248" t="str">
        <v>During the burn</v>
      </c>
      <c r="Z82" s="1249" t="str">
        <v>Premise plumbing</v>
      </c>
    </row>
    <row r="83" spans="1:26" s="1127" customFormat="1" x14ac:dyDescent="0.3">
      <c r="A83" s="1239" t="str">
        <v>SPO44377</v>
      </c>
      <c r="B83" s="1240" t="str">
        <v>CSPO44377</v>
      </c>
      <c r="C83" s="1240" t="str">
        <v>HRS44377</v>
      </c>
      <c r="D83" s="1240" t="str">
        <v>RS44377</v>
      </c>
      <c r="E83" s="1240" t="str">
        <v>RS443776</v>
      </c>
      <c r="F83" s="1240" t="str">
        <v>RS</v>
      </c>
      <c r="G83" s="1241">
        <v>44377</v>
      </c>
      <c r="H83" s="1242">
        <v>143376061.67969105</v>
      </c>
      <c r="I83" s="1243">
        <v>8.15647664681115</v>
      </c>
      <c r="J83" s="1244">
        <v>0.18518215863237994</v>
      </c>
      <c r="K83" s="1245">
        <v>57434.004095447803</v>
      </c>
      <c r="L83" s="1246">
        <v>4.7591690948104999</v>
      </c>
      <c r="M83" s="1247">
        <v>0.17442451075881682</v>
      </c>
      <c r="N83" s="1242">
        <v>107100.73275443834</v>
      </c>
      <c r="O83" s="1243">
        <v>5.0297924421681817</v>
      </c>
      <c r="P83" s="1244">
        <v>0.30267354609648317</v>
      </c>
      <c r="Q83" s="1245">
        <v>0</v>
      </c>
      <c r="R83" s="1246">
        <v>0</v>
      </c>
      <c r="S83" s="1247">
        <v>0</v>
      </c>
      <c r="T83" s="1242">
        <v>952376.10366318247</v>
      </c>
      <c r="U83" s="1243">
        <v>5.9788084898644929</v>
      </c>
      <c r="V83" s="1244">
        <v>0.19725880017594594</v>
      </c>
      <c r="W83" s="1245">
        <v>1116910.8405130687</v>
      </c>
      <c r="X83" s="1247">
        <v>6.0480185061338281</v>
      </c>
      <c r="Y83" s="1248" t="str">
        <v>During the burn</v>
      </c>
      <c r="Z83" s="1249" t="str">
        <v>Premise plumbing</v>
      </c>
    </row>
    <row r="84" spans="1:26" s="1127" customFormat="1" x14ac:dyDescent="0.3">
      <c r="A84" s="1239" t="str">
        <v>SPO44385</v>
      </c>
      <c r="B84" s="1240" t="str">
        <v>CSPO44385</v>
      </c>
      <c r="C84" s="1240" t="str">
        <v>HRS44385</v>
      </c>
      <c r="D84" s="1240" t="str">
        <v>RS44385</v>
      </c>
      <c r="E84" s="1240" t="str">
        <v>RS443856</v>
      </c>
      <c r="F84" s="1240" t="str">
        <v>RS</v>
      </c>
      <c r="G84" s="1241">
        <v>44385</v>
      </c>
      <c r="H84" s="1242">
        <v>16409049987.985281</v>
      </c>
      <c r="I84" s="1243">
        <v>10.215083438035487</v>
      </c>
      <c r="J84" s="1244">
        <v>0.4194819167290702</v>
      </c>
      <c r="K84" s="1245">
        <v>77360.772254058669</v>
      </c>
      <c r="L84" s="1246">
        <v>4.8885207964420898</v>
      </c>
      <c r="M84" s="1247">
        <v>0.19758851416278725</v>
      </c>
      <c r="N84" s="1242">
        <v>66771.347657093022</v>
      </c>
      <c r="O84" s="1243">
        <v>4.8245901417589065</v>
      </c>
      <c r="P84" s="1244">
        <v>0.33884183302498949</v>
      </c>
      <c r="Q84" s="1245">
        <v>0</v>
      </c>
      <c r="R84" s="1246">
        <v>0</v>
      </c>
      <c r="S84" s="1247">
        <v>0</v>
      </c>
      <c r="T84" s="1242">
        <v>1283609.8329322773</v>
      </c>
      <c r="U84" s="1243">
        <v>6.1084330352946665</v>
      </c>
      <c r="V84" s="1244">
        <v>0.16189368997157527</v>
      </c>
      <c r="W84" s="1245">
        <v>1427741.9528434291</v>
      </c>
      <c r="X84" s="1247">
        <v>6.1546497210374449</v>
      </c>
      <c r="Y84" s="1248" t="str">
        <v>During the burn</v>
      </c>
      <c r="Z84" s="1249" t="str">
        <v>Premise plumbing</v>
      </c>
    </row>
    <row r="85" spans="1:26" s="1127" customFormat="1" x14ac:dyDescent="0.3">
      <c r="A85" s="1239" t="str">
        <v>SPO44391</v>
      </c>
      <c r="B85" s="1240" t="str">
        <v>CSPO44391</v>
      </c>
      <c r="C85" s="1240" t="str">
        <v>HRS44391</v>
      </c>
      <c r="D85" s="1240" t="str">
        <v>RS44391</v>
      </c>
      <c r="E85" s="1240" t="str">
        <v>RS443916</v>
      </c>
      <c r="F85" s="1240" t="str">
        <v>RS</v>
      </c>
      <c r="G85" s="1241">
        <v>44391</v>
      </c>
      <c r="H85" s="1242">
        <v>14338618581.142103</v>
      </c>
      <c r="I85" s="1243">
        <v>10.156507312316004</v>
      </c>
      <c r="J85" s="1244">
        <v>0.43088481053527622</v>
      </c>
      <c r="K85" s="1245">
        <v>119424.19139557664</v>
      </c>
      <c r="L85" s="1246">
        <v>5.0770923094184184</v>
      </c>
      <c r="M85" s="1247">
        <v>0.19354740394730724</v>
      </c>
      <c r="N85" s="1242">
        <v>148097.27831216069</v>
      </c>
      <c r="O85" s="1243">
        <v>5.1705470772594166</v>
      </c>
      <c r="P85" s="1244">
        <v>0.37183088302961859</v>
      </c>
      <c r="Q85" s="1245">
        <v>386.95036737542404</v>
      </c>
      <c r="R85" s="1246">
        <v>2.5876552633204204</v>
      </c>
      <c r="S85" s="1247">
        <v>0.43429448190325176</v>
      </c>
      <c r="T85" s="1242">
        <v>1008360.8018478972</v>
      </c>
      <c r="U85" s="1243">
        <v>6.0036159549417007</v>
      </c>
      <c r="V85" s="1244">
        <v>0.28004694595576629</v>
      </c>
      <c r="W85" s="1245">
        <v>1276269.22192301</v>
      </c>
      <c r="X85" s="1247">
        <v>6.1059422960643923</v>
      </c>
      <c r="Y85" s="1248" t="str">
        <v>During the burn</v>
      </c>
      <c r="Z85" s="1249" t="str">
        <v>Premise plumbing</v>
      </c>
    </row>
    <row r="86" spans="1:26" s="1127" customFormat="1" ht="16.350000000000001" thickBot="1" x14ac:dyDescent="0.35">
      <c r="A86" s="1250" t="str">
        <v>SPO44398</v>
      </c>
      <c r="B86" s="1251" t="str">
        <v>CSPO44398</v>
      </c>
      <c r="C86" s="1251" t="str">
        <v>HRS44398</v>
      </c>
      <c r="D86" s="1251" t="str">
        <v>RS44398</v>
      </c>
      <c r="E86" s="1251" t="str">
        <v>RS443986</v>
      </c>
      <c r="F86" s="1251" t="str">
        <v>RS</v>
      </c>
      <c r="G86" s="1252">
        <v>44398</v>
      </c>
      <c r="H86" s="1253">
        <v>38399491.316661008</v>
      </c>
      <c r="I86" s="1254">
        <v>7.584325471246947</v>
      </c>
      <c r="J86" s="1255">
        <v>0.18213595659498813</v>
      </c>
      <c r="K86" s="1256">
        <v>56496.787660018264</v>
      </c>
      <c r="L86" s="1257">
        <v>4.7520237550550277</v>
      </c>
      <c r="M86" s="1258">
        <v>0.33152751490615967</v>
      </c>
      <c r="N86" s="1253">
        <v>80147.284466287369</v>
      </c>
      <c r="O86" s="1254">
        <v>4.9038888122636424</v>
      </c>
      <c r="P86" s="1255">
        <v>0.17176940892169396</v>
      </c>
      <c r="Q86" s="1256">
        <v>0</v>
      </c>
      <c r="R86" s="1257">
        <v>0</v>
      </c>
      <c r="S86" s="1258">
        <v>0</v>
      </c>
      <c r="T86" s="1253">
        <v>299398.47412109375</v>
      </c>
      <c r="U86" s="1254">
        <v>5.4762495826387045</v>
      </c>
      <c r="V86" s="1255">
        <v>0.28819327842287246</v>
      </c>
      <c r="W86" s="1256">
        <v>436042.54624739941</v>
      </c>
      <c r="X86" s="1258">
        <v>5.6395288670185373</v>
      </c>
      <c r="Y86" s="1259" t="str">
        <v>During the burn</v>
      </c>
      <c r="Z86" s="1260" t="str">
        <v>Premise plumbing</v>
      </c>
    </row>
    <row r="87" spans="1:26" ht="16.350000000000001" thickTop="1" x14ac:dyDescent="0.3"/>
    <row r="99" spans="1:26" ht="16.350000000000001" thickBot="1" x14ac:dyDescent="0.35"/>
    <row r="100" spans="1:26" ht="16.95" customHeight="1" thickTop="1" x14ac:dyDescent="0.3">
      <c r="A100" s="1679" t="s">
        <v>296</v>
      </c>
      <c r="B100" s="1680"/>
      <c r="C100" s="1680"/>
      <c r="D100" s="1680"/>
      <c r="E100" s="1680"/>
      <c r="F100" s="1680"/>
      <c r="G100" s="1681"/>
      <c r="H100" s="1682" t="s">
        <v>8</v>
      </c>
      <c r="I100" s="1683"/>
      <c r="J100" s="1684"/>
      <c r="K100" s="1685" t="s">
        <v>3</v>
      </c>
      <c r="L100" s="1686"/>
      <c r="M100" s="1675"/>
      <c r="N100" s="1671" t="s">
        <v>5</v>
      </c>
      <c r="O100" s="1672"/>
      <c r="P100" s="1673"/>
      <c r="Q100" s="1685" t="s">
        <v>6</v>
      </c>
      <c r="R100" s="1686"/>
      <c r="S100" s="1675"/>
      <c r="T100" s="1671" t="s">
        <v>51</v>
      </c>
      <c r="U100" s="1672"/>
      <c r="V100" s="1673"/>
      <c r="W100" s="1674" t="s">
        <v>229</v>
      </c>
      <c r="X100" s="1675"/>
      <c r="Y100" s="1272"/>
      <c r="Z100" s="1261"/>
    </row>
    <row r="101" spans="1:26" s="281" customFormat="1" ht="44.2" customHeight="1" thickBot="1" x14ac:dyDescent="0.35">
      <c r="A101" s="1262" t="s">
        <v>208</v>
      </c>
      <c r="B101" s="1125" t="s">
        <v>214</v>
      </c>
      <c r="C101" s="1125" t="s">
        <v>217</v>
      </c>
      <c r="D101" s="1125" t="s">
        <v>215</v>
      </c>
      <c r="E101" s="1263" t="s">
        <v>174</v>
      </c>
      <c r="F101" s="1263" t="s">
        <v>149</v>
      </c>
      <c r="G101" s="1267" t="s">
        <v>55</v>
      </c>
      <c r="H101" s="1266" t="s">
        <v>163</v>
      </c>
      <c r="I101" s="1264" t="s">
        <v>169</v>
      </c>
      <c r="J101" s="1268" t="s">
        <v>213</v>
      </c>
      <c r="K101" s="1269" t="s">
        <v>163</v>
      </c>
      <c r="L101" s="1270" t="s">
        <v>169</v>
      </c>
      <c r="M101" s="1271" t="s">
        <v>213</v>
      </c>
      <c r="N101" s="1266" t="s">
        <v>163</v>
      </c>
      <c r="O101" s="1264" t="s">
        <v>169</v>
      </c>
      <c r="P101" s="1268" t="s">
        <v>213</v>
      </c>
      <c r="Q101" s="1269" t="s">
        <v>163</v>
      </c>
      <c r="R101" s="1270" t="s">
        <v>169</v>
      </c>
      <c r="S101" s="1271" t="s">
        <v>213</v>
      </c>
      <c r="T101" s="1266" t="s">
        <v>163</v>
      </c>
      <c r="U101" s="1264" t="s">
        <v>169</v>
      </c>
      <c r="V101" s="1268" t="s">
        <v>213</v>
      </c>
      <c r="W101" s="1269" t="s">
        <v>230</v>
      </c>
      <c r="X101" s="1271" t="s">
        <v>231</v>
      </c>
      <c r="Y101" s="1273" t="s">
        <v>232</v>
      </c>
      <c r="Z101" s="1265" t="s">
        <v>149</v>
      </c>
    </row>
    <row r="102" spans="1:26" s="1127" customFormat="1" x14ac:dyDescent="0.3">
      <c r="A102" s="1122" t="str" cm="1">
        <f t="array" ref="A102:Z121">_xlfn._xlws.FILTER(qPCR_Unique!A3:Z60, qPCR_Unique!G3:G60&gt;44403)</f>
        <v>EP44405</v>
      </c>
      <c r="B102" s="1123" t="str">
        <v>AEP44405</v>
      </c>
      <c r="C102" s="1123" t="str">
        <v>AEP44405</v>
      </c>
      <c r="D102" s="1123" t="str">
        <v>EP44405</v>
      </c>
      <c r="E102" s="1123" t="str">
        <v>EP444056</v>
      </c>
      <c r="F102" s="1123" t="str">
        <v>EP</v>
      </c>
      <c r="G102" s="1274">
        <v>44405</v>
      </c>
      <c r="H102" s="1275">
        <v>27748361.570348252</v>
      </c>
      <c r="I102" s="1276">
        <v>7.4432373448654072</v>
      </c>
      <c r="J102" s="1277">
        <v>0.239039168598596</v>
      </c>
      <c r="K102" s="1278">
        <v>57975.628702935574</v>
      </c>
      <c r="L102" s="1279">
        <v>4.7632454669389199</v>
      </c>
      <c r="M102" s="1280">
        <v>5.8509948242459406E-2</v>
      </c>
      <c r="N102" s="1275">
        <v>904.69440033261537</v>
      </c>
      <c r="O102" s="1276">
        <v>2.9565019022298489</v>
      </c>
      <c r="P102" s="1277">
        <v>0.22912424371849563</v>
      </c>
      <c r="Q102" s="1278">
        <v>1840.0667024695354</v>
      </c>
      <c r="R102" s="1279">
        <v>3.2648335664820296</v>
      </c>
      <c r="S102" s="1280">
        <v>0.43429448190325176</v>
      </c>
      <c r="T102" s="1275">
        <v>1232.1071780246236</v>
      </c>
      <c r="U102" s="1276">
        <v>3.0906484876986329</v>
      </c>
      <c r="V102" s="1277">
        <v>0.43429448190325171</v>
      </c>
      <c r="W102" s="1278">
        <v>61952.496983762343</v>
      </c>
      <c r="X102" s="1280">
        <v>4.7920588152224175</v>
      </c>
      <c r="Y102" s="1281" t="str">
        <v>After the burn</v>
      </c>
      <c r="Z102" s="1124" t="str">
        <v>Distribution system</v>
      </c>
    </row>
    <row r="103" spans="1:26" s="1127" customFormat="1" x14ac:dyDescent="0.3">
      <c r="A103" s="1119" t="str">
        <v>EP44412</v>
      </c>
      <c r="B103" s="1120" t="str">
        <v>AEP44412</v>
      </c>
      <c r="C103" s="1120" t="str">
        <v>AEP44412</v>
      </c>
      <c r="D103" s="1120" t="str">
        <v>EP44412</v>
      </c>
      <c r="E103" s="1120" t="str">
        <v>EP444126</v>
      </c>
      <c r="F103" s="1120" t="str">
        <v>EP</v>
      </c>
      <c r="G103" s="1282">
        <v>44412</v>
      </c>
      <c r="H103" s="1283">
        <v>35335407.344563805</v>
      </c>
      <c r="I103" s="1284">
        <v>7.548210102201657</v>
      </c>
      <c r="J103" s="1285">
        <v>0.19902192501199695</v>
      </c>
      <c r="K103" s="1286">
        <v>5128.1604766845703</v>
      </c>
      <c r="L103" s="1287">
        <v>3.7099616071987671</v>
      </c>
      <c r="M103" s="1288">
        <v>0.27743898389146077</v>
      </c>
      <c r="N103" s="1283">
        <v>2701.2940645217896</v>
      </c>
      <c r="O103" s="1284">
        <v>3.4315718643235331</v>
      </c>
      <c r="P103" s="1285">
        <v>0.16846143760324955</v>
      </c>
      <c r="Q103" s="1286">
        <v>322.03075885772705</v>
      </c>
      <c r="R103" s="1287">
        <v>2.5078973554355652</v>
      </c>
      <c r="S103" s="1288">
        <v>0.43429448190325176</v>
      </c>
      <c r="T103" s="1283">
        <v>0</v>
      </c>
      <c r="U103" s="1284">
        <v>0</v>
      </c>
      <c r="V103" s="1285">
        <v>0</v>
      </c>
      <c r="W103" s="1286">
        <v>8151.4853000640869</v>
      </c>
      <c r="X103" s="1288">
        <v>3.9112367497031117</v>
      </c>
      <c r="Y103" s="1289" t="str">
        <v>After the burn</v>
      </c>
      <c r="Z103" s="1121" t="str">
        <v>Distribution system</v>
      </c>
    </row>
    <row r="104" spans="1:26" s="1127" customFormat="1" x14ac:dyDescent="0.3">
      <c r="A104" s="1119" t="str">
        <v>EP44419</v>
      </c>
      <c r="B104" s="1120" t="str">
        <v>AEP44419</v>
      </c>
      <c r="C104" s="1120" t="str">
        <v>AEP44419</v>
      </c>
      <c r="D104" s="1120" t="str">
        <v>EP44419</v>
      </c>
      <c r="E104" s="1120" t="str">
        <v>EP444196</v>
      </c>
      <c r="F104" s="1120" t="str">
        <v>EP</v>
      </c>
      <c r="G104" s="1282">
        <v>44419</v>
      </c>
      <c r="H104" s="1283">
        <v>29980105.893515047</v>
      </c>
      <c r="I104" s="1284">
        <v>7.4768331624978526</v>
      </c>
      <c r="J104" s="1285">
        <v>0.20684816913427523</v>
      </c>
      <c r="K104" s="1286">
        <v>2072.9144925099336</v>
      </c>
      <c r="L104" s="1287">
        <v>3.3165813878647228</v>
      </c>
      <c r="M104" s="1288">
        <v>0.12909399143920816</v>
      </c>
      <c r="N104" s="1283">
        <v>2975.4120131489412</v>
      </c>
      <c r="O104" s="1284">
        <v>3.473547112131016</v>
      </c>
      <c r="P104" s="1285">
        <v>5.5612207980729935E-3</v>
      </c>
      <c r="Q104" s="1286">
        <v>0</v>
      </c>
      <c r="R104" s="1287">
        <v>0</v>
      </c>
      <c r="S104" s="1288">
        <v>0</v>
      </c>
      <c r="T104" s="1283">
        <v>64.278841018676758</v>
      </c>
      <c r="U104" s="1284">
        <v>1.8080680376038922</v>
      </c>
      <c r="V104" s="1285">
        <v>0.43429448190325176</v>
      </c>
      <c r="W104" s="1286">
        <v>5112.605346677552</v>
      </c>
      <c r="X104" s="1288">
        <v>3.7086422698680894</v>
      </c>
      <c r="Y104" s="1289" t="str">
        <v>After the burn</v>
      </c>
      <c r="Z104" s="1121" t="str">
        <v>Distribution system</v>
      </c>
    </row>
    <row r="105" spans="1:26" s="1127" customFormat="1" x14ac:dyDescent="0.3">
      <c r="A105" s="1119" t="str">
        <v>EP44426</v>
      </c>
      <c r="B105" s="1120" t="str">
        <v>AEP44426</v>
      </c>
      <c r="C105" s="1120" t="str">
        <v>AEP44426</v>
      </c>
      <c r="D105" s="1120" t="str">
        <v>EP44426</v>
      </c>
      <c r="E105" s="1120" t="str">
        <v>EP444266</v>
      </c>
      <c r="F105" s="1120" t="str">
        <v>EP</v>
      </c>
      <c r="G105" s="1282">
        <v>44426</v>
      </c>
      <c r="H105" s="1283">
        <v>29698642.975470871</v>
      </c>
      <c r="I105" s="1284">
        <v>7.4727366054879463</v>
      </c>
      <c r="J105" s="1285">
        <v>1.2995977104818765E-2</v>
      </c>
      <c r="K105" s="1286">
        <v>92179.010087165283</v>
      </c>
      <c r="L105" s="1287">
        <v>4.9646320399135817</v>
      </c>
      <c r="M105" s="1288">
        <v>0.1057228717670563</v>
      </c>
      <c r="N105" s="1283">
        <v>1482.6005999592767</v>
      </c>
      <c r="O105" s="1284">
        <v>3.1710241715303273</v>
      </c>
      <c r="P105" s="1285">
        <v>0.14487207710567926</v>
      </c>
      <c r="Q105" s="1286">
        <v>0</v>
      </c>
      <c r="R105" s="1287">
        <v>0</v>
      </c>
      <c r="S105" s="1288">
        <v>0</v>
      </c>
      <c r="T105" s="1283">
        <v>101.11602644125621</v>
      </c>
      <c r="U105" s="1284">
        <v>2.0048199947937011</v>
      </c>
      <c r="V105" s="1285">
        <v>0.43429448190325176</v>
      </c>
      <c r="W105" s="1286">
        <v>93762.726713565818</v>
      </c>
      <c r="X105" s="1288">
        <v>4.9720302285741473</v>
      </c>
      <c r="Y105" s="1289" t="str">
        <v>After the burn</v>
      </c>
      <c r="Z105" s="1121" t="str">
        <v>Distribution system</v>
      </c>
    </row>
    <row r="106" spans="1:26" s="1127" customFormat="1" x14ac:dyDescent="0.3">
      <c r="A106" s="1119" t="str">
        <v>EP44433</v>
      </c>
      <c r="B106" s="1120" t="str">
        <v>AEP44433</v>
      </c>
      <c r="C106" s="1120" t="str">
        <v>AEP44433</v>
      </c>
      <c r="D106" s="1120" t="str">
        <v>EP44433</v>
      </c>
      <c r="E106" s="1120" t="str">
        <v>EP444336</v>
      </c>
      <c r="F106" s="1120" t="str">
        <v>EP</v>
      </c>
      <c r="G106" s="1282">
        <v>44433</v>
      </c>
      <c r="H106" s="1283">
        <v>14943283.907004593</v>
      </c>
      <c r="I106" s="1284">
        <v>7.1744460476783178</v>
      </c>
      <c r="J106" s="1285">
        <v>0.26900712822646244</v>
      </c>
      <c r="K106" s="1286">
        <v>1478.2960818956112</v>
      </c>
      <c r="L106" s="1287">
        <v>3.1697614258419864</v>
      </c>
      <c r="M106" s="1288">
        <v>0.12071208104807526</v>
      </c>
      <c r="N106" s="1283">
        <v>1884.2374628346424</v>
      </c>
      <c r="O106" s="1284">
        <v>3.2751356342848927</v>
      </c>
      <c r="P106" s="1285">
        <v>3.7568591910838625E-2</v>
      </c>
      <c r="Q106" s="1286">
        <v>1174.4201512755376</v>
      </c>
      <c r="R106" s="1287">
        <v>3.0698234944731251</v>
      </c>
      <c r="S106" s="1288">
        <v>0.16585477011411723</v>
      </c>
      <c r="T106" s="1283">
        <v>0</v>
      </c>
      <c r="U106" s="1284">
        <v>0</v>
      </c>
      <c r="V106" s="1285">
        <v>0</v>
      </c>
      <c r="W106" s="1286">
        <v>4536.9536960057912</v>
      </c>
      <c r="X106" s="1288">
        <v>3.6567643468940103</v>
      </c>
      <c r="Y106" s="1289" t="str">
        <v>After the burn</v>
      </c>
      <c r="Z106" s="1121" t="str">
        <v>Distribution system</v>
      </c>
    </row>
    <row r="107" spans="1:26" s="1127" customFormat="1" x14ac:dyDescent="0.3">
      <c r="A107" s="1119" t="str">
        <v>MRT44398</v>
      </c>
      <c r="B107" s="1120" t="str">
        <v>DMRT44398</v>
      </c>
      <c r="C107" s="1120" t="str">
        <v>BSPI44405</v>
      </c>
      <c r="D107" s="1120" t="str">
        <v>SPI44405</v>
      </c>
      <c r="E107" s="1120" t="str">
        <v>SPI444056</v>
      </c>
      <c r="F107" s="1120" t="str">
        <v>SPI</v>
      </c>
      <c r="G107" s="1282">
        <v>44405</v>
      </c>
      <c r="H107" s="1283">
        <v>405670191.50834006</v>
      </c>
      <c r="I107" s="1284">
        <v>8.6081730970830517</v>
      </c>
      <c r="J107" s="1285">
        <v>0.34832853327517965</v>
      </c>
      <c r="K107" s="1286">
        <v>0</v>
      </c>
      <c r="L107" s="1287">
        <v>0</v>
      </c>
      <c r="M107" s="1288">
        <v>0</v>
      </c>
      <c r="N107" s="1283">
        <v>0</v>
      </c>
      <c r="O107" s="1284">
        <v>0</v>
      </c>
      <c r="P107" s="1285">
        <v>0</v>
      </c>
      <c r="Q107" s="1286">
        <v>735372.31754194864</v>
      </c>
      <c r="R107" s="1287">
        <v>5.8665072771985223</v>
      </c>
      <c r="S107" s="1288">
        <v>0.33952687880923438</v>
      </c>
      <c r="T107" s="1283">
        <v>0</v>
      </c>
      <c r="U107" s="1284">
        <v>0</v>
      </c>
      <c r="V107" s="1285">
        <v>0</v>
      </c>
      <c r="W107" s="1286">
        <v>735372.31754194864</v>
      </c>
      <c r="X107" s="1288">
        <v>5.8665072771985223</v>
      </c>
      <c r="Y107" s="1289" t="str">
        <v>After the burn</v>
      </c>
      <c r="Z107" s="1121" t="str">
        <v>Distribution system</v>
      </c>
    </row>
    <row r="108" spans="1:26" s="1127" customFormat="1" x14ac:dyDescent="0.3">
      <c r="A108" s="1119" t="str">
        <v>MRT44405</v>
      </c>
      <c r="B108" s="1120" t="str">
        <v>DMRT44405</v>
      </c>
      <c r="C108" s="1120" t="str">
        <v>BSPI44412</v>
      </c>
      <c r="D108" s="1120" t="str">
        <v>SPI44412</v>
      </c>
      <c r="E108" s="1120" t="str">
        <v>SPI444126</v>
      </c>
      <c r="F108" s="1120" t="str">
        <v>SPI</v>
      </c>
      <c r="G108" s="1282">
        <v>44412</v>
      </c>
      <c r="H108" s="1283">
        <v>57927326.48095873</v>
      </c>
      <c r="I108" s="1284">
        <v>7.7628834849747959</v>
      </c>
      <c r="J108" s="1285">
        <v>0.4162793164291988</v>
      </c>
      <c r="K108" s="1286">
        <v>5782.9686164855957</v>
      </c>
      <c r="L108" s="1287">
        <v>3.7621508354431223</v>
      </c>
      <c r="M108" s="1288">
        <v>0.27255859693364748</v>
      </c>
      <c r="N108" s="1283">
        <v>673.59232803185773</v>
      </c>
      <c r="O108" s="1284">
        <v>2.828397132065815</v>
      </c>
      <c r="P108" s="1285">
        <v>6.4102134359966353E-2</v>
      </c>
      <c r="Q108" s="1286">
        <v>0</v>
      </c>
      <c r="R108" s="1287">
        <v>0</v>
      </c>
      <c r="S108" s="1288">
        <v>0</v>
      </c>
      <c r="T108" s="1283">
        <v>0</v>
      </c>
      <c r="U108" s="1284">
        <v>0</v>
      </c>
      <c r="V108" s="1285">
        <v>0</v>
      </c>
      <c r="W108" s="1286">
        <v>6456.5609445174532</v>
      </c>
      <c r="X108" s="1288">
        <v>3.8100012547570228</v>
      </c>
      <c r="Y108" s="1289" t="str">
        <v>After the burn</v>
      </c>
      <c r="Z108" s="1121" t="str">
        <v>Distribution system</v>
      </c>
    </row>
    <row r="109" spans="1:26" s="1127" customFormat="1" x14ac:dyDescent="0.3">
      <c r="A109" s="1119" t="str">
        <v>MRT44412</v>
      </c>
      <c r="B109" s="1120" t="str">
        <v>DMRT44412</v>
      </c>
      <c r="C109" s="1120" t="str">
        <v>BSPI44419</v>
      </c>
      <c r="D109" s="1120" t="str">
        <v>SPI44419</v>
      </c>
      <c r="E109" s="1120" t="str">
        <v>SPI444196</v>
      </c>
      <c r="F109" s="1120" t="str">
        <v>SPI</v>
      </c>
      <c r="G109" s="1282">
        <v>44419</v>
      </c>
      <c r="H109" s="1283">
        <v>9060300.0450077765</v>
      </c>
      <c r="I109" s="1284">
        <v>6.9571425802081057</v>
      </c>
      <c r="J109" s="1285">
        <v>0.16937546303109191</v>
      </c>
      <c r="K109" s="1286">
        <v>6351.5933354695635</v>
      </c>
      <c r="L109" s="1287">
        <v>3.8028826843473644</v>
      </c>
      <c r="M109" s="1288">
        <v>0.35849273168062923</v>
      </c>
      <c r="N109" s="1283">
        <v>690.3161658181084</v>
      </c>
      <c r="O109" s="1284">
        <v>2.8390480438118804</v>
      </c>
      <c r="P109" s="1285">
        <v>0.20787693142600364</v>
      </c>
      <c r="Q109" s="1286">
        <v>1396.6173463397556</v>
      </c>
      <c r="R109" s="1287">
        <v>3.1450774317855172</v>
      </c>
      <c r="S109" s="1288">
        <v>0.22928586786247901</v>
      </c>
      <c r="T109" s="1283">
        <v>0</v>
      </c>
      <c r="U109" s="1284">
        <v>0</v>
      </c>
      <c r="V109" s="1285">
        <v>0</v>
      </c>
      <c r="W109" s="1286">
        <v>8438.5268476274268</v>
      </c>
      <c r="X109" s="1288">
        <v>3.9262666364612002</v>
      </c>
      <c r="Y109" s="1289" t="str">
        <v>After the burn</v>
      </c>
      <c r="Z109" s="1121" t="str">
        <v>Distribution system</v>
      </c>
    </row>
    <row r="110" spans="1:26" s="1127" customFormat="1" x14ac:dyDescent="0.3">
      <c r="A110" s="1119" t="str">
        <v>MRT44419</v>
      </c>
      <c r="B110" s="1120" t="str">
        <v>DMRT44419</v>
      </c>
      <c r="C110" s="1120" t="str">
        <v>BSPI44426</v>
      </c>
      <c r="D110" s="1120" t="str">
        <v>SPI44426</v>
      </c>
      <c r="E110" s="1120" t="str">
        <v>SPI444266</v>
      </c>
      <c r="F110" s="1120" t="str">
        <v>SPI</v>
      </c>
      <c r="G110" s="1282">
        <v>44426</v>
      </c>
      <c r="H110" s="1283">
        <v>12399603.777513435</v>
      </c>
      <c r="I110" s="1284">
        <v>7.093407807743783</v>
      </c>
      <c r="J110" s="1285">
        <v>0.21111643634973712</v>
      </c>
      <c r="K110" s="1286">
        <v>36587.487890365279</v>
      </c>
      <c r="L110" s="1287">
        <v>4.5633325917001768</v>
      </c>
      <c r="M110" s="1288">
        <v>0.24120410446646018</v>
      </c>
      <c r="N110" s="1283">
        <v>106.2839462402019</v>
      </c>
      <c r="O110" s="1284">
        <v>2.0264676710536986</v>
      </c>
      <c r="P110" s="1285">
        <v>0.43429448190325176</v>
      </c>
      <c r="Q110" s="1286">
        <v>0</v>
      </c>
      <c r="R110" s="1287">
        <v>0</v>
      </c>
      <c r="S110" s="1288">
        <v>0</v>
      </c>
      <c r="T110" s="1283">
        <v>0</v>
      </c>
      <c r="U110" s="1284">
        <v>0</v>
      </c>
      <c r="V110" s="1285">
        <v>0</v>
      </c>
      <c r="W110" s="1286">
        <v>36693.771836605483</v>
      </c>
      <c r="X110" s="1288">
        <v>4.5645923561721409</v>
      </c>
      <c r="Y110" s="1289" t="str">
        <v>After the burn</v>
      </c>
      <c r="Z110" s="1121" t="str">
        <v>Distribution system</v>
      </c>
    </row>
    <row r="111" spans="1:26" s="1127" customFormat="1" x14ac:dyDescent="0.3">
      <c r="A111" s="1119" t="str">
        <v>MRT44426</v>
      </c>
      <c r="B111" s="1120" t="str">
        <v>DMRT44426</v>
      </c>
      <c r="C111" s="1120" t="str">
        <v>BSPI44433</v>
      </c>
      <c r="D111" s="1120" t="str">
        <v>SPI44433</v>
      </c>
      <c r="E111" s="1120" t="str">
        <v>SPI444336</v>
      </c>
      <c r="F111" s="1120" t="str">
        <v>SPI</v>
      </c>
      <c r="G111" s="1282">
        <v>44433</v>
      </c>
      <c r="H111" s="1283">
        <v>3301584693.4449725</v>
      </c>
      <c r="I111" s="1284">
        <v>9.5187224424310894</v>
      </c>
      <c r="J111" s="1285">
        <v>0.42907509179096531</v>
      </c>
      <c r="K111" s="1286">
        <v>11727.359347873264</v>
      </c>
      <c r="L111" s="1287">
        <v>4.0692002329379919</v>
      </c>
      <c r="M111" s="1288">
        <v>0.43429448190325176</v>
      </c>
      <c r="N111" s="1283">
        <v>154.5098200154944</v>
      </c>
      <c r="O111" s="1284">
        <v>2.1889560866282487</v>
      </c>
      <c r="P111" s="1285">
        <v>2.0781092842217158E-2</v>
      </c>
      <c r="Q111" s="1286">
        <v>110032.59417654453</v>
      </c>
      <c r="R111" s="1287">
        <v>5.0415213521965967</v>
      </c>
      <c r="S111" s="1288">
        <v>0.43429448190325176</v>
      </c>
      <c r="T111" s="1283">
        <v>0</v>
      </c>
      <c r="U111" s="1284">
        <v>0</v>
      </c>
      <c r="V111" s="1285">
        <v>0</v>
      </c>
      <c r="W111" s="1286">
        <v>121914.46334443329</v>
      </c>
      <c r="X111" s="1288">
        <v>5.0860552312793166</v>
      </c>
      <c r="Y111" s="1289" t="str">
        <v>After the burn</v>
      </c>
      <c r="Z111" s="1121" t="str">
        <v>Distribution system</v>
      </c>
    </row>
    <row r="112" spans="1:26" s="1127" customFormat="1" x14ac:dyDescent="0.3">
      <c r="A112" s="1119" t="str">
        <v>RL44398</v>
      </c>
      <c r="B112" s="1120" t="str">
        <v>GRL44398</v>
      </c>
      <c r="C112" s="1120" t="str">
        <v>CSPO44405</v>
      </c>
      <c r="D112" s="1120" t="str">
        <v>SPO44405</v>
      </c>
      <c r="E112" s="1120" t="str">
        <v>SPO444056</v>
      </c>
      <c r="F112" s="1120" t="str">
        <v>SPO</v>
      </c>
      <c r="G112" s="1282">
        <v>44405</v>
      </c>
      <c r="H112" s="1283">
        <v>4793686.0464590564</v>
      </c>
      <c r="I112" s="1284">
        <v>6.6806695873206543</v>
      </c>
      <c r="J112" s="1285">
        <v>0.43429448190325176</v>
      </c>
      <c r="K112" s="1286">
        <v>8111.5696165296768</v>
      </c>
      <c r="L112" s="1287">
        <v>3.9091048998141136</v>
      </c>
      <c r="M112" s="1288">
        <v>0.43429448190325176</v>
      </c>
      <c r="N112" s="1283">
        <v>1903.4889009263782</v>
      </c>
      <c r="O112" s="1284">
        <v>3.279550348825468</v>
      </c>
      <c r="P112" s="1285">
        <v>0.43429448190325176</v>
      </c>
      <c r="Q112" s="1286">
        <v>0</v>
      </c>
      <c r="R112" s="1287">
        <v>0</v>
      </c>
      <c r="S112" s="1288">
        <v>0</v>
      </c>
      <c r="T112" s="1283">
        <v>0</v>
      </c>
      <c r="U112" s="1284">
        <v>0</v>
      </c>
      <c r="V112" s="1285">
        <v>0</v>
      </c>
      <c r="W112" s="1286">
        <v>10015.058517456055</v>
      </c>
      <c r="X112" s="1288">
        <v>4.0006534911966458</v>
      </c>
      <c r="Y112" s="1289" t="str">
        <v>After the burn</v>
      </c>
      <c r="Z112" s="1121" t="str">
        <v>Distribution system</v>
      </c>
    </row>
    <row r="113" spans="1:26" s="1127" customFormat="1" x14ac:dyDescent="0.3">
      <c r="A113" s="1119" t="str">
        <v>RL44405</v>
      </c>
      <c r="B113" s="1120" t="str">
        <v>GRL44405</v>
      </c>
      <c r="C113" s="1120" t="str">
        <v>CSPO44412</v>
      </c>
      <c r="D113" s="1120" t="str">
        <v>SPO44412</v>
      </c>
      <c r="E113" s="1120" t="str">
        <v>SPO444126</v>
      </c>
      <c r="F113" s="1120" t="str">
        <v>SPO</v>
      </c>
      <c r="G113" s="1282">
        <v>44412</v>
      </c>
      <c r="H113" s="1283">
        <v>2937071.3611744074</v>
      </c>
      <c r="I113" s="1284">
        <v>6.4679144985785593</v>
      </c>
      <c r="J113" s="1285">
        <v>0.18057023393826838</v>
      </c>
      <c r="K113" s="1286">
        <v>4646.8658447265625</v>
      </c>
      <c r="L113" s="1287">
        <v>3.6671601345541878</v>
      </c>
      <c r="M113" s="1288">
        <v>1.3379572783233354E-2</v>
      </c>
      <c r="N113" s="1283">
        <v>122.35397762722438</v>
      </c>
      <c r="O113" s="1284">
        <v>2.0876180924738739</v>
      </c>
      <c r="P113" s="1285">
        <v>0.43429448190325176</v>
      </c>
      <c r="Q113" s="1286">
        <v>338.14777268303766</v>
      </c>
      <c r="R113" s="1287">
        <v>2.5291065311531939</v>
      </c>
      <c r="S113" s="1288">
        <v>0.43429448190325176</v>
      </c>
      <c r="T113" s="1283">
        <v>0</v>
      </c>
      <c r="U113" s="1284">
        <v>0</v>
      </c>
      <c r="V113" s="1285">
        <v>0</v>
      </c>
      <c r="W113" s="1286">
        <v>5107.3675950368252</v>
      </c>
      <c r="X113" s="1288">
        <v>3.708197116667141</v>
      </c>
      <c r="Y113" s="1289" t="str">
        <v>After the burn</v>
      </c>
      <c r="Z113" s="1121" t="str">
        <v>Distribution system</v>
      </c>
    </row>
    <row r="114" spans="1:26" s="1127" customFormat="1" x14ac:dyDescent="0.3">
      <c r="A114" s="1119" t="str">
        <v>RL44412</v>
      </c>
      <c r="B114" s="1120" t="str">
        <v>GRL44412</v>
      </c>
      <c r="C114" s="1120" t="str">
        <v>CSPO44419</v>
      </c>
      <c r="D114" s="1120" t="str">
        <v>SPO44419</v>
      </c>
      <c r="E114" s="1120" t="str">
        <v>SPO444196</v>
      </c>
      <c r="F114" s="1120" t="str">
        <v>SPO</v>
      </c>
      <c r="G114" s="1282">
        <v>44419</v>
      </c>
      <c r="H114" s="1283">
        <v>29949175.790985227</v>
      </c>
      <c r="I114" s="1284">
        <v>7.4763848749940305</v>
      </c>
      <c r="J114" s="1285">
        <v>8.4362492495708832E-2</v>
      </c>
      <c r="K114" s="1286">
        <v>10585.327707487961</v>
      </c>
      <c r="L114" s="1287">
        <v>4.0247043077357461</v>
      </c>
      <c r="M114" s="1288">
        <v>8.873549332693853E-2</v>
      </c>
      <c r="N114" s="1283">
        <v>1335.8274191275411</v>
      </c>
      <c r="O114" s="1284">
        <v>3.1257503535272613</v>
      </c>
      <c r="P114" s="1285">
        <v>0.12122521138605627</v>
      </c>
      <c r="Q114" s="1286">
        <v>0</v>
      </c>
      <c r="R114" s="1287">
        <v>0</v>
      </c>
      <c r="S114" s="1288">
        <v>0</v>
      </c>
      <c r="T114" s="1283">
        <v>0</v>
      </c>
      <c r="U114" s="1284">
        <v>0</v>
      </c>
      <c r="V114" s="1285">
        <v>0</v>
      </c>
      <c r="W114" s="1286">
        <v>11921.155126615502</v>
      </c>
      <c r="X114" s="1288">
        <v>4.0763183393647253</v>
      </c>
      <c r="Y114" s="1289" t="str">
        <v>After the burn</v>
      </c>
      <c r="Z114" s="1121" t="str">
        <v>Distribution system</v>
      </c>
    </row>
    <row r="115" spans="1:26" s="1127" customFormat="1" x14ac:dyDescent="0.3">
      <c r="A115" s="1119" t="str">
        <v>RL44419</v>
      </c>
      <c r="B115" s="1120" t="str">
        <v>GRL44419</v>
      </c>
      <c r="C115" s="1120" t="str">
        <v>CSPO44426</v>
      </c>
      <c r="D115" s="1120" t="str">
        <v>SPO44426</v>
      </c>
      <c r="E115" s="1120" t="str">
        <v>SPO444266</v>
      </c>
      <c r="F115" s="1120" t="str">
        <v>SPO</v>
      </c>
      <c r="G115" s="1282">
        <v>44426</v>
      </c>
      <c r="H115" s="1283">
        <v>259920497.12116551</v>
      </c>
      <c r="I115" s="1284">
        <v>8.4148405289647066</v>
      </c>
      <c r="J115" s="1285">
        <v>0.42524728961034419</v>
      </c>
      <c r="K115" s="1286">
        <v>17657.209545162554</v>
      </c>
      <c r="L115" s="1287">
        <v>4.2469220709916948</v>
      </c>
      <c r="M115" s="1288">
        <v>0.1575620758765113</v>
      </c>
      <c r="N115" s="1283">
        <v>0</v>
      </c>
      <c r="O115" s="1284">
        <v>0</v>
      </c>
      <c r="P115" s="1285">
        <v>0</v>
      </c>
      <c r="Q115" s="1286">
        <v>0</v>
      </c>
      <c r="R115" s="1287">
        <v>0</v>
      </c>
      <c r="S115" s="1288">
        <v>0</v>
      </c>
      <c r="T115" s="1283">
        <v>0</v>
      </c>
      <c r="U115" s="1284">
        <v>0</v>
      </c>
      <c r="V115" s="1285">
        <v>0</v>
      </c>
      <c r="W115" s="1286">
        <v>17657.209545162554</v>
      </c>
      <c r="X115" s="1288">
        <v>4.2469220709916948</v>
      </c>
      <c r="Y115" s="1289" t="str">
        <v>After the burn</v>
      </c>
      <c r="Z115" s="1121" t="str">
        <v>Distribution system</v>
      </c>
    </row>
    <row r="116" spans="1:26" s="1127" customFormat="1" x14ac:dyDescent="0.3">
      <c r="A116" s="1119" t="str">
        <v>RL44426</v>
      </c>
      <c r="B116" s="1120" t="str">
        <v>GRL44426</v>
      </c>
      <c r="C116" s="1120" t="str">
        <v>CSPO44433</v>
      </c>
      <c r="D116" s="1120" t="str">
        <v>SPO44433</v>
      </c>
      <c r="E116" s="1120" t="str">
        <v>SPO444336</v>
      </c>
      <c r="F116" s="1120" t="str">
        <v>SPO</v>
      </c>
      <c r="G116" s="1282">
        <v>44433</v>
      </c>
      <c r="H116" s="1283">
        <v>20113773.002200656</v>
      </c>
      <c r="I116" s="1284">
        <v>7.3034935445072406</v>
      </c>
      <c r="J116" s="1285">
        <v>2.2797372561925482E-2</v>
      </c>
      <c r="K116" s="1286">
        <v>13158.726294835409</v>
      </c>
      <c r="L116" s="1287">
        <v>4.1192138535715888</v>
      </c>
      <c r="M116" s="1288">
        <v>3.2994466628272309E-2</v>
      </c>
      <c r="N116" s="1283">
        <v>0</v>
      </c>
      <c r="O116" s="1284">
        <v>0</v>
      </c>
      <c r="P116" s="1285">
        <v>0</v>
      </c>
      <c r="Q116" s="1286">
        <v>1687.9391670227051</v>
      </c>
      <c r="R116" s="1287">
        <v>3.2273567906886726</v>
      </c>
      <c r="S116" s="1288">
        <v>0.43429448190325176</v>
      </c>
      <c r="T116" s="1283">
        <v>0</v>
      </c>
      <c r="U116" s="1284">
        <v>0</v>
      </c>
      <c r="V116" s="1285">
        <v>0</v>
      </c>
      <c r="W116" s="1286">
        <v>14846.665461858114</v>
      </c>
      <c r="X116" s="1288">
        <v>4.1716289227353132</v>
      </c>
      <c r="Y116" s="1289" t="str">
        <v>After the burn</v>
      </c>
      <c r="Z116" s="1121" t="str">
        <v>Distribution system</v>
      </c>
    </row>
    <row r="117" spans="1:26" s="1127" customFormat="1" x14ac:dyDescent="0.3">
      <c r="A117" s="1119" t="str">
        <v>RN44398</v>
      </c>
      <c r="B117" s="1120" t="str">
        <v>ERN44398</v>
      </c>
      <c r="C117" s="1120" t="str">
        <v>DMRT44405</v>
      </c>
      <c r="D117" s="1120" t="str">
        <v>MRT44405</v>
      </c>
      <c r="E117" s="1120" t="str">
        <v>MRT444056</v>
      </c>
      <c r="F117" s="1120" t="str">
        <v>MRT</v>
      </c>
      <c r="G117" s="1282">
        <v>44405</v>
      </c>
      <c r="H117" s="1283">
        <v>7210440.946767821</v>
      </c>
      <c r="I117" s="1284">
        <v>6.857961824343902</v>
      </c>
      <c r="J117" s="1285">
        <v>0.24708577393031075</v>
      </c>
      <c r="K117" s="1286">
        <v>433.24586939304436</v>
      </c>
      <c r="L117" s="1287">
        <v>2.6367344308011669</v>
      </c>
      <c r="M117" s="1288">
        <v>6.9900938459799125E-2</v>
      </c>
      <c r="N117" s="1283">
        <v>214.79730314396798</v>
      </c>
      <c r="O117" s="1284">
        <v>2.3320288243410854</v>
      </c>
      <c r="P117" s="1285">
        <v>0.11018075958427638</v>
      </c>
      <c r="Q117" s="1286">
        <v>0</v>
      </c>
      <c r="R117" s="1287">
        <v>0</v>
      </c>
      <c r="S117" s="1288">
        <v>0</v>
      </c>
      <c r="T117" s="1283">
        <v>0</v>
      </c>
      <c r="U117" s="1284">
        <v>0</v>
      </c>
      <c r="V117" s="1285">
        <v>0</v>
      </c>
      <c r="W117" s="1286">
        <v>648.04317253701231</v>
      </c>
      <c r="X117" s="1288">
        <v>2.8116039394663228</v>
      </c>
      <c r="Y117" s="1289" t="str">
        <v>After the burn</v>
      </c>
      <c r="Z117" s="1121" t="str">
        <v>Distribution system</v>
      </c>
    </row>
    <row r="118" spans="1:26" s="1127" customFormat="1" x14ac:dyDescent="0.3">
      <c r="A118" s="1119" t="str">
        <v>RN44405</v>
      </c>
      <c r="B118" s="1120" t="str">
        <v>ERN44405</v>
      </c>
      <c r="C118" s="1120" t="str">
        <v>DMRT44412</v>
      </c>
      <c r="D118" s="1120" t="str">
        <v>MRT44412</v>
      </c>
      <c r="E118" s="1120" t="str">
        <v>MRT444126</v>
      </c>
      <c r="F118" s="1120" t="str">
        <v>MRT</v>
      </c>
      <c r="G118" s="1282">
        <v>44412</v>
      </c>
      <c r="H118" s="1283">
        <v>79702011.311411425</v>
      </c>
      <c r="I118" s="1284">
        <v>7.9014692811254186</v>
      </c>
      <c r="J118" s="1285">
        <v>1.1904459936508623E-2</v>
      </c>
      <c r="K118" s="1286">
        <v>64895.859585013444</v>
      </c>
      <c r="L118" s="1287">
        <v>4.8122169893004871</v>
      </c>
      <c r="M118" s="1288">
        <v>2.9056679382363625E-2</v>
      </c>
      <c r="N118" s="1283">
        <v>10450.565174061765</v>
      </c>
      <c r="O118" s="1284">
        <v>4.0191397780393325</v>
      </c>
      <c r="P118" s="1285">
        <v>0.30755796728144069</v>
      </c>
      <c r="Q118" s="1286">
        <v>1997.1930596136278</v>
      </c>
      <c r="R118" s="1287">
        <v>3.3004200481818198</v>
      </c>
      <c r="S118" s="1288">
        <v>0.1196855059904765</v>
      </c>
      <c r="T118" s="1283">
        <v>3987.8832653004633</v>
      </c>
      <c r="U118" s="1284">
        <v>3.6007424370072556</v>
      </c>
      <c r="V118" s="1285">
        <v>0.39470044109863828</v>
      </c>
      <c r="W118" s="1286">
        <v>81331.501083989293</v>
      </c>
      <c r="X118" s="1288">
        <v>4.9102587878722295</v>
      </c>
      <c r="Y118" s="1289" t="str">
        <v>After the burn</v>
      </c>
      <c r="Z118" s="1121" t="str">
        <v>Distribution system</v>
      </c>
    </row>
    <row r="119" spans="1:26" s="1127" customFormat="1" x14ac:dyDescent="0.3">
      <c r="A119" s="1119" t="str">
        <v>RN44412</v>
      </c>
      <c r="B119" s="1120" t="str">
        <v>ERN44412</v>
      </c>
      <c r="C119" s="1120" t="str">
        <v>DMRT44419</v>
      </c>
      <c r="D119" s="1120" t="str">
        <v>MRT44419</v>
      </c>
      <c r="E119" s="1120" t="str">
        <v>MRT444196</v>
      </c>
      <c r="F119" s="1120" t="str">
        <v>MRT</v>
      </c>
      <c r="G119" s="1282">
        <v>44419</v>
      </c>
      <c r="H119" s="1283">
        <v>22343931.466452245</v>
      </c>
      <c r="I119" s="1284">
        <v>7.3491595906222695</v>
      </c>
      <c r="J119" s="1285">
        <v>7.6929408610107664E-2</v>
      </c>
      <c r="K119" s="1286">
        <v>4823.8886858316355</v>
      </c>
      <c r="L119" s="1287">
        <v>3.6833972776381381</v>
      </c>
      <c r="M119" s="1288">
        <v>0.27556368985044022</v>
      </c>
      <c r="N119" s="1283">
        <v>0</v>
      </c>
      <c r="O119" s="1284">
        <v>0</v>
      </c>
      <c r="P119" s="1285">
        <v>0</v>
      </c>
      <c r="Q119" s="1286">
        <v>0</v>
      </c>
      <c r="R119" s="1287">
        <v>0</v>
      </c>
      <c r="S119" s="1288">
        <v>0</v>
      </c>
      <c r="T119" s="1283">
        <v>388.69497401880915</v>
      </c>
      <c r="U119" s="1284">
        <v>2.5896089250665399</v>
      </c>
      <c r="V119" s="1285">
        <v>8.9075877705358117E-2</v>
      </c>
      <c r="W119" s="1286">
        <v>5212.5836598504447</v>
      </c>
      <c r="X119" s="1288">
        <v>3.7170530382877782</v>
      </c>
      <c r="Y119" s="1289" t="str">
        <v>After the burn</v>
      </c>
      <c r="Z119" s="1121" t="str">
        <v>Distribution system</v>
      </c>
    </row>
    <row r="120" spans="1:26" s="1127" customFormat="1" x14ac:dyDescent="0.3">
      <c r="A120" s="1119" t="str">
        <v>RN44419</v>
      </c>
      <c r="B120" s="1120" t="str">
        <v>ERN44419</v>
      </c>
      <c r="C120" s="1120" t="str">
        <v>DMRT44426</v>
      </c>
      <c r="D120" s="1120" t="str">
        <v>MRT44426</v>
      </c>
      <c r="E120" s="1120" t="str">
        <v>MRT444266</v>
      </c>
      <c r="F120" s="1120" t="str">
        <v>MRT</v>
      </c>
      <c r="G120" s="1282">
        <v>44426</v>
      </c>
      <c r="H120" s="1283">
        <v>195558911.76375777</v>
      </c>
      <c r="I120" s="1284">
        <v>8.2912776118587743</v>
      </c>
      <c r="J120" s="1285">
        <v>0.13191196306402403</v>
      </c>
      <c r="K120" s="1286">
        <v>47348.697747124563</v>
      </c>
      <c r="L120" s="1287">
        <v>4.6753080389039123</v>
      </c>
      <c r="M120" s="1288">
        <v>4.2223354177416905E-2</v>
      </c>
      <c r="N120" s="1283">
        <v>872.19350867801245</v>
      </c>
      <c r="O120" s="1284">
        <v>2.9406128501018993</v>
      </c>
      <c r="P120" s="1285">
        <v>0.14686105079050518</v>
      </c>
      <c r="Q120" s="1286">
        <v>10366.154819064672</v>
      </c>
      <c r="R120" s="1287">
        <v>4.0156176907627623</v>
      </c>
      <c r="S120" s="1288">
        <v>1.9171030403175254E-3</v>
      </c>
      <c r="T120" s="1283">
        <v>6749.5549519856777</v>
      </c>
      <c r="U120" s="1284">
        <v>3.8292751375319267</v>
      </c>
      <c r="V120" s="1285">
        <v>3.2776225738422965E-4</v>
      </c>
      <c r="W120" s="1286">
        <v>65336.601026852928</v>
      </c>
      <c r="X120" s="1288">
        <v>4.815156537643583</v>
      </c>
      <c r="Y120" s="1289" t="str">
        <v>After the burn</v>
      </c>
      <c r="Z120" s="1121" t="str">
        <v>Distribution system</v>
      </c>
    </row>
    <row r="121" spans="1:26" s="1127" customFormat="1" ht="16.350000000000001" thickBot="1" x14ac:dyDescent="0.35">
      <c r="A121" s="1290" t="str">
        <v>RN44426</v>
      </c>
      <c r="B121" s="1291" t="str">
        <v>ERN44426</v>
      </c>
      <c r="C121" s="1291" t="str">
        <v>DMRT44433</v>
      </c>
      <c r="D121" s="1291" t="str">
        <v>MRT44433</v>
      </c>
      <c r="E121" s="1291" t="str">
        <v>MRT444336</v>
      </c>
      <c r="F121" s="1291" t="str">
        <v>MRT</v>
      </c>
      <c r="G121" s="1292">
        <v>44433</v>
      </c>
      <c r="H121" s="1293">
        <v>49593736.004659221</v>
      </c>
      <c r="I121" s="1294">
        <v>7.6954268258771572</v>
      </c>
      <c r="J121" s="1295">
        <v>0.31202986383023479</v>
      </c>
      <c r="K121" s="1296">
        <v>22610.194658992266</v>
      </c>
      <c r="L121" s="1297">
        <v>4.354304301352979</v>
      </c>
      <c r="M121" s="1298">
        <v>0.19876904189552486</v>
      </c>
      <c r="N121" s="1293">
        <v>111.86782759849471</v>
      </c>
      <c r="O121" s="1294">
        <v>2.048705204442399</v>
      </c>
      <c r="P121" s="1295">
        <v>0.43429448190325176</v>
      </c>
      <c r="Q121" s="1296">
        <v>16481.839189625749</v>
      </c>
      <c r="R121" s="1297">
        <v>4.2170056724908411</v>
      </c>
      <c r="S121" s="1298">
        <v>0.30464746811444915</v>
      </c>
      <c r="T121" s="1293">
        <v>498.61801995171442</v>
      </c>
      <c r="U121" s="1294">
        <v>2.6977679697637789</v>
      </c>
      <c r="V121" s="1295">
        <v>0.43429448190325176</v>
      </c>
      <c r="W121" s="1296">
        <v>39702.519696168223</v>
      </c>
      <c r="X121" s="1298">
        <v>4.5988180698718546</v>
      </c>
      <c r="Y121" s="1299" t="str">
        <v>After the burn</v>
      </c>
      <c r="Z121" s="1300" t="str">
        <v>Distribution system</v>
      </c>
    </row>
    <row r="122" spans="1:26" s="1127" customFormat="1" x14ac:dyDescent="0.3">
      <c r="A122" s="1301" t="str" cm="1">
        <f t="array" ref="A122:Z141">_xlfn._xlws.FILTER(qPCR_Unique!A61:Z118, qPCR_Unique!G61:G118&gt;44403)</f>
        <v>RS44405</v>
      </c>
      <c r="B122" s="1302" t="str">
        <v>HRS44405</v>
      </c>
      <c r="C122" s="1302" t="str">
        <v>ERN44405</v>
      </c>
      <c r="D122" s="1302" t="str">
        <v>RN44405</v>
      </c>
      <c r="E122" s="1302" t="str">
        <v>RN444056</v>
      </c>
      <c r="F122" s="1302" t="str">
        <v>RN</v>
      </c>
      <c r="G122" s="1303">
        <v>44405</v>
      </c>
      <c r="H122" s="1304">
        <v>7024192134.8143406</v>
      </c>
      <c r="I122" s="1305">
        <v>9.8465963824465117</v>
      </c>
      <c r="J122" s="1306">
        <v>0.11706261123965082</v>
      </c>
      <c r="K122" s="1307">
        <v>11993.938865242424</v>
      </c>
      <c r="L122" s="1308">
        <v>4.0789618308486393</v>
      </c>
      <c r="M122" s="1309">
        <v>0.41998678047885374</v>
      </c>
      <c r="N122" s="1304">
        <v>92658.185351025924</v>
      </c>
      <c r="O122" s="1305">
        <v>4.966883790581651</v>
      </c>
      <c r="P122" s="1306">
        <v>0.19108286554877929</v>
      </c>
      <c r="Q122" s="1307">
        <v>0</v>
      </c>
      <c r="R122" s="1308">
        <v>0</v>
      </c>
      <c r="S122" s="1309">
        <v>0</v>
      </c>
      <c r="T122" s="1304">
        <v>3108902.8313605338</v>
      </c>
      <c r="U122" s="1305">
        <v>6.4926071483978385</v>
      </c>
      <c r="V122" s="1306">
        <v>0.35353991511553895</v>
      </c>
      <c r="W122" s="1307">
        <v>3213554.9555768021</v>
      </c>
      <c r="X122" s="1309">
        <v>6.506985731257366</v>
      </c>
      <c r="Y122" s="1310" t="str">
        <v>After the burn</v>
      </c>
      <c r="Z122" s="1311" t="str">
        <v>Premise plumbing</v>
      </c>
    </row>
    <row r="123" spans="1:26" s="1127" customFormat="1" x14ac:dyDescent="0.3">
      <c r="A123" s="1312" t="str">
        <v>RS44412</v>
      </c>
      <c r="B123" s="1313" t="str">
        <v>HRS44412</v>
      </c>
      <c r="C123" s="1313" t="str">
        <v>ERN44412</v>
      </c>
      <c r="D123" s="1313" t="str">
        <v>RN44412</v>
      </c>
      <c r="E123" s="1313" t="str">
        <v>RN444126</v>
      </c>
      <c r="F123" s="1313" t="str">
        <v>RN</v>
      </c>
      <c r="G123" s="1314">
        <v>44412</v>
      </c>
      <c r="H123" s="1315">
        <v>577977421.28951466</v>
      </c>
      <c r="I123" s="1316">
        <v>8.7619108730210442</v>
      </c>
      <c r="J123" s="1317">
        <v>0.13126450441325488</v>
      </c>
      <c r="K123" s="1318">
        <v>5921.2174945407442</v>
      </c>
      <c r="L123" s="1319">
        <v>3.7724110136143607</v>
      </c>
      <c r="M123" s="1320">
        <v>0.16280776690267629</v>
      </c>
      <c r="N123" s="1315">
        <v>43565.980275472008</v>
      </c>
      <c r="O123" s="1316">
        <v>4.6391474905137544</v>
      </c>
      <c r="P123" s="1317">
        <v>0.17750806970006125</v>
      </c>
      <c r="Q123" s="1318">
        <v>3200.3125932481557</v>
      </c>
      <c r="R123" s="1319">
        <v>3.505192400473788</v>
      </c>
      <c r="S123" s="1320">
        <v>0.19387221622223902</v>
      </c>
      <c r="T123" s="1315">
        <v>229751.8798828125</v>
      </c>
      <c r="U123" s="1316">
        <v>5.3612590735701922</v>
      </c>
      <c r="V123" s="1317">
        <v>3.769628607887849E-2</v>
      </c>
      <c r="W123" s="1318">
        <v>282439.39024607342</v>
      </c>
      <c r="X123" s="1320">
        <v>5.4509252652322751</v>
      </c>
      <c r="Y123" s="1321" t="str">
        <v>After the burn</v>
      </c>
      <c r="Z123" s="1322" t="str">
        <v>Premise plumbing</v>
      </c>
    </row>
    <row r="124" spans="1:26" s="1127" customFormat="1" x14ac:dyDescent="0.3">
      <c r="A124" s="1312" t="str">
        <v>RS44419</v>
      </c>
      <c r="B124" s="1313" t="str">
        <v>HRS44419</v>
      </c>
      <c r="C124" s="1313" t="str">
        <v>ERN44419</v>
      </c>
      <c r="D124" s="1313" t="str">
        <v>RN44419</v>
      </c>
      <c r="E124" s="1313" t="str">
        <v>RN444196</v>
      </c>
      <c r="F124" s="1313" t="str">
        <v>RN</v>
      </c>
      <c r="G124" s="1314">
        <v>44419</v>
      </c>
      <c r="H124" s="1315">
        <v>624673267.69612622</v>
      </c>
      <c r="I124" s="1316">
        <v>8.7956529211205527</v>
      </c>
      <c r="J124" s="1317">
        <v>6.4040211732130731E-2</v>
      </c>
      <c r="K124" s="1318">
        <v>11561.279296875</v>
      </c>
      <c r="L124" s="1319">
        <v>4.063005892980124</v>
      </c>
      <c r="M124" s="1320">
        <v>0.16587071630755923</v>
      </c>
      <c r="N124" s="1315">
        <v>58241.781234741211</v>
      </c>
      <c r="O124" s="1316">
        <v>4.7652346487326867</v>
      </c>
      <c r="P124" s="1317">
        <v>5.0052558911184694E-2</v>
      </c>
      <c r="Q124" s="1318">
        <v>0</v>
      </c>
      <c r="R124" s="1319">
        <v>0</v>
      </c>
      <c r="S124" s="1320">
        <v>0</v>
      </c>
      <c r="T124" s="1315">
        <v>899716.04919433594</v>
      </c>
      <c r="U124" s="1316">
        <v>5.9541054675219511</v>
      </c>
      <c r="V124" s="1317">
        <v>0.25351445426048907</v>
      </c>
      <c r="W124" s="1318">
        <v>969519.10972595215</v>
      </c>
      <c r="X124" s="1320">
        <v>5.9865563736692264</v>
      </c>
      <c r="Y124" s="1321" t="str">
        <v>After the burn</v>
      </c>
      <c r="Z124" s="1322" t="str">
        <v>Premise plumbing</v>
      </c>
    </row>
    <row r="125" spans="1:26" s="1127" customFormat="1" x14ac:dyDescent="0.3">
      <c r="A125" s="1312" t="str">
        <v>RS44426</v>
      </c>
      <c r="B125" s="1313" t="str">
        <v>HRS44426</v>
      </c>
      <c r="C125" s="1313" t="str">
        <v>ERN44426</v>
      </c>
      <c r="D125" s="1313" t="str">
        <v>RN44426</v>
      </c>
      <c r="E125" s="1313" t="str">
        <v>RN444266</v>
      </c>
      <c r="F125" s="1313" t="str">
        <v>RN</v>
      </c>
      <c r="G125" s="1314">
        <v>44426</v>
      </c>
      <c r="H125" s="1315">
        <v>447831809.7998417</v>
      </c>
      <c r="I125" s="1316">
        <v>8.6511149385728281</v>
      </c>
      <c r="J125" s="1317">
        <v>0.19888908890984319</v>
      </c>
      <c r="K125" s="1318">
        <v>9034.257368607954</v>
      </c>
      <c r="L125" s="1319">
        <v>3.9558924586156925</v>
      </c>
      <c r="M125" s="1320">
        <v>0.16389499019572343</v>
      </c>
      <c r="N125" s="1315">
        <v>9738.2939897402375</v>
      </c>
      <c r="O125" s="1316">
        <v>3.9884828813409765</v>
      </c>
      <c r="P125" s="1317">
        <v>0.37234819415139586</v>
      </c>
      <c r="Q125" s="1318">
        <v>0</v>
      </c>
      <c r="R125" s="1319">
        <v>0</v>
      </c>
      <c r="S125" s="1320">
        <v>0</v>
      </c>
      <c r="T125" s="1315">
        <v>701817.0111299766</v>
      </c>
      <c r="U125" s="1316">
        <v>5.8462238907393802</v>
      </c>
      <c r="V125" s="1317">
        <v>0.41697369311659516</v>
      </c>
      <c r="W125" s="1318">
        <v>720589.56248832482</v>
      </c>
      <c r="X125" s="1320">
        <v>5.8576879672140345</v>
      </c>
      <c r="Y125" s="1321" t="str">
        <v>After the burn</v>
      </c>
      <c r="Z125" s="1322" t="str">
        <v>Premise plumbing</v>
      </c>
    </row>
    <row r="126" spans="1:26" s="1127" customFormat="1" x14ac:dyDescent="0.3">
      <c r="A126" s="1312" t="str">
        <v>RS44433</v>
      </c>
      <c r="B126" s="1313" t="str">
        <v>HRS44433</v>
      </c>
      <c r="C126" s="1313" t="str">
        <v>ERN44433</v>
      </c>
      <c r="D126" s="1313" t="str">
        <v>RN44433</v>
      </c>
      <c r="E126" s="1313" t="str">
        <v>RN444336</v>
      </c>
      <c r="F126" s="1313" t="str">
        <v>RN</v>
      </c>
      <c r="G126" s="1314">
        <v>44433</v>
      </c>
      <c r="H126" s="1315">
        <v>1469654048.9461265</v>
      </c>
      <c r="I126" s="1316">
        <v>9.1672151154857069</v>
      </c>
      <c r="J126" s="1317">
        <v>0.207142091156887</v>
      </c>
      <c r="K126" s="1318">
        <v>2412.9703521728516</v>
      </c>
      <c r="L126" s="1319">
        <v>3.3825519858263853</v>
      </c>
      <c r="M126" s="1320">
        <v>0.43429448190325176</v>
      </c>
      <c r="N126" s="1315">
        <v>10485.744857788086</v>
      </c>
      <c r="O126" s="1316">
        <v>4.0205992861258624</v>
      </c>
      <c r="P126" s="1317">
        <v>3.8620280514219139E-2</v>
      </c>
      <c r="Q126" s="1318">
        <v>905193.4814453125</v>
      </c>
      <c r="R126" s="1319">
        <v>5.9567414178163585</v>
      </c>
      <c r="S126" s="1320">
        <v>0.43429448190325176</v>
      </c>
      <c r="T126" s="1315">
        <v>45860.533142089844</v>
      </c>
      <c r="U126" s="1316">
        <v>4.6614390992234407</v>
      </c>
      <c r="V126" s="1317">
        <v>0.10502280321519181</v>
      </c>
      <c r="W126" s="1318">
        <v>963952.72979736328</v>
      </c>
      <c r="X126" s="1320">
        <v>5.9840557375423442</v>
      </c>
      <c r="Y126" s="1321" t="str">
        <v>After the burn</v>
      </c>
      <c r="Z126" s="1322" t="str">
        <v>Premise plumbing</v>
      </c>
    </row>
    <row r="127" spans="1:26" s="1127" customFormat="1" x14ac:dyDescent="0.3">
      <c r="A127" s="1312" t="str">
        <v>RU44405</v>
      </c>
      <c r="B127" s="1313" t="str">
        <v>FRU44405</v>
      </c>
      <c r="C127" s="1313" t="str">
        <v>FRU44405</v>
      </c>
      <c r="D127" s="1313" t="str">
        <v>RU44405</v>
      </c>
      <c r="E127" s="1313" t="str">
        <v>RU444056</v>
      </c>
      <c r="F127" s="1313" t="str">
        <v>RU</v>
      </c>
      <c r="G127" s="1314">
        <v>44405</v>
      </c>
      <c r="H127" s="1315">
        <v>135947433.75445986</v>
      </c>
      <c r="I127" s="1316">
        <v>8.1333710139331075</v>
      </c>
      <c r="J127" s="1317">
        <v>0.19125254806198155</v>
      </c>
      <c r="K127" s="1318">
        <v>34091.366242619821</v>
      </c>
      <c r="L127" s="1319">
        <v>4.5326444063254305</v>
      </c>
      <c r="M127" s="1320">
        <v>0.25907367582752444</v>
      </c>
      <c r="N127" s="1315">
        <v>4336.9628494573963</v>
      </c>
      <c r="O127" s="1316">
        <v>3.6371857019862635</v>
      </c>
      <c r="P127" s="1317">
        <v>0.22144412868821989</v>
      </c>
      <c r="Q127" s="1318">
        <v>0</v>
      </c>
      <c r="R127" s="1319">
        <v>0</v>
      </c>
      <c r="S127" s="1320">
        <v>0</v>
      </c>
      <c r="T127" s="1315">
        <v>1087.3621272057603</v>
      </c>
      <c r="U127" s="1316">
        <v>3.0363742024637514</v>
      </c>
      <c r="V127" s="1317">
        <v>0.43429448190325176</v>
      </c>
      <c r="W127" s="1318">
        <v>39515.691219282977</v>
      </c>
      <c r="X127" s="1320">
        <v>4.5967695831395945</v>
      </c>
      <c r="Y127" s="1321" t="str">
        <v>After the burn</v>
      </c>
      <c r="Z127" s="1322" t="str">
        <v>Premise plumbing</v>
      </c>
    </row>
    <row r="128" spans="1:26" s="1127" customFormat="1" x14ac:dyDescent="0.3">
      <c r="A128" s="1312" t="str">
        <v>RU44412</v>
      </c>
      <c r="B128" s="1313" t="str">
        <v>FRU44412</v>
      </c>
      <c r="C128" s="1313" t="str">
        <v>FRU44412</v>
      </c>
      <c r="D128" s="1313" t="str">
        <v>RU44412</v>
      </c>
      <c r="E128" s="1313" t="str">
        <v>RU444126</v>
      </c>
      <c r="F128" s="1313" t="str">
        <v>RU</v>
      </c>
      <c r="G128" s="1314">
        <v>44412</v>
      </c>
      <c r="H128" s="1315">
        <v>62663974.075787343</v>
      </c>
      <c r="I128" s="1316">
        <v>7.7970179338660834</v>
      </c>
      <c r="J128" s="1317">
        <v>0.26589295607205832</v>
      </c>
      <c r="K128" s="1318">
        <v>5374.9038950044514</v>
      </c>
      <c r="L128" s="1319">
        <v>3.7303707033332447</v>
      </c>
      <c r="M128" s="1320">
        <v>0.10849446791578979</v>
      </c>
      <c r="N128" s="1315">
        <v>10308.560555441338</v>
      </c>
      <c r="O128" s="1316">
        <v>4.0131980264403566</v>
      </c>
      <c r="P128" s="1317">
        <v>0.23047766089807925</v>
      </c>
      <c r="Q128" s="1318">
        <v>0</v>
      </c>
      <c r="R128" s="1319">
        <v>0</v>
      </c>
      <c r="S128" s="1320">
        <v>0</v>
      </c>
      <c r="T128" s="1315">
        <v>1204.345703125</v>
      </c>
      <c r="U128" s="1316">
        <v>3.0807511674943671</v>
      </c>
      <c r="V128" s="1317">
        <v>0.43429448190325176</v>
      </c>
      <c r="W128" s="1318">
        <v>16887.81015357079</v>
      </c>
      <c r="X128" s="1320">
        <v>4.2275733381513261</v>
      </c>
      <c r="Y128" s="1321" t="str">
        <v>After the burn</v>
      </c>
      <c r="Z128" s="1322" t="str">
        <v>Premise plumbing</v>
      </c>
    </row>
    <row r="129" spans="1:26" s="1127" customFormat="1" x14ac:dyDescent="0.3">
      <c r="A129" s="1312" t="str">
        <v>RU44419</v>
      </c>
      <c r="B129" s="1313" t="str">
        <v>FRU44419</v>
      </c>
      <c r="C129" s="1313" t="str">
        <v>FRU44419</v>
      </c>
      <c r="D129" s="1313" t="str">
        <v>RU44419</v>
      </c>
      <c r="E129" s="1313" t="str">
        <v>RU444196</v>
      </c>
      <c r="F129" s="1313" t="str">
        <v>RU</v>
      </c>
      <c r="G129" s="1314">
        <v>44419</v>
      </c>
      <c r="H129" s="1315">
        <v>293259200.57923603</v>
      </c>
      <c r="I129" s="1316">
        <v>8.4672516463565746</v>
      </c>
      <c r="J129" s="1317">
        <v>0.27308644159112216</v>
      </c>
      <c r="K129" s="1318">
        <v>12165.310158951736</v>
      </c>
      <c r="L129" s="1319">
        <v>4.0851231859017831</v>
      </c>
      <c r="M129" s="1320">
        <v>6.6568538980958838E-2</v>
      </c>
      <c r="N129" s="1315">
        <v>13426.09979089443</v>
      </c>
      <c r="O129" s="1316">
        <v>4.1279498708001707</v>
      </c>
      <c r="P129" s="1317">
        <v>0.25700797188800723</v>
      </c>
      <c r="Q129" s="1318">
        <v>33261.758571884537</v>
      </c>
      <c r="R129" s="1319">
        <v>4.5219452069362802</v>
      </c>
      <c r="S129" s="1320">
        <v>0.42114324213497706</v>
      </c>
      <c r="T129" s="1315">
        <v>0</v>
      </c>
      <c r="U129" s="1316">
        <v>0</v>
      </c>
      <c r="V129" s="1317">
        <v>0</v>
      </c>
      <c r="W129" s="1318">
        <v>58853.168521730702</v>
      </c>
      <c r="X129" s="1320">
        <v>4.7697698492433531</v>
      </c>
      <c r="Y129" s="1321" t="str">
        <v>After the burn</v>
      </c>
      <c r="Z129" s="1322" t="str">
        <v>Premise plumbing</v>
      </c>
    </row>
    <row r="130" spans="1:26" s="1127" customFormat="1" x14ac:dyDescent="0.3">
      <c r="A130" s="1312" t="str">
        <v>RU44426</v>
      </c>
      <c r="B130" s="1313" t="str">
        <v>FRU44426</v>
      </c>
      <c r="C130" s="1313" t="str">
        <v>FRU44426</v>
      </c>
      <c r="D130" s="1313" t="str">
        <v>RU44426</v>
      </c>
      <c r="E130" s="1313" t="str">
        <v>RU444266</v>
      </c>
      <c r="F130" s="1313" t="str">
        <v>RU</v>
      </c>
      <c r="G130" s="1314">
        <v>44426</v>
      </c>
      <c r="H130" s="1315">
        <v>37459069.302015245</v>
      </c>
      <c r="I130" s="1316">
        <v>7.5735569828090972</v>
      </c>
      <c r="J130" s="1317">
        <v>2.9090796026394465E-2</v>
      </c>
      <c r="K130" s="1318">
        <v>87612.893404689181</v>
      </c>
      <c r="L130" s="1319">
        <v>4.9425680230912103</v>
      </c>
      <c r="M130" s="1320">
        <v>2.5829493603281916E-2</v>
      </c>
      <c r="N130" s="1315">
        <v>2491.0730030047525</v>
      </c>
      <c r="O130" s="1316">
        <v>3.396386455090723</v>
      </c>
      <c r="P130" s="1317">
        <v>8.0551391000424993E-2</v>
      </c>
      <c r="Q130" s="1318">
        <v>0</v>
      </c>
      <c r="R130" s="1319">
        <v>0</v>
      </c>
      <c r="S130" s="1320">
        <v>0</v>
      </c>
      <c r="T130" s="1315">
        <v>373.7701445209737</v>
      </c>
      <c r="U130" s="1316">
        <v>2.572604608472389</v>
      </c>
      <c r="V130" s="1317">
        <v>0.43429448190325176</v>
      </c>
      <c r="W130" s="1318">
        <v>90477.736552214905</v>
      </c>
      <c r="X130" s="1320">
        <v>4.9565417274702419</v>
      </c>
      <c r="Y130" s="1321" t="str">
        <v>After the burn</v>
      </c>
      <c r="Z130" s="1322" t="str">
        <v>Premise plumbing</v>
      </c>
    </row>
    <row r="131" spans="1:26" s="1127" customFormat="1" x14ac:dyDescent="0.3">
      <c r="A131" s="1312" t="str">
        <v>RU44433</v>
      </c>
      <c r="B131" s="1313" t="str">
        <v>FRU44433</v>
      </c>
      <c r="C131" s="1313" t="str">
        <v>FRU44433</v>
      </c>
      <c r="D131" s="1313" t="str">
        <v>RU44433</v>
      </c>
      <c r="E131" s="1313" t="str">
        <v>RU444336</v>
      </c>
      <c r="F131" s="1313" t="str">
        <v>RU</v>
      </c>
      <c r="G131" s="1314">
        <v>44433</v>
      </c>
      <c r="H131" s="1315">
        <v>353050043.07230633</v>
      </c>
      <c r="I131" s="1316">
        <v>8.5478362688149758</v>
      </c>
      <c r="J131" s="1317">
        <v>0.43429448190325171</v>
      </c>
      <c r="K131" s="1318">
        <v>11476.994323730469</v>
      </c>
      <c r="L131" s="1319">
        <v>4.0598281668485159</v>
      </c>
      <c r="M131" s="1320">
        <v>0.43429448190325176</v>
      </c>
      <c r="N131" s="1315">
        <v>9791.71142578125</v>
      </c>
      <c r="O131" s="1316">
        <v>3.9908586057780417</v>
      </c>
      <c r="P131" s="1317">
        <v>0.43429448190325176</v>
      </c>
      <c r="Q131" s="1318">
        <v>0</v>
      </c>
      <c r="R131" s="1319">
        <v>0</v>
      </c>
      <c r="S131" s="1320">
        <v>0</v>
      </c>
      <c r="T131" s="1315">
        <v>0</v>
      </c>
      <c r="U131" s="1316">
        <v>0</v>
      </c>
      <c r="V131" s="1317">
        <v>0</v>
      </c>
      <c r="W131" s="1318">
        <v>21268.705749511719</v>
      </c>
      <c r="X131" s="1320">
        <v>4.3277410628718389</v>
      </c>
      <c r="Y131" s="1321" t="str">
        <v>After the burn</v>
      </c>
      <c r="Z131" s="1322" t="str">
        <v>Premise plumbing</v>
      </c>
    </row>
    <row r="132" spans="1:26" s="1127" customFormat="1" x14ac:dyDescent="0.3">
      <c r="A132" s="1312" t="str">
        <v>SPI44405</v>
      </c>
      <c r="B132" s="1313" t="str">
        <v>BSPI44405</v>
      </c>
      <c r="C132" s="1313" t="str">
        <v>GRL44405</v>
      </c>
      <c r="D132" s="1313" t="str">
        <v>RL44405</v>
      </c>
      <c r="E132" s="1313" t="str">
        <v>RL444056</v>
      </c>
      <c r="F132" s="1313" t="str">
        <v>RL</v>
      </c>
      <c r="G132" s="1314">
        <v>44405</v>
      </c>
      <c r="H132" s="1315">
        <v>3173505443.792172</v>
      </c>
      <c r="I132" s="1316">
        <v>9.5015392476340228</v>
      </c>
      <c r="J132" s="1317">
        <v>0.36888352064033281</v>
      </c>
      <c r="K132" s="1318">
        <v>23139.209931698319</v>
      </c>
      <c r="L132" s="1319">
        <v>4.3643485262595734</v>
      </c>
      <c r="M132" s="1320">
        <v>8.5016048257424287E-2</v>
      </c>
      <c r="N132" s="1315">
        <v>535.57325075315475</v>
      </c>
      <c r="O132" s="1316">
        <v>2.7288188780106166</v>
      </c>
      <c r="P132" s="1317">
        <v>4.1551496010425709E-2</v>
      </c>
      <c r="Q132" s="1318">
        <v>338.15275995354904</v>
      </c>
      <c r="R132" s="1319">
        <v>2.5291129364241001</v>
      </c>
      <c r="S132" s="1320">
        <v>0.43429448190325176</v>
      </c>
      <c r="T132" s="1315">
        <v>119.52242072747677</v>
      </c>
      <c r="U132" s="1316">
        <v>2.0774493804714829</v>
      </c>
      <c r="V132" s="1317">
        <v>0.43429448190325176</v>
      </c>
      <c r="W132" s="1318">
        <v>24132.458363132497</v>
      </c>
      <c r="X132" s="1320">
        <v>4.382601565554058</v>
      </c>
      <c r="Y132" s="1321" t="str">
        <v>After the burn</v>
      </c>
      <c r="Z132" s="1322" t="str">
        <v>Premise plumbing</v>
      </c>
    </row>
    <row r="133" spans="1:26" s="1127" customFormat="1" x14ac:dyDescent="0.3">
      <c r="A133" s="1312" t="str">
        <v>SPI44412</v>
      </c>
      <c r="B133" s="1313" t="str">
        <v>BSPI44412</v>
      </c>
      <c r="C133" s="1313" t="str">
        <v>GRL44412</v>
      </c>
      <c r="D133" s="1313" t="str">
        <v>RL44412</v>
      </c>
      <c r="E133" s="1313" t="str">
        <v>RL444126</v>
      </c>
      <c r="F133" s="1313" t="str">
        <v>RL</v>
      </c>
      <c r="G133" s="1314">
        <v>44412</v>
      </c>
      <c r="H133" s="1315">
        <v>774557554.21707714</v>
      </c>
      <c r="I133" s="1316">
        <v>8.889053693948302</v>
      </c>
      <c r="J133" s="1317">
        <v>0.32484887222373693</v>
      </c>
      <c r="K133" s="1318">
        <v>23453.208923339844</v>
      </c>
      <c r="L133" s="1319">
        <v>4.3702022723114844</v>
      </c>
      <c r="M133" s="1320">
        <v>0.11528184311666682</v>
      </c>
      <c r="N133" s="1315">
        <v>4095.562669965956</v>
      </c>
      <c r="O133" s="1316">
        <v>3.6123135758582299</v>
      </c>
      <c r="P133" s="1317">
        <v>0.16854605888198093</v>
      </c>
      <c r="Q133" s="1318">
        <v>845.08628315395777</v>
      </c>
      <c r="R133" s="1319">
        <v>2.9269010526001331</v>
      </c>
      <c r="S133" s="1320">
        <v>6.4412239492510293E-2</v>
      </c>
      <c r="T133" s="1315">
        <v>355.20115163591174</v>
      </c>
      <c r="U133" s="1316">
        <v>2.550474365181763</v>
      </c>
      <c r="V133" s="1317">
        <v>4.8460354599132296E-2</v>
      </c>
      <c r="W133" s="1318">
        <v>28749.059028095668</v>
      </c>
      <c r="X133" s="1320">
        <v>4.4586236345702259</v>
      </c>
      <c r="Y133" s="1321" t="str">
        <v>After the burn</v>
      </c>
      <c r="Z133" s="1322" t="str">
        <v>Premise plumbing</v>
      </c>
    </row>
    <row r="134" spans="1:26" s="1127" customFormat="1" x14ac:dyDescent="0.3">
      <c r="A134" s="1312" t="str">
        <v>SPI44419</v>
      </c>
      <c r="B134" s="1313" t="str">
        <v>BSPI44419</v>
      </c>
      <c r="C134" s="1313" t="str">
        <v>GRL44419</v>
      </c>
      <c r="D134" s="1313" t="str">
        <v>RL44419</v>
      </c>
      <c r="E134" s="1313" t="str">
        <v>RL444196</v>
      </c>
      <c r="F134" s="1313" t="str">
        <v>RL</v>
      </c>
      <c r="G134" s="1314">
        <v>44419</v>
      </c>
      <c r="H134" s="1315">
        <v>43430463.771791816</v>
      </c>
      <c r="I134" s="1316">
        <v>7.6377944669964597</v>
      </c>
      <c r="J134" s="1317">
        <v>1.1107309704144985E-2</v>
      </c>
      <c r="K134" s="1318">
        <v>10669.250700208877</v>
      </c>
      <c r="L134" s="1319">
        <v>4.0281339200625865</v>
      </c>
      <c r="M134" s="1320">
        <v>5.7076718338304251E-2</v>
      </c>
      <c r="N134" s="1315">
        <v>1108.0127424663967</v>
      </c>
      <c r="O134" s="1316">
        <v>3.0445447549330433</v>
      </c>
      <c r="P134" s="1317">
        <v>0.1741573434932005</v>
      </c>
      <c r="Q134" s="1318">
        <v>2564.7217432657872</v>
      </c>
      <c r="R134" s="1319">
        <v>3.4090402536897542</v>
      </c>
      <c r="S134" s="1320">
        <v>0.30942779199513504</v>
      </c>
      <c r="T134" s="1315">
        <v>0</v>
      </c>
      <c r="U134" s="1316">
        <v>0</v>
      </c>
      <c r="V134" s="1317">
        <v>0</v>
      </c>
      <c r="W134" s="1318">
        <v>14341.985185941061</v>
      </c>
      <c r="X134" s="1320">
        <v>4.1566092695764247</v>
      </c>
      <c r="Y134" s="1321" t="str">
        <v>After the burn</v>
      </c>
      <c r="Z134" s="1322" t="str">
        <v>Premise plumbing</v>
      </c>
    </row>
    <row r="135" spans="1:26" s="1127" customFormat="1" x14ac:dyDescent="0.3">
      <c r="A135" s="1312" t="str">
        <v>SPI44426</v>
      </c>
      <c r="B135" s="1313" t="str">
        <v>BSPI44426</v>
      </c>
      <c r="C135" s="1313" t="str">
        <v>GRL44426</v>
      </c>
      <c r="D135" s="1313" t="str">
        <v>RL44426</v>
      </c>
      <c r="E135" s="1313" t="str">
        <v>RL444266</v>
      </c>
      <c r="F135" s="1313" t="str">
        <v>RL</v>
      </c>
      <c r="G135" s="1314">
        <v>44426</v>
      </c>
      <c r="H135" s="1315">
        <v>1364663550.2241735</v>
      </c>
      <c r="I135" s="1316">
        <v>9.1350255918222683</v>
      </c>
      <c r="J135" s="1317">
        <v>0.21801059482880017</v>
      </c>
      <c r="K135" s="1318">
        <v>72013.959660642082</v>
      </c>
      <c r="L135" s="1319">
        <v>4.8574166910971099</v>
      </c>
      <c r="M135" s="1320">
        <v>9.821845073165765E-2</v>
      </c>
      <c r="N135" s="1315">
        <v>2842.1932646538362</v>
      </c>
      <c r="O135" s="1316">
        <v>3.4536536059345058</v>
      </c>
      <c r="P135" s="1317">
        <v>0.235754157429895</v>
      </c>
      <c r="Q135" s="1318">
        <v>365.84675312042236</v>
      </c>
      <c r="R135" s="1319">
        <v>2.5632992050352823</v>
      </c>
      <c r="S135" s="1320">
        <v>0.43429448190325176</v>
      </c>
      <c r="T135" s="1315">
        <v>0</v>
      </c>
      <c r="U135" s="1316">
        <v>0</v>
      </c>
      <c r="V135" s="1317">
        <v>0</v>
      </c>
      <c r="W135" s="1318">
        <v>75221.999678416338</v>
      </c>
      <c r="X135" s="1320">
        <v>4.8763448743902673</v>
      </c>
      <c r="Y135" s="1321" t="str">
        <v>After the burn</v>
      </c>
      <c r="Z135" s="1322" t="str">
        <v>Premise plumbing</v>
      </c>
    </row>
    <row r="136" spans="1:26" s="1127" customFormat="1" x14ac:dyDescent="0.3">
      <c r="A136" s="1312" t="str">
        <v>SPI44433</v>
      </c>
      <c r="B136" s="1313" t="str">
        <v>BSPI44433</v>
      </c>
      <c r="C136" s="1313" t="str">
        <v>GRL44433</v>
      </c>
      <c r="D136" s="1313" t="str">
        <v>RL44433</v>
      </c>
      <c r="E136" s="1313" t="str">
        <v>RL444336</v>
      </c>
      <c r="F136" s="1313" t="str">
        <v>RL</v>
      </c>
      <c r="G136" s="1314">
        <v>44433</v>
      </c>
      <c r="H136" s="1315">
        <v>596329571.0607121</v>
      </c>
      <c r="I136" s="1316">
        <v>8.7754863458710872</v>
      </c>
      <c r="J136" s="1317">
        <v>0.10662577850056448</v>
      </c>
      <c r="K136" s="1318">
        <v>14006.673435996219</v>
      </c>
      <c r="L136" s="1319">
        <v>4.1463350032418775</v>
      </c>
      <c r="M136" s="1320">
        <v>1.7841915804778638E-3</v>
      </c>
      <c r="N136" s="1315">
        <v>64.542824133283148</v>
      </c>
      <c r="O136" s="1316">
        <v>1.8098479644559737</v>
      </c>
      <c r="P136" s="1317">
        <v>0.43429448190325171</v>
      </c>
      <c r="Q136" s="1318">
        <v>0</v>
      </c>
      <c r="R136" s="1319">
        <v>0</v>
      </c>
      <c r="S136" s="1320">
        <v>0</v>
      </c>
      <c r="T136" s="1315">
        <v>0</v>
      </c>
      <c r="U136" s="1316">
        <v>0</v>
      </c>
      <c r="V136" s="1317">
        <v>0</v>
      </c>
      <c r="W136" s="1318">
        <v>14071.216260129502</v>
      </c>
      <c r="X136" s="1320">
        <v>4.1483316377498651</v>
      </c>
      <c r="Y136" s="1321" t="str">
        <v>After the burn</v>
      </c>
      <c r="Z136" s="1322" t="str">
        <v>Premise plumbing</v>
      </c>
    </row>
    <row r="137" spans="1:26" s="1127" customFormat="1" x14ac:dyDescent="0.3">
      <c r="A137" s="1312" t="str">
        <v>SPO44405</v>
      </c>
      <c r="B137" s="1313" t="str">
        <v>CSPO44405</v>
      </c>
      <c r="C137" s="1313" t="str">
        <v>HRS44405</v>
      </c>
      <c r="D137" s="1313" t="str">
        <v>RS44405</v>
      </c>
      <c r="E137" s="1313" t="str">
        <v>RS444056</v>
      </c>
      <c r="F137" s="1313" t="str">
        <v>RS</v>
      </c>
      <c r="G137" s="1314">
        <v>44405</v>
      </c>
      <c r="H137" s="1315">
        <v>6587094752.5368137</v>
      </c>
      <c r="I137" s="1316">
        <v>9.8186939106265623</v>
      </c>
      <c r="J137" s="1317">
        <v>2.3482742912674541E-2</v>
      </c>
      <c r="K137" s="1318">
        <v>70088.184959010076</v>
      </c>
      <c r="L137" s="1319">
        <v>4.8456448134078149</v>
      </c>
      <c r="M137" s="1320">
        <v>7.8415849505495794E-2</v>
      </c>
      <c r="N137" s="1315">
        <v>107617.26218775699</v>
      </c>
      <c r="O137" s="1316">
        <v>5.0318819392819867</v>
      </c>
      <c r="P137" s="1317">
        <v>0.29251868854289048</v>
      </c>
      <c r="Q137" s="1318">
        <v>388.14637535496757</v>
      </c>
      <c r="R137" s="1319">
        <v>2.5889955349263674</v>
      </c>
      <c r="S137" s="1320">
        <v>0.43429448190325176</v>
      </c>
      <c r="T137" s="1315">
        <v>474137.22028230364</v>
      </c>
      <c r="U137" s="1316">
        <v>5.6759040492416206</v>
      </c>
      <c r="V137" s="1317">
        <v>0.37761814243884673</v>
      </c>
      <c r="W137" s="1318">
        <v>652230.81380442565</v>
      </c>
      <c r="X137" s="1320">
        <v>5.8144013126378464</v>
      </c>
      <c r="Y137" s="1321" t="str">
        <v>After the burn</v>
      </c>
      <c r="Z137" s="1322" t="str">
        <v>Premise plumbing</v>
      </c>
    </row>
    <row r="138" spans="1:26" s="1127" customFormat="1" x14ac:dyDescent="0.3">
      <c r="A138" s="1312" t="str">
        <v>SPO44412</v>
      </c>
      <c r="B138" s="1313" t="str">
        <v>CSPO44412</v>
      </c>
      <c r="C138" s="1313" t="str">
        <v>HRS44412</v>
      </c>
      <c r="D138" s="1313" t="str">
        <v>RS44412</v>
      </c>
      <c r="E138" s="1313" t="str">
        <v>RS444126</v>
      </c>
      <c r="F138" s="1313" t="str">
        <v>RS</v>
      </c>
      <c r="G138" s="1314">
        <v>44412</v>
      </c>
      <c r="H138" s="1315">
        <v>16064625517.928452</v>
      </c>
      <c r="I138" s="1316">
        <v>10.205870606178054</v>
      </c>
      <c r="J138" s="1317">
        <v>0.42568295894565583</v>
      </c>
      <c r="K138" s="1318">
        <v>36254.02649412764</v>
      </c>
      <c r="L138" s="1319">
        <v>4.5593562477917047</v>
      </c>
      <c r="M138" s="1320">
        <v>3.490438643317173E-2</v>
      </c>
      <c r="N138" s="1315">
        <v>73374.810011843423</v>
      </c>
      <c r="O138" s="1316">
        <v>4.8655469897457584</v>
      </c>
      <c r="P138" s="1317">
        <v>0.11855281625767398</v>
      </c>
      <c r="Q138" s="1318">
        <v>434.03660997431331</v>
      </c>
      <c r="R138" s="1319">
        <v>2.6375263627827059</v>
      </c>
      <c r="S138" s="1320">
        <v>0.43429448190325176</v>
      </c>
      <c r="T138" s="1315">
        <v>179645.90038543052</v>
      </c>
      <c r="U138" s="1316">
        <v>5.2544173108237153</v>
      </c>
      <c r="V138" s="1317">
        <v>1.3309638831127731E-2</v>
      </c>
      <c r="W138" s="1318">
        <v>289708.77350137592</v>
      </c>
      <c r="X138" s="1320">
        <v>5.4619616475183594</v>
      </c>
      <c r="Y138" s="1321" t="str">
        <v>After the burn</v>
      </c>
      <c r="Z138" s="1322" t="str">
        <v>Premise plumbing</v>
      </c>
    </row>
    <row r="139" spans="1:26" s="1127" customFormat="1" x14ac:dyDescent="0.3">
      <c r="A139" s="1312" t="str">
        <v>SPO44419</v>
      </c>
      <c r="B139" s="1313" t="str">
        <v>CSPO44419</v>
      </c>
      <c r="C139" s="1313" t="str">
        <v>HRS44419</v>
      </c>
      <c r="D139" s="1313" t="str">
        <v>RS44419</v>
      </c>
      <c r="E139" s="1313" t="str">
        <v>RS444196</v>
      </c>
      <c r="F139" s="1313" t="str">
        <v>RS</v>
      </c>
      <c r="G139" s="1314">
        <v>44419</v>
      </c>
      <c r="H139" s="1315">
        <v>73629304.93827939</v>
      </c>
      <c r="I139" s="1316">
        <v>7.8670507007497612</v>
      </c>
      <c r="J139" s="1317">
        <v>0.26724709382511219</v>
      </c>
      <c r="K139" s="1318">
        <v>9661.5081668747735</v>
      </c>
      <c r="L139" s="1319">
        <v>3.9850449253209592</v>
      </c>
      <c r="M139" s="1320">
        <v>0.19857698348318406</v>
      </c>
      <c r="N139" s="1315">
        <v>12225.516857450521</v>
      </c>
      <c r="O139" s="1316">
        <v>4.0872672288258176</v>
      </c>
      <c r="P139" s="1317">
        <v>0.15273893844396583</v>
      </c>
      <c r="Q139" s="1318">
        <v>0</v>
      </c>
      <c r="R139" s="1319">
        <v>0</v>
      </c>
      <c r="S139" s="1320">
        <v>0</v>
      </c>
      <c r="T139" s="1315">
        <v>71758.281567209211</v>
      </c>
      <c r="U139" s="1316">
        <v>4.8558720298853313</v>
      </c>
      <c r="V139" s="1317">
        <v>0.35384439391721256</v>
      </c>
      <c r="W139" s="1318">
        <v>93645.306591534507</v>
      </c>
      <c r="X139" s="1320">
        <v>4.9714860158545946</v>
      </c>
      <c r="Y139" s="1321" t="str">
        <v>After the burn</v>
      </c>
      <c r="Z139" s="1322" t="str">
        <v>Premise plumbing</v>
      </c>
    </row>
    <row r="140" spans="1:26" s="1127" customFormat="1" x14ac:dyDescent="0.3">
      <c r="A140" s="1312" t="str">
        <v>SPO44426</v>
      </c>
      <c r="B140" s="1313" t="str">
        <v>CSPO44426</v>
      </c>
      <c r="C140" s="1313" t="str">
        <v>HRS44426</v>
      </c>
      <c r="D140" s="1313" t="str">
        <v>RS44426</v>
      </c>
      <c r="E140" s="1313" t="str">
        <v>RS444266</v>
      </c>
      <c r="F140" s="1313" t="str">
        <v>RS</v>
      </c>
      <c r="G140" s="1314">
        <v>44426</v>
      </c>
      <c r="H140" s="1315">
        <v>36564198272.898399</v>
      </c>
      <c r="I140" s="1316">
        <v>10.563056055280478</v>
      </c>
      <c r="J140" s="1317">
        <v>0.2282612894969332</v>
      </c>
      <c r="K140" s="1318">
        <v>100093.8214373845</v>
      </c>
      <c r="L140" s="1319">
        <v>5.0004072703018387</v>
      </c>
      <c r="M140" s="1320">
        <v>9.0894503752808151E-2</v>
      </c>
      <c r="N140" s="1315">
        <v>99557.523944813714</v>
      </c>
      <c r="O140" s="1316">
        <v>4.9980740869072635</v>
      </c>
      <c r="P140" s="1317">
        <v>0.23939320451605847</v>
      </c>
      <c r="Q140" s="1318">
        <v>0</v>
      </c>
      <c r="R140" s="1319">
        <v>0</v>
      </c>
      <c r="S140" s="1320">
        <v>0</v>
      </c>
      <c r="T140" s="1315">
        <v>196949.74913648382</v>
      </c>
      <c r="U140" s="1316">
        <v>5.2943554319656219</v>
      </c>
      <c r="V140" s="1317">
        <v>0.31745382611832568</v>
      </c>
      <c r="W140" s="1318">
        <v>396601.09451868205</v>
      </c>
      <c r="X140" s="1320">
        <v>5.5983539084138325</v>
      </c>
      <c r="Y140" s="1321" t="str">
        <v>After the burn</v>
      </c>
      <c r="Z140" s="1322" t="str">
        <v>Premise plumbing</v>
      </c>
    </row>
    <row r="141" spans="1:26" s="1127" customFormat="1" ht="16.350000000000001" thickBot="1" x14ac:dyDescent="0.35">
      <c r="A141" s="1323" t="str">
        <v>SPO44433</v>
      </c>
      <c r="B141" s="1324" t="str">
        <v>CSPO44433</v>
      </c>
      <c r="C141" s="1324" t="str">
        <v>HRS44433</v>
      </c>
      <c r="D141" s="1324" t="str">
        <v>RS44433</v>
      </c>
      <c r="E141" s="1324" t="str">
        <v>RS444336</v>
      </c>
      <c r="F141" s="1324" t="str">
        <v>RS</v>
      </c>
      <c r="G141" s="1325">
        <v>44433</v>
      </c>
      <c r="H141" s="1326">
        <v>5272134086.2953701</v>
      </c>
      <c r="I141" s="1327">
        <v>9.7219864471469641</v>
      </c>
      <c r="J141" s="1328">
        <v>0.30509060942187038</v>
      </c>
      <c r="K141" s="1329">
        <v>38463.906860351563</v>
      </c>
      <c r="L141" s="1330">
        <v>4.5850533943517382</v>
      </c>
      <c r="M141" s="1331">
        <v>2.0400225410747711E-2</v>
      </c>
      <c r="N141" s="1326">
        <v>30609.590530395508</v>
      </c>
      <c r="O141" s="1327">
        <v>4.4858575200063786</v>
      </c>
      <c r="P141" s="1328">
        <v>0.29536552535321209</v>
      </c>
      <c r="Q141" s="1329">
        <v>722.44873046875</v>
      </c>
      <c r="R141" s="1330">
        <v>2.8588070322388779</v>
      </c>
      <c r="S141" s="1331">
        <v>0.43429448190325176</v>
      </c>
      <c r="T141" s="1326">
        <v>52716.384887695313</v>
      </c>
      <c r="U141" s="1327">
        <v>4.7219456201527663</v>
      </c>
      <c r="V141" s="1328">
        <v>4.1674593875753979E-2</v>
      </c>
      <c r="W141" s="1329">
        <v>122512.33100891113</v>
      </c>
      <c r="X141" s="1331">
        <v>5.0881798031463417</v>
      </c>
      <c r="Y141" s="1332" t="str">
        <v>After the burn</v>
      </c>
      <c r="Z141" s="1333" t="str">
        <v>Premise plumbing</v>
      </c>
    </row>
    <row r="142" spans="1:26" ht="16.350000000000001" thickTop="1" x14ac:dyDescent="0.3"/>
  </sheetData>
  <sheetProtection algorithmName="SHA-512" hashValue="uSZ3PQLtRFbRDAkCrrnR4XuWbFt12B7ulQlNYZAJePT4z38nhW/gXuiqej7wUOJzuqndg0QGMae1BgPMxenzvQ==" saltValue="suWE9fdjczz3+fVgqtywug==" spinCount="100000" sheet="1" objects="1" scenarios="1"/>
  <mergeCells count="21">
    <mergeCell ref="Q1:S1"/>
    <mergeCell ref="T1:V1"/>
    <mergeCell ref="W1:X1"/>
    <mergeCell ref="A1:G1"/>
    <mergeCell ref="A40:G40"/>
    <mergeCell ref="H40:J40"/>
    <mergeCell ref="K40:M40"/>
    <mergeCell ref="N40:P40"/>
    <mergeCell ref="H1:J1"/>
    <mergeCell ref="K1:M1"/>
    <mergeCell ref="N1:P1"/>
    <mergeCell ref="T40:V40"/>
    <mergeCell ref="W40:X40"/>
    <mergeCell ref="T100:V100"/>
    <mergeCell ref="W100:X100"/>
    <mergeCell ref="Q40:S40"/>
    <mergeCell ref="A100:G100"/>
    <mergeCell ref="H100:J100"/>
    <mergeCell ref="K100:M100"/>
    <mergeCell ref="N100:P100"/>
    <mergeCell ref="Q100:S100"/>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33</vt:i4>
      </vt:variant>
    </vt:vector>
  </HeadingPairs>
  <TitlesOfParts>
    <vt:vector size="33" baseType="lpstr">
      <vt:lpstr>Readme</vt:lpstr>
      <vt:lpstr>Core_Data</vt:lpstr>
      <vt:lpstr>qPCR_Physicochemical</vt:lpstr>
      <vt:lpstr>CCA_Raw_Data</vt:lpstr>
      <vt:lpstr>CCA_Map</vt:lpstr>
      <vt:lpstr>Distances_Sites</vt:lpstr>
      <vt:lpstr>qPCR_Managed</vt:lpstr>
      <vt:lpstr>qPCR_Unique</vt:lpstr>
      <vt:lpstr>qPCR_Periods</vt:lpstr>
      <vt:lpstr>qPCR_2nd_3rd_Managed</vt:lpstr>
      <vt:lpstr>qPCR_Compared</vt:lpstr>
      <vt:lpstr>Fig._OPs-Sites</vt:lpstr>
      <vt:lpstr>Fig._DWDS_PP</vt:lpstr>
      <vt:lpstr>OPs_ANOVA</vt:lpstr>
      <vt:lpstr>Fig._OPs-Time</vt:lpstr>
      <vt:lpstr>Physicochemical_Managed</vt:lpstr>
      <vt:lpstr>Physicochemical_Sorted</vt:lpstr>
      <vt:lpstr>Fig._Chlorine_vs._N&amp;P</vt:lpstr>
      <vt:lpstr>Sampling_Events</vt:lpstr>
      <vt:lpstr>Physicochemical_ANOVA</vt:lpstr>
      <vt:lpstr>Fig._Physicochem.-Time</vt:lpstr>
      <vt:lpstr>Fig._Physicochem.-Sites</vt:lpstr>
      <vt:lpstr>qPCR_Raw</vt:lpstr>
      <vt:lpstr>qPCR_2nd_Run</vt:lpstr>
      <vt:lpstr>qPCR_3rd_Run</vt:lpstr>
      <vt:lpstr>EP</vt:lpstr>
      <vt:lpstr>SPI</vt:lpstr>
      <vt:lpstr>SPO</vt:lpstr>
      <vt:lpstr>MRT</vt:lpstr>
      <vt:lpstr>RN</vt:lpstr>
      <vt:lpstr>RU</vt:lpstr>
      <vt:lpstr>RL</vt:lpstr>
      <vt:lpstr>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Chiqian Zhang</dc:creator>
  <cp:lastModifiedBy>Chiqian Zhang</cp:lastModifiedBy>
  <dcterms:created xsi:type="dcterms:W3CDTF">2022-04-15T08:09:56Z</dcterms:created>
  <dcterms:modified xsi:type="dcterms:W3CDTF">2022-06-13T03:48:17Z</dcterms:modified>
</cp:coreProperties>
</file>